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users\Korisnik\Documents\"/>
    </mc:Choice>
  </mc:AlternateContent>
  <workbookProtection workbookPassword="DE31" lockStructure="1"/>
  <bookViews>
    <workbookView xWindow="0" yWindow="0" windowWidth="16095" windowHeight="7515" tabRatio="832"/>
  </bookViews>
  <sheets>
    <sheet name="Opći dio" sheetId="12" r:id="rId1"/>
    <sheet name="Plan prihoda za unos u SAP" sheetId="4" r:id="rId2"/>
    <sheet name="Plan rashoda za unos u SAP" sheetId="17" r:id="rId3"/>
    <sheet name="ANALITIKA EU PROJEKATA" sheetId="25" r:id="rId4"/>
    <sheet name="PLAN PRIHODA I PRIMITAKA " sheetId="13" r:id="rId5"/>
    <sheet name="PLAN RASHODA I IZDATAKA" sheetId="14" r:id="rId6"/>
    <sheet name="PLAN IZDATAKA" sheetId="15" r:id="rId7"/>
    <sheet name="AKT" sheetId="26" r:id="rId8"/>
    <sheet name="p4" sheetId="27" r:id="rId9"/>
    <sheet name="prihodi" sheetId="29" r:id="rId10"/>
  </sheets>
  <definedNames>
    <definedName name="_FiltarBaze" localSheetId="5" hidden="1">'PLAN RASHODA I IZDATAKA'!#REF!</definedName>
    <definedName name="_xlnm._FilterDatabase" localSheetId="3" hidden="1">'ANALITIKA EU PROJEKATA'!$A$2:$I$3</definedName>
    <definedName name="_xlnm._FilterDatabase" localSheetId="1" hidden="1">'Plan prihoda za unos u SAP'!$Q$5:$U$105</definedName>
    <definedName name="_xlnm._FilterDatabase" localSheetId="5" hidden="1">'PLAN RASHODA I IZDATAKA'!$B$70:$V$85</definedName>
    <definedName name="_xlnm._FilterDatabase" localSheetId="2" hidden="1">'Plan rashoda za unos u SAP'!$A$2:$K$3</definedName>
    <definedName name="_xlnm.Print_Area" localSheetId="0">'Opći dio'!$A$3:$E$32</definedName>
    <definedName name="_xlnm.Print_Area" localSheetId="1">'Plan prihoda za unos u SAP'!$A$2:$I$19</definedName>
    <definedName name="_xlnm.Print_Area" localSheetId="2">'Plan rashoda za unos u SAP'!$A$2:$K$138</definedName>
    <definedName name="_xlnm.Print_Titles" localSheetId="3">'ANALITIKA EU PROJEKATA'!$2:$2</definedName>
    <definedName name="_xlnm.Print_Titles" localSheetId="1">'Plan prihoda za unos u SAP'!$2:$2</definedName>
    <definedName name="_xlnm.Print_Titles" localSheetId="5">'PLAN RASHODA I IZDATAKA'!$1:$2</definedName>
    <definedName name="_xlnm.Print_Titles" localSheetId="2">'Plan rashoda za unos u SAP'!$2:$2</definedName>
    <definedName name="SAPBEXhrIndnt" hidden="1">1</definedName>
    <definedName name="SAPBEXrevision" hidden="1">1</definedName>
    <definedName name="SAPBEXsysID" hidden="1">"PBW"</definedName>
    <definedName name="SAPBEXwbID" hidden="1">"C7P4ZZNWMVNLSDLB24HAO64UB"</definedName>
  </definedNames>
  <calcPr calcId="162913"/>
</workbook>
</file>

<file path=xl/calcChain.xml><?xml version="1.0" encoding="utf-8"?>
<calcChain xmlns="http://schemas.openxmlformats.org/spreadsheetml/2006/main">
  <c r="H5" i="25" l="1"/>
  <c r="G5" i="25"/>
  <c r="K100" i="17" l="1"/>
  <c r="J100" i="17"/>
  <c r="K99" i="17"/>
  <c r="J99" i="17"/>
  <c r="K96" i="17"/>
  <c r="J96" i="17"/>
  <c r="K95" i="17"/>
  <c r="J95" i="17"/>
  <c r="K94" i="17"/>
  <c r="J94" i="17"/>
  <c r="K93" i="17"/>
  <c r="J93" i="17"/>
  <c r="K92" i="17"/>
  <c r="J92" i="17"/>
  <c r="K91" i="17"/>
  <c r="J91" i="17"/>
  <c r="K89" i="17"/>
  <c r="J89" i="17"/>
  <c r="K88" i="17"/>
  <c r="J88" i="17"/>
  <c r="K87" i="17"/>
  <c r="J87" i="17"/>
  <c r="K86" i="17"/>
  <c r="J86" i="17"/>
  <c r="K84" i="17"/>
  <c r="J84" i="17"/>
  <c r="K83" i="17"/>
  <c r="J83" i="17"/>
  <c r="J81" i="17"/>
  <c r="K80" i="17"/>
  <c r="J80" i="17"/>
  <c r="K78" i="17"/>
  <c r="J78" i="17"/>
  <c r="K75" i="17"/>
  <c r="J75" i="17"/>
  <c r="K73" i="17"/>
  <c r="J72" i="17"/>
  <c r="K72" i="17" s="1"/>
  <c r="J71" i="17"/>
  <c r="K71" i="17" s="1"/>
  <c r="K69" i="17"/>
  <c r="J69" i="17"/>
  <c r="K68" i="17"/>
  <c r="J68" i="17"/>
  <c r="K67" i="17"/>
  <c r="J67" i="17"/>
  <c r="K66" i="17"/>
  <c r="J66" i="17"/>
  <c r="K65" i="17"/>
  <c r="J65" i="17"/>
  <c r="K64" i="17"/>
  <c r="J64" i="17"/>
  <c r="K63" i="17"/>
  <c r="J63" i="17"/>
  <c r="K62" i="17"/>
  <c r="J62" i="17"/>
  <c r="K61" i="17"/>
  <c r="J61" i="17"/>
  <c r="K59" i="17"/>
  <c r="J59" i="17"/>
  <c r="K58" i="17"/>
  <c r="J58" i="17"/>
  <c r="K57" i="17"/>
  <c r="J57" i="17"/>
  <c r="K56" i="17"/>
  <c r="J56" i="17"/>
  <c r="K55" i="17"/>
  <c r="J55" i="17"/>
  <c r="K54" i="17"/>
  <c r="J54" i="17"/>
  <c r="K53" i="17"/>
  <c r="J53" i="17"/>
  <c r="K52" i="17"/>
  <c r="J52" i="17"/>
  <c r="H39" i="25" l="1"/>
  <c r="G39" i="25"/>
  <c r="H36" i="25"/>
  <c r="I36" i="25"/>
  <c r="G36" i="25"/>
  <c r="H27" i="25"/>
  <c r="G27" i="25"/>
  <c r="H21" i="25"/>
  <c r="I21" i="25"/>
  <c r="G21" i="25"/>
  <c r="G15" i="25"/>
  <c r="F4" i="25" l="1"/>
  <c r="F5" i="25"/>
  <c r="F6" i="25"/>
  <c r="F7" i="25"/>
  <c r="F8" i="25"/>
  <c r="F9" i="25"/>
  <c r="F10" i="25"/>
  <c r="F11" i="25"/>
  <c r="F12" i="25"/>
  <c r="F13" i="25"/>
  <c r="F14" i="25"/>
  <c r="F15" i="25"/>
  <c r="F16" i="25"/>
  <c r="F17" i="25"/>
  <c r="F18" i="25"/>
  <c r="F19" i="25"/>
  <c r="F20" i="25"/>
  <c r="F21" i="25"/>
  <c r="F22" i="25"/>
  <c r="F23" i="25"/>
  <c r="F24" i="25"/>
  <c r="F25" i="25"/>
  <c r="F26" i="25"/>
  <c r="F27" i="25"/>
  <c r="F28" i="25"/>
  <c r="F29" i="25"/>
  <c r="F30" i="25"/>
  <c r="F31" i="25"/>
  <c r="F32" i="25"/>
  <c r="F33" i="25"/>
  <c r="F34" i="25"/>
  <c r="F35" i="25"/>
  <c r="F36" i="25"/>
  <c r="F37" i="25"/>
  <c r="F38" i="25"/>
  <c r="F39" i="25"/>
  <c r="F40" i="25"/>
  <c r="F41" i="25"/>
  <c r="F42" i="25"/>
  <c r="F43" i="25"/>
  <c r="F44" i="25"/>
  <c r="F45" i="25"/>
  <c r="F46" i="25"/>
  <c r="F47" i="25"/>
  <c r="F48" i="25"/>
  <c r="F49" i="25"/>
  <c r="F50" i="25"/>
  <c r="F51" i="25"/>
  <c r="F52" i="25"/>
  <c r="F53" i="25"/>
  <c r="F54" i="25"/>
  <c r="F55" i="25"/>
  <c r="F56" i="25"/>
  <c r="F57" i="25"/>
  <c r="F58" i="25"/>
  <c r="F59" i="25"/>
  <c r="F60" i="25"/>
  <c r="F61" i="25"/>
  <c r="F62" i="25"/>
  <c r="F63" i="25"/>
  <c r="F64" i="25"/>
  <c r="F65" i="25"/>
  <c r="F66" i="25"/>
  <c r="F67" i="25"/>
  <c r="F68" i="25"/>
  <c r="F69" i="25"/>
  <c r="F70" i="25"/>
  <c r="F71" i="25"/>
  <c r="F72" i="25"/>
  <c r="F73" i="25"/>
  <c r="F74" i="25"/>
  <c r="F75" i="25"/>
  <c r="F76" i="25"/>
  <c r="F77" i="25"/>
  <c r="F78" i="25"/>
  <c r="F79" i="25"/>
  <c r="F80" i="25"/>
  <c r="F81" i="25"/>
  <c r="F82" i="25"/>
  <c r="F83" i="25"/>
  <c r="F84" i="25"/>
  <c r="F85" i="25"/>
  <c r="F86" i="25"/>
  <c r="F87" i="25"/>
  <c r="F88" i="25"/>
  <c r="F89" i="25"/>
  <c r="F90" i="25"/>
  <c r="F91" i="25"/>
  <c r="F92" i="25"/>
  <c r="F93" i="25"/>
  <c r="F94" i="25"/>
  <c r="F95" i="25"/>
  <c r="F96" i="25"/>
  <c r="F97" i="25"/>
  <c r="F98" i="25"/>
  <c r="F99" i="25"/>
  <c r="F100" i="25"/>
  <c r="F101" i="25"/>
  <c r="F102" i="25"/>
  <c r="F103" i="25"/>
  <c r="F104" i="25"/>
  <c r="F105" i="25"/>
  <c r="F106" i="25"/>
  <c r="F107" i="25"/>
  <c r="F108" i="25"/>
  <c r="F109" i="25"/>
  <c r="F110" i="25"/>
  <c r="F111" i="25"/>
  <c r="F112" i="25"/>
  <c r="F113" i="25"/>
  <c r="F114" i="25"/>
  <c r="F115" i="25"/>
  <c r="F116" i="25"/>
  <c r="F117" i="25"/>
  <c r="F118" i="25"/>
  <c r="F119" i="25"/>
  <c r="F120" i="25"/>
  <c r="F121" i="25"/>
  <c r="F122" i="25"/>
  <c r="F123" i="25"/>
  <c r="F124" i="25"/>
  <c r="F125" i="25"/>
  <c r="F126" i="25"/>
  <c r="F127" i="25"/>
  <c r="F128" i="25"/>
  <c r="F129" i="25"/>
  <c r="F130" i="25"/>
  <c r="F131" i="25"/>
  <c r="F132" i="25"/>
  <c r="F133" i="25"/>
  <c r="F134" i="25"/>
  <c r="F135" i="25"/>
  <c r="F136" i="25"/>
  <c r="F137" i="25"/>
  <c r="F138" i="25"/>
  <c r="F139" i="25"/>
  <c r="F140" i="25"/>
  <c r="F141" i="25"/>
  <c r="F142" i="25"/>
  <c r="F143" i="25"/>
  <c r="F144" i="25"/>
  <c r="F145" i="25"/>
  <c r="F146" i="25"/>
  <c r="F147" i="25"/>
  <c r="F148" i="25"/>
  <c r="F149" i="25"/>
  <c r="F150" i="25"/>
  <c r="F151" i="25"/>
  <c r="F152" i="25"/>
  <c r="F153" i="25"/>
  <c r="F154" i="25"/>
  <c r="F155" i="25"/>
  <c r="F156" i="25"/>
  <c r="F157" i="25"/>
  <c r="F158" i="25"/>
  <c r="F159" i="25"/>
  <c r="F160" i="25"/>
  <c r="F161" i="25"/>
  <c r="F162" i="25"/>
  <c r="F163" i="25"/>
  <c r="F164" i="25"/>
  <c r="F165" i="25"/>
  <c r="F166" i="25"/>
  <c r="F167" i="25"/>
  <c r="F168" i="25"/>
  <c r="F169" i="25"/>
  <c r="F170" i="25"/>
  <c r="F171" i="25"/>
  <c r="F172" i="25"/>
  <c r="F173" i="25"/>
  <c r="F174" i="25"/>
  <c r="F175" i="25"/>
  <c r="F176" i="25"/>
  <c r="F177" i="25"/>
  <c r="F178" i="25"/>
  <c r="F179" i="25"/>
  <c r="F180" i="25"/>
  <c r="F181" i="25"/>
  <c r="F182" i="25"/>
  <c r="F183" i="25"/>
  <c r="F184" i="25"/>
  <c r="F185" i="25"/>
  <c r="F186" i="25"/>
  <c r="F187" i="25"/>
  <c r="F188" i="25"/>
  <c r="F189" i="25"/>
  <c r="F190" i="25"/>
  <c r="F191" i="25"/>
  <c r="F192" i="25"/>
  <c r="F193" i="25"/>
  <c r="F194" i="25"/>
  <c r="F195" i="25"/>
  <c r="F196" i="25"/>
  <c r="F197" i="25"/>
  <c r="F198" i="25"/>
  <c r="F199" i="25"/>
  <c r="F200" i="25"/>
  <c r="F201" i="25"/>
  <c r="F202" i="25"/>
  <c r="F203" i="25"/>
  <c r="F204" i="25"/>
  <c r="F205" i="25"/>
  <c r="F206" i="25"/>
  <c r="F207" i="25"/>
  <c r="F208" i="25"/>
  <c r="F209" i="25"/>
  <c r="F210" i="25"/>
  <c r="F211" i="25"/>
  <c r="F212" i="25"/>
  <c r="F213" i="25"/>
  <c r="F214" i="25"/>
  <c r="F215" i="25"/>
  <c r="F216" i="25"/>
  <c r="F217" i="25"/>
  <c r="F218" i="25"/>
  <c r="F219" i="25"/>
  <c r="F220" i="25"/>
  <c r="F221" i="25"/>
  <c r="F222" i="25"/>
  <c r="F223" i="25"/>
  <c r="F224" i="25"/>
  <c r="F225" i="25"/>
  <c r="F226" i="25"/>
  <c r="F227" i="25"/>
  <c r="F228" i="25"/>
  <c r="F229" i="25"/>
  <c r="F230" i="25"/>
  <c r="F231" i="25"/>
  <c r="F232" i="25"/>
  <c r="F233" i="25"/>
  <c r="F234" i="25"/>
  <c r="F235" i="25"/>
  <c r="F236" i="25"/>
  <c r="F237" i="25"/>
  <c r="F238" i="25"/>
  <c r="F239" i="25"/>
  <c r="F240" i="25"/>
  <c r="F241" i="25"/>
  <c r="F242" i="25"/>
  <c r="F243" i="25"/>
  <c r="F244" i="25"/>
  <c r="F245" i="25"/>
  <c r="F246" i="25"/>
  <c r="F247" i="25"/>
  <c r="F248" i="25"/>
  <c r="F249" i="25"/>
  <c r="F250" i="25"/>
  <c r="F251" i="25"/>
  <c r="F252" i="25"/>
  <c r="F253" i="25"/>
  <c r="F254" i="25"/>
  <c r="F255" i="25"/>
  <c r="F256" i="25"/>
  <c r="F257" i="25"/>
  <c r="F258" i="25"/>
  <c r="F259" i="25"/>
  <c r="F260" i="25"/>
  <c r="F261" i="25"/>
  <c r="F262" i="25"/>
  <c r="F263" i="25"/>
  <c r="F264" i="25"/>
  <c r="F265" i="25"/>
  <c r="F266" i="25"/>
  <c r="F267" i="25"/>
  <c r="F268" i="25"/>
  <c r="F269" i="25"/>
  <c r="F270" i="25"/>
  <c r="F271" i="25"/>
  <c r="F272" i="25"/>
  <c r="F273" i="25"/>
  <c r="F274" i="25"/>
  <c r="F275" i="25"/>
  <c r="F276" i="25"/>
  <c r="F277" i="25"/>
  <c r="F278" i="25"/>
  <c r="F279" i="25"/>
  <c r="F280" i="25"/>
  <c r="F281" i="25"/>
  <c r="F282" i="25"/>
  <c r="F283" i="25"/>
  <c r="F284" i="25"/>
  <c r="F285" i="25"/>
  <c r="F286" i="25"/>
  <c r="F287" i="25"/>
  <c r="F288" i="25"/>
  <c r="F289" i="25"/>
  <c r="F290" i="25"/>
  <c r="F291" i="25"/>
  <c r="F292" i="25"/>
  <c r="F293" i="25"/>
  <c r="F294" i="25"/>
  <c r="F295" i="25"/>
  <c r="F296" i="25"/>
  <c r="F297" i="25"/>
  <c r="F298" i="25"/>
  <c r="F299" i="25"/>
  <c r="F300" i="25"/>
  <c r="F301" i="25"/>
  <c r="F302" i="25"/>
  <c r="F303" i="25"/>
  <c r="F304" i="25"/>
  <c r="F305" i="25"/>
  <c r="F306" i="25"/>
  <c r="F307" i="25"/>
  <c r="F308" i="25"/>
  <c r="F309" i="25"/>
  <c r="F310" i="25"/>
  <c r="F311" i="25"/>
  <c r="F312" i="25"/>
  <c r="F313" i="25"/>
  <c r="F314" i="25"/>
  <c r="F315" i="25"/>
  <c r="F316" i="25"/>
  <c r="F317" i="25"/>
  <c r="F318" i="25"/>
  <c r="F319" i="25"/>
  <c r="F320" i="25"/>
  <c r="F321" i="25"/>
  <c r="F322" i="25"/>
  <c r="F323" i="25"/>
  <c r="F324" i="25"/>
  <c r="F325" i="25"/>
  <c r="F326" i="25"/>
  <c r="F327" i="25"/>
  <c r="F328" i="25"/>
  <c r="F329" i="25"/>
  <c r="F330" i="25"/>
  <c r="F331" i="25"/>
  <c r="F332" i="25"/>
  <c r="F333" i="25"/>
  <c r="F334" i="25"/>
  <c r="F335" i="25"/>
  <c r="F336" i="25"/>
  <c r="F337" i="25"/>
  <c r="F338" i="25"/>
  <c r="F339" i="25"/>
  <c r="F340" i="25"/>
  <c r="F341" i="25"/>
  <c r="F342" i="25"/>
  <c r="F343" i="25"/>
  <c r="F344" i="25"/>
  <c r="F345" i="25"/>
  <c r="F346" i="25"/>
  <c r="F347" i="25"/>
  <c r="F348" i="25"/>
  <c r="F349" i="25"/>
  <c r="F350" i="25"/>
  <c r="F351" i="25"/>
  <c r="F352" i="25"/>
  <c r="F353" i="25"/>
  <c r="F354" i="25"/>
  <c r="F355" i="25"/>
  <c r="F356" i="25"/>
  <c r="F357" i="25"/>
  <c r="F358" i="25"/>
  <c r="F359" i="25"/>
  <c r="F360" i="25"/>
  <c r="F361" i="25"/>
  <c r="F362" i="25"/>
  <c r="F363" i="25"/>
  <c r="F364" i="25"/>
  <c r="F365" i="25"/>
  <c r="F366" i="25"/>
  <c r="F367" i="25"/>
  <c r="F368" i="25"/>
  <c r="F369" i="25"/>
  <c r="F370" i="25"/>
  <c r="F371" i="25"/>
  <c r="F372" i="25"/>
  <c r="F373" i="25"/>
  <c r="F374" i="25"/>
  <c r="F375" i="25"/>
  <c r="F376" i="25"/>
  <c r="F377" i="25"/>
  <c r="F378" i="25"/>
  <c r="F379" i="25"/>
  <c r="F380" i="25"/>
  <c r="F381" i="25"/>
  <c r="F382" i="25"/>
  <c r="F383" i="25"/>
  <c r="F384" i="25"/>
  <c r="F385" i="25"/>
  <c r="F386" i="25"/>
  <c r="F387" i="25"/>
  <c r="F388" i="25"/>
  <c r="F389" i="25"/>
  <c r="F390" i="25"/>
  <c r="F391" i="25"/>
  <c r="F392" i="25"/>
  <c r="F393" i="25"/>
  <c r="F394" i="25"/>
  <c r="F395" i="25"/>
  <c r="F396" i="25"/>
  <c r="F397" i="25"/>
  <c r="F398" i="25"/>
  <c r="F399" i="25"/>
  <c r="F400" i="25"/>
  <c r="F401" i="25"/>
  <c r="F402" i="25"/>
  <c r="F403" i="25"/>
  <c r="F404" i="25"/>
  <c r="F405" i="25"/>
  <c r="F406" i="25"/>
  <c r="F407" i="25"/>
  <c r="F408" i="25"/>
  <c r="F409" i="25"/>
  <c r="F410" i="25"/>
  <c r="F411" i="25"/>
  <c r="F412" i="25"/>
  <c r="F413" i="25"/>
  <c r="F414" i="25"/>
  <c r="F415" i="25"/>
  <c r="F416" i="25"/>
  <c r="F417" i="25"/>
  <c r="F418" i="25"/>
  <c r="F419" i="25"/>
  <c r="F420" i="25"/>
  <c r="F421" i="25"/>
  <c r="F422" i="25"/>
  <c r="F423" i="25"/>
  <c r="F424" i="25"/>
  <c r="F425" i="25"/>
  <c r="F426" i="25"/>
  <c r="F427" i="25"/>
  <c r="F428" i="25"/>
  <c r="F429" i="25"/>
  <c r="F430" i="25"/>
  <c r="F431" i="25"/>
  <c r="F432" i="25"/>
  <c r="F433" i="25"/>
  <c r="F434" i="25"/>
  <c r="F435" i="25"/>
  <c r="F436" i="25"/>
  <c r="F437" i="25"/>
  <c r="F438" i="25"/>
  <c r="F439" i="25"/>
  <c r="F440" i="25"/>
  <c r="F441" i="25"/>
  <c r="F442" i="25"/>
  <c r="F443" i="25"/>
  <c r="F444" i="25"/>
  <c r="F445" i="25"/>
  <c r="F446" i="25"/>
  <c r="F447" i="25"/>
  <c r="F448" i="25"/>
  <c r="F449" i="25"/>
  <c r="F450" i="25"/>
  <c r="F451" i="25"/>
  <c r="F452" i="25"/>
  <c r="F453" i="25"/>
  <c r="F454" i="25"/>
  <c r="F455" i="25"/>
  <c r="F456" i="25"/>
  <c r="F457" i="25"/>
  <c r="F458" i="25"/>
  <c r="F459" i="25"/>
  <c r="F460" i="25"/>
  <c r="F461" i="25"/>
  <c r="F462" i="25"/>
  <c r="F463" i="25"/>
  <c r="F464" i="25"/>
  <c r="F465" i="25"/>
  <c r="F466" i="25"/>
  <c r="F467" i="25"/>
  <c r="F468" i="25"/>
  <c r="F469" i="25"/>
  <c r="F470" i="25"/>
  <c r="F471" i="25"/>
  <c r="F472" i="25"/>
  <c r="F473" i="25"/>
  <c r="F474" i="25"/>
  <c r="F475" i="25"/>
  <c r="F476" i="25"/>
  <c r="F477" i="25"/>
  <c r="F478" i="25"/>
  <c r="F479" i="25"/>
  <c r="F480" i="25"/>
  <c r="F481" i="25"/>
  <c r="F482" i="25"/>
  <c r="F483" i="25"/>
  <c r="F484" i="25"/>
  <c r="F485" i="25"/>
  <c r="F486" i="25"/>
  <c r="F487" i="25"/>
  <c r="F488" i="25"/>
  <c r="F489" i="25"/>
  <c r="F490" i="25"/>
  <c r="F491" i="25"/>
  <c r="F492" i="25"/>
  <c r="F493" i="25"/>
  <c r="F494" i="25"/>
  <c r="F495" i="25"/>
  <c r="F496" i="25"/>
  <c r="F497" i="25"/>
  <c r="F498" i="25"/>
  <c r="F499" i="25"/>
  <c r="F500" i="25"/>
  <c r="F501" i="25"/>
  <c r="F3" i="25"/>
  <c r="B4" i="25" l="1"/>
  <c r="D4" i="25"/>
  <c r="B5" i="25"/>
  <c r="D5" i="25"/>
  <c r="B6" i="25"/>
  <c r="D6" i="25"/>
  <c r="B7" i="25"/>
  <c r="D7" i="25"/>
  <c r="B8" i="25"/>
  <c r="D8" i="25"/>
  <c r="B9" i="25"/>
  <c r="D9" i="25"/>
  <c r="B10" i="25"/>
  <c r="D10" i="25"/>
  <c r="B11" i="25"/>
  <c r="D11" i="25"/>
  <c r="B12" i="25"/>
  <c r="D12" i="25"/>
  <c r="B13" i="25"/>
  <c r="D13" i="25"/>
  <c r="B14" i="25"/>
  <c r="D14" i="25"/>
  <c r="B15" i="25"/>
  <c r="D15" i="25"/>
  <c r="B16" i="25"/>
  <c r="D16" i="25"/>
  <c r="B17" i="25"/>
  <c r="D17" i="25"/>
  <c r="B18" i="25"/>
  <c r="D18" i="25"/>
  <c r="B19" i="25"/>
  <c r="D19" i="25"/>
  <c r="B20" i="25"/>
  <c r="D20" i="25"/>
  <c r="B21" i="25"/>
  <c r="D21" i="25"/>
  <c r="B22" i="25"/>
  <c r="D22" i="25"/>
  <c r="B23" i="25"/>
  <c r="D23" i="25"/>
  <c r="B24" i="25"/>
  <c r="D24" i="25"/>
  <c r="B25" i="25"/>
  <c r="D25" i="25"/>
  <c r="B26" i="25"/>
  <c r="D26" i="25"/>
  <c r="B27" i="25"/>
  <c r="D27" i="25"/>
  <c r="B28" i="25"/>
  <c r="D28" i="25"/>
  <c r="B29" i="25"/>
  <c r="D29" i="25"/>
  <c r="B30" i="25"/>
  <c r="D30" i="25"/>
  <c r="B31" i="25"/>
  <c r="D31" i="25"/>
  <c r="B32" i="25"/>
  <c r="D32" i="25"/>
  <c r="B33" i="25"/>
  <c r="D33" i="25"/>
  <c r="B34" i="25"/>
  <c r="D34" i="25"/>
  <c r="B35" i="25"/>
  <c r="D35" i="25"/>
  <c r="B36" i="25"/>
  <c r="D36" i="25"/>
  <c r="B37" i="25"/>
  <c r="D37" i="25"/>
  <c r="B38" i="25"/>
  <c r="D38" i="25"/>
  <c r="B39" i="25"/>
  <c r="D39" i="25"/>
  <c r="B40" i="25"/>
  <c r="D40" i="25"/>
  <c r="B41" i="25"/>
  <c r="D41" i="25"/>
  <c r="B42" i="25"/>
  <c r="D42" i="25"/>
  <c r="B43" i="25"/>
  <c r="D43" i="25"/>
  <c r="B44" i="25"/>
  <c r="D44" i="25"/>
  <c r="B45" i="25"/>
  <c r="D45" i="25"/>
  <c r="B46" i="25"/>
  <c r="D46" i="25"/>
  <c r="B47" i="25"/>
  <c r="D47" i="25"/>
  <c r="B48" i="25"/>
  <c r="D48" i="25"/>
  <c r="B49" i="25"/>
  <c r="D49" i="25"/>
  <c r="B50" i="25"/>
  <c r="D50" i="25"/>
  <c r="B51" i="25"/>
  <c r="D51" i="25"/>
  <c r="B52" i="25"/>
  <c r="D52" i="25"/>
  <c r="B53" i="25"/>
  <c r="D53" i="25"/>
  <c r="B54" i="25"/>
  <c r="D54" i="25"/>
  <c r="B55" i="25"/>
  <c r="D55" i="25"/>
  <c r="B56" i="25"/>
  <c r="D56" i="25"/>
  <c r="B57" i="25"/>
  <c r="D57" i="25"/>
  <c r="B58" i="25"/>
  <c r="D58" i="25"/>
  <c r="B59" i="25"/>
  <c r="D59" i="25"/>
  <c r="B60" i="25"/>
  <c r="D60" i="25"/>
  <c r="B61" i="25"/>
  <c r="D61" i="25"/>
  <c r="B62" i="25"/>
  <c r="D62" i="25"/>
  <c r="B63" i="25"/>
  <c r="D63" i="25"/>
  <c r="B64" i="25"/>
  <c r="D64" i="25"/>
  <c r="B65" i="25"/>
  <c r="D65" i="25"/>
  <c r="B66" i="25"/>
  <c r="D66" i="25"/>
  <c r="B67" i="25"/>
  <c r="D67" i="25"/>
  <c r="B68" i="25"/>
  <c r="D68" i="25"/>
  <c r="B69" i="25"/>
  <c r="D69" i="25"/>
  <c r="B70" i="25"/>
  <c r="D70" i="25"/>
  <c r="B71" i="25"/>
  <c r="D71" i="25"/>
  <c r="B72" i="25"/>
  <c r="D72" i="25"/>
  <c r="B73" i="25"/>
  <c r="D73" i="25"/>
  <c r="B74" i="25"/>
  <c r="D74" i="25"/>
  <c r="B75" i="25"/>
  <c r="D75" i="25"/>
  <c r="B76" i="25"/>
  <c r="D76" i="25"/>
  <c r="B77" i="25"/>
  <c r="D77" i="25"/>
  <c r="B78" i="25"/>
  <c r="D78" i="25"/>
  <c r="B79" i="25"/>
  <c r="D79" i="25"/>
  <c r="B80" i="25"/>
  <c r="D80" i="25"/>
  <c r="B81" i="25"/>
  <c r="D81" i="25"/>
  <c r="B82" i="25"/>
  <c r="D82" i="25"/>
  <c r="B83" i="25"/>
  <c r="D83" i="25"/>
  <c r="B84" i="25"/>
  <c r="D84" i="25"/>
  <c r="B85" i="25"/>
  <c r="D85" i="25"/>
  <c r="B86" i="25"/>
  <c r="D86" i="25"/>
  <c r="B87" i="25"/>
  <c r="D87" i="25"/>
  <c r="B88" i="25"/>
  <c r="D88" i="25"/>
  <c r="B89" i="25"/>
  <c r="D89" i="25"/>
  <c r="B90" i="25"/>
  <c r="D90" i="25"/>
  <c r="B91" i="25"/>
  <c r="D91" i="25"/>
  <c r="B92" i="25"/>
  <c r="D92" i="25"/>
  <c r="B93" i="25"/>
  <c r="D93" i="25"/>
  <c r="B94" i="25"/>
  <c r="D94" i="25"/>
  <c r="B95" i="25"/>
  <c r="D95" i="25"/>
  <c r="B96" i="25"/>
  <c r="D96" i="25"/>
  <c r="B97" i="25"/>
  <c r="D97" i="25"/>
  <c r="B98" i="25"/>
  <c r="D98" i="25"/>
  <c r="B99" i="25"/>
  <c r="D99" i="25"/>
  <c r="B100" i="25"/>
  <c r="D100" i="25"/>
  <c r="B101" i="25"/>
  <c r="D101" i="25"/>
  <c r="B102" i="25"/>
  <c r="D102" i="25"/>
  <c r="B103" i="25"/>
  <c r="D103" i="25"/>
  <c r="B104" i="25"/>
  <c r="D104" i="25"/>
  <c r="B105" i="25"/>
  <c r="D105" i="25"/>
  <c r="B106" i="25"/>
  <c r="D106" i="25"/>
  <c r="B107" i="25"/>
  <c r="D107" i="25"/>
  <c r="B108" i="25"/>
  <c r="D108" i="25"/>
  <c r="B109" i="25"/>
  <c r="D109" i="25"/>
  <c r="B110" i="25"/>
  <c r="D110" i="25"/>
  <c r="B111" i="25"/>
  <c r="D111" i="25"/>
  <c r="B112" i="25"/>
  <c r="D112" i="25"/>
  <c r="B113" i="25"/>
  <c r="D113" i="25"/>
  <c r="B114" i="25"/>
  <c r="D114" i="25"/>
  <c r="B115" i="25"/>
  <c r="D115" i="25"/>
  <c r="B116" i="25"/>
  <c r="D116" i="25"/>
  <c r="B117" i="25"/>
  <c r="D117" i="25"/>
  <c r="B118" i="25"/>
  <c r="D118" i="25"/>
  <c r="B119" i="25"/>
  <c r="D119" i="25"/>
  <c r="B120" i="25"/>
  <c r="D120" i="25"/>
  <c r="B121" i="25"/>
  <c r="D121" i="25"/>
  <c r="B122" i="25"/>
  <c r="D122" i="25"/>
  <c r="B123" i="25"/>
  <c r="D123" i="25"/>
  <c r="B124" i="25"/>
  <c r="D124" i="25"/>
  <c r="B125" i="25"/>
  <c r="D125" i="25"/>
  <c r="B126" i="25"/>
  <c r="D126" i="25"/>
  <c r="B127" i="25"/>
  <c r="D127" i="25"/>
  <c r="B128" i="25"/>
  <c r="D128" i="25"/>
  <c r="B129" i="25"/>
  <c r="D129" i="25"/>
  <c r="B130" i="25"/>
  <c r="D130" i="25"/>
  <c r="B131" i="25"/>
  <c r="D131" i="25"/>
  <c r="B132" i="25"/>
  <c r="D132" i="25"/>
  <c r="B133" i="25"/>
  <c r="D133" i="25"/>
  <c r="B134" i="25"/>
  <c r="D134" i="25"/>
  <c r="B135" i="25"/>
  <c r="D135" i="25"/>
  <c r="B136" i="25"/>
  <c r="D136" i="25"/>
  <c r="B137" i="25"/>
  <c r="D137" i="25"/>
  <c r="B138" i="25"/>
  <c r="D138" i="25"/>
  <c r="B139" i="25"/>
  <c r="D139" i="25"/>
  <c r="B140" i="25"/>
  <c r="D140" i="25"/>
  <c r="B141" i="25"/>
  <c r="D141" i="25"/>
  <c r="B142" i="25"/>
  <c r="D142" i="25"/>
  <c r="B143" i="25"/>
  <c r="D143" i="25"/>
  <c r="B144" i="25"/>
  <c r="D144" i="25"/>
  <c r="B145" i="25"/>
  <c r="D145" i="25"/>
  <c r="B146" i="25"/>
  <c r="D146" i="25"/>
  <c r="B147" i="25"/>
  <c r="D147" i="25"/>
  <c r="B148" i="25"/>
  <c r="D148" i="25"/>
  <c r="B149" i="25"/>
  <c r="D149" i="25"/>
  <c r="B150" i="25"/>
  <c r="D150" i="25"/>
  <c r="B151" i="25"/>
  <c r="D151" i="25"/>
  <c r="B152" i="25"/>
  <c r="D152" i="25"/>
  <c r="B153" i="25"/>
  <c r="D153" i="25"/>
  <c r="B154" i="25"/>
  <c r="D154" i="25"/>
  <c r="B155" i="25"/>
  <c r="D155" i="25"/>
  <c r="B156" i="25"/>
  <c r="D156" i="25"/>
  <c r="B157" i="25"/>
  <c r="D157" i="25"/>
  <c r="B158" i="25"/>
  <c r="D158" i="25"/>
  <c r="B159" i="25"/>
  <c r="D159" i="25"/>
  <c r="B160" i="25"/>
  <c r="D160" i="25"/>
  <c r="B161" i="25"/>
  <c r="D161" i="25"/>
  <c r="B162" i="25"/>
  <c r="D162" i="25"/>
  <c r="B163" i="25"/>
  <c r="D163" i="25"/>
  <c r="B164" i="25"/>
  <c r="D164" i="25"/>
  <c r="B165" i="25"/>
  <c r="D165" i="25"/>
  <c r="B166" i="25"/>
  <c r="D166" i="25"/>
  <c r="B167" i="25"/>
  <c r="D167" i="25"/>
  <c r="B168" i="25"/>
  <c r="D168" i="25"/>
  <c r="B169" i="25"/>
  <c r="D169" i="25"/>
  <c r="B170" i="25"/>
  <c r="D170" i="25"/>
  <c r="B171" i="25"/>
  <c r="D171" i="25"/>
  <c r="B172" i="25"/>
  <c r="D172" i="25"/>
  <c r="B173" i="25"/>
  <c r="D173" i="25"/>
  <c r="B174" i="25"/>
  <c r="D174" i="25"/>
  <c r="B175" i="25"/>
  <c r="D175" i="25"/>
  <c r="B176" i="25"/>
  <c r="D176" i="25"/>
  <c r="B177" i="25"/>
  <c r="D177" i="25"/>
  <c r="B178" i="25"/>
  <c r="D178" i="25"/>
  <c r="B179" i="25"/>
  <c r="D179" i="25"/>
  <c r="B180" i="25"/>
  <c r="D180" i="25"/>
  <c r="B181" i="25"/>
  <c r="D181" i="25"/>
  <c r="B182" i="25"/>
  <c r="D182" i="25"/>
  <c r="B183" i="25"/>
  <c r="D183" i="25"/>
  <c r="B184" i="25"/>
  <c r="D184" i="25"/>
  <c r="B185" i="25"/>
  <c r="D185" i="25"/>
  <c r="B186" i="25"/>
  <c r="D186" i="25"/>
  <c r="B187" i="25"/>
  <c r="D187" i="25"/>
  <c r="B188" i="25"/>
  <c r="D188" i="25"/>
  <c r="B189" i="25"/>
  <c r="D189" i="25"/>
  <c r="B190" i="25"/>
  <c r="D190" i="25"/>
  <c r="B191" i="25"/>
  <c r="D191" i="25"/>
  <c r="B192" i="25"/>
  <c r="D192" i="25"/>
  <c r="B193" i="25"/>
  <c r="D193" i="25"/>
  <c r="B194" i="25"/>
  <c r="D194" i="25"/>
  <c r="B195" i="25"/>
  <c r="D195" i="25"/>
  <c r="B196" i="25"/>
  <c r="D196" i="25"/>
  <c r="B197" i="25"/>
  <c r="D197" i="25"/>
  <c r="B198" i="25"/>
  <c r="D198" i="25"/>
  <c r="B199" i="25"/>
  <c r="D199" i="25"/>
  <c r="B200" i="25"/>
  <c r="D200" i="25"/>
  <c r="B201" i="25"/>
  <c r="D201" i="25"/>
  <c r="B202" i="25"/>
  <c r="D202" i="25"/>
  <c r="B203" i="25"/>
  <c r="D203" i="25"/>
  <c r="B204" i="25"/>
  <c r="D204" i="25"/>
  <c r="B205" i="25"/>
  <c r="D205" i="25"/>
  <c r="B206" i="25"/>
  <c r="D206" i="25"/>
  <c r="B207" i="25"/>
  <c r="D207" i="25"/>
  <c r="B208" i="25"/>
  <c r="D208" i="25"/>
  <c r="B209" i="25"/>
  <c r="D209" i="25"/>
  <c r="B210" i="25"/>
  <c r="D210" i="25"/>
  <c r="B211" i="25"/>
  <c r="D211" i="25"/>
  <c r="B212" i="25"/>
  <c r="D212" i="25"/>
  <c r="B213" i="25"/>
  <c r="D213" i="25"/>
  <c r="B214" i="25"/>
  <c r="D214" i="25"/>
  <c r="B215" i="25"/>
  <c r="D215" i="25"/>
  <c r="B216" i="25"/>
  <c r="D216" i="25"/>
  <c r="B217" i="25"/>
  <c r="D217" i="25"/>
  <c r="B218" i="25"/>
  <c r="D218" i="25"/>
  <c r="B219" i="25"/>
  <c r="D219" i="25"/>
  <c r="B220" i="25"/>
  <c r="D220" i="25"/>
  <c r="B221" i="25"/>
  <c r="D221" i="25"/>
  <c r="B222" i="25"/>
  <c r="D222" i="25"/>
  <c r="B223" i="25"/>
  <c r="D223" i="25"/>
  <c r="B224" i="25"/>
  <c r="D224" i="25"/>
  <c r="B225" i="25"/>
  <c r="D225" i="25"/>
  <c r="B226" i="25"/>
  <c r="D226" i="25"/>
  <c r="B227" i="25"/>
  <c r="D227" i="25"/>
  <c r="B228" i="25"/>
  <c r="D228" i="25"/>
  <c r="B229" i="25"/>
  <c r="D229" i="25"/>
  <c r="B230" i="25"/>
  <c r="D230" i="25"/>
  <c r="B231" i="25"/>
  <c r="D231" i="25"/>
  <c r="B232" i="25"/>
  <c r="D232" i="25"/>
  <c r="B233" i="25"/>
  <c r="D233" i="25"/>
  <c r="B234" i="25"/>
  <c r="D234" i="25"/>
  <c r="B235" i="25"/>
  <c r="D235" i="25"/>
  <c r="B236" i="25"/>
  <c r="D236" i="25"/>
  <c r="B237" i="25"/>
  <c r="D237" i="25"/>
  <c r="B238" i="25"/>
  <c r="D238" i="25"/>
  <c r="B239" i="25"/>
  <c r="D239" i="25"/>
  <c r="B240" i="25"/>
  <c r="D240" i="25"/>
  <c r="B241" i="25"/>
  <c r="D241" i="25"/>
  <c r="B242" i="25"/>
  <c r="D242" i="25"/>
  <c r="B243" i="25"/>
  <c r="D243" i="25"/>
  <c r="B244" i="25"/>
  <c r="D244" i="25"/>
  <c r="B245" i="25"/>
  <c r="D245" i="25"/>
  <c r="B246" i="25"/>
  <c r="D246" i="25"/>
  <c r="B247" i="25"/>
  <c r="D247" i="25"/>
  <c r="B248" i="25"/>
  <c r="D248" i="25"/>
  <c r="B249" i="25"/>
  <c r="D249" i="25"/>
  <c r="B250" i="25"/>
  <c r="D250" i="25"/>
  <c r="B251" i="25"/>
  <c r="D251" i="25"/>
  <c r="B252" i="25"/>
  <c r="D252" i="25"/>
  <c r="B253" i="25"/>
  <c r="D253" i="25"/>
  <c r="B254" i="25"/>
  <c r="D254" i="25"/>
  <c r="B255" i="25"/>
  <c r="D255" i="25"/>
  <c r="B256" i="25"/>
  <c r="D256" i="25"/>
  <c r="B257" i="25"/>
  <c r="D257" i="25"/>
  <c r="B258" i="25"/>
  <c r="D258" i="25"/>
  <c r="B259" i="25"/>
  <c r="D259" i="25"/>
  <c r="B260" i="25"/>
  <c r="D260" i="25"/>
  <c r="B261" i="25"/>
  <c r="D261" i="25"/>
  <c r="B262" i="25"/>
  <c r="D262" i="25"/>
  <c r="B263" i="25"/>
  <c r="D263" i="25"/>
  <c r="B264" i="25"/>
  <c r="D264" i="25"/>
  <c r="B265" i="25"/>
  <c r="D265" i="25"/>
  <c r="B266" i="25"/>
  <c r="D266" i="25"/>
  <c r="B267" i="25"/>
  <c r="D267" i="25"/>
  <c r="B268" i="25"/>
  <c r="D268" i="25"/>
  <c r="B269" i="25"/>
  <c r="D269" i="25"/>
  <c r="B270" i="25"/>
  <c r="D270" i="25"/>
  <c r="B271" i="25"/>
  <c r="D271" i="25"/>
  <c r="B272" i="25"/>
  <c r="D272" i="25"/>
  <c r="B273" i="25"/>
  <c r="D273" i="25"/>
  <c r="B274" i="25"/>
  <c r="D274" i="25"/>
  <c r="B275" i="25"/>
  <c r="D275" i="25"/>
  <c r="B276" i="25"/>
  <c r="D276" i="25"/>
  <c r="B277" i="25"/>
  <c r="D277" i="25"/>
  <c r="B278" i="25"/>
  <c r="D278" i="25"/>
  <c r="B279" i="25"/>
  <c r="D279" i="25"/>
  <c r="B280" i="25"/>
  <c r="D280" i="25"/>
  <c r="B281" i="25"/>
  <c r="D281" i="25"/>
  <c r="B282" i="25"/>
  <c r="D282" i="25"/>
  <c r="B283" i="25"/>
  <c r="D283" i="25"/>
  <c r="B284" i="25"/>
  <c r="D284" i="25"/>
  <c r="B285" i="25"/>
  <c r="D285" i="25"/>
  <c r="B286" i="25"/>
  <c r="D286" i="25"/>
  <c r="B287" i="25"/>
  <c r="D287" i="25"/>
  <c r="B288" i="25"/>
  <c r="D288" i="25"/>
  <c r="B289" i="25"/>
  <c r="D289" i="25"/>
  <c r="B290" i="25"/>
  <c r="D290" i="25"/>
  <c r="B291" i="25"/>
  <c r="D291" i="25"/>
  <c r="B292" i="25"/>
  <c r="D292" i="25"/>
  <c r="B293" i="25"/>
  <c r="D293" i="25"/>
  <c r="B294" i="25"/>
  <c r="D294" i="25"/>
  <c r="B295" i="25"/>
  <c r="D295" i="25"/>
  <c r="B296" i="25"/>
  <c r="D296" i="25"/>
  <c r="B297" i="25"/>
  <c r="D297" i="25"/>
  <c r="B298" i="25"/>
  <c r="D298" i="25"/>
  <c r="B299" i="25"/>
  <c r="D299" i="25"/>
  <c r="B300" i="25"/>
  <c r="D300" i="25"/>
  <c r="B301" i="25"/>
  <c r="D301" i="25"/>
  <c r="B302" i="25"/>
  <c r="D302" i="25"/>
  <c r="B303" i="25"/>
  <c r="D303" i="25"/>
  <c r="B304" i="25"/>
  <c r="D304" i="25"/>
  <c r="B305" i="25"/>
  <c r="D305" i="25"/>
  <c r="B306" i="25"/>
  <c r="D306" i="25"/>
  <c r="B307" i="25"/>
  <c r="D307" i="25"/>
  <c r="B308" i="25"/>
  <c r="D308" i="25"/>
  <c r="B309" i="25"/>
  <c r="D309" i="25"/>
  <c r="B310" i="25"/>
  <c r="D310" i="25"/>
  <c r="B311" i="25"/>
  <c r="D311" i="25"/>
  <c r="B312" i="25"/>
  <c r="D312" i="25"/>
  <c r="B313" i="25"/>
  <c r="D313" i="25"/>
  <c r="B314" i="25"/>
  <c r="D314" i="25"/>
  <c r="B315" i="25"/>
  <c r="D315" i="25"/>
  <c r="B316" i="25"/>
  <c r="D316" i="25"/>
  <c r="B317" i="25"/>
  <c r="D317" i="25"/>
  <c r="B318" i="25"/>
  <c r="D318" i="25"/>
  <c r="B319" i="25"/>
  <c r="D319" i="25"/>
  <c r="B320" i="25"/>
  <c r="D320" i="25"/>
  <c r="B321" i="25"/>
  <c r="D321" i="25"/>
  <c r="B322" i="25"/>
  <c r="D322" i="25"/>
  <c r="B323" i="25"/>
  <c r="D323" i="25"/>
  <c r="B324" i="25"/>
  <c r="D324" i="25"/>
  <c r="B325" i="25"/>
  <c r="D325" i="25"/>
  <c r="B326" i="25"/>
  <c r="D326" i="25"/>
  <c r="B327" i="25"/>
  <c r="D327" i="25"/>
  <c r="B328" i="25"/>
  <c r="D328" i="25"/>
  <c r="B329" i="25"/>
  <c r="D329" i="25"/>
  <c r="B330" i="25"/>
  <c r="D330" i="25"/>
  <c r="B331" i="25"/>
  <c r="D331" i="25"/>
  <c r="B332" i="25"/>
  <c r="D332" i="25"/>
  <c r="B333" i="25"/>
  <c r="D333" i="25"/>
  <c r="B334" i="25"/>
  <c r="D334" i="25"/>
  <c r="B335" i="25"/>
  <c r="D335" i="25"/>
  <c r="B336" i="25"/>
  <c r="D336" i="25"/>
  <c r="B337" i="25"/>
  <c r="D337" i="25"/>
  <c r="B338" i="25"/>
  <c r="D338" i="25"/>
  <c r="B339" i="25"/>
  <c r="D339" i="25"/>
  <c r="B340" i="25"/>
  <c r="D340" i="25"/>
  <c r="B341" i="25"/>
  <c r="D341" i="25"/>
  <c r="B342" i="25"/>
  <c r="D342" i="25"/>
  <c r="B343" i="25"/>
  <c r="D343" i="25"/>
  <c r="B344" i="25"/>
  <c r="D344" i="25"/>
  <c r="B345" i="25"/>
  <c r="D345" i="25"/>
  <c r="B346" i="25"/>
  <c r="D346" i="25"/>
  <c r="B347" i="25"/>
  <c r="D347" i="25"/>
  <c r="B348" i="25"/>
  <c r="D348" i="25"/>
  <c r="B349" i="25"/>
  <c r="D349" i="25"/>
  <c r="B350" i="25"/>
  <c r="D350" i="25"/>
  <c r="B351" i="25"/>
  <c r="D351" i="25"/>
  <c r="B352" i="25"/>
  <c r="D352" i="25"/>
  <c r="B353" i="25"/>
  <c r="D353" i="25"/>
  <c r="B354" i="25"/>
  <c r="D354" i="25"/>
  <c r="B355" i="25"/>
  <c r="D355" i="25"/>
  <c r="B356" i="25"/>
  <c r="D356" i="25"/>
  <c r="B357" i="25"/>
  <c r="D357" i="25"/>
  <c r="B358" i="25"/>
  <c r="D358" i="25"/>
  <c r="B359" i="25"/>
  <c r="D359" i="25"/>
  <c r="B360" i="25"/>
  <c r="D360" i="25"/>
  <c r="B361" i="25"/>
  <c r="D361" i="25"/>
  <c r="B362" i="25"/>
  <c r="D362" i="25"/>
  <c r="B363" i="25"/>
  <c r="D363" i="25"/>
  <c r="B364" i="25"/>
  <c r="D364" i="25"/>
  <c r="B365" i="25"/>
  <c r="D365" i="25"/>
  <c r="B366" i="25"/>
  <c r="D366" i="25"/>
  <c r="B367" i="25"/>
  <c r="D367" i="25"/>
  <c r="B368" i="25"/>
  <c r="D368" i="25"/>
  <c r="B369" i="25"/>
  <c r="D369" i="25"/>
  <c r="B370" i="25"/>
  <c r="D370" i="25"/>
  <c r="B371" i="25"/>
  <c r="D371" i="25"/>
  <c r="B372" i="25"/>
  <c r="D372" i="25"/>
  <c r="B373" i="25"/>
  <c r="D373" i="25"/>
  <c r="B374" i="25"/>
  <c r="D374" i="25"/>
  <c r="B375" i="25"/>
  <c r="D375" i="25"/>
  <c r="B376" i="25"/>
  <c r="D376" i="25"/>
  <c r="B377" i="25"/>
  <c r="D377" i="25"/>
  <c r="B378" i="25"/>
  <c r="D378" i="25"/>
  <c r="B379" i="25"/>
  <c r="D379" i="25"/>
  <c r="B380" i="25"/>
  <c r="D380" i="25"/>
  <c r="B381" i="25"/>
  <c r="D381" i="25"/>
  <c r="B382" i="25"/>
  <c r="D382" i="25"/>
  <c r="B383" i="25"/>
  <c r="D383" i="25"/>
  <c r="B384" i="25"/>
  <c r="D384" i="25"/>
  <c r="B385" i="25"/>
  <c r="D385" i="25"/>
  <c r="B386" i="25"/>
  <c r="D386" i="25"/>
  <c r="B387" i="25"/>
  <c r="D387" i="25"/>
  <c r="B388" i="25"/>
  <c r="D388" i="25"/>
  <c r="B389" i="25"/>
  <c r="D389" i="25"/>
  <c r="B390" i="25"/>
  <c r="D390" i="25"/>
  <c r="B391" i="25"/>
  <c r="D391" i="25"/>
  <c r="B392" i="25"/>
  <c r="D392" i="25"/>
  <c r="B393" i="25"/>
  <c r="D393" i="25"/>
  <c r="B394" i="25"/>
  <c r="D394" i="25"/>
  <c r="B395" i="25"/>
  <c r="D395" i="25"/>
  <c r="B396" i="25"/>
  <c r="D396" i="25"/>
  <c r="B397" i="25"/>
  <c r="D397" i="25"/>
  <c r="B398" i="25"/>
  <c r="D398" i="25"/>
  <c r="B399" i="25"/>
  <c r="D399" i="25"/>
  <c r="B400" i="25"/>
  <c r="D400" i="25"/>
  <c r="B401" i="25"/>
  <c r="D401" i="25"/>
  <c r="B402" i="25"/>
  <c r="D402" i="25"/>
  <c r="B403" i="25"/>
  <c r="D403" i="25"/>
  <c r="B404" i="25"/>
  <c r="D404" i="25"/>
  <c r="B405" i="25"/>
  <c r="D405" i="25"/>
  <c r="B406" i="25"/>
  <c r="D406" i="25"/>
  <c r="B407" i="25"/>
  <c r="D407" i="25"/>
  <c r="B408" i="25"/>
  <c r="D408" i="25"/>
  <c r="B409" i="25"/>
  <c r="D409" i="25"/>
  <c r="B410" i="25"/>
  <c r="D410" i="25"/>
  <c r="B411" i="25"/>
  <c r="D411" i="25"/>
  <c r="B412" i="25"/>
  <c r="D412" i="25"/>
  <c r="B413" i="25"/>
  <c r="D413" i="25"/>
  <c r="B414" i="25"/>
  <c r="D414" i="25"/>
  <c r="B415" i="25"/>
  <c r="D415" i="25"/>
  <c r="B416" i="25"/>
  <c r="D416" i="25"/>
  <c r="B417" i="25"/>
  <c r="D417" i="25"/>
  <c r="B418" i="25"/>
  <c r="D418" i="25"/>
  <c r="B419" i="25"/>
  <c r="D419" i="25"/>
  <c r="B420" i="25"/>
  <c r="D420" i="25"/>
  <c r="B421" i="25"/>
  <c r="D421" i="25"/>
  <c r="B422" i="25"/>
  <c r="D422" i="25"/>
  <c r="B423" i="25"/>
  <c r="D423" i="25"/>
  <c r="B424" i="25"/>
  <c r="D424" i="25"/>
  <c r="B425" i="25"/>
  <c r="D425" i="25"/>
  <c r="B426" i="25"/>
  <c r="D426" i="25"/>
  <c r="B427" i="25"/>
  <c r="D427" i="25"/>
  <c r="B428" i="25"/>
  <c r="D428" i="25"/>
  <c r="B429" i="25"/>
  <c r="D429" i="25"/>
  <c r="B430" i="25"/>
  <c r="D430" i="25"/>
  <c r="B431" i="25"/>
  <c r="D431" i="25"/>
  <c r="B432" i="25"/>
  <c r="D432" i="25"/>
  <c r="B433" i="25"/>
  <c r="D433" i="25"/>
  <c r="B434" i="25"/>
  <c r="D434" i="25"/>
  <c r="B435" i="25"/>
  <c r="D435" i="25"/>
  <c r="B436" i="25"/>
  <c r="D436" i="25"/>
  <c r="B437" i="25"/>
  <c r="D437" i="25"/>
  <c r="B438" i="25"/>
  <c r="D438" i="25"/>
  <c r="B439" i="25"/>
  <c r="D439" i="25"/>
  <c r="B440" i="25"/>
  <c r="D440" i="25"/>
  <c r="B441" i="25"/>
  <c r="D441" i="25"/>
  <c r="B442" i="25"/>
  <c r="D442" i="25"/>
  <c r="B443" i="25"/>
  <c r="D443" i="25"/>
  <c r="B444" i="25"/>
  <c r="D444" i="25"/>
  <c r="B445" i="25"/>
  <c r="D445" i="25"/>
  <c r="B446" i="25"/>
  <c r="D446" i="25"/>
  <c r="B447" i="25"/>
  <c r="D447" i="25"/>
  <c r="B448" i="25"/>
  <c r="D448" i="25"/>
  <c r="B449" i="25"/>
  <c r="D449" i="25"/>
  <c r="B450" i="25"/>
  <c r="D450" i="25"/>
  <c r="B451" i="25"/>
  <c r="D451" i="25"/>
  <c r="B452" i="25"/>
  <c r="D452" i="25"/>
  <c r="B453" i="25"/>
  <c r="D453" i="25"/>
  <c r="B454" i="25"/>
  <c r="D454" i="25"/>
  <c r="B455" i="25"/>
  <c r="D455" i="25"/>
  <c r="B456" i="25"/>
  <c r="D456" i="25"/>
  <c r="B457" i="25"/>
  <c r="D457" i="25"/>
  <c r="B458" i="25"/>
  <c r="D458" i="25"/>
  <c r="B459" i="25"/>
  <c r="D459" i="25"/>
  <c r="B460" i="25"/>
  <c r="D460" i="25"/>
  <c r="B461" i="25"/>
  <c r="D461" i="25"/>
  <c r="B462" i="25"/>
  <c r="D462" i="25"/>
  <c r="B463" i="25"/>
  <c r="D463" i="25"/>
  <c r="B464" i="25"/>
  <c r="D464" i="25"/>
  <c r="B465" i="25"/>
  <c r="D465" i="25"/>
  <c r="B466" i="25"/>
  <c r="D466" i="25"/>
  <c r="B467" i="25"/>
  <c r="D467" i="25"/>
  <c r="B468" i="25"/>
  <c r="D468" i="25"/>
  <c r="B469" i="25"/>
  <c r="D469" i="25"/>
  <c r="B470" i="25"/>
  <c r="D470" i="25"/>
  <c r="B471" i="25"/>
  <c r="D471" i="25"/>
  <c r="B472" i="25"/>
  <c r="D472" i="25"/>
  <c r="B473" i="25"/>
  <c r="D473" i="25"/>
  <c r="B474" i="25"/>
  <c r="D474" i="25"/>
  <c r="B475" i="25"/>
  <c r="D475" i="25"/>
  <c r="B476" i="25"/>
  <c r="D476" i="25"/>
  <c r="B477" i="25"/>
  <c r="D477" i="25"/>
  <c r="B478" i="25"/>
  <c r="D478" i="25"/>
  <c r="B479" i="25"/>
  <c r="D479" i="25"/>
  <c r="B480" i="25"/>
  <c r="D480" i="25"/>
  <c r="B481" i="25"/>
  <c r="D481" i="25"/>
  <c r="B482" i="25"/>
  <c r="D482" i="25"/>
  <c r="B483" i="25"/>
  <c r="D483" i="25"/>
  <c r="B484" i="25"/>
  <c r="D484" i="25"/>
  <c r="B485" i="25"/>
  <c r="D485" i="25"/>
  <c r="B486" i="25"/>
  <c r="D486" i="25"/>
  <c r="B487" i="25"/>
  <c r="D487" i="25"/>
  <c r="B488" i="25"/>
  <c r="D488" i="25"/>
  <c r="B489" i="25"/>
  <c r="D489" i="25"/>
  <c r="B490" i="25"/>
  <c r="D490" i="25"/>
  <c r="B491" i="25"/>
  <c r="D491" i="25"/>
  <c r="B492" i="25"/>
  <c r="D492" i="25"/>
  <c r="B493" i="25"/>
  <c r="D493" i="25"/>
  <c r="B494" i="25"/>
  <c r="D494" i="25"/>
  <c r="B495" i="25"/>
  <c r="D495" i="25"/>
  <c r="B496" i="25"/>
  <c r="D496" i="25"/>
  <c r="B497" i="25"/>
  <c r="D497" i="25"/>
  <c r="B498" i="25"/>
  <c r="D498" i="25"/>
  <c r="B499" i="25"/>
  <c r="D499" i="25"/>
  <c r="B500" i="25"/>
  <c r="D500" i="25"/>
  <c r="B501" i="25"/>
  <c r="D501" i="25"/>
  <c r="D3" i="25"/>
  <c r="B3" i="25"/>
  <c r="A4" i="4"/>
  <c r="B4" i="4"/>
  <c r="C4" i="4"/>
  <c r="D4" i="4"/>
  <c r="F4" i="4"/>
  <c r="A5" i="4"/>
  <c r="B5" i="4"/>
  <c r="C5" i="4"/>
  <c r="D5" i="4"/>
  <c r="F5" i="4"/>
  <c r="A6" i="4"/>
  <c r="B6" i="4"/>
  <c r="C6" i="4"/>
  <c r="D6" i="4"/>
  <c r="F6" i="4"/>
  <c r="A7" i="4"/>
  <c r="B7" i="4"/>
  <c r="C7" i="4"/>
  <c r="D7" i="4"/>
  <c r="F7" i="4"/>
  <c r="A8" i="4"/>
  <c r="B8" i="4"/>
  <c r="C8" i="4"/>
  <c r="D8" i="4"/>
  <c r="F8" i="4"/>
  <c r="A9" i="4"/>
  <c r="B9" i="4"/>
  <c r="C9" i="4"/>
  <c r="D9" i="4"/>
  <c r="F9" i="4"/>
  <c r="A10" i="4"/>
  <c r="B10" i="4"/>
  <c r="C10" i="4"/>
  <c r="D10" i="4"/>
  <c r="F10" i="4"/>
  <c r="A11" i="4"/>
  <c r="B11" i="4"/>
  <c r="C11" i="4"/>
  <c r="D11" i="4"/>
  <c r="F11" i="4"/>
  <c r="A12" i="4"/>
  <c r="B12" i="4"/>
  <c r="C12" i="4"/>
  <c r="D12" i="4"/>
  <c r="F12" i="4"/>
  <c r="A13" i="4"/>
  <c r="B13" i="4"/>
  <c r="C13" i="4"/>
  <c r="D13" i="4"/>
  <c r="F13" i="4"/>
  <c r="A14" i="4"/>
  <c r="B14" i="4"/>
  <c r="C14" i="4"/>
  <c r="D14" i="4"/>
  <c r="F14" i="4"/>
  <c r="A15" i="4"/>
  <c r="B15" i="4"/>
  <c r="C15" i="4"/>
  <c r="D15" i="4"/>
  <c r="F15" i="4"/>
  <c r="A16" i="4"/>
  <c r="B16" i="4"/>
  <c r="C16" i="4"/>
  <c r="D16" i="4"/>
  <c r="F16" i="4"/>
  <c r="A17" i="4"/>
  <c r="B17" i="4"/>
  <c r="C17" i="4"/>
  <c r="D17" i="4"/>
  <c r="F17" i="4"/>
  <c r="A18" i="4"/>
  <c r="B18" i="4"/>
  <c r="C18" i="4"/>
  <c r="D18" i="4"/>
  <c r="F18" i="4"/>
  <c r="A19" i="4"/>
  <c r="B19" i="4"/>
  <c r="C19" i="4"/>
  <c r="D19" i="4"/>
  <c r="F19" i="4"/>
  <c r="A20" i="4"/>
  <c r="B20" i="4"/>
  <c r="C20" i="4"/>
  <c r="D20" i="4"/>
  <c r="F20" i="4"/>
  <c r="A21" i="4"/>
  <c r="B21" i="4"/>
  <c r="C21" i="4"/>
  <c r="D21" i="4"/>
  <c r="F21" i="4"/>
  <c r="A22" i="4"/>
  <c r="B22" i="4"/>
  <c r="C22" i="4"/>
  <c r="D22" i="4"/>
  <c r="F22" i="4"/>
  <c r="A23" i="4"/>
  <c r="B23" i="4"/>
  <c r="C23" i="4"/>
  <c r="D23" i="4"/>
  <c r="F23" i="4"/>
  <c r="A24" i="4"/>
  <c r="B24" i="4"/>
  <c r="C24" i="4"/>
  <c r="D24" i="4"/>
  <c r="F24" i="4"/>
  <c r="A25" i="4"/>
  <c r="B25" i="4"/>
  <c r="C25" i="4"/>
  <c r="D25" i="4"/>
  <c r="F25" i="4"/>
  <c r="A26" i="4"/>
  <c r="B26" i="4"/>
  <c r="C26" i="4"/>
  <c r="D26" i="4"/>
  <c r="F26" i="4"/>
  <c r="A27" i="4"/>
  <c r="B27" i="4"/>
  <c r="C27" i="4"/>
  <c r="D27" i="4"/>
  <c r="F27" i="4"/>
  <c r="A28" i="4"/>
  <c r="B28" i="4"/>
  <c r="C28" i="4"/>
  <c r="D28" i="4"/>
  <c r="F28" i="4"/>
  <c r="A29" i="4"/>
  <c r="B29" i="4"/>
  <c r="C29" i="4"/>
  <c r="D29" i="4"/>
  <c r="F29" i="4"/>
  <c r="A30" i="4"/>
  <c r="B30" i="4"/>
  <c r="C30" i="4"/>
  <c r="D30" i="4"/>
  <c r="F30" i="4"/>
  <c r="A31" i="4"/>
  <c r="B31" i="4"/>
  <c r="C31" i="4"/>
  <c r="D31" i="4"/>
  <c r="F31" i="4"/>
  <c r="A32" i="4"/>
  <c r="B32" i="4"/>
  <c r="C32" i="4"/>
  <c r="D32" i="4"/>
  <c r="F32" i="4"/>
  <c r="A33" i="4"/>
  <c r="B33" i="4"/>
  <c r="C33" i="4"/>
  <c r="D33" i="4"/>
  <c r="F33" i="4"/>
  <c r="A34" i="4"/>
  <c r="B34" i="4"/>
  <c r="C34" i="4"/>
  <c r="D34" i="4"/>
  <c r="F34" i="4"/>
  <c r="A35" i="4"/>
  <c r="B35" i="4"/>
  <c r="C35" i="4"/>
  <c r="D35" i="4"/>
  <c r="F35" i="4"/>
  <c r="A36" i="4"/>
  <c r="B36" i="4"/>
  <c r="C36" i="4"/>
  <c r="D36" i="4"/>
  <c r="F36" i="4"/>
  <c r="A37" i="4"/>
  <c r="B37" i="4"/>
  <c r="C37" i="4"/>
  <c r="D37" i="4"/>
  <c r="F37" i="4"/>
  <c r="A38" i="4"/>
  <c r="B38" i="4"/>
  <c r="C38" i="4"/>
  <c r="D38" i="4"/>
  <c r="F38" i="4"/>
  <c r="A39" i="4"/>
  <c r="B39" i="4"/>
  <c r="C39" i="4"/>
  <c r="D39" i="4"/>
  <c r="F39" i="4"/>
  <c r="A40" i="4"/>
  <c r="B40" i="4"/>
  <c r="C40" i="4"/>
  <c r="D40" i="4"/>
  <c r="F40" i="4"/>
  <c r="A41" i="4"/>
  <c r="B41" i="4"/>
  <c r="C41" i="4"/>
  <c r="D41" i="4"/>
  <c r="F41" i="4"/>
  <c r="A42" i="4"/>
  <c r="B42" i="4"/>
  <c r="C42" i="4"/>
  <c r="D42" i="4"/>
  <c r="F42" i="4"/>
  <c r="A43" i="4"/>
  <c r="B43" i="4"/>
  <c r="C43" i="4"/>
  <c r="D43" i="4"/>
  <c r="F43" i="4"/>
  <c r="A44" i="4"/>
  <c r="B44" i="4"/>
  <c r="C44" i="4"/>
  <c r="D44" i="4"/>
  <c r="F44" i="4"/>
  <c r="A45" i="4"/>
  <c r="B45" i="4"/>
  <c r="C45" i="4"/>
  <c r="D45" i="4"/>
  <c r="F45" i="4"/>
  <c r="A46" i="4"/>
  <c r="B46" i="4"/>
  <c r="C46" i="4"/>
  <c r="D46" i="4"/>
  <c r="F46" i="4"/>
  <c r="A47" i="4"/>
  <c r="B47" i="4"/>
  <c r="C47" i="4"/>
  <c r="D47" i="4"/>
  <c r="F47" i="4"/>
  <c r="A48" i="4"/>
  <c r="B48" i="4"/>
  <c r="C48" i="4"/>
  <c r="D48" i="4"/>
  <c r="F48" i="4"/>
  <c r="A49" i="4"/>
  <c r="B49" i="4"/>
  <c r="C49" i="4"/>
  <c r="D49" i="4"/>
  <c r="F49" i="4"/>
  <c r="A50" i="4"/>
  <c r="B50" i="4"/>
  <c r="C50" i="4"/>
  <c r="D50" i="4"/>
  <c r="F50" i="4"/>
  <c r="A51" i="4"/>
  <c r="B51" i="4"/>
  <c r="C51" i="4"/>
  <c r="D51" i="4"/>
  <c r="F51" i="4"/>
  <c r="A52" i="4"/>
  <c r="B52" i="4"/>
  <c r="C52" i="4"/>
  <c r="D52" i="4"/>
  <c r="F52" i="4"/>
  <c r="A53" i="4"/>
  <c r="B53" i="4"/>
  <c r="C53" i="4"/>
  <c r="D53" i="4"/>
  <c r="F53" i="4"/>
  <c r="A54" i="4"/>
  <c r="B54" i="4"/>
  <c r="C54" i="4"/>
  <c r="D54" i="4"/>
  <c r="F54" i="4"/>
  <c r="A55" i="4"/>
  <c r="B55" i="4"/>
  <c r="C55" i="4"/>
  <c r="D55" i="4"/>
  <c r="F55" i="4"/>
  <c r="A56" i="4"/>
  <c r="B56" i="4"/>
  <c r="C56" i="4"/>
  <c r="D56" i="4"/>
  <c r="F56" i="4"/>
  <c r="A57" i="4"/>
  <c r="B57" i="4"/>
  <c r="C57" i="4"/>
  <c r="D57" i="4"/>
  <c r="F57" i="4"/>
  <c r="A58" i="4"/>
  <c r="B58" i="4"/>
  <c r="C58" i="4"/>
  <c r="D58" i="4"/>
  <c r="F58" i="4"/>
  <c r="A59" i="4"/>
  <c r="B59" i="4"/>
  <c r="C59" i="4"/>
  <c r="D59" i="4"/>
  <c r="F59" i="4"/>
  <c r="A60" i="4"/>
  <c r="B60" i="4"/>
  <c r="C60" i="4"/>
  <c r="D60" i="4"/>
  <c r="F60" i="4"/>
  <c r="A61" i="4"/>
  <c r="B61" i="4"/>
  <c r="C61" i="4"/>
  <c r="D61" i="4"/>
  <c r="F61" i="4"/>
  <c r="A62" i="4"/>
  <c r="B62" i="4"/>
  <c r="C62" i="4"/>
  <c r="D62" i="4"/>
  <c r="F62" i="4"/>
  <c r="A63" i="4"/>
  <c r="B63" i="4"/>
  <c r="C63" i="4"/>
  <c r="D63" i="4"/>
  <c r="F63" i="4"/>
  <c r="A64" i="4"/>
  <c r="B64" i="4"/>
  <c r="C64" i="4"/>
  <c r="D64" i="4"/>
  <c r="F64" i="4"/>
  <c r="A65" i="4"/>
  <c r="B65" i="4"/>
  <c r="C65" i="4"/>
  <c r="D65" i="4"/>
  <c r="F65" i="4"/>
  <c r="A66" i="4"/>
  <c r="B66" i="4"/>
  <c r="C66" i="4"/>
  <c r="D66" i="4"/>
  <c r="F66" i="4"/>
  <c r="A67" i="4"/>
  <c r="B67" i="4"/>
  <c r="C67" i="4"/>
  <c r="D67" i="4"/>
  <c r="F67" i="4"/>
  <c r="A68" i="4"/>
  <c r="B68" i="4"/>
  <c r="C68" i="4"/>
  <c r="D68" i="4"/>
  <c r="F68" i="4"/>
  <c r="A69" i="4"/>
  <c r="B69" i="4"/>
  <c r="C69" i="4"/>
  <c r="D69" i="4"/>
  <c r="F69" i="4"/>
  <c r="A70" i="4"/>
  <c r="B70" i="4"/>
  <c r="C70" i="4"/>
  <c r="D70" i="4"/>
  <c r="F70" i="4"/>
  <c r="A71" i="4"/>
  <c r="B71" i="4"/>
  <c r="C71" i="4"/>
  <c r="D71" i="4"/>
  <c r="F71" i="4"/>
  <c r="A72" i="4"/>
  <c r="B72" i="4"/>
  <c r="C72" i="4"/>
  <c r="D72" i="4"/>
  <c r="F72" i="4"/>
  <c r="A73" i="4"/>
  <c r="B73" i="4"/>
  <c r="C73" i="4"/>
  <c r="D73" i="4"/>
  <c r="F73" i="4"/>
  <c r="A74" i="4"/>
  <c r="B74" i="4"/>
  <c r="C74" i="4"/>
  <c r="D74" i="4"/>
  <c r="F74" i="4"/>
  <c r="A75" i="4"/>
  <c r="B75" i="4"/>
  <c r="C75" i="4"/>
  <c r="D75" i="4"/>
  <c r="F75" i="4"/>
  <c r="A76" i="4"/>
  <c r="B76" i="4"/>
  <c r="C76" i="4"/>
  <c r="D76" i="4"/>
  <c r="F76" i="4"/>
  <c r="A77" i="4"/>
  <c r="B77" i="4"/>
  <c r="C77" i="4"/>
  <c r="D77" i="4"/>
  <c r="F77" i="4"/>
  <c r="A78" i="4"/>
  <c r="B78" i="4"/>
  <c r="C78" i="4"/>
  <c r="D78" i="4"/>
  <c r="F78" i="4"/>
  <c r="A79" i="4"/>
  <c r="B79" i="4"/>
  <c r="C79" i="4"/>
  <c r="D79" i="4"/>
  <c r="F79" i="4"/>
  <c r="A80" i="4"/>
  <c r="B80" i="4"/>
  <c r="C80" i="4"/>
  <c r="D80" i="4"/>
  <c r="F80" i="4"/>
  <c r="A81" i="4"/>
  <c r="B81" i="4"/>
  <c r="C81" i="4"/>
  <c r="D81" i="4"/>
  <c r="F81" i="4"/>
  <c r="A82" i="4"/>
  <c r="B82" i="4"/>
  <c r="C82" i="4"/>
  <c r="D82" i="4"/>
  <c r="F82" i="4"/>
  <c r="A83" i="4"/>
  <c r="B83" i="4"/>
  <c r="C83" i="4"/>
  <c r="D83" i="4"/>
  <c r="F83" i="4"/>
  <c r="A84" i="4"/>
  <c r="B84" i="4"/>
  <c r="C84" i="4"/>
  <c r="D84" i="4"/>
  <c r="F84" i="4"/>
  <c r="A85" i="4"/>
  <c r="B85" i="4"/>
  <c r="C85" i="4"/>
  <c r="D85" i="4"/>
  <c r="F85" i="4"/>
  <c r="A86" i="4"/>
  <c r="B86" i="4"/>
  <c r="C86" i="4"/>
  <c r="D86" i="4"/>
  <c r="F86" i="4"/>
  <c r="A87" i="4"/>
  <c r="B87" i="4"/>
  <c r="C87" i="4"/>
  <c r="D87" i="4"/>
  <c r="F87" i="4"/>
  <c r="A88" i="4"/>
  <c r="B88" i="4"/>
  <c r="C88" i="4"/>
  <c r="D88" i="4"/>
  <c r="F88" i="4"/>
  <c r="A89" i="4"/>
  <c r="B89" i="4"/>
  <c r="C89" i="4"/>
  <c r="D89" i="4"/>
  <c r="F89" i="4"/>
  <c r="A90" i="4"/>
  <c r="B90" i="4"/>
  <c r="C90" i="4"/>
  <c r="D90" i="4"/>
  <c r="F90" i="4"/>
  <c r="A91" i="4"/>
  <c r="B91" i="4"/>
  <c r="C91" i="4"/>
  <c r="D91" i="4"/>
  <c r="F91" i="4"/>
  <c r="A92" i="4"/>
  <c r="B92" i="4"/>
  <c r="C92" i="4"/>
  <c r="D92" i="4"/>
  <c r="F92" i="4"/>
  <c r="A93" i="4"/>
  <c r="B93" i="4"/>
  <c r="C93" i="4"/>
  <c r="D93" i="4"/>
  <c r="F93" i="4"/>
  <c r="A94" i="4"/>
  <c r="B94" i="4"/>
  <c r="C94" i="4"/>
  <c r="D94" i="4"/>
  <c r="F94" i="4"/>
  <c r="A95" i="4"/>
  <c r="B95" i="4"/>
  <c r="C95" i="4"/>
  <c r="D95" i="4"/>
  <c r="F95" i="4"/>
  <c r="A96" i="4"/>
  <c r="B96" i="4"/>
  <c r="C96" i="4"/>
  <c r="D96" i="4"/>
  <c r="F96" i="4"/>
  <c r="A97" i="4"/>
  <c r="B97" i="4"/>
  <c r="C97" i="4"/>
  <c r="D97" i="4"/>
  <c r="F97" i="4"/>
  <c r="A98" i="4"/>
  <c r="B98" i="4"/>
  <c r="C98" i="4"/>
  <c r="D98" i="4"/>
  <c r="F98" i="4"/>
  <c r="A99" i="4"/>
  <c r="B99" i="4"/>
  <c r="C99" i="4"/>
  <c r="D99" i="4"/>
  <c r="F99" i="4"/>
  <c r="A100" i="4"/>
  <c r="B100" i="4"/>
  <c r="C100" i="4"/>
  <c r="D100" i="4"/>
  <c r="F100" i="4"/>
  <c r="A101" i="4"/>
  <c r="B101" i="4"/>
  <c r="C101" i="4"/>
  <c r="D101" i="4"/>
  <c r="F101" i="4"/>
  <c r="A102" i="4"/>
  <c r="B102" i="4"/>
  <c r="C102" i="4"/>
  <c r="D102" i="4"/>
  <c r="F102" i="4"/>
  <c r="A103" i="4"/>
  <c r="B103" i="4"/>
  <c r="C103" i="4"/>
  <c r="D103" i="4"/>
  <c r="F103" i="4"/>
  <c r="A104" i="4"/>
  <c r="B104" i="4"/>
  <c r="C104" i="4"/>
  <c r="D104" i="4"/>
  <c r="F104" i="4"/>
  <c r="A105" i="4"/>
  <c r="B105" i="4"/>
  <c r="C105" i="4"/>
  <c r="D105" i="4"/>
  <c r="F105" i="4"/>
  <c r="A106" i="4"/>
  <c r="B106" i="4"/>
  <c r="C106" i="4"/>
  <c r="D106" i="4"/>
  <c r="F106" i="4"/>
  <c r="A107" i="4"/>
  <c r="B107" i="4"/>
  <c r="C107" i="4"/>
  <c r="D107" i="4"/>
  <c r="F107" i="4"/>
  <c r="A108" i="4"/>
  <c r="B108" i="4"/>
  <c r="C108" i="4"/>
  <c r="D108" i="4"/>
  <c r="F108" i="4"/>
  <c r="A109" i="4"/>
  <c r="B109" i="4"/>
  <c r="C109" i="4"/>
  <c r="D109" i="4"/>
  <c r="F109" i="4"/>
  <c r="A110" i="4"/>
  <c r="B110" i="4"/>
  <c r="C110" i="4"/>
  <c r="D110" i="4"/>
  <c r="F110" i="4"/>
  <c r="A111" i="4"/>
  <c r="B111" i="4"/>
  <c r="C111" i="4"/>
  <c r="D111" i="4"/>
  <c r="F111" i="4"/>
  <c r="A112" i="4"/>
  <c r="B112" i="4"/>
  <c r="C112" i="4"/>
  <c r="D112" i="4"/>
  <c r="F112" i="4"/>
  <c r="A113" i="4"/>
  <c r="B113" i="4"/>
  <c r="C113" i="4"/>
  <c r="D113" i="4"/>
  <c r="F113" i="4"/>
  <c r="A114" i="4"/>
  <c r="B114" i="4"/>
  <c r="C114" i="4"/>
  <c r="D114" i="4"/>
  <c r="F114" i="4"/>
  <c r="A115" i="4"/>
  <c r="B115" i="4"/>
  <c r="C115" i="4"/>
  <c r="D115" i="4"/>
  <c r="F115" i="4"/>
  <c r="A116" i="4"/>
  <c r="B116" i="4"/>
  <c r="C116" i="4"/>
  <c r="D116" i="4"/>
  <c r="F116" i="4"/>
  <c r="A117" i="4"/>
  <c r="B117" i="4"/>
  <c r="C117" i="4"/>
  <c r="D117" i="4"/>
  <c r="F117" i="4"/>
  <c r="A118" i="4"/>
  <c r="B118" i="4"/>
  <c r="C118" i="4"/>
  <c r="D118" i="4"/>
  <c r="F118" i="4"/>
  <c r="A119" i="4"/>
  <c r="B119" i="4"/>
  <c r="C119" i="4"/>
  <c r="D119" i="4"/>
  <c r="F119" i="4"/>
  <c r="A120" i="4"/>
  <c r="B120" i="4"/>
  <c r="C120" i="4"/>
  <c r="D120" i="4"/>
  <c r="F120" i="4"/>
  <c r="A121" i="4"/>
  <c r="B121" i="4"/>
  <c r="C121" i="4"/>
  <c r="D121" i="4"/>
  <c r="F121" i="4"/>
  <c r="A122" i="4"/>
  <c r="B122" i="4"/>
  <c r="C122" i="4"/>
  <c r="D122" i="4"/>
  <c r="F122" i="4"/>
  <c r="A123" i="4"/>
  <c r="B123" i="4"/>
  <c r="C123" i="4"/>
  <c r="D123" i="4"/>
  <c r="F123" i="4"/>
  <c r="A124" i="4"/>
  <c r="B124" i="4"/>
  <c r="C124" i="4"/>
  <c r="D124" i="4"/>
  <c r="F124" i="4"/>
  <c r="A125" i="4"/>
  <c r="B125" i="4"/>
  <c r="C125" i="4"/>
  <c r="D125" i="4"/>
  <c r="F125" i="4"/>
  <c r="A126" i="4"/>
  <c r="B126" i="4"/>
  <c r="C126" i="4"/>
  <c r="D126" i="4"/>
  <c r="F126" i="4"/>
  <c r="A127" i="4"/>
  <c r="B127" i="4"/>
  <c r="C127" i="4"/>
  <c r="D127" i="4"/>
  <c r="F127" i="4"/>
  <c r="A128" i="4"/>
  <c r="B128" i="4"/>
  <c r="C128" i="4"/>
  <c r="D128" i="4"/>
  <c r="F128" i="4"/>
  <c r="A129" i="4"/>
  <c r="B129" i="4"/>
  <c r="C129" i="4"/>
  <c r="D129" i="4"/>
  <c r="F129" i="4"/>
  <c r="A130" i="4"/>
  <c r="B130" i="4"/>
  <c r="C130" i="4"/>
  <c r="D130" i="4"/>
  <c r="F130" i="4"/>
  <c r="A131" i="4"/>
  <c r="B131" i="4"/>
  <c r="C131" i="4"/>
  <c r="D131" i="4"/>
  <c r="F131" i="4"/>
  <c r="A132" i="4"/>
  <c r="B132" i="4"/>
  <c r="C132" i="4"/>
  <c r="D132" i="4"/>
  <c r="F132" i="4"/>
  <c r="A133" i="4"/>
  <c r="B133" i="4"/>
  <c r="C133" i="4"/>
  <c r="D133" i="4"/>
  <c r="F133" i="4"/>
  <c r="A134" i="4"/>
  <c r="B134" i="4"/>
  <c r="C134" i="4"/>
  <c r="D134" i="4"/>
  <c r="F134" i="4"/>
  <c r="A135" i="4"/>
  <c r="B135" i="4"/>
  <c r="C135" i="4"/>
  <c r="D135" i="4"/>
  <c r="F135" i="4"/>
  <c r="A136" i="4"/>
  <c r="B136" i="4"/>
  <c r="C136" i="4"/>
  <c r="D136" i="4"/>
  <c r="F136" i="4"/>
  <c r="A137" i="4"/>
  <c r="B137" i="4"/>
  <c r="C137" i="4"/>
  <c r="D137" i="4"/>
  <c r="F137" i="4"/>
  <c r="A138" i="4"/>
  <c r="B138" i="4"/>
  <c r="C138" i="4"/>
  <c r="D138" i="4"/>
  <c r="F138" i="4"/>
  <c r="A139" i="4"/>
  <c r="B139" i="4"/>
  <c r="C139" i="4"/>
  <c r="D139" i="4"/>
  <c r="F139" i="4"/>
  <c r="A140" i="4"/>
  <c r="B140" i="4"/>
  <c r="C140" i="4"/>
  <c r="D140" i="4"/>
  <c r="F140" i="4"/>
  <c r="A141" i="4"/>
  <c r="B141" i="4"/>
  <c r="C141" i="4"/>
  <c r="D141" i="4"/>
  <c r="F141" i="4"/>
  <c r="A142" i="4"/>
  <c r="B142" i="4"/>
  <c r="C142" i="4"/>
  <c r="D142" i="4"/>
  <c r="F142" i="4"/>
  <c r="A143" i="4"/>
  <c r="B143" i="4"/>
  <c r="C143" i="4"/>
  <c r="D143" i="4"/>
  <c r="F143" i="4"/>
  <c r="A144" i="4"/>
  <c r="B144" i="4"/>
  <c r="C144" i="4"/>
  <c r="D144" i="4"/>
  <c r="F144" i="4"/>
  <c r="A145" i="4"/>
  <c r="B145" i="4"/>
  <c r="C145" i="4"/>
  <c r="D145" i="4"/>
  <c r="F145" i="4"/>
  <c r="A146" i="4"/>
  <c r="B146" i="4"/>
  <c r="C146" i="4"/>
  <c r="D146" i="4"/>
  <c r="F146" i="4"/>
  <c r="A147" i="4"/>
  <c r="B147" i="4"/>
  <c r="C147" i="4"/>
  <c r="D147" i="4"/>
  <c r="F147" i="4"/>
  <c r="A148" i="4"/>
  <c r="B148" i="4"/>
  <c r="C148" i="4"/>
  <c r="D148" i="4"/>
  <c r="F148" i="4"/>
  <c r="A149" i="4"/>
  <c r="B149" i="4"/>
  <c r="C149" i="4"/>
  <c r="D149" i="4"/>
  <c r="F149" i="4"/>
  <c r="A150" i="4"/>
  <c r="B150" i="4"/>
  <c r="C150" i="4"/>
  <c r="D150" i="4"/>
  <c r="F150" i="4"/>
  <c r="A151" i="4"/>
  <c r="B151" i="4"/>
  <c r="C151" i="4"/>
  <c r="D151" i="4"/>
  <c r="F151" i="4"/>
  <c r="A152" i="4"/>
  <c r="B152" i="4"/>
  <c r="C152" i="4"/>
  <c r="D152" i="4"/>
  <c r="F152" i="4"/>
  <c r="A153" i="4"/>
  <c r="B153" i="4"/>
  <c r="C153" i="4"/>
  <c r="D153" i="4"/>
  <c r="F153" i="4"/>
  <c r="A154" i="4"/>
  <c r="B154" i="4"/>
  <c r="C154" i="4"/>
  <c r="D154" i="4"/>
  <c r="F154" i="4"/>
  <c r="A155" i="4"/>
  <c r="B155" i="4"/>
  <c r="C155" i="4"/>
  <c r="D155" i="4"/>
  <c r="F155" i="4"/>
  <c r="A156" i="4"/>
  <c r="B156" i="4"/>
  <c r="C156" i="4"/>
  <c r="D156" i="4"/>
  <c r="F156" i="4"/>
  <c r="A157" i="4"/>
  <c r="B157" i="4"/>
  <c r="C157" i="4"/>
  <c r="D157" i="4"/>
  <c r="F157" i="4"/>
  <c r="A158" i="4"/>
  <c r="B158" i="4"/>
  <c r="C158" i="4"/>
  <c r="D158" i="4"/>
  <c r="F158" i="4"/>
  <c r="A159" i="4"/>
  <c r="B159" i="4"/>
  <c r="C159" i="4"/>
  <c r="D159" i="4"/>
  <c r="F159" i="4"/>
  <c r="A160" i="4"/>
  <c r="B160" i="4"/>
  <c r="C160" i="4"/>
  <c r="D160" i="4"/>
  <c r="F160" i="4"/>
  <c r="A161" i="4"/>
  <c r="B161" i="4"/>
  <c r="C161" i="4"/>
  <c r="D161" i="4"/>
  <c r="F161" i="4"/>
  <c r="A162" i="4"/>
  <c r="B162" i="4"/>
  <c r="C162" i="4"/>
  <c r="D162" i="4"/>
  <c r="F162" i="4"/>
  <c r="A163" i="4"/>
  <c r="B163" i="4"/>
  <c r="C163" i="4"/>
  <c r="D163" i="4"/>
  <c r="F163" i="4"/>
  <c r="A164" i="4"/>
  <c r="B164" i="4"/>
  <c r="C164" i="4"/>
  <c r="D164" i="4"/>
  <c r="F164" i="4"/>
  <c r="A165" i="4"/>
  <c r="B165" i="4"/>
  <c r="C165" i="4"/>
  <c r="D165" i="4"/>
  <c r="F165" i="4"/>
  <c r="A166" i="4"/>
  <c r="B166" i="4"/>
  <c r="C166" i="4"/>
  <c r="D166" i="4"/>
  <c r="F166" i="4"/>
  <c r="A167" i="4"/>
  <c r="B167" i="4"/>
  <c r="C167" i="4"/>
  <c r="D167" i="4"/>
  <c r="F167" i="4"/>
  <c r="A168" i="4"/>
  <c r="B168" i="4"/>
  <c r="C168" i="4"/>
  <c r="D168" i="4"/>
  <c r="F168" i="4"/>
  <c r="A169" i="4"/>
  <c r="B169" i="4"/>
  <c r="C169" i="4"/>
  <c r="D169" i="4"/>
  <c r="F169" i="4"/>
  <c r="A170" i="4"/>
  <c r="B170" i="4"/>
  <c r="C170" i="4"/>
  <c r="D170" i="4"/>
  <c r="F170" i="4"/>
  <c r="A171" i="4"/>
  <c r="B171" i="4"/>
  <c r="C171" i="4"/>
  <c r="D171" i="4"/>
  <c r="F171" i="4"/>
  <c r="A172" i="4"/>
  <c r="B172" i="4"/>
  <c r="C172" i="4"/>
  <c r="D172" i="4"/>
  <c r="F172" i="4"/>
  <c r="A173" i="4"/>
  <c r="B173" i="4"/>
  <c r="C173" i="4"/>
  <c r="D173" i="4"/>
  <c r="F173" i="4"/>
  <c r="A174" i="4"/>
  <c r="B174" i="4"/>
  <c r="C174" i="4"/>
  <c r="D174" i="4"/>
  <c r="F174" i="4"/>
  <c r="A175" i="4"/>
  <c r="B175" i="4"/>
  <c r="C175" i="4"/>
  <c r="D175" i="4"/>
  <c r="F175" i="4"/>
  <c r="A176" i="4"/>
  <c r="B176" i="4"/>
  <c r="C176" i="4"/>
  <c r="D176" i="4"/>
  <c r="F176" i="4"/>
  <c r="A177" i="4"/>
  <c r="B177" i="4"/>
  <c r="C177" i="4"/>
  <c r="D177" i="4"/>
  <c r="F177" i="4"/>
  <c r="A178" i="4"/>
  <c r="B178" i="4"/>
  <c r="C178" i="4"/>
  <c r="D178" i="4"/>
  <c r="F178" i="4"/>
  <c r="A179" i="4"/>
  <c r="B179" i="4"/>
  <c r="C179" i="4"/>
  <c r="D179" i="4"/>
  <c r="F179" i="4"/>
  <c r="A180" i="4"/>
  <c r="B180" i="4"/>
  <c r="C180" i="4"/>
  <c r="D180" i="4"/>
  <c r="F180" i="4"/>
  <c r="A181" i="4"/>
  <c r="B181" i="4"/>
  <c r="C181" i="4"/>
  <c r="D181" i="4"/>
  <c r="F181" i="4"/>
  <c r="A182" i="4"/>
  <c r="B182" i="4"/>
  <c r="C182" i="4"/>
  <c r="D182" i="4"/>
  <c r="F182" i="4"/>
  <c r="A183" i="4"/>
  <c r="B183" i="4"/>
  <c r="C183" i="4"/>
  <c r="D183" i="4"/>
  <c r="F183" i="4"/>
  <c r="A184" i="4"/>
  <c r="B184" i="4"/>
  <c r="C184" i="4"/>
  <c r="D184" i="4"/>
  <c r="F184" i="4"/>
  <c r="A185" i="4"/>
  <c r="B185" i="4"/>
  <c r="C185" i="4"/>
  <c r="D185" i="4"/>
  <c r="F185" i="4"/>
  <c r="A186" i="4"/>
  <c r="B186" i="4"/>
  <c r="C186" i="4"/>
  <c r="D186" i="4"/>
  <c r="F186" i="4"/>
  <c r="A187" i="4"/>
  <c r="B187" i="4"/>
  <c r="C187" i="4"/>
  <c r="D187" i="4"/>
  <c r="F187" i="4"/>
  <c r="A188" i="4"/>
  <c r="B188" i="4"/>
  <c r="C188" i="4"/>
  <c r="D188" i="4"/>
  <c r="F188" i="4"/>
  <c r="A189" i="4"/>
  <c r="B189" i="4"/>
  <c r="C189" i="4"/>
  <c r="D189" i="4"/>
  <c r="F189" i="4"/>
  <c r="A190" i="4"/>
  <c r="B190" i="4"/>
  <c r="C190" i="4"/>
  <c r="D190" i="4"/>
  <c r="F190" i="4"/>
  <c r="A191" i="4"/>
  <c r="B191" i="4"/>
  <c r="C191" i="4"/>
  <c r="D191" i="4"/>
  <c r="F191" i="4"/>
  <c r="A192" i="4"/>
  <c r="B192" i="4"/>
  <c r="C192" i="4"/>
  <c r="D192" i="4"/>
  <c r="F192" i="4"/>
  <c r="A193" i="4"/>
  <c r="B193" i="4"/>
  <c r="C193" i="4"/>
  <c r="D193" i="4"/>
  <c r="F193" i="4"/>
  <c r="A194" i="4"/>
  <c r="B194" i="4"/>
  <c r="C194" i="4"/>
  <c r="D194" i="4"/>
  <c r="F194" i="4"/>
  <c r="A195" i="4"/>
  <c r="B195" i="4"/>
  <c r="C195" i="4"/>
  <c r="D195" i="4"/>
  <c r="F195" i="4"/>
  <c r="A196" i="4"/>
  <c r="B196" i="4"/>
  <c r="C196" i="4"/>
  <c r="D196" i="4"/>
  <c r="F196" i="4"/>
  <c r="A197" i="4"/>
  <c r="B197" i="4"/>
  <c r="C197" i="4"/>
  <c r="D197" i="4"/>
  <c r="F197" i="4"/>
  <c r="A198" i="4"/>
  <c r="B198" i="4"/>
  <c r="C198" i="4"/>
  <c r="D198" i="4"/>
  <c r="F198" i="4"/>
  <c r="A199" i="4"/>
  <c r="B199" i="4"/>
  <c r="C199" i="4"/>
  <c r="D199" i="4"/>
  <c r="F199" i="4"/>
  <c r="A200" i="4"/>
  <c r="B200" i="4"/>
  <c r="C200" i="4"/>
  <c r="D200" i="4"/>
  <c r="F200" i="4"/>
  <c r="A201" i="4"/>
  <c r="B201" i="4"/>
  <c r="C201" i="4"/>
  <c r="D201" i="4"/>
  <c r="F201" i="4"/>
  <c r="A202" i="4"/>
  <c r="B202" i="4"/>
  <c r="C202" i="4"/>
  <c r="D202" i="4"/>
  <c r="F202" i="4"/>
  <c r="A203" i="4"/>
  <c r="B203" i="4"/>
  <c r="C203" i="4"/>
  <c r="D203" i="4"/>
  <c r="F203" i="4"/>
  <c r="A204" i="4"/>
  <c r="B204" i="4"/>
  <c r="C204" i="4"/>
  <c r="D204" i="4"/>
  <c r="F204" i="4"/>
  <c r="A205" i="4"/>
  <c r="B205" i="4"/>
  <c r="C205" i="4"/>
  <c r="D205" i="4"/>
  <c r="F205" i="4"/>
  <c r="A206" i="4"/>
  <c r="B206" i="4"/>
  <c r="C206" i="4"/>
  <c r="D206" i="4"/>
  <c r="F206" i="4"/>
  <c r="A207" i="4"/>
  <c r="B207" i="4"/>
  <c r="C207" i="4"/>
  <c r="D207" i="4"/>
  <c r="F207" i="4"/>
  <c r="A208" i="4"/>
  <c r="B208" i="4"/>
  <c r="C208" i="4"/>
  <c r="D208" i="4"/>
  <c r="F208" i="4"/>
  <c r="A209" i="4"/>
  <c r="B209" i="4"/>
  <c r="C209" i="4"/>
  <c r="D209" i="4"/>
  <c r="F209" i="4"/>
  <c r="A210" i="4"/>
  <c r="B210" i="4"/>
  <c r="C210" i="4"/>
  <c r="D210" i="4"/>
  <c r="F210" i="4"/>
  <c r="A211" i="4"/>
  <c r="B211" i="4"/>
  <c r="C211" i="4"/>
  <c r="D211" i="4"/>
  <c r="F211" i="4"/>
  <c r="A212" i="4"/>
  <c r="B212" i="4"/>
  <c r="C212" i="4"/>
  <c r="D212" i="4"/>
  <c r="F212" i="4"/>
  <c r="A213" i="4"/>
  <c r="B213" i="4"/>
  <c r="C213" i="4"/>
  <c r="D213" i="4"/>
  <c r="F213" i="4"/>
  <c r="A214" i="4"/>
  <c r="B214" i="4"/>
  <c r="C214" i="4"/>
  <c r="D214" i="4"/>
  <c r="F214" i="4"/>
  <c r="A215" i="4"/>
  <c r="B215" i="4"/>
  <c r="C215" i="4"/>
  <c r="D215" i="4"/>
  <c r="F215" i="4"/>
  <c r="A216" i="4"/>
  <c r="B216" i="4"/>
  <c r="C216" i="4"/>
  <c r="D216" i="4"/>
  <c r="F216" i="4"/>
  <c r="A217" i="4"/>
  <c r="B217" i="4"/>
  <c r="C217" i="4"/>
  <c r="D217" i="4"/>
  <c r="F217" i="4"/>
  <c r="A218" i="4"/>
  <c r="B218" i="4"/>
  <c r="C218" i="4"/>
  <c r="D218" i="4"/>
  <c r="F218" i="4"/>
  <c r="A219" i="4"/>
  <c r="B219" i="4"/>
  <c r="C219" i="4"/>
  <c r="D219" i="4"/>
  <c r="F219" i="4"/>
  <c r="A220" i="4"/>
  <c r="B220" i="4"/>
  <c r="C220" i="4"/>
  <c r="D220" i="4"/>
  <c r="F220" i="4"/>
  <c r="A221" i="4"/>
  <c r="B221" i="4"/>
  <c r="C221" i="4"/>
  <c r="D221" i="4"/>
  <c r="F221" i="4"/>
  <c r="A222" i="4"/>
  <c r="B222" i="4"/>
  <c r="C222" i="4"/>
  <c r="D222" i="4"/>
  <c r="F222" i="4"/>
  <c r="A223" i="4"/>
  <c r="B223" i="4"/>
  <c r="C223" i="4"/>
  <c r="D223" i="4"/>
  <c r="F223" i="4"/>
  <c r="A224" i="4"/>
  <c r="B224" i="4"/>
  <c r="C224" i="4"/>
  <c r="D224" i="4"/>
  <c r="F224" i="4"/>
  <c r="A225" i="4"/>
  <c r="B225" i="4"/>
  <c r="C225" i="4"/>
  <c r="D225" i="4"/>
  <c r="F225" i="4"/>
  <c r="A226" i="4"/>
  <c r="B226" i="4"/>
  <c r="C226" i="4"/>
  <c r="D226" i="4"/>
  <c r="F226" i="4"/>
  <c r="A227" i="4"/>
  <c r="B227" i="4"/>
  <c r="C227" i="4"/>
  <c r="D227" i="4"/>
  <c r="F227" i="4"/>
  <c r="A228" i="4"/>
  <c r="B228" i="4"/>
  <c r="C228" i="4"/>
  <c r="D228" i="4"/>
  <c r="F228" i="4"/>
  <c r="A229" i="4"/>
  <c r="B229" i="4"/>
  <c r="C229" i="4"/>
  <c r="D229" i="4"/>
  <c r="F229" i="4"/>
  <c r="A230" i="4"/>
  <c r="B230" i="4"/>
  <c r="C230" i="4"/>
  <c r="D230" i="4"/>
  <c r="F230" i="4"/>
  <c r="A231" i="4"/>
  <c r="B231" i="4"/>
  <c r="C231" i="4"/>
  <c r="D231" i="4"/>
  <c r="F231" i="4"/>
  <c r="A232" i="4"/>
  <c r="B232" i="4"/>
  <c r="C232" i="4"/>
  <c r="D232" i="4"/>
  <c r="F232" i="4"/>
  <c r="A233" i="4"/>
  <c r="B233" i="4"/>
  <c r="C233" i="4"/>
  <c r="D233" i="4"/>
  <c r="F233" i="4"/>
  <c r="A234" i="4"/>
  <c r="B234" i="4"/>
  <c r="C234" i="4"/>
  <c r="D234" i="4"/>
  <c r="F234" i="4"/>
  <c r="A235" i="4"/>
  <c r="B235" i="4"/>
  <c r="C235" i="4"/>
  <c r="D235" i="4"/>
  <c r="F235" i="4"/>
  <c r="A236" i="4"/>
  <c r="B236" i="4"/>
  <c r="C236" i="4"/>
  <c r="D236" i="4"/>
  <c r="F236" i="4"/>
  <c r="A237" i="4"/>
  <c r="B237" i="4"/>
  <c r="C237" i="4"/>
  <c r="D237" i="4"/>
  <c r="F237" i="4"/>
  <c r="A238" i="4"/>
  <c r="B238" i="4"/>
  <c r="C238" i="4"/>
  <c r="D238" i="4"/>
  <c r="F238" i="4"/>
  <c r="A239" i="4"/>
  <c r="B239" i="4"/>
  <c r="C239" i="4"/>
  <c r="D239" i="4"/>
  <c r="F239" i="4"/>
  <c r="A240" i="4"/>
  <c r="B240" i="4"/>
  <c r="C240" i="4"/>
  <c r="D240" i="4"/>
  <c r="F240" i="4"/>
  <c r="A241" i="4"/>
  <c r="B241" i="4"/>
  <c r="C241" i="4"/>
  <c r="D241" i="4"/>
  <c r="F241" i="4"/>
  <c r="A242" i="4"/>
  <c r="B242" i="4"/>
  <c r="C242" i="4"/>
  <c r="D242" i="4"/>
  <c r="F242" i="4"/>
  <c r="A243" i="4"/>
  <c r="B243" i="4"/>
  <c r="C243" i="4"/>
  <c r="D243" i="4"/>
  <c r="F243" i="4"/>
  <c r="A244" i="4"/>
  <c r="B244" i="4"/>
  <c r="C244" i="4"/>
  <c r="D244" i="4"/>
  <c r="F244" i="4"/>
  <c r="A245" i="4"/>
  <c r="B245" i="4"/>
  <c r="C245" i="4"/>
  <c r="D245" i="4"/>
  <c r="F245" i="4"/>
  <c r="A246" i="4"/>
  <c r="B246" i="4"/>
  <c r="C246" i="4"/>
  <c r="D246" i="4"/>
  <c r="F246" i="4"/>
  <c r="A247" i="4"/>
  <c r="B247" i="4"/>
  <c r="C247" i="4"/>
  <c r="D247" i="4"/>
  <c r="F247" i="4"/>
  <c r="A248" i="4"/>
  <c r="B248" i="4"/>
  <c r="C248" i="4"/>
  <c r="D248" i="4"/>
  <c r="F248" i="4"/>
  <c r="A249" i="4"/>
  <c r="B249" i="4"/>
  <c r="C249" i="4"/>
  <c r="D249" i="4"/>
  <c r="F249" i="4"/>
  <c r="A250" i="4"/>
  <c r="B250" i="4"/>
  <c r="C250" i="4"/>
  <c r="D250" i="4"/>
  <c r="F250" i="4"/>
  <c r="A251" i="4"/>
  <c r="B251" i="4"/>
  <c r="C251" i="4"/>
  <c r="D251" i="4"/>
  <c r="F251" i="4"/>
  <c r="A252" i="4"/>
  <c r="B252" i="4"/>
  <c r="C252" i="4"/>
  <c r="D252" i="4"/>
  <c r="F252" i="4"/>
  <c r="A253" i="4"/>
  <c r="B253" i="4"/>
  <c r="C253" i="4"/>
  <c r="D253" i="4"/>
  <c r="F253" i="4"/>
  <c r="A254" i="4"/>
  <c r="B254" i="4"/>
  <c r="C254" i="4"/>
  <c r="D254" i="4"/>
  <c r="F254" i="4"/>
  <c r="A255" i="4"/>
  <c r="B255" i="4"/>
  <c r="C255" i="4"/>
  <c r="D255" i="4"/>
  <c r="F255" i="4"/>
  <c r="A256" i="4"/>
  <c r="B256" i="4"/>
  <c r="C256" i="4"/>
  <c r="D256" i="4"/>
  <c r="F256" i="4"/>
  <c r="A257" i="4"/>
  <c r="B257" i="4"/>
  <c r="C257" i="4"/>
  <c r="D257" i="4"/>
  <c r="F257" i="4"/>
  <c r="A258" i="4"/>
  <c r="B258" i="4"/>
  <c r="C258" i="4"/>
  <c r="D258" i="4"/>
  <c r="F258" i="4"/>
  <c r="A259" i="4"/>
  <c r="B259" i="4"/>
  <c r="C259" i="4"/>
  <c r="D259" i="4"/>
  <c r="F259" i="4"/>
  <c r="A260" i="4"/>
  <c r="B260" i="4"/>
  <c r="C260" i="4"/>
  <c r="D260" i="4"/>
  <c r="F260" i="4"/>
  <c r="A261" i="4"/>
  <c r="B261" i="4"/>
  <c r="C261" i="4"/>
  <c r="D261" i="4"/>
  <c r="F261" i="4"/>
  <c r="A262" i="4"/>
  <c r="B262" i="4"/>
  <c r="C262" i="4"/>
  <c r="D262" i="4"/>
  <c r="F262" i="4"/>
  <c r="A263" i="4"/>
  <c r="B263" i="4"/>
  <c r="C263" i="4"/>
  <c r="D263" i="4"/>
  <c r="F263" i="4"/>
  <c r="A264" i="4"/>
  <c r="B264" i="4"/>
  <c r="C264" i="4"/>
  <c r="D264" i="4"/>
  <c r="F264" i="4"/>
  <c r="A265" i="4"/>
  <c r="B265" i="4"/>
  <c r="C265" i="4"/>
  <c r="D265" i="4"/>
  <c r="F265" i="4"/>
  <c r="A266" i="4"/>
  <c r="B266" i="4"/>
  <c r="C266" i="4"/>
  <c r="D266" i="4"/>
  <c r="F266" i="4"/>
  <c r="A267" i="4"/>
  <c r="B267" i="4"/>
  <c r="C267" i="4"/>
  <c r="D267" i="4"/>
  <c r="F267" i="4"/>
  <c r="A268" i="4"/>
  <c r="B268" i="4"/>
  <c r="C268" i="4"/>
  <c r="D268" i="4"/>
  <c r="F268" i="4"/>
  <c r="A269" i="4"/>
  <c r="B269" i="4"/>
  <c r="C269" i="4"/>
  <c r="D269" i="4"/>
  <c r="F269" i="4"/>
  <c r="A270" i="4"/>
  <c r="B270" i="4"/>
  <c r="C270" i="4"/>
  <c r="D270" i="4"/>
  <c r="F270" i="4"/>
  <c r="A271" i="4"/>
  <c r="B271" i="4"/>
  <c r="C271" i="4"/>
  <c r="D271" i="4"/>
  <c r="F271" i="4"/>
  <c r="A272" i="4"/>
  <c r="B272" i="4"/>
  <c r="C272" i="4"/>
  <c r="D272" i="4"/>
  <c r="F272" i="4"/>
  <c r="A273" i="4"/>
  <c r="B273" i="4"/>
  <c r="C273" i="4"/>
  <c r="D273" i="4"/>
  <c r="F273" i="4"/>
  <c r="A274" i="4"/>
  <c r="B274" i="4"/>
  <c r="C274" i="4"/>
  <c r="D274" i="4"/>
  <c r="F274" i="4"/>
  <c r="A275" i="4"/>
  <c r="B275" i="4"/>
  <c r="C275" i="4"/>
  <c r="D275" i="4"/>
  <c r="F275" i="4"/>
  <c r="A276" i="4"/>
  <c r="B276" i="4"/>
  <c r="C276" i="4"/>
  <c r="D276" i="4"/>
  <c r="F276" i="4"/>
  <c r="A277" i="4"/>
  <c r="B277" i="4"/>
  <c r="C277" i="4"/>
  <c r="D277" i="4"/>
  <c r="F277" i="4"/>
  <c r="A278" i="4"/>
  <c r="B278" i="4"/>
  <c r="C278" i="4"/>
  <c r="D278" i="4"/>
  <c r="F278" i="4"/>
  <c r="A279" i="4"/>
  <c r="B279" i="4"/>
  <c r="C279" i="4"/>
  <c r="D279" i="4"/>
  <c r="F279" i="4"/>
  <c r="A280" i="4"/>
  <c r="B280" i="4"/>
  <c r="C280" i="4"/>
  <c r="D280" i="4"/>
  <c r="F280" i="4"/>
  <c r="A281" i="4"/>
  <c r="B281" i="4"/>
  <c r="C281" i="4"/>
  <c r="D281" i="4"/>
  <c r="F281" i="4"/>
  <c r="A282" i="4"/>
  <c r="B282" i="4"/>
  <c r="C282" i="4"/>
  <c r="D282" i="4"/>
  <c r="F282" i="4"/>
  <c r="A283" i="4"/>
  <c r="B283" i="4"/>
  <c r="C283" i="4"/>
  <c r="D283" i="4"/>
  <c r="F283" i="4"/>
  <c r="A284" i="4"/>
  <c r="B284" i="4"/>
  <c r="C284" i="4"/>
  <c r="D284" i="4"/>
  <c r="F284" i="4"/>
  <c r="A285" i="4"/>
  <c r="B285" i="4"/>
  <c r="C285" i="4"/>
  <c r="D285" i="4"/>
  <c r="F285" i="4"/>
  <c r="A286" i="4"/>
  <c r="B286" i="4"/>
  <c r="C286" i="4"/>
  <c r="D286" i="4"/>
  <c r="F286" i="4"/>
  <c r="A287" i="4"/>
  <c r="B287" i="4"/>
  <c r="C287" i="4"/>
  <c r="D287" i="4"/>
  <c r="F287" i="4"/>
  <c r="A288" i="4"/>
  <c r="B288" i="4"/>
  <c r="C288" i="4"/>
  <c r="D288" i="4"/>
  <c r="F288" i="4"/>
  <c r="A289" i="4"/>
  <c r="B289" i="4"/>
  <c r="C289" i="4"/>
  <c r="D289" i="4"/>
  <c r="F289" i="4"/>
  <c r="A290" i="4"/>
  <c r="B290" i="4"/>
  <c r="C290" i="4"/>
  <c r="D290" i="4"/>
  <c r="F290" i="4"/>
  <c r="A291" i="4"/>
  <c r="B291" i="4"/>
  <c r="C291" i="4"/>
  <c r="D291" i="4"/>
  <c r="F291" i="4"/>
  <c r="A292" i="4"/>
  <c r="B292" i="4"/>
  <c r="C292" i="4"/>
  <c r="D292" i="4"/>
  <c r="F292" i="4"/>
  <c r="A293" i="4"/>
  <c r="B293" i="4"/>
  <c r="C293" i="4"/>
  <c r="D293" i="4"/>
  <c r="F293" i="4"/>
  <c r="A294" i="4"/>
  <c r="B294" i="4"/>
  <c r="C294" i="4"/>
  <c r="D294" i="4"/>
  <c r="F294" i="4"/>
  <c r="A295" i="4"/>
  <c r="B295" i="4"/>
  <c r="C295" i="4"/>
  <c r="D295" i="4"/>
  <c r="F295" i="4"/>
  <c r="A296" i="4"/>
  <c r="B296" i="4"/>
  <c r="C296" i="4"/>
  <c r="D296" i="4"/>
  <c r="F296" i="4"/>
  <c r="A297" i="4"/>
  <c r="B297" i="4"/>
  <c r="C297" i="4"/>
  <c r="D297" i="4"/>
  <c r="F297" i="4"/>
  <c r="A298" i="4"/>
  <c r="B298" i="4"/>
  <c r="C298" i="4"/>
  <c r="D298" i="4"/>
  <c r="F298" i="4"/>
  <c r="A299" i="4"/>
  <c r="B299" i="4"/>
  <c r="C299" i="4"/>
  <c r="D299" i="4"/>
  <c r="F299" i="4"/>
  <c r="A300" i="4"/>
  <c r="B300" i="4"/>
  <c r="C300" i="4"/>
  <c r="D300" i="4"/>
  <c r="F300" i="4"/>
  <c r="A301" i="4"/>
  <c r="B301" i="4"/>
  <c r="C301" i="4"/>
  <c r="D301" i="4"/>
  <c r="F301" i="4"/>
  <c r="A302" i="4"/>
  <c r="B302" i="4"/>
  <c r="C302" i="4"/>
  <c r="D302" i="4"/>
  <c r="F302" i="4"/>
  <c r="A303" i="4"/>
  <c r="B303" i="4"/>
  <c r="C303" i="4"/>
  <c r="D303" i="4"/>
  <c r="F303" i="4"/>
  <c r="A304" i="4"/>
  <c r="B304" i="4"/>
  <c r="C304" i="4"/>
  <c r="D304" i="4"/>
  <c r="F304" i="4"/>
  <c r="A305" i="4"/>
  <c r="B305" i="4"/>
  <c r="C305" i="4"/>
  <c r="D305" i="4"/>
  <c r="F305" i="4"/>
  <c r="A306" i="4"/>
  <c r="B306" i="4"/>
  <c r="C306" i="4"/>
  <c r="D306" i="4"/>
  <c r="F306" i="4"/>
  <c r="A307" i="4"/>
  <c r="B307" i="4"/>
  <c r="C307" i="4"/>
  <c r="D307" i="4"/>
  <c r="F307" i="4"/>
  <c r="A308" i="4"/>
  <c r="B308" i="4"/>
  <c r="C308" i="4"/>
  <c r="D308" i="4"/>
  <c r="F308" i="4"/>
  <c r="A309" i="4"/>
  <c r="B309" i="4"/>
  <c r="C309" i="4"/>
  <c r="D309" i="4"/>
  <c r="F309" i="4"/>
  <c r="A310" i="4"/>
  <c r="B310" i="4"/>
  <c r="C310" i="4"/>
  <c r="D310" i="4"/>
  <c r="F310" i="4"/>
  <c r="A311" i="4"/>
  <c r="B311" i="4"/>
  <c r="C311" i="4"/>
  <c r="D311" i="4"/>
  <c r="F311" i="4"/>
  <c r="A312" i="4"/>
  <c r="B312" i="4"/>
  <c r="C312" i="4"/>
  <c r="D312" i="4"/>
  <c r="F312" i="4"/>
  <c r="A313" i="4"/>
  <c r="B313" i="4"/>
  <c r="C313" i="4"/>
  <c r="D313" i="4"/>
  <c r="F313" i="4"/>
  <c r="A314" i="4"/>
  <c r="B314" i="4"/>
  <c r="C314" i="4"/>
  <c r="D314" i="4"/>
  <c r="F314" i="4"/>
  <c r="A315" i="4"/>
  <c r="B315" i="4"/>
  <c r="C315" i="4"/>
  <c r="D315" i="4"/>
  <c r="F315" i="4"/>
  <c r="A316" i="4"/>
  <c r="B316" i="4"/>
  <c r="C316" i="4"/>
  <c r="D316" i="4"/>
  <c r="F316" i="4"/>
  <c r="A317" i="4"/>
  <c r="B317" i="4"/>
  <c r="C317" i="4"/>
  <c r="D317" i="4"/>
  <c r="F317" i="4"/>
  <c r="A318" i="4"/>
  <c r="B318" i="4"/>
  <c r="C318" i="4"/>
  <c r="D318" i="4"/>
  <c r="F318" i="4"/>
  <c r="A319" i="4"/>
  <c r="B319" i="4"/>
  <c r="C319" i="4"/>
  <c r="D319" i="4"/>
  <c r="F319" i="4"/>
  <c r="A320" i="4"/>
  <c r="B320" i="4"/>
  <c r="C320" i="4"/>
  <c r="D320" i="4"/>
  <c r="F320" i="4"/>
  <c r="A321" i="4"/>
  <c r="B321" i="4"/>
  <c r="C321" i="4"/>
  <c r="D321" i="4"/>
  <c r="F321" i="4"/>
  <c r="A322" i="4"/>
  <c r="B322" i="4"/>
  <c r="C322" i="4"/>
  <c r="D322" i="4"/>
  <c r="F322" i="4"/>
  <c r="A323" i="4"/>
  <c r="B323" i="4"/>
  <c r="C323" i="4"/>
  <c r="D323" i="4"/>
  <c r="F323" i="4"/>
  <c r="A324" i="4"/>
  <c r="B324" i="4"/>
  <c r="C324" i="4"/>
  <c r="D324" i="4"/>
  <c r="F324" i="4"/>
  <c r="A325" i="4"/>
  <c r="B325" i="4"/>
  <c r="C325" i="4"/>
  <c r="D325" i="4"/>
  <c r="F325" i="4"/>
  <c r="A326" i="4"/>
  <c r="B326" i="4"/>
  <c r="C326" i="4"/>
  <c r="D326" i="4"/>
  <c r="F326" i="4"/>
  <c r="A327" i="4"/>
  <c r="B327" i="4"/>
  <c r="C327" i="4"/>
  <c r="D327" i="4"/>
  <c r="F327" i="4"/>
  <c r="A328" i="4"/>
  <c r="B328" i="4"/>
  <c r="C328" i="4"/>
  <c r="D328" i="4"/>
  <c r="F328" i="4"/>
  <c r="A329" i="4"/>
  <c r="B329" i="4"/>
  <c r="C329" i="4"/>
  <c r="D329" i="4"/>
  <c r="F329" i="4"/>
  <c r="A330" i="4"/>
  <c r="B330" i="4"/>
  <c r="C330" i="4"/>
  <c r="D330" i="4"/>
  <c r="F330" i="4"/>
  <c r="A331" i="4"/>
  <c r="B331" i="4"/>
  <c r="C331" i="4"/>
  <c r="D331" i="4"/>
  <c r="F331" i="4"/>
  <c r="A332" i="4"/>
  <c r="B332" i="4"/>
  <c r="C332" i="4"/>
  <c r="D332" i="4"/>
  <c r="F332" i="4"/>
  <c r="A333" i="4"/>
  <c r="B333" i="4"/>
  <c r="C333" i="4"/>
  <c r="D333" i="4"/>
  <c r="F333" i="4"/>
  <c r="A334" i="4"/>
  <c r="B334" i="4"/>
  <c r="C334" i="4"/>
  <c r="D334" i="4"/>
  <c r="F334" i="4"/>
  <c r="A335" i="4"/>
  <c r="B335" i="4"/>
  <c r="C335" i="4"/>
  <c r="D335" i="4"/>
  <c r="F335" i="4"/>
  <c r="A336" i="4"/>
  <c r="B336" i="4"/>
  <c r="C336" i="4"/>
  <c r="D336" i="4"/>
  <c r="F336" i="4"/>
  <c r="A337" i="4"/>
  <c r="B337" i="4"/>
  <c r="C337" i="4"/>
  <c r="D337" i="4"/>
  <c r="F337" i="4"/>
  <c r="A338" i="4"/>
  <c r="B338" i="4"/>
  <c r="C338" i="4"/>
  <c r="D338" i="4"/>
  <c r="F338" i="4"/>
  <c r="A339" i="4"/>
  <c r="B339" i="4"/>
  <c r="C339" i="4"/>
  <c r="D339" i="4"/>
  <c r="F339" i="4"/>
  <c r="A340" i="4"/>
  <c r="B340" i="4"/>
  <c r="C340" i="4"/>
  <c r="D340" i="4"/>
  <c r="F340" i="4"/>
  <c r="A341" i="4"/>
  <c r="B341" i="4"/>
  <c r="C341" i="4"/>
  <c r="D341" i="4"/>
  <c r="F341" i="4"/>
  <c r="A342" i="4"/>
  <c r="B342" i="4"/>
  <c r="C342" i="4"/>
  <c r="D342" i="4"/>
  <c r="F342" i="4"/>
  <c r="A343" i="4"/>
  <c r="B343" i="4"/>
  <c r="C343" i="4"/>
  <c r="D343" i="4"/>
  <c r="F343" i="4"/>
  <c r="A344" i="4"/>
  <c r="B344" i="4"/>
  <c r="C344" i="4"/>
  <c r="D344" i="4"/>
  <c r="F344" i="4"/>
  <c r="A345" i="4"/>
  <c r="B345" i="4"/>
  <c r="C345" i="4"/>
  <c r="D345" i="4"/>
  <c r="F345" i="4"/>
  <c r="A346" i="4"/>
  <c r="B346" i="4"/>
  <c r="C346" i="4"/>
  <c r="D346" i="4"/>
  <c r="F346" i="4"/>
  <c r="A347" i="4"/>
  <c r="B347" i="4"/>
  <c r="C347" i="4"/>
  <c r="D347" i="4"/>
  <c r="F347" i="4"/>
  <c r="A348" i="4"/>
  <c r="B348" i="4"/>
  <c r="C348" i="4"/>
  <c r="D348" i="4"/>
  <c r="F348" i="4"/>
  <c r="A349" i="4"/>
  <c r="B349" i="4"/>
  <c r="C349" i="4"/>
  <c r="D349" i="4"/>
  <c r="F349" i="4"/>
  <c r="A350" i="4"/>
  <c r="B350" i="4"/>
  <c r="C350" i="4"/>
  <c r="D350" i="4"/>
  <c r="F350" i="4"/>
  <c r="A351" i="4"/>
  <c r="B351" i="4"/>
  <c r="C351" i="4"/>
  <c r="D351" i="4"/>
  <c r="F351" i="4"/>
  <c r="A352" i="4"/>
  <c r="B352" i="4"/>
  <c r="C352" i="4"/>
  <c r="D352" i="4"/>
  <c r="F352" i="4"/>
  <c r="A353" i="4"/>
  <c r="B353" i="4"/>
  <c r="C353" i="4"/>
  <c r="D353" i="4"/>
  <c r="F353" i="4"/>
  <c r="A354" i="4"/>
  <c r="B354" i="4"/>
  <c r="C354" i="4"/>
  <c r="D354" i="4"/>
  <c r="F354" i="4"/>
  <c r="A355" i="4"/>
  <c r="B355" i="4"/>
  <c r="C355" i="4"/>
  <c r="D355" i="4"/>
  <c r="F355" i="4"/>
  <c r="A356" i="4"/>
  <c r="B356" i="4"/>
  <c r="C356" i="4"/>
  <c r="D356" i="4"/>
  <c r="F356" i="4"/>
  <c r="A357" i="4"/>
  <c r="B357" i="4"/>
  <c r="C357" i="4"/>
  <c r="D357" i="4"/>
  <c r="F357" i="4"/>
  <c r="A358" i="4"/>
  <c r="B358" i="4"/>
  <c r="C358" i="4"/>
  <c r="D358" i="4"/>
  <c r="F358" i="4"/>
  <c r="A359" i="4"/>
  <c r="B359" i="4"/>
  <c r="C359" i="4"/>
  <c r="D359" i="4"/>
  <c r="F359" i="4"/>
  <c r="A360" i="4"/>
  <c r="B360" i="4"/>
  <c r="C360" i="4"/>
  <c r="D360" i="4"/>
  <c r="F360" i="4"/>
  <c r="A361" i="4"/>
  <c r="B361" i="4"/>
  <c r="C361" i="4"/>
  <c r="D361" i="4"/>
  <c r="F361" i="4"/>
  <c r="A362" i="4"/>
  <c r="B362" i="4"/>
  <c r="C362" i="4"/>
  <c r="D362" i="4"/>
  <c r="F362" i="4"/>
  <c r="A363" i="4"/>
  <c r="B363" i="4"/>
  <c r="C363" i="4"/>
  <c r="D363" i="4"/>
  <c r="F363" i="4"/>
  <c r="A364" i="4"/>
  <c r="B364" i="4"/>
  <c r="C364" i="4"/>
  <c r="D364" i="4"/>
  <c r="F364" i="4"/>
  <c r="A365" i="4"/>
  <c r="B365" i="4"/>
  <c r="C365" i="4"/>
  <c r="D365" i="4"/>
  <c r="F365" i="4"/>
  <c r="A366" i="4"/>
  <c r="B366" i="4"/>
  <c r="C366" i="4"/>
  <c r="D366" i="4"/>
  <c r="F366" i="4"/>
  <c r="A367" i="4"/>
  <c r="B367" i="4"/>
  <c r="C367" i="4"/>
  <c r="D367" i="4"/>
  <c r="F367" i="4"/>
  <c r="A368" i="4"/>
  <c r="B368" i="4"/>
  <c r="C368" i="4"/>
  <c r="D368" i="4"/>
  <c r="F368" i="4"/>
  <c r="A369" i="4"/>
  <c r="B369" i="4"/>
  <c r="C369" i="4"/>
  <c r="D369" i="4"/>
  <c r="F369" i="4"/>
  <c r="A370" i="4"/>
  <c r="B370" i="4"/>
  <c r="C370" i="4"/>
  <c r="D370" i="4"/>
  <c r="F370" i="4"/>
  <c r="A371" i="4"/>
  <c r="B371" i="4"/>
  <c r="C371" i="4"/>
  <c r="D371" i="4"/>
  <c r="F371" i="4"/>
  <c r="A372" i="4"/>
  <c r="B372" i="4"/>
  <c r="C372" i="4"/>
  <c r="D372" i="4"/>
  <c r="F372" i="4"/>
  <c r="A373" i="4"/>
  <c r="B373" i="4"/>
  <c r="C373" i="4"/>
  <c r="D373" i="4"/>
  <c r="F373" i="4"/>
  <c r="A374" i="4"/>
  <c r="B374" i="4"/>
  <c r="C374" i="4"/>
  <c r="D374" i="4"/>
  <c r="F374" i="4"/>
  <c r="A375" i="4"/>
  <c r="B375" i="4"/>
  <c r="C375" i="4"/>
  <c r="D375" i="4"/>
  <c r="F375" i="4"/>
  <c r="A376" i="4"/>
  <c r="B376" i="4"/>
  <c r="C376" i="4"/>
  <c r="D376" i="4"/>
  <c r="F376" i="4"/>
  <c r="A377" i="4"/>
  <c r="B377" i="4"/>
  <c r="C377" i="4"/>
  <c r="D377" i="4"/>
  <c r="F377" i="4"/>
  <c r="A378" i="4"/>
  <c r="B378" i="4"/>
  <c r="C378" i="4"/>
  <c r="D378" i="4"/>
  <c r="F378" i="4"/>
  <c r="A379" i="4"/>
  <c r="B379" i="4"/>
  <c r="C379" i="4"/>
  <c r="D379" i="4"/>
  <c r="F379" i="4"/>
  <c r="A380" i="4"/>
  <c r="B380" i="4"/>
  <c r="C380" i="4"/>
  <c r="D380" i="4"/>
  <c r="F380" i="4"/>
  <c r="A381" i="4"/>
  <c r="B381" i="4"/>
  <c r="C381" i="4"/>
  <c r="D381" i="4"/>
  <c r="F381" i="4"/>
  <c r="A382" i="4"/>
  <c r="B382" i="4"/>
  <c r="C382" i="4"/>
  <c r="D382" i="4"/>
  <c r="F382" i="4"/>
  <c r="A383" i="4"/>
  <c r="B383" i="4"/>
  <c r="C383" i="4"/>
  <c r="D383" i="4"/>
  <c r="F383" i="4"/>
  <c r="A384" i="4"/>
  <c r="B384" i="4"/>
  <c r="C384" i="4"/>
  <c r="D384" i="4"/>
  <c r="F384" i="4"/>
  <c r="A385" i="4"/>
  <c r="B385" i="4"/>
  <c r="C385" i="4"/>
  <c r="D385" i="4"/>
  <c r="F385" i="4"/>
  <c r="A386" i="4"/>
  <c r="B386" i="4"/>
  <c r="C386" i="4"/>
  <c r="D386" i="4"/>
  <c r="F386" i="4"/>
  <c r="A387" i="4"/>
  <c r="B387" i="4"/>
  <c r="C387" i="4"/>
  <c r="D387" i="4"/>
  <c r="F387" i="4"/>
  <c r="A388" i="4"/>
  <c r="B388" i="4"/>
  <c r="C388" i="4"/>
  <c r="D388" i="4"/>
  <c r="F388" i="4"/>
  <c r="A389" i="4"/>
  <c r="B389" i="4"/>
  <c r="C389" i="4"/>
  <c r="D389" i="4"/>
  <c r="F389" i="4"/>
  <c r="A390" i="4"/>
  <c r="B390" i="4"/>
  <c r="C390" i="4"/>
  <c r="D390" i="4"/>
  <c r="F390" i="4"/>
  <c r="A391" i="4"/>
  <c r="B391" i="4"/>
  <c r="C391" i="4"/>
  <c r="D391" i="4"/>
  <c r="F391" i="4"/>
  <c r="A392" i="4"/>
  <c r="B392" i="4"/>
  <c r="C392" i="4"/>
  <c r="D392" i="4"/>
  <c r="F392" i="4"/>
  <c r="A393" i="4"/>
  <c r="B393" i="4"/>
  <c r="C393" i="4"/>
  <c r="D393" i="4"/>
  <c r="F393" i="4"/>
  <c r="A394" i="4"/>
  <c r="B394" i="4"/>
  <c r="C394" i="4"/>
  <c r="D394" i="4"/>
  <c r="F394" i="4"/>
  <c r="A395" i="4"/>
  <c r="B395" i="4"/>
  <c r="C395" i="4"/>
  <c r="D395" i="4"/>
  <c r="F395" i="4"/>
  <c r="A396" i="4"/>
  <c r="B396" i="4"/>
  <c r="C396" i="4"/>
  <c r="D396" i="4"/>
  <c r="F396" i="4"/>
  <c r="A397" i="4"/>
  <c r="B397" i="4"/>
  <c r="C397" i="4"/>
  <c r="D397" i="4"/>
  <c r="F397" i="4"/>
  <c r="A398" i="4"/>
  <c r="B398" i="4"/>
  <c r="C398" i="4"/>
  <c r="D398" i="4"/>
  <c r="F398" i="4"/>
  <c r="A399" i="4"/>
  <c r="B399" i="4"/>
  <c r="C399" i="4"/>
  <c r="D399" i="4"/>
  <c r="F399" i="4"/>
  <c r="A400" i="4"/>
  <c r="B400" i="4"/>
  <c r="C400" i="4"/>
  <c r="D400" i="4"/>
  <c r="F400" i="4"/>
  <c r="A401" i="4"/>
  <c r="B401" i="4"/>
  <c r="C401" i="4"/>
  <c r="D401" i="4"/>
  <c r="F401" i="4"/>
  <c r="A402" i="4"/>
  <c r="B402" i="4"/>
  <c r="C402" i="4"/>
  <c r="D402" i="4"/>
  <c r="F402" i="4"/>
  <c r="A403" i="4"/>
  <c r="B403" i="4"/>
  <c r="C403" i="4"/>
  <c r="D403" i="4"/>
  <c r="F403" i="4"/>
  <c r="A404" i="4"/>
  <c r="B404" i="4"/>
  <c r="C404" i="4"/>
  <c r="D404" i="4"/>
  <c r="F404" i="4"/>
  <c r="A405" i="4"/>
  <c r="B405" i="4"/>
  <c r="C405" i="4"/>
  <c r="D405" i="4"/>
  <c r="F405" i="4"/>
  <c r="A406" i="4"/>
  <c r="B406" i="4"/>
  <c r="C406" i="4"/>
  <c r="D406" i="4"/>
  <c r="F406" i="4"/>
  <c r="A407" i="4"/>
  <c r="B407" i="4"/>
  <c r="C407" i="4"/>
  <c r="D407" i="4"/>
  <c r="F407" i="4"/>
  <c r="A408" i="4"/>
  <c r="B408" i="4"/>
  <c r="C408" i="4"/>
  <c r="D408" i="4"/>
  <c r="F408" i="4"/>
  <c r="A409" i="4"/>
  <c r="B409" i="4"/>
  <c r="C409" i="4"/>
  <c r="D409" i="4"/>
  <c r="F409" i="4"/>
  <c r="A410" i="4"/>
  <c r="B410" i="4"/>
  <c r="C410" i="4"/>
  <c r="D410" i="4"/>
  <c r="F410" i="4"/>
  <c r="A411" i="4"/>
  <c r="B411" i="4"/>
  <c r="C411" i="4"/>
  <c r="D411" i="4"/>
  <c r="F411" i="4"/>
  <c r="A412" i="4"/>
  <c r="B412" i="4"/>
  <c r="C412" i="4"/>
  <c r="D412" i="4"/>
  <c r="F412" i="4"/>
  <c r="A413" i="4"/>
  <c r="B413" i="4"/>
  <c r="C413" i="4"/>
  <c r="D413" i="4"/>
  <c r="F413" i="4"/>
  <c r="A414" i="4"/>
  <c r="B414" i="4"/>
  <c r="C414" i="4"/>
  <c r="D414" i="4"/>
  <c r="F414" i="4"/>
  <c r="A415" i="4"/>
  <c r="B415" i="4"/>
  <c r="C415" i="4"/>
  <c r="D415" i="4"/>
  <c r="F415" i="4"/>
  <c r="A416" i="4"/>
  <c r="B416" i="4"/>
  <c r="C416" i="4"/>
  <c r="D416" i="4"/>
  <c r="F416" i="4"/>
  <c r="A417" i="4"/>
  <c r="B417" i="4"/>
  <c r="C417" i="4"/>
  <c r="D417" i="4"/>
  <c r="F417" i="4"/>
  <c r="A418" i="4"/>
  <c r="B418" i="4"/>
  <c r="C418" i="4"/>
  <c r="D418" i="4"/>
  <c r="F418" i="4"/>
  <c r="A419" i="4"/>
  <c r="B419" i="4"/>
  <c r="C419" i="4"/>
  <c r="D419" i="4"/>
  <c r="F419" i="4"/>
  <c r="A420" i="4"/>
  <c r="B420" i="4"/>
  <c r="C420" i="4"/>
  <c r="D420" i="4"/>
  <c r="F420" i="4"/>
  <c r="A421" i="4"/>
  <c r="B421" i="4"/>
  <c r="C421" i="4"/>
  <c r="D421" i="4"/>
  <c r="F421" i="4"/>
  <c r="A422" i="4"/>
  <c r="B422" i="4"/>
  <c r="C422" i="4"/>
  <c r="D422" i="4"/>
  <c r="F422" i="4"/>
  <c r="A423" i="4"/>
  <c r="B423" i="4"/>
  <c r="C423" i="4"/>
  <c r="D423" i="4"/>
  <c r="F423" i="4"/>
  <c r="A424" i="4"/>
  <c r="B424" i="4"/>
  <c r="C424" i="4"/>
  <c r="D424" i="4"/>
  <c r="F424" i="4"/>
  <c r="A425" i="4"/>
  <c r="B425" i="4"/>
  <c r="C425" i="4"/>
  <c r="D425" i="4"/>
  <c r="F425" i="4"/>
  <c r="A426" i="4"/>
  <c r="B426" i="4"/>
  <c r="C426" i="4"/>
  <c r="D426" i="4"/>
  <c r="F426" i="4"/>
  <c r="A427" i="4"/>
  <c r="B427" i="4"/>
  <c r="C427" i="4"/>
  <c r="D427" i="4"/>
  <c r="F427" i="4"/>
  <c r="A428" i="4"/>
  <c r="B428" i="4"/>
  <c r="C428" i="4"/>
  <c r="D428" i="4"/>
  <c r="F428" i="4"/>
  <c r="A429" i="4"/>
  <c r="B429" i="4"/>
  <c r="C429" i="4"/>
  <c r="D429" i="4"/>
  <c r="F429" i="4"/>
  <c r="A430" i="4"/>
  <c r="B430" i="4"/>
  <c r="C430" i="4"/>
  <c r="D430" i="4"/>
  <c r="F430" i="4"/>
  <c r="A431" i="4"/>
  <c r="B431" i="4"/>
  <c r="C431" i="4"/>
  <c r="D431" i="4"/>
  <c r="F431" i="4"/>
  <c r="A432" i="4"/>
  <c r="B432" i="4"/>
  <c r="C432" i="4"/>
  <c r="D432" i="4"/>
  <c r="F432" i="4"/>
  <c r="A433" i="4"/>
  <c r="B433" i="4"/>
  <c r="C433" i="4"/>
  <c r="D433" i="4"/>
  <c r="F433" i="4"/>
  <c r="A434" i="4"/>
  <c r="B434" i="4"/>
  <c r="C434" i="4"/>
  <c r="D434" i="4"/>
  <c r="F434" i="4"/>
  <c r="A435" i="4"/>
  <c r="B435" i="4"/>
  <c r="C435" i="4"/>
  <c r="D435" i="4"/>
  <c r="F435" i="4"/>
  <c r="A436" i="4"/>
  <c r="B436" i="4"/>
  <c r="C436" i="4"/>
  <c r="D436" i="4"/>
  <c r="F436" i="4"/>
  <c r="A437" i="4"/>
  <c r="B437" i="4"/>
  <c r="C437" i="4"/>
  <c r="D437" i="4"/>
  <c r="F437" i="4"/>
  <c r="A438" i="4"/>
  <c r="B438" i="4"/>
  <c r="C438" i="4"/>
  <c r="D438" i="4"/>
  <c r="F438" i="4"/>
  <c r="A439" i="4"/>
  <c r="B439" i="4"/>
  <c r="C439" i="4"/>
  <c r="D439" i="4"/>
  <c r="F439" i="4"/>
  <c r="A440" i="4"/>
  <c r="B440" i="4"/>
  <c r="C440" i="4"/>
  <c r="D440" i="4"/>
  <c r="F440" i="4"/>
  <c r="A441" i="4"/>
  <c r="B441" i="4"/>
  <c r="C441" i="4"/>
  <c r="D441" i="4"/>
  <c r="F441" i="4"/>
  <c r="A442" i="4"/>
  <c r="B442" i="4"/>
  <c r="C442" i="4"/>
  <c r="D442" i="4"/>
  <c r="F442" i="4"/>
  <c r="A443" i="4"/>
  <c r="B443" i="4"/>
  <c r="C443" i="4"/>
  <c r="D443" i="4"/>
  <c r="F443" i="4"/>
  <c r="A444" i="4"/>
  <c r="B444" i="4"/>
  <c r="C444" i="4"/>
  <c r="D444" i="4"/>
  <c r="F444" i="4"/>
  <c r="A445" i="4"/>
  <c r="B445" i="4"/>
  <c r="C445" i="4"/>
  <c r="D445" i="4"/>
  <c r="F445" i="4"/>
  <c r="A446" i="4"/>
  <c r="B446" i="4"/>
  <c r="C446" i="4"/>
  <c r="D446" i="4"/>
  <c r="F446" i="4"/>
  <c r="A447" i="4"/>
  <c r="B447" i="4"/>
  <c r="C447" i="4"/>
  <c r="D447" i="4"/>
  <c r="F447" i="4"/>
  <c r="A448" i="4"/>
  <c r="B448" i="4"/>
  <c r="C448" i="4"/>
  <c r="D448" i="4"/>
  <c r="F448" i="4"/>
  <c r="A449" i="4"/>
  <c r="B449" i="4"/>
  <c r="C449" i="4"/>
  <c r="D449" i="4"/>
  <c r="F449" i="4"/>
  <c r="A450" i="4"/>
  <c r="B450" i="4"/>
  <c r="C450" i="4"/>
  <c r="D450" i="4"/>
  <c r="F450" i="4"/>
  <c r="A451" i="4"/>
  <c r="B451" i="4"/>
  <c r="C451" i="4"/>
  <c r="D451" i="4"/>
  <c r="F451" i="4"/>
  <c r="A452" i="4"/>
  <c r="B452" i="4"/>
  <c r="C452" i="4"/>
  <c r="D452" i="4"/>
  <c r="F452" i="4"/>
  <c r="A453" i="4"/>
  <c r="B453" i="4"/>
  <c r="C453" i="4"/>
  <c r="D453" i="4"/>
  <c r="F453" i="4"/>
  <c r="A454" i="4"/>
  <c r="B454" i="4"/>
  <c r="C454" i="4"/>
  <c r="D454" i="4"/>
  <c r="F454" i="4"/>
  <c r="A455" i="4"/>
  <c r="B455" i="4"/>
  <c r="C455" i="4"/>
  <c r="D455" i="4"/>
  <c r="F455" i="4"/>
  <c r="A456" i="4"/>
  <c r="B456" i="4"/>
  <c r="C456" i="4"/>
  <c r="D456" i="4"/>
  <c r="F456" i="4"/>
  <c r="A457" i="4"/>
  <c r="B457" i="4"/>
  <c r="C457" i="4"/>
  <c r="D457" i="4"/>
  <c r="F457" i="4"/>
  <c r="A458" i="4"/>
  <c r="B458" i="4"/>
  <c r="C458" i="4"/>
  <c r="D458" i="4"/>
  <c r="F458" i="4"/>
  <c r="A459" i="4"/>
  <c r="B459" i="4"/>
  <c r="C459" i="4"/>
  <c r="D459" i="4"/>
  <c r="F459" i="4"/>
  <c r="A460" i="4"/>
  <c r="B460" i="4"/>
  <c r="C460" i="4"/>
  <c r="D460" i="4"/>
  <c r="F460" i="4"/>
  <c r="A461" i="4"/>
  <c r="B461" i="4"/>
  <c r="C461" i="4"/>
  <c r="D461" i="4"/>
  <c r="F461" i="4"/>
  <c r="A462" i="4"/>
  <c r="B462" i="4"/>
  <c r="C462" i="4"/>
  <c r="D462" i="4"/>
  <c r="F462" i="4"/>
  <c r="A463" i="4"/>
  <c r="B463" i="4"/>
  <c r="C463" i="4"/>
  <c r="D463" i="4"/>
  <c r="F463" i="4"/>
  <c r="A464" i="4"/>
  <c r="B464" i="4"/>
  <c r="C464" i="4"/>
  <c r="D464" i="4"/>
  <c r="F464" i="4"/>
  <c r="A465" i="4"/>
  <c r="B465" i="4"/>
  <c r="C465" i="4"/>
  <c r="D465" i="4"/>
  <c r="F465" i="4"/>
  <c r="A466" i="4"/>
  <c r="B466" i="4"/>
  <c r="C466" i="4"/>
  <c r="D466" i="4"/>
  <c r="F466" i="4"/>
  <c r="A467" i="4"/>
  <c r="B467" i="4"/>
  <c r="C467" i="4"/>
  <c r="D467" i="4"/>
  <c r="F467" i="4"/>
  <c r="A468" i="4"/>
  <c r="B468" i="4"/>
  <c r="C468" i="4"/>
  <c r="D468" i="4"/>
  <c r="F468" i="4"/>
  <c r="A469" i="4"/>
  <c r="B469" i="4"/>
  <c r="C469" i="4"/>
  <c r="D469" i="4"/>
  <c r="F469" i="4"/>
  <c r="A470" i="4"/>
  <c r="B470" i="4"/>
  <c r="C470" i="4"/>
  <c r="D470" i="4"/>
  <c r="F470" i="4"/>
  <c r="A471" i="4"/>
  <c r="B471" i="4"/>
  <c r="C471" i="4"/>
  <c r="D471" i="4"/>
  <c r="F471" i="4"/>
  <c r="A472" i="4"/>
  <c r="B472" i="4"/>
  <c r="C472" i="4"/>
  <c r="D472" i="4"/>
  <c r="F472" i="4"/>
  <c r="A473" i="4"/>
  <c r="B473" i="4"/>
  <c r="C473" i="4"/>
  <c r="D473" i="4"/>
  <c r="F473" i="4"/>
  <c r="A474" i="4"/>
  <c r="B474" i="4"/>
  <c r="C474" i="4"/>
  <c r="D474" i="4"/>
  <c r="F474" i="4"/>
  <c r="A475" i="4"/>
  <c r="B475" i="4"/>
  <c r="C475" i="4"/>
  <c r="D475" i="4"/>
  <c r="F475" i="4"/>
  <c r="A476" i="4"/>
  <c r="B476" i="4"/>
  <c r="C476" i="4"/>
  <c r="D476" i="4"/>
  <c r="F476" i="4"/>
  <c r="A477" i="4"/>
  <c r="B477" i="4"/>
  <c r="C477" i="4"/>
  <c r="D477" i="4"/>
  <c r="F477" i="4"/>
  <c r="A478" i="4"/>
  <c r="B478" i="4"/>
  <c r="C478" i="4"/>
  <c r="D478" i="4"/>
  <c r="F478" i="4"/>
  <c r="A479" i="4"/>
  <c r="B479" i="4"/>
  <c r="C479" i="4"/>
  <c r="D479" i="4"/>
  <c r="F479" i="4"/>
  <c r="A480" i="4"/>
  <c r="B480" i="4"/>
  <c r="C480" i="4"/>
  <c r="D480" i="4"/>
  <c r="F480" i="4"/>
  <c r="A481" i="4"/>
  <c r="B481" i="4"/>
  <c r="C481" i="4"/>
  <c r="D481" i="4"/>
  <c r="F481" i="4"/>
  <c r="A482" i="4"/>
  <c r="B482" i="4"/>
  <c r="C482" i="4"/>
  <c r="D482" i="4"/>
  <c r="F482" i="4"/>
  <c r="A483" i="4"/>
  <c r="B483" i="4"/>
  <c r="C483" i="4"/>
  <c r="D483" i="4"/>
  <c r="F483" i="4"/>
  <c r="A484" i="4"/>
  <c r="B484" i="4"/>
  <c r="C484" i="4"/>
  <c r="D484" i="4"/>
  <c r="F484" i="4"/>
  <c r="A485" i="4"/>
  <c r="B485" i="4"/>
  <c r="C485" i="4"/>
  <c r="D485" i="4"/>
  <c r="F485" i="4"/>
  <c r="A486" i="4"/>
  <c r="B486" i="4"/>
  <c r="C486" i="4"/>
  <c r="D486" i="4"/>
  <c r="F486" i="4"/>
  <c r="A487" i="4"/>
  <c r="B487" i="4"/>
  <c r="C487" i="4"/>
  <c r="D487" i="4"/>
  <c r="F487" i="4"/>
  <c r="A488" i="4"/>
  <c r="B488" i="4"/>
  <c r="C488" i="4"/>
  <c r="D488" i="4"/>
  <c r="F488" i="4"/>
  <c r="A489" i="4"/>
  <c r="B489" i="4"/>
  <c r="C489" i="4"/>
  <c r="D489" i="4"/>
  <c r="F489" i="4"/>
  <c r="A490" i="4"/>
  <c r="B490" i="4"/>
  <c r="C490" i="4"/>
  <c r="D490" i="4"/>
  <c r="F490" i="4"/>
  <c r="A491" i="4"/>
  <c r="B491" i="4"/>
  <c r="C491" i="4"/>
  <c r="D491" i="4"/>
  <c r="F491" i="4"/>
  <c r="A492" i="4"/>
  <c r="B492" i="4"/>
  <c r="C492" i="4"/>
  <c r="D492" i="4"/>
  <c r="F492" i="4"/>
  <c r="A493" i="4"/>
  <c r="B493" i="4"/>
  <c r="C493" i="4"/>
  <c r="D493" i="4"/>
  <c r="F493" i="4"/>
  <c r="A494" i="4"/>
  <c r="B494" i="4"/>
  <c r="C494" i="4"/>
  <c r="D494" i="4"/>
  <c r="F494" i="4"/>
  <c r="A495" i="4"/>
  <c r="B495" i="4"/>
  <c r="C495" i="4"/>
  <c r="D495" i="4"/>
  <c r="F495" i="4"/>
  <c r="A496" i="4"/>
  <c r="B496" i="4"/>
  <c r="C496" i="4"/>
  <c r="D496" i="4"/>
  <c r="F496" i="4"/>
  <c r="A497" i="4"/>
  <c r="B497" i="4"/>
  <c r="C497" i="4"/>
  <c r="D497" i="4"/>
  <c r="F497" i="4"/>
  <c r="A498" i="4"/>
  <c r="B498" i="4"/>
  <c r="C498" i="4"/>
  <c r="D498" i="4"/>
  <c r="F498" i="4"/>
  <c r="A499" i="4"/>
  <c r="B499" i="4"/>
  <c r="C499" i="4"/>
  <c r="D499" i="4"/>
  <c r="F499" i="4"/>
  <c r="A500" i="4"/>
  <c r="B500" i="4"/>
  <c r="C500" i="4"/>
  <c r="D500" i="4"/>
  <c r="F500" i="4"/>
  <c r="A501" i="4"/>
  <c r="B501" i="4"/>
  <c r="C501" i="4"/>
  <c r="D501" i="4"/>
  <c r="F501" i="4"/>
  <c r="F3" i="4"/>
  <c r="C3" i="4"/>
  <c r="B3" i="4"/>
  <c r="A3" i="4"/>
  <c r="D3" i="4"/>
  <c r="A4" i="17"/>
  <c r="B4" i="17"/>
  <c r="D4" i="17"/>
  <c r="F4" i="17"/>
  <c r="H4" i="17"/>
  <c r="A5" i="17"/>
  <c r="B5" i="17"/>
  <c r="D5" i="17"/>
  <c r="F5" i="17"/>
  <c r="H5" i="17"/>
  <c r="A6" i="17"/>
  <c r="B6" i="17"/>
  <c r="D6" i="17"/>
  <c r="F6" i="17"/>
  <c r="H6" i="17"/>
  <c r="A7" i="17"/>
  <c r="B7" i="17"/>
  <c r="D7" i="17"/>
  <c r="F7" i="17"/>
  <c r="H7" i="17"/>
  <c r="A8" i="17"/>
  <c r="B8" i="17"/>
  <c r="D8" i="17"/>
  <c r="F8" i="17"/>
  <c r="H8" i="17"/>
  <c r="A9" i="17"/>
  <c r="B9" i="17"/>
  <c r="D9" i="17"/>
  <c r="F9" i="17"/>
  <c r="H9" i="17"/>
  <c r="A10" i="17"/>
  <c r="B10" i="17"/>
  <c r="D10" i="17"/>
  <c r="F10" i="17"/>
  <c r="H10" i="17"/>
  <c r="A11" i="17"/>
  <c r="B11" i="17"/>
  <c r="D11" i="17"/>
  <c r="F11" i="17"/>
  <c r="H11" i="17"/>
  <c r="A12" i="17"/>
  <c r="B12" i="17"/>
  <c r="D12" i="17"/>
  <c r="F12" i="17"/>
  <c r="H12" i="17"/>
  <c r="A13" i="17"/>
  <c r="B13" i="17"/>
  <c r="D13" i="17"/>
  <c r="F13" i="17"/>
  <c r="H13" i="17"/>
  <c r="A14" i="17"/>
  <c r="B14" i="17"/>
  <c r="D14" i="17"/>
  <c r="F14" i="17"/>
  <c r="H14" i="17"/>
  <c r="A15" i="17"/>
  <c r="B15" i="17"/>
  <c r="D15" i="17"/>
  <c r="F15" i="17"/>
  <c r="H15" i="17"/>
  <c r="A16" i="17"/>
  <c r="B16" i="17"/>
  <c r="D16" i="17"/>
  <c r="F16" i="17"/>
  <c r="H16" i="17"/>
  <c r="A17" i="17"/>
  <c r="B17" i="17"/>
  <c r="D17" i="17"/>
  <c r="F17" i="17"/>
  <c r="H17" i="17"/>
  <c r="A18" i="17"/>
  <c r="B18" i="17"/>
  <c r="D18" i="17"/>
  <c r="F18" i="17"/>
  <c r="H18" i="17"/>
  <c r="A19" i="17"/>
  <c r="B19" i="17"/>
  <c r="D19" i="17"/>
  <c r="F19" i="17"/>
  <c r="H19" i="17"/>
  <c r="A20" i="17"/>
  <c r="B20" i="17"/>
  <c r="D20" i="17"/>
  <c r="F20" i="17"/>
  <c r="H20" i="17"/>
  <c r="A21" i="17"/>
  <c r="B21" i="17"/>
  <c r="D21" i="17"/>
  <c r="F21" i="17"/>
  <c r="H21" i="17"/>
  <c r="A22" i="17"/>
  <c r="B22" i="17"/>
  <c r="D22" i="17"/>
  <c r="F22" i="17"/>
  <c r="H22" i="17"/>
  <c r="A23" i="17"/>
  <c r="B23" i="17"/>
  <c r="D23" i="17"/>
  <c r="F23" i="17"/>
  <c r="H23" i="17"/>
  <c r="A24" i="17"/>
  <c r="B24" i="17"/>
  <c r="D24" i="17"/>
  <c r="F24" i="17"/>
  <c r="H24" i="17"/>
  <c r="A25" i="17"/>
  <c r="B25" i="17"/>
  <c r="D25" i="17"/>
  <c r="F25" i="17"/>
  <c r="H25" i="17"/>
  <c r="A26" i="17"/>
  <c r="B26" i="17"/>
  <c r="D26" i="17"/>
  <c r="F26" i="17"/>
  <c r="H26" i="17"/>
  <c r="A27" i="17"/>
  <c r="B27" i="17"/>
  <c r="D27" i="17"/>
  <c r="F27" i="17"/>
  <c r="H27" i="17"/>
  <c r="A28" i="17"/>
  <c r="B28" i="17"/>
  <c r="D28" i="17"/>
  <c r="F28" i="17"/>
  <c r="H28" i="17"/>
  <c r="A29" i="17"/>
  <c r="B29" i="17"/>
  <c r="D29" i="17"/>
  <c r="F29" i="17"/>
  <c r="H29" i="17"/>
  <c r="A30" i="17"/>
  <c r="B30" i="17"/>
  <c r="D30" i="17"/>
  <c r="F30" i="17"/>
  <c r="H30" i="17"/>
  <c r="A31" i="17"/>
  <c r="B31" i="17"/>
  <c r="D31" i="17"/>
  <c r="F31" i="17"/>
  <c r="H31" i="17"/>
  <c r="A32" i="17"/>
  <c r="B32" i="17"/>
  <c r="D32" i="17"/>
  <c r="F32" i="17"/>
  <c r="H32" i="17"/>
  <c r="A33" i="17"/>
  <c r="B33" i="17"/>
  <c r="D33" i="17"/>
  <c r="F33" i="17"/>
  <c r="H33" i="17"/>
  <c r="A34" i="17"/>
  <c r="B34" i="17"/>
  <c r="D34" i="17"/>
  <c r="F34" i="17"/>
  <c r="H34" i="17"/>
  <c r="A35" i="17"/>
  <c r="B35" i="17"/>
  <c r="D35" i="17"/>
  <c r="F35" i="17"/>
  <c r="H35" i="17"/>
  <c r="A36" i="17"/>
  <c r="B36" i="17"/>
  <c r="D36" i="17"/>
  <c r="F36" i="17"/>
  <c r="H36" i="17"/>
  <c r="A37" i="17"/>
  <c r="B37" i="17"/>
  <c r="D37" i="17"/>
  <c r="F37" i="17"/>
  <c r="H37" i="17"/>
  <c r="A38" i="17"/>
  <c r="B38" i="17"/>
  <c r="D38" i="17"/>
  <c r="F38" i="17"/>
  <c r="H38" i="17"/>
  <c r="A39" i="17"/>
  <c r="B39" i="17"/>
  <c r="D39" i="17"/>
  <c r="F39" i="17"/>
  <c r="H39" i="17"/>
  <c r="A40" i="17"/>
  <c r="B40" i="17"/>
  <c r="D40" i="17"/>
  <c r="F40" i="17"/>
  <c r="H40" i="17"/>
  <c r="A41" i="17"/>
  <c r="B41" i="17"/>
  <c r="D41" i="17"/>
  <c r="F41" i="17"/>
  <c r="H41" i="17"/>
  <c r="A42" i="17"/>
  <c r="B42" i="17"/>
  <c r="D42" i="17"/>
  <c r="F42" i="17"/>
  <c r="H42" i="17"/>
  <c r="A43" i="17"/>
  <c r="B43" i="17"/>
  <c r="D43" i="17"/>
  <c r="F43" i="17"/>
  <c r="H43" i="17"/>
  <c r="A44" i="17"/>
  <c r="B44" i="17"/>
  <c r="D44" i="17"/>
  <c r="F44" i="17"/>
  <c r="H44" i="17"/>
  <c r="A45" i="17"/>
  <c r="B45" i="17"/>
  <c r="D45" i="17"/>
  <c r="F45" i="17"/>
  <c r="H45" i="17"/>
  <c r="A46" i="17"/>
  <c r="B46" i="17"/>
  <c r="D46" i="17"/>
  <c r="F46" i="17"/>
  <c r="H46" i="17"/>
  <c r="A47" i="17"/>
  <c r="B47" i="17"/>
  <c r="D47" i="17"/>
  <c r="F47" i="17"/>
  <c r="H47" i="17"/>
  <c r="A48" i="17"/>
  <c r="B48" i="17"/>
  <c r="D48" i="17"/>
  <c r="F48" i="17"/>
  <c r="H48" i="17"/>
  <c r="A49" i="17"/>
  <c r="B49" i="17"/>
  <c r="D49" i="17"/>
  <c r="F49" i="17"/>
  <c r="H49" i="17"/>
  <c r="A50" i="17"/>
  <c r="B50" i="17"/>
  <c r="D50" i="17"/>
  <c r="F50" i="17"/>
  <c r="H50" i="17"/>
  <c r="A51" i="17"/>
  <c r="B51" i="17"/>
  <c r="D51" i="17"/>
  <c r="F51" i="17"/>
  <c r="H51" i="17"/>
  <c r="A52" i="17"/>
  <c r="B52" i="17"/>
  <c r="D52" i="17"/>
  <c r="F52" i="17"/>
  <c r="H52" i="17"/>
  <c r="A53" i="17"/>
  <c r="B53" i="17"/>
  <c r="D53" i="17"/>
  <c r="F53" i="17"/>
  <c r="H53" i="17"/>
  <c r="A54" i="17"/>
  <c r="B54" i="17"/>
  <c r="D54" i="17"/>
  <c r="F54" i="17"/>
  <c r="H54" i="17"/>
  <c r="A55" i="17"/>
  <c r="B55" i="17"/>
  <c r="D55" i="17"/>
  <c r="F55" i="17"/>
  <c r="H55" i="17"/>
  <c r="A56" i="17"/>
  <c r="B56" i="17"/>
  <c r="D56" i="17"/>
  <c r="F56" i="17"/>
  <c r="H56" i="17"/>
  <c r="A57" i="17"/>
  <c r="B57" i="17"/>
  <c r="D57" i="17"/>
  <c r="F57" i="17"/>
  <c r="H57" i="17"/>
  <c r="A58" i="17"/>
  <c r="B58" i="17"/>
  <c r="D58" i="17"/>
  <c r="F58" i="17"/>
  <c r="H58" i="17"/>
  <c r="A59" i="17"/>
  <c r="B59" i="17"/>
  <c r="D59" i="17"/>
  <c r="F59" i="17"/>
  <c r="H59" i="17"/>
  <c r="A60" i="17"/>
  <c r="B60" i="17"/>
  <c r="D60" i="17"/>
  <c r="F60" i="17"/>
  <c r="H60" i="17"/>
  <c r="A61" i="17"/>
  <c r="B61" i="17"/>
  <c r="D61" i="17"/>
  <c r="F61" i="17"/>
  <c r="H61" i="17"/>
  <c r="A62" i="17"/>
  <c r="B62" i="17"/>
  <c r="D62" i="17"/>
  <c r="F62" i="17"/>
  <c r="H62" i="17"/>
  <c r="A63" i="17"/>
  <c r="B63" i="17"/>
  <c r="D63" i="17"/>
  <c r="F63" i="17"/>
  <c r="H63" i="17"/>
  <c r="A64" i="17"/>
  <c r="B64" i="17"/>
  <c r="D64" i="17"/>
  <c r="F64" i="17"/>
  <c r="H64" i="17"/>
  <c r="A65" i="17"/>
  <c r="B65" i="17"/>
  <c r="D65" i="17"/>
  <c r="F65" i="17"/>
  <c r="H65" i="17"/>
  <c r="A66" i="17"/>
  <c r="B66" i="17"/>
  <c r="D66" i="17"/>
  <c r="F66" i="17"/>
  <c r="H66" i="17"/>
  <c r="A67" i="17"/>
  <c r="B67" i="17"/>
  <c r="D67" i="17"/>
  <c r="F67" i="17"/>
  <c r="H67" i="17"/>
  <c r="A68" i="17"/>
  <c r="B68" i="17"/>
  <c r="D68" i="17"/>
  <c r="F68" i="17"/>
  <c r="H68" i="17"/>
  <c r="A69" i="17"/>
  <c r="B69" i="17"/>
  <c r="D69" i="17"/>
  <c r="F69" i="17"/>
  <c r="H69" i="17"/>
  <c r="A70" i="17"/>
  <c r="B70" i="17"/>
  <c r="D70" i="17"/>
  <c r="F70" i="17"/>
  <c r="H70" i="17"/>
  <c r="A71" i="17"/>
  <c r="B71" i="17"/>
  <c r="D71" i="17"/>
  <c r="F71" i="17"/>
  <c r="H71" i="17"/>
  <c r="A72" i="17"/>
  <c r="B72" i="17"/>
  <c r="D72" i="17"/>
  <c r="F72" i="17"/>
  <c r="H72" i="17"/>
  <c r="A73" i="17"/>
  <c r="B73" i="17"/>
  <c r="D73" i="17"/>
  <c r="F73" i="17"/>
  <c r="H73" i="17"/>
  <c r="A74" i="17"/>
  <c r="B74" i="17"/>
  <c r="D74" i="17"/>
  <c r="F74" i="17"/>
  <c r="H74" i="17"/>
  <c r="A75" i="17"/>
  <c r="B75" i="17"/>
  <c r="D75" i="17"/>
  <c r="F75" i="17"/>
  <c r="H75" i="17"/>
  <c r="A76" i="17"/>
  <c r="B76" i="17"/>
  <c r="D76" i="17"/>
  <c r="F76" i="17"/>
  <c r="H76" i="17"/>
  <c r="A77" i="17"/>
  <c r="B77" i="17"/>
  <c r="D77" i="17"/>
  <c r="F77" i="17"/>
  <c r="H77" i="17"/>
  <c r="A78" i="17"/>
  <c r="B78" i="17"/>
  <c r="D78" i="17"/>
  <c r="F78" i="17"/>
  <c r="H78" i="17"/>
  <c r="A79" i="17"/>
  <c r="B79" i="17"/>
  <c r="D79" i="17"/>
  <c r="F79" i="17"/>
  <c r="H79" i="17"/>
  <c r="A80" i="17"/>
  <c r="B80" i="17"/>
  <c r="D80" i="17"/>
  <c r="F80" i="17"/>
  <c r="H80" i="17"/>
  <c r="A81" i="17"/>
  <c r="B81" i="17"/>
  <c r="D81" i="17"/>
  <c r="F81" i="17"/>
  <c r="H81" i="17"/>
  <c r="A82" i="17"/>
  <c r="B82" i="17"/>
  <c r="D82" i="17"/>
  <c r="F82" i="17"/>
  <c r="H82" i="17"/>
  <c r="A83" i="17"/>
  <c r="B83" i="17"/>
  <c r="D83" i="17"/>
  <c r="F83" i="17"/>
  <c r="H83" i="17"/>
  <c r="A84" i="17"/>
  <c r="B84" i="17"/>
  <c r="D84" i="17"/>
  <c r="F84" i="17"/>
  <c r="H84" i="17"/>
  <c r="A85" i="17"/>
  <c r="B85" i="17"/>
  <c r="D85" i="17"/>
  <c r="F85" i="17"/>
  <c r="H85" i="17"/>
  <c r="A86" i="17"/>
  <c r="B86" i="17"/>
  <c r="D86" i="17"/>
  <c r="F86" i="17"/>
  <c r="H86" i="17"/>
  <c r="A87" i="17"/>
  <c r="B87" i="17"/>
  <c r="D87" i="17"/>
  <c r="F87" i="17"/>
  <c r="H87" i="17"/>
  <c r="A88" i="17"/>
  <c r="B88" i="17"/>
  <c r="D88" i="17"/>
  <c r="F88" i="17"/>
  <c r="H88" i="17"/>
  <c r="A89" i="17"/>
  <c r="B89" i="17"/>
  <c r="D89" i="17"/>
  <c r="F89" i="17"/>
  <c r="H89" i="17"/>
  <c r="A90" i="17"/>
  <c r="B90" i="17"/>
  <c r="D90" i="17"/>
  <c r="F90" i="17"/>
  <c r="H90" i="17"/>
  <c r="A91" i="17"/>
  <c r="B91" i="17"/>
  <c r="D91" i="17"/>
  <c r="F91" i="17"/>
  <c r="H91" i="17"/>
  <c r="A92" i="17"/>
  <c r="B92" i="17"/>
  <c r="D92" i="17"/>
  <c r="F92" i="17"/>
  <c r="H92" i="17"/>
  <c r="A93" i="17"/>
  <c r="B93" i="17"/>
  <c r="D93" i="17"/>
  <c r="F93" i="17"/>
  <c r="H93" i="17"/>
  <c r="A94" i="17"/>
  <c r="B94" i="17"/>
  <c r="D94" i="17"/>
  <c r="F94" i="17"/>
  <c r="H94" i="17"/>
  <c r="A95" i="17"/>
  <c r="B95" i="17"/>
  <c r="D95" i="17"/>
  <c r="F95" i="17"/>
  <c r="H95" i="17"/>
  <c r="A96" i="17"/>
  <c r="B96" i="17"/>
  <c r="D96" i="17"/>
  <c r="F96" i="17"/>
  <c r="H96" i="17"/>
  <c r="A97" i="17"/>
  <c r="B97" i="17"/>
  <c r="D97" i="17"/>
  <c r="F97" i="17"/>
  <c r="H97" i="17"/>
  <c r="A98" i="17"/>
  <c r="B98" i="17"/>
  <c r="D98" i="17"/>
  <c r="F98" i="17"/>
  <c r="H98" i="17"/>
  <c r="A99" i="17"/>
  <c r="B99" i="17"/>
  <c r="D99" i="17"/>
  <c r="F99" i="17"/>
  <c r="H99" i="17"/>
  <c r="A100" i="17"/>
  <c r="B100" i="17"/>
  <c r="D100" i="17"/>
  <c r="F100" i="17"/>
  <c r="H100" i="17"/>
  <c r="A101" i="17"/>
  <c r="B101" i="17"/>
  <c r="D101" i="17"/>
  <c r="F101" i="17"/>
  <c r="H101" i="17"/>
  <c r="A102" i="17"/>
  <c r="B102" i="17"/>
  <c r="D102" i="17"/>
  <c r="F102" i="17"/>
  <c r="H102" i="17"/>
  <c r="A103" i="17"/>
  <c r="B103" i="17"/>
  <c r="D103" i="17"/>
  <c r="F103" i="17"/>
  <c r="H103" i="17"/>
  <c r="A104" i="17"/>
  <c r="B104" i="17"/>
  <c r="D104" i="17"/>
  <c r="F104" i="17"/>
  <c r="H104" i="17"/>
  <c r="A105" i="17"/>
  <c r="B105" i="17"/>
  <c r="D105" i="17"/>
  <c r="F105" i="17"/>
  <c r="H105" i="17"/>
  <c r="A106" i="17"/>
  <c r="B106" i="17"/>
  <c r="D106" i="17"/>
  <c r="F106" i="17"/>
  <c r="H106" i="17"/>
  <c r="A107" i="17"/>
  <c r="B107" i="17"/>
  <c r="D107" i="17"/>
  <c r="F107" i="17"/>
  <c r="H107" i="17"/>
  <c r="A108" i="17"/>
  <c r="B108" i="17"/>
  <c r="D108" i="17"/>
  <c r="F108" i="17"/>
  <c r="H108" i="17"/>
  <c r="A109" i="17"/>
  <c r="B109" i="17"/>
  <c r="D109" i="17"/>
  <c r="F109" i="17"/>
  <c r="H109" i="17"/>
  <c r="A110" i="17"/>
  <c r="B110" i="17"/>
  <c r="D110" i="17"/>
  <c r="F110" i="17"/>
  <c r="H110" i="17"/>
  <c r="A111" i="17"/>
  <c r="B111" i="17"/>
  <c r="D111" i="17"/>
  <c r="F111" i="17"/>
  <c r="H111" i="17"/>
  <c r="A112" i="17"/>
  <c r="B112" i="17"/>
  <c r="D112" i="17"/>
  <c r="F112" i="17"/>
  <c r="H112" i="17"/>
  <c r="A113" i="17"/>
  <c r="B113" i="17"/>
  <c r="D113" i="17"/>
  <c r="F113" i="17"/>
  <c r="H113" i="17"/>
  <c r="A114" i="17"/>
  <c r="B114" i="17"/>
  <c r="D114" i="17"/>
  <c r="F114" i="17"/>
  <c r="H114" i="17"/>
  <c r="A115" i="17"/>
  <c r="B115" i="17"/>
  <c r="D115" i="17"/>
  <c r="F115" i="17"/>
  <c r="H115" i="17"/>
  <c r="A116" i="17"/>
  <c r="B116" i="17"/>
  <c r="D116" i="17"/>
  <c r="F116" i="17"/>
  <c r="H116" i="17"/>
  <c r="A117" i="17"/>
  <c r="B117" i="17"/>
  <c r="D117" i="17"/>
  <c r="F117" i="17"/>
  <c r="H117" i="17"/>
  <c r="A118" i="17"/>
  <c r="B118" i="17"/>
  <c r="D118" i="17"/>
  <c r="F118" i="17"/>
  <c r="H118" i="17"/>
  <c r="A119" i="17"/>
  <c r="B119" i="17"/>
  <c r="D119" i="17"/>
  <c r="F119" i="17"/>
  <c r="H119" i="17"/>
  <c r="A120" i="17"/>
  <c r="B120" i="17"/>
  <c r="D120" i="17"/>
  <c r="F120" i="17"/>
  <c r="H120" i="17"/>
  <c r="A121" i="17"/>
  <c r="B121" i="17"/>
  <c r="D121" i="17"/>
  <c r="F121" i="17"/>
  <c r="H121" i="17"/>
  <c r="A122" i="17"/>
  <c r="B122" i="17"/>
  <c r="D122" i="17"/>
  <c r="F122" i="17"/>
  <c r="H122" i="17"/>
  <c r="A123" i="17"/>
  <c r="B123" i="17"/>
  <c r="D123" i="17"/>
  <c r="F123" i="17"/>
  <c r="H123" i="17"/>
  <c r="A124" i="17"/>
  <c r="B124" i="17"/>
  <c r="D124" i="17"/>
  <c r="F124" i="17"/>
  <c r="H124" i="17"/>
  <c r="A125" i="17"/>
  <c r="B125" i="17"/>
  <c r="D125" i="17"/>
  <c r="F125" i="17"/>
  <c r="H125" i="17"/>
  <c r="A126" i="17"/>
  <c r="B126" i="17"/>
  <c r="D126" i="17"/>
  <c r="F126" i="17"/>
  <c r="H126" i="17"/>
  <c r="A127" i="17"/>
  <c r="B127" i="17"/>
  <c r="D127" i="17"/>
  <c r="F127" i="17"/>
  <c r="H127" i="17"/>
  <c r="A128" i="17"/>
  <c r="B128" i="17"/>
  <c r="D128" i="17"/>
  <c r="F128" i="17"/>
  <c r="H128" i="17"/>
  <c r="A129" i="17"/>
  <c r="B129" i="17"/>
  <c r="D129" i="17"/>
  <c r="F129" i="17"/>
  <c r="H129" i="17"/>
  <c r="A130" i="17"/>
  <c r="B130" i="17"/>
  <c r="D130" i="17"/>
  <c r="F130" i="17"/>
  <c r="H130" i="17"/>
  <c r="A131" i="17"/>
  <c r="B131" i="17"/>
  <c r="D131" i="17"/>
  <c r="F131" i="17"/>
  <c r="H131" i="17"/>
  <c r="A132" i="17"/>
  <c r="B132" i="17"/>
  <c r="D132" i="17"/>
  <c r="F132" i="17"/>
  <c r="H132" i="17"/>
  <c r="A133" i="17"/>
  <c r="B133" i="17"/>
  <c r="D133" i="17"/>
  <c r="F133" i="17"/>
  <c r="H133" i="17"/>
  <c r="A134" i="17"/>
  <c r="B134" i="17"/>
  <c r="D134" i="17"/>
  <c r="F134" i="17"/>
  <c r="H134" i="17"/>
  <c r="A135" i="17"/>
  <c r="B135" i="17"/>
  <c r="D135" i="17"/>
  <c r="F135" i="17"/>
  <c r="H135" i="17"/>
  <c r="A136" i="17"/>
  <c r="B136" i="17"/>
  <c r="D136" i="17"/>
  <c r="F136" i="17"/>
  <c r="H136" i="17"/>
  <c r="A137" i="17"/>
  <c r="B137" i="17"/>
  <c r="D137" i="17"/>
  <c r="F137" i="17"/>
  <c r="H137" i="17"/>
  <c r="A138" i="17"/>
  <c r="B138" i="17"/>
  <c r="D138" i="17"/>
  <c r="F138" i="17"/>
  <c r="H138" i="17"/>
  <c r="A139" i="17"/>
  <c r="B139" i="17"/>
  <c r="D139" i="17"/>
  <c r="F139" i="17"/>
  <c r="H139" i="17"/>
  <c r="A140" i="17"/>
  <c r="B140" i="17"/>
  <c r="D140" i="17"/>
  <c r="F140" i="17"/>
  <c r="H140" i="17"/>
  <c r="A141" i="17"/>
  <c r="B141" i="17"/>
  <c r="D141" i="17"/>
  <c r="F141" i="17"/>
  <c r="H141" i="17"/>
  <c r="A142" i="17"/>
  <c r="B142" i="17"/>
  <c r="D142" i="17"/>
  <c r="F142" i="17"/>
  <c r="H142" i="17"/>
  <c r="A143" i="17"/>
  <c r="B143" i="17"/>
  <c r="D143" i="17"/>
  <c r="F143" i="17"/>
  <c r="H143" i="17"/>
  <c r="A144" i="17"/>
  <c r="B144" i="17"/>
  <c r="D144" i="17"/>
  <c r="F144" i="17"/>
  <c r="H144" i="17"/>
  <c r="A145" i="17"/>
  <c r="B145" i="17"/>
  <c r="D145" i="17"/>
  <c r="F145" i="17"/>
  <c r="H145" i="17"/>
  <c r="A146" i="17"/>
  <c r="B146" i="17"/>
  <c r="D146" i="17"/>
  <c r="F146" i="17"/>
  <c r="H146" i="17"/>
  <c r="A147" i="17"/>
  <c r="B147" i="17"/>
  <c r="D147" i="17"/>
  <c r="F147" i="17"/>
  <c r="H147" i="17"/>
  <c r="A148" i="17"/>
  <c r="B148" i="17"/>
  <c r="D148" i="17"/>
  <c r="F148" i="17"/>
  <c r="H148" i="17"/>
  <c r="A149" i="17"/>
  <c r="B149" i="17"/>
  <c r="D149" i="17"/>
  <c r="F149" i="17"/>
  <c r="H149" i="17"/>
  <c r="A150" i="17"/>
  <c r="B150" i="17"/>
  <c r="D150" i="17"/>
  <c r="F150" i="17"/>
  <c r="H150" i="17"/>
  <c r="A151" i="17"/>
  <c r="B151" i="17"/>
  <c r="D151" i="17"/>
  <c r="F151" i="17"/>
  <c r="H151" i="17"/>
  <c r="A152" i="17"/>
  <c r="B152" i="17"/>
  <c r="D152" i="17"/>
  <c r="F152" i="17"/>
  <c r="H152" i="17"/>
  <c r="A153" i="17"/>
  <c r="B153" i="17"/>
  <c r="D153" i="17"/>
  <c r="F153" i="17"/>
  <c r="H153" i="17"/>
  <c r="A154" i="17"/>
  <c r="B154" i="17"/>
  <c r="D154" i="17"/>
  <c r="F154" i="17"/>
  <c r="H154" i="17"/>
  <c r="A155" i="17"/>
  <c r="B155" i="17"/>
  <c r="D155" i="17"/>
  <c r="F155" i="17"/>
  <c r="H155" i="17"/>
  <c r="A156" i="17"/>
  <c r="B156" i="17"/>
  <c r="D156" i="17"/>
  <c r="F156" i="17"/>
  <c r="H156" i="17"/>
  <c r="A157" i="17"/>
  <c r="B157" i="17"/>
  <c r="D157" i="17"/>
  <c r="F157" i="17"/>
  <c r="H157" i="17"/>
  <c r="A158" i="17"/>
  <c r="B158" i="17"/>
  <c r="D158" i="17"/>
  <c r="F158" i="17"/>
  <c r="H158" i="17"/>
  <c r="A159" i="17"/>
  <c r="B159" i="17"/>
  <c r="D159" i="17"/>
  <c r="F159" i="17"/>
  <c r="H159" i="17"/>
  <c r="A160" i="17"/>
  <c r="B160" i="17"/>
  <c r="D160" i="17"/>
  <c r="F160" i="17"/>
  <c r="H160" i="17"/>
  <c r="A161" i="17"/>
  <c r="B161" i="17"/>
  <c r="D161" i="17"/>
  <c r="F161" i="17"/>
  <c r="H161" i="17"/>
  <c r="A162" i="17"/>
  <c r="B162" i="17"/>
  <c r="D162" i="17"/>
  <c r="F162" i="17"/>
  <c r="H162" i="17"/>
  <c r="A163" i="17"/>
  <c r="B163" i="17"/>
  <c r="D163" i="17"/>
  <c r="F163" i="17"/>
  <c r="H163" i="17"/>
  <c r="A164" i="17"/>
  <c r="B164" i="17"/>
  <c r="D164" i="17"/>
  <c r="F164" i="17"/>
  <c r="H164" i="17"/>
  <c r="A165" i="17"/>
  <c r="B165" i="17"/>
  <c r="D165" i="17"/>
  <c r="F165" i="17"/>
  <c r="H165" i="17"/>
  <c r="A166" i="17"/>
  <c r="B166" i="17"/>
  <c r="D166" i="17"/>
  <c r="F166" i="17"/>
  <c r="H166" i="17"/>
  <c r="A167" i="17"/>
  <c r="B167" i="17"/>
  <c r="D167" i="17"/>
  <c r="F167" i="17"/>
  <c r="H167" i="17"/>
  <c r="A168" i="17"/>
  <c r="B168" i="17"/>
  <c r="D168" i="17"/>
  <c r="F168" i="17"/>
  <c r="H168" i="17"/>
  <c r="A169" i="17"/>
  <c r="B169" i="17"/>
  <c r="D169" i="17"/>
  <c r="F169" i="17"/>
  <c r="H169" i="17"/>
  <c r="A170" i="17"/>
  <c r="B170" i="17"/>
  <c r="D170" i="17"/>
  <c r="F170" i="17"/>
  <c r="H170" i="17"/>
  <c r="A171" i="17"/>
  <c r="B171" i="17"/>
  <c r="D171" i="17"/>
  <c r="F171" i="17"/>
  <c r="H171" i="17"/>
  <c r="A172" i="17"/>
  <c r="B172" i="17"/>
  <c r="D172" i="17"/>
  <c r="F172" i="17"/>
  <c r="H172" i="17"/>
  <c r="A173" i="17"/>
  <c r="B173" i="17"/>
  <c r="D173" i="17"/>
  <c r="F173" i="17"/>
  <c r="H173" i="17"/>
  <c r="A174" i="17"/>
  <c r="B174" i="17"/>
  <c r="D174" i="17"/>
  <c r="F174" i="17"/>
  <c r="H174" i="17"/>
  <c r="A175" i="17"/>
  <c r="B175" i="17"/>
  <c r="D175" i="17"/>
  <c r="F175" i="17"/>
  <c r="H175" i="17"/>
  <c r="A176" i="17"/>
  <c r="B176" i="17"/>
  <c r="D176" i="17"/>
  <c r="F176" i="17"/>
  <c r="H176" i="17"/>
  <c r="A177" i="17"/>
  <c r="B177" i="17"/>
  <c r="D177" i="17"/>
  <c r="F177" i="17"/>
  <c r="H177" i="17"/>
  <c r="A178" i="17"/>
  <c r="B178" i="17"/>
  <c r="D178" i="17"/>
  <c r="F178" i="17"/>
  <c r="H178" i="17"/>
  <c r="A179" i="17"/>
  <c r="B179" i="17"/>
  <c r="D179" i="17"/>
  <c r="F179" i="17"/>
  <c r="H179" i="17"/>
  <c r="A180" i="17"/>
  <c r="B180" i="17"/>
  <c r="D180" i="17"/>
  <c r="F180" i="17"/>
  <c r="H180" i="17"/>
  <c r="A181" i="17"/>
  <c r="B181" i="17"/>
  <c r="D181" i="17"/>
  <c r="F181" i="17"/>
  <c r="H181" i="17"/>
  <c r="A182" i="17"/>
  <c r="B182" i="17"/>
  <c r="D182" i="17"/>
  <c r="F182" i="17"/>
  <c r="H182" i="17"/>
  <c r="A183" i="17"/>
  <c r="B183" i="17"/>
  <c r="D183" i="17"/>
  <c r="F183" i="17"/>
  <c r="H183" i="17"/>
  <c r="A184" i="17"/>
  <c r="B184" i="17"/>
  <c r="D184" i="17"/>
  <c r="F184" i="17"/>
  <c r="H184" i="17"/>
  <c r="A185" i="17"/>
  <c r="B185" i="17"/>
  <c r="D185" i="17"/>
  <c r="F185" i="17"/>
  <c r="H185" i="17"/>
  <c r="A186" i="17"/>
  <c r="B186" i="17"/>
  <c r="D186" i="17"/>
  <c r="F186" i="17"/>
  <c r="H186" i="17"/>
  <c r="A187" i="17"/>
  <c r="B187" i="17"/>
  <c r="D187" i="17"/>
  <c r="F187" i="17"/>
  <c r="H187" i="17"/>
  <c r="A188" i="17"/>
  <c r="B188" i="17"/>
  <c r="D188" i="17"/>
  <c r="F188" i="17"/>
  <c r="H188" i="17"/>
  <c r="A189" i="17"/>
  <c r="B189" i="17"/>
  <c r="D189" i="17"/>
  <c r="F189" i="17"/>
  <c r="H189" i="17"/>
  <c r="A190" i="17"/>
  <c r="B190" i="17"/>
  <c r="D190" i="17"/>
  <c r="F190" i="17"/>
  <c r="H190" i="17"/>
  <c r="A191" i="17"/>
  <c r="B191" i="17"/>
  <c r="D191" i="17"/>
  <c r="F191" i="17"/>
  <c r="H191" i="17"/>
  <c r="A192" i="17"/>
  <c r="B192" i="17"/>
  <c r="D192" i="17"/>
  <c r="F192" i="17"/>
  <c r="H192" i="17"/>
  <c r="A193" i="17"/>
  <c r="B193" i="17"/>
  <c r="D193" i="17"/>
  <c r="F193" i="17"/>
  <c r="H193" i="17"/>
  <c r="A194" i="17"/>
  <c r="B194" i="17"/>
  <c r="D194" i="17"/>
  <c r="F194" i="17"/>
  <c r="H194" i="17"/>
  <c r="A195" i="17"/>
  <c r="B195" i="17"/>
  <c r="D195" i="17"/>
  <c r="F195" i="17"/>
  <c r="H195" i="17"/>
  <c r="A196" i="17"/>
  <c r="B196" i="17"/>
  <c r="D196" i="17"/>
  <c r="F196" i="17"/>
  <c r="H196" i="17"/>
  <c r="A197" i="17"/>
  <c r="B197" i="17"/>
  <c r="D197" i="17"/>
  <c r="F197" i="17"/>
  <c r="H197" i="17"/>
  <c r="A198" i="17"/>
  <c r="B198" i="17"/>
  <c r="D198" i="17"/>
  <c r="F198" i="17"/>
  <c r="H198" i="17"/>
  <c r="A199" i="17"/>
  <c r="B199" i="17"/>
  <c r="D199" i="17"/>
  <c r="F199" i="17"/>
  <c r="H199" i="17"/>
  <c r="A200" i="17"/>
  <c r="B200" i="17"/>
  <c r="D200" i="17"/>
  <c r="F200" i="17"/>
  <c r="H200" i="17"/>
  <c r="A201" i="17"/>
  <c r="B201" i="17"/>
  <c r="D201" i="17"/>
  <c r="F201" i="17"/>
  <c r="H201" i="17"/>
  <c r="A202" i="17"/>
  <c r="B202" i="17"/>
  <c r="D202" i="17"/>
  <c r="F202" i="17"/>
  <c r="H202" i="17"/>
  <c r="A203" i="17"/>
  <c r="B203" i="17"/>
  <c r="D203" i="17"/>
  <c r="F203" i="17"/>
  <c r="H203" i="17"/>
  <c r="A204" i="17"/>
  <c r="B204" i="17"/>
  <c r="D204" i="17"/>
  <c r="F204" i="17"/>
  <c r="H204" i="17"/>
  <c r="A205" i="17"/>
  <c r="B205" i="17"/>
  <c r="D205" i="17"/>
  <c r="F205" i="17"/>
  <c r="H205" i="17"/>
  <c r="A206" i="17"/>
  <c r="B206" i="17"/>
  <c r="D206" i="17"/>
  <c r="F206" i="17"/>
  <c r="H206" i="17"/>
  <c r="A207" i="17"/>
  <c r="B207" i="17"/>
  <c r="D207" i="17"/>
  <c r="F207" i="17"/>
  <c r="H207" i="17"/>
  <c r="A208" i="17"/>
  <c r="B208" i="17"/>
  <c r="D208" i="17"/>
  <c r="F208" i="17"/>
  <c r="H208" i="17"/>
  <c r="A209" i="17"/>
  <c r="B209" i="17"/>
  <c r="D209" i="17"/>
  <c r="F209" i="17"/>
  <c r="H209" i="17"/>
  <c r="A210" i="17"/>
  <c r="B210" i="17"/>
  <c r="D210" i="17"/>
  <c r="F210" i="17"/>
  <c r="H210" i="17"/>
  <c r="A211" i="17"/>
  <c r="B211" i="17"/>
  <c r="D211" i="17"/>
  <c r="F211" i="17"/>
  <c r="H211" i="17"/>
  <c r="A212" i="17"/>
  <c r="B212" i="17"/>
  <c r="D212" i="17"/>
  <c r="F212" i="17"/>
  <c r="H212" i="17"/>
  <c r="A213" i="17"/>
  <c r="B213" i="17"/>
  <c r="D213" i="17"/>
  <c r="F213" i="17"/>
  <c r="H213" i="17"/>
  <c r="A214" i="17"/>
  <c r="B214" i="17"/>
  <c r="D214" i="17"/>
  <c r="F214" i="17"/>
  <c r="H214" i="17"/>
  <c r="A215" i="17"/>
  <c r="B215" i="17"/>
  <c r="D215" i="17"/>
  <c r="F215" i="17"/>
  <c r="H215" i="17"/>
  <c r="A216" i="17"/>
  <c r="B216" i="17"/>
  <c r="D216" i="17"/>
  <c r="F216" i="17"/>
  <c r="H216" i="17"/>
  <c r="A217" i="17"/>
  <c r="B217" i="17"/>
  <c r="D217" i="17"/>
  <c r="F217" i="17"/>
  <c r="H217" i="17"/>
  <c r="A218" i="17"/>
  <c r="B218" i="17"/>
  <c r="D218" i="17"/>
  <c r="F218" i="17"/>
  <c r="H218" i="17"/>
  <c r="A219" i="17"/>
  <c r="B219" i="17"/>
  <c r="D219" i="17"/>
  <c r="F219" i="17"/>
  <c r="H219" i="17"/>
  <c r="A220" i="17"/>
  <c r="B220" i="17"/>
  <c r="D220" i="17"/>
  <c r="F220" i="17"/>
  <c r="H220" i="17"/>
  <c r="A221" i="17"/>
  <c r="B221" i="17"/>
  <c r="D221" i="17"/>
  <c r="F221" i="17"/>
  <c r="H221" i="17"/>
  <c r="A222" i="17"/>
  <c r="B222" i="17"/>
  <c r="D222" i="17"/>
  <c r="F222" i="17"/>
  <c r="H222" i="17"/>
  <c r="A223" i="17"/>
  <c r="B223" i="17"/>
  <c r="D223" i="17"/>
  <c r="F223" i="17"/>
  <c r="H223" i="17"/>
  <c r="A224" i="17"/>
  <c r="B224" i="17"/>
  <c r="D224" i="17"/>
  <c r="F224" i="17"/>
  <c r="H224" i="17"/>
  <c r="A225" i="17"/>
  <c r="B225" i="17"/>
  <c r="D225" i="17"/>
  <c r="F225" i="17"/>
  <c r="H225" i="17"/>
  <c r="A226" i="17"/>
  <c r="B226" i="17"/>
  <c r="D226" i="17"/>
  <c r="F226" i="17"/>
  <c r="H226" i="17"/>
  <c r="A227" i="17"/>
  <c r="B227" i="17"/>
  <c r="D227" i="17"/>
  <c r="F227" i="17"/>
  <c r="H227" i="17"/>
  <c r="A228" i="17"/>
  <c r="B228" i="17"/>
  <c r="D228" i="17"/>
  <c r="F228" i="17"/>
  <c r="H228" i="17"/>
  <c r="A229" i="17"/>
  <c r="B229" i="17"/>
  <c r="D229" i="17"/>
  <c r="F229" i="17"/>
  <c r="H229" i="17"/>
  <c r="A230" i="17"/>
  <c r="B230" i="17"/>
  <c r="D230" i="17"/>
  <c r="F230" i="17"/>
  <c r="H230" i="17"/>
  <c r="A231" i="17"/>
  <c r="B231" i="17"/>
  <c r="D231" i="17"/>
  <c r="F231" i="17"/>
  <c r="H231" i="17"/>
  <c r="A232" i="17"/>
  <c r="B232" i="17"/>
  <c r="D232" i="17"/>
  <c r="F232" i="17"/>
  <c r="H232" i="17"/>
  <c r="A233" i="17"/>
  <c r="B233" i="17"/>
  <c r="D233" i="17"/>
  <c r="F233" i="17"/>
  <c r="H233" i="17"/>
  <c r="A234" i="17"/>
  <c r="B234" i="17"/>
  <c r="D234" i="17"/>
  <c r="F234" i="17"/>
  <c r="H234" i="17"/>
  <c r="A235" i="17"/>
  <c r="B235" i="17"/>
  <c r="D235" i="17"/>
  <c r="F235" i="17"/>
  <c r="H235" i="17"/>
  <c r="A236" i="17"/>
  <c r="B236" i="17"/>
  <c r="D236" i="17"/>
  <c r="F236" i="17"/>
  <c r="H236" i="17"/>
  <c r="A237" i="17"/>
  <c r="B237" i="17"/>
  <c r="D237" i="17"/>
  <c r="F237" i="17"/>
  <c r="H237" i="17"/>
  <c r="A238" i="17"/>
  <c r="B238" i="17"/>
  <c r="D238" i="17"/>
  <c r="F238" i="17"/>
  <c r="H238" i="17"/>
  <c r="A239" i="17"/>
  <c r="B239" i="17"/>
  <c r="D239" i="17"/>
  <c r="F239" i="17"/>
  <c r="H239" i="17"/>
  <c r="A240" i="17"/>
  <c r="B240" i="17"/>
  <c r="D240" i="17"/>
  <c r="F240" i="17"/>
  <c r="H240" i="17"/>
  <c r="A241" i="17"/>
  <c r="B241" i="17"/>
  <c r="D241" i="17"/>
  <c r="F241" i="17"/>
  <c r="H241" i="17"/>
  <c r="A242" i="17"/>
  <c r="B242" i="17"/>
  <c r="D242" i="17"/>
  <c r="F242" i="17"/>
  <c r="H242" i="17"/>
  <c r="A243" i="17"/>
  <c r="B243" i="17"/>
  <c r="D243" i="17"/>
  <c r="F243" i="17"/>
  <c r="H243" i="17"/>
  <c r="A244" i="17"/>
  <c r="B244" i="17"/>
  <c r="D244" i="17"/>
  <c r="F244" i="17"/>
  <c r="H244" i="17"/>
  <c r="A245" i="17"/>
  <c r="B245" i="17"/>
  <c r="D245" i="17"/>
  <c r="F245" i="17"/>
  <c r="H245" i="17"/>
  <c r="A246" i="17"/>
  <c r="B246" i="17"/>
  <c r="D246" i="17"/>
  <c r="F246" i="17"/>
  <c r="H246" i="17"/>
  <c r="A247" i="17"/>
  <c r="B247" i="17"/>
  <c r="D247" i="17"/>
  <c r="F247" i="17"/>
  <c r="H247" i="17"/>
  <c r="A248" i="17"/>
  <c r="B248" i="17"/>
  <c r="D248" i="17"/>
  <c r="F248" i="17"/>
  <c r="H248" i="17"/>
  <c r="A249" i="17"/>
  <c r="B249" i="17"/>
  <c r="D249" i="17"/>
  <c r="F249" i="17"/>
  <c r="H249" i="17"/>
  <c r="A250" i="17"/>
  <c r="B250" i="17"/>
  <c r="D250" i="17"/>
  <c r="F250" i="17"/>
  <c r="H250" i="17"/>
  <c r="A251" i="17"/>
  <c r="B251" i="17"/>
  <c r="D251" i="17"/>
  <c r="F251" i="17"/>
  <c r="H251" i="17"/>
  <c r="A252" i="17"/>
  <c r="B252" i="17"/>
  <c r="D252" i="17"/>
  <c r="F252" i="17"/>
  <c r="H252" i="17"/>
  <c r="A253" i="17"/>
  <c r="B253" i="17"/>
  <c r="D253" i="17"/>
  <c r="F253" i="17"/>
  <c r="H253" i="17"/>
  <c r="A254" i="17"/>
  <c r="B254" i="17"/>
  <c r="D254" i="17"/>
  <c r="F254" i="17"/>
  <c r="H254" i="17"/>
  <c r="A255" i="17"/>
  <c r="B255" i="17"/>
  <c r="D255" i="17"/>
  <c r="F255" i="17"/>
  <c r="H255" i="17"/>
  <c r="A256" i="17"/>
  <c r="B256" i="17"/>
  <c r="D256" i="17"/>
  <c r="F256" i="17"/>
  <c r="H256" i="17"/>
  <c r="A257" i="17"/>
  <c r="B257" i="17"/>
  <c r="D257" i="17"/>
  <c r="F257" i="17"/>
  <c r="H257" i="17"/>
  <c r="A258" i="17"/>
  <c r="B258" i="17"/>
  <c r="D258" i="17"/>
  <c r="F258" i="17"/>
  <c r="H258" i="17"/>
  <c r="A259" i="17"/>
  <c r="B259" i="17"/>
  <c r="D259" i="17"/>
  <c r="F259" i="17"/>
  <c r="H259" i="17"/>
  <c r="A260" i="17"/>
  <c r="B260" i="17"/>
  <c r="D260" i="17"/>
  <c r="F260" i="17"/>
  <c r="H260" i="17"/>
  <c r="A261" i="17"/>
  <c r="B261" i="17"/>
  <c r="D261" i="17"/>
  <c r="F261" i="17"/>
  <c r="H261" i="17"/>
  <c r="A262" i="17"/>
  <c r="B262" i="17"/>
  <c r="D262" i="17"/>
  <c r="F262" i="17"/>
  <c r="H262" i="17"/>
  <c r="A263" i="17"/>
  <c r="B263" i="17"/>
  <c r="D263" i="17"/>
  <c r="F263" i="17"/>
  <c r="H263" i="17"/>
  <c r="A264" i="17"/>
  <c r="B264" i="17"/>
  <c r="D264" i="17"/>
  <c r="F264" i="17"/>
  <c r="H264" i="17"/>
  <c r="A265" i="17"/>
  <c r="B265" i="17"/>
  <c r="D265" i="17"/>
  <c r="F265" i="17"/>
  <c r="H265" i="17"/>
  <c r="A266" i="17"/>
  <c r="B266" i="17"/>
  <c r="D266" i="17"/>
  <c r="F266" i="17"/>
  <c r="H266" i="17"/>
  <c r="A267" i="17"/>
  <c r="B267" i="17"/>
  <c r="D267" i="17"/>
  <c r="F267" i="17"/>
  <c r="H267" i="17"/>
  <c r="A268" i="17"/>
  <c r="B268" i="17"/>
  <c r="D268" i="17"/>
  <c r="F268" i="17"/>
  <c r="H268" i="17"/>
  <c r="A269" i="17"/>
  <c r="B269" i="17"/>
  <c r="D269" i="17"/>
  <c r="F269" i="17"/>
  <c r="H269" i="17"/>
  <c r="A270" i="17"/>
  <c r="B270" i="17"/>
  <c r="D270" i="17"/>
  <c r="F270" i="17"/>
  <c r="H270" i="17"/>
  <c r="A271" i="17"/>
  <c r="B271" i="17"/>
  <c r="D271" i="17"/>
  <c r="F271" i="17"/>
  <c r="H271" i="17"/>
  <c r="A272" i="17"/>
  <c r="B272" i="17"/>
  <c r="D272" i="17"/>
  <c r="F272" i="17"/>
  <c r="H272" i="17"/>
  <c r="A273" i="17"/>
  <c r="B273" i="17"/>
  <c r="D273" i="17"/>
  <c r="F273" i="17"/>
  <c r="H273" i="17"/>
  <c r="A274" i="17"/>
  <c r="B274" i="17"/>
  <c r="D274" i="17"/>
  <c r="F274" i="17"/>
  <c r="H274" i="17"/>
  <c r="A275" i="17"/>
  <c r="B275" i="17"/>
  <c r="D275" i="17"/>
  <c r="F275" i="17"/>
  <c r="H275" i="17"/>
  <c r="A276" i="17"/>
  <c r="B276" i="17"/>
  <c r="D276" i="17"/>
  <c r="F276" i="17"/>
  <c r="H276" i="17"/>
  <c r="A277" i="17"/>
  <c r="B277" i="17"/>
  <c r="D277" i="17"/>
  <c r="F277" i="17"/>
  <c r="H277" i="17"/>
  <c r="A278" i="17"/>
  <c r="B278" i="17"/>
  <c r="D278" i="17"/>
  <c r="F278" i="17"/>
  <c r="H278" i="17"/>
  <c r="A279" i="17"/>
  <c r="B279" i="17"/>
  <c r="D279" i="17"/>
  <c r="F279" i="17"/>
  <c r="H279" i="17"/>
  <c r="A280" i="17"/>
  <c r="B280" i="17"/>
  <c r="D280" i="17"/>
  <c r="F280" i="17"/>
  <c r="H280" i="17"/>
  <c r="A281" i="17"/>
  <c r="B281" i="17"/>
  <c r="D281" i="17"/>
  <c r="F281" i="17"/>
  <c r="H281" i="17"/>
  <c r="A282" i="17"/>
  <c r="B282" i="17"/>
  <c r="D282" i="17"/>
  <c r="F282" i="17"/>
  <c r="H282" i="17"/>
  <c r="A283" i="17"/>
  <c r="B283" i="17"/>
  <c r="D283" i="17"/>
  <c r="F283" i="17"/>
  <c r="H283" i="17"/>
  <c r="A284" i="17"/>
  <c r="B284" i="17"/>
  <c r="D284" i="17"/>
  <c r="F284" i="17"/>
  <c r="H284" i="17"/>
  <c r="A285" i="17"/>
  <c r="B285" i="17"/>
  <c r="D285" i="17"/>
  <c r="F285" i="17"/>
  <c r="H285" i="17"/>
  <c r="A286" i="17"/>
  <c r="B286" i="17"/>
  <c r="D286" i="17"/>
  <c r="F286" i="17"/>
  <c r="H286" i="17"/>
  <c r="A287" i="17"/>
  <c r="B287" i="17"/>
  <c r="D287" i="17"/>
  <c r="F287" i="17"/>
  <c r="H287" i="17"/>
  <c r="A288" i="17"/>
  <c r="B288" i="17"/>
  <c r="D288" i="17"/>
  <c r="F288" i="17"/>
  <c r="H288" i="17"/>
  <c r="A289" i="17"/>
  <c r="B289" i="17"/>
  <c r="D289" i="17"/>
  <c r="F289" i="17"/>
  <c r="H289" i="17"/>
  <c r="A290" i="17"/>
  <c r="B290" i="17"/>
  <c r="D290" i="17"/>
  <c r="F290" i="17"/>
  <c r="H290" i="17"/>
  <c r="A291" i="17"/>
  <c r="B291" i="17"/>
  <c r="D291" i="17"/>
  <c r="F291" i="17"/>
  <c r="H291" i="17"/>
  <c r="A292" i="17"/>
  <c r="B292" i="17"/>
  <c r="D292" i="17"/>
  <c r="F292" i="17"/>
  <c r="H292" i="17"/>
  <c r="A293" i="17"/>
  <c r="B293" i="17"/>
  <c r="D293" i="17"/>
  <c r="F293" i="17"/>
  <c r="H293" i="17"/>
  <c r="A294" i="17"/>
  <c r="B294" i="17"/>
  <c r="D294" i="17"/>
  <c r="F294" i="17"/>
  <c r="H294" i="17"/>
  <c r="A295" i="17"/>
  <c r="B295" i="17"/>
  <c r="D295" i="17"/>
  <c r="F295" i="17"/>
  <c r="H295" i="17"/>
  <c r="A296" i="17"/>
  <c r="B296" i="17"/>
  <c r="D296" i="17"/>
  <c r="F296" i="17"/>
  <c r="H296" i="17"/>
  <c r="A297" i="17"/>
  <c r="B297" i="17"/>
  <c r="D297" i="17"/>
  <c r="F297" i="17"/>
  <c r="H297" i="17"/>
  <c r="A298" i="17"/>
  <c r="B298" i="17"/>
  <c r="D298" i="17"/>
  <c r="F298" i="17"/>
  <c r="H298" i="17"/>
  <c r="A299" i="17"/>
  <c r="B299" i="17"/>
  <c r="D299" i="17"/>
  <c r="F299" i="17"/>
  <c r="H299" i="17"/>
  <c r="A300" i="17"/>
  <c r="B300" i="17"/>
  <c r="D300" i="17"/>
  <c r="F300" i="17"/>
  <c r="H300" i="17"/>
  <c r="A301" i="17"/>
  <c r="B301" i="17"/>
  <c r="D301" i="17"/>
  <c r="F301" i="17"/>
  <c r="H301" i="17"/>
  <c r="A302" i="17"/>
  <c r="B302" i="17"/>
  <c r="D302" i="17"/>
  <c r="F302" i="17"/>
  <c r="H302" i="17"/>
  <c r="A303" i="17"/>
  <c r="B303" i="17"/>
  <c r="D303" i="17"/>
  <c r="F303" i="17"/>
  <c r="H303" i="17"/>
  <c r="A304" i="17"/>
  <c r="B304" i="17"/>
  <c r="D304" i="17"/>
  <c r="F304" i="17"/>
  <c r="H304" i="17"/>
  <c r="A305" i="17"/>
  <c r="B305" i="17"/>
  <c r="D305" i="17"/>
  <c r="F305" i="17"/>
  <c r="H305" i="17"/>
  <c r="A306" i="17"/>
  <c r="B306" i="17"/>
  <c r="D306" i="17"/>
  <c r="F306" i="17"/>
  <c r="H306" i="17"/>
  <c r="A307" i="17"/>
  <c r="B307" i="17"/>
  <c r="D307" i="17"/>
  <c r="F307" i="17"/>
  <c r="H307" i="17"/>
  <c r="A308" i="17"/>
  <c r="B308" i="17"/>
  <c r="D308" i="17"/>
  <c r="F308" i="17"/>
  <c r="H308" i="17"/>
  <c r="A309" i="17"/>
  <c r="B309" i="17"/>
  <c r="D309" i="17"/>
  <c r="F309" i="17"/>
  <c r="H309" i="17"/>
  <c r="A310" i="17"/>
  <c r="B310" i="17"/>
  <c r="D310" i="17"/>
  <c r="F310" i="17"/>
  <c r="H310" i="17"/>
  <c r="A311" i="17"/>
  <c r="B311" i="17"/>
  <c r="D311" i="17"/>
  <c r="F311" i="17"/>
  <c r="H311" i="17"/>
  <c r="A312" i="17"/>
  <c r="B312" i="17"/>
  <c r="D312" i="17"/>
  <c r="F312" i="17"/>
  <c r="H312" i="17"/>
  <c r="A313" i="17"/>
  <c r="B313" i="17"/>
  <c r="D313" i="17"/>
  <c r="F313" i="17"/>
  <c r="H313" i="17"/>
  <c r="A314" i="17"/>
  <c r="B314" i="17"/>
  <c r="D314" i="17"/>
  <c r="F314" i="17"/>
  <c r="H314" i="17"/>
  <c r="A315" i="17"/>
  <c r="B315" i="17"/>
  <c r="D315" i="17"/>
  <c r="F315" i="17"/>
  <c r="H315" i="17"/>
  <c r="A316" i="17"/>
  <c r="B316" i="17"/>
  <c r="D316" i="17"/>
  <c r="F316" i="17"/>
  <c r="H316" i="17"/>
  <c r="A317" i="17"/>
  <c r="B317" i="17"/>
  <c r="D317" i="17"/>
  <c r="F317" i="17"/>
  <c r="H317" i="17"/>
  <c r="A318" i="17"/>
  <c r="B318" i="17"/>
  <c r="D318" i="17"/>
  <c r="F318" i="17"/>
  <c r="H318" i="17"/>
  <c r="A319" i="17"/>
  <c r="B319" i="17"/>
  <c r="D319" i="17"/>
  <c r="F319" i="17"/>
  <c r="H319" i="17"/>
  <c r="A320" i="17"/>
  <c r="B320" i="17"/>
  <c r="D320" i="17"/>
  <c r="F320" i="17"/>
  <c r="H320" i="17"/>
  <c r="A321" i="17"/>
  <c r="B321" i="17"/>
  <c r="D321" i="17"/>
  <c r="F321" i="17"/>
  <c r="H321" i="17"/>
  <c r="A322" i="17"/>
  <c r="B322" i="17"/>
  <c r="D322" i="17"/>
  <c r="F322" i="17"/>
  <c r="H322" i="17"/>
  <c r="A323" i="17"/>
  <c r="B323" i="17"/>
  <c r="D323" i="17"/>
  <c r="F323" i="17"/>
  <c r="H323" i="17"/>
  <c r="A324" i="17"/>
  <c r="B324" i="17"/>
  <c r="D324" i="17"/>
  <c r="F324" i="17"/>
  <c r="H324" i="17"/>
  <c r="A325" i="17"/>
  <c r="B325" i="17"/>
  <c r="D325" i="17"/>
  <c r="F325" i="17"/>
  <c r="H325" i="17"/>
  <c r="A326" i="17"/>
  <c r="B326" i="17"/>
  <c r="D326" i="17"/>
  <c r="F326" i="17"/>
  <c r="H326" i="17"/>
  <c r="A327" i="17"/>
  <c r="B327" i="17"/>
  <c r="D327" i="17"/>
  <c r="F327" i="17"/>
  <c r="H327" i="17"/>
  <c r="A328" i="17"/>
  <c r="B328" i="17"/>
  <c r="D328" i="17"/>
  <c r="F328" i="17"/>
  <c r="H328" i="17"/>
  <c r="A329" i="17"/>
  <c r="B329" i="17"/>
  <c r="D329" i="17"/>
  <c r="F329" i="17"/>
  <c r="H329" i="17"/>
  <c r="A330" i="17"/>
  <c r="B330" i="17"/>
  <c r="D330" i="17"/>
  <c r="F330" i="17"/>
  <c r="H330" i="17"/>
  <c r="A331" i="17"/>
  <c r="B331" i="17"/>
  <c r="D331" i="17"/>
  <c r="F331" i="17"/>
  <c r="H331" i="17"/>
  <c r="A332" i="17"/>
  <c r="B332" i="17"/>
  <c r="D332" i="17"/>
  <c r="F332" i="17"/>
  <c r="H332" i="17"/>
  <c r="A333" i="17"/>
  <c r="B333" i="17"/>
  <c r="D333" i="17"/>
  <c r="F333" i="17"/>
  <c r="H333" i="17"/>
  <c r="A334" i="17"/>
  <c r="B334" i="17"/>
  <c r="D334" i="17"/>
  <c r="F334" i="17"/>
  <c r="H334" i="17"/>
  <c r="A335" i="17"/>
  <c r="B335" i="17"/>
  <c r="D335" i="17"/>
  <c r="F335" i="17"/>
  <c r="H335" i="17"/>
  <c r="A336" i="17"/>
  <c r="B336" i="17"/>
  <c r="D336" i="17"/>
  <c r="F336" i="17"/>
  <c r="H336" i="17"/>
  <c r="A337" i="17"/>
  <c r="B337" i="17"/>
  <c r="D337" i="17"/>
  <c r="F337" i="17"/>
  <c r="H337" i="17"/>
  <c r="A338" i="17"/>
  <c r="B338" i="17"/>
  <c r="D338" i="17"/>
  <c r="F338" i="17"/>
  <c r="H338" i="17"/>
  <c r="A339" i="17"/>
  <c r="B339" i="17"/>
  <c r="D339" i="17"/>
  <c r="F339" i="17"/>
  <c r="H339" i="17"/>
  <c r="A340" i="17"/>
  <c r="B340" i="17"/>
  <c r="D340" i="17"/>
  <c r="F340" i="17"/>
  <c r="H340" i="17"/>
  <c r="A341" i="17"/>
  <c r="B341" i="17"/>
  <c r="D341" i="17"/>
  <c r="F341" i="17"/>
  <c r="H341" i="17"/>
  <c r="A342" i="17"/>
  <c r="B342" i="17"/>
  <c r="D342" i="17"/>
  <c r="F342" i="17"/>
  <c r="H342" i="17"/>
  <c r="A343" i="17"/>
  <c r="B343" i="17"/>
  <c r="D343" i="17"/>
  <c r="F343" i="17"/>
  <c r="H343" i="17"/>
  <c r="A344" i="17"/>
  <c r="B344" i="17"/>
  <c r="D344" i="17"/>
  <c r="F344" i="17"/>
  <c r="H344" i="17"/>
  <c r="A345" i="17"/>
  <c r="B345" i="17"/>
  <c r="D345" i="17"/>
  <c r="F345" i="17"/>
  <c r="H345" i="17"/>
  <c r="A346" i="17"/>
  <c r="B346" i="17"/>
  <c r="D346" i="17"/>
  <c r="F346" i="17"/>
  <c r="H346" i="17"/>
  <c r="A347" i="17"/>
  <c r="B347" i="17"/>
  <c r="D347" i="17"/>
  <c r="F347" i="17"/>
  <c r="H347" i="17"/>
  <c r="A348" i="17"/>
  <c r="B348" i="17"/>
  <c r="D348" i="17"/>
  <c r="F348" i="17"/>
  <c r="H348" i="17"/>
  <c r="A349" i="17"/>
  <c r="B349" i="17"/>
  <c r="D349" i="17"/>
  <c r="F349" i="17"/>
  <c r="H349" i="17"/>
  <c r="A350" i="17"/>
  <c r="B350" i="17"/>
  <c r="D350" i="17"/>
  <c r="F350" i="17"/>
  <c r="H350" i="17"/>
  <c r="A351" i="17"/>
  <c r="B351" i="17"/>
  <c r="D351" i="17"/>
  <c r="F351" i="17"/>
  <c r="H351" i="17"/>
  <c r="A352" i="17"/>
  <c r="B352" i="17"/>
  <c r="D352" i="17"/>
  <c r="F352" i="17"/>
  <c r="H352" i="17"/>
  <c r="A353" i="17"/>
  <c r="B353" i="17"/>
  <c r="D353" i="17"/>
  <c r="F353" i="17"/>
  <c r="H353" i="17"/>
  <c r="A354" i="17"/>
  <c r="B354" i="17"/>
  <c r="D354" i="17"/>
  <c r="F354" i="17"/>
  <c r="H354" i="17"/>
  <c r="A355" i="17"/>
  <c r="B355" i="17"/>
  <c r="D355" i="17"/>
  <c r="F355" i="17"/>
  <c r="H355" i="17"/>
  <c r="A356" i="17"/>
  <c r="B356" i="17"/>
  <c r="D356" i="17"/>
  <c r="F356" i="17"/>
  <c r="H356" i="17"/>
  <c r="A357" i="17"/>
  <c r="B357" i="17"/>
  <c r="D357" i="17"/>
  <c r="F357" i="17"/>
  <c r="H357" i="17"/>
  <c r="A358" i="17"/>
  <c r="B358" i="17"/>
  <c r="D358" i="17"/>
  <c r="F358" i="17"/>
  <c r="H358" i="17"/>
  <c r="A359" i="17"/>
  <c r="B359" i="17"/>
  <c r="D359" i="17"/>
  <c r="F359" i="17"/>
  <c r="H359" i="17"/>
  <c r="A360" i="17"/>
  <c r="B360" i="17"/>
  <c r="D360" i="17"/>
  <c r="F360" i="17"/>
  <c r="H360" i="17"/>
  <c r="A361" i="17"/>
  <c r="B361" i="17"/>
  <c r="D361" i="17"/>
  <c r="F361" i="17"/>
  <c r="H361" i="17"/>
  <c r="A362" i="17"/>
  <c r="B362" i="17"/>
  <c r="D362" i="17"/>
  <c r="F362" i="17"/>
  <c r="H362" i="17"/>
  <c r="A363" i="17"/>
  <c r="B363" i="17"/>
  <c r="D363" i="17"/>
  <c r="F363" i="17"/>
  <c r="H363" i="17"/>
  <c r="A364" i="17"/>
  <c r="B364" i="17"/>
  <c r="D364" i="17"/>
  <c r="F364" i="17"/>
  <c r="H364" i="17"/>
  <c r="A365" i="17"/>
  <c r="B365" i="17"/>
  <c r="D365" i="17"/>
  <c r="F365" i="17"/>
  <c r="H365" i="17"/>
  <c r="A366" i="17"/>
  <c r="B366" i="17"/>
  <c r="D366" i="17"/>
  <c r="F366" i="17"/>
  <c r="H366" i="17"/>
  <c r="A367" i="17"/>
  <c r="B367" i="17"/>
  <c r="D367" i="17"/>
  <c r="F367" i="17"/>
  <c r="H367" i="17"/>
  <c r="A368" i="17"/>
  <c r="B368" i="17"/>
  <c r="D368" i="17"/>
  <c r="F368" i="17"/>
  <c r="H368" i="17"/>
  <c r="A369" i="17"/>
  <c r="B369" i="17"/>
  <c r="D369" i="17"/>
  <c r="F369" i="17"/>
  <c r="H369" i="17"/>
  <c r="A370" i="17"/>
  <c r="B370" i="17"/>
  <c r="D370" i="17"/>
  <c r="F370" i="17"/>
  <c r="H370" i="17"/>
  <c r="A371" i="17"/>
  <c r="B371" i="17"/>
  <c r="D371" i="17"/>
  <c r="F371" i="17"/>
  <c r="H371" i="17"/>
  <c r="A372" i="17"/>
  <c r="B372" i="17"/>
  <c r="D372" i="17"/>
  <c r="F372" i="17"/>
  <c r="H372" i="17"/>
  <c r="A373" i="17"/>
  <c r="B373" i="17"/>
  <c r="D373" i="17"/>
  <c r="F373" i="17"/>
  <c r="H373" i="17"/>
  <c r="A374" i="17"/>
  <c r="B374" i="17"/>
  <c r="D374" i="17"/>
  <c r="F374" i="17"/>
  <c r="H374" i="17"/>
  <c r="A375" i="17"/>
  <c r="B375" i="17"/>
  <c r="D375" i="17"/>
  <c r="F375" i="17"/>
  <c r="H375" i="17"/>
  <c r="A376" i="17"/>
  <c r="B376" i="17"/>
  <c r="D376" i="17"/>
  <c r="F376" i="17"/>
  <c r="H376" i="17"/>
  <c r="A377" i="17"/>
  <c r="B377" i="17"/>
  <c r="D377" i="17"/>
  <c r="F377" i="17"/>
  <c r="H377" i="17"/>
  <c r="A378" i="17"/>
  <c r="B378" i="17"/>
  <c r="D378" i="17"/>
  <c r="F378" i="17"/>
  <c r="H378" i="17"/>
  <c r="A379" i="17"/>
  <c r="B379" i="17"/>
  <c r="D379" i="17"/>
  <c r="F379" i="17"/>
  <c r="H379" i="17"/>
  <c r="A380" i="17"/>
  <c r="B380" i="17"/>
  <c r="D380" i="17"/>
  <c r="F380" i="17"/>
  <c r="H380" i="17"/>
  <c r="A381" i="17"/>
  <c r="B381" i="17"/>
  <c r="D381" i="17"/>
  <c r="F381" i="17"/>
  <c r="H381" i="17"/>
  <c r="A382" i="17"/>
  <c r="B382" i="17"/>
  <c r="D382" i="17"/>
  <c r="F382" i="17"/>
  <c r="H382" i="17"/>
  <c r="A383" i="17"/>
  <c r="B383" i="17"/>
  <c r="D383" i="17"/>
  <c r="F383" i="17"/>
  <c r="H383" i="17"/>
  <c r="A384" i="17"/>
  <c r="B384" i="17"/>
  <c r="D384" i="17"/>
  <c r="F384" i="17"/>
  <c r="H384" i="17"/>
  <c r="A385" i="17"/>
  <c r="B385" i="17"/>
  <c r="D385" i="17"/>
  <c r="F385" i="17"/>
  <c r="H385" i="17"/>
  <c r="A386" i="17"/>
  <c r="B386" i="17"/>
  <c r="D386" i="17"/>
  <c r="F386" i="17"/>
  <c r="H386" i="17"/>
  <c r="A387" i="17"/>
  <c r="B387" i="17"/>
  <c r="D387" i="17"/>
  <c r="F387" i="17"/>
  <c r="H387" i="17"/>
  <c r="A388" i="17"/>
  <c r="B388" i="17"/>
  <c r="D388" i="17"/>
  <c r="F388" i="17"/>
  <c r="H388" i="17"/>
  <c r="A389" i="17"/>
  <c r="B389" i="17"/>
  <c r="D389" i="17"/>
  <c r="F389" i="17"/>
  <c r="H389" i="17"/>
  <c r="A390" i="17"/>
  <c r="B390" i="17"/>
  <c r="D390" i="17"/>
  <c r="F390" i="17"/>
  <c r="H390" i="17"/>
  <c r="A391" i="17"/>
  <c r="B391" i="17"/>
  <c r="D391" i="17"/>
  <c r="F391" i="17"/>
  <c r="H391" i="17"/>
  <c r="A392" i="17"/>
  <c r="B392" i="17"/>
  <c r="D392" i="17"/>
  <c r="F392" i="17"/>
  <c r="H392" i="17"/>
  <c r="A393" i="17"/>
  <c r="B393" i="17"/>
  <c r="D393" i="17"/>
  <c r="F393" i="17"/>
  <c r="H393" i="17"/>
  <c r="A394" i="17"/>
  <c r="B394" i="17"/>
  <c r="D394" i="17"/>
  <c r="F394" i="17"/>
  <c r="H394" i="17"/>
  <c r="A395" i="17"/>
  <c r="B395" i="17"/>
  <c r="D395" i="17"/>
  <c r="F395" i="17"/>
  <c r="H395" i="17"/>
  <c r="A396" i="17"/>
  <c r="B396" i="17"/>
  <c r="D396" i="17"/>
  <c r="F396" i="17"/>
  <c r="H396" i="17"/>
  <c r="A397" i="17"/>
  <c r="B397" i="17"/>
  <c r="D397" i="17"/>
  <c r="F397" i="17"/>
  <c r="H397" i="17"/>
  <c r="A398" i="17"/>
  <c r="B398" i="17"/>
  <c r="D398" i="17"/>
  <c r="F398" i="17"/>
  <c r="H398" i="17"/>
  <c r="A399" i="17"/>
  <c r="B399" i="17"/>
  <c r="D399" i="17"/>
  <c r="F399" i="17"/>
  <c r="H399" i="17"/>
  <c r="A400" i="17"/>
  <c r="B400" i="17"/>
  <c r="D400" i="17"/>
  <c r="F400" i="17"/>
  <c r="H400" i="17"/>
  <c r="A401" i="17"/>
  <c r="B401" i="17"/>
  <c r="D401" i="17"/>
  <c r="F401" i="17"/>
  <c r="H401" i="17"/>
  <c r="A402" i="17"/>
  <c r="B402" i="17"/>
  <c r="D402" i="17"/>
  <c r="F402" i="17"/>
  <c r="H402" i="17"/>
  <c r="A403" i="17"/>
  <c r="B403" i="17"/>
  <c r="D403" i="17"/>
  <c r="F403" i="17"/>
  <c r="H403" i="17"/>
  <c r="A404" i="17"/>
  <c r="B404" i="17"/>
  <c r="D404" i="17"/>
  <c r="F404" i="17"/>
  <c r="H404" i="17"/>
  <c r="A405" i="17"/>
  <c r="B405" i="17"/>
  <c r="D405" i="17"/>
  <c r="F405" i="17"/>
  <c r="H405" i="17"/>
  <c r="A406" i="17"/>
  <c r="B406" i="17"/>
  <c r="D406" i="17"/>
  <c r="F406" i="17"/>
  <c r="H406" i="17"/>
  <c r="A407" i="17"/>
  <c r="B407" i="17"/>
  <c r="D407" i="17"/>
  <c r="F407" i="17"/>
  <c r="H407" i="17"/>
  <c r="A408" i="17"/>
  <c r="B408" i="17"/>
  <c r="D408" i="17"/>
  <c r="F408" i="17"/>
  <c r="H408" i="17"/>
  <c r="A409" i="17"/>
  <c r="B409" i="17"/>
  <c r="D409" i="17"/>
  <c r="F409" i="17"/>
  <c r="H409" i="17"/>
  <c r="A410" i="17"/>
  <c r="B410" i="17"/>
  <c r="D410" i="17"/>
  <c r="F410" i="17"/>
  <c r="H410" i="17"/>
  <c r="A411" i="17"/>
  <c r="B411" i="17"/>
  <c r="D411" i="17"/>
  <c r="F411" i="17"/>
  <c r="H411" i="17"/>
  <c r="A412" i="17"/>
  <c r="B412" i="17"/>
  <c r="D412" i="17"/>
  <c r="F412" i="17"/>
  <c r="H412" i="17"/>
  <c r="A413" i="17"/>
  <c r="B413" i="17"/>
  <c r="D413" i="17"/>
  <c r="F413" i="17"/>
  <c r="H413" i="17"/>
  <c r="A414" i="17"/>
  <c r="B414" i="17"/>
  <c r="D414" i="17"/>
  <c r="F414" i="17"/>
  <c r="H414" i="17"/>
  <c r="A415" i="17"/>
  <c r="B415" i="17"/>
  <c r="D415" i="17"/>
  <c r="F415" i="17"/>
  <c r="H415" i="17"/>
  <c r="A416" i="17"/>
  <c r="B416" i="17"/>
  <c r="D416" i="17"/>
  <c r="F416" i="17"/>
  <c r="H416" i="17"/>
  <c r="A417" i="17"/>
  <c r="B417" i="17"/>
  <c r="D417" i="17"/>
  <c r="F417" i="17"/>
  <c r="H417" i="17"/>
  <c r="A418" i="17"/>
  <c r="B418" i="17"/>
  <c r="D418" i="17"/>
  <c r="F418" i="17"/>
  <c r="H418" i="17"/>
  <c r="A419" i="17"/>
  <c r="B419" i="17"/>
  <c r="D419" i="17"/>
  <c r="F419" i="17"/>
  <c r="H419" i="17"/>
  <c r="A420" i="17"/>
  <c r="B420" i="17"/>
  <c r="D420" i="17"/>
  <c r="F420" i="17"/>
  <c r="H420" i="17"/>
  <c r="A421" i="17"/>
  <c r="B421" i="17"/>
  <c r="D421" i="17"/>
  <c r="F421" i="17"/>
  <c r="H421" i="17"/>
  <c r="A422" i="17"/>
  <c r="B422" i="17"/>
  <c r="D422" i="17"/>
  <c r="F422" i="17"/>
  <c r="H422" i="17"/>
  <c r="A423" i="17"/>
  <c r="B423" i="17"/>
  <c r="D423" i="17"/>
  <c r="F423" i="17"/>
  <c r="H423" i="17"/>
  <c r="A424" i="17"/>
  <c r="B424" i="17"/>
  <c r="D424" i="17"/>
  <c r="F424" i="17"/>
  <c r="H424" i="17"/>
  <c r="A425" i="17"/>
  <c r="B425" i="17"/>
  <c r="D425" i="17"/>
  <c r="F425" i="17"/>
  <c r="H425" i="17"/>
  <c r="A426" i="17"/>
  <c r="B426" i="17"/>
  <c r="D426" i="17"/>
  <c r="F426" i="17"/>
  <c r="H426" i="17"/>
  <c r="A427" i="17"/>
  <c r="B427" i="17"/>
  <c r="D427" i="17"/>
  <c r="F427" i="17"/>
  <c r="H427" i="17"/>
  <c r="A428" i="17"/>
  <c r="B428" i="17"/>
  <c r="D428" i="17"/>
  <c r="F428" i="17"/>
  <c r="H428" i="17"/>
  <c r="A429" i="17"/>
  <c r="B429" i="17"/>
  <c r="D429" i="17"/>
  <c r="F429" i="17"/>
  <c r="H429" i="17"/>
  <c r="A430" i="17"/>
  <c r="B430" i="17"/>
  <c r="D430" i="17"/>
  <c r="F430" i="17"/>
  <c r="H430" i="17"/>
  <c r="A431" i="17"/>
  <c r="B431" i="17"/>
  <c r="D431" i="17"/>
  <c r="F431" i="17"/>
  <c r="H431" i="17"/>
  <c r="A432" i="17"/>
  <c r="B432" i="17"/>
  <c r="D432" i="17"/>
  <c r="F432" i="17"/>
  <c r="H432" i="17"/>
  <c r="A433" i="17"/>
  <c r="B433" i="17"/>
  <c r="D433" i="17"/>
  <c r="F433" i="17"/>
  <c r="H433" i="17"/>
  <c r="A434" i="17"/>
  <c r="B434" i="17"/>
  <c r="D434" i="17"/>
  <c r="F434" i="17"/>
  <c r="H434" i="17"/>
  <c r="A435" i="17"/>
  <c r="B435" i="17"/>
  <c r="D435" i="17"/>
  <c r="F435" i="17"/>
  <c r="H435" i="17"/>
  <c r="A436" i="17"/>
  <c r="B436" i="17"/>
  <c r="D436" i="17"/>
  <c r="F436" i="17"/>
  <c r="H436" i="17"/>
  <c r="A437" i="17"/>
  <c r="B437" i="17"/>
  <c r="D437" i="17"/>
  <c r="F437" i="17"/>
  <c r="H437" i="17"/>
  <c r="A438" i="17"/>
  <c r="B438" i="17"/>
  <c r="D438" i="17"/>
  <c r="F438" i="17"/>
  <c r="H438" i="17"/>
  <c r="A439" i="17"/>
  <c r="B439" i="17"/>
  <c r="D439" i="17"/>
  <c r="F439" i="17"/>
  <c r="H439" i="17"/>
  <c r="A440" i="17"/>
  <c r="B440" i="17"/>
  <c r="D440" i="17"/>
  <c r="F440" i="17"/>
  <c r="H440" i="17"/>
  <c r="A441" i="17"/>
  <c r="B441" i="17"/>
  <c r="D441" i="17"/>
  <c r="F441" i="17"/>
  <c r="H441" i="17"/>
  <c r="A442" i="17"/>
  <c r="B442" i="17"/>
  <c r="D442" i="17"/>
  <c r="F442" i="17"/>
  <c r="H442" i="17"/>
  <c r="A443" i="17"/>
  <c r="B443" i="17"/>
  <c r="D443" i="17"/>
  <c r="F443" i="17"/>
  <c r="H443" i="17"/>
  <c r="A444" i="17"/>
  <c r="B444" i="17"/>
  <c r="D444" i="17"/>
  <c r="F444" i="17"/>
  <c r="H444" i="17"/>
  <c r="A445" i="17"/>
  <c r="B445" i="17"/>
  <c r="D445" i="17"/>
  <c r="F445" i="17"/>
  <c r="H445" i="17"/>
  <c r="A446" i="17"/>
  <c r="B446" i="17"/>
  <c r="D446" i="17"/>
  <c r="F446" i="17"/>
  <c r="H446" i="17"/>
  <c r="A447" i="17"/>
  <c r="B447" i="17"/>
  <c r="D447" i="17"/>
  <c r="F447" i="17"/>
  <c r="H447" i="17"/>
  <c r="A448" i="17"/>
  <c r="B448" i="17"/>
  <c r="D448" i="17"/>
  <c r="F448" i="17"/>
  <c r="H448" i="17"/>
  <c r="A449" i="17"/>
  <c r="B449" i="17"/>
  <c r="D449" i="17"/>
  <c r="F449" i="17"/>
  <c r="H449" i="17"/>
  <c r="A450" i="17"/>
  <c r="B450" i="17"/>
  <c r="D450" i="17"/>
  <c r="F450" i="17"/>
  <c r="H450" i="17"/>
  <c r="A451" i="17"/>
  <c r="B451" i="17"/>
  <c r="D451" i="17"/>
  <c r="F451" i="17"/>
  <c r="H451" i="17"/>
  <c r="A452" i="17"/>
  <c r="B452" i="17"/>
  <c r="D452" i="17"/>
  <c r="F452" i="17"/>
  <c r="H452" i="17"/>
  <c r="A453" i="17"/>
  <c r="B453" i="17"/>
  <c r="D453" i="17"/>
  <c r="F453" i="17"/>
  <c r="H453" i="17"/>
  <c r="A454" i="17"/>
  <c r="B454" i="17"/>
  <c r="D454" i="17"/>
  <c r="F454" i="17"/>
  <c r="H454" i="17"/>
  <c r="A455" i="17"/>
  <c r="B455" i="17"/>
  <c r="D455" i="17"/>
  <c r="F455" i="17"/>
  <c r="H455" i="17"/>
  <c r="A456" i="17"/>
  <c r="B456" i="17"/>
  <c r="D456" i="17"/>
  <c r="F456" i="17"/>
  <c r="H456" i="17"/>
  <c r="A457" i="17"/>
  <c r="B457" i="17"/>
  <c r="D457" i="17"/>
  <c r="F457" i="17"/>
  <c r="H457" i="17"/>
  <c r="A458" i="17"/>
  <c r="B458" i="17"/>
  <c r="D458" i="17"/>
  <c r="F458" i="17"/>
  <c r="H458" i="17"/>
  <c r="A459" i="17"/>
  <c r="B459" i="17"/>
  <c r="D459" i="17"/>
  <c r="F459" i="17"/>
  <c r="H459" i="17"/>
  <c r="A460" i="17"/>
  <c r="B460" i="17"/>
  <c r="D460" i="17"/>
  <c r="F460" i="17"/>
  <c r="H460" i="17"/>
  <c r="A461" i="17"/>
  <c r="B461" i="17"/>
  <c r="D461" i="17"/>
  <c r="F461" i="17"/>
  <c r="H461" i="17"/>
  <c r="A462" i="17"/>
  <c r="B462" i="17"/>
  <c r="D462" i="17"/>
  <c r="F462" i="17"/>
  <c r="H462" i="17"/>
  <c r="A463" i="17"/>
  <c r="B463" i="17"/>
  <c r="D463" i="17"/>
  <c r="F463" i="17"/>
  <c r="H463" i="17"/>
  <c r="A464" i="17"/>
  <c r="B464" i="17"/>
  <c r="D464" i="17"/>
  <c r="F464" i="17"/>
  <c r="H464" i="17"/>
  <c r="A465" i="17"/>
  <c r="B465" i="17"/>
  <c r="D465" i="17"/>
  <c r="F465" i="17"/>
  <c r="H465" i="17"/>
  <c r="A466" i="17"/>
  <c r="B466" i="17"/>
  <c r="D466" i="17"/>
  <c r="F466" i="17"/>
  <c r="H466" i="17"/>
  <c r="A467" i="17"/>
  <c r="B467" i="17"/>
  <c r="D467" i="17"/>
  <c r="F467" i="17"/>
  <c r="H467" i="17"/>
  <c r="A468" i="17"/>
  <c r="B468" i="17"/>
  <c r="D468" i="17"/>
  <c r="F468" i="17"/>
  <c r="H468" i="17"/>
  <c r="A469" i="17"/>
  <c r="B469" i="17"/>
  <c r="D469" i="17"/>
  <c r="F469" i="17"/>
  <c r="H469" i="17"/>
  <c r="A470" i="17"/>
  <c r="B470" i="17"/>
  <c r="D470" i="17"/>
  <c r="F470" i="17"/>
  <c r="H470" i="17"/>
  <c r="A471" i="17"/>
  <c r="B471" i="17"/>
  <c r="D471" i="17"/>
  <c r="F471" i="17"/>
  <c r="H471" i="17"/>
  <c r="A472" i="17"/>
  <c r="B472" i="17"/>
  <c r="D472" i="17"/>
  <c r="F472" i="17"/>
  <c r="H472" i="17"/>
  <c r="A473" i="17"/>
  <c r="B473" i="17"/>
  <c r="D473" i="17"/>
  <c r="F473" i="17"/>
  <c r="H473" i="17"/>
  <c r="A474" i="17"/>
  <c r="B474" i="17"/>
  <c r="D474" i="17"/>
  <c r="F474" i="17"/>
  <c r="H474" i="17"/>
  <c r="A475" i="17"/>
  <c r="B475" i="17"/>
  <c r="D475" i="17"/>
  <c r="F475" i="17"/>
  <c r="H475" i="17"/>
  <c r="A476" i="17"/>
  <c r="B476" i="17"/>
  <c r="D476" i="17"/>
  <c r="F476" i="17"/>
  <c r="H476" i="17"/>
  <c r="A477" i="17"/>
  <c r="B477" i="17"/>
  <c r="D477" i="17"/>
  <c r="F477" i="17"/>
  <c r="H477" i="17"/>
  <c r="A478" i="17"/>
  <c r="B478" i="17"/>
  <c r="D478" i="17"/>
  <c r="F478" i="17"/>
  <c r="H478" i="17"/>
  <c r="A479" i="17"/>
  <c r="B479" i="17"/>
  <c r="D479" i="17"/>
  <c r="F479" i="17"/>
  <c r="H479" i="17"/>
  <c r="A480" i="17"/>
  <c r="B480" i="17"/>
  <c r="D480" i="17"/>
  <c r="F480" i="17"/>
  <c r="H480" i="17"/>
  <c r="A481" i="17"/>
  <c r="B481" i="17"/>
  <c r="D481" i="17"/>
  <c r="F481" i="17"/>
  <c r="H481" i="17"/>
  <c r="A482" i="17"/>
  <c r="B482" i="17"/>
  <c r="D482" i="17"/>
  <c r="F482" i="17"/>
  <c r="H482" i="17"/>
  <c r="A483" i="17"/>
  <c r="B483" i="17"/>
  <c r="D483" i="17"/>
  <c r="F483" i="17"/>
  <c r="H483" i="17"/>
  <c r="A484" i="17"/>
  <c r="B484" i="17"/>
  <c r="D484" i="17"/>
  <c r="F484" i="17"/>
  <c r="H484" i="17"/>
  <c r="A485" i="17"/>
  <c r="B485" i="17"/>
  <c r="D485" i="17"/>
  <c r="F485" i="17"/>
  <c r="H485" i="17"/>
  <c r="A486" i="17"/>
  <c r="B486" i="17"/>
  <c r="D486" i="17"/>
  <c r="F486" i="17"/>
  <c r="H486" i="17"/>
  <c r="A487" i="17"/>
  <c r="B487" i="17"/>
  <c r="D487" i="17"/>
  <c r="F487" i="17"/>
  <c r="H487" i="17"/>
  <c r="A488" i="17"/>
  <c r="B488" i="17"/>
  <c r="D488" i="17"/>
  <c r="F488" i="17"/>
  <c r="H488" i="17"/>
  <c r="A489" i="17"/>
  <c r="B489" i="17"/>
  <c r="D489" i="17"/>
  <c r="F489" i="17"/>
  <c r="H489" i="17"/>
  <c r="A490" i="17"/>
  <c r="B490" i="17"/>
  <c r="D490" i="17"/>
  <c r="F490" i="17"/>
  <c r="H490" i="17"/>
  <c r="A491" i="17"/>
  <c r="B491" i="17"/>
  <c r="D491" i="17"/>
  <c r="F491" i="17"/>
  <c r="H491" i="17"/>
  <c r="A492" i="17"/>
  <c r="B492" i="17"/>
  <c r="D492" i="17"/>
  <c r="F492" i="17"/>
  <c r="H492" i="17"/>
  <c r="A493" i="17"/>
  <c r="B493" i="17"/>
  <c r="D493" i="17"/>
  <c r="F493" i="17"/>
  <c r="H493" i="17"/>
  <c r="A494" i="17"/>
  <c r="B494" i="17"/>
  <c r="D494" i="17"/>
  <c r="F494" i="17"/>
  <c r="H494" i="17"/>
  <c r="A495" i="17"/>
  <c r="B495" i="17"/>
  <c r="D495" i="17"/>
  <c r="F495" i="17"/>
  <c r="H495" i="17"/>
  <c r="A496" i="17"/>
  <c r="B496" i="17"/>
  <c r="D496" i="17"/>
  <c r="F496" i="17"/>
  <c r="H496" i="17"/>
  <c r="A497" i="17"/>
  <c r="B497" i="17"/>
  <c r="D497" i="17"/>
  <c r="F497" i="17"/>
  <c r="H497" i="17"/>
  <c r="A498" i="17"/>
  <c r="B498" i="17"/>
  <c r="D498" i="17"/>
  <c r="F498" i="17"/>
  <c r="H498" i="17"/>
  <c r="A499" i="17"/>
  <c r="B499" i="17"/>
  <c r="D499" i="17"/>
  <c r="F499" i="17"/>
  <c r="H499" i="17"/>
  <c r="A500" i="17"/>
  <c r="B500" i="17"/>
  <c r="D500" i="17"/>
  <c r="F500" i="17"/>
  <c r="H500" i="17"/>
  <c r="A501" i="17"/>
  <c r="B501" i="17"/>
  <c r="D501" i="17"/>
  <c r="F501" i="17"/>
  <c r="H501" i="17"/>
  <c r="H3" i="17"/>
  <c r="F3" i="17"/>
  <c r="D3" i="17"/>
  <c r="B3" i="17"/>
  <c r="A3" i="17"/>
  <c r="K35" i="12"/>
  <c r="V108" i="14" l="1"/>
  <c r="U108" i="14"/>
  <c r="T108" i="14"/>
  <c r="R108" i="14"/>
  <c r="Q108" i="14"/>
  <c r="P108" i="14"/>
  <c r="O108" i="14"/>
  <c r="M108" i="14"/>
  <c r="H108" i="14"/>
  <c r="F108" i="14"/>
  <c r="V107" i="14"/>
  <c r="U107" i="14"/>
  <c r="T107" i="14"/>
  <c r="R107" i="14"/>
  <c r="Q107" i="14"/>
  <c r="P107" i="14"/>
  <c r="O107" i="14"/>
  <c r="M107" i="14"/>
  <c r="H107" i="14"/>
  <c r="F107" i="14"/>
  <c r="V105" i="14"/>
  <c r="U105" i="14"/>
  <c r="T105" i="14"/>
  <c r="R105" i="14"/>
  <c r="Q105" i="14"/>
  <c r="P105" i="14"/>
  <c r="O105" i="14"/>
  <c r="M105" i="14"/>
  <c r="H105" i="14"/>
  <c r="F105" i="14"/>
  <c r="V104" i="14"/>
  <c r="U104" i="14"/>
  <c r="T104" i="14"/>
  <c r="R104" i="14"/>
  <c r="Q104" i="14"/>
  <c r="P104" i="14"/>
  <c r="O104" i="14"/>
  <c r="M104" i="14"/>
  <c r="H104" i="14"/>
  <c r="F104" i="14"/>
  <c r="V103" i="14"/>
  <c r="U103" i="14"/>
  <c r="T103" i="14"/>
  <c r="R103" i="14"/>
  <c r="Q103" i="14"/>
  <c r="P103" i="14"/>
  <c r="O103" i="14"/>
  <c r="M103" i="14"/>
  <c r="H103" i="14"/>
  <c r="F103" i="14"/>
  <c r="V102" i="14"/>
  <c r="U102" i="14"/>
  <c r="T102" i="14"/>
  <c r="R102" i="14"/>
  <c r="Q102" i="14"/>
  <c r="P102" i="14"/>
  <c r="O102" i="14"/>
  <c r="M102" i="14"/>
  <c r="H102" i="14"/>
  <c r="F102" i="14"/>
  <c r="V101" i="14"/>
  <c r="U101" i="14"/>
  <c r="T101" i="14"/>
  <c r="R101" i="14"/>
  <c r="Q101" i="14"/>
  <c r="P101" i="14"/>
  <c r="O101" i="14"/>
  <c r="M101" i="14"/>
  <c r="H101" i="14"/>
  <c r="F101" i="14"/>
  <c r="V99" i="14"/>
  <c r="U99" i="14"/>
  <c r="T99" i="14"/>
  <c r="R99" i="14"/>
  <c r="Q99" i="14"/>
  <c r="P99" i="14"/>
  <c r="O99" i="14"/>
  <c r="M99" i="14"/>
  <c r="H99" i="14"/>
  <c r="F99" i="14"/>
  <c r="V98" i="14"/>
  <c r="U98" i="14"/>
  <c r="T98" i="14"/>
  <c r="R98" i="14"/>
  <c r="Q98" i="14"/>
  <c r="P98" i="14"/>
  <c r="O98" i="14"/>
  <c r="M98" i="14"/>
  <c r="H98" i="14"/>
  <c r="F98" i="14"/>
  <c r="V97" i="14"/>
  <c r="U97" i="14"/>
  <c r="T97" i="14"/>
  <c r="R97" i="14"/>
  <c r="Q97" i="14"/>
  <c r="P97" i="14"/>
  <c r="O97" i="14"/>
  <c r="M97" i="14"/>
  <c r="H97" i="14"/>
  <c r="F97" i="14"/>
  <c r="V96" i="14"/>
  <c r="U96" i="14"/>
  <c r="T96" i="14"/>
  <c r="R96" i="14"/>
  <c r="Q96" i="14"/>
  <c r="P96" i="14"/>
  <c r="O96" i="14"/>
  <c r="M96" i="14"/>
  <c r="H96" i="14"/>
  <c r="F96" i="14"/>
  <c r="V95" i="14"/>
  <c r="U95" i="14"/>
  <c r="T95" i="14"/>
  <c r="R95" i="14"/>
  <c r="Q95" i="14"/>
  <c r="P95" i="14"/>
  <c r="O95" i="14"/>
  <c r="M95" i="14"/>
  <c r="H95" i="14"/>
  <c r="F95" i="14"/>
  <c r="V94" i="14"/>
  <c r="U94" i="14"/>
  <c r="T94" i="14"/>
  <c r="R94" i="14"/>
  <c r="Q94" i="14"/>
  <c r="P94" i="14"/>
  <c r="O94" i="14"/>
  <c r="M94" i="14"/>
  <c r="H94" i="14"/>
  <c r="F94" i="14"/>
  <c r="V93" i="14"/>
  <c r="U93" i="14"/>
  <c r="T93" i="14"/>
  <c r="R93" i="14"/>
  <c r="Q93" i="14"/>
  <c r="P93" i="14"/>
  <c r="O93" i="14"/>
  <c r="M93" i="14"/>
  <c r="H93" i="14"/>
  <c r="F93" i="14"/>
  <c r="V88" i="14"/>
  <c r="U88" i="14"/>
  <c r="T88" i="14"/>
  <c r="R88" i="14"/>
  <c r="Q88" i="14"/>
  <c r="P88" i="14"/>
  <c r="O88" i="14"/>
  <c r="M88" i="14"/>
  <c r="H88" i="14"/>
  <c r="F88" i="14"/>
  <c r="V87" i="14"/>
  <c r="U87" i="14"/>
  <c r="T87" i="14"/>
  <c r="R87" i="14"/>
  <c r="Q87" i="14"/>
  <c r="P87" i="14"/>
  <c r="O87" i="14"/>
  <c r="M87" i="14"/>
  <c r="H87" i="14"/>
  <c r="F87" i="14"/>
  <c r="V85" i="14"/>
  <c r="U85" i="14"/>
  <c r="T85" i="14"/>
  <c r="R85" i="14"/>
  <c r="Q85" i="14"/>
  <c r="P85" i="14"/>
  <c r="O85" i="14"/>
  <c r="M85" i="14"/>
  <c r="H85" i="14"/>
  <c r="F85" i="14"/>
  <c r="V84" i="14"/>
  <c r="U84" i="14"/>
  <c r="T84" i="14"/>
  <c r="R84" i="14"/>
  <c r="Q84" i="14"/>
  <c r="P84" i="14"/>
  <c r="O84" i="14"/>
  <c r="M84" i="14"/>
  <c r="H84" i="14"/>
  <c r="F84" i="14"/>
  <c r="V83" i="14"/>
  <c r="U83" i="14"/>
  <c r="T83" i="14"/>
  <c r="R83" i="14"/>
  <c r="Q83" i="14"/>
  <c r="P83" i="14"/>
  <c r="O83" i="14"/>
  <c r="M83" i="14"/>
  <c r="H83" i="14"/>
  <c r="F83" i="14"/>
  <c r="V82" i="14"/>
  <c r="U82" i="14"/>
  <c r="T82" i="14"/>
  <c r="R82" i="14"/>
  <c r="Q82" i="14"/>
  <c r="P82" i="14"/>
  <c r="O82" i="14"/>
  <c r="M82" i="14"/>
  <c r="H82" i="14"/>
  <c r="F82" i="14"/>
  <c r="V81" i="14"/>
  <c r="U81" i="14"/>
  <c r="T81" i="14"/>
  <c r="R81" i="14"/>
  <c r="Q81" i="14"/>
  <c r="P81" i="14"/>
  <c r="O81" i="14"/>
  <c r="M81" i="14"/>
  <c r="H81" i="14"/>
  <c r="F81" i="14"/>
  <c r="V79" i="14"/>
  <c r="U79" i="14"/>
  <c r="T79" i="14"/>
  <c r="R79" i="14"/>
  <c r="Q79" i="14"/>
  <c r="P79" i="14"/>
  <c r="O79" i="14"/>
  <c r="M79" i="14"/>
  <c r="H79" i="14"/>
  <c r="F79" i="14"/>
  <c r="V78" i="14"/>
  <c r="U78" i="14"/>
  <c r="T78" i="14"/>
  <c r="R78" i="14"/>
  <c r="Q78" i="14"/>
  <c r="P78" i="14"/>
  <c r="O78" i="14"/>
  <c r="M78" i="14"/>
  <c r="H78" i="14"/>
  <c r="F78" i="14"/>
  <c r="V77" i="14"/>
  <c r="U77" i="14"/>
  <c r="T77" i="14"/>
  <c r="R77" i="14"/>
  <c r="Q77" i="14"/>
  <c r="P77" i="14"/>
  <c r="O77" i="14"/>
  <c r="M77" i="14"/>
  <c r="H77" i="14"/>
  <c r="F77" i="14"/>
  <c r="V76" i="14"/>
  <c r="U76" i="14"/>
  <c r="T76" i="14"/>
  <c r="R76" i="14"/>
  <c r="Q76" i="14"/>
  <c r="P76" i="14"/>
  <c r="O76" i="14"/>
  <c r="M76" i="14"/>
  <c r="H76" i="14"/>
  <c r="F76" i="14"/>
  <c r="V75" i="14"/>
  <c r="U75" i="14"/>
  <c r="T75" i="14"/>
  <c r="R75" i="14"/>
  <c r="Q75" i="14"/>
  <c r="P75" i="14"/>
  <c r="O75" i="14"/>
  <c r="M75" i="14"/>
  <c r="H75" i="14"/>
  <c r="F75" i="14"/>
  <c r="V74" i="14"/>
  <c r="U74" i="14"/>
  <c r="T74" i="14"/>
  <c r="R74" i="14"/>
  <c r="Q74" i="14"/>
  <c r="P74" i="14"/>
  <c r="O74" i="14"/>
  <c r="M74" i="14"/>
  <c r="H74" i="14"/>
  <c r="F74" i="14"/>
  <c r="V73" i="14"/>
  <c r="U73" i="14"/>
  <c r="T73" i="14"/>
  <c r="R73" i="14"/>
  <c r="Q73" i="14"/>
  <c r="P73" i="14"/>
  <c r="O73" i="14"/>
  <c r="M73" i="14"/>
  <c r="H73" i="14"/>
  <c r="F73" i="14"/>
  <c r="V68" i="14"/>
  <c r="U68" i="14"/>
  <c r="T68" i="14"/>
  <c r="R68" i="14"/>
  <c r="Q68" i="14"/>
  <c r="P68" i="14"/>
  <c r="O68" i="14"/>
  <c r="M68" i="14"/>
  <c r="F68" i="14"/>
  <c r="V67" i="14"/>
  <c r="U67" i="14"/>
  <c r="T67" i="14"/>
  <c r="R67" i="14"/>
  <c r="Q67" i="14"/>
  <c r="P67" i="14"/>
  <c r="O67" i="14"/>
  <c r="M67" i="14"/>
  <c r="F67" i="14"/>
  <c r="V66" i="14"/>
  <c r="U66" i="14"/>
  <c r="T66" i="14"/>
  <c r="R66" i="14"/>
  <c r="Q66" i="14"/>
  <c r="P66" i="14"/>
  <c r="O66" i="14"/>
  <c r="M66" i="14"/>
  <c r="F66" i="14"/>
  <c r="V65" i="14"/>
  <c r="U65" i="14"/>
  <c r="T65" i="14"/>
  <c r="R65" i="14"/>
  <c r="Q65" i="14"/>
  <c r="P65" i="14"/>
  <c r="O65" i="14"/>
  <c r="M65" i="14"/>
  <c r="F65" i="14"/>
  <c r="V64" i="14"/>
  <c r="U64" i="14"/>
  <c r="T64" i="14"/>
  <c r="R64" i="14"/>
  <c r="Q64" i="14"/>
  <c r="P64" i="14"/>
  <c r="O64" i="14"/>
  <c r="M64" i="14"/>
  <c r="F64" i="14"/>
  <c r="V62" i="14"/>
  <c r="U62" i="14"/>
  <c r="T62" i="14"/>
  <c r="R62" i="14"/>
  <c r="Q62" i="14"/>
  <c r="P62" i="14"/>
  <c r="O62" i="14"/>
  <c r="M62" i="14"/>
  <c r="F62" i="14"/>
  <c r="V61" i="14"/>
  <c r="U61" i="14"/>
  <c r="T61" i="14"/>
  <c r="R61" i="14"/>
  <c r="Q61" i="14"/>
  <c r="P61" i="14"/>
  <c r="O61" i="14"/>
  <c r="M61" i="14"/>
  <c r="F61" i="14"/>
  <c r="V60" i="14"/>
  <c r="U60" i="14"/>
  <c r="T60" i="14"/>
  <c r="R60" i="14"/>
  <c r="Q60" i="14"/>
  <c r="P60" i="14"/>
  <c r="O60" i="14"/>
  <c r="M60" i="14"/>
  <c r="F60" i="14"/>
  <c r="V57" i="14"/>
  <c r="U57" i="14"/>
  <c r="T57" i="14"/>
  <c r="R57" i="14"/>
  <c r="Q57" i="14"/>
  <c r="P57" i="14"/>
  <c r="O57" i="14"/>
  <c r="M57" i="14"/>
  <c r="F57" i="14"/>
  <c r="V56" i="14"/>
  <c r="U56" i="14"/>
  <c r="T56" i="14"/>
  <c r="R56" i="14"/>
  <c r="Q56" i="14"/>
  <c r="P56" i="14"/>
  <c r="O56" i="14"/>
  <c r="M56" i="14"/>
  <c r="F56" i="14"/>
  <c r="V55" i="14"/>
  <c r="U55" i="14"/>
  <c r="T55" i="14"/>
  <c r="R55" i="14"/>
  <c r="Q55" i="14"/>
  <c r="P55" i="14"/>
  <c r="O55" i="14"/>
  <c r="M55" i="14"/>
  <c r="F55" i="14"/>
  <c r="V54" i="14"/>
  <c r="U54" i="14"/>
  <c r="T54" i="14"/>
  <c r="R54" i="14"/>
  <c r="Q54" i="14"/>
  <c r="P54" i="14"/>
  <c r="O54" i="14"/>
  <c r="M54" i="14"/>
  <c r="F54" i="14"/>
  <c r="V52" i="14"/>
  <c r="U52" i="14"/>
  <c r="T52" i="14"/>
  <c r="R52" i="14"/>
  <c r="Q52" i="14"/>
  <c r="P52" i="14"/>
  <c r="O52" i="14"/>
  <c r="M52" i="14"/>
  <c r="F52" i="14"/>
  <c r="V50" i="14"/>
  <c r="U50" i="14"/>
  <c r="T50" i="14"/>
  <c r="R50" i="14"/>
  <c r="Q50" i="14"/>
  <c r="P50" i="14"/>
  <c r="O50" i="14"/>
  <c r="M50" i="14"/>
  <c r="F50" i="14"/>
  <c r="V48" i="14"/>
  <c r="U48" i="14"/>
  <c r="T48" i="14"/>
  <c r="R48" i="14"/>
  <c r="Q48" i="14"/>
  <c r="P48" i="14"/>
  <c r="O48" i="14"/>
  <c r="M48" i="14"/>
  <c r="F48" i="14"/>
  <c r="V47" i="14"/>
  <c r="U47" i="14"/>
  <c r="T47" i="14"/>
  <c r="R47" i="14"/>
  <c r="Q47" i="14"/>
  <c r="P47" i="14"/>
  <c r="O47" i="14"/>
  <c r="M47" i="14"/>
  <c r="F47" i="14"/>
  <c r="V46" i="14"/>
  <c r="U46" i="14"/>
  <c r="T46" i="14"/>
  <c r="R46" i="14"/>
  <c r="Q46" i="14"/>
  <c r="P46" i="14"/>
  <c r="O46" i="14"/>
  <c r="M46" i="14"/>
  <c r="F46" i="14"/>
  <c r="V45" i="14"/>
  <c r="U45" i="14"/>
  <c r="T45" i="14"/>
  <c r="R45" i="14"/>
  <c r="Q45" i="14"/>
  <c r="P45" i="14"/>
  <c r="O45" i="14"/>
  <c r="M45" i="14"/>
  <c r="F45" i="14"/>
  <c r="V44" i="14"/>
  <c r="U44" i="14"/>
  <c r="T44" i="14"/>
  <c r="R44" i="14"/>
  <c r="Q44" i="14"/>
  <c r="P44" i="14"/>
  <c r="O44" i="14"/>
  <c r="M44" i="14"/>
  <c r="F44" i="14"/>
  <c r="V43" i="14"/>
  <c r="U43" i="14"/>
  <c r="T43" i="14"/>
  <c r="R43" i="14"/>
  <c r="Q43" i="14"/>
  <c r="P43" i="14"/>
  <c r="O43" i="14"/>
  <c r="M43" i="14"/>
  <c r="F43" i="14"/>
  <c r="V41" i="14"/>
  <c r="U41" i="14"/>
  <c r="T41" i="14"/>
  <c r="R41" i="14"/>
  <c r="Q41" i="14"/>
  <c r="P41" i="14"/>
  <c r="O41" i="14"/>
  <c r="M41" i="14"/>
  <c r="F41" i="14"/>
  <c r="V40" i="14"/>
  <c r="U40" i="14"/>
  <c r="T40" i="14"/>
  <c r="R40" i="14"/>
  <c r="Q40" i="14"/>
  <c r="P40" i="14"/>
  <c r="O40" i="14"/>
  <c r="M40" i="14"/>
  <c r="F40" i="14"/>
  <c r="V37" i="14"/>
  <c r="U37" i="14"/>
  <c r="T37" i="14"/>
  <c r="R37" i="14"/>
  <c r="Q37" i="14"/>
  <c r="P37" i="14"/>
  <c r="O37" i="14"/>
  <c r="M37" i="14"/>
  <c r="F37" i="14"/>
  <c r="V36" i="14"/>
  <c r="U36" i="14"/>
  <c r="T36" i="14"/>
  <c r="R36" i="14"/>
  <c r="Q36" i="14"/>
  <c r="P36" i="14"/>
  <c r="O36" i="14"/>
  <c r="M36" i="14"/>
  <c r="F36" i="14"/>
  <c r="V35" i="14"/>
  <c r="U35" i="14"/>
  <c r="T35" i="14"/>
  <c r="R35" i="14"/>
  <c r="Q35" i="14"/>
  <c r="P35" i="14"/>
  <c r="O35" i="14"/>
  <c r="M35" i="14"/>
  <c r="F35" i="14"/>
  <c r="V34" i="14"/>
  <c r="U34" i="14"/>
  <c r="T34" i="14"/>
  <c r="R34" i="14"/>
  <c r="Q34" i="14"/>
  <c r="P34" i="14"/>
  <c r="O34" i="14"/>
  <c r="M34" i="14"/>
  <c r="F34" i="14"/>
  <c r="V32" i="14"/>
  <c r="U32" i="14"/>
  <c r="T32" i="14"/>
  <c r="R32" i="14"/>
  <c r="Q32" i="14"/>
  <c r="P32" i="14"/>
  <c r="O32" i="14"/>
  <c r="M32" i="14"/>
  <c r="F32" i="14"/>
  <c r="V31" i="14"/>
  <c r="U31" i="14"/>
  <c r="T31" i="14"/>
  <c r="R31" i="14"/>
  <c r="Q31" i="14"/>
  <c r="P31" i="14"/>
  <c r="O31" i="14"/>
  <c r="M31" i="14"/>
  <c r="F31" i="14"/>
  <c r="V29" i="14"/>
  <c r="U29" i="14"/>
  <c r="T29" i="14"/>
  <c r="R29" i="14"/>
  <c r="Q29" i="14"/>
  <c r="P29" i="14"/>
  <c r="O29" i="14"/>
  <c r="M29" i="14"/>
  <c r="F29" i="14"/>
  <c r="V28" i="14"/>
  <c r="U28" i="14"/>
  <c r="T28" i="14"/>
  <c r="R28" i="14"/>
  <c r="Q28" i="14"/>
  <c r="P28" i="14"/>
  <c r="O28" i="14"/>
  <c r="M28" i="14"/>
  <c r="F28" i="14"/>
  <c r="V27" i="14"/>
  <c r="U27" i="14"/>
  <c r="T27" i="14"/>
  <c r="R27" i="14"/>
  <c r="Q27" i="14"/>
  <c r="P27" i="14"/>
  <c r="O27" i="14"/>
  <c r="M27" i="14"/>
  <c r="F27" i="14"/>
  <c r="V26" i="14"/>
  <c r="U26" i="14"/>
  <c r="T26" i="14"/>
  <c r="R26" i="14"/>
  <c r="Q26" i="14"/>
  <c r="P26" i="14"/>
  <c r="O26" i="14"/>
  <c r="M26" i="14"/>
  <c r="F26" i="14"/>
  <c r="V25" i="14"/>
  <c r="U25" i="14"/>
  <c r="T25" i="14"/>
  <c r="R25" i="14"/>
  <c r="Q25" i="14"/>
  <c r="P25" i="14"/>
  <c r="O25" i="14"/>
  <c r="M25" i="14"/>
  <c r="F25" i="14"/>
  <c r="V24" i="14"/>
  <c r="U24" i="14"/>
  <c r="T24" i="14"/>
  <c r="R24" i="14"/>
  <c r="Q24" i="14"/>
  <c r="P24" i="14"/>
  <c r="O24" i="14"/>
  <c r="M24" i="14"/>
  <c r="F24" i="14"/>
  <c r="V22" i="14"/>
  <c r="U22" i="14"/>
  <c r="T22" i="14"/>
  <c r="R22" i="14"/>
  <c r="Q22" i="14"/>
  <c r="P22" i="14"/>
  <c r="O22" i="14"/>
  <c r="M22" i="14"/>
  <c r="F22" i="14"/>
  <c r="V21" i="14"/>
  <c r="U21" i="14"/>
  <c r="T21" i="14"/>
  <c r="R21" i="14"/>
  <c r="Q21" i="14"/>
  <c r="P21" i="14"/>
  <c r="O21" i="14"/>
  <c r="M21" i="14"/>
  <c r="F21" i="14"/>
  <c r="V20" i="14"/>
  <c r="U20" i="14"/>
  <c r="T20" i="14"/>
  <c r="R20" i="14"/>
  <c r="Q20" i="14"/>
  <c r="P20" i="14"/>
  <c r="O20" i="14"/>
  <c r="M20" i="14"/>
  <c r="F20" i="14"/>
  <c r="V18" i="14"/>
  <c r="U18" i="14"/>
  <c r="T18" i="14"/>
  <c r="R18" i="14"/>
  <c r="Q18" i="14"/>
  <c r="P18" i="14"/>
  <c r="O18" i="14"/>
  <c r="M18" i="14"/>
  <c r="F18" i="14"/>
  <c r="V17" i="14"/>
  <c r="U17" i="14"/>
  <c r="T17" i="14"/>
  <c r="R17" i="14"/>
  <c r="Q17" i="14"/>
  <c r="P17" i="14"/>
  <c r="O17" i="14"/>
  <c r="M17" i="14"/>
  <c r="F17" i="14"/>
  <c r="V16" i="14"/>
  <c r="U16" i="14"/>
  <c r="T16" i="14"/>
  <c r="R16" i="14"/>
  <c r="Q16" i="14"/>
  <c r="P16" i="14"/>
  <c r="O16" i="14"/>
  <c r="M16" i="14"/>
  <c r="F16" i="14"/>
  <c r="V14" i="14"/>
  <c r="U14" i="14"/>
  <c r="T14" i="14"/>
  <c r="R14" i="14"/>
  <c r="Q14" i="14"/>
  <c r="P14" i="14"/>
  <c r="O14" i="14"/>
  <c r="M14" i="14"/>
  <c r="F14" i="14"/>
  <c r="V13" i="14"/>
  <c r="U13" i="14"/>
  <c r="T13" i="14"/>
  <c r="R13" i="14"/>
  <c r="Q13" i="14"/>
  <c r="P13" i="14"/>
  <c r="O13" i="14"/>
  <c r="M13" i="14"/>
  <c r="F13" i="14"/>
  <c r="V12" i="14"/>
  <c r="U12" i="14"/>
  <c r="T12" i="14"/>
  <c r="R12" i="14"/>
  <c r="Q12" i="14"/>
  <c r="P12" i="14"/>
  <c r="O12" i="14"/>
  <c r="M12" i="14"/>
  <c r="F12" i="14"/>
  <c r="V11" i="14"/>
  <c r="U11" i="14"/>
  <c r="T11" i="14"/>
  <c r="R11" i="14"/>
  <c r="Q11" i="14"/>
  <c r="P11" i="14"/>
  <c r="O11" i="14"/>
  <c r="M11" i="14"/>
  <c r="F11" i="14"/>
  <c r="V10" i="14"/>
  <c r="U10" i="14"/>
  <c r="T10" i="14"/>
  <c r="R10" i="14"/>
  <c r="Q10" i="14"/>
  <c r="P10" i="14"/>
  <c r="O10" i="14"/>
  <c r="M10" i="14"/>
  <c r="F10" i="14"/>
  <c r="V8" i="14"/>
  <c r="U8" i="14"/>
  <c r="T8" i="14"/>
  <c r="R8" i="14"/>
  <c r="Q8" i="14"/>
  <c r="P8" i="14"/>
  <c r="O8" i="14"/>
  <c r="M8" i="14"/>
  <c r="F8" i="14"/>
  <c r="V7" i="14"/>
  <c r="U7" i="14"/>
  <c r="T7" i="14"/>
  <c r="R7" i="14"/>
  <c r="Q7" i="14"/>
  <c r="P7" i="14"/>
  <c r="O7" i="14"/>
  <c r="M7" i="14"/>
  <c r="F7" i="14"/>
  <c r="V6" i="14"/>
  <c r="U6" i="14"/>
  <c r="T6" i="14"/>
  <c r="R6" i="14"/>
  <c r="Q6" i="14"/>
  <c r="P6" i="14"/>
  <c r="O6" i="14"/>
  <c r="M6" i="14"/>
  <c r="F6" i="14"/>
  <c r="U106" i="14" l="1"/>
  <c r="T92" i="14"/>
  <c r="F100" i="14"/>
  <c r="H100" i="14"/>
  <c r="P106" i="14"/>
  <c r="R106" i="14"/>
  <c r="H106" i="14"/>
  <c r="M106" i="14"/>
  <c r="O106" i="14"/>
  <c r="M92" i="14"/>
  <c r="O92" i="14"/>
  <c r="Q92" i="14"/>
  <c r="U92" i="14"/>
  <c r="P100" i="14"/>
  <c r="R100" i="14"/>
  <c r="T100" i="14"/>
  <c r="V100" i="14"/>
  <c r="Q106" i="14"/>
  <c r="R92" i="14"/>
  <c r="V92" i="14"/>
  <c r="T106" i="14"/>
  <c r="V106" i="14"/>
  <c r="P92" i="14"/>
  <c r="F92" i="14"/>
  <c r="H92" i="14"/>
  <c r="M100" i="14"/>
  <c r="O100" i="14"/>
  <c r="Q100" i="14"/>
  <c r="U100" i="14"/>
  <c r="F106" i="14"/>
  <c r="R51" i="14" l="1"/>
  <c r="R49" i="14"/>
  <c r="R87" i="13"/>
  <c r="R46" i="13"/>
  <c r="R59" i="14" l="1"/>
  <c r="R5" i="14"/>
  <c r="R9" i="14"/>
  <c r="R30" i="14"/>
  <c r="R39" i="14"/>
  <c r="R42" i="14"/>
  <c r="R72" i="14"/>
  <c r="R80" i="14"/>
  <c r="R86" i="14"/>
  <c r="R15" i="14"/>
  <c r="R19" i="14"/>
  <c r="R23" i="14"/>
  <c r="R33" i="14"/>
  <c r="R53" i="14"/>
  <c r="R63" i="14"/>
  <c r="R58" i="14" l="1"/>
  <c r="R71" i="14"/>
  <c r="R50" i="13" s="1"/>
  <c r="R91" i="14"/>
  <c r="R91" i="13" s="1"/>
  <c r="R38" i="14"/>
  <c r="R4" i="14"/>
  <c r="R3" i="14" l="1"/>
  <c r="R9" i="13" s="1"/>
  <c r="D5" i="13"/>
  <c r="Q91" i="14" l="1"/>
  <c r="Q91" i="13" s="1"/>
  <c r="P91" i="14"/>
  <c r="Q49" i="14"/>
  <c r="P51" i="14"/>
  <c r="P49" i="14"/>
  <c r="Q51" i="14"/>
  <c r="Q42" i="14" l="1"/>
  <c r="P80" i="14"/>
  <c r="Q72" i="14"/>
  <c r="Q80" i="14"/>
  <c r="Q86" i="14"/>
  <c r="P5" i="14"/>
  <c r="P9" i="14"/>
  <c r="P15" i="14"/>
  <c r="P19" i="14"/>
  <c r="P23" i="14"/>
  <c r="P30" i="14"/>
  <c r="P33" i="14"/>
  <c r="P39" i="14"/>
  <c r="P42" i="14"/>
  <c r="P53" i="14"/>
  <c r="P59" i="14"/>
  <c r="P63" i="14"/>
  <c r="Q5" i="14"/>
  <c r="Q9" i="14"/>
  <c r="Q15" i="14"/>
  <c r="Q19" i="14"/>
  <c r="Q23" i="14"/>
  <c r="Q30" i="14"/>
  <c r="Q33" i="14"/>
  <c r="Q39" i="14"/>
  <c r="Q53" i="14"/>
  <c r="Q59" i="14"/>
  <c r="Q63" i="14"/>
  <c r="P72" i="14"/>
  <c r="P86" i="14"/>
  <c r="D48" i="13"/>
  <c r="D7" i="13"/>
  <c r="Q87" i="13"/>
  <c r="Q46" i="13"/>
  <c r="P91" i="13"/>
  <c r="P87" i="13"/>
  <c r="P46" i="13"/>
  <c r="L87" i="13"/>
  <c r="L46" i="13"/>
  <c r="H87" i="13"/>
  <c r="H46" i="13"/>
  <c r="Q4" i="14" l="1"/>
  <c r="P38" i="14"/>
  <c r="Q38" i="14"/>
  <c r="P58" i="14"/>
  <c r="Q58" i="14"/>
  <c r="P4" i="14"/>
  <c r="Q71" i="14"/>
  <c r="Q50" i="13" s="1"/>
  <c r="P71" i="14"/>
  <c r="P50" i="13" s="1"/>
  <c r="L42" i="4"/>
  <c r="K42" i="4"/>
  <c r="D89" i="13"/>
  <c r="W87" i="13"/>
  <c r="W46" i="13"/>
  <c r="L3" i="4"/>
  <c r="K3" i="4"/>
  <c r="V120" i="13" l="1"/>
  <c r="T120" i="13"/>
  <c r="R120" i="13"/>
  <c r="P120" i="13"/>
  <c r="L120" i="13"/>
  <c r="H120" i="13"/>
  <c r="F120" i="13"/>
  <c r="W38" i="13"/>
  <c r="U38" i="13"/>
  <c r="Q38" i="13"/>
  <c r="M38" i="13"/>
  <c r="V79" i="13"/>
  <c r="T79" i="13"/>
  <c r="R79" i="13"/>
  <c r="P79" i="13"/>
  <c r="L79" i="13"/>
  <c r="H79" i="13"/>
  <c r="F79" i="13"/>
  <c r="R122" i="13"/>
  <c r="R119" i="13"/>
  <c r="R117" i="13"/>
  <c r="R114" i="13"/>
  <c r="R112" i="13"/>
  <c r="R110" i="13"/>
  <c r="R107" i="13"/>
  <c r="R105" i="13"/>
  <c r="R103" i="13"/>
  <c r="R101" i="13"/>
  <c r="R99" i="13"/>
  <c r="R97" i="13"/>
  <c r="R95" i="13"/>
  <c r="R93" i="13"/>
  <c r="R80" i="13"/>
  <c r="R77" i="13"/>
  <c r="R74" i="13"/>
  <c r="R72" i="13"/>
  <c r="R70" i="13"/>
  <c r="R67" i="13"/>
  <c r="R65" i="13"/>
  <c r="R63" i="13"/>
  <c r="R61" i="13"/>
  <c r="R59" i="13"/>
  <c r="R57" i="13"/>
  <c r="R55" i="13"/>
  <c r="R53" i="13"/>
  <c r="R40" i="13"/>
  <c r="R37" i="13"/>
  <c r="R35" i="13"/>
  <c r="R32" i="13"/>
  <c r="R30" i="13"/>
  <c r="R28" i="13"/>
  <c r="R25" i="13"/>
  <c r="R23" i="13"/>
  <c r="R21" i="13"/>
  <c r="R19" i="13"/>
  <c r="R17" i="13"/>
  <c r="R15" i="13"/>
  <c r="R13" i="13"/>
  <c r="R11" i="13"/>
  <c r="W120" i="13"/>
  <c r="U120" i="13"/>
  <c r="Q120" i="13"/>
  <c r="M120" i="13"/>
  <c r="V38" i="13"/>
  <c r="T38" i="13"/>
  <c r="R38" i="13"/>
  <c r="P38" i="13"/>
  <c r="F38" i="13"/>
  <c r="U79" i="13"/>
  <c r="Q79" i="13"/>
  <c r="M79" i="13"/>
  <c r="R121" i="13"/>
  <c r="R115" i="13"/>
  <c r="R111" i="13"/>
  <c r="R106" i="13"/>
  <c r="R102" i="13"/>
  <c r="R98" i="13"/>
  <c r="R94" i="13"/>
  <c r="R78" i="13"/>
  <c r="R73" i="13"/>
  <c r="R69" i="13"/>
  <c r="R64" i="13"/>
  <c r="R60" i="13"/>
  <c r="R56" i="13"/>
  <c r="R52" i="13"/>
  <c r="R36" i="13"/>
  <c r="R31" i="13"/>
  <c r="R26" i="13"/>
  <c r="R22" i="13"/>
  <c r="R18" i="13"/>
  <c r="R14" i="13"/>
  <c r="L38" i="13"/>
  <c r="H38" i="13"/>
  <c r="W79" i="13"/>
  <c r="R118" i="13"/>
  <c r="R113" i="13"/>
  <c r="R108" i="13"/>
  <c r="R104" i="13"/>
  <c r="R100" i="13"/>
  <c r="R96" i="13"/>
  <c r="R81" i="13"/>
  <c r="R76" i="13"/>
  <c r="R71" i="13"/>
  <c r="R66" i="13"/>
  <c r="R62" i="13"/>
  <c r="R58" i="13"/>
  <c r="R54" i="13"/>
  <c r="R39" i="13"/>
  <c r="R33" i="13"/>
  <c r="R29" i="13"/>
  <c r="R24" i="13"/>
  <c r="R20" i="13"/>
  <c r="R16" i="13"/>
  <c r="R12" i="13"/>
  <c r="Q3" i="14"/>
  <c r="Q9" i="13" s="1"/>
  <c r="P3" i="14"/>
  <c r="P9" i="13" s="1"/>
  <c r="W122" i="13"/>
  <c r="F122" i="13"/>
  <c r="W81" i="13"/>
  <c r="F81" i="13"/>
  <c r="V122" i="13"/>
  <c r="Q122" i="13"/>
  <c r="M122" i="13"/>
  <c r="V81" i="13"/>
  <c r="Q81" i="13"/>
  <c r="M81" i="13"/>
  <c r="U122" i="13"/>
  <c r="P122" i="13"/>
  <c r="L122" i="13"/>
  <c r="H122" i="13"/>
  <c r="U81" i="13"/>
  <c r="P81" i="13"/>
  <c r="L81" i="13"/>
  <c r="H81" i="13"/>
  <c r="T122" i="13"/>
  <c r="T81" i="13"/>
  <c r="T121" i="13"/>
  <c r="Q121" i="13"/>
  <c r="M121" i="13"/>
  <c r="T119" i="13"/>
  <c r="Q119" i="13"/>
  <c r="M119" i="13"/>
  <c r="T118" i="13"/>
  <c r="Q118" i="13"/>
  <c r="M118" i="13"/>
  <c r="T93" i="13"/>
  <c r="Q93" i="13"/>
  <c r="M93" i="13"/>
  <c r="T80" i="13"/>
  <c r="Q80" i="13"/>
  <c r="M80" i="13"/>
  <c r="T78" i="13"/>
  <c r="Q78" i="13"/>
  <c r="M78" i="13"/>
  <c r="T77" i="13"/>
  <c r="Q77" i="13"/>
  <c r="M77" i="13"/>
  <c r="W52" i="13"/>
  <c r="U52" i="13"/>
  <c r="P52" i="13"/>
  <c r="L52" i="13"/>
  <c r="H52" i="13"/>
  <c r="F52" i="13"/>
  <c r="W39" i="13"/>
  <c r="U39" i="13"/>
  <c r="P39" i="13"/>
  <c r="L39" i="13"/>
  <c r="H39" i="13"/>
  <c r="F39" i="13"/>
  <c r="W37" i="13"/>
  <c r="U37" i="13"/>
  <c r="W121" i="13"/>
  <c r="U121" i="13"/>
  <c r="P121" i="13"/>
  <c r="L121" i="13"/>
  <c r="H121" i="13"/>
  <c r="F121" i="13"/>
  <c r="W119" i="13"/>
  <c r="U119" i="13"/>
  <c r="P119" i="13"/>
  <c r="L119" i="13"/>
  <c r="H119" i="13"/>
  <c r="F119" i="13"/>
  <c r="W118" i="13"/>
  <c r="U118" i="13"/>
  <c r="P118" i="13"/>
  <c r="L118" i="13"/>
  <c r="H118" i="13"/>
  <c r="F118" i="13"/>
  <c r="W93" i="13"/>
  <c r="U93" i="13"/>
  <c r="P93" i="13"/>
  <c r="L93" i="13"/>
  <c r="H93" i="13"/>
  <c r="F93" i="13"/>
  <c r="W80" i="13"/>
  <c r="U80" i="13"/>
  <c r="P80" i="13"/>
  <c r="L80" i="13"/>
  <c r="H80" i="13"/>
  <c r="F80" i="13"/>
  <c r="W78" i="13"/>
  <c r="U78" i="13"/>
  <c r="P78" i="13"/>
  <c r="L78" i="13"/>
  <c r="H78" i="13"/>
  <c r="F78" i="13"/>
  <c r="W77" i="13"/>
  <c r="U77" i="13"/>
  <c r="P77" i="13"/>
  <c r="L77" i="13"/>
  <c r="H77" i="13"/>
  <c r="F77" i="13"/>
  <c r="T52" i="13"/>
  <c r="Q52" i="13"/>
  <c r="M52" i="13"/>
  <c r="T39" i="13"/>
  <c r="Q39" i="13"/>
  <c r="M39" i="13"/>
  <c r="P37" i="13"/>
  <c r="L37" i="13"/>
  <c r="H37" i="13"/>
  <c r="F37" i="13"/>
  <c r="W36" i="13"/>
  <c r="U36" i="13"/>
  <c r="P36" i="13"/>
  <c r="L36" i="13"/>
  <c r="H36" i="13"/>
  <c r="F36" i="13"/>
  <c r="W11" i="13"/>
  <c r="U11" i="13"/>
  <c r="P11" i="13"/>
  <c r="L11" i="13"/>
  <c r="H11" i="13"/>
  <c r="F11" i="13"/>
  <c r="T37" i="13"/>
  <c r="Q37" i="13"/>
  <c r="M37" i="13"/>
  <c r="T36" i="13"/>
  <c r="Q36" i="13"/>
  <c r="M36" i="13"/>
  <c r="T11" i="13"/>
  <c r="Q11" i="13"/>
  <c r="M11" i="13"/>
  <c r="Q117" i="13"/>
  <c r="Q114" i="13"/>
  <c r="Q112" i="13"/>
  <c r="Q110" i="13"/>
  <c r="Q107" i="13"/>
  <c r="Q105" i="13"/>
  <c r="Q103" i="13"/>
  <c r="Q101" i="13"/>
  <c r="Q99" i="13"/>
  <c r="Q97" i="13"/>
  <c r="Q95" i="13"/>
  <c r="Q76" i="13"/>
  <c r="Q73" i="13"/>
  <c r="Q71" i="13"/>
  <c r="Q69" i="13"/>
  <c r="Q66" i="13"/>
  <c r="Q64" i="13"/>
  <c r="Q62" i="13"/>
  <c r="Q60" i="13"/>
  <c r="Q58" i="13"/>
  <c r="Q56" i="13"/>
  <c r="Q54" i="13"/>
  <c r="Q35" i="13"/>
  <c r="Q32" i="13"/>
  <c r="Q30" i="13"/>
  <c r="Q28" i="13"/>
  <c r="Q25" i="13"/>
  <c r="Q23" i="13"/>
  <c r="Q21" i="13"/>
  <c r="Q19" i="13"/>
  <c r="Q17" i="13"/>
  <c r="Q15" i="13"/>
  <c r="Q13" i="13"/>
  <c r="P117" i="13"/>
  <c r="P114" i="13"/>
  <c r="P112" i="13"/>
  <c r="P110" i="13"/>
  <c r="P107" i="13"/>
  <c r="P105" i="13"/>
  <c r="P103" i="13"/>
  <c r="P101" i="13"/>
  <c r="P99" i="13"/>
  <c r="P97" i="13"/>
  <c r="P95" i="13"/>
  <c r="P76" i="13"/>
  <c r="P73" i="13"/>
  <c r="P71" i="13"/>
  <c r="P69" i="13"/>
  <c r="P66" i="13"/>
  <c r="P64" i="13"/>
  <c r="P62" i="13"/>
  <c r="P60" i="13"/>
  <c r="P58" i="13"/>
  <c r="P56" i="13"/>
  <c r="P54" i="13"/>
  <c r="P40" i="13"/>
  <c r="P33" i="13"/>
  <c r="P31" i="13"/>
  <c r="P29" i="13"/>
  <c r="P26" i="13"/>
  <c r="P24" i="13"/>
  <c r="P22" i="13"/>
  <c r="P20" i="13"/>
  <c r="Q113" i="13"/>
  <c r="Q108" i="13"/>
  <c r="Q104" i="13"/>
  <c r="Q100" i="13"/>
  <c r="Q96" i="13"/>
  <c r="Q72" i="13"/>
  <c r="Q67" i="13"/>
  <c r="Q63" i="13"/>
  <c r="Q59" i="13"/>
  <c r="Q55" i="13"/>
  <c r="Q40" i="13"/>
  <c r="Q31" i="13"/>
  <c r="Q26" i="13"/>
  <c r="Q22" i="13"/>
  <c r="Q18" i="13"/>
  <c r="Q14" i="13"/>
  <c r="P113" i="13"/>
  <c r="P108" i="13"/>
  <c r="P104" i="13"/>
  <c r="P100" i="13"/>
  <c r="P96" i="13"/>
  <c r="P72" i="13"/>
  <c r="P67" i="13"/>
  <c r="P63" i="13"/>
  <c r="P59" i="13"/>
  <c r="P55" i="13"/>
  <c r="P32" i="13"/>
  <c r="P28" i="13"/>
  <c r="P23" i="13"/>
  <c r="P19" i="13"/>
  <c r="P17" i="13"/>
  <c r="P15" i="13"/>
  <c r="P13" i="13"/>
  <c r="L117" i="13"/>
  <c r="L114" i="13"/>
  <c r="L112" i="13"/>
  <c r="L110" i="13"/>
  <c r="L107" i="13"/>
  <c r="L105" i="13"/>
  <c r="L103" i="13"/>
  <c r="L101" i="13"/>
  <c r="L99" i="13"/>
  <c r="L97" i="13"/>
  <c r="L95" i="13"/>
  <c r="L76" i="13"/>
  <c r="L73" i="13"/>
  <c r="L71" i="13"/>
  <c r="L69" i="13"/>
  <c r="L66" i="13"/>
  <c r="L64" i="13"/>
  <c r="L62" i="13"/>
  <c r="L60" i="13"/>
  <c r="L58" i="13"/>
  <c r="L56" i="13"/>
  <c r="L54" i="13"/>
  <c r="L40" i="13"/>
  <c r="L33" i="13"/>
  <c r="L31" i="13"/>
  <c r="L29" i="13"/>
  <c r="L26" i="13"/>
  <c r="L24" i="13"/>
  <c r="L22" i="13"/>
  <c r="L20" i="13"/>
  <c r="L18" i="13"/>
  <c r="L16" i="13"/>
  <c r="L14" i="13"/>
  <c r="L12" i="13"/>
  <c r="H115" i="13"/>
  <c r="H113" i="13"/>
  <c r="H111" i="13"/>
  <c r="H108" i="13"/>
  <c r="H106" i="13"/>
  <c r="H104" i="13"/>
  <c r="H102" i="13"/>
  <c r="H100" i="13"/>
  <c r="H98" i="13"/>
  <c r="H96" i="13"/>
  <c r="H94" i="13"/>
  <c r="H74" i="13"/>
  <c r="H72" i="13"/>
  <c r="H70" i="13"/>
  <c r="H67" i="13"/>
  <c r="H65" i="13"/>
  <c r="H63" i="13"/>
  <c r="H61" i="13"/>
  <c r="H59" i="13"/>
  <c r="H57" i="13"/>
  <c r="H55" i="13"/>
  <c r="H53" i="13"/>
  <c r="H35" i="13"/>
  <c r="H32" i="13"/>
  <c r="H30" i="13"/>
  <c r="H28" i="13"/>
  <c r="H25" i="13"/>
  <c r="H23" i="13"/>
  <c r="H21" i="13"/>
  <c r="H19" i="13"/>
  <c r="H17" i="13"/>
  <c r="H15" i="13"/>
  <c r="H13" i="13"/>
  <c r="Q115" i="13"/>
  <c r="Q111" i="13"/>
  <c r="Q106" i="13"/>
  <c r="Q102" i="13"/>
  <c r="Q98" i="13"/>
  <c r="Q94" i="13"/>
  <c r="Q74" i="13"/>
  <c r="Q70" i="13"/>
  <c r="Q65" i="13"/>
  <c r="Q61" i="13"/>
  <c r="Q57" i="13"/>
  <c r="Q53" i="13"/>
  <c r="Q33" i="13"/>
  <c r="Q29" i="13"/>
  <c r="Q24" i="13"/>
  <c r="Q20" i="13"/>
  <c r="Q16" i="13"/>
  <c r="Q12" i="13"/>
  <c r="P115" i="13"/>
  <c r="P111" i="13"/>
  <c r="P106" i="13"/>
  <c r="P102" i="13"/>
  <c r="P98" i="13"/>
  <c r="P94" i="13"/>
  <c r="P74" i="13"/>
  <c r="P70" i="13"/>
  <c r="P65" i="13"/>
  <c r="P61" i="13"/>
  <c r="P57" i="13"/>
  <c r="P53" i="13"/>
  <c r="P35" i="13"/>
  <c r="P30" i="13"/>
  <c r="P25" i="13"/>
  <c r="P21" i="13"/>
  <c r="P18" i="13"/>
  <c r="P16" i="13"/>
  <c r="P14" i="13"/>
  <c r="P12" i="13"/>
  <c r="L115" i="13"/>
  <c r="L113" i="13"/>
  <c r="L111" i="13"/>
  <c r="L108" i="13"/>
  <c r="L104" i="13"/>
  <c r="L100" i="13"/>
  <c r="L96" i="13"/>
  <c r="L72" i="13"/>
  <c r="L67" i="13"/>
  <c r="L63" i="13"/>
  <c r="L59" i="13"/>
  <c r="L55" i="13"/>
  <c r="L32" i="13"/>
  <c r="L28" i="13"/>
  <c r="L23" i="13"/>
  <c r="L19" i="13"/>
  <c r="L15" i="13"/>
  <c r="H117" i="13"/>
  <c r="H112" i="13"/>
  <c r="H107" i="13"/>
  <c r="H103" i="13"/>
  <c r="H99" i="13"/>
  <c r="H95" i="13"/>
  <c r="H76" i="13"/>
  <c r="H71" i="13"/>
  <c r="H66" i="13"/>
  <c r="H62" i="13"/>
  <c r="H58" i="13"/>
  <c r="H54" i="13"/>
  <c r="H40" i="13"/>
  <c r="H31" i="13"/>
  <c r="H26" i="13"/>
  <c r="H22" i="13"/>
  <c r="H18" i="13"/>
  <c r="H14" i="13"/>
  <c r="L106" i="13"/>
  <c r="L102" i="13"/>
  <c r="L98" i="13"/>
  <c r="L94" i="13"/>
  <c r="L74" i="13"/>
  <c r="L70" i="13"/>
  <c r="L65" i="13"/>
  <c r="L61" i="13"/>
  <c r="L57" i="13"/>
  <c r="L53" i="13"/>
  <c r="L35" i="13"/>
  <c r="L30" i="13"/>
  <c r="L25" i="13"/>
  <c r="L21" i="13"/>
  <c r="L17" i="13"/>
  <c r="L13" i="13"/>
  <c r="H114" i="13"/>
  <c r="H110" i="13"/>
  <c r="H105" i="13"/>
  <c r="H101" i="13"/>
  <c r="H97" i="13"/>
  <c r="H73" i="13"/>
  <c r="H69" i="13"/>
  <c r="H64" i="13"/>
  <c r="H60" i="13"/>
  <c r="H56" i="13"/>
  <c r="H33" i="13"/>
  <c r="H29" i="13"/>
  <c r="H24" i="13"/>
  <c r="H20" i="13"/>
  <c r="H16" i="13"/>
  <c r="H12" i="13"/>
  <c r="T17" i="13"/>
  <c r="W14" i="13"/>
  <c r="W22" i="13"/>
  <c r="W31" i="13"/>
  <c r="W56" i="13"/>
  <c r="W64" i="13"/>
  <c r="W73" i="13"/>
  <c r="W99" i="13"/>
  <c r="W107" i="13"/>
  <c r="W117" i="13"/>
  <c r="W18" i="13"/>
  <c r="W26" i="13"/>
  <c r="W40" i="13"/>
  <c r="W60" i="13"/>
  <c r="W69" i="13"/>
  <c r="W95" i="13"/>
  <c r="W103" i="13"/>
  <c r="W112" i="13"/>
  <c r="W12" i="13"/>
  <c r="W16" i="13"/>
  <c r="W20" i="13"/>
  <c r="W24" i="13"/>
  <c r="W29" i="13"/>
  <c r="W33" i="13"/>
  <c r="W54" i="13"/>
  <c r="W58" i="13"/>
  <c r="W62" i="13"/>
  <c r="W66" i="13"/>
  <c r="W71" i="13"/>
  <c r="W76" i="13"/>
  <c r="W97" i="13"/>
  <c r="W101" i="13"/>
  <c r="W105" i="13"/>
  <c r="W110" i="13"/>
  <c r="W114" i="13"/>
  <c r="W13" i="13"/>
  <c r="W15" i="13"/>
  <c r="W17" i="13"/>
  <c r="W19" i="13"/>
  <c r="W21" i="13"/>
  <c r="W23" i="13"/>
  <c r="W25" i="13"/>
  <c r="W28" i="13"/>
  <c r="W30" i="13"/>
  <c r="W32" i="13"/>
  <c r="W35" i="13"/>
  <c r="W53" i="13"/>
  <c r="W55" i="13"/>
  <c r="W57" i="13"/>
  <c r="W59" i="13"/>
  <c r="W61" i="13"/>
  <c r="W63" i="13"/>
  <c r="W65" i="13"/>
  <c r="W67" i="13"/>
  <c r="W70" i="13"/>
  <c r="W72" i="13"/>
  <c r="W74" i="13"/>
  <c r="W94" i="13"/>
  <c r="W96" i="13"/>
  <c r="W98" i="13"/>
  <c r="W100" i="13"/>
  <c r="W102" i="13"/>
  <c r="W104" i="13"/>
  <c r="W106" i="13"/>
  <c r="W108" i="13"/>
  <c r="W111" i="13"/>
  <c r="W113" i="13"/>
  <c r="W115" i="13"/>
  <c r="R68" i="13" l="1"/>
  <c r="R75" i="13"/>
  <c r="R27" i="13"/>
  <c r="R123" i="13"/>
  <c r="R34" i="13"/>
  <c r="R82" i="13"/>
  <c r="R109" i="13"/>
  <c r="R116" i="13"/>
  <c r="R41" i="13"/>
  <c r="Q27" i="13"/>
  <c r="H123" i="13"/>
  <c r="H82" i="13"/>
  <c r="W123" i="13"/>
  <c r="W82" i="13"/>
  <c r="L82" i="13"/>
  <c r="Q82" i="13"/>
  <c r="P41" i="13"/>
  <c r="P123" i="13"/>
  <c r="L41" i="13"/>
  <c r="H27" i="13"/>
  <c r="H116" i="13"/>
  <c r="L68" i="13"/>
  <c r="L109" i="13"/>
  <c r="L123" i="13"/>
  <c r="P82" i="13"/>
  <c r="Q123" i="13"/>
  <c r="W109" i="13"/>
  <c r="H68" i="13"/>
  <c r="W68" i="13"/>
  <c r="P68" i="13"/>
  <c r="P109" i="13"/>
  <c r="Q68" i="13"/>
  <c r="Q109" i="13"/>
  <c r="H109" i="13"/>
  <c r="L27" i="13"/>
  <c r="W27" i="13"/>
  <c r="P27" i="13"/>
  <c r="H34" i="13"/>
  <c r="L34" i="13"/>
  <c r="H41" i="13"/>
  <c r="V59" i="14"/>
  <c r="L116" i="13"/>
  <c r="P75" i="13"/>
  <c r="Q34" i="13"/>
  <c r="Q116" i="13"/>
  <c r="H75" i="13"/>
  <c r="L75" i="13"/>
  <c r="P116" i="13"/>
  <c r="Q41" i="13"/>
  <c r="Q75" i="13"/>
  <c r="W41" i="13"/>
  <c r="P34" i="13"/>
  <c r="W75" i="13"/>
  <c r="W116" i="13"/>
  <c r="W34" i="13"/>
  <c r="R42" i="13" l="1"/>
  <c r="R83" i="13"/>
  <c r="R47" i="13"/>
  <c r="R49" i="13" s="1"/>
  <c r="R51" i="13" s="1"/>
  <c r="R88" i="13"/>
  <c r="R90" i="13" s="1"/>
  <c r="R92" i="13" s="1"/>
  <c r="R6" i="13"/>
  <c r="R8" i="13" s="1"/>
  <c r="R10" i="13" s="1"/>
  <c r="R124" i="13"/>
  <c r="L88" i="13"/>
  <c r="L90" i="13" s="1"/>
  <c r="P47" i="13"/>
  <c r="P49" i="13" s="1"/>
  <c r="P51" i="13" s="1"/>
  <c r="H6" i="13"/>
  <c r="H8" i="13" s="1"/>
  <c r="L83" i="13"/>
  <c r="H42" i="13"/>
  <c r="Q83" i="13"/>
  <c r="Q88" i="13"/>
  <c r="Q90" i="13" s="1"/>
  <c r="P83" i="13"/>
  <c r="H88" i="13"/>
  <c r="H90" i="13" s="1"/>
  <c r="Q124" i="13"/>
  <c r="H83" i="13"/>
  <c r="Q6" i="13"/>
  <c r="Q8" i="13" s="1"/>
  <c r="W42" i="13"/>
  <c r="W88" i="13"/>
  <c r="W90" i="13" s="1"/>
  <c r="P124" i="13"/>
  <c r="Q42" i="13"/>
  <c r="L124" i="13"/>
  <c r="L6" i="13"/>
  <c r="L8" i="13" s="1"/>
  <c r="H124" i="13"/>
  <c r="L42" i="13"/>
  <c r="L47" i="13"/>
  <c r="L49" i="13" s="1"/>
  <c r="H47" i="13"/>
  <c r="H49" i="13" s="1"/>
  <c r="Q47" i="13"/>
  <c r="Q49" i="13" s="1"/>
  <c r="P88" i="13"/>
  <c r="P90" i="13" s="1"/>
  <c r="P92" i="13" s="1"/>
  <c r="P6" i="13"/>
  <c r="P8" i="13" s="1"/>
  <c r="P10" i="13" s="1"/>
  <c r="W47" i="13"/>
  <c r="W49" i="13" s="1"/>
  <c r="W6" i="13"/>
  <c r="W8" i="13" s="1"/>
  <c r="W83" i="13"/>
  <c r="W124" i="13"/>
  <c r="P42" i="13"/>
  <c r="Q501" i="25"/>
  <c r="P501" i="25"/>
  <c r="Q500" i="25"/>
  <c r="P500" i="25"/>
  <c r="Q499" i="25"/>
  <c r="P499" i="25"/>
  <c r="Q498" i="25"/>
  <c r="P498" i="25"/>
  <c r="Q497" i="25"/>
  <c r="P497" i="25"/>
  <c r="Q496" i="25"/>
  <c r="P496" i="25"/>
  <c r="Q495" i="25"/>
  <c r="P495" i="25"/>
  <c r="Q494" i="25"/>
  <c r="P494" i="25"/>
  <c r="Q493" i="25"/>
  <c r="P493" i="25"/>
  <c r="Q492" i="25"/>
  <c r="P492" i="25"/>
  <c r="Q491" i="25"/>
  <c r="P491" i="25"/>
  <c r="Q490" i="25"/>
  <c r="P490" i="25"/>
  <c r="Q489" i="25"/>
  <c r="P489" i="25"/>
  <c r="Q488" i="25"/>
  <c r="P488" i="25"/>
  <c r="Q487" i="25"/>
  <c r="P487" i="25"/>
  <c r="Q486" i="25"/>
  <c r="P486" i="25"/>
  <c r="Q485" i="25"/>
  <c r="P485" i="25"/>
  <c r="Q484" i="25"/>
  <c r="P484" i="25"/>
  <c r="Q483" i="25"/>
  <c r="P483" i="25"/>
  <c r="Q482" i="25"/>
  <c r="P482" i="25"/>
  <c r="Q481" i="25"/>
  <c r="P481" i="25"/>
  <c r="Q480" i="25"/>
  <c r="P480" i="25"/>
  <c r="Q479" i="25"/>
  <c r="P479" i="25"/>
  <c r="Q478" i="25"/>
  <c r="P478" i="25"/>
  <c r="Q477" i="25"/>
  <c r="P477" i="25"/>
  <c r="Q476" i="25"/>
  <c r="P476" i="25"/>
  <c r="Q475" i="25"/>
  <c r="P475" i="25"/>
  <c r="Q474" i="25"/>
  <c r="P474" i="25"/>
  <c r="Q473" i="25"/>
  <c r="P473" i="25"/>
  <c r="Q472" i="25"/>
  <c r="P472" i="25"/>
  <c r="Q471" i="25"/>
  <c r="P471" i="25"/>
  <c r="Q470" i="25"/>
  <c r="P470" i="25"/>
  <c r="Q469" i="25"/>
  <c r="P469" i="25"/>
  <c r="Q468" i="25"/>
  <c r="P468" i="25"/>
  <c r="Q467" i="25"/>
  <c r="P467" i="25"/>
  <c r="Q466" i="25"/>
  <c r="P466" i="25"/>
  <c r="Q465" i="25"/>
  <c r="P465" i="25"/>
  <c r="Q464" i="25"/>
  <c r="P464" i="25"/>
  <c r="Q463" i="25"/>
  <c r="P463" i="25"/>
  <c r="Q462" i="25"/>
  <c r="P462" i="25"/>
  <c r="Q461" i="25"/>
  <c r="P461" i="25"/>
  <c r="Q460" i="25"/>
  <c r="P460" i="25"/>
  <c r="Q459" i="25"/>
  <c r="P459" i="25"/>
  <c r="Q458" i="25"/>
  <c r="P458" i="25"/>
  <c r="Q457" i="25"/>
  <c r="P457" i="25"/>
  <c r="Q456" i="25"/>
  <c r="P456" i="25"/>
  <c r="Q455" i="25"/>
  <c r="P455" i="25"/>
  <c r="Q454" i="25"/>
  <c r="P454" i="25"/>
  <c r="Q453" i="25"/>
  <c r="P453" i="25"/>
  <c r="Q452" i="25"/>
  <c r="P452" i="25"/>
  <c r="Q451" i="25"/>
  <c r="P451" i="25"/>
  <c r="Q450" i="25"/>
  <c r="P450" i="25"/>
  <c r="Q449" i="25"/>
  <c r="P449" i="25"/>
  <c r="Q448" i="25"/>
  <c r="P448" i="25"/>
  <c r="Q447" i="25"/>
  <c r="P447" i="25"/>
  <c r="Q446" i="25"/>
  <c r="P446" i="25"/>
  <c r="Q445" i="25"/>
  <c r="P445" i="25"/>
  <c r="Q444" i="25"/>
  <c r="P444" i="25"/>
  <c r="Q443" i="25"/>
  <c r="P443" i="25"/>
  <c r="Q442" i="25"/>
  <c r="P442" i="25"/>
  <c r="Q441" i="25"/>
  <c r="P441" i="25"/>
  <c r="Q440" i="25"/>
  <c r="P440" i="25"/>
  <c r="Q439" i="25"/>
  <c r="P439" i="25"/>
  <c r="Q438" i="25"/>
  <c r="P438" i="25"/>
  <c r="Q437" i="25"/>
  <c r="P437" i="25"/>
  <c r="Q436" i="25"/>
  <c r="P436" i="25"/>
  <c r="Q435" i="25"/>
  <c r="P435" i="25"/>
  <c r="Q434" i="25"/>
  <c r="P434" i="25"/>
  <c r="Q433" i="25"/>
  <c r="P433" i="25"/>
  <c r="Q432" i="25"/>
  <c r="P432" i="25"/>
  <c r="Q431" i="25"/>
  <c r="P431" i="25"/>
  <c r="Q430" i="25"/>
  <c r="P430" i="25"/>
  <c r="Q429" i="25"/>
  <c r="P429" i="25"/>
  <c r="Q428" i="25"/>
  <c r="P428" i="25"/>
  <c r="Q427" i="25"/>
  <c r="P427" i="25"/>
  <c r="Q426" i="25"/>
  <c r="P426" i="25"/>
  <c r="Q425" i="25"/>
  <c r="P425" i="25"/>
  <c r="Q424" i="25"/>
  <c r="P424" i="25"/>
  <c r="Q423" i="25"/>
  <c r="P423" i="25"/>
  <c r="Q422" i="25"/>
  <c r="P422" i="25"/>
  <c r="Q421" i="25"/>
  <c r="P421" i="25"/>
  <c r="Q420" i="25"/>
  <c r="P420" i="25"/>
  <c r="Q419" i="25"/>
  <c r="P419" i="25"/>
  <c r="Q418" i="25"/>
  <c r="P418" i="25"/>
  <c r="Q417" i="25"/>
  <c r="P417" i="25"/>
  <c r="Q416" i="25"/>
  <c r="P416" i="25"/>
  <c r="Q415" i="25"/>
  <c r="P415" i="25"/>
  <c r="Q414" i="25"/>
  <c r="P414" i="25"/>
  <c r="Q413" i="25"/>
  <c r="P413" i="25"/>
  <c r="Q412" i="25"/>
  <c r="P412" i="25"/>
  <c r="Q411" i="25"/>
  <c r="P411" i="25"/>
  <c r="Q410" i="25"/>
  <c r="P410" i="25"/>
  <c r="Q409" i="25"/>
  <c r="P409" i="25"/>
  <c r="Q408" i="25"/>
  <c r="P408" i="25"/>
  <c r="Q407" i="25"/>
  <c r="P407" i="25"/>
  <c r="Q406" i="25"/>
  <c r="P406" i="25"/>
  <c r="Q405" i="25"/>
  <c r="P405" i="25"/>
  <c r="Q404" i="25"/>
  <c r="P404" i="25"/>
  <c r="Q403" i="25"/>
  <c r="P403" i="25"/>
  <c r="Q402" i="25"/>
  <c r="P402" i="25"/>
  <c r="Q401" i="25"/>
  <c r="P401" i="25"/>
  <c r="Q400" i="25"/>
  <c r="P400" i="25"/>
  <c r="Q399" i="25"/>
  <c r="P399" i="25"/>
  <c r="Q398" i="25"/>
  <c r="P398" i="25"/>
  <c r="Q397" i="25"/>
  <c r="P397" i="25"/>
  <c r="Q396" i="25"/>
  <c r="P396" i="25"/>
  <c r="Q395" i="25"/>
  <c r="P395" i="25"/>
  <c r="Q394" i="25"/>
  <c r="P394" i="25"/>
  <c r="Q393" i="25"/>
  <c r="P393" i="25"/>
  <c r="Q392" i="25"/>
  <c r="P392" i="25"/>
  <c r="Q391" i="25"/>
  <c r="P391" i="25"/>
  <c r="Q390" i="25"/>
  <c r="P390" i="25"/>
  <c r="Q389" i="25"/>
  <c r="P389" i="25"/>
  <c r="Q388" i="25"/>
  <c r="P388" i="25"/>
  <c r="Q387" i="25"/>
  <c r="P387" i="25"/>
  <c r="Q386" i="25"/>
  <c r="P386" i="25"/>
  <c r="Q385" i="25"/>
  <c r="P385" i="25"/>
  <c r="Q384" i="25"/>
  <c r="P384" i="25"/>
  <c r="Q383" i="25"/>
  <c r="P383" i="25"/>
  <c r="Q382" i="25"/>
  <c r="P382" i="25"/>
  <c r="Q381" i="25"/>
  <c r="P381" i="25"/>
  <c r="Q380" i="25"/>
  <c r="P380" i="25"/>
  <c r="Q379" i="25"/>
  <c r="P379" i="25"/>
  <c r="Q378" i="25"/>
  <c r="P378" i="25"/>
  <c r="Q377" i="25"/>
  <c r="P377" i="25"/>
  <c r="Q376" i="25"/>
  <c r="P376" i="25"/>
  <c r="Q375" i="25"/>
  <c r="P375" i="25"/>
  <c r="Q374" i="25"/>
  <c r="P374" i="25"/>
  <c r="Q373" i="25"/>
  <c r="P373" i="25"/>
  <c r="Q372" i="25"/>
  <c r="P372" i="25"/>
  <c r="Q371" i="25"/>
  <c r="P371" i="25"/>
  <c r="Q370" i="25"/>
  <c r="P370" i="25"/>
  <c r="Q369" i="25"/>
  <c r="P369" i="25"/>
  <c r="Q368" i="25"/>
  <c r="P368" i="25"/>
  <c r="Q367" i="25"/>
  <c r="P367" i="25"/>
  <c r="Q366" i="25"/>
  <c r="P366" i="25"/>
  <c r="Q365" i="25"/>
  <c r="P365" i="25"/>
  <c r="Q364" i="25"/>
  <c r="P364" i="25"/>
  <c r="Q363" i="25"/>
  <c r="P363" i="25"/>
  <c r="Q362" i="25"/>
  <c r="P362" i="25"/>
  <c r="Q361" i="25"/>
  <c r="P361" i="25"/>
  <c r="Q360" i="25"/>
  <c r="P360" i="25"/>
  <c r="Q359" i="25"/>
  <c r="P359" i="25"/>
  <c r="Q358" i="25"/>
  <c r="P358" i="25"/>
  <c r="Q357" i="25"/>
  <c r="P357" i="25"/>
  <c r="Q356" i="25"/>
  <c r="P356" i="25"/>
  <c r="Q355" i="25"/>
  <c r="P355" i="25"/>
  <c r="Q354" i="25"/>
  <c r="P354" i="25"/>
  <c r="Q353" i="25"/>
  <c r="P353" i="25"/>
  <c r="Q352" i="25"/>
  <c r="P352" i="25"/>
  <c r="Q351" i="25"/>
  <c r="P351" i="25"/>
  <c r="Q350" i="25"/>
  <c r="P350" i="25"/>
  <c r="Q349" i="25"/>
  <c r="P349" i="25"/>
  <c r="Q348" i="25"/>
  <c r="P348" i="25"/>
  <c r="Q347" i="25"/>
  <c r="P347" i="25"/>
  <c r="Q346" i="25"/>
  <c r="P346" i="25"/>
  <c r="Q345" i="25"/>
  <c r="P345" i="25"/>
  <c r="Q344" i="25"/>
  <c r="P344" i="25"/>
  <c r="Q343" i="25"/>
  <c r="P343" i="25"/>
  <c r="Q342" i="25"/>
  <c r="P342" i="25"/>
  <c r="Q341" i="25"/>
  <c r="P341" i="25"/>
  <c r="Q340" i="25"/>
  <c r="P340" i="25"/>
  <c r="Q339" i="25"/>
  <c r="P339" i="25"/>
  <c r="Q338" i="25"/>
  <c r="P338" i="25"/>
  <c r="Q337" i="25"/>
  <c r="P337" i="25"/>
  <c r="Q336" i="25"/>
  <c r="P336" i="25"/>
  <c r="Q335" i="25"/>
  <c r="P335" i="25"/>
  <c r="Q334" i="25"/>
  <c r="P334" i="25"/>
  <c r="Q333" i="25"/>
  <c r="P333" i="25"/>
  <c r="Q332" i="25"/>
  <c r="P332" i="25"/>
  <c r="Q331" i="25"/>
  <c r="P331" i="25"/>
  <c r="Q330" i="25"/>
  <c r="P330" i="25"/>
  <c r="Q329" i="25"/>
  <c r="P329" i="25"/>
  <c r="Q328" i="25"/>
  <c r="P328" i="25"/>
  <c r="Q327" i="25"/>
  <c r="P327" i="25"/>
  <c r="Q326" i="25"/>
  <c r="P326" i="25"/>
  <c r="Q325" i="25"/>
  <c r="P325" i="25"/>
  <c r="Q324" i="25"/>
  <c r="P324" i="25"/>
  <c r="Q323" i="25"/>
  <c r="P323" i="25"/>
  <c r="Q322" i="25"/>
  <c r="P322" i="25"/>
  <c r="Q321" i="25"/>
  <c r="P321" i="25"/>
  <c r="Q320" i="25"/>
  <c r="P320" i="25"/>
  <c r="Q319" i="25"/>
  <c r="P319" i="25"/>
  <c r="Q318" i="25"/>
  <c r="P318" i="25"/>
  <c r="Q317" i="25"/>
  <c r="P317" i="25"/>
  <c r="Q316" i="25"/>
  <c r="P316" i="25"/>
  <c r="Q315" i="25"/>
  <c r="P315" i="25"/>
  <c r="Q314" i="25"/>
  <c r="P314" i="25"/>
  <c r="Q313" i="25"/>
  <c r="P313" i="25"/>
  <c r="Q312" i="25"/>
  <c r="P312" i="25"/>
  <c r="Q311" i="25"/>
  <c r="P311" i="25"/>
  <c r="Q310" i="25"/>
  <c r="P310" i="25"/>
  <c r="Q309" i="25"/>
  <c r="P309" i="25"/>
  <c r="Q308" i="25"/>
  <c r="P308" i="25"/>
  <c r="Q307" i="25"/>
  <c r="P307" i="25"/>
  <c r="Q306" i="25"/>
  <c r="P306" i="25"/>
  <c r="Q305" i="25"/>
  <c r="P305" i="25"/>
  <c r="Q304" i="25"/>
  <c r="P304" i="25"/>
  <c r="Q303" i="25"/>
  <c r="P303" i="25"/>
  <c r="Q302" i="25"/>
  <c r="P302" i="25"/>
  <c r="Q301" i="25"/>
  <c r="P301" i="25"/>
  <c r="Q300" i="25"/>
  <c r="P300" i="25"/>
  <c r="Q299" i="25"/>
  <c r="P299" i="25"/>
  <c r="Q298" i="25"/>
  <c r="P298" i="25"/>
  <c r="Q297" i="25"/>
  <c r="P297" i="25"/>
  <c r="Q296" i="25"/>
  <c r="P296" i="25"/>
  <c r="Q295" i="25"/>
  <c r="P295" i="25"/>
  <c r="Q294" i="25"/>
  <c r="P294" i="25"/>
  <c r="Q293" i="25"/>
  <c r="P293" i="25"/>
  <c r="Q292" i="25"/>
  <c r="P292" i="25"/>
  <c r="Q291" i="25"/>
  <c r="P291" i="25"/>
  <c r="Q290" i="25"/>
  <c r="P290" i="25"/>
  <c r="Q289" i="25"/>
  <c r="P289" i="25"/>
  <c r="Q288" i="25"/>
  <c r="P288" i="25"/>
  <c r="Q287" i="25"/>
  <c r="P287" i="25"/>
  <c r="Q286" i="25"/>
  <c r="P286" i="25"/>
  <c r="Q285" i="25"/>
  <c r="P285" i="25"/>
  <c r="Q284" i="25"/>
  <c r="P284" i="25"/>
  <c r="Q283" i="25"/>
  <c r="P283" i="25"/>
  <c r="Q282" i="25"/>
  <c r="P282" i="25"/>
  <c r="Q281" i="25"/>
  <c r="P281" i="25"/>
  <c r="Q280" i="25"/>
  <c r="P280" i="25"/>
  <c r="Q279" i="25"/>
  <c r="P279" i="25"/>
  <c r="Q278" i="25"/>
  <c r="P278" i="25"/>
  <c r="Q277" i="25"/>
  <c r="P277" i="25"/>
  <c r="Q276" i="25"/>
  <c r="P276" i="25"/>
  <c r="Q275" i="25"/>
  <c r="P275" i="25"/>
  <c r="Q274" i="25"/>
  <c r="P274" i="25"/>
  <c r="Q273" i="25"/>
  <c r="P273" i="25"/>
  <c r="Q272" i="25"/>
  <c r="P272" i="25"/>
  <c r="Q271" i="25"/>
  <c r="P271" i="25"/>
  <c r="Q270" i="25"/>
  <c r="P270" i="25"/>
  <c r="Q269" i="25"/>
  <c r="P269" i="25"/>
  <c r="Q268" i="25"/>
  <c r="P268" i="25"/>
  <c r="Q267" i="25"/>
  <c r="P267" i="25"/>
  <c r="Q266" i="25"/>
  <c r="P266" i="25"/>
  <c r="Q265" i="25"/>
  <c r="P265" i="25"/>
  <c r="Q264" i="25"/>
  <c r="P264" i="25"/>
  <c r="Q263" i="25"/>
  <c r="P263" i="25"/>
  <c r="Q262" i="25"/>
  <c r="P262" i="25"/>
  <c r="Q261" i="25"/>
  <c r="P261" i="25"/>
  <c r="Q260" i="25"/>
  <c r="P260" i="25"/>
  <c r="Q259" i="25"/>
  <c r="P259" i="25"/>
  <c r="Q258" i="25"/>
  <c r="P258" i="25"/>
  <c r="Q257" i="25"/>
  <c r="P257" i="25"/>
  <c r="Q256" i="25"/>
  <c r="P256" i="25"/>
  <c r="Q255" i="25"/>
  <c r="P255" i="25"/>
  <c r="Q254" i="25"/>
  <c r="P254" i="25"/>
  <c r="Q253" i="25"/>
  <c r="P253" i="25"/>
  <c r="Q252" i="25"/>
  <c r="P252" i="25"/>
  <c r="Q251" i="25"/>
  <c r="P251" i="25"/>
  <c r="Q250" i="25"/>
  <c r="P250" i="25"/>
  <c r="Q249" i="25"/>
  <c r="P249" i="25"/>
  <c r="Q248" i="25"/>
  <c r="P248" i="25"/>
  <c r="Q247" i="25"/>
  <c r="P247" i="25"/>
  <c r="Q246" i="25"/>
  <c r="P246" i="25"/>
  <c r="Q245" i="25"/>
  <c r="P245" i="25"/>
  <c r="Q244" i="25"/>
  <c r="P244" i="25"/>
  <c r="Q243" i="25"/>
  <c r="P243" i="25"/>
  <c r="Q242" i="25"/>
  <c r="P242" i="25"/>
  <c r="Q241" i="25"/>
  <c r="P241" i="25"/>
  <c r="Q240" i="25"/>
  <c r="P240" i="25"/>
  <c r="Q239" i="25"/>
  <c r="P239" i="25"/>
  <c r="Q238" i="25"/>
  <c r="P238" i="25"/>
  <c r="Q237" i="25"/>
  <c r="P237" i="25"/>
  <c r="Q236" i="25"/>
  <c r="P236" i="25"/>
  <c r="Q235" i="25"/>
  <c r="P235" i="25"/>
  <c r="Q234" i="25"/>
  <c r="P234" i="25"/>
  <c r="Q233" i="25"/>
  <c r="P233" i="25"/>
  <c r="Q232" i="25"/>
  <c r="P232" i="25"/>
  <c r="Q231" i="25"/>
  <c r="P231" i="25"/>
  <c r="Q230" i="25"/>
  <c r="P230" i="25"/>
  <c r="Q229" i="25"/>
  <c r="P229" i="25"/>
  <c r="Q228" i="25"/>
  <c r="P228" i="25"/>
  <c r="Q227" i="25"/>
  <c r="P227" i="25"/>
  <c r="Q226" i="25"/>
  <c r="P226" i="25"/>
  <c r="Q225" i="25"/>
  <c r="P225" i="25"/>
  <c r="Q224" i="25"/>
  <c r="P224" i="25"/>
  <c r="Q223" i="25"/>
  <c r="P223" i="25"/>
  <c r="Q222" i="25"/>
  <c r="P222" i="25"/>
  <c r="Q221" i="25"/>
  <c r="P221" i="25"/>
  <c r="Q220" i="25"/>
  <c r="P220" i="25"/>
  <c r="Q219" i="25"/>
  <c r="P219" i="25"/>
  <c r="Q218" i="25"/>
  <c r="P218" i="25"/>
  <c r="Q217" i="25"/>
  <c r="P217" i="25"/>
  <c r="Q216" i="25"/>
  <c r="P216" i="25"/>
  <c r="Q215" i="25"/>
  <c r="P215" i="25"/>
  <c r="Q214" i="25"/>
  <c r="P214" i="25"/>
  <c r="Q213" i="25"/>
  <c r="P213" i="25"/>
  <c r="Q212" i="25"/>
  <c r="P212" i="25"/>
  <c r="Q211" i="25"/>
  <c r="P211" i="25"/>
  <c r="Q210" i="25"/>
  <c r="P210" i="25"/>
  <c r="Q209" i="25"/>
  <c r="P209" i="25"/>
  <c r="Q208" i="25"/>
  <c r="P208" i="25"/>
  <c r="Q207" i="25"/>
  <c r="P207" i="25"/>
  <c r="Q206" i="25"/>
  <c r="P206" i="25"/>
  <c r="Q205" i="25"/>
  <c r="P205" i="25"/>
  <c r="Q204" i="25"/>
  <c r="P204" i="25"/>
  <c r="Q203" i="25"/>
  <c r="P203" i="25"/>
  <c r="Q202" i="25"/>
  <c r="P202" i="25"/>
  <c r="Q201" i="25"/>
  <c r="P201" i="25"/>
  <c r="Q200" i="25"/>
  <c r="P200" i="25"/>
  <c r="Q199" i="25"/>
  <c r="P199" i="25"/>
  <c r="Q198" i="25"/>
  <c r="P198" i="25"/>
  <c r="Q197" i="25"/>
  <c r="P197" i="25"/>
  <c r="Q196" i="25"/>
  <c r="P196" i="25"/>
  <c r="Q195" i="25"/>
  <c r="P195" i="25"/>
  <c r="Q194" i="25"/>
  <c r="P194" i="25"/>
  <c r="Q193" i="25"/>
  <c r="P193" i="25"/>
  <c r="Q192" i="25"/>
  <c r="P192" i="25"/>
  <c r="Q191" i="25"/>
  <c r="P191" i="25"/>
  <c r="Q190" i="25"/>
  <c r="P190" i="25"/>
  <c r="Q189" i="25"/>
  <c r="P189" i="25"/>
  <c r="Q188" i="25"/>
  <c r="P188" i="25"/>
  <c r="Q187" i="25"/>
  <c r="P187" i="25"/>
  <c r="Q186" i="25"/>
  <c r="P186" i="25"/>
  <c r="Q185" i="25"/>
  <c r="P185" i="25"/>
  <c r="Q184" i="25"/>
  <c r="P184" i="25"/>
  <c r="Q183" i="25"/>
  <c r="P183" i="25"/>
  <c r="Q182" i="25"/>
  <c r="P182" i="25"/>
  <c r="Q181" i="25"/>
  <c r="P181" i="25"/>
  <c r="Q180" i="25"/>
  <c r="P180" i="25"/>
  <c r="Q179" i="25"/>
  <c r="P179" i="25"/>
  <c r="Q178" i="25"/>
  <c r="P178" i="25"/>
  <c r="Q177" i="25"/>
  <c r="P177" i="25"/>
  <c r="Q176" i="25"/>
  <c r="P176" i="25"/>
  <c r="Q175" i="25"/>
  <c r="P175" i="25"/>
  <c r="Q174" i="25"/>
  <c r="P174" i="25"/>
  <c r="Q173" i="25"/>
  <c r="P173" i="25"/>
  <c r="Q172" i="25"/>
  <c r="P172" i="25"/>
  <c r="Q171" i="25"/>
  <c r="P171" i="25"/>
  <c r="Q170" i="25"/>
  <c r="P170" i="25"/>
  <c r="Q169" i="25"/>
  <c r="P169" i="25"/>
  <c r="Q168" i="25"/>
  <c r="P168" i="25"/>
  <c r="Q167" i="25"/>
  <c r="P167" i="25"/>
  <c r="Q166" i="25"/>
  <c r="P166" i="25"/>
  <c r="Q165" i="25"/>
  <c r="P165" i="25"/>
  <c r="Q164" i="25"/>
  <c r="P164" i="25"/>
  <c r="Q163" i="25"/>
  <c r="P163" i="25"/>
  <c r="Q162" i="25"/>
  <c r="P162" i="25"/>
  <c r="Q161" i="25"/>
  <c r="P161" i="25"/>
  <c r="Q160" i="25"/>
  <c r="P160" i="25"/>
  <c r="Q159" i="25"/>
  <c r="P159" i="25"/>
  <c r="Q158" i="25"/>
  <c r="P158" i="25"/>
  <c r="Q157" i="25"/>
  <c r="P157" i="25"/>
  <c r="Q156" i="25"/>
  <c r="P156" i="25"/>
  <c r="Q155" i="25"/>
  <c r="P155" i="25"/>
  <c r="Q154" i="25"/>
  <c r="P154" i="25"/>
  <c r="Q153" i="25"/>
  <c r="P153" i="25"/>
  <c r="Q152" i="25"/>
  <c r="P152" i="25"/>
  <c r="Q151" i="25"/>
  <c r="P151" i="25"/>
  <c r="Q150" i="25"/>
  <c r="P150" i="25"/>
  <c r="Q149" i="25"/>
  <c r="P149" i="25"/>
  <c r="Q148" i="25"/>
  <c r="P148" i="25"/>
  <c r="Q147" i="25"/>
  <c r="P147" i="25"/>
  <c r="Q146" i="25"/>
  <c r="P146" i="25"/>
  <c r="Q145" i="25"/>
  <c r="P145" i="25"/>
  <c r="Q144" i="25"/>
  <c r="P144" i="25"/>
  <c r="Q143" i="25"/>
  <c r="P143" i="25"/>
  <c r="Q142" i="25"/>
  <c r="P142" i="25"/>
  <c r="Q141" i="25"/>
  <c r="P141" i="25"/>
  <c r="Q140" i="25"/>
  <c r="P140" i="25"/>
  <c r="Q139" i="25"/>
  <c r="P139" i="25"/>
  <c r="Q138" i="25"/>
  <c r="P138" i="25"/>
  <c r="Q137" i="25"/>
  <c r="P137" i="25"/>
  <c r="Q136" i="25"/>
  <c r="P136" i="25"/>
  <c r="Q135" i="25"/>
  <c r="P135" i="25"/>
  <c r="Q134" i="25"/>
  <c r="P134" i="25"/>
  <c r="Q133" i="25"/>
  <c r="P133" i="25"/>
  <c r="Q132" i="25"/>
  <c r="P132" i="25"/>
  <c r="Q131" i="25"/>
  <c r="P131" i="25"/>
  <c r="Q130" i="25"/>
  <c r="P130" i="25"/>
  <c r="Y129" i="25"/>
  <c r="X129" i="25"/>
  <c r="Q129" i="25"/>
  <c r="P129" i="25"/>
  <c r="Y128" i="25"/>
  <c r="X128" i="25"/>
  <c r="Q128" i="25"/>
  <c r="P128" i="25"/>
  <c r="Y127" i="25"/>
  <c r="X127" i="25"/>
  <c r="Q127" i="25"/>
  <c r="P127" i="25"/>
  <c r="Y126" i="25"/>
  <c r="X126" i="25"/>
  <c r="Q126" i="25"/>
  <c r="P126" i="25"/>
  <c r="Y125" i="25"/>
  <c r="X125" i="25"/>
  <c r="Q125" i="25"/>
  <c r="P125" i="25"/>
  <c r="Y124" i="25"/>
  <c r="X124" i="25"/>
  <c r="Q124" i="25"/>
  <c r="P124" i="25"/>
  <c r="Y123" i="25"/>
  <c r="X123" i="25"/>
  <c r="Q123" i="25"/>
  <c r="P123" i="25"/>
  <c r="Y122" i="25"/>
  <c r="X122" i="25"/>
  <c r="Q122" i="25"/>
  <c r="P122" i="25"/>
  <c r="Y121" i="25"/>
  <c r="X121" i="25"/>
  <c r="Q121" i="25"/>
  <c r="P121" i="25"/>
  <c r="Y120" i="25"/>
  <c r="X120" i="25"/>
  <c r="Q120" i="25"/>
  <c r="P120" i="25"/>
  <c r="Y119" i="25"/>
  <c r="X119" i="25"/>
  <c r="Q119" i="25"/>
  <c r="P119" i="25"/>
  <c r="Y118" i="25"/>
  <c r="X118" i="25"/>
  <c r="Q118" i="25"/>
  <c r="P118" i="25"/>
  <c r="Y117" i="25"/>
  <c r="X117" i="25"/>
  <c r="Q117" i="25"/>
  <c r="P117" i="25"/>
  <c r="Y116" i="25"/>
  <c r="X116" i="25"/>
  <c r="Q116" i="25"/>
  <c r="P116" i="25"/>
  <c r="Y115" i="25"/>
  <c r="X115" i="25"/>
  <c r="Q115" i="25"/>
  <c r="P115" i="25"/>
  <c r="Y114" i="25"/>
  <c r="X114" i="25"/>
  <c r="Q114" i="25"/>
  <c r="P114" i="25"/>
  <c r="Y113" i="25"/>
  <c r="X113" i="25"/>
  <c r="Q113" i="25"/>
  <c r="P113" i="25"/>
  <c r="Y112" i="25"/>
  <c r="X112" i="25"/>
  <c r="Q112" i="25"/>
  <c r="P112" i="25"/>
  <c r="Y111" i="25"/>
  <c r="X111" i="25"/>
  <c r="Q111" i="25"/>
  <c r="P111" i="25"/>
  <c r="Y110" i="25"/>
  <c r="X110" i="25"/>
  <c r="Q110" i="25"/>
  <c r="P110" i="25"/>
  <c r="Y109" i="25"/>
  <c r="X109" i="25"/>
  <c r="Q109" i="25"/>
  <c r="P109" i="25"/>
  <c r="Y108" i="25"/>
  <c r="X108" i="25"/>
  <c r="Q108" i="25"/>
  <c r="P108" i="25"/>
  <c r="Y107" i="25"/>
  <c r="X107" i="25"/>
  <c r="Q107" i="25"/>
  <c r="P107" i="25"/>
  <c r="Y106" i="25"/>
  <c r="X106" i="25"/>
  <c r="Q106" i="25"/>
  <c r="P106" i="25"/>
  <c r="Y105" i="25"/>
  <c r="X105" i="25"/>
  <c r="Q105" i="25"/>
  <c r="P105" i="25"/>
  <c r="Y104" i="25"/>
  <c r="X104" i="25"/>
  <c r="Q104" i="25"/>
  <c r="P104" i="25"/>
  <c r="Y103" i="25"/>
  <c r="X103" i="25"/>
  <c r="Q103" i="25"/>
  <c r="P103" i="25"/>
  <c r="Y102" i="25"/>
  <c r="X102" i="25"/>
  <c r="Q102" i="25"/>
  <c r="P102" i="25"/>
  <c r="Y101" i="25"/>
  <c r="X101" i="25"/>
  <c r="Q101" i="25"/>
  <c r="P101" i="25"/>
  <c r="Y100" i="25"/>
  <c r="X100" i="25"/>
  <c r="Q100" i="25"/>
  <c r="P100" i="25"/>
  <c r="Y99" i="25"/>
  <c r="X99" i="25"/>
  <c r="Q99" i="25"/>
  <c r="P99" i="25"/>
  <c r="Y98" i="25"/>
  <c r="X98" i="25"/>
  <c r="Q98" i="25"/>
  <c r="P98" i="25"/>
  <c r="Y97" i="25"/>
  <c r="X97" i="25"/>
  <c r="Q97" i="25"/>
  <c r="P97" i="25"/>
  <c r="Y96" i="25"/>
  <c r="X96" i="25"/>
  <c r="Q96" i="25"/>
  <c r="P96" i="25"/>
  <c r="Y95" i="25"/>
  <c r="X95" i="25"/>
  <c r="Q95" i="25"/>
  <c r="P95" i="25"/>
  <c r="Y94" i="25"/>
  <c r="X94" i="25"/>
  <c r="Q94" i="25"/>
  <c r="P94" i="25"/>
  <c r="Y93" i="25"/>
  <c r="X93" i="25"/>
  <c r="Q93" i="25"/>
  <c r="P93" i="25"/>
  <c r="Y92" i="25"/>
  <c r="X92" i="25"/>
  <c r="Q92" i="25"/>
  <c r="P92" i="25"/>
  <c r="Y91" i="25"/>
  <c r="X91" i="25"/>
  <c r="Q91" i="25"/>
  <c r="P91" i="25"/>
  <c r="Y90" i="25"/>
  <c r="X90" i="25"/>
  <c r="Q90" i="25"/>
  <c r="P90" i="25"/>
  <c r="Y89" i="25"/>
  <c r="X89" i="25"/>
  <c r="Q89" i="25"/>
  <c r="P89" i="25"/>
  <c r="Y88" i="25"/>
  <c r="X88" i="25"/>
  <c r="Q88" i="25"/>
  <c r="P88" i="25"/>
  <c r="Y87" i="25"/>
  <c r="X87" i="25"/>
  <c r="Q87" i="25"/>
  <c r="P87" i="25"/>
  <c r="Y86" i="25"/>
  <c r="X86" i="25"/>
  <c r="Q86" i="25"/>
  <c r="P86" i="25"/>
  <c r="Y85" i="25"/>
  <c r="X85" i="25"/>
  <c r="Q85" i="25"/>
  <c r="P85" i="25"/>
  <c r="Y84" i="25"/>
  <c r="X84" i="25"/>
  <c r="Q84" i="25"/>
  <c r="P84" i="25"/>
  <c r="Y83" i="25"/>
  <c r="X83" i="25"/>
  <c r="Q83" i="25"/>
  <c r="P83" i="25"/>
  <c r="Y82" i="25"/>
  <c r="X82" i="25"/>
  <c r="Q82" i="25"/>
  <c r="P82" i="25"/>
  <c r="Y81" i="25"/>
  <c r="X81" i="25"/>
  <c r="Q81" i="25"/>
  <c r="P81" i="25"/>
  <c r="Y80" i="25"/>
  <c r="X80" i="25"/>
  <c r="Q80" i="25"/>
  <c r="P80" i="25"/>
  <c r="Y79" i="25"/>
  <c r="X79" i="25"/>
  <c r="Q79" i="25"/>
  <c r="P79" i="25"/>
  <c r="Y78" i="25"/>
  <c r="X78" i="25"/>
  <c r="Q78" i="25"/>
  <c r="P78" i="25"/>
  <c r="Y77" i="25"/>
  <c r="X77" i="25"/>
  <c r="Q77" i="25"/>
  <c r="P77" i="25"/>
  <c r="Y76" i="25"/>
  <c r="X76" i="25"/>
  <c r="Q76" i="25"/>
  <c r="P76" i="25"/>
  <c r="Y75" i="25"/>
  <c r="X75" i="25"/>
  <c r="Q75" i="25"/>
  <c r="P75" i="25"/>
  <c r="Y74" i="25"/>
  <c r="X74" i="25"/>
  <c r="Q74" i="25"/>
  <c r="P74" i="25"/>
  <c r="Y73" i="25"/>
  <c r="X73" i="25"/>
  <c r="Q73" i="25"/>
  <c r="P73" i="25"/>
  <c r="Y72" i="25"/>
  <c r="X72" i="25"/>
  <c r="Q72" i="25"/>
  <c r="P72" i="25"/>
  <c r="Y71" i="25"/>
  <c r="X71" i="25"/>
  <c r="Q71" i="25"/>
  <c r="P71" i="25"/>
  <c r="Y70" i="25"/>
  <c r="X70" i="25"/>
  <c r="Q70" i="25"/>
  <c r="P70" i="25"/>
  <c r="Y69" i="25"/>
  <c r="X69" i="25"/>
  <c r="Q69" i="25"/>
  <c r="P69" i="25"/>
  <c r="Y68" i="25"/>
  <c r="X68" i="25"/>
  <c r="Q68" i="25"/>
  <c r="P68" i="25"/>
  <c r="Y67" i="25"/>
  <c r="X67" i="25"/>
  <c r="Q67" i="25"/>
  <c r="P67" i="25"/>
  <c r="Y66" i="25"/>
  <c r="X66" i="25"/>
  <c r="Q66" i="25"/>
  <c r="P66" i="25"/>
  <c r="Y65" i="25"/>
  <c r="X65" i="25"/>
  <c r="Q65" i="25"/>
  <c r="P65" i="25"/>
  <c r="Y64" i="25"/>
  <c r="X64" i="25"/>
  <c r="Q64" i="25"/>
  <c r="P64" i="25"/>
  <c r="Y63" i="25"/>
  <c r="X63" i="25"/>
  <c r="Q63" i="25"/>
  <c r="P63" i="25"/>
  <c r="Y62" i="25"/>
  <c r="X62" i="25"/>
  <c r="Q62" i="25"/>
  <c r="P62" i="25"/>
  <c r="Y61" i="25"/>
  <c r="X61" i="25"/>
  <c r="Q61" i="25"/>
  <c r="P61" i="25"/>
  <c r="Y60" i="25"/>
  <c r="X60" i="25"/>
  <c r="Q60" i="25"/>
  <c r="P60" i="25"/>
  <c r="Y59" i="25"/>
  <c r="X59" i="25"/>
  <c r="Q59" i="25"/>
  <c r="P59" i="25"/>
  <c r="Y58" i="25"/>
  <c r="X58" i="25"/>
  <c r="Q58" i="25"/>
  <c r="P58" i="25"/>
  <c r="Y57" i="25"/>
  <c r="X57" i="25"/>
  <c r="Q57" i="25"/>
  <c r="P57" i="25"/>
  <c r="Y56" i="25"/>
  <c r="X56" i="25"/>
  <c r="Q56" i="25"/>
  <c r="P56" i="25"/>
  <c r="Y55" i="25"/>
  <c r="X55" i="25"/>
  <c r="Q55" i="25"/>
  <c r="P55" i="25"/>
  <c r="Y54" i="25"/>
  <c r="X54" i="25"/>
  <c r="Q54" i="25"/>
  <c r="P54" i="25"/>
  <c r="Y53" i="25"/>
  <c r="X53" i="25"/>
  <c r="Q53" i="25"/>
  <c r="P53" i="25"/>
  <c r="Y52" i="25"/>
  <c r="X52" i="25"/>
  <c r="Q52" i="25"/>
  <c r="P52" i="25"/>
  <c r="Y51" i="25"/>
  <c r="X51" i="25"/>
  <c r="Q51" i="25"/>
  <c r="P51" i="25"/>
  <c r="Y50" i="25"/>
  <c r="X50" i="25"/>
  <c r="Q50" i="25"/>
  <c r="P50" i="25"/>
  <c r="Y49" i="25"/>
  <c r="X49" i="25"/>
  <c r="Q49" i="25"/>
  <c r="P49" i="25"/>
  <c r="Y48" i="25"/>
  <c r="X48" i="25"/>
  <c r="Q48" i="25"/>
  <c r="P48" i="25"/>
  <c r="Y47" i="25"/>
  <c r="X47" i="25"/>
  <c r="Q47" i="25"/>
  <c r="P47" i="25"/>
  <c r="Y46" i="25"/>
  <c r="X46" i="25"/>
  <c r="Q46" i="25"/>
  <c r="P46" i="25"/>
  <c r="Y45" i="25"/>
  <c r="X45" i="25"/>
  <c r="Q45" i="25"/>
  <c r="P45" i="25"/>
  <c r="Y44" i="25"/>
  <c r="X44" i="25"/>
  <c r="Q44" i="25"/>
  <c r="P44" i="25"/>
  <c r="Y43" i="25"/>
  <c r="X43" i="25"/>
  <c r="Q43" i="25"/>
  <c r="P43" i="25"/>
  <c r="Y42" i="25"/>
  <c r="X42" i="25"/>
  <c r="Q42" i="25"/>
  <c r="P42" i="25"/>
  <c r="Y41" i="25"/>
  <c r="X41" i="25"/>
  <c r="Q41" i="25"/>
  <c r="P41" i="25"/>
  <c r="Y40" i="25"/>
  <c r="X40" i="25"/>
  <c r="Q40" i="25"/>
  <c r="P40" i="25"/>
  <c r="Y39" i="25"/>
  <c r="X39" i="25"/>
  <c r="Q39" i="25"/>
  <c r="P39" i="25"/>
  <c r="Y38" i="25"/>
  <c r="X38" i="25"/>
  <c r="Q38" i="25"/>
  <c r="P38" i="25"/>
  <c r="Y37" i="25"/>
  <c r="X37" i="25"/>
  <c r="Q37" i="25"/>
  <c r="P37" i="25"/>
  <c r="Y36" i="25"/>
  <c r="X36" i="25"/>
  <c r="Q36" i="25"/>
  <c r="P36" i="25"/>
  <c r="Y35" i="25"/>
  <c r="X35" i="25"/>
  <c r="Q35" i="25"/>
  <c r="P35" i="25"/>
  <c r="Y34" i="25"/>
  <c r="X34" i="25"/>
  <c r="Q34" i="25"/>
  <c r="P34" i="25"/>
  <c r="Y33" i="25"/>
  <c r="X33" i="25"/>
  <c r="Q33" i="25"/>
  <c r="P33" i="25"/>
  <c r="Y32" i="25"/>
  <c r="X32" i="25"/>
  <c r="Q32" i="25"/>
  <c r="P32" i="25"/>
  <c r="Y31" i="25"/>
  <c r="X31" i="25"/>
  <c r="Q31" i="25"/>
  <c r="P31" i="25"/>
  <c r="Y30" i="25"/>
  <c r="X30" i="25"/>
  <c r="Q30" i="25"/>
  <c r="P30" i="25"/>
  <c r="Y29" i="25"/>
  <c r="X29" i="25"/>
  <c r="Q29" i="25"/>
  <c r="P29" i="25"/>
  <c r="Y28" i="25"/>
  <c r="X28" i="25"/>
  <c r="Q28" i="25"/>
  <c r="P28" i="25"/>
  <c r="Y27" i="25"/>
  <c r="X27" i="25"/>
  <c r="Q27" i="25"/>
  <c r="P27" i="25"/>
  <c r="Y26" i="25"/>
  <c r="X26" i="25"/>
  <c r="Q26" i="25"/>
  <c r="P26" i="25"/>
  <c r="Y25" i="25"/>
  <c r="X25" i="25"/>
  <c r="Q25" i="25"/>
  <c r="P25" i="25"/>
  <c r="Y24" i="25"/>
  <c r="X24" i="25"/>
  <c r="Q24" i="25"/>
  <c r="P24" i="25"/>
  <c r="Y23" i="25"/>
  <c r="X23" i="25"/>
  <c r="Q23" i="25"/>
  <c r="P23" i="25"/>
  <c r="Y22" i="25"/>
  <c r="X22" i="25"/>
  <c r="Q22" i="25"/>
  <c r="P22" i="25"/>
  <c r="Y21" i="25"/>
  <c r="X21" i="25"/>
  <c r="Q21" i="25"/>
  <c r="P21" i="25"/>
  <c r="Y20" i="25"/>
  <c r="X20" i="25"/>
  <c r="Q20" i="25"/>
  <c r="P20" i="25"/>
  <c r="Y19" i="25"/>
  <c r="X19" i="25"/>
  <c r="Q19" i="25"/>
  <c r="P19" i="25"/>
  <c r="Y18" i="25"/>
  <c r="X18" i="25"/>
  <c r="Q18" i="25"/>
  <c r="P18" i="25"/>
  <c r="Y17" i="25"/>
  <c r="X17" i="25"/>
  <c r="Q17" i="25"/>
  <c r="P17" i="25"/>
  <c r="Y16" i="25"/>
  <c r="X16" i="25"/>
  <c r="Q16" i="25"/>
  <c r="P16" i="25"/>
  <c r="Y15" i="25"/>
  <c r="X15" i="25"/>
  <c r="Q15" i="25"/>
  <c r="P15" i="25"/>
  <c r="Y14" i="25"/>
  <c r="X14" i="25"/>
  <c r="Q14" i="25"/>
  <c r="P14" i="25"/>
  <c r="Y13" i="25"/>
  <c r="X13" i="25"/>
  <c r="Q13" i="25"/>
  <c r="P13" i="25"/>
  <c r="Y12" i="25"/>
  <c r="X12" i="25"/>
  <c r="Q12" i="25"/>
  <c r="P12" i="25"/>
  <c r="Y11" i="25"/>
  <c r="X11" i="25"/>
  <c r="Q11" i="25"/>
  <c r="P11" i="25"/>
  <c r="Y10" i="25"/>
  <c r="X10" i="25"/>
  <c r="Q10" i="25"/>
  <c r="P10" i="25"/>
  <c r="Y9" i="25"/>
  <c r="X9" i="25"/>
  <c r="Q9" i="25"/>
  <c r="P9" i="25"/>
  <c r="Y8" i="25"/>
  <c r="X8" i="25"/>
  <c r="Q8" i="25"/>
  <c r="P8" i="25"/>
  <c r="Y7" i="25"/>
  <c r="X7" i="25"/>
  <c r="Q7" i="25"/>
  <c r="P7" i="25"/>
  <c r="Y6" i="25"/>
  <c r="X6" i="25"/>
  <c r="Q6" i="25"/>
  <c r="P6" i="25"/>
  <c r="Y5" i="25"/>
  <c r="X5" i="25"/>
  <c r="Q5" i="25"/>
  <c r="P5" i="25"/>
  <c r="Q4" i="25"/>
  <c r="P4" i="25"/>
  <c r="Q3" i="25"/>
  <c r="P3" i="25"/>
  <c r="C1" i="25"/>
  <c r="L68" i="14" l="1"/>
  <c r="L67" i="14"/>
  <c r="L66" i="14"/>
  <c r="L65" i="14"/>
  <c r="L64" i="14"/>
  <c r="L62" i="14"/>
  <c r="L61" i="14"/>
  <c r="L60" i="14"/>
  <c r="L57" i="14"/>
  <c r="L56" i="14"/>
  <c r="L55" i="14"/>
  <c r="L54" i="14"/>
  <c r="L52" i="14"/>
  <c r="L50" i="14"/>
  <c r="L48" i="14"/>
  <c r="L47" i="14"/>
  <c r="L46" i="14"/>
  <c r="L45" i="14"/>
  <c r="L44" i="14"/>
  <c r="L43" i="14"/>
  <c r="L41" i="14"/>
  <c r="L40" i="14"/>
  <c r="L37" i="14"/>
  <c r="L36" i="14"/>
  <c r="L35" i="14"/>
  <c r="L34" i="14"/>
  <c r="L32" i="14"/>
  <c r="L31" i="14"/>
  <c r="L29" i="14"/>
  <c r="L28" i="14"/>
  <c r="L27" i="14"/>
  <c r="L26" i="14"/>
  <c r="L25" i="14"/>
  <c r="L24" i="14"/>
  <c r="L22" i="14"/>
  <c r="L21" i="14"/>
  <c r="L20" i="14"/>
  <c r="L18" i="14"/>
  <c r="L17" i="14"/>
  <c r="L16" i="14"/>
  <c r="L14" i="14"/>
  <c r="L13" i="14"/>
  <c r="L12" i="14"/>
  <c r="L11" i="14"/>
  <c r="L10" i="14"/>
  <c r="L8" i="14"/>
  <c r="L7" i="14"/>
  <c r="L6" i="14"/>
  <c r="L107" i="14"/>
  <c r="L104" i="14"/>
  <c r="L102" i="14"/>
  <c r="L99" i="14"/>
  <c r="L97" i="14"/>
  <c r="L95" i="14"/>
  <c r="L93" i="14"/>
  <c r="L87" i="14"/>
  <c r="L84" i="14"/>
  <c r="L82" i="14"/>
  <c r="L79" i="14"/>
  <c r="L77" i="14"/>
  <c r="L75" i="14"/>
  <c r="L73" i="14"/>
  <c r="L108" i="14"/>
  <c r="L105" i="14"/>
  <c r="L103" i="14"/>
  <c r="L101" i="14"/>
  <c r="L98" i="14"/>
  <c r="L96" i="14"/>
  <c r="L94" i="14"/>
  <c r="L88" i="14"/>
  <c r="L85" i="14"/>
  <c r="L83" i="14"/>
  <c r="L81" i="14"/>
  <c r="L78" i="14"/>
  <c r="L76" i="14"/>
  <c r="L74" i="14"/>
  <c r="F87" i="13"/>
  <c r="G87" i="13"/>
  <c r="I87" i="13"/>
  <c r="J87" i="13"/>
  <c r="K87" i="13"/>
  <c r="M87" i="13"/>
  <c r="N87" i="13"/>
  <c r="O87" i="13"/>
  <c r="S87" i="13"/>
  <c r="T87" i="13"/>
  <c r="U87" i="13"/>
  <c r="V87" i="13"/>
  <c r="E87" i="13"/>
  <c r="F46" i="13"/>
  <c r="G46" i="13"/>
  <c r="I46" i="13"/>
  <c r="J46" i="13"/>
  <c r="K46" i="13"/>
  <c r="M46" i="13"/>
  <c r="N46" i="13"/>
  <c r="O46" i="13"/>
  <c r="S46" i="13"/>
  <c r="T46" i="13"/>
  <c r="U46" i="13"/>
  <c r="V46" i="13"/>
  <c r="E46" i="13"/>
  <c r="L106" i="14" l="1"/>
  <c r="L92" i="14"/>
  <c r="L100" i="14"/>
  <c r="D46" i="13"/>
  <c r="D87" i="13"/>
  <c r="U83" i="17"/>
  <c r="V83" i="17"/>
  <c r="U82" i="17"/>
  <c r="V82" i="17"/>
  <c r="U10" i="17" l="1"/>
  <c r="V10" i="17"/>
  <c r="V81" i="17" l="1"/>
  <c r="U81" i="17"/>
  <c r="E1" i="17" l="1"/>
  <c r="E1" i="4"/>
  <c r="F49" i="14" l="1"/>
  <c r="K4" i="4" l="1"/>
  <c r="L4" i="4"/>
  <c r="K5" i="4"/>
  <c r="L5" i="4"/>
  <c r="K6" i="4"/>
  <c r="L6" i="4"/>
  <c r="K7" i="4"/>
  <c r="L7" i="4"/>
  <c r="K8" i="4"/>
  <c r="L8" i="4"/>
  <c r="K9" i="4"/>
  <c r="L9" i="4"/>
  <c r="K10" i="4"/>
  <c r="L10" i="4"/>
  <c r="K11" i="4"/>
  <c r="L11" i="4"/>
  <c r="K12" i="4"/>
  <c r="L12" i="4"/>
  <c r="K13" i="4"/>
  <c r="L13" i="4"/>
  <c r="K14" i="4"/>
  <c r="L14" i="4"/>
  <c r="K15" i="4"/>
  <c r="L15" i="4"/>
  <c r="K16" i="4"/>
  <c r="L16" i="4"/>
  <c r="K17" i="4"/>
  <c r="L17" i="4"/>
  <c r="K18" i="4"/>
  <c r="L18" i="4"/>
  <c r="K19" i="4"/>
  <c r="L19" i="4"/>
  <c r="K20" i="4"/>
  <c r="L20" i="4"/>
  <c r="K21" i="4"/>
  <c r="L21" i="4"/>
  <c r="K22" i="4"/>
  <c r="L22" i="4"/>
  <c r="K23" i="4"/>
  <c r="L23" i="4"/>
  <c r="K24" i="4"/>
  <c r="L24" i="4"/>
  <c r="K25" i="4"/>
  <c r="L25" i="4"/>
  <c r="K26" i="4"/>
  <c r="L26" i="4"/>
  <c r="K27" i="4"/>
  <c r="L27" i="4"/>
  <c r="K28" i="4"/>
  <c r="L28" i="4"/>
  <c r="K29" i="4"/>
  <c r="L29" i="4"/>
  <c r="K30" i="4"/>
  <c r="L30" i="4"/>
  <c r="K31" i="4"/>
  <c r="L31" i="4"/>
  <c r="K32" i="4"/>
  <c r="L32" i="4"/>
  <c r="K33" i="4"/>
  <c r="L33" i="4"/>
  <c r="K34" i="4"/>
  <c r="L34" i="4"/>
  <c r="K35" i="4"/>
  <c r="L35" i="4"/>
  <c r="K36" i="4"/>
  <c r="L36" i="4"/>
  <c r="K37" i="4"/>
  <c r="L37" i="4"/>
  <c r="K38" i="4"/>
  <c r="L38" i="4"/>
  <c r="K39" i="4"/>
  <c r="L39" i="4"/>
  <c r="K40" i="4"/>
  <c r="L40" i="4"/>
  <c r="K41" i="4"/>
  <c r="L41" i="4"/>
  <c r="K43" i="4"/>
  <c r="L43" i="4"/>
  <c r="K44" i="4"/>
  <c r="L44" i="4"/>
  <c r="K45" i="4"/>
  <c r="L45" i="4"/>
  <c r="K46" i="4"/>
  <c r="L46" i="4"/>
  <c r="K47" i="4"/>
  <c r="L47" i="4"/>
  <c r="K48" i="4"/>
  <c r="L48" i="4"/>
  <c r="K49" i="4"/>
  <c r="L49" i="4"/>
  <c r="K50" i="4"/>
  <c r="L50" i="4"/>
  <c r="K51" i="4"/>
  <c r="L51" i="4"/>
  <c r="K52" i="4"/>
  <c r="L52" i="4"/>
  <c r="K53" i="4"/>
  <c r="L53" i="4"/>
  <c r="K54" i="4"/>
  <c r="L54" i="4"/>
  <c r="K55" i="4"/>
  <c r="L55" i="4"/>
  <c r="K56" i="4"/>
  <c r="L56" i="4"/>
  <c r="K57" i="4"/>
  <c r="L57" i="4"/>
  <c r="K58" i="4"/>
  <c r="L58" i="4"/>
  <c r="K59" i="4"/>
  <c r="L59" i="4"/>
  <c r="K60" i="4"/>
  <c r="L60" i="4"/>
  <c r="K61" i="4"/>
  <c r="L61" i="4"/>
  <c r="K62" i="4"/>
  <c r="L62" i="4"/>
  <c r="K63" i="4"/>
  <c r="L63" i="4"/>
  <c r="K64" i="4"/>
  <c r="L64" i="4"/>
  <c r="K65" i="4"/>
  <c r="L65" i="4"/>
  <c r="K66" i="4"/>
  <c r="L66" i="4"/>
  <c r="K67" i="4"/>
  <c r="L67" i="4"/>
  <c r="K68" i="4"/>
  <c r="L68" i="4"/>
  <c r="K69" i="4"/>
  <c r="L69" i="4"/>
  <c r="K70" i="4"/>
  <c r="L70" i="4"/>
  <c r="K71" i="4"/>
  <c r="L71" i="4"/>
  <c r="K72" i="4"/>
  <c r="L72" i="4"/>
  <c r="K73" i="4"/>
  <c r="L73" i="4"/>
  <c r="K74" i="4"/>
  <c r="L74" i="4"/>
  <c r="K75" i="4"/>
  <c r="L75" i="4"/>
  <c r="K76" i="4"/>
  <c r="L76" i="4"/>
  <c r="K77" i="4"/>
  <c r="L77" i="4"/>
  <c r="K78" i="4"/>
  <c r="L78" i="4"/>
  <c r="K79" i="4"/>
  <c r="L79" i="4"/>
  <c r="K80" i="4"/>
  <c r="L80" i="4"/>
  <c r="K81" i="4"/>
  <c r="L81" i="4"/>
  <c r="K82" i="4"/>
  <c r="L82" i="4"/>
  <c r="K83" i="4"/>
  <c r="L83" i="4"/>
  <c r="K84" i="4"/>
  <c r="L84" i="4"/>
  <c r="K85" i="4"/>
  <c r="L85" i="4"/>
  <c r="K86" i="4"/>
  <c r="L86" i="4"/>
  <c r="K87" i="4"/>
  <c r="L87" i="4"/>
  <c r="K88" i="4"/>
  <c r="L88" i="4"/>
  <c r="K89" i="4"/>
  <c r="L89" i="4"/>
  <c r="K90" i="4"/>
  <c r="L90" i="4"/>
  <c r="K91" i="4"/>
  <c r="L91" i="4"/>
  <c r="K92" i="4"/>
  <c r="L92" i="4"/>
  <c r="K93" i="4"/>
  <c r="L93" i="4"/>
  <c r="K94" i="4"/>
  <c r="L94" i="4"/>
  <c r="K95" i="4"/>
  <c r="L95" i="4"/>
  <c r="K96" i="4"/>
  <c r="L96" i="4"/>
  <c r="K97" i="4"/>
  <c r="L97" i="4"/>
  <c r="K98" i="4"/>
  <c r="L98" i="4"/>
  <c r="K99" i="4"/>
  <c r="L99" i="4"/>
  <c r="K100" i="4"/>
  <c r="L100" i="4"/>
  <c r="K101" i="4"/>
  <c r="L101" i="4"/>
  <c r="K102" i="4"/>
  <c r="L102" i="4"/>
  <c r="K103" i="4"/>
  <c r="L103" i="4"/>
  <c r="K104" i="4"/>
  <c r="L104" i="4"/>
  <c r="K105" i="4"/>
  <c r="L105" i="4"/>
  <c r="K106" i="4"/>
  <c r="L106" i="4"/>
  <c r="K107" i="4"/>
  <c r="L107" i="4"/>
  <c r="K108" i="4"/>
  <c r="L108" i="4"/>
  <c r="K109" i="4"/>
  <c r="L109" i="4"/>
  <c r="K110" i="4"/>
  <c r="L110" i="4"/>
  <c r="K111" i="4"/>
  <c r="L111" i="4"/>
  <c r="K112" i="4"/>
  <c r="L112" i="4"/>
  <c r="K113" i="4"/>
  <c r="L113" i="4"/>
  <c r="K114" i="4"/>
  <c r="L114" i="4"/>
  <c r="K115" i="4"/>
  <c r="L115" i="4"/>
  <c r="K116" i="4"/>
  <c r="L116" i="4"/>
  <c r="K117" i="4"/>
  <c r="L117" i="4"/>
  <c r="K118" i="4"/>
  <c r="L118" i="4"/>
  <c r="K119" i="4"/>
  <c r="L119" i="4"/>
  <c r="K120" i="4"/>
  <c r="L120" i="4"/>
  <c r="K121" i="4"/>
  <c r="L121" i="4"/>
  <c r="K122" i="4"/>
  <c r="L122" i="4"/>
  <c r="K123" i="4"/>
  <c r="L123" i="4"/>
  <c r="K124" i="4"/>
  <c r="L124" i="4"/>
  <c r="K125" i="4"/>
  <c r="L125" i="4"/>
  <c r="K126" i="4"/>
  <c r="L126" i="4"/>
  <c r="K127" i="4"/>
  <c r="L127" i="4"/>
  <c r="K128" i="4"/>
  <c r="L128" i="4"/>
  <c r="K129" i="4"/>
  <c r="L129" i="4"/>
  <c r="K130" i="4"/>
  <c r="L130" i="4"/>
  <c r="K131" i="4"/>
  <c r="L131" i="4"/>
  <c r="K132" i="4"/>
  <c r="L132" i="4"/>
  <c r="K133" i="4"/>
  <c r="L133" i="4"/>
  <c r="K134" i="4"/>
  <c r="L134" i="4"/>
  <c r="K135" i="4"/>
  <c r="L135" i="4"/>
  <c r="K136" i="4"/>
  <c r="L136" i="4"/>
  <c r="K137" i="4"/>
  <c r="L137" i="4"/>
  <c r="K138" i="4"/>
  <c r="L138" i="4"/>
  <c r="K139" i="4"/>
  <c r="L139" i="4"/>
  <c r="K140" i="4"/>
  <c r="L140" i="4"/>
  <c r="K141" i="4"/>
  <c r="L141" i="4"/>
  <c r="K142" i="4"/>
  <c r="L142" i="4"/>
  <c r="K143" i="4"/>
  <c r="L143" i="4"/>
  <c r="K144" i="4"/>
  <c r="L144" i="4"/>
  <c r="K145" i="4"/>
  <c r="L145" i="4"/>
  <c r="K146" i="4"/>
  <c r="L146" i="4"/>
  <c r="K147" i="4"/>
  <c r="L147" i="4"/>
  <c r="K148" i="4"/>
  <c r="L148" i="4"/>
  <c r="K149" i="4"/>
  <c r="L149" i="4"/>
  <c r="K150" i="4"/>
  <c r="L150" i="4"/>
  <c r="K151" i="4"/>
  <c r="L151" i="4"/>
  <c r="K152" i="4"/>
  <c r="L152" i="4"/>
  <c r="K153" i="4"/>
  <c r="L153" i="4"/>
  <c r="K154" i="4"/>
  <c r="L154" i="4"/>
  <c r="K155" i="4"/>
  <c r="L155" i="4"/>
  <c r="K156" i="4"/>
  <c r="L156" i="4"/>
  <c r="K157" i="4"/>
  <c r="L157" i="4"/>
  <c r="K158" i="4"/>
  <c r="L158" i="4"/>
  <c r="K159" i="4"/>
  <c r="L159" i="4"/>
  <c r="K160" i="4"/>
  <c r="L160" i="4"/>
  <c r="K161" i="4"/>
  <c r="L161" i="4"/>
  <c r="K162" i="4"/>
  <c r="L162" i="4"/>
  <c r="K163" i="4"/>
  <c r="L163" i="4"/>
  <c r="K164" i="4"/>
  <c r="L164" i="4"/>
  <c r="K165" i="4"/>
  <c r="L165" i="4"/>
  <c r="K166" i="4"/>
  <c r="L166" i="4"/>
  <c r="K167" i="4"/>
  <c r="L167" i="4"/>
  <c r="K168" i="4"/>
  <c r="L168" i="4"/>
  <c r="K169" i="4"/>
  <c r="L169" i="4"/>
  <c r="K170" i="4"/>
  <c r="L170" i="4"/>
  <c r="K171" i="4"/>
  <c r="L171" i="4"/>
  <c r="K172" i="4"/>
  <c r="L172" i="4"/>
  <c r="K173" i="4"/>
  <c r="L173" i="4"/>
  <c r="K174" i="4"/>
  <c r="L174" i="4"/>
  <c r="K175" i="4"/>
  <c r="L175" i="4"/>
  <c r="K176" i="4"/>
  <c r="L176" i="4"/>
  <c r="K177" i="4"/>
  <c r="L177" i="4"/>
  <c r="K178" i="4"/>
  <c r="L178" i="4"/>
  <c r="K179" i="4"/>
  <c r="L179" i="4"/>
  <c r="K180" i="4"/>
  <c r="L180" i="4"/>
  <c r="K181" i="4"/>
  <c r="L181" i="4"/>
  <c r="K182" i="4"/>
  <c r="L182" i="4"/>
  <c r="K183" i="4"/>
  <c r="L183" i="4"/>
  <c r="K184" i="4"/>
  <c r="L184" i="4"/>
  <c r="K185" i="4"/>
  <c r="L185" i="4"/>
  <c r="K186" i="4"/>
  <c r="L186" i="4"/>
  <c r="K187" i="4"/>
  <c r="L187" i="4"/>
  <c r="K188" i="4"/>
  <c r="L188" i="4"/>
  <c r="K189" i="4"/>
  <c r="L189" i="4"/>
  <c r="K190" i="4"/>
  <c r="L190" i="4"/>
  <c r="K191" i="4"/>
  <c r="L191" i="4"/>
  <c r="K192" i="4"/>
  <c r="L192" i="4"/>
  <c r="K193" i="4"/>
  <c r="L193" i="4"/>
  <c r="K194" i="4"/>
  <c r="L194" i="4"/>
  <c r="K195" i="4"/>
  <c r="L195" i="4"/>
  <c r="K196" i="4"/>
  <c r="L196" i="4"/>
  <c r="K197" i="4"/>
  <c r="L197" i="4"/>
  <c r="K198" i="4"/>
  <c r="L198" i="4"/>
  <c r="K199" i="4"/>
  <c r="L199" i="4"/>
  <c r="K200" i="4"/>
  <c r="L200" i="4"/>
  <c r="K201" i="4"/>
  <c r="L201" i="4"/>
  <c r="K202" i="4"/>
  <c r="L202" i="4"/>
  <c r="K203" i="4"/>
  <c r="L203" i="4"/>
  <c r="K204" i="4"/>
  <c r="L204" i="4"/>
  <c r="K205" i="4"/>
  <c r="L205" i="4"/>
  <c r="K206" i="4"/>
  <c r="L206" i="4"/>
  <c r="K207" i="4"/>
  <c r="L207" i="4"/>
  <c r="K208" i="4"/>
  <c r="L208" i="4"/>
  <c r="K209" i="4"/>
  <c r="L209" i="4"/>
  <c r="K210" i="4"/>
  <c r="L210" i="4"/>
  <c r="K211" i="4"/>
  <c r="L211" i="4"/>
  <c r="K212" i="4"/>
  <c r="L212" i="4"/>
  <c r="K213" i="4"/>
  <c r="L213" i="4"/>
  <c r="K214" i="4"/>
  <c r="L214" i="4"/>
  <c r="K215" i="4"/>
  <c r="L215" i="4"/>
  <c r="K216" i="4"/>
  <c r="L216" i="4"/>
  <c r="K217" i="4"/>
  <c r="L217" i="4"/>
  <c r="K218" i="4"/>
  <c r="L218" i="4"/>
  <c r="K219" i="4"/>
  <c r="L219" i="4"/>
  <c r="K220" i="4"/>
  <c r="L220" i="4"/>
  <c r="K221" i="4"/>
  <c r="L221" i="4"/>
  <c r="K222" i="4"/>
  <c r="L222" i="4"/>
  <c r="K223" i="4"/>
  <c r="L223" i="4"/>
  <c r="K224" i="4"/>
  <c r="L224" i="4"/>
  <c r="K225" i="4"/>
  <c r="L225" i="4"/>
  <c r="K226" i="4"/>
  <c r="L226" i="4"/>
  <c r="K227" i="4"/>
  <c r="L227" i="4"/>
  <c r="K228" i="4"/>
  <c r="L228" i="4"/>
  <c r="K229" i="4"/>
  <c r="L229" i="4"/>
  <c r="K230" i="4"/>
  <c r="L230" i="4"/>
  <c r="K231" i="4"/>
  <c r="L231" i="4"/>
  <c r="K232" i="4"/>
  <c r="L232" i="4"/>
  <c r="K233" i="4"/>
  <c r="L233" i="4"/>
  <c r="K234" i="4"/>
  <c r="L234" i="4"/>
  <c r="K235" i="4"/>
  <c r="L235" i="4"/>
  <c r="K236" i="4"/>
  <c r="L236" i="4"/>
  <c r="K237" i="4"/>
  <c r="L237" i="4"/>
  <c r="K238" i="4"/>
  <c r="L238" i="4"/>
  <c r="K239" i="4"/>
  <c r="L239" i="4"/>
  <c r="K240" i="4"/>
  <c r="L240" i="4"/>
  <c r="K241" i="4"/>
  <c r="L241" i="4"/>
  <c r="K242" i="4"/>
  <c r="L242" i="4"/>
  <c r="K243" i="4"/>
  <c r="L243" i="4"/>
  <c r="K244" i="4"/>
  <c r="L244" i="4"/>
  <c r="K245" i="4"/>
  <c r="L245" i="4"/>
  <c r="K246" i="4"/>
  <c r="L246" i="4"/>
  <c r="K247" i="4"/>
  <c r="L247" i="4"/>
  <c r="K248" i="4"/>
  <c r="L248" i="4"/>
  <c r="K249" i="4"/>
  <c r="L249" i="4"/>
  <c r="K250" i="4"/>
  <c r="L250" i="4"/>
  <c r="K251" i="4"/>
  <c r="L251" i="4"/>
  <c r="K252" i="4"/>
  <c r="L252" i="4"/>
  <c r="K253" i="4"/>
  <c r="L253" i="4"/>
  <c r="K254" i="4"/>
  <c r="L254" i="4"/>
  <c r="K255" i="4"/>
  <c r="L255" i="4"/>
  <c r="K256" i="4"/>
  <c r="L256" i="4"/>
  <c r="K257" i="4"/>
  <c r="L257" i="4"/>
  <c r="K258" i="4"/>
  <c r="L258" i="4"/>
  <c r="K259" i="4"/>
  <c r="L259" i="4"/>
  <c r="K260" i="4"/>
  <c r="L260" i="4"/>
  <c r="K261" i="4"/>
  <c r="L261" i="4"/>
  <c r="K262" i="4"/>
  <c r="L262" i="4"/>
  <c r="K263" i="4"/>
  <c r="L263" i="4"/>
  <c r="K264" i="4"/>
  <c r="L264" i="4"/>
  <c r="K265" i="4"/>
  <c r="L265" i="4"/>
  <c r="K266" i="4"/>
  <c r="L266" i="4"/>
  <c r="K267" i="4"/>
  <c r="L267" i="4"/>
  <c r="K268" i="4"/>
  <c r="L268" i="4"/>
  <c r="K269" i="4"/>
  <c r="L269" i="4"/>
  <c r="K270" i="4"/>
  <c r="L270" i="4"/>
  <c r="K271" i="4"/>
  <c r="L271" i="4"/>
  <c r="K272" i="4"/>
  <c r="L272" i="4"/>
  <c r="K273" i="4"/>
  <c r="L273" i="4"/>
  <c r="K274" i="4"/>
  <c r="L274" i="4"/>
  <c r="K275" i="4"/>
  <c r="L275" i="4"/>
  <c r="K276" i="4"/>
  <c r="L276" i="4"/>
  <c r="K277" i="4"/>
  <c r="L277" i="4"/>
  <c r="K278" i="4"/>
  <c r="L278" i="4"/>
  <c r="K279" i="4"/>
  <c r="L279" i="4"/>
  <c r="K280" i="4"/>
  <c r="L280" i="4"/>
  <c r="K281" i="4"/>
  <c r="L281" i="4"/>
  <c r="K282" i="4"/>
  <c r="L282" i="4"/>
  <c r="K283" i="4"/>
  <c r="L283" i="4"/>
  <c r="K284" i="4"/>
  <c r="L284" i="4"/>
  <c r="K285" i="4"/>
  <c r="L285" i="4"/>
  <c r="K286" i="4"/>
  <c r="L286" i="4"/>
  <c r="K287" i="4"/>
  <c r="L287" i="4"/>
  <c r="K288" i="4"/>
  <c r="L288" i="4"/>
  <c r="K289" i="4"/>
  <c r="L289" i="4"/>
  <c r="K290" i="4"/>
  <c r="L290" i="4"/>
  <c r="K291" i="4"/>
  <c r="L291" i="4"/>
  <c r="K292" i="4"/>
  <c r="L292" i="4"/>
  <c r="K293" i="4"/>
  <c r="L293" i="4"/>
  <c r="K294" i="4"/>
  <c r="L294" i="4"/>
  <c r="K295" i="4"/>
  <c r="L295" i="4"/>
  <c r="K296" i="4"/>
  <c r="L296" i="4"/>
  <c r="K297" i="4"/>
  <c r="L297" i="4"/>
  <c r="K298" i="4"/>
  <c r="L298" i="4"/>
  <c r="K299" i="4"/>
  <c r="L299" i="4"/>
  <c r="K300" i="4"/>
  <c r="L300" i="4"/>
  <c r="K301" i="4"/>
  <c r="L301" i="4"/>
  <c r="K302" i="4"/>
  <c r="L302" i="4"/>
  <c r="K303" i="4"/>
  <c r="L303" i="4"/>
  <c r="K304" i="4"/>
  <c r="L304" i="4"/>
  <c r="K305" i="4"/>
  <c r="L305" i="4"/>
  <c r="K306" i="4"/>
  <c r="L306" i="4"/>
  <c r="K307" i="4"/>
  <c r="L307" i="4"/>
  <c r="K308" i="4"/>
  <c r="L308" i="4"/>
  <c r="K309" i="4"/>
  <c r="L309" i="4"/>
  <c r="K310" i="4"/>
  <c r="L310" i="4"/>
  <c r="K311" i="4"/>
  <c r="L311" i="4"/>
  <c r="K312" i="4"/>
  <c r="L312" i="4"/>
  <c r="K313" i="4"/>
  <c r="L313" i="4"/>
  <c r="K314" i="4"/>
  <c r="L314" i="4"/>
  <c r="K315" i="4"/>
  <c r="L315" i="4"/>
  <c r="K316" i="4"/>
  <c r="L316" i="4"/>
  <c r="K317" i="4"/>
  <c r="L317" i="4"/>
  <c r="K318" i="4"/>
  <c r="L318" i="4"/>
  <c r="K319" i="4"/>
  <c r="L319" i="4"/>
  <c r="K320" i="4"/>
  <c r="L320" i="4"/>
  <c r="K321" i="4"/>
  <c r="L321" i="4"/>
  <c r="K322" i="4"/>
  <c r="L322" i="4"/>
  <c r="K323" i="4"/>
  <c r="L323" i="4"/>
  <c r="K324" i="4"/>
  <c r="L324" i="4"/>
  <c r="K325" i="4"/>
  <c r="L325" i="4"/>
  <c r="K326" i="4"/>
  <c r="L326" i="4"/>
  <c r="K327" i="4"/>
  <c r="L327" i="4"/>
  <c r="K328" i="4"/>
  <c r="L328" i="4"/>
  <c r="K329" i="4"/>
  <c r="L329" i="4"/>
  <c r="K330" i="4"/>
  <c r="L330" i="4"/>
  <c r="K331" i="4"/>
  <c r="L331" i="4"/>
  <c r="K332" i="4"/>
  <c r="L332" i="4"/>
  <c r="K333" i="4"/>
  <c r="L333" i="4"/>
  <c r="K334" i="4"/>
  <c r="L334" i="4"/>
  <c r="K335" i="4"/>
  <c r="L335" i="4"/>
  <c r="K336" i="4"/>
  <c r="L336" i="4"/>
  <c r="K337" i="4"/>
  <c r="L337" i="4"/>
  <c r="K338" i="4"/>
  <c r="L338" i="4"/>
  <c r="K339" i="4"/>
  <c r="L339" i="4"/>
  <c r="K340" i="4"/>
  <c r="L340" i="4"/>
  <c r="K341" i="4"/>
  <c r="L341" i="4"/>
  <c r="K342" i="4"/>
  <c r="L342" i="4"/>
  <c r="K343" i="4"/>
  <c r="L343" i="4"/>
  <c r="K344" i="4"/>
  <c r="L344" i="4"/>
  <c r="K345" i="4"/>
  <c r="L345" i="4"/>
  <c r="K346" i="4"/>
  <c r="L346" i="4"/>
  <c r="K347" i="4"/>
  <c r="L347" i="4"/>
  <c r="K348" i="4"/>
  <c r="L348" i="4"/>
  <c r="K349" i="4"/>
  <c r="L349" i="4"/>
  <c r="K350" i="4"/>
  <c r="L350" i="4"/>
  <c r="K351" i="4"/>
  <c r="L351" i="4"/>
  <c r="K352" i="4"/>
  <c r="L352" i="4"/>
  <c r="K353" i="4"/>
  <c r="L353" i="4"/>
  <c r="K354" i="4"/>
  <c r="L354" i="4"/>
  <c r="K355" i="4"/>
  <c r="L355" i="4"/>
  <c r="K356" i="4"/>
  <c r="L356" i="4"/>
  <c r="K357" i="4"/>
  <c r="L357" i="4"/>
  <c r="K358" i="4"/>
  <c r="L358" i="4"/>
  <c r="K359" i="4"/>
  <c r="L359" i="4"/>
  <c r="K360" i="4"/>
  <c r="L360" i="4"/>
  <c r="K361" i="4"/>
  <c r="L361" i="4"/>
  <c r="K362" i="4"/>
  <c r="L362" i="4"/>
  <c r="K363" i="4"/>
  <c r="L363" i="4"/>
  <c r="K364" i="4"/>
  <c r="L364" i="4"/>
  <c r="K365" i="4"/>
  <c r="L365" i="4"/>
  <c r="K366" i="4"/>
  <c r="L366" i="4"/>
  <c r="K367" i="4"/>
  <c r="L367" i="4"/>
  <c r="K368" i="4"/>
  <c r="L368" i="4"/>
  <c r="K369" i="4"/>
  <c r="L369" i="4"/>
  <c r="K370" i="4"/>
  <c r="L370" i="4"/>
  <c r="K371" i="4"/>
  <c r="L371" i="4"/>
  <c r="K372" i="4"/>
  <c r="L372" i="4"/>
  <c r="K373" i="4"/>
  <c r="L373" i="4"/>
  <c r="K374" i="4"/>
  <c r="L374" i="4"/>
  <c r="K375" i="4"/>
  <c r="L375" i="4"/>
  <c r="K376" i="4"/>
  <c r="L376" i="4"/>
  <c r="K377" i="4"/>
  <c r="L377" i="4"/>
  <c r="K378" i="4"/>
  <c r="L378" i="4"/>
  <c r="K379" i="4"/>
  <c r="L379" i="4"/>
  <c r="K380" i="4"/>
  <c r="L380" i="4"/>
  <c r="K381" i="4"/>
  <c r="L381" i="4"/>
  <c r="K382" i="4"/>
  <c r="L382" i="4"/>
  <c r="K383" i="4"/>
  <c r="L383" i="4"/>
  <c r="K384" i="4"/>
  <c r="L384" i="4"/>
  <c r="K385" i="4"/>
  <c r="L385" i="4"/>
  <c r="K386" i="4"/>
  <c r="L386" i="4"/>
  <c r="K387" i="4"/>
  <c r="L387" i="4"/>
  <c r="K388" i="4"/>
  <c r="L388" i="4"/>
  <c r="K389" i="4"/>
  <c r="L389" i="4"/>
  <c r="K390" i="4"/>
  <c r="L390" i="4"/>
  <c r="K391" i="4"/>
  <c r="L391" i="4"/>
  <c r="K392" i="4"/>
  <c r="L392" i="4"/>
  <c r="K393" i="4"/>
  <c r="L393" i="4"/>
  <c r="K394" i="4"/>
  <c r="L394" i="4"/>
  <c r="K395" i="4"/>
  <c r="L395" i="4"/>
  <c r="K396" i="4"/>
  <c r="L396" i="4"/>
  <c r="K397" i="4"/>
  <c r="L397" i="4"/>
  <c r="K398" i="4"/>
  <c r="L398" i="4"/>
  <c r="K399" i="4"/>
  <c r="L399" i="4"/>
  <c r="K400" i="4"/>
  <c r="L400" i="4"/>
  <c r="K401" i="4"/>
  <c r="L401" i="4"/>
  <c r="K402" i="4"/>
  <c r="L402" i="4"/>
  <c r="K403" i="4"/>
  <c r="L403" i="4"/>
  <c r="K404" i="4"/>
  <c r="L404" i="4"/>
  <c r="K405" i="4"/>
  <c r="L405" i="4"/>
  <c r="K406" i="4"/>
  <c r="L406" i="4"/>
  <c r="K407" i="4"/>
  <c r="L407" i="4"/>
  <c r="K408" i="4"/>
  <c r="L408" i="4"/>
  <c r="K409" i="4"/>
  <c r="L409" i="4"/>
  <c r="K410" i="4"/>
  <c r="L410" i="4"/>
  <c r="K411" i="4"/>
  <c r="L411" i="4"/>
  <c r="K412" i="4"/>
  <c r="L412" i="4"/>
  <c r="K413" i="4"/>
  <c r="L413" i="4"/>
  <c r="K414" i="4"/>
  <c r="L414" i="4"/>
  <c r="K415" i="4"/>
  <c r="L415" i="4"/>
  <c r="K416" i="4"/>
  <c r="L416" i="4"/>
  <c r="K417" i="4"/>
  <c r="L417" i="4"/>
  <c r="K418" i="4"/>
  <c r="L418" i="4"/>
  <c r="K419" i="4"/>
  <c r="L419" i="4"/>
  <c r="K420" i="4"/>
  <c r="L420" i="4"/>
  <c r="K421" i="4"/>
  <c r="L421" i="4"/>
  <c r="K422" i="4"/>
  <c r="L422" i="4"/>
  <c r="K423" i="4"/>
  <c r="L423" i="4"/>
  <c r="K424" i="4"/>
  <c r="L424" i="4"/>
  <c r="K425" i="4"/>
  <c r="L425" i="4"/>
  <c r="K426" i="4"/>
  <c r="L426" i="4"/>
  <c r="K427" i="4"/>
  <c r="L427" i="4"/>
  <c r="K428" i="4"/>
  <c r="L428" i="4"/>
  <c r="K429" i="4"/>
  <c r="L429" i="4"/>
  <c r="K430" i="4"/>
  <c r="L430" i="4"/>
  <c r="K431" i="4"/>
  <c r="L431" i="4"/>
  <c r="K432" i="4"/>
  <c r="L432" i="4"/>
  <c r="K433" i="4"/>
  <c r="L433" i="4"/>
  <c r="K434" i="4"/>
  <c r="L434" i="4"/>
  <c r="K435" i="4"/>
  <c r="L435" i="4"/>
  <c r="K436" i="4"/>
  <c r="L436" i="4"/>
  <c r="K437" i="4"/>
  <c r="L437" i="4"/>
  <c r="K438" i="4"/>
  <c r="L438" i="4"/>
  <c r="K439" i="4"/>
  <c r="L439" i="4"/>
  <c r="K440" i="4"/>
  <c r="L440" i="4"/>
  <c r="K441" i="4"/>
  <c r="L441" i="4"/>
  <c r="K442" i="4"/>
  <c r="L442" i="4"/>
  <c r="K443" i="4"/>
  <c r="L443" i="4"/>
  <c r="K444" i="4"/>
  <c r="L444" i="4"/>
  <c r="K445" i="4"/>
  <c r="L445" i="4"/>
  <c r="K446" i="4"/>
  <c r="L446" i="4"/>
  <c r="K447" i="4"/>
  <c r="L447" i="4"/>
  <c r="K448" i="4"/>
  <c r="L448" i="4"/>
  <c r="K449" i="4"/>
  <c r="L449" i="4"/>
  <c r="K450" i="4"/>
  <c r="L450" i="4"/>
  <c r="K451" i="4"/>
  <c r="L451" i="4"/>
  <c r="K452" i="4"/>
  <c r="L452" i="4"/>
  <c r="K453" i="4"/>
  <c r="L453" i="4"/>
  <c r="K454" i="4"/>
  <c r="L454" i="4"/>
  <c r="K455" i="4"/>
  <c r="L455" i="4"/>
  <c r="K456" i="4"/>
  <c r="L456" i="4"/>
  <c r="K457" i="4"/>
  <c r="L457" i="4"/>
  <c r="K458" i="4"/>
  <c r="L458" i="4"/>
  <c r="K459" i="4"/>
  <c r="L459" i="4"/>
  <c r="K460" i="4"/>
  <c r="L460" i="4"/>
  <c r="K461" i="4"/>
  <c r="L461" i="4"/>
  <c r="K462" i="4"/>
  <c r="L462" i="4"/>
  <c r="K463" i="4"/>
  <c r="L463" i="4"/>
  <c r="K464" i="4"/>
  <c r="L464" i="4"/>
  <c r="K465" i="4"/>
  <c r="L465" i="4"/>
  <c r="K466" i="4"/>
  <c r="L466" i="4"/>
  <c r="K467" i="4"/>
  <c r="L467" i="4"/>
  <c r="K468" i="4"/>
  <c r="L468" i="4"/>
  <c r="K469" i="4"/>
  <c r="L469" i="4"/>
  <c r="K470" i="4"/>
  <c r="L470" i="4"/>
  <c r="K471" i="4"/>
  <c r="L471" i="4"/>
  <c r="K472" i="4"/>
  <c r="L472" i="4"/>
  <c r="K473" i="4"/>
  <c r="L473" i="4"/>
  <c r="K474" i="4"/>
  <c r="L474" i="4"/>
  <c r="K475" i="4"/>
  <c r="L475" i="4"/>
  <c r="K476" i="4"/>
  <c r="L476" i="4"/>
  <c r="K477" i="4"/>
  <c r="L477" i="4"/>
  <c r="K478" i="4"/>
  <c r="L478" i="4"/>
  <c r="K479" i="4"/>
  <c r="L479" i="4"/>
  <c r="K480" i="4"/>
  <c r="L480" i="4"/>
  <c r="K481" i="4"/>
  <c r="L481" i="4"/>
  <c r="K482" i="4"/>
  <c r="L482" i="4"/>
  <c r="K483" i="4"/>
  <c r="L483" i="4"/>
  <c r="K484" i="4"/>
  <c r="L484" i="4"/>
  <c r="K485" i="4"/>
  <c r="L485" i="4"/>
  <c r="K486" i="4"/>
  <c r="L486" i="4"/>
  <c r="K487" i="4"/>
  <c r="L487" i="4"/>
  <c r="K488" i="4"/>
  <c r="L488" i="4"/>
  <c r="K489" i="4"/>
  <c r="L489" i="4"/>
  <c r="K490" i="4"/>
  <c r="L490" i="4"/>
  <c r="K491" i="4"/>
  <c r="L491" i="4"/>
  <c r="K492" i="4"/>
  <c r="L492" i="4"/>
  <c r="K493" i="4"/>
  <c r="L493" i="4"/>
  <c r="K494" i="4"/>
  <c r="L494" i="4"/>
  <c r="K495" i="4"/>
  <c r="L495" i="4"/>
  <c r="K496" i="4"/>
  <c r="L496" i="4"/>
  <c r="K497" i="4"/>
  <c r="L497" i="4"/>
  <c r="K498" i="4"/>
  <c r="L498" i="4"/>
  <c r="K499" i="4"/>
  <c r="L499" i="4"/>
  <c r="K500" i="4"/>
  <c r="L500" i="4"/>
  <c r="K501" i="4"/>
  <c r="L501" i="4"/>
  <c r="E120" i="13" l="1"/>
  <c r="E79" i="13"/>
  <c r="E38" i="13"/>
  <c r="E78" i="13"/>
  <c r="G79" i="13"/>
  <c r="G81" i="13"/>
  <c r="G121" i="13"/>
  <c r="G119" i="13"/>
  <c r="G118" i="13"/>
  <c r="G93" i="13"/>
  <c r="G80" i="13"/>
  <c r="G78" i="13"/>
  <c r="G77" i="13"/>
  <c r="G52" i="13"/>
  <c r="G39" i="13"/>
  <c r="G37" i="13"/>
  <c r="G36" i="13"/>
  <c r="G11" i="13"/>
  <c r="G120" i="13"/>
  <c r="G122" i="13"/>
  <c r="G38" i="13"/>
  <c r="N120" i="13"/>
  <c r="N39" i="13"/>
  <c r="N119" i="13"/>
  <c r="N78" i="13"/>
  <c r="N37" i="13"/>
  <c r="N52" i="13"/>
  <c r="N121" i="13"/>
  <c r="N80" i="13"/>
  <c r="N79" i="13"/>
  <c r="N38" i="13"/>
  <c r="N81" i="13"/>
  <c r="N93" i="13"/>
  <c r="N11" i="13"/>
  <c r="N122" i="13"/>
  <c r="N118" i="13"/>
  <c r="N77" i="13"/>
  <c r="N36" i="13"/>
  <c r="I38" i="13"/>
  <c r="I118" i="13"/>
  <c r="I77" i="13"/>
  <c r="I36" i="13"/>
  <c r="I120" i="13"/>
  <c r="I79" i="13"/>
  <c r="I93" i="13"/>
  <c r="I11" i="13"/>
  <c r="I122" i="13"/>
  <c r="I81" i="13"/>
  <c r="I121" i="13"/>
  <c r="I80" i="13"/>
  <c r="I52" i="13"/>
  <c r="I119" i="13"/>
  <c r="I78" i="13"/>
  <c r="I39" i="13"/>
  <c r="I37" i="13"/>
  <c r="S120" i="13"/>
  <c r="S79" i="13"/>
  <c r="S122" i="13"/>
  <c r="S81" i="13"/>
  <c r="S52" i="13"/>
  <c r="S39" i="13"/>
  <c r="S38" i="13"/>
  <c r="S121" i="13"/>
  <c r="S119" i="13"/>
  <c r="S118" i="13"/>
  <c r="S93" i="13"/>
  <c r="S80" i="13"/>
  <c r="S78" i="13"/>
  <c r="S77" i="13"/>
  <c r="S37" i="13"/>
  <c r="S36" i="13"/>
  <c r="S11" i="13"/>
  <c r="J118" i="13"/>
  <c r="J77" i="13"/>
  <c r="J38" i="13"/>
  <c r="J93" i="13"/>
  <c r="J37" i="13"/>
  <c r="J120" i="13"/>
  <c r="J122" i="13"/>
  <c r="J52" i="13"/>
  <c r="J121" i="13"/>
  <c r="J80" i="13"/>
  <c r="J36" i="13"/>
  <c r="J79" i="13"/>
  <c r="J81" i="13"/>
  <c r="J39" i="13"/>
  <c r="J119" i="13"/>
  <c r="J78" i="13"/>
  <c r="J11" i="13"/>
  <c r="K81" i="13"/>
  <c r="K39" i="13"/>
  <c r="K122" i="13"/>
  <c r="K121" i="13"/>
  <c r="K118" i="13"/>
  <c r="K80" i="13"/>
  <c r="K77" i="13"/>
  <c r="K36" i="13"/>
  <c r="K38" i="13"/>
  <c r="K120" i="13"/>
  <c r="K79" i="13"/>
  <c r="K52" i="13"/>
  <c r="K119" i="13"/>
  <c r="K93" i="13"/>
  <c r="K78" i="13"/>
  <c r="K37" i="13"/>
  <c r="K11" i="13"/>
  <c r="O120" i="13"/>
  <c r="O79" i="13"/>
  <c r="O122" i="13"/>
  <c r="O81" i="13"/>
  <c r="O119" i="13"/>
  <c r="O93" i="13"/>
  <c r="O78" i="13"/>
  <c r="O39" i="13"/>
  <c r="O37" i="13"/>
  <c r="O11" i="13"/>
  <c r="O38" i="13"/>
  <c r="O121" i="13"/>
  <c r="O118" i="13"/>
  <c r="O80" i="13"/>
  <c r="O77" i="13"/>
  <c r="O52" i="13"/>
  <c r="O36" i="13"/>
  <c r="E81" i="13"/>
  <c r="E52" i="13"/>
  <c r="E39" i="13"/>
  <c r="E121" i="13"/>
  <c r="E119" i="13"/>
  <c r="E118" i="13"/>
  <c r="E93" i="13"/>
  <c r="E80" i="13"/>
  <c r="E77" i="13"/>
  <c r="E122" i="13"/>
  <c r="E15" i="13"/>
  <c r="E37" i="13"/>
  <c r="E36" i="13"/>
  <c r="E11" i="13"/>
  <c r="V121" i="13"/>
  <c r="V118" i="13"/>
  <c r="V80" i="13"/>
  <c r="V77" i="13"/>
  <c r="V52" i="13"/>
  <c r="V37" i="13"/>
  <c r="V11" i="13"/>
  <c r="V119" i="13"/>
  <c r="V93" i="13"/>
  <c r="V78" i="13"/>
  <c r="V39" i="13"/>
  <c r="V36" i="13"/>
  <c r="M3" i="17"/>
  <c r="D122" i="13" l="1"/>
  <c r="D120" i="13"/>
  <c r="D81" i="13"/>
  <c r="D79" i="13"/>
  <c r="D78" i="13"/>
  <c r="D38" i="13"/>
  <c r="H47" i="14"/>
  <c r="H45" i="14"/>
  <c r="H34" i="14"/>
  <c r="H26" i="14"/>
  <c r="H68" i="14"/>
  <c r="H66" i="14"/>
  <c r="H64" i="14"/>
  <c r="H61" i="14"/>
  <c r="H57" i="14"/>
  <c r="H55" i="14"/>
  <c r="H52" i="14"/>
  <c r="H51" i="14" s="1"/>
  <c r="H48" i="14"/>
  <c r="H46" i="14"/>
  <c r="H44" i="14"/>
  <c r="H41" i="14"/>
  <c r="H37" i="14"/>
  <c r="H35" i="14"/>
  <c r="H32" i="14"/>
  <c r="H29" i="14"/>
  <c r="H27" i="14"/>
  <c r="H25" i="14"/>
  <c r="H22" i="14"/>
  <c r="H20" i="14"/>
  <c r="H17" i="14"/>
  <c r="H14" i="14"/>
  <c r="H12" i="14"/>
  <c r="H10" i="14"/>
  <c r="H7" i="14"/>
  <c r="H86" i="14"/>
  <c r="H67" i="14"/>
  <c r="H65" i="14"/>
  <c r="H62" i="14"/>
  <c r="H60" i="14"/>
  <c r="H56" i="14"/>
  <c r="H54" i="14"/>
  <c r="H50" i="14"/>
  <c r="H49" i="14" s="1"/>
  <c r="H43" i="14"/>
  <c r="H40" i="14"/>
  <c r="H36" i="14"/>
  <c r="H31" i="14"/>
  <c r="H28" i="14"/>
  <c r="H24" i="14"/>
  <c r="H21" i="14"/>
  <c r="H18" i="14"/>
  <c r="H16" i="14"/>
  <c r="H13" i="14"/>
  <c r="H11" i="14"/>
  <c r="H8" i="14"/>
  <c r="H6" i="14"/>
  <c r="D121" i="13"/>
  <c r="D36" i="13"/>
  <c r="D118" i="13"/>
  <c r="D93" i="13"/>
  <c r="D52" i="13"/>
  <c r="D37" i="13"/>
  <c r="D77" i="13"/>
  <c r="D119" i="13"/>
  <c r="D39" i="13"/>
  <c r="D11" i="13"/>
  <c r="D80" i="13"/>
  <c r="H30" i="14" l="1"/>
  <c r="H39" i="14"/>
  <c r="H42" i="14"/>
  <c r="H5" i="14"/>
  <c r="H15" i="14"/>
  <c r="H53" i="14"/>
  <c r="H59" i="14"/>
  <c r="H72" i="14"/>
  <c r="H9" i="14"/>
  <c r="H19" i="14"/>
  <c r="H63" i="14"/>
  <c r="H80" i="14"/>
  <c r="H33" i="14"/>
  <c r="H23" i="14"/>
  <c r="H91" i="14"/>
  <c r="H91" i="13" s="1"/>
  <c r="H92" i="13" s="1"/>
  <c r="V114" i="13"/>
  <c r="V110" i="13"/>
  <c r="V105" i="13"/>
  <c r="V101" i="13"/>
  <c r="V97" i="13"/>
  <c r="V76" i="13"/>
  <c r="V71" i="13"/>
  <c r="V66" i="13"/>
  <c r="V62" i="13"/>
  <c r="V58" i="13"/>
  <c r="V54" i="13"/>
  <c r="V33" i="13"/>
  <c r="V29" i="13"/>
  <c r="V24" i="13"/>
  <c r="V20" i="13"/>
  <c r="V16" i="13"/>
  <c r="V12" i="13"/>
  <c r="V113" i="13"/>
  <c r="V108" i="13"/>
  <c r="V104" i="13"/>
  <c r="V100" i="13"/>
  <c r="V96" i="13"/>
  <c r="V74" i="13"/>
  <c r="V70" i="13"/>
  <c r="V65" i="13"/>
  <c r="V61" i="13"/>
  <c r="V57" i="13"/>
  <c r="V53" i="13"/>
  <c r="V32" i="13"/>
  <c r="V28" i="13"/>
  <c r="V23" i="13"/>
  <c r="V19" i="13"/>
  <c r="V15" i="13"/>
  <c r="V111" i="13"/>
  <c r="V102" i="13"/>
  <c r="V98" i="13"/>
  <c r="V72" i="13"/>
  <c r="V63" i="13"/>
  <c r="V55" i="13"/>
  <c r="V30" i="13"/>
  <c r="V21" i="13"/>
  <c r="V13" i="13"/>
  <c r="V117" i="13"/>
  <c r="V112" i="13"/>
  <c r="V107" i="13"/>
  <c r="V103" i="13"/>
  <c r="V99" i="13"/>
  <c r="V95" i="13"/>
  <c r="V73" i="13"/>
  <c r="V69" i="13"/>
  <c r="V64" i="13"/>
  <c r="V60" i="13"/>
  <c r="V56" i="13"/>
  <c r="V40" i="13"/>
  <c r="V31" i="13"/>
  <c r="V26" i="13"/>
  <c r="V22" i="13"/>
  <c r="V18" i="13"/>
  <c r="V14" i="13"/>
  <c r="V115" i="13"/>
  <c r="V106" i="13"/>
  <c r="V94" i="13"/>
  <c r="V67" i="13"/>
  <c r="V59" i="13"/>
  <c r="V35" i="13"/>
  <c r="V25" i="13"/>
  <c r="V17" i="13"/>
  <c r="T117" i="13"/>
  <c r="O117" i="13"/>
  <c r="M117" i="13"/>
  <c r="J117" i="13"/>
  <c r="G117" i="13"/>
  <c r="E117" i="13"/>
  <c r="E123" i="13" s="1"/>
  <c r="U115" i="13"/>
  <c r="S115" i="13"/>
  <c r="N115" i="13"/>
  <c r="K115" i="13"/>
  <c r="I115" i="13"/>
  <c r="F115" i="13"/>
  <c r="T114" i="13"/>
  <c r="O114" i="13"/>
  <c r="M114" i="13"/>
  <c r="J114" i="13"/>
  <c r="G114" i="13"/>
  <c r="E114" i="13"/>
  <c r="U113" i="13"/>
  <c r="S113" i="13"/>
  <c r="N113" i="13"/>
  <c r="K113" i="13"/>
  <c r="I113" i="13"/>
  <c r="F113" i="13"/>
  <c r="T112" i="13"/>
  <c r="O112" i="13"/>
  <c r="M112" i="13"/>
  <c r="J112" i="13"/>
  <c r="G112" i="13"/>
  <c r="E112" i="13"/>
  <c r="U111" i="13"/>
  <c r="S111" i="13"/>
  <c r="N111" i="13"/>
  <c r="K111" i="13"/>
  <c r="I111" i="13"/>
  <c r="F111" i="13"/>
  <c r="T110" i="13"/>
  <c r="O110" i="13"/>
  <c r="M110" i="13"/>
  <c r="J110" i="13"/>
  <c r="G110" i="13"/>
  <c r="E110" i="13"/>
  <c r="U108" i="13"/>
  <c r="S108" i="13"/>
  <c r="N108" i="13"/>
  <c r="K108" i="13"/>
  <c r="I108" i="13"/>
  <c r="F108" i="13"/>
  <c r="T107" i="13"/>
  <c r="O107" i="13"/>
  <c r="M107" i="13"/>
  <c r="J107" i="13"/>
  <c r="G107" i="13"/>
  <c r="E107" i="13"/>
  <c r="U106" i="13"/>
  <c r="S106" i="13"/>
  <c r="N106" i="13"/>
  <c r="K106" i="13"/>
  <c r="I106" i="13"/>
  <c r="F106" i="13"/>
  <c r="T105" i="13"/>
  <c r="O105" i="13"/>
  <c r="M105" i="13"/>
  <c r="J105" i="13"/>
  <c r="G105" i="13"/>
  <c r="E105" i="13"/>
  <c r="U104" i="13"/>
  <c r="S104" i="13"/>
  <c r="N104" i="13"/>
  <c r="K104" i="13"/>
  <c r="I104" i="13"/>
  <c r="F104" i="13"/>
  <c r="U117" i="13"/>
  <c r="N117" i="13"/>
  <c r="I117" i="13"/>
  <c r="O115" i="13"/>
  <c r="J115" i="13"/>
  <c r="E115" i="13"/>
  <c r="S114" i="13"/>
  <c r="K114" i="13"/>
  <c r="F114" i="13"/>
  <c r="T113" i="13"/>
  <c r="M113" i="13"/>
  <c r="G113" i="13"/>
  <c r="U112" i="13"/>
  <c r="N112" i="13"/>
  <c r="I112" i="13"/>
  <c r="O111" i="13"/>
  <c r="J111" i="13"/>
  <c r="E111" i="13"/>
  <c r="S110" i="13"/>
  <c r="K110" i="13"/>
  <c r="F110" i="13"/>
  <c r="T108" i="13"/>
  <c r="M108" i="13"/>
  <c r="G108" i="13"/>
  <c r="U107" i="13"/>
  <c r="N107" i="13"/>
  <c r="I107" i="13"/>
  <c r="O106" i="13"/>
  <c r="J106" i="13"/>
  <c r="E106" i="13"/>
  <c r="S105" i="13"/>
  <c r="K105" i="13"/>
  <c r="F105" i="13"/>
  <c r="T104" i="13"/>
  <c r="M104" i="13"/>
  <c r="G104" i="13"/>
  <c r="U103" i="13"/>
  <c r="S103" i="13"/>
  <c r="N103" i="13"/>
  <c r="K103" i="13"/>
  <c r="I103" i="13"/>
  <c r="F103" i="13"/>
  <c r="T102" i="13"/>
  <c r="O102" i="13"/>
  <c r="M102" i="13"/>
  <c r="J102" i="13"/>
  <c r="G102" i="13"/>
  <c r="E102" i="13"/>
  <c r="U101" i="13"/>
  <c r="S101" i="13"/>
  <c r="N101" i="13"/>
  <c r="K101" i="13"/>
  <c r="I101" i="13"/>
  <c r="F101" i="13"/>
  <c r="T100" i="13"/>
  <c r="O100" i="13"/>
  <c r="M100" i="13"/>
  <c r="J100" i="13"/>
  <c r="G100" i="13"/>
  <c r="E100" i="13"/>
  <c r="U99" i="13"/>
  <c r="S99" i="13"/>
  <c r="N99" i="13"/>
  <c r="K99" i="13"/>
  <c r="I99" i="13"/>
  <c r="F99" i="13"/>
  <c r="T98" i="13"/>
  <c r="O98" i="13"/>
  <c r="M98" i="13"/>
  <c r="J98" i="13"/>
  <c r="G98" i="13"/>
  <c r="E98" i="13"/>
  <c r="U97" i="13"/>
  <c r="S97" i="13"/>
  <c r="N97" i="13"/>
  <c r="K97" i="13"/>
  <c r="I97" i="13"/>
  <c r="F97" i="13"/>
  <c r="T96" i="13"/>
  <c r="O96" i="13"/>
  <c r="M96" i="13"/>
  <c r="J96" i="13"/>
  <c r="G96" i="13"/>
  <c r="E96" i="13"/>
  <c r="U95" i="13"/>
  <c r="S95" i="13"/>
  <c r="N95" i="13"/>
  <c r="K95" i="13"/>
  <c r="I95" i="13"/>
  <c r="F95" i="13"/>
  <c r="T94" i="13"/>
  <c r="O94" i="13"/>
  <c r="M94" i="13"/>
  <c r="J94" i="13"/>
  <c r="G94" i="13"/>
  <c r="E94" i="13"/>
  <c r="S117" i="13"/>
  <c r="K117" i="13"/>
  <c r="K123" i="13" s="1"/>
  <c r="F117" i="13"/>
  <c r="T115" i="13"/>
  <c r="M115" i="13"/>
  <c r="G115" i="13"/>
  <c r="U114" i="13"/>
  <c r="N114" i="13"/>
  <c r="I114" i="13"/>
  <c r="O113" i="13"/>
  <c r="J113" i="13"/>
  <c r="E113" i="13"/>
  <c r="S112" i="13"/>
  <c r="K112" i="13"/>
  <c r="F112" i="13"/>
  <c r="T111" i="13"/>
  <c r="M111" i="13"/>
  <c r="G111" i="13"/>
  <c r="U110" i="13"/>
  <c r="N110" i="13"/>
  <c r="I110" i="13"/>
  <c r="O108" i="13"/>
  <c r="J108" i="13"/>
  <c r="E108" i="13"/>
  <c r="S107" i="13"/>
  <c r="K107" i="13"/>
  <c r="F107" i="13"/>
  <c r="T106" i="13"/>
  <c r="M106" i="13"/>
  <c r="G106" i="13"/>
  <c r="U105" i="13"/>
  <c r="N105" i="13"/>
  <c r="I105" i="13"/>
  <c r="O104" i="13"/>
  <c r="J104" i="13"/>
  <c r="E104" i="13"/>
  <c r="T103" i="13"/>
  <c r="O103" i="13"/>
  <c r="M103" i="13"/>
  <c r="J103" i="13"/>
  <c r="G103" i="13"/>
  <c r="E103" i="13"/>
  <c r="U102" i="13"/>
  <c r="S102" i="13"/>
  <c r="N102" i="13"/>
  <c r="K102" i="13"/>
  <c r="I102" i="13"/>
  <c r="F102" i="13"/>
  <c r="T101" i="13"/>
  <c r="O101" i="13"/>
  <c r="M101" i="13"/>
  <c r="J101" i="13"/>
  <c r="G101" i="13"/>
  <c r="E101" i="13"/>
  <c r="U100" i="13"/>
  <c r="S100" i="13"/>
  <c r="N100" i="13"/>
  <c r="I100" i="13"/>
  <c r="O99" i="13"/>
  <c r="J99" i="13"/>
  <c r="E99" i="13"/>
  <c r="S98" i="13"/>
  <c r="K98" i="13"/>
  <c r="F98" i="13"/>
  <c r="T97" i="13"/>
  <c r="M97" i="13"/>
  <c r="G97" i="13"/>
  <c r="U96" i="13"/>
  <c r="N96" i="13"/>
  <c r="I96" i="13"/>
  <c r="O95" i="13"/>
  <c r="J95" i="13"/>
  <c r="E95" i="13"/>
  <c r="S94" i="13"/>
  <c r="K94" i="13"/>
  <c r="F94" i="13"/>
  <c r="K100" i="13"/>
  <c r="F100" i="13"/>
  <c r="T99" i="13"/>
  <c r="M99" i="13"/>
  <c r="G99" i="13"/>
  <c r="U98" i="13"/>
  <c r="N98" i="13"/>
  <c r="I98" i="13"/>
  <c r="O97" i="13"/>
  <c r="J97" i="13"/>
  <c r="E97" i="13"/>
  <c r="S96" i="13"/>
  <c r="K96" i="13"/>
  <c r="F96" i="13"/>
  <c r="T95" i="13"/>
  <c r="M95" i="13"/>
  <c r="G95" i="13"/>
  <c r="U94" i="13"/>
  <c r="N94" i="13"/>
  <c r="I94" i="13"/>
  <c r="O76" i="13"/>
  <c r="O82" i="13" s="1"/>
  <c r="J76" i="13"/>
  <c r="J82" i="13" s="1"/>
  <c r="E76" i="13"/>
  <c r="E82" i="13" s="1"/>
  <c r="S74" i="13"/>
  <c r="K74" i="13"/>
  <c r="F74" i="13"/>
  <c r="T73" i="13"/>
  <c r="M73" i="13"/>
  <c r="G73" i="13"/>
  <c r="U72" i="13"/>
  <c r="N72" i="13"/>
  <c r="I72" i="13"/>
  <c r="O71" i="13"/>
  <c r="J71" i="13"/>
  <c r="E71" i="13"/>
  <c r="S70" i="13"/>
  <c r="K70" i="13"/>
  <c r="F70" i="13"/>
  <c r="T69" i="13"/>
  <c r="M69" i="13"/>
  <c r="G69" i="13"/>
  <c r="U67" i="13"/>
  <c r="N67" i="13"/>
  <c r="I67" i="13"/>
  <c r="O66" i="13"/>
  <c r="J66" i="13"/>
  <c r="E66" i="13"/>
  <c r="S65" i="13"/>
  <c r="K65" i="13"/>
  <c r="F65" i="13"/>
  <c r="T64" i="13"/>
  <c r="M64" i="13"/>
  <c r="G64" i="13"/>
  <c r="U63" i="13"/>
  <c r="N63" i="13"/>
  <c r="I63" i="13"/>
  <c r="O62" i="13"/>
  <c r="J62" i="13"/>
  <c r="E62" i="13"/>
  <c r="N76" i="13"/>
  <c r="J74" i="13"/>
  <c r="S73" i="13"/>
  <c r="F73" i="13"/>
  <c r="M72" i="13"/>
  <c r="U71" i="13"/>
  <c r="I71" i="13"/>
  <c r="O70" i="13"/>
  <c r="E70" i="13"/>
  <c r="K69" i="13"/>
  <c r="T67" i="13"/>
  <c r="G67" i="13"/>
  <c r="N66" i="13"/>
  <c r="J65" i="13"/>
  <c r="S64" i="13"/>
  <c r="F64" i="13"/>
  <c r="M63" i="13"/>
  <c r="U62" i="13"/>
  <c r="I62" i="13"/>
  <c r="T61" i="13"/>
  <c r="M61" i="13"/>
  <c r="G61" i="13"/>
  <c r="U60" i="13"/>
  <c r="N60" i="13"/>
  <c r="I60" i="13"/>
  <c r="O59" i="13"/>
  <c r="J59" i="13"/>
  <c r="E59" i="13"/>
  <c r="S58" i="13"/>
  <c r="K58" i="13"/>
  <c r="F58" i="13"/>
  <c r="T57" i="13"/>
  <c r="M57" i="13"/>
  <c r="G57" i="13"/>
  <c r="U56" i="13"/>
  <c r="N56" i="13"/>
  <c r="I56" i="13"/>
  <c r="O55" i="13"/>
  <c r="T76" i="13"/>
  <c r="G76" i="13"/>
  <c r="N74" i="13"/>
  <c r="J73" i="13"/>
  <c r="S72" i="13"/>
  <c r="F72" i="13"/>
  <c r="M71" i="13"/>
  <c r="U70" i="13"/>
  <c r="I70" i="13"/>
  <c r="O69" i="13"/>
  <c r="E69" i="13"/>
  <c r="K67" i="13"/>
  <c r="T66" i="13"/>
  <c r="G66" i="13"/>
  <c r="N65" i="13"/>
  <c r="J64" i="13"/>
  <c r="S63" i="13"/>
  <c r="F63" i="13"/>
  <c r="M62" i="13"/>
  <c r="U76" i="13"/>
  <c r="O74" i="13"/>
  <c r="K73" i="13"/>
  <c r="G72" i="13"/>
  <c r="S69" i="13"/>
  <c r="M67" i="13"/>
  <c r="I66" i="13"/>
  <c r="E65" i="13"/>
  <c r="T63" i="13"/>
  <c r="N62" i="13"/>
  <c r="O61" i="13"/>
  <c r="E61" i="13"/>
  <c r="K60" i="13"/>
  <c r="T59" i="13"/>
  <c r="G59" i="13"/>
  <c r="N58" i="13"/>
  <c r="J57" i="13"/>
  <c r="S56" i="13"/>
  <c r="F56" i="13"/>
  <c r="M55" i="13"/>
  <c r="G55" i="13"/>
  <c r="U54" i="13"/>
  <c r="N54" i="13"/>
  <c r="I54" i="13"/>
  <c r="O53" i="13"/>
  <c r="J53" i="13"/>
  <c r="E53" i="13"/>
  <c r="K76" i="13"/>
  <c r="T74" i="13"/>
  <c r="G74" i="13"/>
  <c r="N73" i="13"/>
  <c r="J72" i="13"/>
  <c r="S71" i="13"/>
  <c r="F71" i="13"/>
  <c r="M70" i="13"/>
  <c r="U69" i="13"/>
  <c r="I69" i="13"/>
  <c r="O67" i="13"/>
  <c r="E67" i="13"/>
  <c r="K66" i="13"/>
  <c r="T65" i="13"/>
  <c r="G65" i="13"/>
  <c r="N64" i="13"/>
  <c r="J63" i="13"/>
  <c r="S62" i="13"/>
  <c r="F62" i="13"/>
  <c r="S61" i="13"/>
  <c r="K61" i="13"/>
  <c r="F61" i="13"/>
  <c r="T60" i="13"/>
  <c r="M60" i="13"/>
  <c r="G60" i="13"/>
  <c r="U59" i="13"/>
  <c r="N59" i="13"/>
  <c r="I59" i="13"/>
  <c r="O58" i="13"/>
  <c r="J58" i="13"/>
  <c r="E58" i="13"/>
  <c r="N57" i="13"/>
  <c r="J56" i="13"/>
  <c r="S55" i="13"/>
  <c r="F55" i="13"/>
  <c r="M54" i="13"/>
  <c r="U53" i="13"/>
  <c r="I53" i="13"/>
  <c r="K57" i="13"/>
  <c r="T56" i="13"/>
  <c r="G56" i="13"/>
  <c r="N55" i="13"/>
  <c r="J54" i="13"/>
  <c r="S53" i="13"/>
  <c r="F53" i="13"/>
  <c r="M76" i="13"/>
  <c r="U74" i="13"/>
  <c r="I74" i="13"/>
  <c r="O73" i="13"/>
  <c r="E73" i="13"/>
  <c r="K72" i="13"/>
  <c r="T71" i="13"/>
  <c r="G71" i="13"/>
  <c r="N70" i="13"/>
  <c r="J69" i="13"/>
  <c r="S67" i="13"/>
  <c r="F67" i="13"/>
  <c r="M66" i="13"/>
  <c r="U65" i="13"/>
  <c r="I65" i="13"/>
  <c r="O64" i="13"/>
  <c r="E64" i="13"/>
  <c r="K63" i="13"/>
  <c r="T62" i="13"/>
  <c r="G62" i="13"/>
  <c r="I76" i="13"/>
  <c r="E74" i="13"/>
  <c r="T72" i="13"/>
  <c r="N71" i="13"/>
  <c r="J70" i="13"/>
  <c r="F69" i="13"/>
  <c r="U66" i="13"/>
  <c r="O65" i="13"/>
  <c r="K64" i="13"/>
  <c r="G63" i="13"/>
  <c r="J61" i="13"/>
  <c r="S60" i="13"/>
  <c r="F60" i="13"/>
  <c r="M59" i="13"/>
  <c r="U58" i="13"/>
  <c r="I58" i="13"/>
  <c r="O57" i="13"/>
  <c r="E57" i="13"/>
  <c r="K56" i="13"/>
  <c r="T55" i="13"/>
  <c r="J55" i="13"/>
  <c r="E55" i="13"/>
  <c r="S54" i="13"/>
  <c r="K54" i="13"/>
  <c r="F54" i="13"/>
  <c r="T53" i="13"/>
  <c r="M53" i="13"/>
  <c r="G53" i="13"/>
  <c r="S76" i="13"/>
  <c r="F76" i="13"/>
  <c r="F82" i="13" s="1"/>
  <c r="M74" i="13"/>
  <c r="U73" i="13"/>
  <c r="I73" i="13"/>
  <c r="O72" i="13"/>
  <c r="E72" i="13"/>
  <c r="K71" i="13"/>
  <c r="T70" i="13"/>
  <c r="G70" i="13"/>
  <c r="N69" i="13"/>
  <c r="J67" i="13"/>
  <c r="S66" i="13"/>
  <c r="F66" i="13"/>
  <c r="M65" i="13"/>
  <c r="U64" i="13"/>
  <c r="I64" i="13"/>
  <c r="O63" i="13"/>
  <c r="E63" i="13"/>
  <c r="U61" i="13"/>
  <c r="I61" i="13"/>
  <c r="O60" i="13"/>
  <c r="E60" i="13"/>
  <c r="K59" i="13"/>
  <c r="T58" i="13"/>
  <c r="G58" i="13"/>
  <c r="I57" i="13"/>
  <c r="E56" i="13"/>
  <c r="T54" i="13"/>
  <c r="N53" i="13"/>
  <c r="F57" i="13"/>
  <c r="U55" i="13"/>
  <c r="O54" i="13"/>
  <c r="K53" i="13"/>
  <c r="K62" i="13"/>
  <c r="N61" i="13"/>
  <c r="J60" i="13"/>
  <c r="S59" i="13"/>
  <c r="F59" i="13"/>
  <c r="M58" i="13"/>
  <c r="U57" i="13"/>
  <c r="O56" i="13"/>
  <c r="K55" i="13"/>
  <c r="G54" i="13"/>
  <c r="S57" i="13"/>
  <c r="M56" i="13"/>
  <c r="I55" i="13"/>
  <c r="E54" i="13"/>
  <c r="U40" i="13"/>
  <c r="S40" i="13"/>
  <c r="N40" i="13"/>
  <c r="K40" i="13"/>
  <c r="I40" i="13"/>
  <c r="F40" i="13"/>
  <c r="T35" i="13"/>
  <c r="O35" i="13"/>
  <c r="M35" i="13"/>
  <c r="J35" i="13"/>
  <c r="G35" i="13"/>
  <c r="E35" i="13"/>
  <c r="U33" i="13"/>
  <c r="S33" i="13"/>
  <c r="N33" i="13"/>
  <c r="K33" i="13"/>
  <c r="I33" i="13"/>
  <c r="F33" i="13"/>
  <c r="T32" i="13"/>
  <c r="O32" i="13"/>
  <c r="M32" i="13"/>
  <c r="J32" i="13"/>
  <c r="G32" i="13"/>
  <c r="E32" i="13"/>
  <c r="U31" i="13"/>
  <c r="S31" i="13"/>
  <c r="N31" i="13"/>
  <c r="K31" i="13"/>
  <c r="I31" i="13"/>
  <c r="F31" i="13"/>
  <c r="T30" i="13"/>
  <c r="O30" i="13"/>
  <c r="M30" i="13"/>
  <c r="J30" i="13"/>
  <c r="G30" i="13"/>
  <c r="E30" i="13"/>
  <c r="U29" i="13"/>
  <c r="S29" i="13"/>
  <c r="N29" i="13"/>
  <c r="K29" i="13"/>
  <c r="I29" i="13"/>
  <c r="F29" i="13"/>
  <c r="T28" i="13"/>
  <c r="O28" i="13"/>
  <c r="M28" i="13"/>
  <c r="J28" i="13"/>
  <c r="G28" i="13"/>
  <c r="E28" i="13"/>
  <c r="U26" i="13"/>
  <c r="S26" i="13"/>
  <c r="N26" i="13"/>
  <c r="K26" i="13"/>
  <c r="I26" i="13"/>
  <c r="F26" i="13"/>
  <c r="T25" i="13"/>
  <c r="O25" i="13"/>
  <c r="M25" i="13"/>
  <c r="J25" i="13"/>
  <c r="G25" i="13"/>
  <c r="E25" i="13"/>
  <c r="U24" i="13"/>
  <c r="S24" i="13"/>
  <c r="N24" i="13"/>
  <c r="K24" i="13"/>
  <c r="I24" i="13"/>
  <c r="F24" i="13"/>
  <c r="T23" i="13"/>
  <c r="O23" i="13"/>
  <c r="M23" i="13"/>
  <c r="J23" i="13"/>
  <c r="G23" i="13"/>
  <c r="E23" i="13"/>
  <c r="U22" i="13"/>
  <c r="S22" i="13"/>
  <c r="N22" i="13"/>
  <c r="K22" i="13"/>
  <c r="I22" i="13"/>
  <c r="F22" i="13"/>
  <c r="O40" i="13"/>
  <c r="J40" i="13"/>
  <c r="E40" i="13"/>
  <c r="S35" i="13"/>
  <c r="K35" i="13"/>
  <c r="F35" i="13"/>
  <c r="T33" i="13"/>
  <c r="M33" i="13"/>
  <c r="G33" i="13"/>
  <c r="U32" i="13"/>
  <c r="N32" i="13"/>
  <c r="I32" i="13"/>
  <c r="O31" i="13"/>
  <c r="J31" i="13"/>
  <c r="E31" i="13"/>
  <c r="S30" i="13"/>
  <c r="K30" i="13"/>
  <c r="F30" i="13"/>
  <c r="T29" i="13"/>
  <c r="M29" i="13"/>
  <c r="G29" i="13"/>
  <c r="U28" i="13"/>
  <c r="N28" i="13"/>
  <c r="I28" i="13"/>
  <c r="O26" i="13"/>
  <c r="J26" i="13"/>
  <c r="E26" i="13"/>
  <c r="S25" i="13"/>
  <c r="K25" i="13"/>
  <c r="F25" i="13"/>
  <c r="T24" i="13"/>
  <c r="M24" i="13"/>
  <c r="G24" i="13"/>
  <c r="U23" i="13"/>
  <c r="N23" i="13"/>
  <c r="I23" i="13"/>
  <c r="O22" i="13"/>
  <c r="J22" i="13"/>
  <c r="E22" i="13"/>
  <c r="T21" i="13"/>
  <c r="O21" i="13"/>
  <c r="M21" i="13"/>
  <c r="J21" i="13"/>
  <c r="G21" i="13"/>
  <c r="E21" i="13"/>
  <c r="U20" i="13"/>
  <c r="S20" i="13"/>
  <c r="N20" i="13"/>
  <c r="K20" i="13"/>
  <c r="I20" i="13"/>
  <c r="F20" i="13"/>
  <c r="T19" i="13"/>
  <c r="O19" i="13"/>
  <c r="M19" i="13"/>
  <c r="J19" i="13"/>
  <c r="G19" i="13"/>
  <c r="E19" i="13"/>
  <c r="U18" i="13"/>
  <c r="S18" i="13"/>
  <c r="N18" i="13"/>
  <c r="K18" i="13"/>
  <c r="I18" i="13"/>
  <c r="F18" i="13"/>
  <c r="O17" i="13"/>
  <c r="M17" i="13"/>
  <c r="J17" i="13"/>
  <c r="G17" i="13"/>
  <c r="E17" i="13"/>
  <c r="U16" i="13"/>
  <c r="S16" i="13"/>
  <c r="N16" i="13"/>
  <c r="K16" i="13"/>
  <c r="I16" i="13"/>
  <c r="F16" i="13"/>
  <c r="T15" i="13"/>
  <c r="O15" i="13"/>
  <c r="M15" i="13"/>
  <c r="M40" i="13"/>
  <c r="U35" i="13"/>
  <c r="I35" i="13"/>
  <c r="O33" i="13"/>
  <c r="E33" i="13"/>
  <c r="K32" i="13"/>
  <c r="T31" i="13"/>
  <c r="G31" i="13"/>
  <c r="N30" i="13"/>
  <c r="J29" i="13"/>
  <c r="S28" i="13"/>
  <c r="F28" i="13"/>
  <c r="M26" i="13"/>
  <c r="U25" i="13"/>
  <c r="I25" i="13"/>
  <c r="O24" i="13"/>
  <c r="E24" i="13"/>
  <c r="K23" i="13"/>
  <c r="T22" i="13"/>
  <c r="G22" i="13"/>
  <c r="S21" i="13"/>
  <c r="K21" i="13"/>
  <c r="F21" i="13"/>
  <c r="T20" i="13"/>
  <c r="M20" i="13"/>
  <c r="G20" i="13"/>
  <c r="U19" i="13"/>
  <c r="N19" i="13"/>
  <c r="I19" i="13"/>
  <c r="O18" i="13"/>
  <c r="J18" i="13"/>
  <c r="E18" i="13"/>
  <c r="S17" i="13"/>
  <c r="K17" i="13"/>
  <c r="F17" i="13"/>
  <c r="T16" i="13"/>
  <c r="M16" i="13"/>
  <c r="G16" i="13"/>
  <c r="U15" i="13"/>
  <c r="N15" i="13"/>
  <c r="J15" i="13"/>
  <c r="G15" i="13"/>
  <c r="U14" i="13"/>
  <c r="S14" i="13"/>
  <c r="N14" i="13"/>
  <c r="K14" i="13"/>
  <c r="I14" i="13"/>
  <c r="F14" i="13"/>
  <c r="T13" i="13"/>
  <c r="O13" i="13"/>
  <c r="M13" i="13"/>
  <c r="J13" i="13"/>
  <c r="G13" i="13"/>
  <c r="E13" i="13"/>
  <c r="T40" i="13"/>
  <c r="G40" i="13"/>
  <c r="N35" i="13"/>
  <c r="J33" i="13"/>
  <c r="S32" i="13"/>
  <c r="F32" i="13"/>
  <c r="M31" i="13"/>
  <c r="U30" i="13"/>
  <c r="I30" i="13"/>
  <c r="O29" i="13"/>
  <c r="E29" i="13"/>
  <c r="K28" i="13"/>
  <c r="T26" i="13"/>
  <c r="G26" i="13"/>
  <c r="N25" i="13"/>
  <c r="J24" i="13"/>
  <c r="S23" i="13"/>
  <c r="F23" i="13"/>
  <c r="M22" i="13"/>
  <c r="U21" i="13"/>
  <c r="N21" i="13"/>
  <c r="I21" i="13"/>
  <c r="O20" i="13"/>
  <c r="J20" i="13"/>
  <c r="E20" i="13"/>
  <c r="S19" i="13"/>
  <c r="K19" i="13"/>
  <c r="F19" i="13"/>
  <c r="T18" i="13"/>
  <c r="M18" i="13"/>
  <c r="G18" i="13"/>
  <c r="U17" i="13"/>
  <c r="N17" i="13"/>
  <c r="I17" i="13"/>
  <c r="O16" i="13"/>
  <c r="J16" i="13"/>
  <c r="E16" i="13"/>
  <c r="S15" i="13"/>
  <c r="K15" i="13"/>
  <c r="I15" i="13"/>
  <c r="F15" i="13"/>
  <c r="T14" i="13"/>
  <c r="O14" i="13"/>
  <c r="M14" i="13"/>
  <c r="J14" i="13"/>
  <c r="G14" i="13"/>
  <c r="E14" i="13"/>
  <c r="U13" i="13"/>
  <c r="S13" i="13"/>
  <c r="N13" i="13"/>
  <c r="K13" i="13"/>
  <c r="I13" i="13"/>
  <c r="F13" i="13"/>
  <c r="E12" i="13"/>
  <c r="G12" i="13"/>
  <c r="J12" i="13"/>
  <c r="M12" i="13"/>
  <c r="O12" i="13"/>
  <c r="T12" i="13"/>
  <c r="F12" i="13"/>
  <c r="I12" i="13"/>
  <c r="K12" i="13"/>
  <c r="N12" i="13"/>
  <c r="S12" i="13"/>
  <c r="U12" i="13"/>
  <c r="U119" i="17"/>
  <c r="V119" i="17"/>
  <c r="U120" i="17"/>
  <c r="V120" i="17"/>
  <c r="U121" i="17"/>
  <c r="V121" i="17"/>
  <c r="U122" i="17"/>
  <c r="V122" i="17"/>
  <c r="U123" i="17"/>
  <c r="V123" i="17"/>
  <c r="U124" i="17"/>
  <c r="V124" i="17"/>
  <c r="U125" i="17"/>
  <c r="V125" i="17"/>
  <c r="U126" i="17"/>
  <c r="V126" i="17"/>
  <c r="U127" i="17"/>
  <c r="V127" i="17"/>
  <c r="U128" i="17"/>
  <c r="V128" i="17"/>
  <c r="U129" i="17"/>
  <c r="V129" i="17"/>
  <c r="H71" i="14" l="1"/>
  <c r="H50" i="13" s="1"/>
  <c r="H51" i="13" s="1"/>
  <c r="H58" i="14"/>
  <c r="H38" i="14"/>
  <c r="H4" i="14"/>
  <c r="E41" i="13"/>
  <c r="D40" i="13"/>
  <c r="I109" i="13"/>
  <c r="U109" i="13"/>
  <c r="U27" i="13"/>
  <c r="N27" i="13"/>
  <c r="I27" i="13"/>
  <c r="T27" i="13"/>
  <c r="M27" i="13"/>
  <c r="G27" i="13"/>
  <c r="D14" i="13"/>
  <c r="D16" i="13"/>
  <c r="D20" i="13"/>
  <c r="D29" i="13"/>
  <c r="K68" i="13"/>
  <c r="T68" i="13"/>
  <c r="N68" i="13"/>
  <c r="G68" i="13"/>
  <c r="F68" i="13"/>
  <c r="U68" i="13"/>
  <c r="J68" i="13"/>
  <c r="F109" i="13"/>
  <c r="S109" i="13"/>
  <c r="E109" i="13"/>
  <c r="J109" i="13"/>
  <c r="O109" i="13"/>
  <c r="M68" i="13"/>
  <c r="S68" i="13"/>
  <c r="I68" i="13"/>
  <c r="E68" i="13"/>
  <c r="O68" i="13"/>
  <c r="N109" i="13"/>
  <c r="K109" i="13"/>
  <c r="G109" i="13"/>
  <c r="M109" i="13"/>
  <c r="T109" i="13"/>
  <c r="V109" i="13"/>
  <c r="V68" i="13"/>
  <c r="J41" i="13"/>
  <c r="E75" i="13"/>
  <c r="V27" i="13"/>
  <c r="S27" i="13"/>
  <c r="K27" i="13"/>
  <c r="F27" i="13"/>
  <c r="O27" i="13"/>
  <c r="J27" i="13"/>
  <c r="E27" i="13"/>
  <c r="D18" i="13"/>
  <c r="D19" i="13"/>
  <c r="D21" i="13"/>
  <c r="D22" i="13"/>
  <c r="D26" i="13"/>
  <c r="D31" i="13"/>
  <c r="D12" i="13"/>
  <c r="D13" i="13"/>
  <c r="D15" i="13"/>
  <c r="D24" i="13"/>
  <c r="D33" i="13"/>
  <c r="D17" i="13"/>
  <c r="D23" i="13"/>
  <c r="D25" i="13"/>
  <c r="D28" i="13"/>
  <c r="D30" i="13"/>
  <c r="D32" i="13"/>
  <c r="D35" i="13"/>
  <c r="D94" i="13"/>
  <c r="D54" i="13"/>
  <c r="D57" i="13"/>
  <c r="D74" i="13"/>
  <c r="D101" i="13"/>
  <c r="D103" i="13"/>
  <c r="D104" i="13"/>
  <c r="D108" i="13"/>
  <c r="D113" i="13"/>
  <c r="D60" i="13"/>
  <c r="D63" i="13"/>
  <c r="D72" i="13"/>
  <c r="D64" i="13"/>
  <c r="D73" i="13"/>
  <c r="D67" i="13"/>
  <c r="D53" i="13"/>
  <c r="D59" i="13"/>
  <c r="D62" i="13"/>
  <c r="D66" i="13"/>
  <c r="D71" i="13"/>
  <c r="D76" i="13"/>
  <c r="D97" i="13"/>
  <c r="D95" i="13"/>
  <c r="D99" i="13"/>
  <c r="D56" i="13"/>
  <c r="D55" i="13"/>
  <c r="D58" i="13"/>
  <c r="D61" i="13"/>
  <c r="D65" i="13"/>
  <c r="D69" i="13"/>
  <c r="D70" i="13"/>
  <c r="D96" i="13"/>
  <c r="D98" i="13"/>
  <c r="D100" i="13"/>
  <c r="D102" i="13"/>
  <c r="D106" i="13"/>
  <c r="D111" i="13"/>
  <c r="D115" i="13"/>
  <c r="D105" i="13"/>
  <c r="D107" i="13"/>
  <c r="D110" i="13"/>
  <c r="D112" i="13"/>
  <c r="D114" i="13"/>
  <c r="D117" i="13"/>
  <c r="E34" i="13"/>
  <c r="V6" i="17"/>
  <c r="V7" i="17"/>
  <c r="V8" i="17"/>
  <c r="V9" i="17"/>
  <c r="V11" i="17"/>
  <c r="V12" i="17"/>
  <c r="V13" i="17"/>
  <c r="V14" i="17"/>
  <c r="V15" i="17"/>
  <c r="V16" i="17"/>
  <c r="V17" i="17"/>
  <c r="V18" i="17"/>
  <c r="V19" i="17"/>
  <c r="V20" i="17"/>
  <c r="V21" i="17"/>
  <c r="V22" i="17"/>
  <c r="V23" i="17"/>
  <c r="V24" i="17"/>
  <c r="V25" i="17"/>
  <c r="V26" i="17"/>
  <c r="V27" i="17"/>
  <c r="V28" i="17"/>
  <c r="V29" i="17"/>
  <c r="V30" i="17"/>
  <c r="V31" i="17"/>
  <c r="V32" i="17"/>
  <c r="V33" i="17"/>
  <c r="V34" i="17"/>
  <c r="V35" i="17"/>
  <c r="V36" i="17"/>
  <c r="V37" i="17"/>
  <c r="V38" i="17"/>
  <c r="V39" i="17"/>
  <c r="V40" i="17"/>
  <c r="V41" i="17"/>
  <c r="V42" i="17"/>
  <c r="V43" i="17"/>
  <c r="V44" i="17"/>
  <c r="V45" i="17"/>
  <c r="V46" i="17"/>
  <c r="V47" i="17"/>
  <c r="V48" i="17"/>
  <c r="V49" i="17"/>
  <c r="V50" i="17"/>
  <c r="V51" i="17"/>
  <c r="V52" i="17"/>
  <c r="V53" i="17"/>
  <c r="V54" i="17"/>
  <c r="V55" i="17"/>
  <c r="V56" i="17"/>
  <c r="V57" i="17"/>
  <c r="V58" i="17"/>
  <c r="V59" i="17"/>
  <c r="V60" i="17"/>
  <c r="V61" i="17"/>
  <c r="V62" i="17"/>
  <c r="V63" i="17"/>
  <c r="V64" i="17"/>
  <c r="V65" i="17"/>
  <c r="V66" i="17"/>
  <c r="V67" i="17"/>
  <c r="V68" i="17"/>
  <c r="V69" i="17"/>
  <c r="V70" i="17"/>
  <c r="V71" i="17"/>
  <c r="V72" i="17"/>
  <c r="V73" i="17"/>
  <c r="V74" i="17"/>
  <c r="V75" i="17"/>
  <c r="V76" i="17"/>
  <c r="V77" i="17"/>
  <c r="V78" i="17"/>
  <c r="V79" i="17"/>
  <c r="V80" i="17"/>
  <c r="V84" i="17"/>
  <c r="V85" i="17"/>
  <c r="V86" i="17"/>
  <c r="V87" i="17"/>
  <c r="V88" i="17"/>
  <c r="V89" i="17"/>
  <c r="V90" i="17"/>
  <c r="V91" i="17"/>
  <c r="V92" i="17"/>
  <c r="V93" i="17"/>
  <c r="V94" i="17"/>
  <c r="V95" i="17"/>
  <c r="V96" i="17"/>
  <c r="V97" i="17"/>
  <c r="V98" i="17"/>
  <c r="V99" i="17"/>
  <c r="V100" i="17"/>
  <c r="V101" i="17"/>
  <c r="V102" i="17"/>
  <c r="V103" i="17"/>
  <c r="V104" i="17"/>
  <c r="V105" i="17"/>
  <c r="V106" i="17"/>
  <c r="V107" i="17"/>
  <c r="V108" i="17"/>
  <c r="V109" i="17"/>
  <c r="V110" i="17"/>
  <c r="V111" i="17"/>
  <c r="V112" i="17"/>
  <c r="V113" i="17"/>
  <c r="V114" i="17"/>
  <c r="V115" i="17"/>
  <c r="V116" i="17"/>
  <c r="V117" i="17"/>
  <c r="V118" i="17"/>
  <c r="V5" i="17"/>
  <c r="H3" i="14" l="1"/>
  <c r="H9" i="13" s="1"/>
  <c r="H10" i="13" s="1"/>
  <c r="E42" i="13"/>
  <c r="E6" i="13"/>
  <c r="F86" i="14"/>
  <c r="V86" i="14"/>
  <c r="O86" i="14"/>
  <c r="U86" i="14"/>
  <c r="T86" i="14"/>
  <c r="M86" i="14"/>
  <c r="F59" i="14" l="1"/>
  <c r="U59" i="14"/>
  <c r="M59" i="14"/>
  <c r="O59" i="14"/>
  <c r="T59" i="14"/>
  <c r="M4" i="17" l="1"/>
  <c r="N4" i="17"/>
  <c r="M5" i="17"/>
  <c r="N5" i="17"/>
  <c r="M6" i="17"/>
  <c r="N6" i="17"/>
  <c r="M7" i="17"/>
  <c r="N7" i="17"/>
  <c r="M8" i="17"/>
  <c r="N8" i="17"/>
  <c r="M9" i="17"/>
  <c r="N9" i="17"/>
  <c r="M10" i="17"/>
  <c r="N10" i="17"/>
  <c r="M11" i="17"/>
  <c r="N11" i="17"/>
  <c r="M12" i="17"/>
  <c r="N12" i="17"/>
  <c r="M13" i="17"/>
  <c r="N13" i="17"/>
  <c r="M14" i="17"/>
  <c r="N14" i="17"/>
  <c r="M15" i="17"/>
  <c r="N15" i="17"/>
  <c r="M16" i="17"/>
  <c r="N16" i="17"/>
  <c r="M17" i="17"/>
  <c r="N17" i="17"/>
  <c r="M18" i="17"/>
  <c r="N18" i="17"/>
  <c r="M19" i="17"/>
  <c r="N19" i="17"/>
  <c r="M20" i="17"/>
  <c r="N20" i="17"/>
  <c r="M21" i="17"/>
  <c r="N21" i="17"/>
  <c r="M22" i="17"/>
  <c r="N22" i="17"/>
  <c r="M23" i="17"/>
  <c r="N23" i="17"/>
  <c r="M24" i="17"/>
  <c r="N24" i="17"/>
  <c r="M25" i="17"/>
  <c r="N25" i="17"/>
  <c r="M26" i="17"/>
  <c r="N26" i="17"/>
  <c r="M27" i="17"/>
  <c r="N27" i="17"/>
  <c r="M28" i="17"/>
  <c r="N28" i="17"/>
  <c r="M29" i="17"/>
  <c r="N29" i="17"/>
  <c r="M30" i="17"/>
  <c r="N30" i="17"/>
  <c r="M31" i="17"/>
  <c r="N31" i="17"/>
  <c r="M32" i="17"/>
  <c r="N32" i="17"/>
  <c r="M33" i="17"/>
  <c r="N33" i="17"/>
  <c r="M34" i="17"/>
  <c r="N34" i="17"/>
  <c r="M35" i="17"/>
  <c r="N35" i="17"/>
  <c r="M36" i="17"/>
  <c r="N36" i="17"/>
  <c r="M37" i="17"/>
  <c r="N37" i="17"/>
  <c r="M38" i="17"/>
  <c r="N38" i="17"/>
  <c r="M39" i="17"/>
  <c r="N39" i="17"/>
  <c r="M40" i="17"/>
  <c r="N40" i="17"/>
  <c r="M41" i="17"/>
  <c r="N41" i="17"/>
  <c r="M42" i="17"/>
  <c r="N42" i="17"/>
  <c r="M43" i="17"/>
  <c r="N43" i="17"/>
  <c r="M44" i="17"/>
  <c r="N44" i="17"/>
  <c r="M45" i="17"/>
  <c r="N45" i="17"/>
  <c r="M46" i="17"/>
  <c r="N46" i="17"/>
  <c r="M47" i="17"/>
  <c r="N47" i="17"/>
  <c r="M48" i="17"/>
  <c r="N48" i="17"/>
  <c r="M49" i="17"/>
  <c r="N49" i="17"/>
  <c r="M50" i="17"/>
  <c r="N50" i="17"/>
  <c r="M51" i="17"/>
  <c r="N51" i="17"/>
  <c r="M52" i="17"/>
  <c r="N52" i="17"/>
  <c r="M53" i="17"/>
  <c r="N53" i="17"/>
  <c r="M54" i="17"/>
  <c r="N54" i="17"/>
  <c r="M55" i="17"/>
  <c r="N55" i="17"/>
  <c r="M56" i="17"/>
  <c r="N56" i="17"/>
  <c r="M57" i="17"/>
  <c r="N57" i="17"/>
  <c r="M58" i="17"/>
  <c r="N58" i="17"/>
  <c r="M59" i="17"/>
  <c r="N59" i="17"/>
  <c r="M60" i="17"/>
  <c r="N60" i="17"/>
  <c r="M61" i="17"/>
  <c r="N61" i="17"/>
  <c r="M62" i="17"/>
  <c r="N62" i="17"/>
  <c r="M63" i="17"/>
  <c r="N63" i="17"/>
  <c r="M64" i="17"/>
  <c r="N64" i="17"/>
  <c r="M65" i="17"/>
  <c r="N65" i="17"/>
  <c r="M66" i="17"/>
  <c r="N66" i="17"/>
  <c r="M67" i="17"/>
  <c r="N67" i="17"/>
  <c r="M68" i="17"/>
  <c r="N68" i="17"/>
  <c r="M69" i="17"/>
  <c r="N69" i="17"/>
  <c r="M70" i="17"/>
  <c r="N70" i="17"/>
  <c r="M71" i="17"/>
  <c r="N71" i="17"/>
  <c r="M72" i="17"/>
  <c r="N72" i="17"/>
  <c r="M73" i="17"/>
  <c r="N73" i="17"/>
  <c r="M74" i="17"/>
  <c r="N74" i="17"/>
  <c r="M75" i="17"/>
  <c r="N75" i="17"/>
  <c r="M76" i="17"/>
  <c r="N76" i="17"/>
  <c r="M77" i="17"/>
  <c r="N77" i="17"/>
  <c r="M78" i="17"/>
  <c r="N78" i="17"/>
  <c r="M79" i="17"/>
  <c r="N79" i="17"/>
  <c r="M80" i="17"/>
  <c r="N80" i="17"/>
  <c r="M81" i="17"/>
  <c r="N81" i="17"/>
  <c r="M82" i="17"/>
  <c r="N82" i="17"/>
  <c r="M83" i="17"/>
  <c r="N83" i="17"/>
  <c r="M84" i="17"/>
  <c r="N84" i="17"/>
  <c r="M85" i="17"/>
  <c r="N85" i="17"/>
  <c r="M86" i="17"/>
  <c r="N86" i="17"/>
  <c r="M87" i="17"/>
  <c r="N87" i="17"/>
  <c r="M88" i="17"/>
  <c r="N88" i="17"/>
  <c r="M89" i="17"/>
  <c r="N89" i="17"/>
  <c r="M90" i="17"/>
  <c r="N90" i="17"/>
  <c r="M91" i="17"/>
  <c r="N91" i="17"/>
  <c r="M92" i="17"/>
  <c r="N92" i="17"/>
  <c r="M93" i="17"/>
  <c r="N93" i="17"/>
  <c r="M94" i="17"/>
  <c r="N94" i="17"/>
  <c r="M95" i="17"/>
  <c r="N95" i="17"/>
  <c r="M96" i="17"/>
  <c r="N96" i="17"/>
  <c r="M97" i="17"/>
  <c r="N97" i="17"/>
  <c r="M98" i="17"/>
  <c r="N98" i="17"/>
  <c r="M99" i="17"/>
  <c r="N99" i="17"/>
  <c r="M100" i="17"/>
  <c r="N100" i="17"/>
  <c r="M101" i="17"/>
  <c r="N101" i="17"/>
  <c r="M102" i="17"/>
  <c r="N102" i="17"/>
  <c r="M103" i="17"/>
  <c r="N103" i="17"/>
  <c r="M104" i="17"/>
  <c r="N104" i="17"/>
  <c r="M105" i="17"/>
  <c r="N105" i="17"/>
  <c r="M106" i="17"/>
  <c r="N106" i="17"/>
  <c r="M107" i="17"/>
  <c r="N107" i="17"/>
  <c r="M108" i="17"/>
  <c r="N108" i="17"/>
  <c r="M109" i="17"/>
  <c r="N109" i="17"/>
  <c r="M110" i="17"/>
  <c r="N110" i="17"/>
  <c r="M111" i="17"/>
  <c r="N111" i="17"/>
  <c r="M112" i="17"/>
  <c r="N112" i="17"/>
  <c r="M113" i="17"/>
  <c r="N113" i="17"/>
  <c r="M114" i="17"/>
  <c r="N114" i="17"/>
  <c r="M115" i="17"/>
  <c r="N115" i="17"/>
  <c r="M116" i="17"/>
  <c r="N116" i="17"/>
  <c r="M117" i="17"/>
  <c r="N117" i="17"/>
  <c r="M118" i="17"/>
  <c r="N118" i="17"/>
  <c r="M119" i="17"/>
  <c r="N119" i="17"/>
  <c r="M120" i="17"/>
  <c r="N120" i="17"/>
  <c r="M121" i="17"/>
  <c r="N121" i="17"/>
  <c r="M122" i="17"/>
  <c r="N122" i="17"/>
  <c r="M123" i="17"/>
  <c r="N123" i="17"/>
  <c r="M124" i="17"/>
  <c r="N124" i="17"/>
  <c r="M125" i="17"/>
  <c r="N125" i="17"/>
  <c r="M126" i="17"/>
  <c r="N126" i="17"/>
  <c r="M127" i="17"/>
  <c r="N127" i="17"/>
  <c r="M128" i="17"/>
  <c r="N128" i="17"/>
  <c r="M129" i="17"/>
  <c r="N129" i="17"/>
  <c r="M130" i="17"/>
  <c r="N130" i="17"/>
  <c r="M131" i="17"/>
  <c r="N131" i="17"/>
  <c r="M132" i="17"/>
  <c r="N132" i="17"/>
  <c r="M133" i="17"/>
  <c r="N133" i="17"/>
  <c r="M134" i="17"/>
  <c r="N134" i="17"/>
  <c r="M135" i="17"/>
  <c r="N135" i="17"/>
  <c r="M136" i="17"/>
  <c r="N136" i="17"/>
  <c r="M137" i="17"/>
  <c r="N137" i="17"/>
  <c r="M138" i="17"/>
  <c r="N138" i="17"/>
  <c r="M139" i="17"/>
  <c r="N139" i="17"/>
  <c r="M140" i="17"/>
  <c r="N140" i="17"/>
  <c r="M141" i="17"/>
  <c r="N141" i="17"/>
  <c r="M142" i="17"/>
  <c r="N142" i="17"/>
  <c r="M143" i="17"/>
  <c r="N143" i="17"/>
  <c r="M144" i="17"/>
  <c r="N144" i="17"/>
  <c r="M145" i="17"/>
  <c r="N145" i="17"/>
  <c r="M146" i="17"/>
  <c r="N146" i="17"/>
  <c r="M147" i="17"/>
  <c r="N147" i="17"/>
  <c r="M148" i="17"/>
  <c r="N148" i="17"/>
  <c r="M149" i="17"/>
  <c r="N149" i="17"/>
  <c r="M150" i="17"/>
  <c r="N150" i="17"/>
  <c r="M151" i="17"/>
  <c r="N151" i="17"/>
  <c r="M152" i="17"/>
  <c r="N152" i="17"/>
  <c r="M153" i="17"/>
  <c r="N153" i="17"/>
  <c r="M154" i="17"/>
  <c r="N154" i="17"/>
  <c r="M155" i="17"/>
  <c r="N155" i="17"/>
  <c r="M156" i="17"/>
  <c r="N156" i="17"/>
  <c r="M157" i="17"/>
  <c r="N157" i="17"/>
  <c r="M158" i="17"/>
  <c r="N158" i="17"/>
  <c r="M159" i="17"/>
  <c r="N159" i="17"/>
  <c r="M160" i="17"/>
  <c r="N160" i="17"/>
  <c r="M161" i="17"/>
  <c r="N161" i="17"/>
  <c r="M162" i="17"/>
  <c r="N162" i="17"/>
  <c r="M163" i="17"/>
  <c r="N163" i="17"/>
  <c r="M164" i="17"/>
  <c r="N164" i="17"/>
  <c r="M165" i="17"/>
  <c r="N165" i="17"/>
  <c r="M166" i="17"/>
  <c r="N166" i="17"/>
  <c r="M167" i="17"/>
  <c r="N167" i="17"/>
  <c r="M168" i="17"/>
  <c r="N168" i="17"/>
  <c r="M169" i="17"/>
  <c r="N169" i="17"/>
  <c r="M170" i="17"/>
  <c r="N170" i="17"/>
  <c r="M171" i="17"/>
  <c r="N171" i="17"/>
  <c r="M172" i="17"/>
  <c r="N172" i="17"/>
  <c r="M173" i="17"/>
  <c r="N173" i="17"/>
  <c r="M174" i="17"/>
  <c r="N174" i="17"/>
  <c r="M175" i="17"/>
  <c r="N175" i="17"/>
  <c r="M176" i="17"/>
  <c r="N176" i="17"/>
  <c r="M177" i="17"/>
  <c r="N177" i="17"/>
  <c r="M178" i="17"/>
  <c r="N178" i="17"/>
  <c r="M179" i="17"/>
  <c r="N179" i="17"/>
  <c r="M180" i="17"/>
  <c r="N180" i="17"/>
  <c r="M181" i="17"/>
  <c r="N181" i="17"/>
  <c r="M182" i="17"/>
  <c r="N182" i="17"/>
  <c r="M183" i="17"/>
  <c r="N183" i="17"/>
  <c r="M184" i="17"/>
  <c r="N184" i="17"/>
  <c r="M185" i="17"/>
  <c r="N185" i="17"/>
  <c r="M186" i="17"/>
  <c r="N186" i="17"/>
  <c r="M187" i="17"/>
  <c r="N187" i="17"/>
  <c r="M188" i="17"/>
  <c r="N188" i="17"/>
  <c r="M189" i="17"/>
  <c r="N189" i="17"/>
  <c r="M190" i="17"/>
  <c r="N190" i="17"/>
  <c r="M191" i="17"/>
  <c r="N191" i="17"/>
  <c r="M192" i="17"/>
  <c r="N192" i="17"/>
  <c r="M193" i="17"/>
  <c r="N193" i="17"/>
  <c r="M194" i="17"/>
  <c r="N194" i="17"/>
  <c r="M195" i="17"/>
  <c r="N195" i="17"/>
  <c r="M196" i="17"/>
  <c r="N196" i="17"/>
  <c r="M197" i="17"/>
  <c r="N197" i="17"/>
  <c r="M198" i="17"/>
  <c r="N198" i="17"/>
  <c r="M199" i="17"/>
  <c r="N199" i="17"/>
  <c r="M200" i="17"/>
  <c r="N200" i="17"/>
  <c r="M201" i="17"/>
  <c r="N201" i="17"/>
  <c r="M202" i="17"/>
  <c r="N202" i="17"/>
  <c r="M203" i="17"/>
  <c r="N203" i="17"/>
  <c r="M204" i="17"/>
  <c r="N204" i="17"/>
  <c r="M205" i="17"/>
  <c r="N205" i="17"/>
  <c r="M206" i="17"/>
  <c r="N206" i="17"/>
  <c r="M207" i="17"/>
  <c r="N207" i="17"/>
  <c r="M208" i="17"/>
  <c r="N208" i="17"/>
  <c r="M209" i="17"/>
  <c r="N209" i="17"/>
  <c r="M210" i="17"/>
  <c r="N210" i="17"/>
  <c r="M211" i="17"/>
  <c r="N211" i="17"/>
  <c r="M212" i="17"/>
  <c r="N212" i="17"/>
  <c r="M213" i="17"/>
  <c r="N213" i="17"/>
  <c r="M214" i="17"/>
  <c r="N214" i="17"/>
  <c r="M215" i="17"/>
  <c r="N215" i="17"/>
  <c r="M216" i="17"/>
  <c r="N216" i="17"/>
  <c r="M217" i="17"/>
  <c r="N217" i="17"/>
  <c r="M218" i="17"/>
  <c r="N218" i="17"/>
  <c r="M219" i="17"/>
  <c r="N219" i="17"/>
  <c r="M220" i="17"/>
  <c r="N220" i="17"/>
  <c r="M221" i="17"/>
  <c r="N221" i="17"/>
  <c r="M222" i="17"/>
  <c r="N222" i="17"/>
  <c r="M223" i="17"/>
  <c r="N223" i="17"/>
  <c r="M224" i="17"/>
  <c r="N224" i="17"/>
  <c r="M225" i="17"/>
  <c r="N225" i="17"/>
  <c r="M226" i="17"/>
  <c r="N226" i="17"/>
  <c r="M227" i="17"/>
  <c r="N227" i="17"/>
  <c r="M228" i="17"/>
  <c r="N228" i="17"/>
  <c r="M229" i="17"/>
  <c r="N229" i="17"/>
  <c r="M230" i="17"/>
  <c r="N230" i="17"/>
  <c r="M231" i="17"/>
  <c r="N231" i="17"/>
  <c r="M232" i="17"/>
  <c r="N232" i="17"/>
  <c r="M233" i="17"/>
  <c r="N233" i="17"/>
  <c r="M234" i="17"/>
  <c r="N234" i="17"/>
  <c r="M235" i="17"/>
  <c r="N235" i="17"/>
  <c r="M236" i="17"/>
  <c r="N236" i="17"/>
  <c r="M237" i="17"/>
  <c r="N237" i="17"/>
  <c r="M238" i="17"/>
  <c r="N238" i="17"/>
  <c r="M239" i="17"/>
  <c r="N239" i="17"/>
  <c r="M240" i="17"/>
  <c r="N240" i="17"/>
  <c r="M241" i="17"/>
  <c r="N241" i="17"/>
  <c r="M242" i="17"/>
  <c r="N242" i="17"/>
  <c r="M243" i="17"/>
  <c r="N243" i="17"/>
  <c r="M244" i="17"/>
  <c r="N244" i="17"/>
  <c r="M245" i="17"/>
  <c r="N245" i="17"/>
  <c r="M246" i="17"/>
  <c r="N246" i="17"/>
  <c r="M247" i="17"/>
  <c r="N247" i="17"/>
  <c r="M248" i="17"/>
  <c r="N248" i="17"/>
  <c r="M249" i="17"/>
  <c r="N249" i="17"/>
  <c r="M250" i="17"/>
  <c r="N250" i="17"/>
  <c r="M251" i="17"/>
  <c r="N251" i="17"/>
  <c r="M252" i="17"/>
  <c r="N252" i="17"/>
  <c r="M253" i="17"/>
  <c r="N253" i="17"/>
  <c r="M254" i="17"/>
  <c r="N254" i="17"/>
  <c r="M255" i="17"/>
  <c r="N255" i="17"/>
  <c r="M256" i="17"/>
  <c r="N256" i="17"/>
  <c r="M257" i="17"/>
  <c r="N257" i="17"/>
  <c r="M258" i="17"/>
  <c r="N258" i="17"/>
  <c r="M259" i="17"/>
  <c r="N259" i="17"/>
  <c r="M260" i="17"/>
  <c r="N260" i="17"/>
  <c r="M261" i="17"/>
  <c r="N261" i="17"/>
  <c r="M262" i="17"/>
  <c r="N262" i="17"/>
  <c r="M263" i="17"/>
  <c r="N263" i="17"/>
  <c r="M264" i="17"/>
  <c r="N264" i="17"/>
  <c r="M265" i="17"/>
  <c r="N265" i="17"/>
  <c r="M266" i="17"/>
  <c r="N266" i="17"/>
  <c r="M267" i="17"/>
  <c r="N267" i="17"/>
  <c r="M268" i="17"/>
  <c r="N268" i="17"/>
  <c r="M269" i="17"/>
  <c r="N269" i="17"/>
  <c r="M270" i="17"/>
  <c r="N270" i="17"/>
  <c r="M271" i="17"/>
  <c r="N271" i="17"/>
  <c r="M272" i="17"/>
  <c r="N272" i="17"/>
  <c r="M273" i="17"/>
  <c r="N273" i="17"/>
  <c r="M274" i="17"/>
  <c r="N274" i="17"/>
  <c r="M275" i="17"/>
  <c r="N275" i="17"/>
  <c r="M276" i="17"/>
  <c r="N276" i="17"/>
  <c r="M277" i="17"/>
  <c r="N277" i="17"/>
  <c r="M278" i="17"/>
  <c r="N278" i="17"/>
  <c r="M279" i="17"/>
  <c r="N279" i="17"/>
  <c r="M280" i="17"/>
  <c r="N280" i="17"/>
  <c r="M281" i="17"/>
  <c r="N281" i="17"/>
  <c r="M282" i="17"/>
  <c r="N282" i="17"/>
  <c r="M283" i="17"/>
  <c r="N283" i="17"/>
  <c r="M284" i="17"/>
  <c r="N284" i="17"/>
  <c r="M285" i="17"/>
  <c r="N285" i="17"/>
  <c r="M286" i="17"/>
  <c r="N286" i="17"/>
  <c r="M287" i="17"/>
  <c r="N287" i="17"/>
  <c r="M288" i="17"/>
  <c r="N288" i="17"/>
  <c r="M289" i="17"/>
  <c r="N289" i="17"/>
  <c r="M290" i="17"/>
  <c r="N290" i="17"/>
  <c r="M291" i="17"/>
  <c r="N291" i="17"/>
  <c r="M292" i="17"/>
  <c r="N292" i="17"/>
  <c r="M293" i="17"/>
  <c r="N293" i="17"/>
  <c r="M294" i="17"/>
  <c r="N294" i="17"/>
  <c r="M295" i="17"/>
  <c r="N295" i="17"/>
  <c r="M296" i="17"/>
  <c r="N296" i="17"/>
  <c r="M297" i="17"/>
  <c r="N297" i="17"/>
  <c r="M298" i="17"/>
  <c r="N298" i="17"/>
  <c r="M299" i="17"/>
  <c r="N299" i="17"/>
  <c r="M300" i="17"/>
  <c r="N300" i="17"/>
  <c r="M301" i="17"/>
  <c r="N301" i="17"/>
  <c r="M302" i="17"/>
  <c r="N302" i="17"/>
  <c r="M303" i="17"/>
  <c r="N303" i="17"/>
  <c r="M304" i="17"/>
  <c r="N304" i="17"/>
  <c r="M305" i="17"/>
  <c r="N305" i="17"/>
  <c r="M306" i="17"/>
  <c r="N306" i="17"/>
  <c r="M307" i="17"/>
  <c r="N307" i="17"/>
  <c r="M308" i="17"/>
  <c r="N308" i="17"/>
  <c r="M309" i="17"/>
  <c r="N309" i="17"/>
  <c r="M310" i="17"/>
  <c r="N310" i="17"/>
  <c r="M311" i="17"/>
  <c r="N311" i="17"/>
  <c r="M312" i="17"/>
  <c r="N312" i="17"/>
  <c r="M313" i="17"/>
  <c r="N313" i="17"/>
  <c r="M314" i="17"/>
  <c r="N314" i="17"/>
  <c r="M315" i="17"/>
  <c r="N315" i="17"/>
  <c r="M316" i="17"/>
  <c r="N316" i="17"/>
  <c r="M317" i="17"/>
  <c r="N317" i="17"/>
  <c r="M318" i="17"/>
  <c r="N318" i="17"/>
  <c r="M319" i="17"/>
  <c r="N319" i="17"/>
  <c r="M320" i="17"/>
  <c r="N320" i="17"/>
  <c r="M321" i="17"/>
  <c r="N321" i="17"/>
  <c r="M322" i="17"/>
  <c r="N322" i="17"/>
  <c r="M323" i="17"/>
  <c r="N323" i="17"/>
  <c r="M324" i="17"/>
  <c r="N324" i="17"/>
  <c r="M325" i="17"/>
  <c r="N325" i="17"/>
  <c r="M326" i="17"/>
  <c r="N326" i="17"/>
  <c r="M327" i="17"/>
  <c r="N327" i="17"/>
  <c r="M328" i="17"/>
  <c r="N328" i="17"/>
  <c r="M329" i="17"/>
  <c r="N329" i="17"/>
  <c r="M330" i="17"/>
  <c r="N330" i="17"/>
  <c r="M331" i="17"/>
  <c r="N331" i="17"/>
  <c r="M332" i="17"/>
  <c r="N332" i="17"/>
  <c r="M333" i="17"/>
  <c r="N333" i="17"/>
  <c r="M334" i="17"/>
  <c r="N334" i="17"/>
  <c r="M335" i="17"/>
  <c r="N335" i="17"/>
  <c r="M336" i="17"/>
  <c r="N336" i="17"/>
  <c r="M337" i="17"/>
  <c r="N337" i="17"/>
  <c r="M338" i="17"/>
  <c r="N338" i="17"/>
  <c r="M339" i="17"/>
  <c r="N339" i="17"/>
  <c r="M340" i="17"/>
  <c r="N340" i="17"/>
  <c r="M341" i="17"/>
  <c r="N341" i="17"/>
  <c r="M342" i="17"/>
  <c r="N342" i="17"/>
  <c r="M343" i="17"/>
  <c r="N343" i="17"/>
  <c r="M344" i="17"/>
  <c r="N344" i="17"/>
  <c r="M345" i="17"/>
  <c r="N345" i="17"/>
  <c r="M346" i="17"/>
  <c r="N346" i="17"/>
  <c r="M347" i="17"/>
  <c r="N347" i="17"/>
  <c r="M348" i="17"/>
  <c r="N348" i="17"/>
  <c r="M349" i="17"/>
  <c r="N349" i="17"/>
  <c r="M350" i="17"/>
  <c r="N350" i="17"/>
  <c r="M351" i="17"/>
  <c r="N351" i="17"/>
  <c r="M352" i="17"/>
  <c r="N352" i="17"/>
  <c r="M353" i="17"/>
  <c r="N353" i="17"/>
  <c r="M354" i="17"/>
  <c r="N354" i="17"/>
  <c r="M355" i="17"/>
  <c r="N355" i="17"/>
  <c r="M356" i="17"/>
  <c r="N356" i="17"/>
  <c r="M357" i="17"/>
  <c r="N357" i="17"/>
  <c r="M358" i="17"/>
  <c r="N358" i="17"/>
  <c r="M359" i="17"/>
  <c r="N359" i="17"/>
  <c r="M360" i="17"/>
  <c r="N360" i="17"/>
  <c r="M361" i="17"/>
  <c r="N361" i="17"/>
  <c r="M362" i="17"/>
  <c r="N362" i="17"/>
  <c r="M363" i="17"/>
  <c r="N363" i="17"/>
  <c r="M364" i="17"/>
  <c r="N364" i="17"/>
  <c r="M365" i="17"/>
  <c r="N365" i="17"/>
  <c r="M366" i="17"/>
  <c r="N366" i="17"/>
  <c r="M367" i="17"/>
  <c r="N367" i="17"/>
  <c r="M368" i="17"/>
  <c r="N368" i="17"/>
  <c r="M369" i="17"/>
  <c r="N369" i="17"/>
  <c r="M370" i="17"/>
  <c r="N370" i="17"/>
  <c r="M371" i="17"/>
  <c r="N371" i="17"/>
  <c r="M372" i="17"/>
  <c r="N372" i="17"/>
  <c r="M373" i="17"/>
  <c r="N373" i="17"/>
  <c r="M374" i="17"/>
  <c r="N374" i="17"/>
  <c r="M375" i="17"/>
  <c r="N375" i="17"/>
  <c r="M376" i="17"/>
  <c r="N376" i="17"/>
  <c r="M377" i="17"/>
  <c r="N377" i="17"/>
  <c r="M378" i="17"/>
  <c r="N378" i="17"/>
  <c r="M379" i="17"/>
  <c r="N379" i="17"/>
  <c r="M380" i="17"/>
  <c r="N380" i="17"/>
  <c r="M381" i="17"/>
  <c r="N381" i="17"/>
  <c r="M382" i="17"/>
  <c r="N382" i="17"/>
  <c r="M383" i="17"/>
  <c r="N383" i="17"/>
  <c r="M384" i="17"/>
  <c r="N384" i="17"/>
  <c r="M385" i="17"/>
  <c r="N385" i="17"/>
  <c r="M386" i="17"/>
  <c r="N386" i="17"/>
  <c r="M387" i="17"/>
  <c r="N387" i="17"/>
  <c r="M388" i="17"/>
  <c r="N388" i="17"/>
  <c r="M389" i="17"/>
  <c r="N389" i="17"/>
  <c r="M390" i="17"/>
  <c r="N390" i="17"/>
  <c r="M391" i="17"/>
  <c r="N391" i="17"/>
  <c r="M392" i="17"/>
  <c r="N392" i="17"/>
  <c r="M393" i="17"/>
  <c r="N393" i="17"/>
  <c r="M394" i="17"/>
  <c r="N394" i="17"/>
  <c r="M395" i="17"/>
  <c r="N395" i="17"/>
  <c r="M396" i="17"/>
  <c r="N396" i="17"/>
  <c r="M397" i="17"/>
  <c r="N397" i="17"/>
  <c r="M398" i="17"/>
  <c r="N398" i="17"/>
  <c r="M399" i="17"/>
  <c r="N399" i="17"/>
  <c r="M400" i="17"/>
  <c r="N400" i="17"/>
  <c r="M401" i="17"/>
  <c r="N401" i="17"/>
  <c r="M402" i="17"/>
  <c r="N402" i="17"/>
  <c r="M403" i="17"/>
  <c r="N403" i="17"/>
  <c r="M404" i="17"/>
  <c r="N404" i="17"/>
  <c r="M405" i="17"/>
  <c r="N405" i="17"/>
  <c r="M406" i="17"/>
  <c r="N406" i="17"/>
  <c r="M407" i="17"/>
  <c r="N407" i="17"/>
  <c r="M408" i="17"/>
  <c r="N408" i="17"/>
  <c r="M409" i="17"/>
  <c r="N409" i="17"/>
  <c r="M410" i="17"/>
  <c r="N410" i="17"/>
  <c r="M411" i="17"/>
  <c r="N411" i="17"/>
  <c r="M412" i="17"/>
  <c r="N412" i="17"/>
  <c r="M413" i="17"/>
  <c r="N413" i="17"/>
  <c r="M414" i="17"/>
  <c r="N414" i="17"/>
  <c r="M415" i="17"/>
  <c r="N415" i="17"/>
  <c r="M416" i="17"/>
  <c r="N416" i="17"/>
  <c r="M417" i="17"/>
  <c r="N417" i="17"/>
  <c r="M418" i="17"/>
  <c r="N418" i="17"/>
  <c r="M419" i="17"/>
  <c r="N419" i="17"/>
  <c r="M420" i="17"/>
  <c r="N420" i="17"/>
  <c r="M421" i="17"/>
  <c r="N421" i="17"/>
  <c r="M422" i="17"/>
  <c r="N422" i="17"/>
  <c r="M423" i="17"/>
  <c r="N423" i="17"/>
  <c r="M424" i="17"/>
  <c r="N424" i="17"/>
  <c r="M425" i="17"/>
  <c r="N425" i="17"/>
  <c r="M426" i="17"/>
  <c r="N426" i="17"/>
  <c r="M427" i="17"/>
  <c r="N427" i="17"/>
  <c r="M428" i="17"/>
  <c r="N428" i="17"/>
  <c r="M429" i="17"/>
  <c r="N429" i="17"/>
  <c r="M430" i="17"/>
  <c r="N430" i="17"/>
  <c r="M431" i="17"/>
  <c r="N431" i="17"/>
  <c r="M432" i="17"/>
  <c r="N432" i="17"/>
  <c r="M433" i="17"/>
  <c r="N433" i="17"/>
  <c r="M434" i="17"/>
  <c r="N434" i="17"/>
  <c r="M435" i="17"/>
  <c r="N435" i="17"/>
  <c r="M436" i="17"/>
  <c r="N436" i="17"/>
  <c r="M437" i="17"/>
  <c r="N437" i="17"/>
  <c r="M438" i="17"/>
  <c r="N438" i="17"/>
  <c r="M439" i="17"/>
  <c r="N439" i="17"/>
  <c r="M440" i="17"/>
  <c r="N440" i="17"/>
  <c r="M441" i="17"/>
  <c r="N441" i="17"/>
  <c r="M442" i="17"/>
  <c r="N442" i="17"/>
  <c r="M443" i="17"/>
  <c r="N443" i="17"/>
  <c r="M444" i="17"/>
  <c r="N444" i="17"/>
  <c r="M445" i="17"/>
  <c r="N445" i="17"/>
  <c r="M446" i="17"/>
  <c r="N446" i="17"/>
  <c r="M447" i="17"/>
  <c r="N447" i="17"/>
  <c r="M448" i="17"/>
  <c r="N448" i="17"/>
  <c r="M449" i="17"/>
  <c r="N449" i="17"/>
  <c r="M450" i="17"/>
  <c r="N450" i="17"/>
  <c r="M451" i="17"/>
  <c r="N451" i="17"/>
  <c r="M452" i="17"/>
  <c r="N452" i="17"/>
  <c r="M453" i="17"/>
  <c r="N453" i="17"/>
  <c r="M454" i="17"/>
  <c r="N454" i="17"/>
  <c r="M455" i="17"/>
  <c r="N455" i="17"/>
  <c r="M456" i="17"/>
  <c r="N456" i="17"/>
  <c r="M457" i="17"/>
  <c r="N457" i="17"/>
  <c r="M458" i="17"/>
  <c r="N458" i="17"/>
  <c r="M459" i="17"/>
  <c r="N459" i="17"/>
  <c r="M460" i="17"/>
  <c r="N460" i="17"/>
  <c r="M461" i="17"/>
  <c r="N461" i="17"/>
  <c r="M462" i="17"/>
  <c r="N462" i="17"/>
  <c r="M463" i="17"/>
  <c r="N463" i="17"/>
  <c r="M464" i="17"/>
  <c r="N464" i="17"/>
  <c r="M465" i="17"/>
  <c r="N465" i="17"/>
  <c r="M466" i="17"/>
  <c r="N466" i="17"/>
  <c r="M467" i="17"/>
  <c r="N467" i="17"/>
  <c r="M468" i="17"/>
  <c r="N468" i="17"/>
  <c r="M469" i="17"/>
  <c r="N469" i="17"/>
  <c r="M470" i="17"/>
  <c r="N470" i="17"/>
  <c r="M471" i="17"/>
  <c r="N471" i="17"/>
  <c r="M472" i="17"/>
  <c r="N472" i="17"/>
  <c r="M473" i="17"/>
  <c r="N473" i="17"/>
  <c r="M474" i="17"/>
  <c r="N474" i="17"/>
  <c r="M475" i="17"/>
  <c r="N475" i="17"/>
  <c r="M476" i="17"/>
  <c r="N476" i="17"/>
  <c r="M477" i="17"/>
  <c r="N477" i="17"/>
  <c r="M478" i="17"/>
  <c r="N478" i="17"/>
  <c r="M479" i="17"/>
  <c r="N479" i="17"/>
  <c r="M480" i="17"/>
  <c r="N480" i="17"/>
  <c r="M481" i="17"/>
  <c r="N481" i="17"/>
  <c r="M482" i="17"/>
  <c r="N482" i="17"/>
  <c r="M483" i="17"/>
  <c r="N483" i="17"/>
  <c r="M484" i="17"/>
  <c r="N484" i="17"/>
  <c r="M485" i="17"/>
  <c r="N485" i="17"/>
  <c r="M486" i="17"/>
  <c r="N486" i="17"/>
  <c r="M487" i="17"/>
  <c r="N487" i="17"/>
  <c r="M488" i="17"/>
  <c r="N488" i="17"/>
  <c r="M489" i="17"/>
  <c r="N489" i="17"/>
  <c r="M490" i="17"/>
  <c r="N490" i="17"/>
  <c r="M491" i="17"/>
  <c r="N491" i="17"/>
  <c r="M492" i="17"/>
  <c r="N492" i="17"/>
  <c r="M493" i="17"/>
  <c r="N493" i="17"/>
  <c r="M494" i="17"/>
  <c r="N494" i="17"/>
  <c r="M495" i="17"/>
  <c r="N495" i="17"/>
  <c r="M496" i="17"/>
  <c r="N496" i="17"/>
  <c r="M497" i="17"/>
  <c r="N497" i="17"/>
  <c r="M498" i="17"/>
  <c r="N498" i="17"/>
  <c r="M499" i="17"/>
  <c r="N499" i="17"/>
  <c r="M500" i="17"/>
  <c r="N500" i="17"/>
  <c r="M501" i="17"/>
  <c r="N501" i="17"/>
  <c r="N3" i="17"/>
  <c r="U9" i="17"/>
  <c r="U12" i="17"/>
  <c r="U27" i="17"/>
  <c r="U37" i="17"/>
  <c r="U72" i="17"/>
  <c r="U39" i="17"/>
  <c r="U91" i="17"/>
  <c r="U33" i="17"/>
  <c r="U11" i="17"/>
  <c r="U18" i="17"/>
  <c r="U28" i="17"/>
  <c r="U74" i="17"/>
  <c r="U94" i="17"/>
  <c r="U13" i="17"/>
  <c r="U15" i="17"/>
  <c r="U30" i="17"/>
  <c r="U31" i="17"/>
  <c r="U34" i="17"/>
  <c r="U36" i="17"/>
  <c r="U44" i="17"/>
  <c r="U45" i="17"/>
  <c r="U56" i="17"/>
  <c r="U95" i="17"/>
  <c r="U97" i="17"/>
  <c r="U103" i="17"/>
  <c r="U16" i="17"/>
  <c r="U17" i="17"/>
  <c r="U19" i="17"/>
  <c r="U22" i="17"/>
  <c r="U23" i="17"/>
  <c r="U24" i="17"/>
  <c r="U29" i="17"/>
  <c r="U58" i="17"/>
  <c r="U62" i="17"/>
  <c r="U69" i="17"/>
  <c r="U71" i="17"/>
  <c r="U98" i="17"/>
  <c r="U108" i="17"/>
  <c r="U25" i="17"/>
  <c r="U26" i="17"/>
  <c r="U21" i="17"/>
  <c r="U52" i="17"/>
  <c r="U96" i="17"/>
  <c r="U110" i="17"/>
  <c r="U113" i="17"/>
  <c r="U64" i="17"/>
  <c r="U7" i="17"/>
  <c r="U14" i="17"/>
  <c r="U68" i="17"/>
  <c r="U87" i="17"/>
  <c r="U100" i="17"/>
  <c r="U35" i="17"/>
  <c r="U51" i="17"/>
  <c r="U60" i="17"/>
  <c r="U88" i="17"/>
  <c r="U111" i="17"/>
  <c r="U116" i="17"/>
  <c r="U32" i="17"/>
  <c r="U46" i="17"/>
  <c r="U53" i="17"/>
  <c r="U47" i="17"/>
  <c r="U104" i="17"/>
  <c r="U114" i="17"/>
  <c r="U65" i="17"/>
  <c r="U6" i="17"/>
  <c r="U8" i="17"/>
  <c r="U38" i="17"/>
  <c r="U41" i="17"/>
  <c r="U42" i="17"/>
  <c r="U70" i="17"/>
  <c r="U73" i="17"/>
  <c r="U76" i="17"/>
  <c r="U77" i="17"/>
  <c r="U78" i="17"/>
  <c r="U79" i="17"/>
  <c r="U80" i="17"/>
  <c r="U84" i="17"/>
  <c r="U86" i="17"/>
  <c r="U89" i="17"/>
  <c r="U92" i="17"/>
  <c r="U93" i="17"/>
  <c r="U99" i="17"/>
  <c r="U101" i="17"/>
  <c r="U106" i="17"/>
  <c r="U107" i="17"/>
  <c r="U109" i="17"/>
  <c r="U112" i="17"/>
  <c r="U118" i="17"/>
  <c r="U66" i="17"/>
  <c r="U75" i="17"/>
  <c r="U102" i="17"/>
  <c r="U105" i="17"/>
  <c r="U90" i="17"/>
  <c r="U20" i="17"/>
  <c r="U61" i="17"/>
  <c r="U54" i="17"/>
  <c r="U48" i="17"/>
  <c r="U49" i="17"/>
  <c r="U57" i="17"/>
  <c r="U59" i="17"/>
  <c r="U115" i="17"/>
  <c r="U40" i="17"/>
  <c r="U43" i="17"/>
  <c r="U67" i="17"/>
  <c r="U85" i="17"/>
  <c r="U117" i="17"/>
  <c r="U50" i="17"/>
  <c r="U55" i="17"/>
  <c r="U63" i="17"/>
  <c r="U5" i="17"/>
  <c r="G107" i="14" l="1"/>
  <c r="G102" i="14"/>
  <c r="G97" i="14"/>
  <c r="G93" i="14"/>
  <c r="G84" i="14"/>
  <c r="G79" i="14"/>
  <c r="G75" i="14"/>
  <c r="G108" i="14"/>
  <c r="G103" i="14"/>
  <c r="G98" i="14"/>
  <c r="G94" i="14"/>
  <c r="G85" i="14"/>
  <c r="G81" i="14"/>
  <c r="G76" i="14"/>
  <c r="G104" i="14"/>
  <c r="G99" i="14"/>
  <c r="G95" i="14"/>
  <c r="G87" i="14"/>
  <c r="G82" i="14"/>
  <c r="G77" i="14"/>
  <c r="G73" i="14"/>
  <c r="G105" i="14"/>
  <c r="G101" i="14"/>
  <c r="G96" i="14"/>
  <c r="G88" i="14"/>
  <c r="G83" i="14"/>
  <c r="G78" i="14"/>
  <c r="G74" i="14"/>
  <c r="G68" i="14"/>
  <c r="G66" i="14"/>
  <c r="G64" i="14"/>
  <c r="G61" i="14"/>
  <c r="G57" i="14"/>
  <c r="G55" i="14"/>
  <c r="G52" i="14"/>
  <c r="G48" i="14"/>
  <c r="G46" i="14"/>
  <c r="G44" i="14"/>
  <c r="G41" i="14"/>
  <c r="G37" i="14"/>
  <c r="G35" i="14"/>
  <c r="G32" i="14"/>
  <c r="G29" i="14"/>
  <c r="G27" i="14"/>
  <c r="G25" i="14"/>
  <c r="G22" i="14"/>
  <c r="G20" i="14"/>
  <c r="G17" i="14"/>
  <c r="G14" i="14"/>
  <c r="G12" i="14"/>
  <c r="G10" i="14"/>
  <c r="G7" i="14"/>
  <c r="G67" i="14"/>
  <c r="G65" i="14"/>
  <c r="G62" i="14"/>
  <c r="G60" i="14"/>
  <c r="G56" i="14"/>
  <c r="G54" i="14"/>
  <c r="G50" i="14"/>
  <c r="G49" i="14" s="1"/>
  <c r="G47" i="14"/>
  <c r="G45" i="14"/>
  <c r="G43" i="14"/>
  <c r="G40" i="14"/>
  <c r="G36" i="14"/>
  <c r="G34" i="14"/>
  <c r="G31" i="14"/>
  <c r="G28" i="14"/>
  <c r="G26" i="14"/>
  <c r="G24" i="14"/>
  <c r="G21" i="14"/>
  <c r="G18" i="14"/>
  <c r="G16" i="14"/>
  <c r="G13" i="14"/>
  <c r="G11" i="14"/>
  <c r="G8" i="14"/>
  <c r="G6" i="14"/>
  <c r="N108" i="14"/>
  <c r="N107" i="14"/>
  <c r="N105" i="14"/>
  <c r="N104" i="14"/>
  <c r="N103" i="14"/>
  <c r="N102" i="14"/>
  <c r="N101" i="14"/>
  <c r="N99" i="14"/>
  <c r="N98" i="14"/>
  <c r="N97" i="14"/>
  <c r="N96" i="14"/>
  <c r="N95" i="14"/>
  <c r="N94" i="14"/>
  <c r="N93" i="14"/>
  <c r="N88" i="14"/>
  <c r="N87" i="14"/>
  <c r="N85" i="14"/>
  <c r="N84" i="14"/>
  <c r="N83" i="14"/>
  <c r="N82" i="14"/>
  <c r="N81" i="14"/>
  <c r="N79" i="14"/>
  <c r="N78" i="14"/>
  <c r="N77" i="14"/>
  <c r="N76" i="14"/>
  <c r="N75" i="14"/>
  <c r="N74" i="14"/>
  <c r="N73" i="14"/>
  <c r="N65" i="14"/>
  <c r="N60" i="14"/>
  <c r="N54" i="14"/>
  <c r="N47" i="14"/>
  <c r="N43" i="14"/>
  <c r="N36" i="14"/>
  <c r="N31" i="14"/>
  <c r="N26" i="14"/>
  <c r="N21" i="14"/>
  <c r="N16" i="14"/>
  <c r="N11" i="14"/>
  <c r="N6" i="14"/>
  <c r="N66" i="14"/>
  <c r="N61" i="14"/>
  <c r="N55" i="14"/>
  <c r="N48" i="14"/>
  <c r="N44" i="14"/>
  <c r="N37" i="14"/>
  <c r="N32" i="14"/>
  <c r="N27" i="14"/>
  <c r="N22" i="14"/>
  <c r="N17" i="14"/>
  <c r="N12" i="14"/>
  <c r="N7" i="14"/>
  <c r="N13" i="14"/>
  <c r="N67" i="14"/>
  <c r="N62" i="14"/>
  <c r="N56" i="14"/>
  <c r="N50" i="14"/>
  <c r="N45" i="14"/>
  <c r="N40" i="14"/>
  <c r="N34" i="14"/>
  <c r="N28" i="14"/>
  <c r="N24" i="14"/>
  <c r="N18" i="14"/>
  <c r="N68" i="14"/>
  <c r="N64" i="14"/>
  <c r="N57" i="14"/>
  <c r="N52" i="14"/>
  <c r="N46" i="14"/>
  <c r="N41" i="14"/>
  <c r="N35" i="14"/>
  <c r="N29" i="14"/>
  <c r="N25" i="14"/>
  <c r="N20" i="14"/>
  <c r="N14" i="14"/>
  <c r="N10" i="14"/>
  <c r="N8" i="14"/>
  <c r="I104" i="14"/>
  <c r="I99" i="14"/>
  <c r="I95" i="14"/>
  <c r="I87" i="14"/>
  <c r="I82" i="14"/>
  <c r="I77" i="14"/>
  <c r="I73" i="14"/>
  <c r="I108" i="14"/>
  <c r="I103" i="14"/>
  <c r="I98" i="14"/>
  <c r="I94" i="14"/>
  <c r="I85" i="14"/>
  <c r="I81" i="14"/>
  <c r="I76" i="14"/>
  <c r="I107" i="14"/>
  <c r="I102" i="14"/>
  <c r="I97" i="14"/>
  <c r="I93" i="14"/>
  <c r="I84" i="14"/>
  <c r="I79" i="14"/>
  <c r="I75" i="14"/>
  <c r="I105" i="14"/>
  <c r="I101" i="14"/>
  <c r="I96" i="14"/>
  <c r="I88" i="14"/>
  <c r="I83" i="14"/>
  <c r="I78" i="14"/>
  <c r="I74" i="14"/>
  <c r="I68" i="14"/>
  <c r="I67" i="14"/>
  <c r="I66" i="14"/>
  <c r="I65" i="14"/>
  <c r="I64" i="14"/>
  <c r="I62" i="14"/>
  <c r="I61" i="14"/>
  <c r="I60" i="14"/>
  <c r="I57" i="14"/>
  <c r="I56" i="14"/>
  <c r="I55" i="14"/>
  <c r="I54" i="14"/>
  <c r="I52" i="14"/>
  <c r="I50" i="14"/>
  <c r="I48" i="14"/>
  <c r="I47" i="14"/>
  <c r="I46" i="14"/>
  <c r="I45" i="14"/>
  <c r="I44" i="14"/>
  <c r="I43" i="14"/>
  <c r="I41" i="14"/>
  <c r="I40" i="14"/>
  <c r="I37" i="14"/>
  <c r="I36" i="14"/>
  <c r="I35" i="14"/>
  <c r="I34" i="14"/>
  <c r="I32" i="14"/>
  <c r="I31" i="14"/>
  <c r="I29" i="14"/>
  <c r="I28" i="14"/>
  <c r="I27" i="14"/>
  <c r="I26" i="14"/>
  <c r="I25" i="14"/>
  <c r="I24" i="14"/>
  <c r="I22" i="14"/>
  <c r="I21" i="14"/>
  <c r="I20" i="14"/>
  <c r="I18" i="14"/>
  <c r="I17" i="14"/>
  <c r="I16" i="14"/>
  <c r="I14" i="14"/>
  <c r="I13" i="14"/>
  <c r="I12" i="14"/>
  <c r="I11" i="14"/>
  <c r="I10" i="14"/>
  <c r="I8" i="14"/>
  <c r="I7" i="14"/>
  <c r="I6" i="14"/>
  <c r="S107" i="14"/>
  <c r="S104" i="14"/>
  <c r="S102" i="14"/>
  <c r="S99" i="14"/>
  <c r="S97" i="14"/>
  <c r="S95" i="14"/>
  <c r="S93" i="14"/>
  <c r="S87" i="14"/>
  <c r="S84" i="14"/>
  <c r="S82" i="14"/>
  <c r="S79" i="14"/>
  <c r="S77" i="14"/>
  <c r="S75" i="14"/>
  <c r="S73" i="14"/>
  <c r="S108" i="14"/>
  <c r="S105" i="14"/>
  <c r="S103" i="14"/>
  <c r="S101" i="14"/>
  <c r="S98" i="14"/>
  <c r="S96" i="14"/>
  <c r="S94" i="14"/>
  <c r="S88" i="14"/>
  <c r="S85" i="14"/>
  <c r="S83" i="14"/>
  <c r="S81" i="14"/>
  <c r="S78" i="14"/>
  <c r="S76" i="14"/>
  <c r="S74" i="14"/>
  <c r="S67" i="14"/>
  <c r="S62" i="14"/>
  <c r="S56" i="14"/>
  <c r="S50" i="14"/>
  <c r="S45" i="14"/>
  <c r="S40" i="14"/>
  <c r="S34" i="14"/>
  <c r="S28" i="14"/>
  <c r="S24" i="14"/>
  <c r="S18" i="14"/>
  <c r="S13" i="14"/>
  <c r="S8" i="14"/>
  <c r="S12" i="14"/>
  <c r="S7" i="14"/>
  <c r="S66" i="14"/>
  <c r="S61" i="14"/>
  <c r="S55" i="14"/>
  <c r="S48" i="14"/>
  <c r="S44" i="14"/>
  <c r="S37" i="14"/>
  <c r="S32" i="14"/>
  <c r="S27" i="14"/>
  <c r="S22" i="14"/>
  <c r="S17" i="14"/>
  <c r="S65" i="14"/>
  <c r="S60" i="14"/>
  <c r="S54" i="14"/>
  <c r="S47" i="14"/>
  <c r="S43" i="14"/>
  <c r="S36" i="14"/>
  <c r="S31" i="14"/>
  <c r="S26" i="14"/>
  <c r="S21" i="14"/>
  <c r="S16" i="14"/>
  <c r="S11" i="14"/>
  <c r="S6" i="14"/>
  <c r="S20" i="14"/>
  <c r="S14" i="14"/>
  <c r="S68" i="14"/>
  <c r="S64" i="14"/>
  <c r="S57" i="14"/>
  <c r="S52" i="14"/>
  <c r="S46" i="14"/>
  <c r="S41" i="14"/>
  <c r="S35" i="14"/>
  <c r="S29" i="14"/>
  <c r="S25" i="14"/>
  <c r="S10" i="14"/>
  <c r="J105" i="14"/>
  <c r="J101" i="14"/>
  <c r="J96" i="14"/>
  <c r="J88" i="14"/>
  <c r="J83" i="14"/>
  <c r="J78" i="14"/>
  <c r="J74" i="14"/>
  <c r="J107" i="14"/>
  <c r="J102" i="14"/>
  <c r="J97" i="14"/>
  <c r="J93" i="14"/>
  <c r="J84" i="14"/>
  <c r="J79" i="14"/>
  <c r="J75" i="14"/>
  <c r="J108" i="14"/>
  <c r="J103" i="14"/>
  <c r="J98" i="14"/>
  <c r="J94" i="14"/>
  <c r="J85" i="14"/>
  <c r="J81" i="14"/>
  <c r="J76" i="14"/>
  <c r="J104" i="14"/>
  <c r="J99" i="14"/>
  <c r="J95" i="14"/>
  <c r="J87" i="14"/>
  <c r="J82" i="14"/>
  <c r="J77" i="14"/>
  <c r="J73" i="14"/>
  <c r="J67" i="14"/>
  <c r="J65" i="14"/>
  <c r="J62" i="14"/>
  <c r="J60" i="14"/>
  <c r="J56" i="14"/>
  <c r="J54" i="14"/>
  <c r="J50" i="14"/>
  <c r="J47" i="14"/>
  <c r="J45" i="14"/>
  <c r="J43" i="14"/>
  <c r="J40" i="14"/>
  <c r="J36" i="14"/>
  <c r="J34" i="14"/>
  <c r="J31" i="14"/>
  <c r="J28" i="14"/>
  <c r="J26" i="14"/>
  <c r="J24" i="14"/>
  <c r="J21" i="14"/>
  <c r="J18" i="14"/>
  <c r="J16" i="14"/>
  <c r="J13" i="14"/>
  <c r="J11" i="14"/>
  <c r="J8" i="14"/>
  <c r="J6" i="14"/>
  <c r="J68" i="14"/>
  <c r="J66" i="14"/>
  <c r="J64" i="14"/>
  <c r="J61" i="14"/>
  <c r="J57" i="14"/>
  <c r="J55" i="14"/>
  <c r="J52" i="14"/>
  <c r="J48" i="14"/>
  <c r="J46" i="14"/>
  <c r="J44" i="14"/>
  <c r="J41" i="14"/>
  <c r="J37" i="14"/>
  <c r="J35" i="14"/>
  <c r="J32" i="14"/>
  <c r="J29" i="14"/>
  <c r="J27" i="14"/>
  <c r="J25" i="14"/>
  <c r="J22" i="14"/>
  <c r="J20" i="14"/>
  <c r="J17" i="14"/>
  <c r="J14" i="14"/>
  <c r="J12" i="14"/>
  <c r="J10" i="14"/>
  <c r="J7" i="14"/>
  <c r="K108" i="14"/>
  <c r="K107" i="14"/>
  <c r="K105" i="14"/>
  <c r="K104" i="14"/>
  <c r="K103" i="14"/>
  <c r="K102" i="14"/>
  <c r="K101" i="14"/>
  <c r="K99" i="14"/>
  <c r="K98" i="14"/>
  <c r="K97" i="14"/>
  <c r="K96" i="14"/>
  <c r="K95" i="14"/>
  <c r="K94" i="14"/>
  <c r="K93" i="14"/>
  <c r="K88" i="14"/>
  <c r="K87" i="14"/>
  <c r="K85" i="14"/>
  <c r="K84" i="14"/>
  <c r="K83" i="14"/>
  <c r="K82" i="14"/>
  <c r="K81" i="14"/>
  <c r="K79" i="14"/>
  <c r="K78" i="14"/>
  <c r="K77" i="14"/>
  <c r="K76" i="14"/>
  <c r="K75" i="14"/>
  <c r="K74" i="14"/>
  <c r="K73" i="14"/>
  <c r="K66" i="14"/>
  <c r="K61" i="14"/>
  <c r="K55" i="14"/>
  <c r="K48" i="14"/>
  <c r="K44" i="14"/>
  <c r="K37" i="14"/>
  <c r="K32" i="14"/>
  <c r="K27" i="14"/>
  <c r="K22" i="14"/>
  <c r="K17" i="14"/>
  <c r="K12" i="14"/>
  <c r="K7" i="14"/>
  <c r="K67" i="14"/>
  <c r="K62" i="14"/>
  <c r="K56" i="14"/>
  <c r="K50" i="14"/>
  <c r="K45" i="14"/>
  <c r="K40" i="14"/>
  <c r="K34" i="14"/>
  <c r="K28" i="14"/>
  <c r="K24" i="14"/>
  <c r="K18" i="14"/>
  <c r="K13" i="14"/>
  <c r="K8" i="14"/>
  <c r="K68" i="14"/>
  <c r="K64" i="14"/>
  <c r="K57" i="14"/>
  <c r="K52" i="14"/>
  <c r="K46" i="14"/>
  <c r="K41" i="14"/>
  <c r="K35" i="14"/>
  <c r="K29" i="14"/>
  <c r="K25" i="14"/>
  <c r="K20" i="14"/>
  <c r="K14" i="14"/>
  <c r="K10" i="14"/>
  <c r="K65" i="14"/>
  <c r="K60" i="14"/>
  <c r="K59" i="14" s="1"/>
  <c r="K54" i="14"/>
  <c r="K47" i="14"/>
  <c r="K43" i="14"/>
  <c r="K36" i="14"/>
  <c r="K31" i="14"/>
  <c r="K26" i="14"/>
  <c r="K21" i="14"/>
  <c r="K16" i="14"/>
  <c r="K11" i="14"/>
  <c r="K6" i="14"/>
  <c r="E108" i="14"/>
  <c r="E103" i="14"/>
  <c r="E98" i="14"/>
  <c r="E94" i="14"/>
  <c r="E85" i="14"/>
  <c r="E81" i="14"/>
  <c r="E76" i="14"/>
  <c r="E107" i="14"/>
  <c r="E102" i="14"/>
  <c r="E97" i="14"/>
  <c r="E93" i="14"/>
  <c r="E84" i="14"/>
  <c r="E79" i="14"/>
  <c r="E75" i="14"/>
  <c r="E105" i="14"/>
  <c r="E101" i="14"/>
  <c r="E96" i="14"/>
  <c r="E88" i="14"/>
  <c r="E83" i="14"/>
  <c r="E78" i="14"/>
  <c r="E74" i="14"/>
  <c r="E104" i="14"/>
  <c r="E99" i="14"/>
  <c r="E95" i="14"/>
  <c r="E87" i="14"/>
  <c r="E82" i="14"/>
  <c r="E77" i="14"/>
  <c r="E73" i="14"/>
  <c r="E68" i="14"/>
  <c r="E67" i="14"/>
  <c r="E66" i="14"/>
  <c r="E65" i="14"/>
  <c r="E64" i="14"/>
  <c r="E62" i="14"/>
  <c r="E61" i="14"/>
  <c r="E60" i="14"/>
  <c r="E57" i="14"/>
  <c r="E56" i="14"/>
  <c r="E55" i="14"/>
  <c r="E54" i="14"/>
  <c r="E52" i="14"/>
  <c r="E50" i="14"/>
  <c r="E49" i="14" s="1"/>
  <c r="E48" i="14"/>
  <c r="E47" i="14"/>
  <c r="E46" i="14"/>
  <c r="E45" i="14"/>
  <c r="E44" i="14"/>
  <c r="E43" i="14"/>
  <c r="E41" i="14"/>
  <c r="E40" i="14"/>
  <c r="E37" i="14"/>
  <c r="E36" i="14"/>
  <c r="E35" i="14"/>
  <c r="E34" i="14"/>
  <c r="E32" i="14"/>
  <c r="E31" i="14"/>
  <c r="E29" i="14"/>
  <c r="E28" i="14"/>
  <c r="E27" i="14"/>
  <c r="E26" i="14"/>
  <c r="E25" i="14"/>
  <c r="E24" i="14"/>
  <c r="E22" i="14"/>
  <c r="E21" i="14"/>
  <c r="E20" i="14"/>
  <c r="E18" i="14"/>
  <c r="E17" i="14"/>
  <c r="E16" i="14"/>
  <c r="E14" i="14"/>
  <c r="E13" i="14"/>
  <c r="E12" i="14"/>
  <c r="E11" i="14"/>
  <c r="E10" i="14"/>
  <c r="E8" i="14"/>
  <c r="E7" i="14"/>
  <c r="E6" i="14"/>
  <c r="W108" i="14"/>
  <c r="W105" i="14"/>
  <c r="W103" i="14"/>
  <c r="W101" i="14"/>
  <c r="W98" i="14"/>
  <c r="W96" i="14"/>
  <c r="W94" i="14"/>
  <c r="W88" i="14"/>
  <c r="W85" i="14"/>
  <c r="W83" i="14"/>
  <c r="W81" i="14"/>
  <c r="W78" i="14"/>
  <c r="W76" i="14"/>
  <c r="W74" i="14"/>
  <c r="W107" i="14"/>
  <c r="W104" i="14"/>
  <c r="W102" i="14"/>
  <c r="W99" i="14"/>
  <c r="W97" i="14"/>
  <c r="W95" i="14"/>
  <c r="W93" i="14"/>
  <c r="W87" i="14"/>
  <c r="W84" i="14"/>
  <c r="W82" i="14"/>
  <c r="W79" i="14"/>
  <c r="W77" i="14"/>
  <c r="W75" i="14"/>
  <c r="W73" i="14"/>
  <c r="W68" i="14"/>
  <c r="W64" i="14"/>
  <c r="W57" i="14"/>
  <c r="W52" i="14"/>
  <c r="W51" i="14" s="1"/>
  <c r="W46" i="14"/>
  <c r="W41" i="14"/>
  <c r="W35" i="14"/>
  <c r="W29" i="14"/>
  <c r="W25" i="14"/>
  <c r="W20" i="14"/>
  <c r="W14" i="14"/>
  <c r="W10" i="14"/>
  <c r="W6" i="14"/>
  <c r="W65" i="14"/>
  <c r="W60" i="14"/>
  <c r="W54" i="14"/>
  <c r="W47" i="14"/>
  <c r="W43" i="14"/>
  <c r="W36" i="14"/>
  <c r="W31" i="14"/>
  <c r="W26" i="14"/>
  <c r="W21" i="14"/>
  <c r="W16" i="14"/>
  <c r="W11" i="14"/>
  <c r="W66" i="14"/>
  <c r="W61" i="14"/>
  <c r="W55" i="14"/>
  <c r="W48" i="14"/>
  <c r="W44" i="14"/>
  <c r="W37" i="14"/>
  <c r="W32" i="14"/>
  <c r="W27" i="14"/>
  <c r="W22" i="14"/>
  <c r="W17" i="14"/>
  <c r="W12" i="14"/>
  <c r="W7" i="14"/>
  <c r="W67" i="14"/>
  <c r="W62" i="14"/>
  <c r="W56" i="14"/>
  <c r="W50" i="14"/>
  <c r="W49" i="14" s="1"/>
  <c r="W45" i="14"/>
  <c r="W40" i="14"/>
  <c r="W39" i="14" s="1"/>
  <c r="W34" i="14"/>
  <c r="W28" i="14"/>
  <c r="W24" i="14"/>
  <c r="W18" i="14"/>
  <c r="W13" i="14"/>
  <c r="W8" i="14"/>
  <c r="L86" i="14"/>
  <c r="L72" i="14"/>
  <c r="L51" i="14"/>
  <c r="G9" i="14" l="1"/>
  <c r="D95" i="14"/>
  <c r="D62" i="14"/>
  <c r="G100" i="14"/>
  <c r="G59" i="14"/>
  <c r="G92" i="14"/>
  <c r="G86" i="14"/>
  <c r="G106" i="14"/>
  <c r="D18" i="14"/>
  <c r="N86" i="14"/>
  <c r="D25" i="14"/>
  <c r="D46" i="14"/>
  <c r="D68" i="14"/>
  <c r="D102" i="14"/>
  <c r="D85" i="14"/>
  <c r="D108" i="14"/>
  <c r="D57" i="14"/>
  <c r="N100" i="14"/>
  <c r="N92" i="14"/>
  <c r="D54" i="14"/>
  <c r="N59" i="14"/>
  <c r="N106" i="14"/>
  <c r="D47" i="14"/>
  <c r="D65" i="14"/>
  <c r="I106" i="14"/>
  <c r="S59" i="14"/>
  <c r="D31" i="14"/>
  <c r="D32" i="14"/>
  <c r="D55" i="14"/>
  <c r="D44" i="14"/>
  <c r="D66" i="14"/>
  <c r="I59" i="14"/>
  <c r="I86" i="14"/>
  <c r="I100" i="14"/>
  <c r="I92" i="14"/>
  <c r="S86" i="14"/>
  <c r="S92" i="14"/>
  <c r="S100" i="14"/>
  <c r="S106" i="14"/>
  <c r="D48" i="14"/>
  <c r="D37" i="14"/>
  <c r="D61" i="14"/>
  <c r="D83" i="14"/>
  <c r="D43" i="14"/>
  <c r="D27" i="14"/>
  <c r="D28" i="14"/>
  <c r="D56" i="14"/>
  <c r="D60" i="14"/>
  <c r="D75" i="14"/>
  <c r="D103" i="14"/>
  <c r="D45" i="14"/>
  <c r="D67" i="14"/>
  <c r="D36" i="14"/>
  <c r="D21" i="14"/>
  <c r="D26" i="14"/>
  <c r="D17" i="14"/>
  <c r="D22" i="14"/>
  <c r="J59" i="14"/>
  <c r="J106" i="14"/>
  <c r="D16" i="14"/>
  <c r="J63" i="14"/>
  <c r="J92" i="14"/>
  <c r="J100" i="14"/>
  <c r="K100" i="14"/>
  <c r="D6" i="14"/>
  <c r="E106" i="14"/>
  <c r="K86" i="14"/>
  <c r="K92" i="14"/>
  <c r="K106" i="14"/>
  <c r="D29" i="14"/>
  <c r="D35" i="14"/>
  <c r="D20" i="14"/>
  <c r="D41" i="14"/>
  <c r="W106" i="14"/>
  <c r="E30" i="14"/>
  <c r="E33" i="14"/>
  <c r="E39" i="14"/>
  <c r="E42" i="14"/>
  <c r="E100" i="14"/>
  <c r="E92" i="14"/>
  <c r="D52" i="14"/>
  <c r="W23" i="14"/>
  <c r="W33" i="14"/>
  <c r="D24" i="14"/>
  <c r="W92" i="14"/>
  <c r="W30" i="14"/>
  <c r="W42" i="14"/>
  <c r="W53" i="14"/>
  <c r="W9" i="14"/>
  <c r="W19" i="14"/>
  <c r="W63" i="14"/>
  <c r="W100" i="14"/>
  <c r="W15" i="14"/>
  <c r="W59" i="14"/>
  <c r="W5" i="14"/>
  <c r="L23" i="14"/>
  <c r="L33" i="14"/>
  <c r="L39" i="14"/>
  <c r="D40" i="14"/>
  <c r="L49" i="14"/>
  <c r="D50" i="14"/>
  <c r="L63" i="14"/>
  <c r="D34" i="14"/>
  <c r="D93" i="14"/>
  <c r="D64" i="14"/>
  <c r="L19" i="14"/>
  <c r="L80" i="14"/>
  <c r="L71" i="14" s="1"/>
  <c r="L50" i="13" s="1"/>
  <c r="L51" i="13" s="1"/>
  <c r="L91" i="14"/>
  <c r="L91" i="13" s="1"/>
  <c r="L92" i="13" s="1"/>
  <c r="L9" i="14"/>
  <c r="L5" i="14"/>
  <c r="L15" i="14"/>
  <c r="L30" i="14"/>
  <c r="L42" i="14"/>
  <c r="L53" i="14"/>
  <c r="L59" i="14"/>
  <c r="D76" i="14"/>
  <c r="D104" i="14"/>
  <c r="D88" i="14"/>
  <c r="D99" i="14"/>
  <c r="D84" i="14"/>
  <c r="D98" i="14"/>
  <c r="D74" i="14"/>
  <c r="D79" i="14"/>
  <c r="D82" i="14"/>
  <c r="D81" i="14"/>
  <c r="D77" i="14"/>
  <c r="D97" i="14"/>
  <c r="D87" i="14"/>
  <c r="D78" i="14"/>
  <c r="D107" i="14"/>
  <c r="D96" i="14"/>
  <c r="D101" i="14"/>
  <c r="D105" i="14"/>
  <c r="D94" i="14"/>
  <c r="D73" i="14"/>
  <c r="D7" i="14"/>
  <c r="W72" i="14"/>
  <c r="W80" i="14"/>
  <c r="W86" i="14"/>
  <c r="D14" i="14"/>
  <c r="D12" i="14"/>
  <c r="D10" i="14"/>
  <c r="D13" i="14"/>
  <c r="D11" i="14"/>
  <c r="D8" i="14"/>
  <c r="E59" i="14"/>
  <c r="J86" i="14"/>
  <c r="E72" i="14"/>
  <c r="E19" i="14"/>
  <c r="E86" i="14"/>
  <c r="E5" i="14"/>
  <c r="W4" i="14" l="1"/>
  <c r="W38" i="14"/>
  <c r="W58" i="14"/>
  <c r="D59" i="14"/>
  <c r="L4" i="14"/>
  <c r="L58" i="14"/>
  <c r="L38" i="14"/>
  <c r="D86" i="14"/>
  <c r="W91" i="14"/>
  <c r="W91" i="13" s="1"/>
  <c r="W92" i="13" s="1"/>
  <c r="W71" i="14"/>
  <c r="W50" i="13" s="1"/>
  <c r="W51" i="13" s="1"/>
  <c r="F63" i="14"/>
  <c r="G63" i="14"/>
  <c r="I63" i="14"/>
  <c r="K63" i="14"/>
  <c r="M63" i="14"/>
  <c r="N63" i="14"/>
  <c r="O63" i="14"/>
  <c r="S63" i="14"/>
  <c r="T63" i="14"/>
  <c r="U63" i="14"/>
  <c r="V63" i="14"/>
  <c r="E63" i="14"/>
  <c r="W3" i="14" l="1"/>
  <c r="W9" i="13" s="1"/>
  <c r="W10" i="13" s="1"/>
  <c r="L3" i="14"/>
  <c r="L9" i="13" s="1"/>
  <c r="L10" i="13" s="1"/>
  <c r="D106" i="14"/>
  <c r="E28" i="12" s="1"/>
  <c r="D63" i="14"/>
  <c r="E8" i="13"/>
  <c r="G58" i="14"/>
  <c r="J58" i="14"/>
  <c r="M58" i="14"/>
  <c r="O58" i="14"/>
  <c r="T58" i="14"/>
  <c r="V58" i="14"/>
  <c r="V80" i="14"/>
  <c r="U80" i="14"/>
  <c r="T80" i="14"/>
  <c r="S80" i="14"/>
  <c r="O80" i="14"/>
  <c r="N80" i="14"/>
  <c r="M80" i="14"/>
  <c r="K80" i="14"/>
  <c r="J80" i="14"/>
  <c r="I80" i="14"/>
  <c r="G80" i="14"/>
  <c r="F80" i="14"/>
  <c r="E80" i="14"/>
  <c r="V72" i="14"/>
  <c r="U72" i="14"/>
  <c r="T72" i="14"/>
  <c r="S72" i="14"/>
  <c r="O72" i="14"/>
  <c r="N72" i="14"/>
  <c r="M72" i="14"/>
  <c r="K72" i="14"/>
  <c r="J72" i="14"/>
  <c r="I72" i="14"/>
  <c r="G72" i="14"/>
  <c r="F72" i="14"/>
  <c r="V53" i="14"/>
  <c r="U53" i="14"/>
  <c r="T53" i="14"/>
  <c r="S53" i="14"/>
  <c r="O53" i="14"/>
  <c r="N53" i="14"/>
  <c r="M53" i="14"/>
  <c r="K53" i="14"/>
  <c r="J53" i="14"/>
  <c r="I53" i="14"/>
  <c r="G53" i="14"/>
  <c r="F53" i="14"/>
  <c r="E53" i="14"/>
  <c r="V51" i="14"/>
  <c r="U51" i="14"/>
  <c r="T51" i="14"/>
  <c r="S51" i="14"/>
  <c r="O51" i="14"/>
  <c r="N51" i="14"/>
  <c r="M51" i="14"/>
  <c r="K51" i="14"/>
  <c r="J51" i="14"/>
  <c r="I51" i="14"/>
  <c r="G51" i="14"/>
  <c r="F51" i="14"/>
  <c r="E51" i="14"/>
  <c r="V49" i="14"/>
  <c r="U49" i="14"/>
  <c r="T49" i="14"/>
  <c r="S49" i="14"/>
  <c r="O49" i="14"/>
  <c r="N49" i="14"/>
  <c r="M49" i="14"/>
  <c r="K49" i="14"/>
  <c r="J49" i="14"/>
  <c r="I49" i="14"/>
  <c r="V42" i="14"/>
  <c r="U42" i="14"/>
  <c r="T42" i="14"/>
  <c r="S42" i="14"/>
  <c r="O42" i="14"/>
  <c r="N42" i="14"/>
  <c r="M42" i="14"/>
  <c r="K42" i="14"/>
  <c r="J42" i="14"/>
  <c r="I42" i="14"/>
  <c r="G42" i="14"/>
  <c r="F42" i="14"/>
  <c r="V39" i="14"/>
  <c r="U39" i="14"/>
  <c r="T39" i="14"/>
  <c r="S39" i="14"/>
  <c r="O39" i="14"/>
  <c r="N39" i="14"/>
  <c r="M39" i="14"/>
  <c r="K39" i="14"/>
  <c r="J39" i="14"/>
  <c r="I39" i="14"/>
  <c r="G39" i="14"/>
  <c r="F39" i="14"/>
  <c r="V33" i="14"/>
  <c r="U33" i="14"/>
  <c r="T33" i="14"/>
  <c r="S33" i="14"/>
  <c r="O33" i="14"/>
  <c r="N33" i="14"/>
  <c r="M33" i="14"/>
  <c r="K33" i="14"/>
  <c r="J33" i="14"/>
  <c r="I33" i="14"/>
  <c r="G33" i="14"/>
  <c r="F33" i="14"/>
  <c r="V30" i="14"/>
  <c r="U30" i="14"/>
  <c r="T30" i="14"/>
  <c r="S30" i="14"/>
  <c r="O30" i="14"/>
  <c r="N30" i="14"/>
  <c r="M30" i="14"/>
  <c r="K30" i="14"/>
  <c r="J30" i="14"/>
  <c r="I30" i="14"/>
  <c r="G30" i="14"/>
  <c r="F30" i="14"/>
  <c r="V23" i="14"/>
  <c r="U23" i="14"/>
  <c r="T23" i="14"/>
  <c r="S23" i="14"/>
  <c r="O23" i="14"/>
  <c r="N23" i="14"/>
  <c r="M23" i="14"/>
  <c r="K23" i="14"/>
  <c r="J23" i="14"/>
  <c r="I23" i="14"/>
  <c r="G23" i="14"/>
  <c r="F23" i="14"/>
  <c r="E23" i="14"/>
  <c r="V19" i="14"/>
  <c r="U19" i="14"/>
  <c r="T19" i="14"/>
  <c r="S19" i="14"/>
  <c r="O19" i="14"/>
  <c r="N19" i="14"/>
  <c r="M19" i="14"/>
  <c r="K19" i="14"/>
  <c r="J19" i="14"/>
  <c r="I19" i="14"/>
  <c r="G19" i="14"/>
  <c r="F19" i="14"/>
  <c r="V15" i="14"/>
  <c r="U15" i="14"/>
  <c r="T15" i="14"/>
  <c r="S15" i="14"/>
  <c r="O15" i="14"/>
  <c r="N15" i="14"/>
  <c r="M15" i="14"/>
  <c r="K15" i="14"/>
  <c r="J15" i="14"/>
  <c r="I15" i="14"/>
  <c r="G15" i="14"/>
  <c r="F15" i="14"/>
  <c r="E15" i="14"/>
  <c r="V9" i="14"/>
  <c r="U9" i="14"/>
  <c r="T9" i="14"/>
  <c r="S9" i="14"/>
  <c r="O9" i="14"/>
  <c r="N9" i="14"/>
  <c r="M9" i="14"/>
  <c r="K9" i="14"/>
  <c r="J9" i="14"/>
  <c r="I9" i="14"/>
  <c r="F9" i="14"/>
  <c r="E9" i="14"/>
  <c r="V5" i="14"/>
  <c r="U5" i="14"/>
  <c r="T5" i="14"/>
  <c r="S5" i="14"/>
  <c r="O5" i="14"/>
  <c r="N5" i="14"/>
  <c r="M5" i="14"/>
  <c r="K5" i="14"/>
  <c r="J5" i="14"/>
  <c r="I5" i="14"/>
  <c r="G5" i="14"/>
  <c r="F5" i="14"/>
  <c r="E24" i="12"/>
  <c r="E23" i="12"/>
  <c r="D24" i="12"/>
  <c r="D23" i="12"/>
  <c r="C24" i="12"/>
  <c r="C23" i="12"/>
  <c r="E38" i="14" l="1"/>
  <c r="D33" i="14"/>
  <c r="D92" i="14"/>
  <c r="E18" i="12" s="1"/>
  <c r="D19" i="14"/>
  <c r="D23" i="14"/>
  <c r="D53" i="14"/>
  <c r="D100" i="14"/>
  <c r="E19" i="12" s="1"/>
  <c r="D5" i="14"/>
  <c r="D9" i="14"/>
  <c r="D15" i="14"/>
  <c r="D30" i="14"/>
  <c r="D39" i="14"/>
  <c r="D49" i="14"/>
  <c r="D51" i="14"/>
  <c r="D72" i="14"/>
  <c r="D18" i="12" s="1"/>
  <c r="D80" i="14"/>
  <c r="D19" i="12" s="1"/>
  <c r="D42" i="14"/>
  <c r="F4" i="14"/>
  <c r="I4" i="14"/>
  <c r="K4" i="14"/>
  <c r="N4" i="14"/>
  <c r="S4" i="14"/>
  <c r="U4" i="14"/>
  <c r="G38" i="14"/>
  <c r="J38" i="14"/>
  <c r="M38" i="14"/>
  <c r="O38" i="14"/>
  <c r="T38" i="14"/>
  <c r="V38" i="14"/>
  <c r="F38" i="14"/>
  <c r="I38" i="14"/>
  <c r="K38" i="14"/>
  <c r="N38" i="14"/>
  <c r="S38" i="14"/>
  <c r="U38" i="14"/>
  <c r="G4" i="14"/>
  <c r="J4" i="14"/>
  <c r="M4" i="14"/>
  <c r="O4" i="14"/>
  <c r="T4" i="14"/>
  <c r="V4" i="14"/>
  <c r="E4" i="14"/>
  <c r="N91" i="14"/>
  <c r="N91" i="13" s="1"/>
  <c r="G91" i="14"/>
  <c r="G91" i="13" s="1"/>
  <c r="M91" i="14"/>
  <c r="M91" i="13" s="1"/>
  <c r="T91" i="14"/>
  <c r="T91" i="13" s="1"/>
  <c r="G71" i="14"/>
  <c r="G50" i="13" s="1"/>
  <c r="M71" i="14"/>
  <c r="M50" i="13" s="1"/>
  <c r="T71" i="14"/>
  <c r="T50" i="13" s="1"/>
  <c r="I71" i="14"/>
  <c r="I50" i="13" s="1"/>
  <c r="N71" i="14"/>
  <c r="N50" i="13" s="1"/>
  <c r="U71" i="14"/>
  <c r="U50" i="13" s="1"/>
  <c r="I91" i="14"/>
  <c r="I91" i="13" s="1"/>
  <c r="U91" i="14"/>
  <c r="U91" i="13" s="1"/>
  <c r="E91" i="14"/>
  <c r="F71" i="14"/>
  <c r="F50" i="13" s="1"/>
  <c r="K71" i="14"/>
  <c r="K50" i="13" s="1"/>
  <c r="S71" i="14"/>
  <c r="S50" i="13" s="1"/>
  <c r="J71" i="14"/>
  <c r="J50" i="13" s="1"/>
  <c r="O71" i="14"/>
  <c r="O50" i="13" s="1"/>
  <c r="V71" i="14"/>
  <c r="V50" i="13" s="1"/>
  <c r="F91" i="14"/>
  <c r="F91" i="13" s="1"/>
  <c r="K91" i="14"/>
  <c r="K91" i="13" s="1"/>
  <c r="S91" i="14"/>
  <c r="S91" i="13" s="1"/>
  <c r="J91" i="14"/>
  <c r="J91" i="13" s="1"/>
  <c r="O91" i="14"/>
  <c r="O91" i="13" s="1"/>
  <c r="V91" i="14"/>
  <c r="V91" i="13" s="1"/>
  <c r="E71" i="14"/>
  <c r="D28" i="12"/>
  <c r="U58" i="14"/>
  <c r="N58" i="14"/>
  <c r="I58" i="14"/>
  <c r="E58" i="14"/>
  <c r="S58" i="14"/>
  <c r="K58" i="14"/>
  <c r="F58" i="14"/>
  <c r="D71" i="14" l="1"/>
  <c r="D58" i="14"/>
  <c r="C28" i="12" s="1"/>
  <c r="E91" i="13"/>
  <c r="D91" i="14"/>
  <c r="D38" i="14"/>
  <c r="D4" i="14"/>
  <c r="Q92" i="13"/>
  <c r="Q51" i="13"/>
  <c r="E3" i="14"/>
  <c r="V3" i="14"/>
  <c r="V9" i="13" s="1"/>
  <c r="J3" i="14"/>
  <c r="J9" i="13" s="1"/>
  <c r="O3" i="14"/>
  <c r="O9" i="13" s="1"/>
  <c r="E50" i="13"/>
  <c r="S3" i="14"/>
  <c r="S9" i="13" s="1"/>
  <c r="U3" i="14"/>
  <c r="U9" i="13" s="1"/>
  <c r="G3" i="14"/>
  <c r="G9" i="13" s="1"/>
  <c r="K3" i="14"/>
  <c r="K9" i="13" s="1"/>
  <c r="T3" i="14"/>
  <c r="T9" i="13" s="1"/>
  <c r="M3" i="14"/>
  <c r="M9" i="13" s="1"/>
  <c r="N3" i="14"/>
  <c r="N9" i="13" s="1"/>
  <c r="I3" i="14"/>
  <c r="I9" i="13" s="1"/>
  <c r="F3" i="14"/>
  <c r="E9" i="13" l="1"/>
  <c r="E10" i="13" s="1"/>
  <c r="D3" i="14"/>
  <c r="D91" i="13"/>
  <c r="Q10" i="13"/>
  <c r="D50" i="13"/>
  <c r="C19" i="12"/>
  <c r="C18" i="12"/>
  <c r="F9" i="13"/>
  <c r="D9" i="13" l="1"/>
  <c r="C17" i="12"/>
  <c r="I123" i="13" l="1"/>
  <c r="J123" i="13"/>
  <c r="N123" i="13"/>
  <c r="O123" i="13"/>
  <c r="U123" i="13"/>
  <c r="V123" i="13"/>
  <c r="T123" i="13"/>
  <c r="S123" i="13"/>
  <c r="M123" i="13"/>
  <c r="G123" i="13"/>
  <c r="F123" i="13"/>
  <c r="V82" i="13"/>
  <c r="U82" i="13"/>
  <c r="T82" i="13"/>
  <c r="S82" i="13"/>
  <c r="N82" i="13"/>
  <c r="M82" i="13"/>
  <c r="K82" i="13"/>
  <c r="I82" i="13"/>
  <c r="G82" i="13"/>
  <c r="D82" i="13" l="1"/>
  <c r="D123" i="13"/>
  <c r="E27" i="12" s="1"/>
  <c r="E29" i="12" s="1"/>
  <c r="D27" i="12" l="1"/>
  <c r="D29" i="12" s="1"/>
  <c r="F116" i="13"/>
  <c r="F75" i="13"/>
  <c r="F41" i="13"/>
  <c r="F34" i="13"/>
  <c r="V116" i="13"/>
  <c r="U116" i="13"/>
  <c r="T116" i="13"/>
  <c r="S116" i="13"/>
  <c r="O116" i="13"/>
  <c r="N116" i="13"/>
  <c r="M116" i="13"/>
  <c r="K116" i="13"/>
  <c r="J116" i="13"/>
  <c r="I116" i="13"/>
  <c r="G116" i="13"/>
  <c r="E116" i="13"/>
  <c r="E124" i="13" s="1"/>
  <c r="V75" i="13"/>
  <c r="U75" i="13"/>
  <c r="T75" i="13"/>
  <c r="S75" i="13"/>
  <c r="O75" i="13"/>
  <c r="N75" i="13"/>
  <c r="M75" i="13"/>
  <c r="K75" i="13"/>
  <c r="J75" i="13"/>
  <c r="I75" i="13"/>
  <c r="G75" i="13"/>
  <c r="V41" i="13"/>
  <c r="U41" i="13"/>
  <c r="T41" i="13"/>
  <c r="S41" i="13"/>
  <c r="O41" i="13"/>
  <c r="N41" i="13"/>
  <c r="M41" i="13"/>
  <c r="K41" i="13"/>
  <c r="I41" i="13"/>
  <c r="G41" i="13"/>
  <c r="V34" i="13"/>
  <c r="U34" i="13"/>
  <c r="T34" i="13"/>
  <c r="S34" i="13"/>
  <c r="O34" i="13"/>
  <c r="N34" i="13"/>
  <c r="M34" i="13"/>
  <c r="K34" i="13"/>
  <c r="J34" i="13"/>
  <c r="I34" i="13"/>
  <c r="G34" i="13"/>
  <c r="E17" i="12"/>
  <c r="D17" i="12"/>
  <c r="D116" i="13" l="1"/>
  <c r="E16" i="12" s="1"/>
  <c r="D75" i="13"/>
  <c r="D16" i="12" s="1"/>
  <c r="D34" i="13"/>
  <c r="C16" i="12" s="1"/>
  <c r="D27" i="13"/>
  <c r="C15" i="12" s="1"/>
  <c r="D41" i="13"/>
  <c r="C27" i="12" s="1"/>
  <c r="C29" i="12" s="1"/>
  <c r="M42" i="13"/>
  <c r="M83" i="13"/>
  <c r="D109" i="13"/>
  <c r="E15" i="12" s="1"/>
  <c r="V42" i="13"/>
  <c r="D68" i="13"/>
  <c r="D15" i="12" s="1"/>
  <c r="I88" i="13"/>
  <c r="I90" i="13" s="1"/>
  <c r="I92" i="13" s="1"/>
  <c r="N88" i="13"/>
  <c r="N90" i="13" s="1"/>
  <c r="N92" i="13" s="1"/>
  <c r="G88" i="13"/>
  <c r="G90" i="13" s="1"/>
  <c r="G92" i="13" s="1"/>
  <c r="M88" i="13"/>
  <c r="M90" i="13" s="1"/>
  <c r="M92" i="13" s="1"/>
  <c r="T88" i="13"/>
  <c r="T90" i="13" s="1"/>
  <c r="T92" i="13" s="1"/>
  <c r="J88" i="13"/>
  <c r="J90" i="13" s="1"/>
  <c r="J92" i="13" s="1"/>
  <c r="V124" i="13"/>
  <c r="U88" i="13"/>
  <c r="U90" i="13" s="1"/>
  <c r="U92" i="13" s="1"/>
  <c r="U124" i="13"/>
  <c r="I6" i="13"/>
  <c r="I8" i="13" s="1"/>
  <c r="I10" i="13" s="1"/>
  <c r="K6" i="13"/>
  <c r="K8" i="13" s="1"/>
  <c r="K10" i="13" s="1"/>
  <c r="N6" i="13"/>
  <c r="N8" i="13" s="1"/>
  <c r="N10" i="13" s="1"/>
  <c r="U6" i="13"/>
  <c r="U8" i="13" s="1"/>
  <c r="U10" i="13" s="1"/>
  <c r="G47" i="13"/>
  <c r="G49" i="13" s="1"/>
  <c r="G51" i="13" s="1"/>
  <c r="J47" i="13"/>
  <c r="J49" i="13" s="1"/>
  <c r="J51" i="13" s="1"/>
  <c r="M47" i="13"/>
  <c r="M49" i="13" s="1"/>
  <c r="M51" i="13" s="1"/>
  <c r="O47" i="13"/>
  <c r="O49" i="13" s="1"/>
  <c r="O51" i="13" s="1"/>
  <c r="T47" i="13"/>
  <c r="T49" i="13" s="1"/>
  <c r="T51" i="13" s="1"/>
  <c r="F47" i="13"/>
  <c r="F49" i="13" s="1"/>
  <c r="F51" i="13" s="1"/>
  <c r="J83" i="13"/>
  <c r="I47" i="13"/>
  <c r="I49" i="13" s="1"/>
  <c r="I51" i="13" s="1"/>
  <c r="N47" i="13"/>
  <c r="N49" i="13" s="1"/>
  <c r="N51" i="13" s="1"/>
  <c r="U47" i="13"/>
  <c r="U49" i="13" s="1"/>
  <c r="U51" i="13" s="1"/>
  <c r="G6" i="13"/>
  <c r="G8" i="13" s="1"/>
  <c r="G10" i="13" s="1"/>
  <c r="M6" i="13"/>
  <c r="M8" i="13" s="1"/>
  <c r="M10" i="13" s="1"/>
  <c r="T6" i="13"/>
  <c r="T8" i="13" s="1"/>
  <c r="T10" i="13" s="1"/>
  <c r="F6" i="13"/>
  <c r="S6" i="13"/>
  <c r="S8" i="13" s="1"/>
  <c r="S10" i="13" s="1"/>
  <c r="V83" i="13"/>
  <c r="V47" i="13"/>
  <c r="V49" i="13" s="1"/>
  <c r="V51" i="13" s="1"/>
  <c r="O88" i="13"/>
  <c r="O90" i="13" s="1"/>
  <c r="O92" i="13" s="1"/>
  <c r="V88" i="13"/>
  <c r="V90" i="13" s="1"/>
  <c r="V92" i="13" s="1"/>
  <c r="J6" i="13"/>
  <c r="J8" i="13" s="1"/>
  <c r="J10" i="13" s="1"/>
  <c r="O6" i="13"/>
  <c r="O8" i="13" s="1"/>
  <c r="O10" i="13" s="1"/>
  <c r="V6" i="13"/>
  <c r="V8" i="13" s="1"/>
  <c r="V10" i="13" s="1"/>
  <c r="E83" i="13"/>
  <c r="E47" i="13"/>
  <c r="K47" i="13"/>
  <c r="K49" i="13" s="1"/>
  <c r="K51" i="13" s="1"/>
  <c r="S47" i="13"/>
  <c r="S49" i="13" s="1"/>
  <c r="S51" i="13" s="1"/>
  <c r="E88" i="13"/>
  <c r="K88" i="13"/>
  <c r="K90" i="13" s="1"/>
  <c r="K92" i="13" s="1"/>
  <c r="S88" i="13"/>
  <c r="S90" i="13" s="1"/>
  <c r="S92" i="13" s="1"/>
  <c r="F88" i="13"/>
  <c r="F90" i="13" s="1"/>
  <c r="F92" i="13" s="1"/>
  <c r="F124" i="13"/>
  <c r="T83" i="13"/>
  <c r="O124" i="13"/>
  <c r="T124" i="13"/>
  <c r="M124" i="13"/>
  <c r="N42" i="13"/>
  <c r="N83" i="13"/>
  <c r="G124" i="13"/>
  <c r="J42" i="13"/>
  <c r="K124" i="13"/>
  <c r="S124" i="13"/>
  <c r="I124" i="13"/>
  <c r="J124" i="13"/>
  <c r="O42" i="13"/>
  <c r="S42" i="13"/>
  <c r="T42" i="13"/>
  <c r="K83" i="13"/>
  <c r="S83" i="13"/>
  <c r="K42" i="13"/>
  <c r="I42" i="13"/>
  <c r="U42" i="13"/>
  <c r="O83" i="13"/>
  <c r="G42" i="13"/>
  <c r="G83" i="13"/>
  <c r="I83" i="13"/>
  <c r="U83" i="13"/>
  <c r="N124" i="13"/>
  <c r="F42" i="13"/>
  <c r="F83" i="13"/>
  <c r="D124" i="13" l="1"/>
  <c r="D83" i="13"/>
  <c r="D42" i="13"/>
  <c r="D6" i="13"/>
  <c r="F8" i="13"/>
  <c r="D88" i="13"/>
  <c r="D47" i="13"/>
  <c r="D14" i="12"/>
  <c r="D20" i="12" s="1"/>
  <c r="D31" i="12" s="1"/>
  <c r="E14" i="12"/>
  <c r="E20" i="12" s="1"/>
  <c r="E31" i="12" s="1"/>
  <c r="C14" i="12"/>
  <c r="C20" i="12" s="1"/>
  <c r="C31" i="12" s="1"/>
  <c r="E49" i="13"/>
  <c r="E90" i="13"/>
  <c r="F10" i="13" l="1"/>
  <c r="D10" i="13" s="1"/>
  <c r="D8" i="13"/>
  <c r="E92" i="13"/>
  <c r="D92" i="13" s="1"/>
  <c r="D90" i="13"/>
  <c r="E51" i="13"/>
  <c r="D51" i="13" s="1"/>
  <c r="D49" i="13"/>
  <c r="K36" i="12" l="1"/>
  <c r="K37" i="12" s="1"/>
  <c r="K38" i="12" s="1"/>
  <c r="K39" i="12" s="1"/>
  <c r="K40" i="12" s="1"/>
  <c r="K41" i="12" s="1"/>
  <c r="K42" i="12" s="1"/>
  <c r="K43" i="12" s="1"/>
  <c r="K44" i="12" s="1"/>
  <c r="K45" i="12" s="1"/>
  <c r="K46" i="12" s="1"/>
  <c r="K47" i="12" s="1"/>
  <c r="K48" i="12" s="1"/>
  <c r="K49" i="12" s="1"/>
  <c r="K50" i="12" s="1"/>
  <c r="K51" i="12" s="1"/>
  <c r="K52" i="12" s="1"/>
  <c r="K53" i="12" s="1"/>
  <c r="K54" i="12" s="1"/>
  <c r="K55" i="12" s="1"/>
  <c r="K56" i="12" s="1"/>
  <c r="K57" i="12" s="1"/>
  <c r="K58" i="12" s="1"/>
  <c r="K59" i="12" s="1"/>
  <c r="K60" i="12" s="1"/>
  <c r="K61" i="12" s="1"/>
  <c r="K62" i="12" s="1"/>
  <c r="K63" i="12" s="1"/>
  <c r="K64" i="12" s="1"/>
  <c r="K65" i="12" s="1"/>
  <c r="K66" i="12" s="1"/>
  <c r="K67" i="12" s="1"/>
  <c r="K68" i="12" s="1"/>
  <c r="K69" i="12" s="1"/>
  <c r="K70" i="12" s="1"/>
  <c r="K71" i="12" s="1"/>
  <c r="K72" i="12" s="1"/>
  <c r="K73" i="12" s="1"/>
  <c r="K74" i="12" s="1"/>
  <c r="K75" i="12" s="1"/>
  <c r="K76" i="12" s="1"/>
  <c r="K77" i="12" s="1"/>
  <c r="K78" i="12" s="1"/>
  <c r="K79" i="12" s="1"/>
  <c r="K80" i="12" s="1"/>
  <c r="K81" i="12" s="1"/>
  <c r="K82" i="12" s="1"/>
  <c r="K83" i="12" s="1"/>
  <c r="K84" i="12" s="1"/>
  <c r="K85" i="12" s="1"/>
  <c r="K86" i="12" s="1"/>
  <c r="K87" i="12" s="1"/>
  <c r="K88" i="12" s="1"/>
  <c r="K89" i="12" s="1"/>
  <c r="K90" i="12" s="1"/>
  <c r="K91" i="12" s="1"/>
  <c r="K92" i="12" s="1"/>
  <c r="K93" i="12" s="1"/>
  <c r="K94" i="12" s="1"/>
  <c r="K95" i="12" s="1"/>
  <c r="K96" i="12" s="1"/>
  <c r="K97" i="12" s="1"/>
  <c r="K98" i="12" s="1"/>
  <c r="K99" i="12" s="1"/>
  <c r="K100" i="12" s="1"/>
  <c r="K101" i="12" s="1"/>
  <c r="K102" i="12" s="1"/>
  <c r="K103" i="12" s="1"/>
  <c r="K104" i="12" s="1"/>
  <c r="K105" i="12" s="1"/>
  <c r="K106" i="12" s="1"/>
  <c r="K107" i="12" s="1"/>
  <c r="K108" i="12" s="1"/>
  <c r="K109" i="12" s="1"/>
  <c r="K110" i="12" s="1"/>
  <c r="K111" i="12" s="1"/>
  <c r="K112" i="12" s="1"/>
  <c r="K113" i="12" s="1"/>
  <c r="K114" i="12" s="1"/>
  <c r="K115" i="12" s="1"/>
  <c r="K116" i="12" s="1"/>
  <c r="K117" i="12" s="1"/>
  <c r="K118" i="12" s="1"/>
  <c r="K119" i="12" s="1"/>
  <c r="K120" i="12" s="1"/>
  <c r="K121" i="12" s="1"/>
  <c r="K122" i="12" s="1"/>
  <c r="K123" i="12" s="1"/>
  <c r="K124" i="12" s="1"/>
  <c r="K125" i="12" s="1"/>
  <c r="K126" i="12" s="1"/>
  <c r="K127" i="12" s="1"/>
  <c r="K128" i="12" s="1"/>
  <c r="K129" i="12" s="1"/>
  <c r="K130" i="12" s="1"/>
  <c r="K131" i="12" s="1"/>
  <c r="K132" i="12" s="1"/>
  <c r="K133" i="12" s="1"/>
  <c r="K134" i="12" s="1"/>
  <c r="K135" i="12" s="1"/>
  <c r="K136" i="12" s="1"/>
  <c r="K7" i="12"/>
  <c r="K8" i="12" s="1"/>
  <c r="K9" i="12" s="1"/>
  <c r="K10" i="12" s="1"/>
  <c r="K11" i="12" s="1"/>
  <c r="K12" i="12" s="1"/>
  <c r="K13" i="12" s="1"/>
  <c r="K14" i="12" s="1"/>
  <c r="K15" i="12" s="1"/>
  <c r="K16" i="12" s="1"/>
  <c r="K17" i="12" s="1"/>
  <c r="K18" i="12" s="1"/>
  <c r="K19" i="12" s="1"/>
  <c r="K20" i="12" s="1"/>
  <c r="K21" i="12" s="1"/>
  <c r="K22" i="12" s="1"/>
  <c r="K23" i="12" s="1"/>
  <c r="K24" i="12" s="1"/>
  <c r="K25" i="12" s="1"/>
  <c r="K26" i="12" s="1"/>
  <c r="K27" i="12" s="1"/>
  <c r="K28" i="12" s="1"/>
  <c r="K29" i="12" s="1"/>
  <c r="K30" i="12" s="1"/>
  <c r="K31" i="12" s="1"/>
  <c r="K32" i="12" s="1"/>
  <c r="K33" i="12" s="1"/>
  <c r="K34" i="12" s="1"/>
</calcChain>
</file>

<file path=xl/comments1.xml><?xml version="1.0" encoding="utf-8"?>
<comments xmlns="http://schemas.openxmlformats.org/spreadsheetml/2006/main">
  <authors>
    <author>MinFin</author>
  </authors>
  <commentList>
    <comment ref="A12" authorId="0" shapeId="0">
      <text>
        <r>
          <rPr>
            <b/>
            <sz val="8"/>
            <color indexed="81"/>
            <rFont val="Tahoma"/>
            <family val="2"/>
            <charset val="238"/>
          </rPr>
          <t>npr. 02506</t>
        </r>
      </text>
    </comment>
    <comment ref="B12" authorId="0" shapeId="0">
      <text>
        <r>
          <rPr>
            <b/>
            <sz val="8"/>
            <color indexed="81"/>
            <rFont val="Tahoma"/>
            <family val="2"/>
            <charset val="238"/>
          </rPr>
          <t>npr. 11</t>
        </r>
      </text>
    </comment>
    <comment ref="C12" authorId="0" shapeId="0">
      <text>
        <r>
          <rPr>
            <b/>
            <sz val="8"/>
            <color indexed="81"/>
            <rFont val="Tahoma"/>
            <family val="2"/>
            <charset val="238"/>
          </rPr>
          <t>npr. A539103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12" authorId="0" shapeId="0">
      <text>
        <r>
          <rPr>
            <b/>
            <sz val="8"/>
            <color indexed="81"/>
            <rFont val="Tahoma"/>
            <family val="2"/>
            <charset val="238"/>
          </rPr>
          <t>npr. 5521</t>
        </r>
      </text>
    </comment>
    <comment ref="F12" authorId="0" shapeId="0">
      <text>
        <r>
          <rPr>
            <b/>
            <sz val="8"/>
            <color indexed="81"/>
            <rFont val="Tahoma"/>
            <family val="2"/>
            <charset val="238"/>
          </rPr>
          <t>npr. 21.000.000,00</t>
        </r>
      </text>
    </comment>
    <comment ref="G12" authorId="0" shapeId="0">
      <text>
        <r>
          <rPr>
            <b/>
            <sz val="8"/>
            <color indexed="81"/>
            <rFont val="Tahoma"/>
            <family val="2"/>
            <charset val="238"/>
          </rPr>
          <t>npr. 21.000.000,00</t>
        </r>
      </text>
    </comment>
    <comment ref="H12" authorId="0" shapeId="0">
      <text>
        <r>
          <rPr>
            <b/>
            <sz val="8"/>
            <color indexed="81"/>
            <rFont val="Tahoma"/>
            <family val="2"/>
            <charset val="238"/>
          </rPr>
          <t>npr. 21.000.000,00</t>
        </r>
      </text>
    </comment>
  </commentList>
</comments>
</file>

<file path=xl/sharedStrings.xml><?xml version="1.0" encoding="utf-8"?>
<sst xmlns="http://schemas.openxmlformats.org/spreadsheetml/2006/main" count="5084" uniqueCount="2360">
  <si>
    <t>MJESTO I DATUM</t>
  </si>
  <si>
    <t>OSOBA ZA KONTAKTIRANJE</t>
  </si>
  <si>
    <t>TELEFON ZA KONTAKT</t>
  </si>
  <si>
    <t>OPĆI DIO</t>
  </si>
  <si>
    <t>PRIHODI UKUPNO</t>
  </si>
  <si>
    <t>PRIHODI POSLOVANJA</t>
  </si>
  <si>
    <t>PRIHODI OD NEFINANCIJSKE IMOVINE</t>
  </si>
  <si>
    <t>RASHODI UKUPNO</t>
  </si>
  <si>
    <t>RASHODI  POSLOVANJA</t>
  </si>
  <si>
    <t>RASHODI ZA NEFINANCIJSKU IMOVINU</t>
  </si>
  <si>
    <t>RAZLIKA - VIŠAK / MANJAK</t>
  </si>
  <si>
    <t>DONOS</t>
  </si>
  <si>
    <t>Ukupan donos neutrošenih prihoda iz prethodne/ih godina</t>
  </si>
  <si>
    <t>ODNOS</t>
  </si>
  <si>
    <t>Ukupan odnos neutrošenih prihoda u sljedeću godinu</t>
  </si>
  <si>
    <t>PRIMICI OD FINANCIJSKE IMOVINE I ZADUŽIVANJA</t>
  </si>
  <si>
    <t>IZDACI ZA FINANCIJSKU IMOVINU I OTPLATE ZAJMOVA</t>
  </si>
  <si>
    <t>NETO FINANCIRANJE</t>
  </si>
  <si>
    <t>VIŠAK / MANJAK + DONOS + ODNOS + NETO FINANCIRANJE</t>
  </si>
  <si>
    <t xml:space="preserve">IZVOR 31                  Vlastiti prihodi </t>
  </si>
  <si>
    <t xml:space="preserve">IZVOR 43                   Prihodi za posebne namjene </t>
  </si>
  <si>
    <t>Prihodi od pruženih usluga</t>
  </si>
  <si>
    <t>Ostale naknade i pristojbe za posebne namjene</t>
  </si>
  <si>
    <t>Tekuće pomoći od institucija i tijela EU - ostalo</t>
  </si>
  <si>
    <t>Kapitalne pomoći od institucija i tijela EU - ostalo</t>
  </si>
  <si>
    <t>Tekuće pomoći od inozemnih vlada u EU</t>
  </si>
  <si>
    <t>Tekuće pomoći od inozemnih vlada izvan EU</t>
  </si>
  <si>
    <t>Kapitalne pomoći od inozemnih vlada u EU</t>
  </si>
  <si>
    <t>Kapitalne pomoći od inozemnih vlada izvan EU</t>
  </si>
  <si>
    <t>Tekuće pomoći temeljem prijenosa EU sredstava</t>
  </si>
  <si>
    <t>Kapitalne pomoći temeljem prijenosa EU sredstava</t>
  </si>
  <si>
    <t>Tekući prijenosi između proračunskih korisnika istog proračuna</t>
  </si>
  <si>
    <t>Kapitalni prijenosi između proračunskih korisnika istog proračuna</t>
  </si>
  <si>
    <t>Tekući prijenosi između proračunskih korisnika istog proračuna temeljem prijenosa EU sredstava</t>
  </si>
  <si>
    <t>Kapitalni prijenosi između proračunskih korisnika istog proračuna temeljem prijenosa EU sredstava</t>
  </si>
  <si>
    <t>Tekuće donacije od fizičkih osoba</t>
  </si>
  <si>
    <t>Tekuće donacije od neprofitnih organizacija</t>
  </si>
  <si>
    <t>Tekuće donacije od trgovačkih društava</t>
  </si>
  <si>
    <t>Kapitalne donacije od neprofitnih organizacija</t>
  </si>
  <si>
    <t>Kapitalne donacije od trgovačkih društava</t>
  </si>
  <si>
    <t xml:space="preserve">IZVOR 11              Opći prihodi i primici </t>
  </si>
  <si>
    <t>Prijenosi između proračunskih korisnika istog proračuna</t>
  </si>
  <si>
    <t>2021.</t>
  </si>
  <si>
    <t>GLAVA</t>
  </si>
  <si>
    <t>OPIS GLAVE</t>
  </si>
  <si>
    <t>IZVOR</t>
  </si>
  <si>
    <t>OPIS IZVORA</t>
  </si>
  <si>
    <t>AKTIVNOST</t>
  </si>
  <si>
    <t>OPIS AKTIVNOSTI</t>
  </si>
  <si>
    <t>3705</t>
  </si>
  <si>
    <t>VISOKO OBRAZOVANJE</t>
  </si>
  <si>
    <t>08006</t>
  </si>
  <si>
    <t>Sveučilišta i veleučilišta u Republici Hrvatskoj</t>
  </si>
  <si>
    <t>Opći prihodi i primici</t>
  </si>
  <si>
    <t>Plaće za redovan rad</t>
  </si>
  <si>
    <t>A621001</t>
  </si>
  <si>
    <t>REDOVNA DJELATNOST SVEUČILIŠTA U ZAGREBU</t>
  </si>
  <si>
    <t>Ostali rashodi za zaposlene</t>
  </si>
  <si>
    <t>Doprinosi za obvezno zdravstveno osiguranje</t>
  </si>
  <si>
    <t>Naknade za prijevoz, za rad na terenu i odvojeni život</t>
  </si>
  <si>
    <t>Zdravstvene i veterinarske usluge</t>
  </si>
  <si>
    <t>Pristojbe i naknade</t>
  </si>
  <si>
    <t>Tekuće donacije u novcu</t>
  </si>
  <si>
    <t>Namjenski primici od zaduživanja</t>
  </si>
  <si>
    <t>Ostali nespomenuti rashodi poslovanja</t>
  </si>
  <si>
    <t>A621002</t>
  </si>
  <si>
    <t>REDOVNA DJELATNOST SVEUČILIŠTA U RIJECI</t>
  </si>
  <si>
    <t>Poslovni objekti</t>
  </si>
  <si>
    <t>A621003</t>
  </si>
  <si>
    <t>REDOVNA DJELATNOST SVEUČILIŠTA U OSIJEKU</t>
  </si>
  <si>
    <t>A621004</t>
  </si>
  <si>
    <t>REDOVNA DJELATNOST SVEUČILIŠTA U SPLITU</t>
  </si>
  <si>
    <t>Naknade građanima i kućanstvima u novcu</t>
  </si>
  <si>
    <t>Intelektualne i osobne usluge</t>
  </si>
  <si>
    <t>Ostali nespomenuti financijski rashodi</t>
  </si>
  <si>
    <t>A621074</t>
  </si>
  <si>
    <t>REDOVNA DJELATNOST SVEUČILIŠTA U ZADRU</t>
  </si>
  <si>
    <t>A621138</t>
  </si>
  <si>
    <t>REDOVNA DJELATNOST SVEUČILIŠTA U DUBROVNIKU</t>
  </si>
  <si>
    <t>A621148</t>
  </si>
  <si>
    <t>REDOVNA DJELATNOST VELEUČILIŠTA I VISOKIH ŠKOLA</t>
  </si>
  <si>
    <t>Premije osiguranja</t>
  </si>
  <si>
    <t>A621168</t>
  </si>
  <si>
    <t>REDOVNA DJELATNOST SVEUČILIŠTA U PULI</t>
  </si>
  <si>
    <t>Usluge promidžbe i informiranja</t>
  </si>
  <si>
    <t>Službena putovanja</t>
  </si>
  <si>
    <t>Uredski materijal i ostali materijalni rashodi</t>
  </si>
  <si>
    <t>Naknade troškova osobama izvan radnog odnosa</t>
  </si>
  <si>
    <t>Naknade za rad predstavničkih i izvršnih tijela, povjerensta</t>
  </si>
  <si>
    <t>Bankarske usluge i usluge platnog prometa</t>
  </si>
  <si>
    <t>Ostale usluge</t>
  </si>
  <si>
    <t>Reprezentacija</t>
  </si>
  <si>
    <t>Članarine i norme</t>
  </si>
  <si>
    <t>Pomoći EU</t>
  </si>
  <si>
    <t>Tekuće pomoći inozemnim vladama</t>
  </si>
  <si>
    <t>Energija</t>
  </si>
  <si>
    <t>Usluge tekućeg i investicijskog održavanja</t>
  </si>
  <si>
    <t>Komunalne usluge</t>
  </si>
  <si>
    <t>Vlastiti prihodi</t>
  </si>
  <si>
    <t>A679071</t>
  </si>
  <si>
    <t>Materijal i dijelovi za tekuće i investicijsko održavanje</t>
  </si>
  <si>
    <t>Tekuće donacije iz EU sredstava</t>
  </si>
  <si>
    <t>Uredska oprema i namještaj</t>
  </si>
  <si>
    <t>Ostali prihodi za posebne namjene</t>
  </si>
  <si>
    <t>Stručno usavršavanje zaposlenika</t>
  </si>
  <si>
    <t>Negativne tečajne razlike i razlike zbog primjene valutne kl</t>
  </si>
  <si>
    <t>Tekuće pomoći proračunskim korisnicima drugih proračuna</t>
  </si>
  <si>
    <t>Materijal i sirovine</t>
  </si>
  <si>
    <t>Sitni inventar i auto gume</t>
  </si>
  <si>
    <t>Usluge telefona, pošte i prijevoza</t>
  </si>
  <si>
    <t>Računalne usluge</t>
  </si>
  <si>
    <t>Tekući prijenosi između proračunskih korisnika istog proraču</t>
  </si>
  <si>
    <t>Naknade građanima i kućanstvima iz EU sredstava</t>
  </si>
  <si>
    <t>Komunikacijska oprema</t>
  </si>
  <si>
    <t>Knjige</t>
  </si>
  <si>
    <t>Ulaganja u računalne programe</t>
  </si>
  <si>
    <t>Ostale pomoći</t>
  </si>
  <si>
    <t>Zakupnine i najamnine</t>
  </si>
  <si>
    <t>Europski socijalni fond (ESF)</t>
  </si>
  <si>
    <t>Medicinska i laboratorijska oprema</t>
  </si>
  <si>
    <t>Europski fond za regionalni razvoj (ERDF)</t>
  </si>
  <si>
    <t>Ostala prava</t>
  </si>
  <si>
    <t>Donacije</t>
  </si>
  <si>
    <t>Instrumenti, uređaji i strojevi</t>
  </si>
  <si>
    <t>A679072</t>
  </si>
  <si>
    <t>Službena, radna i zaštitna odjeća i obuća</t>
  </si>
  <si>
    <t>Oprema za održavanje i zaštitu</t>
  </si>
  <si>
    <t>Ostala nematerijalna proizvedena imovina</t>
  </si>
  <si>
    <t>Dodatna ulaganja na građevinskim objektima</t>
  </si>
  <si>
    <t>Pohranjene knjige, umjetnička djela i slične vrijednosti</t>
  </si>
  <si>
    <t>Naknade građ. i kuć. u novcu-neposr. ili putem ust.izvan js</t>
  </si>
  <si>
    <t>A679074</t>
  </si>
  <si>
    <t>Plaće za prekovremeni rad</t>
  </si>
  <si>
    <t>Ostale naknade troškova zaposlenima</t>
  </si>
  <si>
    <t>Naknade građanima i kućanstvima na temelju osiguranja iz EU</t>
  </si>
  <si>
    <t>Licence</t>
  </si>
  <si>
    <t>Uređaji, strojevi i oprema za ostale namjene</t>
  </si>
  <si>
    <t>A679075</t>
  </si>
  <si>
    <t xml:space="preserve">  Reprezentacija</t>
  </si>
  <si>
    <t>A679076</t>
  </si>
  <si>
    <t>Subvencije trgovačkim društvima, zadrugama, poljoprivrednici</t>
  </si>
  <si>
    <t>A679077</t>
  </si>
  <si>
    <t>Dodatna ulaganja za ostalu nefinancijsku imovinu</t>
  </si>
  <si>
    <t>Zatezne kamate</t>
  </si>
  <si>
    <t>Tekuće pomoći međunarodnim organizacijama te institucijama i</t>
  </si>
  <si>
    <t>A679078</t>
  </si>
  <si>
    <t>Umjetnička djela (izložena u galerijama, muzejima i slično)</t>
  </si>
  <si>
    <t>Dodatna ulaganja na postrojenjima i opremi</t>
  </si>
  <si>
    <t>Naknade građ. i kuć. u naravi-neposr. ili putem ust.izvan js</t>
  </si>
  <si>
    <t>A679080</t>
  </si>
  <si>
    <t>REDOVNA DJELATNOST SVEUČILIŠTA SJEVER</t>
  </si>
  <si>
    <t>A679081</t>
  </si>
  <si>
    <t>A679088</t>
  </si>
  <si>
    <t>Plaće u naravi</t>
  </si>
  <si>
    <t>Plaće za posebne uvjete rada</t>
  </si>
  <si>
    <t>Troškovi sudskih postupaka</t>
  </si>
  <si>
    <t>Kamate za primljene kredite i zajmove od kreditnih i ostalih</t>
  </si>
  <si>
    <t>Naknade građanima i kućanstvima u naravi</t>
  </si>
  <si>
    <t>Tekuće donacije u naravi</t>
  </si>
  <si>
    <t>Naknade šteta pravnim i fizičkim osobama</t>
  </si>
  <si>
    <t>Naknade šteta zaposlenicima</t>
  </si>
  <si>
    <t>Ugovorene kazne i ostale naknade šteta</t>
  </si>
  <si>
    <t>Ostale kazne</t>
  </si>
  <si>
    <t>Zemljište</t>
  </si>
  <si>
    <t>Koncesije</t>
  </si>
  <si>
    <t>Ostala nematerijalna imovina</t>
  </si>
  <si>
    <t>Ceste, željeznice i ostali prometni objekti</t>
  </si>
  <si>
    <t>Ostali građevinski objekti</t>
  </si>
  <si>
    <t>Sportska i glazbena oprema</t>
  </si>
  <si>
    <t>Prijevozna sredstva u cestovnom prometu</t>
  </si>
  <si>
    <t>Višegodišnji nasadi</t>
  </si>
  <si>
    <t>Osnovno stado</t>
  </si>
  <si>
    <t>Umjetnička, literarna i znanstvena djela</t>
  </si>
  <si>
    <t>Strateške zalihe</t>
  </si>
  <si>
    <t>Otplata glavnice primljenih kredita od tuzemnih kreditnih in</t>
  </si>
  <si>
    <t>Naknade građanima i kućanstvima u novcu - putem ustanova u j</t>
  </si>
  <si>
    <t>Kapitalne donacije neprofitnim organizacijama</t>
  </si>
  <si>
    <t>Prijevozna sredstva u pomorskom i riječnom prometu</t>
  </si>
  <si>
    <t>Ostale nespomenute izložbene vrijednosti</t>
  </si>
  <si>
    <t>Stambeni objekti</t>
  </si>
  <si>
    <t>Prihodi od nefin. imovine i nadoknade štete s osnova osig.</t>
  </si>
  <si>
    <t>A679089</t>
  </si>
  <si>
    <t>Vojna sredstva za jednokratnu upotrebu</t>
  </si>
  <si>
    <t>Kapitalni prijenosi između proračunskih korisnika istog pror</t>
  </si>
  <si>
    <t>A679090</t>
  </si>
  <si>
    <t>Tekuće pomoći unutar općeg proračuna</t>
  </si>
  <si>
    <t>Subvencije kreditnim i ostalim financijskim institucijama u</t>
  </si>
  <si>
    <t>A679091</t>
  </si>
  <si>
    <t>Subvencije trgovačkim društvima u javnom sektoru</t>
  </si>
  <si>
    <t>Kapitalne pomoći proračunskim korisnicima drugih proračuna</t>
  </si>
  <si>
    <t>Dodatna ulaganja na prijevoznim sredstvima</t>
  </si>
  <si>
    <t>A679092</t>
  </si>
  <si>
    <t>A679093</t>
  </si>
  <si>
    <t>Kamate za izdane trezorske zapise</t>
  </si>
  <si>
    <t>A679094</t>
  </si>
  <si>
    <t>Kamate za primljene zajmove od trgovačkih društava i obrtnik</t>
  </si>
  <si>
    <t>Naknade građanima i kućanstvima u naravi - putem ustanova u</t>
  </si>
  <si>
    <t>Ostala prirodna materijalna imovina</t>
  </si>
  <si>
    <t>Dani zajmovi neprofitnim organizacijama, građanima i kućanst</t>
  </si>
  <si>
    <t>Penali, ležarine i drugo</t>
  </si>
  <si>
    <t>A679095</t>
  </si>
  <si>
    <t>A679096</t>
  </si>
  <si>
    <t>Šifra</t>
  </si>
  <si>
    <t>Naziv</t>
  </si>
  <si>
    <t>RASHODI POSLOVANJA</t>
  </si>
  <si>
    <t>Rashodi za zaposlene</t>
  </si>
  <si>
    <t>Materijalni rashodi</t>
  </si>
  <si>
    <t>Naknade troškova zaposlenima</t>
  </si>
  <si>
    <t>Rashodi za materijal i energiju</t>
  </si>
  <si>
    <t>Rashodi za usluge</t>
  </si>
  <si>
    <t>Financijski rashodi</t>
  </si>
  <si>
    <t>Ostali financijski rashodi</t>
  </si>
  <si>
    <t>Pomoći dane u inozemstvo i unutar općeg proračuna</t>
  </si>
  <si>
    <t>Ostale naknade građanima i kućanstvima iz proračuna</t>
  </si>
  <si>
    <t>Ostali rashodi</t>
  </si>
  <si>
    <t>Tekuće donacije</t>
  </si>
  <si>
    <t>RASHODI ZA NABAVU NEFINANCIJSKE IMOVINE</t>
  </si>
  <si>
    <t>Građevinski objekti</t>
  </si>
  <si>
    <t>Postrojenja i oprema</t>
  </si>
  <si>
    <t>Prijevozna sredstva</t>
  </si>
  <si>
    <t>Knjige, umjetnička djela i ostale izložbene vrijednosti</t>
  </si>
  <si>
    <t>Nematerijalna proizvedena imovina</t>
  </si>
  <si>
    <t>Rashodi za dodatna ulaganja na nefinancijskoj imovini</t>
  </si>
  <si>
    <t>Prilog 6. PLAN IZDATAKA ZA OTPLATU GLAVNICE PRIMLJENIH ZAJMOVA</t>
  </si>
  <si>
    <t>Razdjel/Glava       ______________________________</t>
  </si>
  <si>
    <t>Izdaci za otplatu glavnice primljenih zajmova</t>
  </si>
  <si>
    <t>Glava</t>
  </si>
  <si>
    <t>Izvor financiranja</t>
  </si>
  <si>
    <t>Aktivnost/ Projekt</t>
  </si>
  <si>
    <t>Konto izdatka</t>
  </si>
  <si>
    <t>Prijedlog za 
2021.</t>
  </si>
  <si>
    <t>Potpis odgovorne osobe:</t>
  </si>
  <si>
    <t>Mjesto i datum:</t>
  </si>
  <si>
    <t>Napomena:</t>
  </si>
  <si>
    <t>Plaće</t>
  </si>
  <si>
    <t>RASHODI</t>
  </si>
  <si>
    <t>Kamate za ostale vrijednosne papire izvor 31</t>
  </si>
  <si>
    <t>Kamate na oročena sredstva izvor 31</t>
  </si>
  <si>
    <t>Kamate na depozite po viđenju izvor 31</t>
  </si>
  <si>
    <t>Prihod od dividendi na dionice u kreditnim i ostalim financijskim institucijama izvan javnog sektora izvor 31</t>
  </si>
  <si>
    <t>Prihodi od prodaje kratkotrajne nefinancijske imovine izvor 31</t>
  </si>
  <si>
    <t>Ostali prihodi od nefinancijske imovine izvor 31</t>
  </si>
  <si>
    <t>Prihodi iz dobiti trgovačkih društava u javnom sektoru izvor 43</t>
  </si>
  <si>
    <t>Sufinanciranje cijene usluge, participacije i slično</t>
  </si>
  <si>
    <t>Prihodi s naslova osiguranja, refundacije štete i totalne štete izvor 43</t>
  </si>
  <si>
    <t>Ostale nespomenute kazne izvor 43</t>
  </si>
  <si>
    <t>Ostali prihodi izvor 43</t>
  </si>
  <si>
    <t>Tekuće pomoći od institucija i tijela EU - refundacije putnih troškova</t>
  </si>
  <si>
    <t>Ulaganja na tuđoj imovini radi prava korištenja izvor 71</t>
  </si>
  <si>
    <t>Ostala nespomenuta prava izvor 71</t>
  </si>
  <si>
    <t>Stambeni objekti za zaposlene izvor 71</t>
  </si>
  <si>
    <t>Ostali stambeni objekti izvor 71</t>
  </si>
  <si>
    <t>Zgrade znanstvenih i obrazovnih institucija (fakulteti, škole, vrtići i slično) izvor 71</t>
  </si>
  <si>
    <t>Ostali poslovni građevinski objekti izvor 71</t>
  </si>
  <si>
    <t>Računala i računalna oprema izvor 71</t>
  </si>
  <si>
    <t>Ostala uredska oprema izvor 71</t>
  </si>
  <si>
    <t>Glazbeni instrumenti i oprema izvor 71</t>
  </si>
  <si>
    <t>Oprema izvor 71</t>
  </si>
  <si>
    <t>Osobni automobili izvor 71</t>
  </si>
  <si>
    <t>Osnovno stado izvor 71</t>
  </si>
  <si>
    <t>Prihodi iz nadležnog proračuna za financiranje redovne djelatnosti proračunskih korisnika</t>
  </si>
  <si>
    <t>Rashodi za nabavu proizvedene dugotrajne imovine</t>
  </si>
  <si>
    <t>Doprinisi na plaće</t>
  </si>
  <si>
    <t>Sredstva učešća za pomoći</t>
  </si>
  <si>
    <t>K679084</t>
  </si>
  <si>
    <t>Subvencije trgovačkim društvima izvan javnog sektora</t>
  </si>
  <si>
    <t>Kapitalne pomoći unutar općeg proračuna</t>
  </si>
  <si>
    <t>PLAN PRIHODA I PRIMITAKA</t>
  </si>
  <si>
    <t>u kunama</t>
  </si>
  <si>
    <t>Izvor prihoda i primitaka</t>
  </si>
  <si>
    <t>Stavka</t>
  </si>
  <si>
    <t>Naziv stavke</t>
  </si>
  <si>
    <t xml:space="preserve">Ukupno </t>
  </si>
  <si>
    <t>IZVOR 51                              Pomoći EU</t>
  </si>
  <si>
    <t xml:space="preserve">IZVOR 52                              Ostale pomoći </t>
  </si>
  <si>
    <t>IZVOR 559                          Ostale refundacije iz sredstava EU</t>
  </si>
  <si>
    <t>IZVOR 561                         Europski socijalni fond (ESF)</t>
  </si>
  <si>
    <t>IZVOR 563                         Europski fond za regionalni razvoj (EFRR)</t>
  </si>
  <si>
    <t xml:space="preserve">IZVOR 61                         Donacije </t>
  </si>
  <si>
    <t xml:space="preserve">IZVOR 63                         Inozemne donacije </t>
  </si>
  <si>
    <t>LIMIT ZA RASHODNU STRANU</t>
  </si>
  <si>
    <t>631</t>
  </si>
  <si>
    <t>Pomoći od inozemnih vlada</t>
  </si>
  <si>
    <t>632</t>
  </si>
  <si>
    <t>Pomoći od međunarodnih organizacija te institucija i tijela EU</t>
  </si>
  <si>
    <t>634</t>
  </si>
  <si>
    <t>Pomoći od izvanproračunskih korisnika</t>
  </si>
  <si>
    <t>638</t>
  </si>
  <si>
    <t>Pomoći temeljem prijenosa EU sredstava</t>
  </si>
  <si>
    <t>639</t>
  </si>
  <si>
    <t>641</t>
  </si>
  <si>
    <t>Prihodi od financijske imovine</t>
  </si>
  <si>
    <t>642</t>
  </si>
  <si>
    <t>Prihodi od nefinancijske imovine</t>
  </si>
  <si>
    <t>652</t>
  </si>
  <si>
    <t>Prihodi po posebnim propisima</t>
  </si>
  <si>
    <t>661</t>
  </si>
  <si>
    <t>Prihodi od prodaje proizvoda i robe te pruženih usluga</t>
  </si>
  <si>
    <t>663</t>
  </si>
  <si>
    <t>Donacije od pravnih i fizičkih osoba izvan općeg proračuna</t>
  </si>
  <si>
    <t>671</t>
  </si>
  <si>
    <t>681</t>
  </si>
  <si>
    <t>Kazne i upravne mjere</t>
  </si>
  <si>
    <t>683</t>
  </si>
  <si>
    <t>Ostali prihodi</t>
  </si>
  <si>
    <t>6</t>
  </si>
  <si>
    <t>UKUPNO:</t>
  </si>
  <si>
    <t>721</t>
  </si>
  <si>
    <t>Prihodi od prodaje građevinskih objekata</t>
  </si>
  <si>
    <t>722</t>
  </si>
  <si>
    <t>Prihodi od prodaje postrojenja i opreme</t>
  </si>
  <si>
    <t>723</t>
  </si>
  <si>
    <t>Prihodi od prodaje prijevoznih sredstava</t>
  </si>
  <si>
    <t>7</t>
  </si>
  <si>
    <t>Primici (povrati) glavnice zajmova danih neprofitnim organizacijama, građanima i kućanstvima</t>
  </si>
  <si>
    <t>8</t>
  </si>
  <si>
    <t>Ukupno (po izvorima)</t>
  </si>
  <si>
    <t>IZVOR 71                          Prihodi od nefinancijske imovine i nadoknade šteta s osnova osiguranja</t>
  </si>
  <si>
    <t>711</t>
  </si>
  <si>
    <t>Prihodi od prodaje materijalne imovine - prirodnih bogatstava</t>
  </si>
  <si>
    <t>712</t>
  </si>
  <si>
    <t>Prihodi od prodaje nematerijalne imovine</t>
  </si>
  <si>
    <t>725</t>
  </si>
  <si>
    <t>Prihodi od prodaje višegodišnjih nasada i osnovnog stada</t>
  </si>
  <si>
    <t>Primljeni krediti i zajmovi od kreditnih i ostalih financijskih institucija u javnom sektoru</t>
  </si>
  <si>
    <t>IZVOR 12             Sredstva učešća za pomoći</t>
  </si>
  <si>
    <t>Kamate za izdane vrijednosne papire</t>
  </si>
  <si>
    <t>Kamate za primljene kredite i zajmove</t>
  </si>
  <si>
    <t>Subvencije</t>
  </si>
  <si>
    <t>Subvencije trgovačkim društvima, zadrugama, poljoprivrednicima i obrtnicima izvan javnog sektora</t>
  </si>
  <si>
    <t xml:space="preserve">Subvencije trgovačkim društvima, zadrugama, poljoprivrednicima i obrtnicima iz EU sredstava </t>
  </si>
  <si>
    <t>Pomoći inozemnim vladama</t>
  </si>
  <si>
    <t>Pomoći međunarodnim organizacijama te institucijama i tijelima EU</t>
  </si>
  <si>
    <t>Pomoći unutar općeg proračuna</t>
  </si>
  <si>
    <t>Pomoći proračunskim korisnicima drugih proračuna</t>
  </si>
  <si>
    <t>Naknade građanima i kućanstvima na temelju osiguranja i druge naknade</t>
  </si>
  <si>
    <t>Naknade građanima i kućanstvima na temelju osiguranja</t>
  </si>
  <si>
    <t>Kapitalne donacije</t>
  </si>
  <si>
    <t>Kazne, penali i naknade štete</t>
  </si>
  <si>
    <t xml:space="preserve">Kapitalne pomoći </t>
  </si>
  <si>
    <t>Rashodi za nabavu neproizvedene dugotrajne imovine</t>
  </si>
  <si>
    <t>Materijalna imovina - prirodna bogatstva</t>
  </si>
  <si>
    <t>Nematerijalna imovina</t>
  </si>
  <si>
    <t>Višegodišnji nasadi i osnovno stado</t>
  </si>
  <si>
    <t>Plemeniti metali i ostale pohranjene vrijednosti</t>
  </si>
  <si>
    <t>Rashodi za nabavu proizvedene kratkotrajne imovine</t>
  </si>
  <si>
    <t>Rashodi za nabavu zaliha</t>
  </si>
  <si>
    <t>Vrhunska istraživanja Znanstvenih centara izvrsnosti</t>
  </si>
  <si>
    <t>Ulaganje u organizacijsku reformu i infrastrukturu sektora istraživanja, razvoja i inovacija</t>
  </si>
  <si>
    <t>PRIHODI (6+7)</t>
  </si>
  <si>
    <t>UKUPNO RASHODI</t>
  </si>
  <si>
    <t>KONTROLA</t>
  </si>
  <si>
    <r>
      <t xml:space="preserve">ODNOS </t>
    </r>
    <r>
      <rPr>
        <b/>
        <sz val="10"/>
        <rFont val="Calibri"/>
        <family val="2"/>
        <charset val="238"/>
      </rPr>
      <t>(unosi se s negativnim predznakom)</t>
    </r>
  </si>
  <si>
    <t xml:space="preserve">IZVOR 11             Opći prihodi i primici </t>
  </si>
  <si>
    <t>PRIJEDLOG PLANA 
UKUPNO za 2019.</t>
  </si>
  <si>
    <t>PROJEKCIJA PLANA 
UKUPNO za 2020.</t>
  </si>
  <si>
    <t>PROJEKCIJA PLANA 
UKUPNO za 2021.</t>
  </si>
  <si>
    <t>Izdaci za dane zajmove i depozite</t>
  </si>
  <si>
    <t>Izdaci za otplatu glavnice primljenih kredita i zajmova</t>
  </si>
  <si>
    <t>UKUPNO RASHODI I IZDACI</t>
  </si>
  <si>
    <t>E-MAIL ZA KONTAKT</t>
  </si>
  <si>
    <t>RKP-NAZIV PRORAČUNSKOG KORISNIKA</t>
  </si>
  <si>
    <t>Izdaci za dane zajmove neprofitnim organizacijama, građanima i kućanstvima</t>
  </si>
  <si>
    <t>Izdaci za dane zajmove trgovačkim društvima u javnom sektoru</t>
  </si>
  <si>
    <t xml:space="preserve">Izdaci za depozite i jamčevne pologe </t>
  </si>
  <si>
    <t>Otplata glavnice primljenih kredita i zajmova od kreditnih i ostalih financijskih institucija u javnom sektoru</t>
  </si>
  <si>
    <t>Otplata glavnice primljenih zajmova od trgovačkih društava u javnom sektoru</t>
  </si>
  <si>
    <t>Otplata glavnice primljenih kredita i zajmova od kreditnih i ostalih financijskih institucija izvan javnog sektora</t>
  </si>
  <si>
    <t>Otplata glavnice primljenih zajmova od trgovačkih društava i obrtnika izvan javnog sektora</t>
  </si>
  <si>
    <t>Otplata glavnice primljenih zajmova od drugih razina vlasti</t>
  </si>
  <si>
    <t>glava za visoko 6</t>
  </si>
  <si>
    <t>R.
BR.</t>
  </si>
  <si>
    <t>RKP</t>
  </si>
  <si>
    <t>NAZIV PRORAČUNSKOGA KORISNIKA</t>
  </si>
  <si>
    <t>DODIJELI PRIPADNOST PREMA RKP-U: 
GLAVA I SVEUČILIŠTE/MZO</t>
  </si>
  <si>
    <t>ADRESA 
PRORAČUNSKOGA KORISNIKA</t>
  </si>
  <si>
    <t>POŠTANSKI BROJ I NAZIV
GRADA/OPĆINE</t>
  </si>
  <si>
    <t>MATIČNI BROJ</t>
  </si>
  <si>
    <t>OIB</t>
  </si>
  <si>
    <t>DONJE SVETICE 38</t>
  </si>
  <si>
    <t>10000 ZAGREB</t>
  </si>
  <si>
    <t>SVEUČILIŠTE J.J STROSSMAYERA U OSIJEKU</t>
  </si>
  <si>
    <t>TRG SV. TROJSTVA 3</t>
  </si>
  <si>
    <t>31000 OSIJEK</t>
  </si>
  <si>
    <t>78808975734</t>
  </si>
  <si>
    <t>SVEUČILIŠTE J.J STROSSMAYERA U OSIJEKU - EKONOMSKI FAKULTET</t>
  </si>
  <si>
    <t>TRG LJUDEVITA GAJA 7</t>
  </si>
  <si>
    <t>52778515544</t>
  </si>
  <si>
    <t>KNEZA TRPIMIRA 2 B</t>
  </si>
  <si>
    <t>95494259952</t>
  </si>
  <si>
    <t>SVEUČILIŠTE J.J STROSSMAYERA U OSIJEKU - FILOZOFSKI FAKULTET</t>
  </si>
  <si>
    <t>LORENZA JAGERA 9</t>
  </si>
  <si>
    <t>58868871646</t>
  </si>
  <si>
    <t>SVEUČILIŠTE J.J.STROSSMAYERA U OSIJEKU - GRADSKA I SVEUČILIŠNA KNJIŽNICA</t>
  </si>
  <si>
    <t>EUROPSKA AVENIJA 24</t>
  </si>
  <si>
    <t>46627536930</t>
  </si>
  <si>
    <t>04150850819</t>
  </si>
  <si>
    <t>SVEUČILIŠTE J.J STROSSMAYERA U OSIJEKU - MEDICINSKI FAKULTET</t>
  </si>
  <si>
    <t>HUTTLEROVA 4</t>
  </si>
  <si>
    <t>16214165873</t>
  </si>
  <si>
    <t>VLADIMIRA PRELOGA 1</t>
  </si>
  <si>
    <t>98816779821</t>
  </si>
  <si>
    <t>SVEUČILIŠTE J.J STROSSMAYERA U OSIJEKU - PRAVNI FAKULTET</t>
  </si>
  <si>
    <t>STJEPANA RADIĆA 13</t>
  </si>
  <si>
    <t xml:space="preserve"> 31000 OSIJEK</t>
  </si>
  <si>
    <t>26416570803</t>
  </si>
  <si>
    <t>SVEUČILIŠTE J.J STROSSMAYERA U OSIJEKU - PREHRAMBENO TEHNOLOŠKI FAKULTET</t>
  </si>
  <si>
    <t>FRANJE KUHAČA 20</t>
  </si>
  <si>
    <t>96371000697</t>
  </si>
  <si>
    <t>SVEUČILIŠTE J.J STROSSMAYERA U OSIJEKU - FAKULTET ZA ODGOJNE I OBRAZOVNE ZNANOSTI</t>
  </si>
  <si>
    <t>CARA HADRIJANA 10</t>
  </si>
  <si>
    <t>28082679513</t>
  </si>
  <si>
    <t>SVEUČILIŠTE J.J.STROSSMAYERA U OSIJEKU - KATOLIČKI BOGOSLOVNI FAKULTET U ĐAKOVU</t>
  </si>
  <si>
    <t xml:space="preserve">PETRA PRERADOVIĆA 17 </t>
  </si>
  <si>
    <t>31400 ĐAKOVO</t>
  </si>
  <si>
    <t>05384220316</t>
  </si>
  <si>
    <t>SVEUČILIŠTE J.J.STROSSMAYERA U OSIJEKU - FAKULTET ZA DENTALNU MEDICINU I ZDRAVSTVO</t>
  </si>
  <si>
    <t>CRKVENA 21</t>
  </si>
  <si>
    <t>83830458507</t>
  </si>
  <si>
    <t>SVEUČILIŠTE J.J.STROSSMAYERA U OSIJEKU - AKADEMIJA ZA UMJETNOST I KULTURU U OSIJEKU</t>
  </si>
  <si>
    <t>KRALJA PETRA SVAČIĆA 1/F</t>
  </si>
  <si>
    <t>SVEUČILIŠTE JURJA DOBRILE U PULI</t>
  </si>
  <si>
    <t>ZAGREBAČKA 30</t>
  </si>
  <si>
    <t>52100 PULA</t>
  </si>
  <si>
    <t>61738073226</t>
  </si>
  <si>
    <t>SVEUČILIŠTE SJEVER</t>
  </si>
  <si>
    <t>48000 KOPRIVNICA</t>
  </si>
  <si>
    <t>59624928052</t>
  </si>
  <si>
    <t>SVEUČILIŠTE U DUBROVNIKU</t>
  </si>
  <si>
    <t>BRANITELJA DUBROVNIKA 29</t>
  </si>
  <si>
    <t>20000 DUBROVNIK</t>
  </si>
  <si>
    <t>01338491514</t>
  </si>
  <si>
    <t>SVEUČILIŠTE U ZADRU</t>
  </si>
  <si>
    <t>23000 ZADAR</t>
  </si>
  <si>
    <t>10839679016</t>
  </si>
  <si>
    <t>SVEUČILIŠTE U RIJECI</t>
  </si>
  <si>
    <t>TRG BRAĆE MAŽURANIĆA 10</t>
  </si>
  <si>
    <t>51000 RIJEKA</t>
  </si>
  <si>
    <t>64218323816</t>
  </si>
  <si>
    <t>SVEUČILIŠTE U RIJECI - AKADEMIJA PRIMJENJENIH UMJETNOSTI</t>
  </si>
  <si>
    <t>SLAVKA KRAUTZEKA 83</t>
  </si>
  <si>
    <t>55704161999</t>
  </si>
  <si>
    <t>SVEUČILIŠTE U RIJECI - EKONOMSKI FAKULTET</t>
  </si>
  <si>
    <t>IVANA FILIPOVIĆA 4</t>
  </si>
  <si>
    <t>26093119930</t>
  </si>
  <si>
    <t>SVEUČILIŠTE U RIJECI - FAKULTET ZA MENADŽMENT U TURIZMU I UGOSTITELJSTVU</t>
  </si>
  <si>
    <t>IKA PRIMORSKA 42</t>
  </si>
  <si>
    <t>51410 OPATIJA</t>
  </si>
  <si>
    <t>85799845149</t>
  </si>
  <si>
    <t>SVEUČILIŠTE U RIJECI - FILOZOFSKI FAKULTET</t>
  </si>
  <si>
    <t>SVEUČILIŠNA AVENIJA 4</t>
  </si>
  <si>
    <t>70505505759</t>
  </si>
  <si>
    <t>RADMILE MATEJČIĆ 3</t>
  </si>
  <si>
    <t>92037849504</t>
  </si>
  <si>
    <t>SVEUČILIŠTE U RIJECI - MEDICINSKI FAKULTET</t>
  </si>
  <si>
    <t>BRAĆE BRANCHETTA 20</t>
  </si>
  <si>
    <t>98164324541</t>
  </si>
  <si>
    <t>SVEUČILIŠTE U RIJECI - POMORSKI FAKULTET</t>
  </si>
  <si>
    <t>STUDENTSKA 2</t>
  </si>
  <si>
    <t>76722145702</t>
  </si>
  <si>
    <t>SVEUČILIŠTE U RIJECI - PRAVNI FAKULTET</t>
  </si>
  <si>
    <t>HAHLIĆ 6</t>
  </si>
  <si>
    <t>43767699965</t>
  </si>
  <si>
    <t>SVEUČILIŠTE U RIJECI - SVEUČILIŠNA KNJIŽNICA</t>
  </si>
  <si>
    <t xml:space="preserve"> DOLAC 1</t>
  </si>
  <si>
    <t>84122581314</t>
  </si>
  <si>
    <t>SVEUČILIŠTE U RIJECI - TEHNIČKI FAKULTET</t>
  </si>
  <si>
    <t>VUKOVARSKA 58</t>
  </si>
  <si>
    <t>46319717480</t>
  </si>
  <si>
    <t>SVEUČILIŠTE U RIJECI - UČITELJSKI FAKULTET</t>
  </si>
  <si>
    <t>SVEUČILIŠNA AVENIJA 6</t>
  </si>
  <si>
    <t>96996385705</t>
  </si>
  <si>
    <t>SVEUČILIŠTE U RIJECI - FAKULTET ZDRAVSTVENIH STUDIJA U RIJECI</t>
  </si>
  <si>
    <t>VIKTORA CARA EMINA 5</t>
  </si>
  <si>
    <t>04052510</t>
  </si>
  <si>
    <t>19213484918</t>
  </si>
  <si>
    <t>SVEUČILIŠTE U SPLITU</t>
  </si>
  <si>
    <t>21000 SPLIT</t>
  </si>
  <si>
    <t>29845096215</t>
  </si>
  <si>
    <t>SVEUČILIŠTE U SPLITU - EKONOMSKI FAKULTET</t>
  </si>
  <si>
    <t>CVITE FISKOVIĆA 5</t>
  </si>
  <si>
    <t>84477684422</t>
  </si>
  <si>
    <t>SVEUČILIŠTE U SPLITU - FAKULTET ELEKTROTEHNIKE, STROJARSTVA I BRODOGRADNJE</t>
  </si>
  <si>
    <t>RUĐERA BOŠKOVIĆA 32</t>
  </si>
  <si>
    <t>00857144221</t>
  </si>
  <si>
    <t>SVEUČILIŠTE U SPLITU - FILOZOFSKI FAKULTET</t>
  </si>
  <si>
    <t>POLJIČKA CESTA 35</t>
  </si>
  <si>
    <t>98004523293</t>
  </si>
  <si>
    <t>SVEUČILIŠTE U SPLITU - FAKULTET GRAĐEVINARSTVA, ARHITEKTURE I GEODEZIJE</t>
  </si>
  <si>
    <t>MATICE HRVATSKE 15</t>
  </si>
  <si>
    <t>83615500218</t>
  </si>
  <si>
    <t>SVEUČILIŠTE U SPLITU - KEMIJSKO-TEHNOLOŠKI FAKULTET</t>
  </si>
  <si>
    <t>99401575594</t>
  </si>
  <si>
    <t>SVEUČILIŠTE U SPLITU - KINEZIOLOŠKI FAKULTET</t>
  </si>
  <si>
    <t>NIKOLE TESLE 6</t>
  </si>
  <si>
    <t>57848936921</t>
  </si>
  <si>
    <t>SVEUČILIŠTE U SPLITU - KATOLIČKI BOGOSLOVNI FAKULTET</t>
  </si>
  <si>
    <t xml:space="preserve">ZRINSKOG FRANKOPANA 19 </t>
  </si>
  <si>
    <t>SVEUČILIŠTE U SPLITU - MEDICINSKI FAKULTET</t>
  </si>
  <si>
    <t>ŠOLTANSKA 2</t>
  </si>
  <si>
    <t>02879747067</t>
  </si>
  <si>
    <t>SVEUČILIŠTE U SPLITU - POMORSKI FAKULTET</t>
  </si>
  <si>
    <t>24624257529</t>
  </si>
  <si>
    <t>SVEUČILIŠTE U SPLITU - PRAVNI FAKULTET</t>
  </si>
  <si>
    <t>DOMOVINSKOG RATA 8</t>
  </si>
  <si>
    <t>03541568700</t>
  </si>
  <si>
    <t>SVEUČILIŠTE U SPLITU - PRIRODOSLOVNO - MATEMATIČKI FAKULTET</t>
  </si>
  <si>
    <t>20858497843</t>
  </si>
  <si>
    <t>SVEUČILIŠTE U SPLITU - SVEUČILIŠNA KNJIŽNICA</t>
  </si>
  <si>
    <t>RUĐERA BOŠKOVIĆA 31</t>
  </si>
  <si>
    <t>40099344720</t>
  </si>
  <si>
    <t>SVEUČILIŠTE U SPLITU - UMJETNIČKA AKADEMIJA</t>
  </si>
  <si>
    <t>ZAGREBAČKA 3</t>
  </si>
  <si>
    <t>38960125358</t>
  </si>
  <si>
    <t>SVEUČILIŠTE U ZAGREBU</t>
  </si>
  <si>
    <t>36612267447</t>
  </si>
  <si>
    <t>SVEUČILIŠTE U ZAGREBU - AGRONOMSKI FAKULTET</t>
  </si>
  <si>
    <t>SVETOŠIMUNSKA CESTA 25</t>
  </si>
  <si>
    <t>76023745044</t>
  </si>
  <si>
    <t>SVEUČILIŠTE U ZAGREBU - AKADEMIJA DRAMSKE UMJETNOSTI</t>
  </si>
  <si>
    <t>TRG REPUBLIKE HRVATSKE 5</t>
  </si>
  <si>
    <t>52097842295</t>
  </si>
  <si>
    <t>SVEUČILIŠTE U ZAGREBU - AKADEMIJA LIKOVNIH UMJETNOSTI</t>
  </si>
  <si>
    <t>ILICA 85</t>
  </si>
  <si>
    <t>95847257607</t>
  </si>
  <si>
    <t xml:space="preserve">SVEUČILIŠTE U ZAGREBU - ARHITEKTONSKI FAKULTET </t>
  </si>
  <si>
    <t>KAČIĆEVA 26</t>
  </si>
  <si>
    <t>42061107444</t>
  </si>
  <si>
    <t xml:space="preserve">SVEUČILIŠTE U ZAGREBU - EDUKACIJSKO-REHABILITACIJSKI FAKULTET </t>
  </si>
  <si>
    <t>BORONGAJSKA CESTA 83F</t>
  </si>
  <si>
    <t>34967762426</t>
  </si>
  <si>
    <t>SVEUČILIŠTE U ZAGREBU - EKONOMSKI FAKULTET</t>
  </si>
  <si>
    <t>27208467122</t>
  </si>
  <si>
    <t>SVEUČILIŠTE U ZAGREBU - FAKULTET ELEKTROTEHNIKE I RAČUNARSTVA</t>
  </si>
  <si>
    <t>UNSKA 3</t>
  </si>
  <si>
    <t>57029260362</t>
  </si>
  <si>
    <t>JORDANOVAC 110</t>
  </si>
  <si>
    <t>26975482530</t>
  </si>
  <si>
    <t xml:space="preserve">SVEUČILIŠTE U ZAGREBU - KATOLIČKI BOGOSLOVNI FAKULTET </t>
  </si>
  <si>
    <t xml:space="preserve">VLAŠKA 38 </t>
  </si>
  <si>
    <t>SVEUČILIŠTE U ZAGREBU - FAKULTET KEMIJSKOG INŽENJERSTVA I TEHNOLOGIJE</t>
  </si>
  <si>
    <t>MARULIĆEV TRG 19</t>
  </si>
  <si>
    <t>71259740533</t>
  </si>
  <si>
    <t>SVEUČILIŠTE U ZAGREBU - FAKULTET POLITIČKIH ZNANOSTI</t>
  </si>
  <si>
    <t>LEPUŠIĆEVA 6</t>
  </si>
  <si>
    <t>28011548575</t>
  </si>
  <si>
    <t>SVEUČILIŠTE U ZAGREBU - FAKULTET PROMETNIH ZNANOSTI</t>
  </si>
  <si>
    <t>VUKELIĆEVA 4</t>
  </si>
  <si>
    <t>25410051374</t>
  </si>
  <si>
    <t>SVEUČILIŠTE U ZAGREBU - FAKULTET STROJARSTVA I BRODOGRADNJE</t>
  </si>
  <si>
    <t>IVANA LUČIĆA 5</t>
  </si>
  <si>
    <t>22910368449</t>
  </si>
  <si>
    <t xml:space="preserve">SVEUČILIŠTE U ZAGREBU - FARMACEUTSKO-BIOKEMIJSKI FAKULTET </t>
  </si>
  <si>
    <t>ANTE KOVAČIĆA 1</t>
  </si>
  <si>
    <t>14509285435</t>
  </si>
  <si>
    <t>SVEUČILIŠTE U ZAGREBU - FILOZOFSKI FAKULTET</t>
  </si>
  <si>
    <t>IVANA LUČIĆA 3</t>
  </si>
  <si>
    <t>90633715804</t>
  </si>
  <si>
    <t>SVEUČILIŠTE U ZAGREBU - GEODETSKI FAKULTET</t>
  </si>
  <si>
    <t>43594593297</t>
  </si>
  <si>
    <t>SVEUČILIŠTE U ZAGREBU - GEOTEHNIČKI FAKULTET</t>
  </si>
  <si>
    <t>HALLEROVA ALEJA 7</t>
  </si>
  <si>
    <t>42000 VARAŽDIN</t>
  </si>
  <si>
    <t>16146181375</t>
  </si>
  <si>
    <t>SVEUČILIŠTE U ZAGREBU - GRAĐEVINSKI FAKULTET</t>
  </si>
  <si>
    <t>FRA ANDRIJE KAČIĆA MIOŠIĆA 26</t>
  </si>
  <si>
    <t>62924153420</t>
  </si>
  <si>
    <t>SVEUČILIŠTE U ZAGREBU - GRAFIČKI FAKULTET</t>
  </si>
  <si>
    <t>GETALDIĆEVA 2</t>
  </si>
  <si>
    <t>25564990903</t>
  </si>
  <si>
    <t>SVEUČILIŠTE U ZAGREBU - KINEZIOLOŠKI FAKULTET</t>
  </si>
  <si>
    <t>HORVAĆANSKI ZAVOJ 15</t>
  </si>
  <si>
    <t>25329931628</t>
  </si>
  <si>
    <t>SVEUČILIŠTE U ZAGREBU - MEDICINSKI FAKULTET</t>
  </si>
  <si>
    <t>ŠALATA 3</t>
  </si>
  <si>
    <t>45001686598</t>
  </si>
  <si>
    <t>SVEUČILIŠTE U ZAGREBU - METALURŠKI FAKULTET SISAK</t>
  </si>
  <si>
    <t>ALEJA NARODNIH HEROJA 3</t>
  </si>
  <si>
    <t>48006703414</t>
  </si>
  <si>
    <t>SVEUČILIŠTE U ZAGREBU - MUZIČKA AKADEMIJA</t>
  </si>
  <si>
    <t>18422925218</t>
  </si>
  <si>
    <t>SVEUČILIŠTE U ZAGREBU - PRAVNI FAKULTET</t>
  </si>
  <si>
    <t>TRG REPUBLIKE HRVATSKE 14</t>
  </si>
  <si>
    <t>38583303160</t>
  </si>
  <si>
    <t>SVEUČILIŠTE U ZAGREBU - PREHRAMBENO BIOTEHNOLOŠKI FAKULTET</t>
  </si>
  <si>
    <t>47824453867</t>
  </si>
  <si>
    <t>SVEUČILIŠTE U ZAGREBU - PRIRODOSLOVNO-MATEMATIČKI FAKULTET</t>
  </si>
  <si>
    <t>HORVATOVAC 102A</t>
  </si>
  <si>
    <t>28163265527</t>
  </si>
  <si>
    <t>SVEUČILIŠTE U ZAGREBU - RUDARSKO-GEOLOŠKO-NAFTNI FAKULTET</t>
  </si>
  <si>
    <t>PIEROTTIJEVA 6</t>
  </si>
  <si>
    <t>99534693762</t>
  </si>
  <si>
    <t>SVEUČILIŠTE U ZAGREBU - STOMATOLOŠKI FAKULTET</t>
  </si>
  <si>
    <t>GUNDULIĆEVA 5</t>
  </si>
  <si>
    <t>70221464726</t>
  </si>
  <si>
    <t>SVEUČILIŠTE U ZAGREBU - ŠUMARSKI FAKULTET</t>
  </si>
  <si>
    <t>07699719217</t>
  </si>
  <si>
    <t>SVEUČILIŠTE U ZAGREBU - TEKSTILNO TEHNOLOŠKI FAKULTET</t>
  </si>
  <si>
    <t>PRILAZ BARUNA FILIPOVIĆA 28A</t>
  </si>
  <si>
    <t>43097527965</t>
  </si>
  <si>
    <t>SVEUČILIŠTE U ZAGREBU - UČITELJSKI FAKULTET</t>
  </si>
  <si>
    <t>SAVSKA CESTA 77</t>
  </si>
  <si>
    <t>72226488129</t>
  </si>
  <si>
    <t>SVEUČILIŠTE U ZAGREBU - VETERINARSKI FAKULTET</t>
  </si>
  <si>
    <t>HEINZELOVA 55</t>
  </si>
  <si>
    <t>36389528408</t>
  </si>
  <si>
    <t>FAKULTET ORGANIZACIJE I INFORMATIKE U VARAŽDINU</t>
  </si>
  <si>
    <t>PAVLINSKA 2</t>
  </si>
  <si>
    <t>02024882310</t>
  </si>
  <si>
    <t>MEĐIMURSKO VELEUČILIŠTE U ČAKOVCU</t>
  </si>
  <si>
    <t>MINISTARSTVO ZNANOSTI I OBRAZOVANJA</t>
  </si>
  <si>
    <t>BANA JOSIPA JELAČIĆA 22/A</t>
  </si>
  <si>
    <t>40000 ČAKOVEC</t>
  </si>
  <si>
    <t>31444990605</t>
  </si>
  <si>
    <t>TEHNIČKO VELEUČILIŠTE U ZAGREBU</t>
  </si>
  <si>
    <t>VRBIK 8</t>
  </si>
  <si>
    <t>08814003451</t>
  </si>
  <si>
    <t>VELEUČILIŠTE LAVOSLAV RUŽIČKA U VUKOVARU</t>
  </si>
  <si>
    <t>ŽUPANIJSKA 50</t>
  </si>
  <si>
    <t>32000 VUKOVAR</t>
  </si>
  <si>
    <t>21720825730</t>
  </si>
  <si>
    <t>VELEUČILIŠTE MARKO MARULIĆ U KNINU</t>
  </si>
  <si>
    <t xml:space="preserve">KRALJA PETRA KREŠIMIRA IV 30 </t>
  </si>
  <si>
    <t>22300 KNIN</t>
  </si>
  <si>
    <t>13664089430</t>
  </si>
  <si>
    <t>VELEUČILIŠTE NIKOLA TESLA U GOSPIĆU</t>
  </si>
  <si>
    <t>ULICA BANA IVANA KARLOVIĆA 16</t>
  </si>
  <si>
    <t>53000 GOSPIĆ</t>
  </si>
  <si>
    <t>42552392522</t>
  </si>
  <si>
    <t>VELEUČILIŠTE U KARLOVCU</t>
  </si>
  <si>
    <t>TRG J. J. STROSSMAYERA 9</t>
  </si>
  <si>
    <t>47000 KARLOVAC</t>
  </si>
  <si>
    <t>62820859976</t>
  </si>
  <si>
    <t>VELEUČILIŠTE U POŽEGI</t>
  </si>
  <si>
    <t>VUKOVARSKA 17</t>
  </si>
  <si>
    <t>34000 POŽEGA</t>
  </si>
  <si>
    <t>14821098391</t>
  </si>
  <si>
    <t>VELEUČILIŠTE U RIJECI</t>
  </si>
  <si>
    <t>TRPIMIROVA 2/V</t>
  </si>
  <si>
    <t>29573709870</t>
  </si>
  <si>
    <t>VELEUČILIŠTE U ŠIBENIKU</t>
  </si>
  <si>
    <t>TRG A. HEBRANGA BR. 11</t>
  </si>
  <si>
    <t>22000 ŠIBENIK</t>
  </si>
  <si>
    <t>61727512157</t>
  </si>
  <si>
    <t>VISOKA ŠKOLA ZA MENEDŽMENT U TURIZMU I INFORMATICI</t>
  </si>
  <si>
    <t>ULICA MATIJE GUPCA 78</t>
  </si>
  <si>
    <t>33000 VIROVITICA</t>
  </si>
  <si>
    <t>46576407858</t>
  </si>
  <si>
    <t>VISOKO GOSPODARSKO UČILIŠTE U KRIŽEVCIMA</t>
  </si>
  <si>
    <t>MILISLAVA DEMERCA 1</t>
  </si>
  <si>
    <t>48260 KRIŽEVCI</t>
  </si>
  <si>
    <t>75480885018</t>
  </si>
  <si>
    <t>ZDRAVSTVENO VELEUČILIŠTE</t>
  </si>
  <si>
    <t>MLINARSKA CESTA 38</t>
  </si>
  <si>
    <t>50952646228</t>
  </si>
  <si>
    <t>08008</t>
  </si>
  <si>
    <t>EKONOMSKI INSTITUT ZAGREB</t>
  </si>
  <si>
    <t>TRG JOHNA KENNEDYA 7</t>
  </si>
  <si>
    <t>70925432731</t>
  </si>
  <si>
    <t>HRVATSKI INSTITUT ZA POVIJEST</t>
  </si>
  <si>
    <t>OPATIČKA 10</t>
  </si>
  <si>
    <t>23296176633</t>
  </si>
  <si>
    <t>HRVATSKI VETERINARSKI INSTITUT</t>
  </si>
  <si>
    <t>SAVSKA CESTA 143</t>
  </si>
  <si>
    <t>29059177553</t>
  </si>
  <si>
    <t>INSTITUT DRUŠTVENIH ZNANOSTI IVO PILAR</t>
  </si>
  <si>
    <t>MARULIĆEV TRG 19/I</t>
  </si>
  <si>
    <t>32840574937</t>
  </si>
  <si>
    <t>INSTITUT RUĐER BOŠKOVIĆ</t>
  </si>
  <si>
    <t>BIJENIČKA CESTA 46</t>
  </si>
  <si>
    <t>69715301002</t>
  </si>
  <si>
    <t>INSTITUT ZA ANTROPOLOGIJU</t>
  </si>
  <si>
    <t>LJUDEVITA GAJA 32</t>
  </si>
  <si>
    <t>93710699926</t>
  </si>
  <si>
    <t>INSTITUT ZA ARHEOLOGIJU</t>
  </si>
  <si>
    <t>59796264563</t>
  </si>
  <si>
    <t>INSTITUT ZA DRUŠTVENA ISTRAŽIVANJA</t>
  </si>
  <si>
    <t>AMRUŠEVA 11</t>
  </si>
  <si>
    <t>11986338639</t>
  </si>
  <si>
    <t>INSTITUT ZA ETNOLOGIJU I FOLKLORISTIKU</t>
  </si>
  <si>
    <t>ŠUBIĆEVA 42</t>
  </si>
  <si>
    <t>37781872772</t>
  </si>
  <si>
    <t>INSTITUT ZA FILOZOFIJU</t>
  </si>
  <si>
    <t>43667021597</t>
  </si>
  <si>
    <t>INSTITUT ZA FIZIKU</t>
  </si>
  <si>
    <t>77627408491</t>
  </si>
  <si>
    <t xml:space="preserve">HRVATSKI GEOLOŠKI INSTITUT </t>
  </si>
  <si>
    <t>SACHSOVA 2</t>
  </si>
  <si>
    <t>43733878539</t>
  </si>
  <si>
    <t>INSTITUT ZA HRVATSKI JEZIK I JEZIKOSLOVLJE</t>
  </si>
  <si>
    <t>REPUBLIKE AUSTRIJE 16</t>
  </si>
  <si>
    <t>12268324202</t>
  </si>
  <si>
    <t>INSTITUT ZA JADRANSKE KULTURE I MELIORACIJU KRŠA</t>
  </si>
  <si>
    <t>PUT DUILOVA 11</t>
  </si>
  <si>
    <t>90884993104</t>
  </si>
  <si>
    <t>INSTITUT ZA JAVNE FINANCIJE</t>
  </si>
  <si>
    <t>SMIČIKLASOVA 21</t>
  </si>
  <si>
    <t>41683226810</t>
  </si>
  <si>
    <t>INSTITUT ZA MEDICINSKA ISTRAŽIVANJA I MEDICINU RADA</t>
  </si>
  <si>
    <t>KSAVERSKA CESTA 2</t>
  </si>
  <si>
    <t>30285469659</t>
  </si>
  <si>
    <t>INSTITUT ZA RAZVOJ I MEĐUNARODNE ODNOSE</t>
  </si>
  <si>
    <t>31120185175</t>
  </si>
  <si>
    <t>INSTITUT ZA MIGRACIJE I NARODNOSTI</t>
  </si>
  <si>
    <t>TRG STJEPANA RADIĆA 3</t>
  </si>
  <si>
    <t>80265403319</t>
  </si>
  <si>
    <t>INSTITUT ZA OCEANOGRAFIJU I RIBARSTVO</t>
  </si>
  <si>
    <t>86235185568</t>
  </si>
  <si>
    <t>INSTITUT ZA POLJOPRIVREDU I TURIZAM</t>
  </si>
  <si>
    <t>CARLA HUGUESA 8</t>
  </si>
  <si>
    <t>52440 POREČ</t>
  </si>
  <si>
    <t>03850982961</t>
  </si>
  <si>
    <t>INSTITUT ZA POVIJEST UMJETNOSTI</t>
  </si>
  <si>
    <t>ULICA GRADA VUKOVARA 68</t>
  </si>
  <si>
    <t>59451980348</t>
  </si>
  <si>
    <t>INSTITUT ZA TURIZAM</t>
  </si>
  <si>
    <t>VRHOVEC 5</t>
  </si>
  <si>
    <t>10264179101</t>
  </si>
  <si>
    <t>STAROSLAVENSKI INSTITUT</t>
  </si>
  <si>
    <t>DEMETROVA 11</t>
  </si>
  <si>
    <t>15291942541</t>
  </si>
  <si>
    <t>HRVATSKI ŠUMARSKI INSTITUT</t>
  </si>
  <si>
    <t>CVJETNO NASELJE 41</t>
  </si>
  <si>
    <t>10450 JASTREBARSKO</t>
  </si>
  <si>
    <t>13579392023</t>
  </si>
  <si>
    <t>08091</t>
  </si>
  <si>
    <t>DRŽAVNI ZAVOD ZA INTELEKTUALNO VLASNIŠTVO</t>
  </si>
  <si>
    <t>ULICA GRADA VUKOVARA 78</t>
  </si>
  <si>
    <t>89755384389</t>
  </si>
  <si>
    <t>NACIONALNA I SVEUČILIŠNA KNJIŽNICA U ZAGREBU</t>
  </si>
  <si>
    <t>HRVATSKE BRATSKE ZAJEDNICE 4</t>
  </si>
  <si>
    <t>84838770814</t>
  </si>
  <si>
    <t>HRVATSKA AKADEMSKA I ISTRAŽIVAČKA MREŽA - CARNET</t>
  </si>
  <si>
    <t>JOSIPA MAROHNIĆA 5</t>
  </si>
  <si>
    <t>58101996540</t>
  </si>
  <si>
    <t>LEKSIKOGRAFSKI ZAVOD MIROSLAV KRLEŽA</t>
  </si>
  <si>
    <t>FRANKOPANSKA 26</t>
  </si>
  <si>
    <t>49894241709</t>
  </si>
  <si>
    <t>SVEUČILIŠTE U ZAGREBU - SVEUČILIŠNI RAČUNSKI CENTAR - SRCE</t>
  </si>
  <si>
    <t>34016189309</t>
  </si>
  <si>
    <t>AGENCIJA ZA ODGOJ I OBRAZOVANJE</t>
  </si>
  <si>
    <t>72193628411</t>
  </si>
  <si>
    <t>AGENCIJA ZA ZNANOST I VISOKO OBRAZOVANJE</t>
  </si>
  <si>
    <t>DONJE SVETICE 38/5</t>
  </si>
  <si>
    <t>83358955356</t>
  </si>
  <si>
    <t>NACIONALNI CENTAR ZA VANJSKO VREDNOVANJE OBRAZOVANJA</t>
  </si>
  <si>
    <t>PETRAČIĆEVA 4</t>
  </si>
  <si>
    <t>94833993984</t>
  </si>
  <si>
    <t>AGENCIJA ZA MOBILNOST I PROGRAME EUROPSKE UNIJE</t>
  </si>
  <si>
    <t>25385906011</t>
  </si>
  <si>
    <t>AGENCIJA ZA STRUKOVNO OBRAZOVANJE I OBRAZOVANJE ODRASLIH</t>
  </si>
  <si>
    <t>RADNIČKA CESTA 37B</t>
  </si>
  <si>
    <t>40719411729</t>
  </si>
  <si>
    <t>Tip</t>
  </si>
  <si>
    <t>Agencije</t>
  </si>
  <si>
    <t>RKPNaziv</t>
  </si>
  <si>
    <t>odaberite -</t>
  </si>
  <si>
    <t>Plan za unos u SAP - rashodi</t>
  </si>
  <si>
    <t>Plan za unos u SAP - prihodi</t>
  </si>
  <si>
    <t>left3</t>
  </si>
  <si>
    <t>left2</t>
  </si>
  <si>
    <t>Konto</t>
  </si>
  <si>
    <t>636</t>
  </si>
  <si>
    <t>Pomoći proračunskim korisnicima iz proračuna koji im nije nadležan</t>
  </si>
  <si>
    <t xml:space="preserve">Upravne i administrativne pristojbe </t>
  </si>
  <si>
    <t>651</t>
  </si>
  <si>
    <t>Dani zajmovi neprofitnim organizacijama, građanima i kućanstvima u tuzemstvu</t>
  </si>
  <si>
    <t>Dani zajmovi neprofitnim organizacijama, građanima i kućanstvima u inozemstvu</t>
  </si>
  <si>
    <t>Dani zajmovi trgovačkim društvima u javnom sektoru</t>
  </si>
  <si>
    <t>Izdaci za depozite u kreditnim i ostalim financijskim institucijama - tuzemni</t>
  </si>
  <si>
    <t xml:space="preserve">Izdaci za jamčevne pologe </t>
  </si>
  <si>
    <t>Otplata glavnice primljenih kredita od kreditnih institucija u javnom sektoru</t>
  </si>
  <si>
    <t>Otplata glavnice primljenih kredita od tuzemnih kreditnih institucija izvan javnog sektora</t>
  </si>
  <si>
    <t>Otplata glavnice primljenih zajmova od ostalih tuzemnih financijskih institucija izvan javnog sektora</t>
  </si>
  <si>
    <t>Otplata glavnice primljenih zajmova od tuzemnih trgovačkih društava izvan javnog sektora</t>
  </si>
  <si>
    <t>Otplata glavnice primljenih zajmova od županijskih proračuna</t>
  </si>
  <si>
    <t>671 - izvor 11</t>
  </si>
  <si>
    <t>671 - izvor 12</t>
  </si>
  <si>
    <t>opis konta</t>
  </si>
  <si>
    <t>izvor</t>
  </si>
  <si>
    <t>3 konto</t>
  </si>
  <si>
    <t>Javni instituti</t>
  </si>
  <si>
    <t>-</t>
  </si>
  <si>
    <t>2022.</t>
  </si>
  <si>
    <t>Stavka
(odaberite)</t>
  </si>
  <si>
    <t>OPIS STAVKE</t>
  </si>
  <si>
    <t>IZVOR
(odaberite)</t>
  </si>
  <si>
    <t>AKTIVNOST
(odaberite)</t>
  </si>
  <si>
    <t>Kapitalne pomoći kreditnim i ostalim financijskim institucijama te trgovačkim društvima u javnom sektoru</t>
  </si>
  <si>
    <t>Kapitalne pomoći kreditnim i ostalim financijskim institucijama te trgovačkim društvima i zadrugama izvan javnog sektora</t>
  </si>
  <si>
    <t>Kapitalne pomoći poljoprivrednicima i obrtnicima</t>
  </si>
  <si>
    <t>Prijedlog za 
2022.</t>
  </si>
  <si>
    <t>EU PODPROJEKTI - rashodi</t>
  </si>
  <si>
    <t>AKTIVNOST/PODPROJEKT
(odaberite)</t>
  </si>
  <si>
    <t>NAZIV NOVOG PODPROJEKTA</t>
  </si>
  <si>
    <t xml:space="preserve">Vrijedi od: </t>
  </si>
  <si>
    <t xml:space="preserve">Vrijedi do: </t>
  </si>
  <si>
    <t>TKO JE UPLATITELJ SREDSTAVA ZA EU PROJEKT</t>
  </si>
  <si>
    <t>OPIS PODPROJEKTA</t>
  </si>
  <si>
    <t>A679112</t>
  </si>
  <si>
    <t>REDOVNA DJELATNOST SVEUČILIŠTA U SLAVONSKOM BRODU</t>
  </si>
  <si>
    <t>A622122</t>
  </si>
  <si>
    <t>PROGRAMSKO FINANCIRANJE JAVNIH VISOKIH UČILIŠTA</t>
  </si>
  <si>
    <t>A621038</t>
  </si>
  <si>
    <t>PROGRAMI VJEŽBAONICA VISOKIH UČILIŠTA</t>
  </si>
  <si>
    <t>K621061</t>
  </si>
  <si>
    <t>ODRŽAVANJE OBJEKATA VISOKOOBRAZOVNIH USTANOVA</t>
  </si>
  <si>
    <t>A621180</t>
  </si>
  <si>
    <t>REKTORSKI ZBOR</t>
  </si>
  <si>
    <t>A622012</t>
  </si>
  <si>
    <t>REDOVNA DJELATNOST SEIZMOLOŠKE SLUŽBE</t>
  </si>
  <si>
    <t>OP KONKURENTNOST I KOHEZIJA 2014.-2020., PRIORITET 1 i 10</t>
  </si>
  <si>
    <t>K679106</t>
  </si>
  <si>
    <t>OP UČINKOVITI LJUDSKI POTENCIJALI 2014.-2020., PRIORITET 3</t>
  </si>
  <si>
    <t>K679111</t>
  </si>
  <si>
    <t>OP UČINKOVITI LJUDSKI POTENCIJALI 2014.-2020., PRIORITET 1 - GARANCIJA ZA MLADE</t>
  </si>
  <si>
    <t>A622000</t>
  </si>
  <si>
    <t>REDOVNA DJELATNOST JAVNIH INSTITUTA</t>
  </si>
  <si>
    <t>A622002</t>
  </si>
  <si>
    <t>PROGRAM USAVRŠAVANJA ZNANSTVENIH NOVAKA</t>
  </si>
  <si>
    <t>A622011</t>
  </si>
  <si>
    <t>REDOVNA DJELATNOST GEOLOŠKE SLUŽBE</t>
  </si>
  <si>
    <t>A622125</t>
  </si>
  <si>
    <t>A622132</t>
  </si>
  <si>
    <t>A622137</t>
  </si>
  <si>
    <t>PROGRAMSKO FINANCIRANJE JAVNIH ZNANSTVENIH INSTITUTA</t>
  </si>
  <si>
    <t>K622128</t>
  </si>
  <si>
    <t>NOVI PODPROJEKT</t>
  </si>
  <si>
    <t>A679071.001</t>
  </si>
  <si>
    <t>ERASMUS+ projekt razvijanja i certificiranja nastavnog plana obrazovnog modula logistike na diplomskim studijima Sveučilišta u Osijeku</t>
  </si>
  <si>
    <t>A679071.002</t>
  </si>
  <si>
    <t>ERASMUS+ projekt uvođenja novog kolegija u nastavni plan i program Ekonomskog fakulteta u Osijeku</t>
  </si>
  <si>
    <t>A679071.003</t>
  </si>
  <si>
    <t>ERASMUS+ projekt unaprjeđenja i promicanja telekomunikacijskog inženjeringa</t>
  </si>
  <si>
    <t>A679071.004</t>
  </si>
  <si>
    <t>ERASMUS + Ključna mjera 2: suradnja za inovacije i razmjena dobre prakse - e-ProfEng</t>
  </si>
  <si>
    <t>A679071.005</t>
  </si>
  <si>
    <t>ERASMUS+ projekt individualne mobilnosti nastavnog i nenastavnog osoblja kroz boravak na inozemnim ustanovama</t>
  </si>
  <si>
    <t>A679071.006</t>
  </si>
  <si>
    <t>ERASMUS+ projekt međukulturalne razmjene stručnih znanja u građevinarstvu</t>
  </si>
  <si>
    <t>A679071.007</t>
  </si>
  <si>
    <t>ERASMUS+ projekt razvijanja pedagoških vještina kroz boravak na inozemnim ustanovama</t>
  </si>
  <si>
    <t>A679071.008</t>
  </si>
  <si>
    <t>Projekt energetske obnove zgrade - Strojarski fakultet Slavonski Brod</t>
  </si>
  <si>
    <t>A679071.009</t>
  </si>
  <si>
    <t>IPA AGRICULTURAL WASTE projekt poboljšanja konkurentnosti regionalnih ekonomskih subjekata u prekograničnom području</t>
  </si>
  <si>
    <t>A679072.001</t>
  </si>
  <si>
    <t>ERASMUS+ projekt razvoja prometnih modaliteta kod trajekata i putničkih brodova</t>
  </si>
  <si>
    <t>A679072.002</t>
  </si>
  <si>
    <t>INTERREG DIGILOGOS projekt digitalizacije logistike multimodalnog teretnog i putničkog transporta Italije i Hrvatske</t>
  </si>
  <si>
    <t>A679072.003</t>
  </si>
  <si>
    <t>ERASMUS+ projekt ujednačavanja standarda kvalifikacija za zvanja u unutarnjoj plovidbi na razini EU</t>
  </si>
  <si>
    <t>A679072.004</t>
  </si>
  <si>
    <t>INTERREG ECOSUSTAIN projekt unaprjeđenja upravljanja zaštićenim područjima uvođenjem novih ICT tehnologija</t>
  </si>
  <si>
    <t>A679072.005</t>
  </si>
  <si>
    <t>ERASMUS+ACTS+ on line projekt izrade platforme za učenje COLREGS-a u pomorstvu</t>
  </si>
  <si>
    <t>A679072.006</t>
  </si>
  <si>
    <t>ERASMUS+ SKILLS ON BORD projekt edukacije voditelja brodica i zapovjednika jahti</t>
  </si>
  <si>
    <t>A679072.007</t>
  </si>
  <si>
    <t>ERASMUS+ SKILLS projekt definiranja modula zanimanja na tržištu rada na kopnu po završetku karijere na brodovima</t>
  </si>
  <si>
    <t>A679072.008</t>
  </si>
  <si>
    <t>INTERREG DEEPSEA projekt razvoja sustava upravljanja i inovativnih usluga za nautičare u lukama temeljenih na obnovljivim izvorima energije</t>
  </si>
  <si>
    <t>A679072.009</t>
  </si>
  <si>
    <t>INTERREG E-CHAIN projekt izrade modularnog softvera  za poboljšanje povezanosti i uskladu podataka Jadranske Intermodalne Mreže</t>
  </si>
  <si>
    <t>A679072.010</t>
  </si>
  <si>
    <t>INTERREG PROMARES projekt unaprjeđenja suradnje u logistici pomorskog i multimodalnog teretnog prometa za sve luke</t>
  </si>
  <si>
    <t>A679072.011</t>
  </si>
  <si>
    <t>ERASMUS+ LOGIN projekt pripreme stvaranja sustava kvalifikacija i programa za izobrazbu kadrova u logistici</t>
  </si>
  <si>
    <t>A679072.012</t>
  </si>
  <si>
    <t>H2020 GLYCOVAX projekt obrazovanja i interakcije s industrijom mladih znanstvenika u racionalnom dizajnu cjepiva protiv glikokonjugata</t>
  </si>
  <si>
    <t>A679072.013</t>
  </si>
  <si>
    <t>Post-traumatic Integration projekt razvijanja svijesti i edukacija stručnjaka za rad s izbjeglicama</t>
  </si>
  <si>
    <t>A679072.014</t>
  </si>
  <si>
    <t>Projekt Europskog društva za izučavanje traumatskog stresa</t>
  </si>
  <si>
    <t>A679072.015</t>
  </si>
  <si>
    <t>ERASMUS+ projekt jačanja kapaciteta za izučavanje medicine boli u zemljama zapadnog Balkana</t>
  </si>
  <si>
    <t>A679072.016</t>
  </si>
  <si>
    <t>ERASMUS projekt proučavanja socijalnog angažmana za rješavanje izazova kroničnih bolesti</t>
  </si>
  <si>
    <t>A679072.017</t>
  </si>
  <si>
    <t>H2020 PIXEL Učinkovito korištenje resursa, održivi razvoj i zeleni rast luka i okolnih gradova</t>
  </si>
  <si>
    <t>A679072.018</t>
  </si>
  <si>
    <t>Wom@rts projekt promicanja razvoja svijesti o ravnopravnosti spolova kroz transnacionalnu mrežu i platformu</t>
  </si>
  <si>
    <t>A679072.019</t>
  </si>
  <si>
    <t>INTERREG DANUBE Inno HPC</t>
  </si>
  <si>
    <t>A679072.020</t>
  </si>
  <si>
    <t>ERASMUS+ PESHES Jačanje kapaciteta u području visokog obrazovanja</t>
  </si>
  <si>
    <t>A679072.021</t>
  </si>
  <si>
    <t>ERASMUS+ TEFCE Prema europskom okviru za angažiranje visokog obrazovanja u zajednici</t>
  </si>
  <si>
    <t>A679072.022</t>
  </si>
  <si>
    <t>INTERREG BEAT Plava poboljšanja za prijenos tehnologije</t>
  </si>
  <si>
    <t>A679072.023</t>
  </si>
  <si>
    <t>INTERREG ADRIREEF Istraživanje potencijala grebena u Jadranskom moru s ciljem jačanja Plave ekonomije</t>
  </si>
  <si>
    <t>A679074.001</t>
  </si>
  <si>
    <t>INTERREG MELAdetect projekt prekogranične suradnje u liječenju različitih vrsta melanoma</t>
  </si>
  <si>
    <t>A679074.002</t>
  </si>
  <si>
    <t>INTERREG STRONGER projekt osnivanja prekograničnog klastera i e-platforme iz područja prerađivačke industrije ljekovitog i začinskog bilja</t>
  </si>
  <si>
    <t>A679074.003</t>
  </si>
  <si>
    <t>INTERREG APPRODI projekt izrade strateškog plana za poticanje ekoturizma kroz istraživanja o povijesnim utjecajima pomorskog prometa</t>
  </si>
  <si>
    <t>A679074.004</t>
  </si>
  <si>
    <t>Zadar Baštini projekt stvaranja kulturno-turističkog proizvoda grada Zadra s ciljem povećanja turističke posjećenosti</t>
  </si>
  <si>
    <t>A679074.005</t>
  </si>
  <si>
    <t>MADE IN-LAND projekt očuvanja prirodnih i kulturnih resursa u unutrašnjosti Italije i Hrvatske</t>
  </si>
  <si>
    <t>A679074.006</t>
  </si>
  <si>
    <t>INTERREG DISCOVER projekt pozicioniranja slabije poznatih mjesta Italije i  Hrvatske na turističku kartu ponude</t>
  </si>
  <si>
    <t>A679074.007</t>
  </si>
  <si>
    <t>INTERREG REPLICATE projekt revitalizacije zabačenih područja i izgubljene baštine</t>
  </si>
  <si>
    <t>A679074.008</t>
  </si>
  <si>
    <t>INTERREG GUTTA projekt pilot akcije pronalaska eko-rute s naglaskom na zaštitu okoliša</t>
  </si>
  <si>
    <t>A679075.001</t>
  </si>
  <si>
    <t>INTERREG DA SPACE projekt interdisciplinarne i međunarodne suradnja povezivanja akademskog, gospodarskog, istraživačkog i javnog sektora</t>
  </si>
  <si>
    <t>A679075.002</t>
  </si>
  <si>
    <t>INTERREG RE-WIND projekt prekogranične suradnje Italije i Hrvatske kroz neiskorišteni potencijal prirodne i kulturne baštine</t>
  </si>
  <si>
    <t>A679075.003</t>
  </si>
  <si>
    <t>INTERREG ADRIATIC ATLAS projekt prekogranične suradnje Italije i Hrvatske kroz neiskorišteni potencijal prirodne i kulturne baštine i poticanje pokretanja ICT tvrtki</t>
  </si>
  <si>
    <t>A679075.004</t>
  </si>
  <si>
    <t>INTERREG ALTEROUTES projekt krajobraznog upravljanja s ciljem smanjenja pritiska masovnog turizma na dragocjenu povijesnu baštinu</t>
  </si>
  <si>
    <t>A679075.005</t>
  </si>
  <si>
    <t>INTERREG RIVERS projekt poticanja kulturne industrije Italije i Hrvatske kroz praćenje podrijetla krajolika rijeka i njihovih ušća duž jadranske obale</t>
  </si>
  <si>
    <t>A679075.006</t>
  </si>
  <si>
    <t>INTERREG ARTHUR projekt praćenja i mjerenja kapaciteta noćenja u turističkim destinacijama radi usmjeravanja na manje opterećena turistička područja</t>
  </si>
  <si>
    <t>A679075.007</t>
  </si>
  <si>
    <t>ERASMUS KA103 Mobilnost studenata i osoblja Sveučilišta u Puli</t>
  </si>
  <si>
    <t>A679075.008</t>
  </si>
  <si>
    <t>ERASMUS KA107 Odlazne i dolazne mobilnosti studenata i osoblja Sveučilišta u Puli</t>
  </si>
  <si>
    <t>A679076.001</t>
  </si>
  <si>
    <t>INTERREG SLO-HR Živi dvorci - projekt očuvanja kulturnog nasljeđa</t>
  </si>
  <si>
    <t>A679076.002</t>
  </si>
  <si>
    <t>ERASMUS+ KA103 Mobilnost studenata i osoblja Veleučilišta u Vukovaru</t>
  </si>
  <si>
    <t>A679076.003</t>
  </si>
  <si>
    <t>ERASMUS+ KA107</t>
  </si>
  <si>
    <t>A679077.001</t>
  </si>
  <si>
    <t>BLUTOURSYSTEM projekt unaprjeđenja okvira za održivi rast Plavog turizma</t>
  </si>
  <si>
    <t>A679077.002</t>
  </si>
  <si>
    <t>ERASMUS+ Inovativna poslovna suradnja - model inovativnog učenja u području turizma</t>
  </si>
  <si>
    <t>A679077.004</t>
  </si>
  <si>
    <t>ERASMUS+ Novi sveučilišni kurikul Cultural Studies in Business</t>
  </si>
  <si>
    <t>A679077.005</t>
  </si>
  <si>
    <t>WIRE 2020 Inovacije ekosustava i razvoj regija Europe</t>
  </si>
  <si>
    <t>A679077.006</t>
  </si>
  <si>
    <t>GIANTLEAP Nezagađivački promet autobusa s Pem gorivim stanicama</t>
  </si>
  <si>
    <t>A679077.007</t>
  </si>
  <si>
    <t>HYDRIDE4MOBILITY Razvoj komunalnih vozila pomoću MH spremnika vodika i PEM gorivnih ćelija</t>
  </si>
  <si>
    <t>A679077.008</t>
  </si>
  <si>
    <t>SAVE Sport Against Violence and Exclusion - Sportom protiv nasilja i isključenosti</t>
  </si>
  <si>
    <t>A679077.009</t>
  </si>
  <si>
    <t>ESA Program sportskih aktivnosti za djecu s tipičnim razvojem i potrebama</t>
  </si>
  <si>
    <t>A679077.010</t>
  </si>
  <si>
    <t>ENTIRE Mapiranje normativnog okvira za etiku provođenja istraživanja</t>
  </si>
  <si>
    <t>A679077.011</t>
  </si>
  <si>
    <t>VIR2UE Etika utemeljena na istraživačkoj čestitosti</t>
  </si>
  <si>
    <t>A679077.012</t>
  </si>
  <si>
    <t>SOPs4RI Europski kodeks ponašanja za istraživačku čestitost</t>
  </si>
  <si>
    <t>A679077.013</t>
  </si>
  <si>
    <t>INTERREG IPA CBC HR-BA-ME Unaprjeđenje dijagnostičkih i terapijskih usluga medicine spavanja u prekograničnom području južne Hrvatske i zapadne Bosne i Hercegovine</t>
  </si>
  <si>
    <t>A679077.014</t>
  </si>
  <si>
    <t>COSME COS Europska poduzetnička mreža za potporu i savjet gospodarstvenicima diljem Europe</t>
  </si>
  <si>
    <t>A679077.015</t>
  </si>
  <si>
    <t>OBZOR 2020 MIROR Europski program združenog doktorata radi integrirane obuke na doktorskoj razini</t>
  </si>
  <si>
    <t>A679077.016</t>
  </si>
  <si>
    <t>OBZOR 2020 TPTF_ERN Promocija znanosti u društvu</t>
  </si>
  <si>
    <t>A679077.017</t>
  </si>
  <si>
    <t>FP7 PREPARE Usklađene velike kliničke studije o zaraznim bolestima u 27 država članica EU</t>
  </si>
  <si>
    <t>A679077.018</t>
  </si>
  <si>
    <t>ERASMUS+ EUNIT Internacionalizacija visokoobrazovnih institucija u zemljama regije južnog Mediterana</t>
  </si>
  <si>
    <t>A679077.019</t>
  </si>
  <si>
    <t>ERASMUS+ BESTSDI Izrada kurikula na temu infrastrukture prostornih podataka u zemljama Zapadnog Balkana</t>
  </si>
  <si>
    <t>A679077.020</t>
  </si>
  <si>
    <t>ERASMUS+ InCounselling50+ Razvoj holističkog i znanstveno utemeljenog koncepta za inovativno savjetovanje i usmjeravanje kroz karijeru</t>
  </si>
  <si>
    <t>A679077.021</t>
  </si>
  <si>
    <t>ERASMUS+ FINAC Razvoj novih postdiplomskih studija u Republici Srbiji i Albaniji iz financijskog upravljanja, računovodstva i kontrolinga</t>
  </si>
  <si>
    <t>A679077.022</t>
  </si>
  <si>
    <t>ERASMUS+ CAPUS Očuvanje umjetnosti u javnim prostorima</t>
  </si>
  <si>
    <t>A679077.023</t>
  </si>
  <si>
    <t>ERASMUS+ FOODQA Poticanje suradnje akademije i industrije u sigurnosti i kvaliteti hrane</t>
  </si>
  <si>
    <t>A679077.024</t>
  </si>
  <si>
    <t>ERASMUS+ CABUFAL Izgradnja kapaciteta Pravnog fakulteta Crne Gore u procesu pristupanja EU</t>
  </si>
  <si>
    <t>A679077.025</t>
  </si>
  <si>
    <t>ERASMUS+ MEMUD MA studij u području urbanog dizajna za područje centralne i jugoistočne Europe</t>
  </si>
  <si>
    <t>A679077.026</t>
  </si>
  <si>
    <t>EUROPEAID: INTERCAP projekt mijenjanja javne percepcije o migracijama, sigurnosti i održivom razvoju u međuzavisnom svijetu</t>
  </si>
  <si>
    <t>A679077.027</t>
  </si>
  <si>
    <t>ERASMUS+ SpeculativeEDU projekt obrazovanja i stjecanja iskustva u području dizajna u nastajanju</t>
  </si>
  <si>
    <t>A679077.028</t>
  </si>
  <si>
    <t>ERASMUS+ dodjela bespovratnih sredstava studiranja i prakse kod mobilnosti nastavnog i nenastavnog osoblja Sveučilišta u Splitu</t>
  </si>
  <si>
    <t>A679077.029</t>
  </si>
  <si>
    <t>ERASMUS+ Programske zemlje KA103 Mobilnost studenata i osoblja Sveučilišta u Splitu</t>
  </si>
  <si>
    <t>A679077.030</t>
  </si>
  <si>
    <t>A679077.033</t>
  </si>
  <si>
    <t>ERASMUS+  Partnerske zemlje KA107 Odlazne i dolazne mobilnosti studenata i osoblja Sveučilišta u Splitu</t>
  </si>
  <si>
    <t>A679077.034</t>
  </si>
  <si>
    <t>ERASMUS KA107 Odlazne i dolazne mobilnosti studenata i osoblja Sveučilišta u Splitu</t>
  </si>
  <si>
    <t>A679077.035</t>
  </si>
  <si>
    <t>A679078.001</t>
  </si>
  <si>
    <t>CoSMass Projekt proučavanja razvoja rasta zvjezdane mase središnjih supermasivnih crnih rupa kroz kozmičko vrijeme</t>
  </si>
  <si>
    <t>A679078.002</t>
  </si>
  <si>
    <t>AeRoTwin - Twinning koordinacijska akcija za širenje izvrsnosti i sudjelovanja u zračnoj robotici</t>
  </si>
  <si>
    <t>A679078.003</t>
  </si>
  <si>
    <t>ENDORSE Efikasno brusenje  robotskim sustavom potpomognuto HORSE okruženjem</t>
  </si>
  <si>
    <t>A679078.004</t>
  </si>
  <si>
    <t>Ostvarivanje sljedivosti za mjerenje kakvoće električne energije</t>
  </si>
  <si>
    <t>A679078.009</t>
  </si>
  <si>
    <t>DESTination RAIL - FACT (Find, Analyse, Classify, Treat) alat za upravljanje željezničkom infrastrukturom</t>
  </si>
  <si>
    <t>A679078.010</t>
  </si>
  <si>
    <t>H2020  SAFE 10-T Razvoj sigurnosnog okvira za transportnu infrastrukturu</t>
  </si>
  <si>
    <t>A679078.011</t>
  </si>
  <si>
    <t>Regional Center Adria Umrežavanje dionika sektora mineralnih neenergetskih sirovina</t>
  </si>
  <si>
    <t>A679078.012</t>
  </si>
  <si>
    <t>HORIZON 2020 BBI - Razvijanje funkcionalnih molekula za biološke premaze</t>
  </si>
  <si>
    <t>A679078.013</t>
  </si>
  <si>
    <t>FITNESS Platforma za e-učenje svih aspekata pakiranja hrane</t>
  </si>
  <si>
    <t>A679078.014</t>
  </si>
  <si>
    <t>ASKFOOD Savez za vještine i znanje vezano za prehrambeni sektor</t>
  </si>
  <si>
    <t>A679078.015</t>
  </si>
  <si>
    <t>STRENGTH2FOOD  Istraživanje u cilju poboljšanja učinkovitosti programa EU o kvaliteti hrane</t>
  </si>
  <si>
    <t>A679078.016</t>
  </si>
  <si>
    <t>e-Škole A projekt - Uspostava sustava razvoja digitalno zrelih škola</t>
  </si>
  <si>
    <t>A679078.017</t>
  </si>
  <si>
    <t>IRI IDG - Razvoj inovativne platforme za digitalnu transformaciju poduzeća</t>
  </si>
  <si>
    <t>A679078.018</t>
  </si>
  <si>
    <t>IRI HYPER - Razvoj inovativne platforme za digitalnu transformaciju poduzeća</t>
  </si>
  <si>
    <t>A679078.019</t>
  </si>
  <si>
    <t>DIGITRANS - digitalna transformacija dunavske regije</t>
  </si>
  <si>
    <t>A679078.020</t>
  </si>
  <si>
    <t>ABCitiEs Razvoj novih vrsta poduzetničkih zajednica koje stvaraju atraktivnije lokalno poslovno okruženje</t>
  </si>
  <si>
    <t>A679078.021</t>
  </si>
  <si>
    <t>ERASMUS+ Potpora za nastavno i nenastavno osoblje</t>
  </si>
  <si>
    <t>A679078.022</t>
  </si>
  <si>
    <t>Obzor 2020  CEF - Poticanje istraživanja Connecting Europe Facilites i Norveške zaklade za znanost</t>
  </si>
  <si>
    <t>A679078.023</t>
  </si>
  <si>
    <t>Europska noć istraživača</t>
  </si>
  <si>
    <t>A679078.024</t>
  </si>
  <si>
    <t>ERASMUS+ projekt mobilnosti i aktivnosti studenata kroz istraživanja u inozemstvu</t>
  </si>
  <si>
    <t>A679078.025</t>
  </si>
  <si>
    <t>MANGO Ekstremna učinkovitost korištenih resursa u budućim računalima visokih performansi</t>
  </si>
  <si>
    <t>A679078.026</t>
  </si>
  <si>
    <t>CROSS BOrder Prekogranično upravljanje obnovljivim izvorima energije i skladišnim jedinicama</t>
  </si>
  <si>
    <t>A679078.027</t>
  </si>
  <si>
    <t>OBZOR2020 MEET Kapitaliziranje iskorištavanja naprednih geotermalnih sustava i potencijala</t>
  </si>
  <si>
    <t>A679078.028</t>
  </si>
  <si>
    <t>MicroGRId Rješenja za sudjelovanje mikromreža na tržištu električne energije</t>
  </si>
  <si>
    <t>A679078.029</t>
  </si>
  <si>
    <t>RoboCom ++ Promišljati robotiku za robota Suradnik budućnosti</t>
  </si>
  <si>
    <t>A679078.030</t>
  </si>
  <si>
    <t>TEchnology TRAnsfer putem višenacionalnih aplikacija eXperiments</t>
  </si>
  <si>
    <t>A679078.031</t>
  </si>
  <si>
    <t>Immersive Visual Technologies (IVT) Vizualne tehnologije za sigurnosne aplikacije</t>
  </si>
  <si>
    <t>A679078.032</t>
  </si>
  <si>
    <t>subCULTron Učenje, samoregulacija i samoodrživost podvodnog društva/kulture robota u okruženju s visokim učinkom</t>
  </si>
  <si>
    <t>A679078.034</t>
  </si>
  <si>
    <t>OBZOR 2020 PentaHelix Inovativna metoda u provedbi održivog razvoja i klime</t>
  </si>
  <si>
    <t>A679078.035</t>
  </si>
  <si>
    <t>OBZOR 2020 PROSEU  PROSumers FOR THE Energy Union: integriranje aktivnog sudjelovanja građana u tranziciju energije</t>
  </si>
  <si>
    <t>A679078.036</t>
  </si>
  <si>
    <t>OBZOR 2020 UPGRADE DH Unaprjeđenje performansi daljinskog grijanja u Europi</t>
  </si>
  <si>
    <t>A679078.037</t>
  </si>
  <si>
    <t>GoSAFE RAIL Globalni okvir upravljanja sigurnošću za željeznice</t>
  </si>
  <si>
    <t>A679078.038</t>
  </si>
  <si>
    <t>Dubrovnik International ESEE Mining school Škola rudarstva za istočnu i jugoistočnu Europu</t>
  </si>
  <si>
    <t>A679078.039</t>
  </si>
  <si>
    <t>InvestRM Multifaktorski model za ulaganja u sektor sirovina</t>
  </si>
  <si>
    <t>A679078.040</t>
  </si>
  <si>
    <t>rESEErve Mineralni potencijal istočne i jugoistočne Europe (ESEE produčje)</t>
  </si>
  <si>
    <t>A679078.041</t>
  </si>
  <si>
    <t>REEBAUX Potencijali ležišta boksita i boksitnih ostataka u istočnoj i jugoistočnoj Europi</t>
  </si>
  <si>
    <t>A679078.042</t>
  </si>
  <si>
    <t>MINERS -  Edukacijski program za spašavanje iz rudnika</t>
  </si>
  <si>
    <t>A679078.043</t>
  </si>
  <si>
    <t>ENOS Omogućavanje dekarbonizacije energetskih djelatnosti na bazi fosilnih goriva i energetski intenzivne industrije</t>
  </si>
  <si>
    <t>A679078.044</t>
  </si>
  <si>
    <t>EXERTER Mreža pan-europskih stručnjaka za sigurnost eksploziva</t>
  </si>
  <si>
    <t>A679078.045</t>
  </si>
  <si>
    <t>CRISS Demonstracija skalabilne i ekonomične infrastrukture za digitalno učenje temeljeno na oblaku</t>
  </si>
  <si>
    <t>A679078.046</t>
  </si>
  <si>
    <t>ERASMUS+ MERIA Matematičko obrazovanje - relevantno, zanimljivo i primjenjivo</t>
  </si>
  <si>
    <t>A679078.047</t>
  </si>
  <si>
    <t>ERASMUS+ Jean Monnet Network, Navigating the storm: Izazovi malih država u Europi</t>
  </si>
  <si>
    <t>A679078.048</t>
  </si>
  <si>
    <t>ERASMUS+  Razvijanje pismenosti i usvajanje jezika obrazovanja kod djece u nepovoljnom položaju (manjine, migranti i ostale skupine)</t>
  </si>
  <si>
    <t>A679078.049</t>
  </si>
  <si>
    <t>H2020 Uspostava Living Labs (životni laboratoriji) u urbanim područjima koja se suočavaju s izazovom postindustrijske regeneracije</t>
  </si>
  <si>
    <t>A679078.050</t>
  </si>
  <si>
    <t>H2020 DOIT Poduzetničke vještine mladih socijalnih inovatora u otvorenom digitalnom svijetu</t>
  </si>
  <si>
    <t>A679078.051</t>
  </si>
  <si>
    <t>Napredne fizičko-akustičke i psihoakustične dijagnostičke metode za ocjenu buke u građevini</t>
  </si>
  <si>
    <t>A679078.052</t>
  </si>
  <si>
    <t>Digital Traceablity Chain for AC Voltage and Current omogućit će dinamičko mjerenje strujnih i naponskih valnih oblika</t>
  </si>
  <si>
    <t>A679078.053</t>
  </si>
  <si>
    <t>SafeLog Sigurna interakcija čovjeka i robota u logističkim aplikacijama za vrlo fleksibilna skladišta</t>
  </si>
  <si>
    <t>A679078.054</t>
  </si>
  <si>
    <t>Univerzalni preventivni kurikulum (UPC) u Europi za sprječavanje uporabe droga</t>
  </si>
  <si>
    <t>A679078.055</t>
  </si>
  <si>
    <t>Jačanje maloljetničkog pravosuđa u rješavanju jedinstvene situacije maloljetnika i njihovu zaštitu prema međunarodnom i europskom pravu u kontekstu protuterorizma</t>
  </si>
  <si>
    <t>A679078.056</t>
  </si>
  <si>
    <t>Building bridges: promicanje socijalne uključenosti, ravnopravnosti i dobrobiti za rizične obitelji u Europi</t>
  </si>
  <si>
    <t>A679078.057</t>
  </si>
  <si>
    <t>ABC Assisting Better Communication Potpora boljem komuniciranju</t>
  </si>
  <si>
    <t>A679078.058</t>
  </si>
  <si>
    <t>Inovativni akademski tečaj o integrativnim intervencijama za djecu s poremećajima spektra autizma IACIIC_ASD</t>
  </si>
  <si>
    <t>A679078.059</t>
  </si>
  <si>
    <t>HORIZON 2020 VetMed Jačanje kapaciteta u molekularnoj veterini</t>
  </si>
  <si>
    <t>A679081.001</t>
  </si>
  <si>
    <t>INTERREG Projekt LOW-CARB Integrirano planiranje pokretljivosti s niskom razinom ugljika za urbana područja</t>
  </si>
  <si>
    <t>A679081.002</t>
  </si>
  <si>
    <t>ERASMUS+ JEAN MONNET Razvoj i implementacija CQAF modela osiguranja kvalitete na visokoškolskim ustanovama</t>
  </si>
  <si>
    <t>A679081.003</t>
  </si>
  <si>
    <t>ERASMUS+ JEAN MONNET MODULES - Interdisciplinarni pristup političkim i pravnim dimenzijama regionalnih integracija</t>
  </si>
  <si>
    <t>A679081.004</t>
  </si>
  <si>
    <t>ERASMUS+  Poticanje mobilnosti studenata i znanstveno-nastavnog osoblja</t>
  </si>
  <si>
    <t>K679084.001</t>
  </si>
  <si>
    <t>K679084.002</t>
  </si>
  <si>
    <t>K679084.003</t>
  </si>
  <si>
    <t>Razvoj i jačanje sinergija s horizontalnim aktivnostima programa OBZOR 2020:  Twinning i ERA chairs</t>
  </si>
  <si>
    <t>K679084.004</t>
  </si>
  <si>
    <t>Poziv Modernizacija, unaprjeđenje i proširenje infrastrukture studentskog smještaja za studente u nepovoljnom položaju</t>
  </si>
  <si>
    <t>K679106.001</t>
  </si>
  <si>
    <t>Internacionalizacija visokog obrazovanja - razvoj studijskih programa na stranim jezicima u prioritetnim područjima i združenih studija</t>
  </si>
  <si>
    <t>K679106.002</t>
  </si>
  <si>
    <t>Provedba HKO-a na razini visokog obrazovanja</t>
  </si>
  <si>
    <t>K679106.003</t>
  </si>
  <si>
    <t>Razvoj, unapređenje i provedba stručne prakse u visokom obrazovanju</t>
  </si>
  <si>
    <t>K679111.001</t>
  </si>
  <si>
    <t>Druga prilika za stjecanje kvalifikacije u visokom obrazovanju</t>
  </si>
  <si>
    <t>A622125.001</t>
  </si>
  <si>
    <t>H2020, Twinning: SmartEIZ</t>
  </si>
  <si>
    <t>A622125.003</t>
  </si>
  <si>
    <t>H2020 EuroFusion Istraživnja energije fuzije</t>
  </si>
  <si>
    <t>A622125.004</t>
  </si>
  <si>
    <t>H2020 PerformFISH Prevladavanje bioloških, tehničkih i operativnih pitanja u akvakulturi</t>
  </si>
  <si>
    <t>A622125.005</t>
  </si>
  <si>
    <t>H2020 NewSpindlForce Temeljna istraživanja dinamike diobenog vretena u cilju razumijevanja mehanizama stanične diobe</t>
  </si>
  <si>
    <t>A622125.006</t>
  </si>
  <si>
    <t>H2020 Concert Povezivanje istraživanja zaštite od zračenja na EU razini</t>
  </si>
  <si>
    <t>A622125.007</t>
  </si>
  <si>
    <t>H2020 PaRaDe SEC Unaprjeđenje istraživačke infrastrukture, posebice detektora čestica i zračenja za istraživanja u nuklearnoj i čestičnoj fizici</t>
  </si>
  <si>
    <t>A622125.008</t>
  </si>
  <si>
    <t>H2020 RBI-T-WINNING Umrežavanje Zavoda za teorijsku fiziku s vodećim EU institucijama</t>
  </si>
  <si>
    <t>A622125.009</t>
  </si>
  <si>
    <t>H2020 OpenAIRE-Advance Osiguravanje otvorenog pristupa i otvorene znanosti na razini EU</t>
  </si>
  <si>
    <t>A622125.010</t>
  </si>
  <si>
    <t>H2020 ESSnuSB Izrada studije o mogućnosti nadogradnje ESS akceleratora</t>
  </si>
  <si>
    <t>A622125.011</t>
  </si>
  <si>
    <t>H2020 EOSC-hub Katalog usluga, softvera i podataka iz EGI Federacije, EUDAT CDI, INDIGO - DataCloud i glavnih istraživačkih e-Infrastruktura</t>
  </si>
  <si>
    <t>A622125.012</t>
  </si>
  <si>
    <t>H2020 TETRAMAX Transfer znanja kroz suradnju istraživačke organizacije i MSP</t>
  </si>
  <si>
    <t>A622125.013</t>
  </si>
  <si>
    <t>H2020 NEW Povezivanje komplementanih nacionalnih ion-beam postrojenja u virtualnu mrežu</t>
  </si>
  <si>
    <t>A622125.014</t>
  </si>
  <si>
    <t>INTERREG IRON-AGE-DANUBE Monumentalni krajolici starijeg željeznog doba na prostoru Podunavlja</t>
  </si>
  <si>
    <t>A622125.015</t>
  </si>
  <si>
    <t>H2020, ERA-net GeoERA Uspostava istraživačkog prostora europskih geoloških službi i stvaranje geološke službe za Europu</t>
  </si>
  <si>
    <t>A622125.016</t>
  </si>
  <si>
    <t>INTERREG CBC Hrvatska-BiH-Crna Gora SafEath Napredno upravljanje rizikom klizišta u regiji</t>
  </si>
  <si>
    <t>A622125.017</t>
  </si>
  <si>
    <t>INTERREG Danube SIMONA Informacijski sustav koji podupire transnacionalnu suradnju za zajedničko vodno gospodarstvo u slivu rijeke Dunav</t>
  </si>
  <si>
    <t>A622125.018</t>
  </si>
  <si>
    <t>INTERREG Danube: DARLINGe Podunavlje vodeća regija geotermalne energije</t>
  </si>
  <si>
    <t>A622125.019</t>
  </si>
  <si>
    <t>INTERREG Danube: CAMARO-D Primjena inovativnih međunarodnih „Razvojnih planova korištenja zemljišta“ radi utjecaja na vodni režim u slivu rijeke Dunav</t>
  </si>
  <si>
    <t>A622125.020</t>
  </si>
  <si>
    <t>INTERREG Central Europe: PROLINE-CE – Učinkovite prakse upravljanja zemljištem kroz zaštitu vodnih resursa i ne-strukturnih iskustava za ublažavanje poplava</t>
  </si>
  <si>
    <t>A622125.021</t>
  </si>
  <si>
    <t>CASE (Poland) - Razvoj i primjena inovativnih alata usmjerenih na ograničavanje fenomena neregistriranog rada u ustanovama suodgovornim za minimiziranje sive ekonomije na trzištu rada</t>
  </si>
  <si>
    <t>A622125.022</t>
  </si>
  <si>
    <t>OBZOR2020  HBM4EU Inicijativa Europskog humanog biomonitoringa izrada baze kohorti novorođenčeta u Europi</t>
  </si>
  <si>
    <t>A622125.023</t>
  </si>
  <si>
    <t>OBZOR2020  CONCERT Europski zajednički program za integraciju istraživanja zaštite od zračenja</t>
  </si>
  <si>
    <t>A622125.024</t>
  </si>
  <si>
    <t>EK: Prilagodba industrijskih odnosa novim oblicima rada</t>
  </si>
  <si>
    <t>A622125.025</t>
  </si>
  <si>
    <t>EK Erasmus +Jean Monnet Učenje EU  standarda  na Balkanu</t>
  </si>
  <si>
    <t>A622125.026</t>
  </si>
  <si>
    <t>VOLPOWER Volontiranje kao doprinos interakciji i osnaživanju mladih</t>
  </si>
  <si>
    <t>A622125.027</t>
  </si>
  <si>
    <t>INTERREG Središnja Europa RESTAURA-revitaliziranje povijesnih građevina kroz javno privatno partnerstvo</t>
  </si>
  <si>
    <t>A622125.028</t>
  </si>
  <si>
    <t>INTERREG Središnja Europa KEEP ON-Učinkovita politika za trajne i samoodržive projekte u sektoru kulturne baštine</t>
  </si>
  <si>
    <t>A622125.030</t>
  </si>
  <si>
    <t>Modeli integriranog turizma na Mediteranu plus</t>
  </si>
  <si>
    <t>A622125.031</t>
  </si>
  <si>
    <t>ERASMUS + SeasonREADY Obrazovanje za sezonske turističke djelatnike</t>
  </si>
  <si>
    <t>A622125.032</t>
  </si>
  <si>
    <t>ERASMUS+  SKILLS ON BOARD Razvoj vještina profesionalnih skipera</t>
  </si>
  <si>
    <t>A622125.033</t>
  </si>
  <si>
    <t>ERASMUS+ SPECHALE  SPEcialisti za kulturnu baštinu i atraktivno životno okruženje</t>
  </si>
  <si>
    <t>A622125.034</t>
  </si>
  <si>
    <t>H2020 CHIEF Inovativni pristup kulturne pismenosti mladih Europljana</t>
  </si>
  <si>
    <t>A622125.035</t>
  </si>
  <si>
    <t>PaRaDeSEC Proširenje potencijala u detektorima, senzorima i elektronici u česticama i zračenju u Hrvatskoj</t>
  </si>
  <si>
    <t>A622125.036</t>
  </si>
  <si>
    <t>VetMedZg  Nadogradnja znanstvenog rada molekularne medicine na Veterinarskom fakultetu Sveucilista u Zagrebu</t>
  </si>
  <si>
    <t>K622128.001</t>
  </si>
  <si>
    <t>K622128.002</t>
  </si>
  <si>
    <t>K622128.003</t>
  </si>
  <si>
    <t>Veliki projekt: Otvorene znanstvene infrastrukturne platforme za inovativne primjene u gospodarstvu i društvu – O–ZIP</t>
  </si>
  <si>
    <t>K622128.004</t>
  </si>
  <si>
    <t>080</t>
  </si>
  <si>
    <t>PRAVOMOĆNE SUDSKE PRESUDE</t>
  </si>
  <si>
    <t>A621183</t>
  </si>
  <si>
    <t>STIPENDIJE I ŠKOLARINE ZA DOKTORSKI STUDIJ</t>
  </si>
  <si>
    <t>3801</t>
  </si>
  <si>
    <t>ULAGANJE U ZNANSTVENO ISTRAŽIVAČKU DJELATNOST</t>
  </si>
  <si>
    <t>Javni instituti u Republici Hrvatskoj</t>
  </si>
  <si>
    <t>A622009</t>
  </si>
  <si>
    <t>POTICAJ RAZVOJA ZNANOSTI I ULAGANJA U KADROVE - FINANCIRANJE ŠKOLARINA ZA POSLIJEDIPLOMSKI STUDIJ</t>
  </si>
  <si>
    <t>A622120</t>
  </si>
  <si>
    <t>08005</t>
  </si>
  <si>
    <t>Ministarstvo znanosti i obrazovanja</t>
  </si>
  <si>
    <t>3701</t>
  </si>
  <si>
    <t>RAZVOJ ODGOJNO OBRAZOVNOG SUSTAVA</t>
  </si>
  <si>
    <t>NOVI AKT</t>
  </si>
  <si>
    <t>NAZIV AKTIVNOSTI / PROJEKTA</t>
  </si>
  <si>
    <t>A577028</t>
  </si>
  <si>
    <t>POTICAJI HRVATSKOJ ZAJEDNICI TEHNIČKE KULTURE</t>
  </si>
  <si>
    <t>A577130</t>
  </si>
  <si>
    <t>POTICAJI UDRUGAMA ZA IZVANINSTITUCIONALNI ODGOJ I OBRAZOVANJE DJECE I MLADIH</t>
  </si>
  <si>
    <t>A578041</t>
  </si>
  <si>
    <t>POMOĆNICI U NASTAVI ZA DJECU S TEŠKOĆAMA U RAZVOJU</t>
  </si>
  <si>
    <t>A733051</t>
  </si>
  <si>
    <t>PROGRAMI IZRADE UDŽBENIKA ZA SLIJEPE I SLABOVIDNE UČENIKE I STUDENTE</t>
  </si>
  <si>
    <t>A733052</t>
  </si>
  <si>
    <t>DALJNJE UNAPREĐENJE SUSTAVA ZA RAZVOJ I PROVEDBU NACIONALNOGA KVALIFIKACIJSKOG OKVIRA (NKO)</t>
  </si>
  <si>
    <t>A767042</t>
  </si>
  <si>
    <t>OBRAZOVANJE OSOBA BEZ HRVATSKOG DRŽAVLJANSTVA</t>
  </si>
  <si>
    <t>K768057</t>
  </si>
  <si>
    <t>K818050</t>
  </si>
  <si>
    <t>A676057</t>
  </si>
  <si>
    <t>MODERNIZACIJA STRUKOVNIH PROGRAMA OBRAZOVANJA I OSPOSOBLJAVANJA - ŠVICARSKO-HRVATSKI PROGRAM SURADNJE</t>
  </si>
  <si>
    <t>A676059</t>
  </si>
  <si>
    <t>OBZOR 2020. - EUROPSKA NOĆ ISTRAŽIVAČA</t>
  </si>
  <si>
    <t>A733055</t>
  </si>
  <si>
    <t>PROGRAM IZVRSNOSTI U VISOKOM OBRAZOVANJU - TENURE-TRACK</t>
  </si>
  <si>
    <t>A767038</t>
  </si>
  <si>
    <t>OBZOR 2020. - PROGRAM MEĐUNARODNE MOBILNOSTI ZA ISTRAŽIVAČE - NEWFELPRO</t>
  </si>
  <si>
    <t>K578051</t>
  </si>
  <si>
    <t>A767029</t>
  </si>
  <si>
    <t>DRUGI PROJEKT TEHNOLOGIJSKOG RAZVOJA</t>
  </si>
  <si>
    <t>08012</t>
  </si>
  <si>
    <t>Državni zavod za intelektualno vlasništvo</t>
  </si>
  <si>
    <t>A763000</t>
  </si>
  <si>
    <t>ADMINISTRACIJA I UPRAVLJANJE DRŽAVNOG ZAVODA ZA INTELEKTUALNO VLASNIŠTVO</t>
  </si>
  <si>
    <t>T763005</t>
  </si>
  <si>
    <t>SURADNJA DZIV-a S EUROPSKIM UREDOM ZA ŽIGOVE I DIZAJN</t>
  </si>
  <si>
    <t>21836</t>
  </si>
  <si>
    <t>Nacionalna i sveučilišna knjižnica</t>
  </si>
  <si>
    <t>A622017</t>
  </si>
  <si>
    <t>ADMINISTRACIJA I UPRAVLJANJE NACIONALNE SVEUČILIŠNE KNJIŽNICE</t>
  </si>
  <si>
    <t>A622131</t>
  </si>
  <si>
    <t>NABAVA INOZEMNIH ZNANSTVENIH ČASOPISA</t>
  </si>
  <si>
    <t>A622134</t>
  </si>
  <si>
    <t>K622116</t>
  </si>
  <si>
    <t>KNJIGE, UMJETNIČKA DJELA I OSTALE IZLOŽBENE VRIJEDNOSTI</t>
  </si>
  <si>
    <t>21852</t>
  </si>
  <si>
    <t>Hrvatska akademska i istraživačka mreža Carnet</t>
  </si>
  <si>
    <t>3803</t>
  </si>
  <si>
    <t>RAZVOJ INFORMACIJSKOG DRUŠTVA</t>
  </si>
  <si>
    <t>A628009</t>
  </si>
  <si>
    <t>ADMINISTRACIJA I UPRAVLJANJE HRVATSKE AKADEMSKE I ISTRAŽIVAČKE MREŽE CARNET</t>
  </si>
  <si>
    <t>A628011</t>
  </si>
  <si>
    <t>PROGRAM TELEKOMUNIKACIJSKIH KAPACITETA ZA MREŽU CARNET</t>
  </si>
  <si>
    <t>A628015</t>
  </si>
  <si>
    <t>UKLJUČIVANJE MREŽE CARNET U PAN-EUROPSKE AKADEMSKE I ISTRAŽIVAČKE MREŽE</t>
  </si>
  <si>
    <t>A628068</t>
  </si>
  <si>
    <t>SUDJELOVANJE NA IZGRADNJI, TESTIRANJU I RAZVOJU OKOSNICE PAN-EUROPSKE RAČUNALNO KOMUNIKACIJSKE MREŽE</t>
  </si>
  <si>
    <t>A628070</t>
  </si>
  <si>
    <t>PROGRAM OBJEDINJAVANJA I ODRŽAVANJA NACIONALNIH INFORMACIJSKIH SERVISA I E-ŠKOLA</t>
  </si>
  <si>
    <t>A628073</t>
  </si>
  <si>
    <t>PRIMJENA INFORMACIJSKE I KOMUNIKACIJSKE TEHNOLOGIJE U SUSTAVU SOCIJALNE SKRBI</t>
  </si>
  <si>
    <t>A628074</t>
  </si>
  <si>
    <t>PROGRAMI ZAJEDNICE</t>
  </si>
  <si>
    <t>A628078</t>
  </si>
  <si>
    <t>POTICANJE PRIMJENE INFORMACIJSKE I KOMUNIKACIJSKE TEHNOLOGIJE ZA POTREBE MINISTARSTVA ZAŠTITE OKOLIŠA I ENERGETIKE</t>
  </si>
  <si>
    <t>A628079</t>
  </si>
  <si>
    <t>POTICANJE PRIMJENE INFORMACIJSKE I KOMUNIKACIJSKE TEHNOLOGIJE ZA POTREBE HZMO</t>
  </si>
  <si>
    <t>A628082</t>
  </si>
  <si>
    <t>POTICANJE PRIMJENE INFORMACIJSKE I KOMUNIKACIJSKE TEHNOLOGIJE ZA POTREBE ZDRAVSTVENOG SUSTAVA REPUBLIKE HRVATSKE</t>
  </si>
  <si>
    <t>A628089</t>
  </si>
  <si>
    <t>JAČANJE KAPACITETA NACIONALNOG CERT-A I POBOLJŠANJE SURADNJE NA HR I EU RAZINI - GROWCERT</t>
  </si>
  <si>
    <t>K406669</t>
  </si>
  <si>
    <t>CARNET - ZAJEDNIČKA RK INFRASTRUKTURA</t>
  </si>
  <si>
    <t>K628069</t>
  </si>
  <si>
    <t>ULAGANJE U OPREMU ZA ODRŽAVANJE NACIONALNIH I INFORMACIJSKIH SERVISA</t>
  </si>
  <si>
    <t>K628080</t>
  </si>
  <si>
    <t>OP KONKURENTNOST I KOHEZIJA 2014.-2020., PRIORITET 9</t>
  </si>
  <si>
    <t>K628081</t>
  </si>
  <si>
    <t>OP UČINKOVITI LJUDSKI POTENCIJALI 2014.-2020., PRIORITET 3 i 4</t>
  </si>
  <si>
    <t>21869</t>
  </si>
  <si>
    <t>Leksikografski zavod Miroslav Krleža</t>
  </si>
  <si>
    <t>A622107</t>
  </si>
  <si>
    <t>ADMINISTRACIJA I UPRAVLJANJE LEKSIKOGRAFSKOG ZAVODA MIROSLAV KRLEŽA</t>
  </si>
  <si>
    <t>A622136</t>
  </si>
  <si>
    <t>23665</t>
  </si>
  <si>
    <t>Sveučilišni računski centar SRCE</t>
  </si>
  <si>
    <t>A628018</t>
  </si>
  <si>
    <t>ADMINISTRACIJA I UPRAVLJANJE SVEUČILIŠNOG RAČUNSKOG CENTRA SRCE</t>
  </si>
  <si>
    <t>A628084</t>
  </si>
  <si>
    <t>K628055</t>
  </si>
  <si>
    <t>SRCE -IZRAVNA KAPITALNA ULAGANJA</t>
  </si>
  <si>
    <t>K628085</t>
  </si>
  <si>
    <t>K628087</t>
  </si>
  <si>
    <t>OP KONKURENTNOST I KOHEZIJA 2014.-2020., PRIORITETI 1 i 10</t>
  </si>
  <si>
    <t>23962</t>
  </si>
  <si>
    <t>Agencija za odgoj i obrazovanje</t>
  </si>
  <si>
    <t>A580006</t>
  </si>
  <si>
    <t>STRUČNO USAVRŠAVANJE I IZOBRAZBA UČITELJA I NASTAVNIKA U SREDNJIM ŠKOLAMA I USAVRŠAVANJE ZA PROVEDBU NACIONALNIH PROGRAMA</t>
  </si>
  <si>
    <t>A733001</t>
  </si>
  <si>
    <t>ADMINISTRACIJA I UPRAVLJANJE AGENCIJE ZA ODGOJ I OBRAZOVANJE</t>
  </si>
  <si>
    <t>A733003</t>
  </si>
  <si>
    <t>NACIONALNI PROGRAMI</t>
  </si>
  <si>
    <t>A733027</t>
  </si>
  <si>
    <t>STRUČNO USAVRŠAVANJE U OKVIRU ŽUPANIJSKIH STRUČNIH VIJEĆA</t>
  </si>
  <si>
    <t>A733028</t>
  </si>
  <si>
    <t>CENTAR ZA MEĐUNARODNU SURADNJU</t>
  </si>
  <si>
    <t>A733032</t>
  </si>
  <si>
    <t>IZVANNASTAVNE AKTIVNOSTI U OSNOVNIM I SREDNJIM ŠKOLAMA-NATJECANJE</t>
  </si>
  <si>
    <t>A767022</t>
  </si>
  <si>
    <t>STRUČNO USAVRŠAVANJE ODGOJNO-OBRAZOVNIH DJELATNIKA U SUSTAVU OSNOVNOG I SREDNJEG ŠKOLSTVA</t>
  </si>
  <si>
    <t>38487</t>
  </si>
  <si>
    <t>Agencija za znanost i visoko obrazovanje</t>
  </si>
  <si>
    <t>A621155</t>
  </si>
  <si>
    <t>ADMINISTRACIJA I UPRAVLJANJE AGENCIJE ZA ZNANOST I VISOKO OBRAZOVANJE</t>
  </si>
  <si>
    <t>A621179</t>
  </si>
  <si>
    <t>TROŠKOVI NACIONALNOG VIJEĆA ZA ZNANOST I VISOKO OBRAZOVANJE</t>
  </si>
  <si>
    <t>A621182</t>
  </si>
  <si>
    <t>VIJEĆE VELEUČILIŠTA I VISOKIH ŠKOLA</t>
  </si>
  <si>
    <t>A621186</t>
  </si>
  <si>
    <t>VREDNOVANJE ZNANSTVENIH ORGANIZACIJA</t>
  </si>
  <si>
    <t>A621187</t>
  </si>
  <si>
    <t>VREDNOVANJE VISOKIH UČILIŠTA</t>
  </si>
  <si>
    <t>A621190</t>
  </si>
  <si>
    <t>VANJSKA PROSUDBA SUSTAVA OSIGURANJA KVALITETE VISOKIH UČILIŠTA I ZNANSTVENIH ORGANIZACIJA (VP)</t>
  </si>
  <si>
    <t>A621191</t>
  </si>
  <si>
    <t>PRAĆENJE ZAPOŠLJAVANJA DIPLOMIRANIH STUDENATA</t>
  </si>
  <si>
    <t>A621192</t>
  </si>
  <si>
    <t>TROŠKOVI SREDIŠNJEG PRIJAVNOG UREDA</t>
  </si>
  <si>
    <t>A867002</t>
  </si>
  <si>
    <t>USKLAĐIVANJE PRISTUPA STRUKOVNOG VISOKOG OBRAZOVANJA U EUROPI - EURASHE</t>
  </si>
  <si>
    <t>A867004</t>
  </si>
  <si>
    <t>ODBOR ZA ETIKU U ZNANOSTI I VISOKOM OBRAZOVANJU</t>
  </si>
  <si>
    <t>A867005</t>
  </si>
  <si>
    <t>JAČANJE STRUČNOG VISOKOG OBRAZOVANJA I STRUKOVNOG OBRAZOVANJA I OSPOSOBLJAVANJA U SREDNJOJ I JUGIOISTOČNOJ EUROPI (PROCSEE)</t>
  </si>
  <si>
    <t>A867006</t>
  </si>
  <si>
    <t>JAČANJE SPOSOBNOSTI U PODRUČJU STRUČNOG VISOKOG OBRAZOVANJA U EUROPI (BUILDPHE)</t>
  </si>
  <si>
    <t>A867009</t>
  </si>
  <si>
    <t>ERASMUS PLUS - MODERNIZACIJA VISOKIH UČILIŠTA PUTEM UNAPRJEĐENJA FUNKCIJE UPRAVLJANJA LJUDSKIM POTENCIJALIMA</t>
  </si>
  <si>
    <t>A867010</t>
  </si>
  <si>
    <t>MODERNIZACIJA, OBRAZOVANJE I LJUDSKA PRAVA (MEHR)</t>
  </si>
  <si>
    <t>A867013</t>
  </si>
  <si>
    <t>ERASMUS PLUS - BAZA PODATAKA REZULTATA VANJSKIH VREDNOVANJA</t>
  </si>
  <si>
    <t>K621178</t>
  </si>
  <si>
    <t>OPREMANJE I UREĐENJE AGENCIJE ZA ZNANOST I VISOKO OBRAZOVANJE</t>
  </si>
  <si>
    <t>K621194</t>
  </si>
  <si>
    <t>NACIONALNI INFORMACIJSKI SUSTAV PRIJAVA NA VISOKA UČILIŠTA - NISpVU</t>
  </si>
  <si>
    <t>K867008</t>
  </si>
  <si>
    <t>K867012</t>
  </si>
  <si>
    <t>OP UČINKOVITI LJUDSKI POTENCIJALI 2014.-2020., CJELOŽIVOTNO PROFESIONALNO USMJERAVANJE</t>
  </si>
  <si>
    <t>T867003</t>
  </si>
  <si>
    <t>KONKURENTNO HRVATSKO VISOKO OBRAZOVANJE ZA BOLJU ZAPOŠLJIVOST (IPA RPL)</t>
  </si>
  <si>
    <t>40883</t>
  </si>
  <si>
    <t>Nacionalni centar za vanjsko vrednovanje obrazovanja</t>
  </si>
  <si>
    <t>A580046</t>
  </si>
  <si>
    <t>ADMINISTRACIJA I UPRAVLJANJE NACIONALNOG CENTRA ZA VANJSKO VREDNOVANJE OBRAZOVANJA</t>
  </si>
  <si>
    <t>A814000</t>
  </si>
  <si>
    <t>A814001</t>
  </si>
  <si>
    <t>DRŽAVNA MATURA</t>
  </si>
  <si>
    <t>A814002</t>
  </si>
  <si>
    <t>VANJSKO VREDNOVANJE ODGOJNO-OBRAZOVNIH USTANOVA</t>
  </si>
  <si>
    <t>A814003</t>
  </si>
  <si>
    <t>NACIONALNI ISPITI U OSNOVNIM I SREDNJIM ŠKOLAMA</t>
  </si>
  <si>
    <t>A814007</t>
  </si>
  <si>
    <t>UNAPREĐENJE KVALITETE OBRAZOVNOG SUSTAVA</t>
  </si>
  <si>
    <t>A814008</t>
  </si>
  <si>
    <t>ZAVRŠNI ISPIT NA KRAJU OBRAZOVNOG CIKLUSA</t>
  </si>
  <si>
    <t>K580052</t>
  </si>
  <si>
    <t>UREĐENJE CENTRA ZA VANJSKO VREDNOVANJE OBRAZOVANJA</t>
  </si>
  <si>
    <t>K814004</t>
  </si>
  <si>
    <t>NABAVA INFORMATIČKE OPREME ZA EVALUACIJU ZNANJA UČENIKA - NCVVO</t>
  </si>
  <si>
    <t>K628067</t>
  </si>
  <si>
    <t>IZRADA SREDIŠNJEG REGISTRA ZA DRŽAVNU MATURU</t>
  </si>
  <si>
    <t>43335</t>
  </si>
  <si>
    <t>Agencija za mobilnost i programe Europske unije</t>
  </si>
  <si>
    <t>A589088</t>
  </si>
  <si>
    <t>ADMINISTRACIJA I UPRAVLJANJE AGENCIJE ZA MOBILNOST I EU PROGRAME</t>
  </si>
  <si>
    <t>A589091</t>
  </si>
  <si>
    <t>DJELATNOST HRVATSKE MREŽE ZA MOBILNOST ISTRAŽIVAČA (FP7 Ad hoc-2007-13)</t>
  </si>
  <si>
    <t>A818017</t>
  </si>
  <si>
    <t>PROVOĐENJE MREŽNIH PROJEKATA IZ OBZOR 2020.PROGRAMA</t>
  </si>
  <si>
    <t>A818022</t>
  </si>
  <si>
    <t>PROVEDBA EUROPASS INICIJATIVE</t>
  </si>
  <si>
    <t>A818023</t>
  </si>
  <si>
    <t>PROVEDBA EURODESK MREŽE</t>
  </si>
  <si>
    <t>A818024</t>
  </si>
  <si>
    <t>PROVEDBA E-TWINNING MREŽE</t>
  </si>
  <si>
    <t>A818025</t>
  </si>
  <si>
    <t>PROVEDBA EUROGUIDANCE MREŽE</t>
  </si>
  <si>
    <t>A818032</t>
  </si>
  <si>
    <t>STRUČNA SKUPINA ZA ECVET</t>
  </si>
  <si>
    <t>A818033</t>
  </si>
  <si>
    <t>ZNANSTVENA I VISOKOŠKOLSKA MOBILNOST</t>
  </si>
  <si>
    <t>A818042</t>
  </si>
  <si>
    <t>OBZOR 2020. I MOBILNOST ISTRAŽIVAČA</t>
  </si>
  <si>
    <t>A818043</t>
  </si>
  <si>
    <t>A818044</t>
  </si>
  <si>
    <t>A818045</t>
  </si>
  <si>
    <t>A818055</t>
  </si>
  <si>
    <t>PORTAL STUDY IN CROATIA</t>
  </si>
  <si>
    <t>A818057</t>
  </si>
  <si>
    <t>ERASMUS PLUS – K3 PROJEKT UMREŽAVANJE NACIONALNIH AGENCIJA U PODRUČJU MLADI</t>
  </si>
  <si>
    <t>A818058</t>
  </si>
  <si>
    <t>A818059</t>
  </si>
  <si>
    <t>A818060</t>
  </si>
  <si>
    <t>EURYDICE EUROPSKA MREŽA ZA PODATKE I ANALIZE O SUSTAVIMA OBRAZOVANJA</t>
  </si>
  <si>
    <t>A818061</t>
  </si>
  <si>
    <t>ERASMUS PLUS - SUFINANCIRANJE – DIO PROVEDBE MLADI</t>
  </si>
  <si>
    <t>46173</t>
  </si>
  <si>
    <t>Agencija za strukovno obrazovanje i obrazovanje odraslih</t>
  </si>
  <si>
    <t>A848001</t>
  </si>
  <si>
    <t>ADMINISTRACIJA I UPRAVLJANJE AGENCIJE ZA STRUKOVNO OBRAZOVANJE I  OBRAZOVANJE ODRASLIH</t>
  </si>
  <si>
    <t>A848009</t>
  </si>
  <si>
    <t>PROMICANJE KULTURE UČENJA: TJEDAN CJELOŽIVOTNOG UČENJA</t>
  </si>
  <si>
    <t>A848010</t>
  </si>
  <si>
    <t>STRUČNO SAVJETODAVNA DJELATNOST</t>
  </si>
  <si>
    <t>A848014</t>
  </si>
  <si>
    <t>RAZVOJ SUSTAVA STRUKOVNOG OBRAZOVANJA</t>
  </si>
  <si>
    <t>A848018</t>
  </si>
  <si>
    <t>DRŽAVNA NATJECANJA</t>
  </si>
  <si>
    <t>A848020</t>
  </si>
  <si>
    <t>RAZVOJ SUSTAVA OBRAZOVANJA ODRASLIH</t>
  </si>
  <si>
    <t>A848023</t>
  </si>
  <si>
    <t>REFERNET U REPUBLICI HRVATSKOJ</t>
  </si>
  <si>
    <t>A848039</t>
  </si>
  <si>
    <t>NACIONALNA REFERENTNA TOČKA ZA EUROPSKI SUSTAV OSIGURANJA KVALITETE U STRUKOVNOM OBRAZOVANJU I OSPOSOBLJAVANJU - EQAVET NRP</t>
  </si>
  <si>
    <t>A848040</t>
  </si>
  <si>
    <t>EPALE - NACIONALNA SLUŽBA ZA PODRŠKU ZA REPUBLIKU HRVATSKU 2017.-2018. (EPALE III)</t>
  </si>
  <si>
    <t>A848041</t>
  </si>
  <si>
    <t>ERASMUS PLUS - PROVEDBA ISTRAŽIVANJA KOMPETENCIJA ODRASLIH OSOBA U REPUBLICI HRVATSKOJ - PIAAC HRVATSKA</t>
  </si>
  <si>
    <t>A848042</t>
  </si>
  <si>
    <t>EPALE - NACIONALNA SLUŽBA ZA PODRŠKU ZA REPUBLIKU HRVATSKU 2019.-2020. (EPALE IV)</t>
  </si>
  <si>
    <t>A848043</t>
  </si>
  <si>
    <t>ERASMUS PLUS - UNAPREĐENJE VJEŠTINA U STRUKOVNOM OBRAZOVANJU I OSPOSOBLJAVANJU - IMPROVET</t>
  </si>
  <si>
    <t>A848044</t>
  </si>
  <si>
    <t>ERASMUS PLUS - ONLINE ALAT ZA ODREĐIVANJE REFERENTNIH VRIJEDNOSTI ZA OSIGURAVANJE KVALITETE U NAUKOVANJU - BEQUAL</t>
  </si>
  <si>
    <t>K848017</t>
  </si>
  <si>
    <t>UREĐENJE PROSTORA</t>
  </si>
  <si>
    <t>K848038</t>
  </si>
  <si>
    <t>T848027</t>
  </si>
  <si>
    <t>OP UČINKOVITI LJUDSKI POTENCIJALI 2014. - 2020., PRIORITET 5</t>
  </si>
  <si>
    <t>PODPROJEKTI (P4)</t>
  </si>
  <si>
    <t>K768057.001</t>
  </si>
  <si>
    <t>Obrazovanjem do veće zapošljivosti mladih</t>
  </si>
  <si>
    <t>K818050.001</t>
  </si>
  <si>
    <t>Osiguravanje pomoćnika u nastavi i stručnih komunikacijskih posrednika učenicima s teškoćama u razvoju u osnovnoškolskim i srednjoškolskim odgojno-obrazovnim ustanovama - faza III</t>
  </si>
  <si>
    <t>K818050.002</t>
  </si>
  <si>
    <t>Poticanje rada s darovitom djecom i učenicima na predtercijarnoj razini</t>
  </si>
  <si>
    <t>K818050.003</t>
  </si>
  <si>
    <t>Unapređenje pismenosti u svrhu promocije cjeloživotnog učenja</t>
  </si>
  <si>
    <t>K818050.004</t>
  </si>
  <si>
    <t>Podrška obrazovanju odraslih polaznika uključivanjem u prioritetne programe obrazovanja, usmjerene unapređenju vještina i kompetencija polaznika u svrhu povećanja zapošljivosti</t>
  </si>
  <si>
    <t>K818050.005</t>
  </si>
  <si>
    <t>Programska,stručna i financijska podrška obrazovanju učenika romske nacionalne manjine</t>
  </si>
  <si>
    <t>K818050.006</t>
  </si>
  <si>
    <t>K818050.007</t>
  </si>
  <si>
    <t>K818050.008</t>
  </si>
  <si>
    <t>K818050.009</t>
  </si>
  <si>
    <t>Sufinanciranje troškova uključivanja djece  u socio-ekonomski nepovoljnoj situaciji u predškolske ustanove</t>
  </si>
  <si>
    <t>K818050.010</t>
  </si>
  <si>
    <t>Unapređenje kvalitete obrazovanja odraslih kroz razvoj i provedbu HKO-a</t>
  </si>
  <si>
    <t>K818050.011</t>
  </si>
  <si>
    <t>Uspostava regionalnih centara kompetencija u strukovnom obrazovanju u odabranim sektorima</t>
  </si>
  <si>
    <t>K818050.012</t>
  </si>
  <si>
    <t>Promocija kvalitete strukovnog obrazovanja kroz podršku strukovnim školama u razvoju i uvođenju inovativnih rješenja te modernih i novih tehnologija</t>
  </si>
  <si>
    <t>K818050.013</t>
  </si>
  <si>
    <t>Dodjela stipendija studentima nižeg socio-ekonomskog statusa</t>
  </si>
  <si>
    <t>K818050.014</t>
  </si>
  <si>
    <t>Dodjela stipendija studentima u prioritetnim područjima STEM</t>
  </si>
  <si>
    <t>K818050.015</t>
  </si>
  <si>
    <t>Projekt razvoja karijera mladih istraživača - izobrazba novih doktora znanosti</t>
  </si>
  <si>
    <t>K818050.016</t>
  </si>
  <si>
    <t>Program suradnje s hrvatskim znanstvenicima u dijaspori ''ZNANSTVENA SURADNJA''</t>
  </si>
  <si>
    <t>K818050.017</t>
  </si>
  <si>
    <t>Program razvoja karijera mladih znanstvenika – poslijedoktoranada</t>
  </si>
  <si>
    <t>K818050.018</t>
  </si>
  <si>
    <t>Potpore za članstvo u međunarodnim znanstveno-istraživačkim tijelima</t>
  </si>
  <si>
    <t>K818050.019</t>
  </si>
  <si>
    <t>Uspostava i upravljanje Registrom HKO</t>
  </si>
  <si>
    <t>K818050.020</t>
  </si>
  <si>
    <t>Priprema i uvođenje programskih ugovora</t>
  </si>
  <si>
    <t>K818050.021</t>
  </si>
  <si>
    <t>Podrška provedbi cjelovite kurikularne reforme (CKR)</t>
  </si>
  <si>
    <t>K818050.022</t>
  </si>
  <si>
    <t>Podrška provedbi cjelovite kurikularne reforme (CKR) - faza II</t>
  </si>
  <si>
    <t>K818050.023</t>
  </si>
  <si>
    <t>MZO Tehnička pomoć OP ULJP faza I</t>
  </si>
  <si>
    <t>K578051.001</t>
  </si>
  <si>
    <t>Znanstveno i tehnologijsko predviđanje</t>
  </si>
  <si>
    <t>K578051.002</t>
  </si>
  <si>
    <t>Ulaganje u znanost i inovacije (SIIF)</t>
  </si>
  <si>
    <t>K578051.003</t>
  </si>
  <si>
    <t>Jačanje kapaciteta za istraživanje, razvoj i inovacije (STRIP)</t>
  </si>
  <si>
    <t>K578051.004</t>
  </si>
  <si>
    <t>K578051.005</t>
  </si>
  <si>
    <t>Veliki projekt: ˝Dječji centar za translacijsku medicinu˝ Dječje bolnice Srebrnjak</t>
  </si>
  <si>
    <t>K578051.006</t>
  </si>
  <si>
    <t>Priprema IRI infrastrukturnih projekata</t>
  </si>
  <si>
    <t>K578051.007</t>
  </si>
  <si>
    <t>Razvoj i jačanje sinergija s horizontalnim aktivnostima programa OBZOR 2020: Teaming</t>
  </si>
  <si>
    <t>K578051.008</t>
  </si>
  <si>
    <t>Poziv Centri kompetencija</t>
  </si>
  <si>
    <t>K578051.009</t>
  </si>
  <si>
    <t>Tehnička pomoć za MZO</t>
  </si>
  <si>
    <t>K628080.001</t>
  </si>
  <si>
    <t>II. faza programa "e-Škole: Cjelovita informatizacija procesa poslovanja škola i nastavnih procesa u svrhu stvaranja ditigalno zrelih škola za 21. stoljeće"</t>
  </si>
  <si>
    <t>K628081.001</t>
  </si>
  <si>
    <t>II. faza programa "e-Škole: Cjelovita informatizacija procesa poslovanja škola i nastavnih procesa u svrhu stvaranja digitalno zrelih škola za 21. stoljeće"</t>
  </si>
  <si>
    <t>K628081.002</t>
  </si>
  <si>
    <t>Informatizacija procesa i uspostava cjelovite elektroničke usluge upisa u odgojne i obrazovne ustanove</t>
  </si>
  <si>
    <t>K628087.001</t>
  </si>
  <si>
    <t>Znanstveno i tehnologijsko predviđanje - sustav CroRIS</t>
  </si>
  <si>
    <t>K628087.002</t>
  </si>
  <si>
    <t>Hrvatski znanstveni i obrazovni oblak (HR ZOO)</t>
  </si>
  <si>
    <t>K628087.003</t>
  </si>
  <si>
    <t>CEKOM GEZI</t>
  </si>
  <si>
    <t>K848038.001</t>
  </si>
  <si>
    <t>Modernizacija sustava stručnog usavršavanja nastavnika strukovnih predmeta</t>
  </si>
  <si>
    <t>K848038.002</t>
  </si>
  <si>
    <t>Modernizacija sustava strukovnog obrazovanja i osposobljavanja</t>
  </si>
  <si>
    <t>K848038.003</t>
  </si>
  <si>
    <t>Osiguravanje kvalitete u sustavu obrazovanja odraslih</t>
  </si>
  <si>
    <t>K848038.004</t>
  </si>
  <si>
    <t>Promocija učeničkih kompetencija i strukovnog obrazovanja kroz strukovna natjecanja i smotre</t>
  </si>
  <si>
    <t>K848038.005</t>
  </si>
  <si>
    <t>Promocija cjeloživotnog učenja – faza II</t>
  </si>
  <si>
    <t>K848038.006</t>
  </si>
  <si>
    <t>E škole</t>
  </si>
  <si>
    <t>IZVOR 81                Namjenski primici od zaduživanja</t>
  </si>
  <si>
    <t>IZVOR 71                          Prihodi od nefin. imovine i nadoknade šteta s osnova osig.</t>
  </si>
  <si>
    <t>IZVOR 83                Namjenski primici od inozemnog zaduživanja</t>
  </si>
  <si>
    <t>MZO</t>
  </si>
  <si>
    <t>Prihodi od igara na sreću</t>
  </si>
  <si>
    <t>Švicarski instrument</t>
  </si>
  <si>
    <t>Ostale refundacije iz pomoći EU</t>
  </si>
  <si>
    <t>Namjenski primici od inozemnog zaduživanja</t>
  </si>
  <si>
    <t>Naknada za priređivanje lutrijskih igara, izvor 41</t>
  </si>
  <si>
    <t>Naknade za priređivanje igara na sreću u casinima, izvor 41</t>
  </si>
  <si>
    <t>Naknade za priređivanje klađenja, izvor 41</t>
  </si>
  <si>
    <t>Naknade za priređivanje igara na sreću na automatima, izvor 41</t>
  </si>
  <si>
    <t>Prihodi iz dobiti Hrvatske lutrije, izvor 41</t>
  </si>
  <si>
    <t>Tekuće pomoći od institucija i tijela EU Švicarski instrument</t>
  </si>
  <si>
    <t>Tekuće pomoći od institucija i tijela EU – ostale refundacije</t>
  </si>
  <si>
    <t>Tekuće pomoći od institucija i tijela EU – Instrumenti europskog gospodarskog prostora</t>
  </si>
  <si>
    <t>Instrumenti Europskog gospodarskog prostora i ostali instrumenti</t>
  </si>
  <si>
    <t>Tek.pom.od instit. tijela EU - fondovi za unutarnje poslove</t>
  </si>
  <si>
    <t>Fondovi za unutarnje poslove</t>
  </si>
  <si>
    <t>Kapitalne pomoći od institucija i tijela EU Švicarski instrument</t>
  </si>
  <si>
    <t>Kapitalne pomoći od institucija i tijela EU - ostale refundacije</t>
  </si>
  <si>
    <t>Kapitalne pomoći od institucija i tijela EU - Instrumenti europskog gospodarskog prostora</t>
  </si>
  <si>
    <t>Kapitalne pomoći od institucija i tijela EU - Fondovi za unutarnje poslove</t>
  </si>
  <si>
    <t>Primici od povrata depozita od tuzemnih kreditnih i ostalih institucija - dugoročni - namjenski</t>
  </si>
  <si>
    <t>Dionice i udjeli u glavnici trgovačkih društava u javnom sektoru - izvor 43</t>
  </si>
  <si>
    <t>Predujam za 2.projekt tehnologijskog razvoja IBRD P4640</t>
  </si>
  <si>
    <t>2.projekt tehnologijskog razvoja IBRD 82580</t>
  </si>
  <si>
    <t xml:space="preserve">IZVOR 41                  Vlastiti prihodi </t>
  </si>
  <si>
    <t xml:space="preserve">IZVOR 552                             Ostale pomoći </t>
  </si>
  <si>
    <t>573 Instrumenti Europskog gospodarskog prostora i ostali instrumenti</t>
  </si>
  <si>
    <t>575 Fondovi za unutarnje poslove</t>
  </si>
  <si>
    <t>NOVA AKT</t>
  </si>
  <si>
    <t>614</t>
  </si>
  <si>
    <t>Naknade za priređivanje igara na sreću</t>
  </si>
  <si>
    <t>Primici od povrata depozita i jamčevnih pologa</t>
  </si>
  <si>
    <t>Primici od prodaje dionica i udjela u glavnici trg.dr. u javnom sektoru</t>
  </si>
  <si>
    <t xml:space="preserve">Primljeni krediti i zajmovi od međ.org.,institucija i tijela EU te inozemnih vlada </t>
  </si>
  <si>
    <t>REDOVNA DJELATNOST SVEUČILIŠTA U ZAGREBU (IZ EVIDENCIJSKIH PRIHODA)</t>
  </si>
  <si>
    <t>REDOVNA DJELATNOST SVEUČILIŠTA U RIJECI (IZ EVIDENCIJSKIH PRIHODA)</t>
  </si>
  <si>
    <t>REDOVNA DJELATNOST SVEUČILIŠTA U OSIJEKU (IZ EVIDENCIJSKIH PRIHODA)</t>
  </si>
  <si>
    <t>REDOVNA DJELATNOST SVEUČILIŠTA U SPLITU (IZ EVIDENCIJSKIH PRIHODA)</t>
  </si>
  <si>
    <t>REDOVNA DJELATNOST SVEUČILIŠTA U ZADRU (IZ EVIDENCIJSKIH PRIHODA)</t>
  </si>
  <si>
    <t>REDOVNA DJELATNOST SVEUČILIŠTA U DUBROVNIKU (IZ EVIDENCIJSKIH PRIHODA)</t>
  </si>
  <si>
    <t>REDOVNA DJELATNOST VELEUČILIŠTA I VISOKIH ŠKOLA (IZ EVIDENCIJSKIH PRIHODA)</t>
  </si>
  <si>
    <t>REDOVNA DJELATNOST SVEUČILIŠTA U PULI (IZ EVIDENCIJSKIH PRIHODA)</t>
  </si>
  <si>
    <t>REDOVNA DJELATNOST SVEUČILIŠTA SJEVER (IZ EVIDENCIJSKIH PRIHODA)</t>
  </si>
  <si>
    <t>REDOVNA DJELATNOST JAVNIH INSTITUTA (IZ EVIDENCIJSKIH PRIHODA)</t>
  </si>
  <si>
    <t>ADMINISTRACIJA I UPRAVLJANJE NACIONALNE SVEUČILIŠNE KNJIŽNICE (IZ EVIDENCIJSKIH PRIHODA)</t>
  </si>
  <si>
    <t>ADMINISTRACIJA I UPRAVLJANJE SVEUČILIŠNOG RAČUNSKOG CENTRA SRCE  (IZ EVIDENCIJSKIH PRIHODA)</t>
  </si>
  <si>
    <t>ADMINISTRACIJA I UPRAVLJANJE LEKSIKOGRAFSKOG ZAVODA MIROSLAV KRLEŽA (IZ EVIDENCIJSKIH PRIHODA)</t>
  </si>
  <si>
    <t>SRCE - IZRAVNA KAPITALNA ULAGANJA  (IZ EVIDENCIJSKIH PRIHODA)</t>
  </si>
  <si>
    <t>K818050.024</t>
  </si>
  <si>
    <t>'Informatizacija procesa i uspostava cjelovite elektroničke usluge upisa u odgojne i obrazovne ustanove</t>
  </si>
  <si>
    <t>K818050.025</t>
  </si>
  <si>
    <t>'Nove prilike za odrasle</t>
  </si>
  <si>
    <t>A679071.010</t>
  </si>
  <si>
    <t>INTERREG IPA Ozelenjivanje gradova</t>
  </si>
  <si>
    <t>A679071.011</t>
  </si>
  <si>
    <t>ARDENT-Unapređenje ruralnog razvoja kroz poduzetničko obrazovanje za odrasle</t>
  </si>
  <si>
    <t>A679071.012</t>
  </si>
  <si>
    <t>EUFams II - Olakšavanje prekograničnog obiteljskog života</t>
  </si>
  <si>
    <t>A679071.013</t>
  </si>
  <si>
    <t>Zaštita otmičnih majki u postupku za povratak: Raskrižje između nasilja u obitelji i roditeljskog otmica djeteta</t>
  </si>
  <si>
    <t>A679071.014</t>
  </si>
  <si>
    <t>INTERREG IPA CBC Hrvatska - Srbija</t>
  </si>
  <si>
    <t>A679071.015</t>
  </si>
  <si>
    <t>HKO-ELE- Primjena Hrvatskog kvalifikacijskog okvira za sveučilišne studijske programe u području elektrotehnike</t>
  </si>
  <si>
    <t>A679071.016</t>
  </si>
  <si>
    <t>INTERREG SeNs Wetlands</t>
  </si>
  <si>
    <t>A679071.017</t>
  </si>
  <si>
    <t>INTERREG Rescue</t>
  </si>
  <si>
    <t>A679071.018</t>
  </si>
  <si>
    <t>ERAMCA-Procjena ekološkog rizika i ublažavanje imovine kulturne baštine u Srednjoj Aziji</t>
  </si>
  <si>
    <t>A679071.019</t>
  </si>
  <si>
    <t>Znanstveni centar izvrsnosti personalizirana briga o zdravlju</t>
  </si>
  <si>
    <t>A679071.020</t>
  </si>
  <si>
    <t>IPA INTERREG CBC</t>
  </si>
  <si>
    <t>A679071.021</t>
  </si>
  <si>
    <t>Potpora za očuvanje, održivo korištenje i razvoj genetskih izvora u poljoprivredi</t>
  </si>
  <si>
    <t>A679071.022</t>
  </si>
  <si>
    <t>Izvrsnost i učinkovitost u visokom obrazovanju u polju ekonomije (E4)</t>
  </si>
  <si>
    <t>A679071.023</t>
  </si>
  <si>
    <t>Unaprjeđenje kvalitete studiranja na pravnim fakultetima u Hrvatskoj</t>
  </si>
  <si>
    <t>A679071.024</t>
  </si>
  <si>
    <t>Projekt razvoja karijere mladih istraživača - izobrazba novih doktora znanosti</t>
  </si>
  <si>
    <t>A679072.024</t>
  </si>
  <si>
    <t>ERASMUS+ Projekt Interaktivni tečaj za teoriju kontrole (ICCT) 2018-1-SI01-KA203-047081</t>
  </si>
  <si>
    <t>A679072.025</t>
  </si>
  <si>
    <t>HORIZON 2020-MSCA-ITN-2019 - THREAD</t>
  </si>
  <si>
    <t>A679072.026</t>
  </si>
  <si>
    <t>ERASMUS + SWARM PROJEKT</t>
  </si>
  <si>
    <t>A679072.027</t>
  </si>
  <si>
    <t>H2020 Financijski nadzor i tehnološka usklađenost</t>
  </si>
  <si>
    <t>A679072.028</t>
  </si>
  <si>
    <t>Transformativni turizam u europskoj prijestolnici kulture</t>
  </si>
  <si>
    <t>A679072.029</t>
  </si>
  <si>
    <t>ManuFacturing model upravljanja i osposobljavanja za industriju 4.0 u Jadransko-jonskoj regiji</t>
  </si>
  <si>
    <t>A679072.030</t>
  </si>
  <si>
    <t>ERASMUS+ TEACHING2030 -FMTU Opatija 2017.-2020.</t>
  </si>
  <si>
    <t>A679072.031</t>
  </si>
  <si>
    <t>INTERREG SLO-HR MITSKI PARK, FMTU-Kozina</t>
  </si>
  <si>
    <t>A679072.032</t>
  </si>
  <si>
    <t>INTERREG ITA-HR ADRIAAQUANET,Sv. Udine</t>
  </si>
  <si>
    <t>A679072.033</t>
  </si>
  <si>
    <t>ERASMUS+ Promicanje strateškog pristupa sportskoj diplomaciji EU-a(UK)</t>
  </si>
  <si>
    <t>A679072.034</t>
  </si>
  <si>
    <t>Personalizirano rješenje u europskom zakonu o obitelji i sukcesiji (PSEFS) (I)</t>
  </si>
  <si>
    <t>A679072.035</t>
  </si>
  <si>
    <t>Modernizacija master programa</t>
  </si>
  <si>
    <t>A679072.036</t>
  </si>
  <si>
    <t>Raznolikost izvršnih naslova u prekograničnoj naplati duga EU-EU-En4s</t>
  </si>
  <si>
    <t>A679072.037</t>
  </si>
  <si>
    <t>Povećavanje i proširenje odgovora T-stanica na glioblastoma</t>
  </si>
  <si>
    <t>A679072.038</t>
  </si>
  <si>
    <t>Podrška obiteljskog njegovatelja - strategije i alati za promicanje mentalnog i emocionalnog zdravlja njegovatelja</t>
  </si>
  <si>
    <t>A679072.039</t>
  </si>
  <si>
    <t>HERA - Zdravstvo kao javni prostor: Socijalna integracija i socijalna raznolikost u kontekstu pristupa zdravstvenoj skrbi u Europi</t>
  </si>
  <si>
    <t>A679072.040</t>
  </si>
  <si>
    <t>VALUECARE - METODOLOGIJA NA VRIJEDNOSTI ZA INTEGRIRANU NjEGU PODRUČENA IcT-om</t>
  </si>
  <si>
    <t>A679072.041</t>
  </si>
  <si>
    <t>ERASMUS+ SKILLSEA</t>
  </si>
  <si>
    <t>A679072.042</t>
  </si>
  <si>
    <t>Umjetnička i humanistička poduzetnička središta</t>
  </si>
  <si>
    <t>A679072.043</t>
  </si>
  <si>
    <t>ERASMUS + Coding4girls</t>
  </si>
  <si>
    <t>A679072.044</t>
  </si>
  <si>
    <t>ERASMUS +LANGUIDE</t>
  </si>
  <si>
    <t>A679072.045</t>
  </si>
  <si>
    <t>INTERREG Sigurno sidrenje i zaštita morske trave u Jadranskom moru-SASPAS</t>
  </si>
  <si>
    <t>A679072.046</t>
  </si>
  <si>
    <t>SPEAR - Podržavanje i implantacija planova za rodnu ravnopravnost u istraživanju</t>
  </si>
  <si>
    <t>A679072.047</t>
  </si>
  <si>
    <t>OBZOR 2020 -HERITAGE- Podržavanje i implantacija planova za rodnu ravnopravnost u istraživanju</t>
  </si>
  <si>
    <t>A679072.048</t>
  </si>
  <si>
    <t>Različitost u javnom i privatnom sektoru</t>
  </si>
  <si>
    <t>A679072.049</t>
  </si>
  <si>
    <t>PROMEHS</t>
  </si>
  <si>
    <t>A679072.050</t>
  </si>
  <si>
    <t>ERASMUS + Digitalna društvena inovacija: nove obrazovne kompetencije za socijalnu uključenost</t>
  </si>
  <si>
    <t>A679072.051</t>
  </si>
  <si>
    <t>HKO-Dig IT - Izrada standarda zanimanja i standarda kvalifikacija u djelatnostima računarstva</t>
  </si>
  <si>
    <t>A679072.052</t>
  </si>
  <si>
    <t>HKO-ELE Primjena Hrvatskog kvalifikacijskog okvira za sveučilišne studijske programe u području elektrotehnike</t>
  </si>
  <si>
    <t>A679072.053</t>
  </si>
  <si>
    <t>Novi koncepti vektora citomegaloviralnog cjepiva</t>
  </si>
  <si>
    <t>A679072.054</t>
  </si>
  <si>
    <t>Rješavanje m04 paradoksa: Izbjegavanje samo-prepoznavanja koji nedostaje i ubijanje CD8 T stanica MAT uORF</t>
  </si>
  <si>
    <t>A679072.055</t>
  </si>
  <si>
    <t>PROLOG   (HOK projekt)</t>
  </si>
  <si>
    <t>A679072.056</t>
  </si>
  <si>
    <t>GLAT-Igre za učenje algoritamskog mišljenja</t>
  </si>
  <si>
    <t>A679072.057</t>
  </si>
  <si>
    <t>DIP2Future: Razvoj obrazovnih programa, standarda kvalifikacije i standarda zanimanja iz područja IKT-a u skladu s HKO-om</t>
  </si>
  <si>
    <t>A679072.058</t>
  </si>
  <si>
    <t>Veleri- OI IoT School: Razvoj racionalnog obrazovnog programa</t>
  </si>
  <si>
    <t>A679072.059</t>
  </si>
  <si>
    <t>Bioprospecting Jadranskog mora</t>
  </si>
  <si>
    <t>A679072.060</t>
  </si>
  <si>
    <t>SEEYW - Podržavanje obrazovanja mladih radnika</t>
  </si>
  <si>
    <t>A679072.061</t>
  </si>
  <si>
    <t>Turistička valorizacija reprezentativnih spomenika riječke industrijske baštine</t>
  </si>
  <si>
    <t>A679072.062</t>
  </si>
  <si>
    <t>ERASMUS + 2019. Mobilnost studenata i osoblja između programskih i partnerskih zemalja (KA107)</t>
  </si>
  <si>
    <t>A679072.063</t>
  </si>
  <si>
    <t>CEKOM Podrška razvoju centara kompetencija</t>
  </si>
  <si>
    <t>A679072.064</t>
  </si>
  <si>
    <t>Nova generacija visokoprotočnih gliko-servisa</t>
  </si>
  <si>
    <t>A679072.065</t>
  </si>
  <si>
    <t>Industrijska baština</t>
  </si>
  <si>
    <t>A679074.009</t>
  </si>
  <si>
    <t>INTERREG AADRIREEF -Inovativno iskorištavanje jadranskih grebena radi jačanja plave ekonomije</t>
  </si>
  <si>
    <t>A679074.010</t>
  </si>
  <si>
    <t>ERASMUS + LA GUIDE</t>
  </si>
  <si>
    <t>A679074.011</t>
  </si>
  <si>
    <t>ERASMUS + EU-CONEXUXS</t>
  </si>
  <si>
    <t>A679074.012</t>
  </si>
  <si>
    <t>SAN -Pametna poljoprivredna mreža</t>
  </si>
  <si>
    <t>A679074.013</t>
  </si>
  <si>
    <t>ERASMUS+ KA1- mobilnost u visokom obrazovanju</t>
  </si>
  <si>
    <t>A679075.009</t>
  </si>
  <si>
    <t>ERASMUS+ KA2 - razvoj kapaciteta WILLIAM</t>
  </si>
  <si>
    <t>A679075.010</t>
  </si>
  <si>
    <t>ERASMUS KA2 - DYNAMIC</t>
  </si>
  <si>
    <t>A679077.036</t>
  </si>
  <si>
    <t>A679077.037</t>
  </si>
  <si>
    <t>INTERREG-NET4mPLASTIC- Nove tehnologije za detekciju i analizu marko i mirkoplastike u Jadranskom bazenu</t>
  </si>
  <si>
    <t>A679077.038</t>
  </si>
  <si>
    <t>INTERREG PMO-GATE - sprječavanje, upravljanje i prevladavanje rizika od prirodnih katastrofa radi ublažavanja njihova utjecaja na gospodarstvo i društvo</t>
  </si>
  <si>
    <t>A679077.039</t>
  </si>
  <si>
    <t>INTERREG DEEP-SEA – Razvoj planiranja energetske učinkovitosti i mobilnih usluga marina na Jadranskoj obali</t>
  </si>
  <si>
    <t>A679077.040</t>
  </si>
  <si>
    <t>INTERREG E-CITIJENS - Sustav za podršku odlučivanju (SPO) u upravljanju hitnim situacijama za potrebe civilne zaštite zasnovan na građanskom novinarstvu, a za poboljšanje sigurnosti na području Jadrana</t>
  </si>
  <si>
    <t>A679077.041</t>
  </si>
  <si>
    <t>INTERREG MoST - Monitoring prodora slane vode u obalne vodonosnike i testiranje pilot projekata za smanjenje štetnog utjecaja od zaslanjivanja</t>
  </si>
  <si>
    <t>A679077.042</t>
  </si>
  <si>
    <t>INTERREG AdSWiM - Upravljano korištenje pročišćenih komunalnih otpadnih voda radi kvalitete Jadranskog mora</t>
  </si>
  <si>
    <t>A679077.043</t>
  </si>
  <si>
    <t>INTERREG Plastic Busters MPA: Očuvanje biološke raznolikosti od plastike u zaštićenim morskim područjima na Mediteranu</t>
  </si>
  <si>
    <t>A679077.044</t>
  </si>
  <si>
    <t>SHExtreme</t>
  </si>
  <si>
    <t>A679077.045</t>
  </si>
  <si>
    <t>ERASMUS + Izgradnja kapaciteta za plavi rast i razvoj kurikuluma morskog ribarstva u Albaniji</t>
  </si>
  <si>
    <t>A679077.046</t>
  </si>
  <si>
    <t>INTERREG MED ARISTOIL</t>
  </si>
  <si>
    <t>A679077.047</t>
  </si>
  <si>
    <t>INTERREG FAIRSEA- Ribolov u jadranskoj regiji zajednički pristup ekosustavu</t>
  </si>
  <si>
    <t>A679077.048</t>
  </si>
  <si>
    <t>INTERREG  WATERCARE</t>
  </si>
  <si>
    <t>A679077.049</t>
  </si>
  <si>
    <t>IP-ojačani, suzbijanje štetočina i izvan sezone IPM usmjeren protiv novih i novih voćnih muha</t>
  </si>
  <si>
    <t>A679077.050</t>
  </si>
  <si>
    <t>Društvene znanosti i humanističke znanosti u međusektorskoj suradnji za bolje obrazovanje i održive inovacije</t>
  </si>
  <si>
    <t>A679077.051</t>
  </si>
  <si>
    <t>BLUEWBC - Održivi razvoj BLUE ekonomija putem visokog obrazovanja i inovacija u zemljama zapadnog Balkana</t>
  </si>
  <si>
    <t>A679077.052</t>
  </si>
  <si>
    <t>SEA EU - Europsko sveučilište mora</t>
  </si>
  <si>
    <t>A679077.053</t>
  </si>
  <si>
    <t>RMPPI - HR-BA-ME262- Održiva prekogranična inicijativa za obnovljive mikroelektrane</t>
  </si>
  <si>
    <t>A679077.054</t>
  </si>
  <si>
    <t>DATACROSS – Napredne metode i tehnologije u znanosti o podacima i kooperativnim sustavima</t>
  </si>
  <si>
    <t>A679077.055</t>
  </si>
  <si>
    <t>STIM-REI</t>
  </si>
  <si>
    <t>A679077.056</t>
  </si>
  <si>
    <t>Primjena HKO za sveučilišne studijske programe u području elektrotehnike</t>
  </si>
  <si>
    <t>A679077.057</t>
  </si>
  <si>
    <t>EUROfusion</t>
  </si>
  <si>
    <t>A679077.058</t>
  </si>
  <si>
    <t>FizKO - Razvoj studija fizike uz primjernu HKO</t>
  </si>
  <si>
    <t>A679077.059</t>
  </si>
  <si>
    <t>Razvoj tehnologije za procjenu autopurifikacijskih sposobnosti priobalnih voda</t>
  </si>
  <si>
    <t>A679077.060</t>
  </si>
  <si>
    <t>GEOBIZ</t>
  </si>
  <si>
    <t>A679077.061</t>
  </si>
  <si>
    <t>PROMISE -Personalizirana medicina- osnovna edukacija</t>
  </si>
  <si>
    <t>A679077.062</t>
  </si>
  <si>
    <t>mathSTEM - Podučavanje matematike i izrada smjernica za mathSTEM metodologiju</t>
  </si>
  <si>
    <t>A679077.063</t>
  </si>
  <si>
    <t>ERASMUS+ KA104 Obrazovanje odraslih</t>
  </si>
  <si>
    <t>A679077.064</t>
  </si>
  <si>
    <t>Provedba HKO u stručnim studijima računarstva</t>
  </si>
  <si>
    <t>A679077.065</t>
  </si>
  <si>
    <t>ASPEMS - Aktivni sustav za pohranu električne energije i stabilizaciju elektroenergetske mreže</t>
  </si>
  <si>
    <t>A679077.066</t>
  </si>
  <si>
    <t>ISPIS – Razvoj funkcionalnog prototipa sustava za potrage i spašavanja ljudi pomoću bespilotnih letjelica</t>
  </si>
  <si>
    <t>A679077.067</t>
  </si>
  <si>
    <t>Razvoj karijera mladih istraživača</t>
  </si>
  <si>
    <t>A679078.060</t>
  </si>
  <si>
    <t>H2020 - NMBP ENCORE - BIM platforma u oblaku za energetski učinkovito i cjenovno efikasno renoviranje zgrada</t>
  </si>
  <si>
    <t>A679078.061</t>
  </si>
  <si>
    <t>H2020 - SGA EPI SGA1 - Inicijativa za Europski procesor</t>
  </si>
  <si>
    <t>A679078.062</t>
  </si>
  <si>
    <t>H2020 –WIDESPREAD –Twinning koordinacijska akcija u području otvorenih podataka</t>
  </si>
  <si>
    <t>A679078.063</t>
  </si>
  <si>
    <t>The Janus-lice lokaliziranog nosača u kupratima-generiranje</t>
  </si>
  <si>
    <t>A679078.064</t>
  </si>
  <si>
    <t>STRONG - 2020</t>
  </si>
  <si>
    <t>A679078.065</t>
  </si>
  <si>
    <t>H2020 Inovativni trening za metode u budućnosti (IMforFuture)</t>
  </si>
  <si>
    <t>A679078.066</t>
  </si>
  <si>
    <t>H2020 Pristup sistemske medicine za kronični infl.dis. (SYSCID)</t>
  </si>
  <si>
    <t>A679078.067</t>
  </si>
  <si>
    <t>H2020 Usporedna genomika beskralježnjaka koji nisu modelirani (IGNITE)</t>
  </si>
  <si>
    <t>A679078.068</t>
  </si>
  <si>
    <t>ERASMUS+ K2  KAAT Savez znanja u zračnom prometu</t>
  </si>
  <si>
    <t>A679078.069</t>
  </si>
  <si>
    <t>RADAR (Procjena rizika na cestama područja Dunava)</t>
  </si>
  <si>
    <t>A679078.070</t>
  </si>
  <si>
    <t>ERASMUS+  LOG-IN</t>
  </si>
  <si>
    <t>A679078.071</t>
  </si>
  <si>
    <t>ATCOSIMA</t>
  </si>
  <si>
    <t>A679078.072</t>
  </si>
  <si>
    <t>OBZOR 2020 CEN CE - Certificirani stručnjaci za CEN standard- Shema kvalifikacija i osposobljavanja za cijelu EU zasnovanu na CEN standardima s EPBD</t>
  </si>
  <si>
    <t>A679078.073</t>
  </si>
  <si>
    <t>OBZOR 2020 KeepWarm - Poboljšanje performansi sustava daljinskog grijanja u srednjoj i istočnoj Europi</t>
  </si>
  <si>
    <t>A679078.074</t>
  </si>
  <si>
    <t>OBZOR 2020 INEX ADAM - veća izvrsnost u proizvodnji naprednih aditiva</t>
  </si>
  <si>
    <t>A679078.075</t>
  </si>
  <si>
    <t>OBZOR 2020 QUIET - Kvalificiranje i primjena korisničkog dizajniranog i EfficienT električnog vozila</t>
  </si>
  <si>
    <t>A679078.076</t>
  </si>
  <si>
    <t>OBZOR 2020 INSULAE - Maksimiziranje utjecaja inovativnih energetskih pristupa na otocima EU-a</t>
  </si>
  <si>
    <t>A679078.077</t>
  </si>
  <si>
    <t>OBZOR 2020 NOWELTIES - Zajednički doktorski laboratorij za nove materijale i inovativne tehnologije pročišćavanja vode</t>
  </si>
  <si>
    <t>A679078.078</t>
  </si>
  <si>
    <t>ERASMUS+ CASPROD -Prijestolnice razvoja pametnih proizvoda</t>
  </si>
  <si>
    <t>A679078.079</t>
  </si>
  <si>
    <t>ERASMUS+ TRAILs LSP Ljetna škola za učitelje</t>
  </si>
  <si>
    <t>A679078.080</t>
  </si>
  <si>
    <t>EMPIR ADVANCT - Računalna tomografija AdvancE za dimenzionalna mjerenja površina u industriji</t>
  </si>
  <si>
    <t>A679078.081</t>
  </si>
  <si>
    <t>NET-UBIEP</t>
  </si>
  <si>
    <t>A679078.082</t>
  </si>
  <si>
    <t>BIMzeED</t>
  </si>
  <si>
    <t>A679078.083</t>
  </si>
  <si>
    <t>HORIZON 2020 SOLARNET</t>
  </si>
  <si>
    <t>A679078.084</t>
  </si>
  <si>
    <t>HORIZON 2020 PRE-EST</t>
  </si>
  <si>
    <t>A679078.085</t>
  </si>
  <si>
    <t>INTERREG CHANGE WE CARE ITALIJA-HRVATSKA</t>
  </si>
  <si>
    <t>A679078.086</t>
  </si>
  <si>
    <t>OBZOR 2020 Alliance4life, Savez za nauke o životu: Završne podjele u istraživanju i inovacijama u Europskoj uniji</t>
  </si>
  <si>
    <t>A679078.087</t>
  </si>
  <si>
    <t>OBZOR 2020-OSTEOproSPINE - Novostenski lijek za regeneraciju kostiju</t>
  </si>
  <si>
    <t>A679078.088</t>
  </si>
  <si>
    <t>Erasmus+ KA2 CBHE - ODISsEA - Inovativne strategije darivanja organa za jugoistočnu Aziju</t>
  </si>
  <si>
    <t>A679078.089</t>
  </si>
  <si>
    <t>OBZOR 2020 FAPIC - Brzi test za identifikaciju i karakterizaciju patogena</t>
  </si>
  <si>
    <t>A679078.090</t>
  </si>
  <si>
    <t>OBZOR 2020 - Biochip BIO inženjerski grafti za liječenje hrskavice u pacijenata</t>
  </si>
  <si>
    <t>A679078.091</t>
  </si>
  <si>
    <t>ERASMUS+ HEDU -LEARN-IT Harmonizirani europski dermato-venerološki dodiplomski</t>
  </si>
  <si>
    <t>A679078.092</t>
  </si>
  <si>
    <t>GLOBAL INITIATIVE</t>
  </si>
  <si>
    <t>A679078.093</t>
  </si>
  <si>
    <t>CEPIL</t>
  </si>
  <si>
    <t>A679078.094</t>
  </si>
  <si>
    <t>CROSSJUSTICE</t>
  </si>
  <si>
    <t>A679078.095</t>
  </si>
  <si>
    <t>CLEOPATRA - Otvorena jezična akademija Open Analytics orijentirana na događaj</t>
  </si>
  <si>
    <t>A679078.096</t>
  </si>
  <si>
    <t>ERASMUS + ASD-EAST</t>
  </si>
  <si>
    <t>A679078.097</t>
  </si>
  <si>
    <t>ASAP Training</t>
  </si>
  <si>
    <t>A679078.098</t>
  </si>
  <si>
    <t>IA_CHILD</t>
  </si>
  <si>
    <t>A679078.099</t>
  </si>
  <si>
    <t>OBZOR 2020-ISTRAŽIVANJE I INOVACIJE - H2020-MCCA-ITN-2017-EJD: 785423 MANNA</t>
  </si>
  <si>
    <t>A679078.100</t>
  </si>
  <si>
    <t>LIFE 16 NAT/SI/000634 PROJECT LIFE LYNX</t>
  </si>
  <si>
    <t>A679078.101</t>
  </si>
  <si>
    <t>EKHAGA</t>
  </si>
  <si>
    <t>A679078.102</t>
  </si>
  <si>
    <t>INTERREG CARNIVORA DINARICA - Prekogranična suradnja za dugoroočno očuvanje velikih zvijeri</t>
  </si>
  <si>
    <t>A679078.103</t>
  </si>
  <si>
    <t>TrainESSE v.2</t>
  </si>
  <si>
    <t>A679078.104</t>
  </si>
  <si>
    <t>MineHeritage</t>
  </si>
  <si>
    <t>A679078.105</t>
  </si>
  <si>
    <t>iTARG3T.Innovative targeting procesing of W-Sn-Ta-Li ores</t>
  </si>
  <si>
    <t>A679078.106</t>
  </si>
  <si>
    <t>ENGIE.Poticanje djevojčica da studiraju geoznanosti i inženjerstvo</t>
  </si>
  <si>
    <t>A679078.107</t>
  </si>
  <si>
    <t>STRATEGY CCUS</t>
  </si>
  <si>
    <t>A679078.108</t>
  </si>
  <si>
    <t>AMED</t>
  </si>
  <si>
    <t>A679078.109</t>
  </si>
  <si>
    <t>ERASMUS+ EDUBOTS,E-DIGILIT,KEEP IN P.</t>
  </si>
  <si>
    <t>A679078.110</t>
  </si>
  <si>
    <t>IGT TESTING SYSTEMS</t>
  </si>
  <si>
    <t>A679078.111</t>
  </si>
  <si>
    <t>EIT HEALTH - Local activities in Regional Innovation Scheme regions</t>
  </si>
  <si>
    <t>A679078.112</t>
  </si>
  <si>
    <t>EKO SANDWICH</t>
  </si>
  <si>
    <t>A679078.113</t>
  </si>
  <si>
    <t>CROSKILLS</t>
  </si>
  <si>
    <t>A679078.114</t>
  </si>
  <si>
    <t>BRIDGE SMS</t>
  </si>
  <si>
    <t>A679078.115</t>
  </si>
  <si>
    <t>ANAGENNISI</t>
  </si>
  <si>
    <t>A679078.116</t>
  </si>
  <si>
    <t>HORIZON 2020 FIT-TO-Nzeb</t>
  </si>
  <si>
    <t>A679078.117</t>
  </si>
  <si>
    <t>AMIGA</t>
  </si>
  <si>
    <t>A679078.118</t>
  </si>
  <si>
    <t>H 2020 RISE OpenInnoTrain</t>
  </si>
  <si>
    <t>A679078.119</t>
  </si>
  <si>
    <t>A Game-Changing Year:  Czechoslovakia in 1968 and Europe</t>
  </si>
  <si>
    <t>A679078.120</t>
  </si>
  <si>
    <t>FOCUS -Prisilna raseljavanja i solidarnost zajednice domaćina prema izbjeglica</t>
  </si>
  <si>
    <t>A679078.121</t>
  </si>
  <si>
    <t>MARDS</t>
  </si>
  <si>
    <t>A679078.122</t>
  </si>
  <si>
    <t>SMART</t>
  </si>
  <si>
    <t>A679078.123</t>
  </si>
  <si>
    <t>A679078.124</t>
  </si>
  <si>
    <t>H2020-SC1-2016-2017-RIA PROJECT OSTEOPROSPINE</t>
  </si>
  <si>
    <t>A679078.125</t>
  </si>
  <si>
    <t>ERASMUS+ PROGRAM PROJECT SOFTVETS 2018-1-HR01-KA203-047494</t>
  </si>
  <si>
    <t>A679078.126</t>
  </si>
  <si>
    <t>e-Škole B</t>
  </si>
  <si>
    <t>A679078.127</t>
  </si>
  <si>
    <t>EDU4GAMES - HKO</t>
  </si>
  <si>
    <t>A679078.128</t>
  </si>
  <si>
    <t>ERASMUS+ISSES</t>
  </si>
  <si>
    <t>A679078.129</t>
  </si>
  <si>
    <t>OBZOR 2020 - TO DO</t>
  </si>
  <si>
    <t>A679078.130</t>
  </si>
  <si>
    <t>ERASMUS + 2020-HR01-KA103</t>
  </si>
  <si>
    <t>A679078.131</t>
  </si>
  <si>
    <t>EFRR - IRI Agrivi Smart - Agrivi Smart</t>
  </si>
  <si>
    <t>A679078.132</t>
  </si>
  <si>
    <t>EFRR - IRI ARIEN - Upravljanje energetskom infrastrukturom kroz kolaboraciju u proširenoj stvarnosti</t>
  </si>
  <si>
    <t>A679078.133</t>
  </si>
  <si>
    <t>EFRR - IRI bigEVdata - IT rješenje analitike velikih skupova podataka emobilnosti</t>
  </si>
  <si>
    <t>A679078.134</t>
  </si>
  <si>
    <t>EFRR - IRI CCS - Cyber Conflict Simulator</t>
  </si>
  <si>
    <t>A679078.135</t>
  </si>
  <si>
    <t>EFRR - IRI CloudSec - Sigurnost računarstva u oblaku prilikom korištenja mobilnih aplikacija</t>
  </si>
  <si>
    <t>A679078.136</t>
  </si>
  <si>
    <t>EFRR - IRI ComEnergy - Poboljšanje efikasnosti prerađivačke industrije kroz istraživanje i razvoj inovativnih ICT usluga</t>
  </si>
  <si>
    <t>A679078.137</t>
  </si>
  <si>
    <t>EFRR - IRI DFDM - Istraživanje i razvoj sustava za prepoznavanje umora i distrakcije vozača</t>
  </si>
  <si>
    <t>A679078.138</t>
  </si>
  <si>
    <t>EFRR - IRI EKORAS24 - Ekološki prihvatljiva rastavna sklopka 24 kV za napredne mreže</t>
  </si>
  <si>
    <t>A679078.139</t>
  </si>
  <si>
    <t>EFRR - IRI HSG - Helm Smart Grid</t>
  </si>
  <si>
    <t>A679078.140</t>
  </si>
  <si>
    <t>EFRR - IRI KONPRO 2 - Konpro 2 - Razvoj nove generacije uređaja numeričke zaštite</t>
  </si>
  <si>
    <t>A679078.141</t>
  </si>
  <si>
    <t>EFRR - IRI KONTRAC - KONTRAC GP170DC_SK - Razvoj pretvarača glavnog pogona tramvaja sa superkondenzatorskim modulom</t>
  </si>
  <si>
    <t>A679078.142</t>
  </si>
  <si>
    <t>EFRR - IRI Mareton - Razvoj nove generacije sustava neprekidnog napajanja</t>
  </si>
  <si>
    <t>A679078.143</t>
  </si>
  <si>
    <t>EFRR - IRI MAS - Razvoj multifunkcionalnog antiterorističkog sustava (MAS)</t>
  </si>
  <si>
    <t>A679078.144</t>
  </si>
  <si>
    <t>EFRR - IRI Omega GS - Razvoj  LED rasvjete</t>
  </si>
  <si>
    <t>A679078.145</t>
  </si>
  <si>
    <t>EFRR - IRI OperOSS - Istraživanje i razvoj naprednog sustava za upravljanje pametnim elektroenergetskim i komunikacijskim mrežama</t>
  </si>
  <si>
    <t>A679078.146</t>
  </si>
  <si>
    <t>EFRR - IRI PC-ATE-Buildings - Razvoj sustava upravljanja i trgovanja energijom u zgradi</t>
  </si>
  <si>
    <t>A679078.147</t>
  </si>
  <si>
    <t>EFRR - IRI SafeTRAM - SafeTRAM - Sustav za povećanje sigurnosti vožnje tračničkog prometa</t>
  </si>
  <si>
    <t>A679078.148</t>
  </si>
  <si>
    <t>EFRR - IRI SMART UTX - SMART UTX:  Sustav za ultrazvučnu dijagnostiku u ekstremnim uvjetima</t>
  </si>
  <si>
    <t>A679078.149</t>
  </si>
  <si>
    <t>RURASL Rural 3.0: Uslužno učenje za ruralni razvoj</t>
  </si>
  <si>
    <t>A679078.150</t>
  </si>
  <si>
    <t>IRCiS Integracija djece izbjeglica u škole: izgradnja pozitivnih odnosa između djece izbjeglica i djece lokalnog stanovništva</t>
  </si>
  <si>
    <t>A679078.151</t>
  </si>
  <si>
    <t>CEKOM Centar kompetencija u molekularnoj dijagnostici</t>
  </si>
  <si>
    <t>A679078.152</t>
  </si>
  <si>
    <t>POP-UP</t>
  </si>
  <si>
    <t>A679078.153</t>
  </si>
  <si>
    <t>EFRR - IRI RASCO-FER-SMART-EV - Kompaktna gradska vakuumska čistilica</t>
  </si>
  <si>
    <t>A679081.005</t>
  </si>
  <si>
    <t>INTERREG e-MOB</t>
  </si>
  <si>
    <t>A679081.006</t>
  </si>
  <si>
    <t>zakOČI</t>
  </si>
  <si>
    <t>K679084.005</t>
  </si>
  <si>
    <t>A622125.037</t>
  </si>
  <si>
    <t>FloodSmart</t>
  </si>
  <si>
    <t>A622125.038</t>
  </si>
  <si>
    <t>BARMIG Pregovaranje uvjeta rada i socijalnih prava radnika migranata u državama srednje I istočne Europe</t>
  </si>
  <si>
    <t>A622125.039</t>
  </si>
  <si>
    <t>Širenje znanja o europskim radničkim vijećima u cilju jačanja transnacionalnih radničkih  prava</t>
  </si>
  <si>
    <t>A622125.040</t>
  </si>
  <si>
    <t>SoPHIA -  DRUŠTVENA PLATFORMA ZA PROCJENU UTICAJA HOLISTIČKE BAŠTINE</t>
  </si>
  <si>
    <t>A622125.041</t>
  </si>
  <si>
    <t>INTERREG-ENRAS Osiguranje sigurnosti intervencijskih postrojbi u slučaju nuklearne ili radiološke nesreće</t>
  </si>
  <si>
    <t>A622125.042</t>
  </si>
  <si>
    <t>OBZOR 2020 RISKGONE  Upravljanje rizikom od nanotehnologije</t>
  </si>
  <si>
    <t>A622125.043</t>
  </si>
  <si>
    <t>AIRQ Proširenje i modernizacija državne mreže za trajno praćenje kvalitete zraka</t>
  </si>
  <si>
    <t>A622125.044</t>
  </si>
  <si>
    <t>INTERREG DUNAV REFOSuS Otporne poplavne šume kao ekološki koridori rezervata biosfere Mura-Drava-Dunav</t>
  </si>
  <si>
    <t>A622125.045</t>
  </si>
  <si>
    <t>LIFE SySTEMIC Održivo upravljanje šuma u  uvjetima klimatskih promjena</t>
  </si>
  <si>
    <t>A622125.046</t>
  </si>
  <si>
    <t>CLEARING HOUSE  Suradnja u učenju kako rješenja utemeljena na urbanim stablima podržavaju kinesko-europsku urbanu budućnost</t>
  </si>
  <si>
    <t>A622125.047</t>
  </si>
  <si>
    <t>Horizon2020  M4F Modeliranje za fuzijske i fizijske materijale</t>
  </si>
  <si>
    <t>A622125.048</t>
  </si>
  <si>
    <t>IAEA-program standardiziranih reagensa i pozitivnih kontrola</t>
  </si>
  <si>
    <t>A622125.049</t>
  </si>
  <si>
    <t>Horizon2020: MedAID  Integrirani razvoj mediteranske akvakulture</t>
  </si>
  <si>
    <t>A622125.050</t>
  </si>
  <si>
    <t>INTERREG IT-HR  AdriAquaNet - projekt jačanja i održivosti akvakulture u Jadranskom moru</t>
  </si>
  <si>
    <t>A622125.051</t>
  </si>
  <si>
    <t>INTERREG IT-HR ASTERIS</t>
  </si>
  <si>
    <t>A622125.052</t>
  </si>
  <si>
    <t>STRONG-2020 - Jaka interakcija na granici znanja</t>
  </si>
  <si>
    <t>A622125.053</t>
  </si>
  <si>
    <t>NI4OS-Europe - Nacionalne inicijative za otvorenu znanost u Europi</t>
  </si>
  <si>
    <t>A622125.054</t>
  </si>
  <si>
    <t>ERASMUS+ Hand in Hand</t>
  </si>
  <si>
    <t>A622125.055</t>
  </si>
  <si>
    <t>ERASMUS+ Podrška boljem znanju u području politike mladih (Youth Wiki)</t>
  </si>
  <si>
    <t>A622125.056</t>
  </si>
  <si>
    <t>INTERREG IT-HR CBC SLIDES  Pametne strategije za održivi turizam u životno kulturnim odrednicama</t>
  </si>
  <si>
    <t>A622125.057</t>
  </si>
  <si>
    <t>INTERREG EUROPE LOCAL FLAVOURS Autentični turizam temeljen na lokalnim kulturnim ukusima</t>
  </si>
  <si>
    <t>A622125.058</t>
  </si>
  <si>
    <t>WINTTER MED</t>
  </si>
  <si>
    <t>A622125.059</t>
  </si>
  <si>
    <t>SPRINT -Prijelaz održive zaštite bilja</t>
  </si>
  <si>
    <t>A622125.060</t>
  </si>
  <si>
    <t>H2020 DARE-Dijalog o radikalizaciji i jednakosti</t>
  </si>
  <si>
    <t>A622125.061</t>
  </si>
  <si>
    <t>INNO-WISE: Tehnologije, kompetencije i društvene inovacije za radnu integraciju društvena poduzeća</t>
  </si>
  <si>
    <t>A622125.062</t>
  </si>
  <si>
    <t>ERASMUS+ Poboljšanje vještina strukovnog obrazovanja i osposobljavanja</t>
  </si>
  <si>
    <t>K622128.005</t>
  </si>
  <si>
    <t>K622128.006</t>
  </si>
  <si>
    <t>K622128.007</t>
  </si>
  <si>
    <t>Strateški projekt "Centar za napredne laserske tehnike"</t>
  </si>
  <si>
    <t>K622128.008</t>
  </si>
  <si>
    <t>A577000</t>
  </si>
  <si>
    <t>ADMINISTRACIJA I UPRAVLJANJE</t>
  </si>
  <si>
    <t>A577004</t>
  </si>
  <si>
    <t>PROVEDBA KURIKULARNE REFORME</t>
  </si>
  <si>
    <t>A577124</t>
  </si>
  <si>
    <t>HRVATSKA NASTAVA U INOZEMSTVU</t>
  </si>
  <si>
    <t>A577132</t>
  </si>
  <si>
    <t>POTICANJE MEĐUNARODNE OBRAZOVNE SURADNJE ŠKOLA</t>
  </si>
  <si>
    <t>A578062</t>
  </si>
  <si>
    <t>ERASMUS+ SOCIJALNA I MEĐUNARODNA DIMENZIJA OBRAZOVANJA I PRIZNAVANJA PRETHODNOG UČENJA - SIDERAL</t>
  </si>
  <si>
    <t>A578065</t>
  </si>
  <si>
    <t>ERASMUS+ PROJEKT BAQUAL - BOLJE AKADEMSKE KVALIFIKACIJE KROZ OSIGURAVANJE KVALITETE</t>
  </si>
  <si>
    <t>A579069</t>
  </si>
  <si>
    <t>RAZVOJ PREDŠKOLSKOG I OSNOVNOŠKOLSKOG SUSTAVA ODGOJA I OBRAZOVANJA</t>
  </si>
  <si>
    <t>A580014</t>
  </si>
  <si>
    <t>A580044</t>
  </si>
  <si>
    <t>RAZVOJ SUSTAVA SREDNJOŠKOLSKOG ODGOJA I OBRAZOVANJA</t>
  </si>
  <si>
    <t>A679047</t>
  </si>
  <si>
    <t>MEĐUNARODNA SURADNJA I EUROPSKI POSLOVI</t>
  </si>
  <si>
    <t>A733050</t>
  </si>
  <si>
    <t>PRAĆENJE I IMPLEMENTACIJA POLITIKA EUROPSKOG ISTRAŽIVAČKOG PROSTORA (ERA)</t>
  </si>
  <si>
    <t>A733056</t>
  </si>
  <si>
    <t>EUROPSKI ZNANSTVENI PROJEKTI</t>
  </si>
  <si>
    <t>A733063</t>
  </si>
  <si>
    <t>ERASMUS+ KORIŠTENJE PODATAKA S CILJEM UNAPRJEĐENJA KVALITETE U SUSTAVU ODGOJA I OBRAZOVANJA - DATA DRIVE</t>
  </si>
  <si>
    <t>A767013</t>
  </si>
  <si>
    <t>RAZVOJ SUSTAVA OSIGURANJA KVALITETE</t>
  </si>
  <si>
    <t>A767035</t>
  </si>
  <si>
    <t>MEĐUNARODNA SURADNJA</t>
  </si>
  <si>
    <t>A767043</t>
  </si>
  <si>
    <t>RAZVOJ VISOKOG OBRAZOVANJA</t>
  </si>
  <si>
    <t>A768056</t>
  </si>
  <si>
    <t>SUDJELOVANJE U INTEREG PROJEKTU - RESINFRA</t>
  </si>
  <si>
    <t>A768061</t>
  </si>
  <si>
    <t>ERASMUS+ UČINKOVITO PARTNERSTVO ZA UNAPRIJEĐENO PRIZNAVANJE - EPER</t>
  </si>
  <si>
    <t>A818034</t>
  </si>
  <si>
    <t>PROJEKT POVEZIVANJA S EUROPSKIM KVALIFIKACIJSKIM OKVIROM - EQF NCP GRANT</t>
  </si>
  <si>
    <t>OP KONKURENTNOST I KOHEZIJA 2014.-2020., PRIORITET 1, 9 i 10</t>
  </si>
  <si>
    <t>K767032</t>
  </si>
  <si>
    <t>OBRTNIČKA ŠKOLA SISAK</t>
  </si>
  <si>
    <t>T733059</t>
  </si>
  <si>
    <t>PREDSJEDANJE REPUBLIKE HRVATSKE EUROPSKOM UNIJOM</t>
  </si>
  <si>
    <t>A679079</t>
  </si>
  <si>
    <t>SVEUČILIŠTE U ZAGREBU - BICRO BIOCentar</t>
  </si>
  <si>
    <t>A679114</t>
  </si>
  <si>
    <t>REDOVNA DJELATNOST SVEUČILIŠTA U SLAVONSKOM BRODU  (IZ EVIDENCIJSKIH PRIHODA)</t>
  </si>
  <si>
    <t>A628090</t>
  </si>
  <si>
    <t>UNAPRJEĐENJE JEDNAKIH MOGUĆNOSTI U OBRAZOVANJU ZA UČENIKE S TEŠKOĆAMA U RAZVOJU</t>
  </si>
  <si>
    <t>A733058</t>
  </si>
  <si>
    <t>STRUČNO USAVRŠAVANJE UČITELJA I NASTAVNIKA TALIJANSKOG JEZIKA</t>
  </si>
  <si>
    <t>K733054</t>
  </si>
  <si>
    <t>K767054</t>
  </si>
  <si>
    <t>A867014</t>
  </si>
  <si>
    <t>ERASMUS - JAČANJE MULTIPARTNERSKE SURADNJE U PRUŽANJU USLUGA CJELOŽIVOTNOG PROFESIONALNOG USMJERAVANJA - KEEP IN PACT</t>
  </si>
  <si>
    <t>MEĐUNARODNI PROJEKTI VREDNOVANJA ZNANJA I VJEŠTINA (IEA: ICCS, ICILS, PIRLS, TIMSS - OECD: PISA, TALIS)</t>
  </si>
  <si>
    <t>ERASMUS PLUS PROVEDBA PROGRAMA OD 2014. DO 2020.</t>
  </si>
  <si>
    <t>ERASMUS PLUS – PROJEKTI ZA KORISNIKE OBRAZOVANJE OD 2014. DO 2020.</t>
  </si>
  <si>
    <t>ERASMUS PLUS – PROJEKTI ZA KORISNIKE MLADI OD 2014. DO 2020.</t>
  </si>
  <si>
    <t>EUROPSKE SNAGE SOLIDARNOSTI PROVEDBA PROGRAMA 2018. DO 2020.</t>
  </si>
  <si>
    <t>EUROPSKE SNAGE SOLIDARNOSTI - PROJEKTI ZA KORISNIKE OD 2018. DO 2020.</t>
  </si>
  <si>
    <t xml:space="preserve">Ostale pomoći i darovnice </t>
  </si>
  <si>
    <t>Tekuće pomoći od međunarodnih organizacija</t>
  </si>
  <si>
    <t xml:space="preserve">Kapitalne pomoći od međunarodnih organizacija </t>
  </si>
  <si>
    <t xml:space="preserve">Pomoći EU </t>
  </si>
  <si>
    <t>Tekuće pomoći proračunskim korisnicima iz proračuna JLP(R)S koji im nije nadležan</t>
  </si>
  <si>
    <t>Kapitalne pomoći proračunskim korisnicima iz proračuna JLP(R)S koji im nije nadležan</t>
  </si>
  <si>
    <t>Tekuće pomoći iz proračuna JLP(R)S temeljem prijenosa EU sredstava</t>
  </si>
  <si>
    <t>Tekuće pomoći od proračunskog korisnika drugog proračuna temeljem prijenosa EU sredstava</t>
  </si>
  <si>
    <t>Tekuće pomoći od izvanproračunskog korisnika temeljem prijenosa EU sredstava</t>
  </si>
  <si>
    <t>Kapitalne pomoći iz proračuna JLP(R)S temeljem prijenosa EU sredstava</t>
  </si>
  <si>
    <t>Kapitalne pomoći od proračunskog korisnika drugog proračuna temeljem prijenosa EU sredstava</t>
  </si>
  <si>
    <t>Kapitalne pomoći od izvanproračunskog korisnika temeljem prijenosa EU sredstava</t>
  </si>
  <si>
    <t>Kamate na depozite po viđenju izvor 43</t>
  </si>
  <si>
    <t>Prihodi od pozitivnih tečajnih razlika izvor 31</t>
  </si>
  <si>
    <t>Prihodi od pozitivnih tečajnih razlika izvor 43</t>
  </si>
  <si>
    <t>Ostali prihodi od financijske imovine izvor 43</t>
  </si>
  <si>
    <t xml:space="preserve">Ostali prihodi državne uprave za posebne namjene </t>
  </si>
  <si>
    <t xml:space="preserve">Ostali prihodi za posebne namjene </t>
  </si>
  <si>
    <t xml:space="preserve">Donacije </t>
  </si>
  <si>
    <t>Tekuće donacije od ostalih subjekata izvan općeg proračuna</t>
  </si>
  <si>
    <t>Kapitalne donacije od fizičkih osoba</t>
  </si>
  <si>
    <t>Kapitalne donacije od ostalih subjekata izvan općeg proračuna</t>
  </si>
  <si>
    <t>Ostali prihodi izvor 31</t>
  </si>
  <si>
    <t>Poljoprivredno zemljište izvor 71</t>
  </si>
  <si>
    <t>Prihodi od prodaje ili zamjene nefinancijske imovine i naknade s naslova osiguranja</t>
  </si>
  <si>
    <t>Građevinsko zemljište izvor 71</t>
  </si>
  <si>
    <t>Uredski namještaj izvor 71</t>
  </si>
  <si>
    <t>Kombi vozila izvor 71</t>
  </si>
  <si>
    <t>Kamioni izvor 71</t>
  </si>
  <si>
    <t>Traktori izvor 71</t>
  </si>
  <si>
    <t>Terenska vozila (protupožarna, vojna i slično) izvor 71</t>
  </si>
  <si>
    <t>Plovila izvor 71</t>
  </si>
  <si>
    <t>Povrat zajmova danih neprofitnim organizacijama, građanima i kućanstvima - namjenski</t>
  </si>
  <si>
    <t xml:space="preserve">Namjenski primici od zaduživanja </t>
  </si>
  <si>
    <t>Dionice i udjeli u glavnici tuzemnih kreditnih institucija izvan javnog sektora - izvor 43</t>
  </si>
  <si>
    <t>Primljeni krediti od kreditnih institucija u javnom sektoru - dugoročni - namjenski</t>
  </si>
  <si>
    <t>A767056</t>
  </si>
  <si>
    <t>OBZOR 2020. - PARTNERSTVO ZA ISTRAŽIVANJA I INOVACIJE NA MEDITERANSKOM PODRUČJU - PRIMA</t>
  </si>
  <si>
    <t>Fond solidarnosti Europske unije</t>
  </si>
  <si>
    <t>Tekuće pomoći od institucija i tijela EU - Fond solidarnosti EU</t>
  </si>
  <si>
    <t>Fond solidarnosti EU</t>
  </si>
  <si>
    <t>Kapitalne pomoći od institucija i tijela EU - Fond solidarnosti EU</t>
  </si>
  <si>
    <t>Prihodi od prodanih proizvoda i robe</t>
  </si>
  <si>
    <t xml:space="preserve">Tekuće pomoći od izvanproračunskih korisnika </t>
  </si>
  <si>
    <t>Kapitalne pomoći od izvanproračunskih korisnika</t>
  </si>
  <si>
    <t>576 Fond solidarnosti Europske unije</t>
  </si>
  <si>
    <t xml:space="preserve">ERASMUS+ TRACER </t>
  </si>
  <si>
    <t>A768064</t>
  </si>
  <si>
    <t>Primici od prodaje dionica i udjela u glavnici kreditnih i ostalih fin.institucija izvan jav.sektora</t>
  </si>
  <si>
    <t>Osigurano u 2020.</t>
  </si>
  <si>
    <t>Prijedlog za 
2023.</t>
  </si>
  <si>
    <t>Godina</t>
  </si>
  <si>
    <t>PRIJEDLOG FINANCIJSKOG PLANA ZA 2021. I PROJEKCIJA PLANA ZA 2022. I 2023. GODINU</t>
  </si>
  <si>
    <t>Prijedlog plana 
za 2021.</t>
  </si>
  <si>
    <t>Projekcija plana
za 2022.</t>
  </si>
  <si>
    <t>Projekcija plana 
za 2023.</t>
  </si>
  <si>
    <t>FINANCIJSKI PLAN RASHODA I IZDATAKA ZA 2021. GODINU I PROJEKCIJE ZA 2022. I 2023. GODINU</t>
  </si>
  <si>
    <t>2023.</t>
  </si>
  <si>
    <t>SVEUČILIŠTE J.J.STROSSMAYERA U OSIJEKU - FAKULTET ELEKTROTEHNIKE, RAČUNARSTVA I INFORMACIJSKIH TEHNOLOGIJA OSIJEK</t>
  </si>
  <si>
    <t>SVEUČILIŠTE J.J STROSSMAYERA U OSIJEKU - GRAĐEVINSKI I ARHITEKTONSKI FAKULTET OSIJEK</t>
  </si>
  <si>
    <t>ULICA VLADIMIRA PRELOGA 3</t>
  </si>
  <si>
    <t>SVEUČILIŠTE J.J STROSSMAYERA U OSIJEKU - FAKULTET AGROBIOTEHNIČKIH ZNANOSTI OSIJEK</t>
  </si>
  <si>
    <t>60277424315</t>
  </si>
  <si>
    <t>SVEUČILIŠTE U SLAVONSKOM BRODU</t>
  </si>
  <si>
    <t>TRG DR. ŽARKA DOLINARA 1</t>
  </si>
  <si>
    <t>SVEUČILIŠTE U RIJECI - GRAĐEVINSKI FAKULTET</t>
  </si>
  <si>
    <t>RUĐERA BOŠKOVIĆA 35</t>
  </si>
  <si>
    <t>RUĐERA BOŠKOVIĆA 37</t>
  </si>
  <si>
    <t>RUĐERA BOŠKOVIĆA 33</t>
  </si>
  <si>
    <t>MIHOVILA PAVLINOVIĆA 1</t>
  </si>
  <si>
    <t>TRG J. F. KENNEDEYA 6</t>
  </si>
  <si>
    <t>SVEUČILIŠTE U ZAGREBU - FAKULTET FILOZOFIJE I RELIGIJSKIH ZNANOSTI</t>
  </si>
  <si>
    <t>SVEUČILIŠTE U ZAGREBU - FAKULTET HRVATSKIH STUDIJA</t>
  </si>
  <si>
    <t>BORONGAJSKA CESTA 83D</t>
  </si>
  <si>
    <t>99454315441</t>
  </si>
  <si>
    <t>A. KAČIĆA MIOŠIĆA 26</t>
  </si>
  <si>
    <t>44000 SISAK</t>
  </si>
  <si>
    <t>TRG REPUBLIKE HRVATSKE 12</t>
  </si>
  <si>
    <t>SVETOŠIMUNSKA C. 25</t>
  </si>
  <si>
    <t>VELEUČILIŠTE HRVATSKO ZAGORJE KRAPINA</t>
  </si>
  <si>
    <t>ŠETALIŠTE HRVATSKOG NARODNOG PREPORODA 6</t>
  </si>
  <si>
    <t>49000 KRAPINA</t>
  </si>
  <si>
    <t>16465214888</t>
  </si>
  <si>
    <t>UL. GRADA VUKOVARA 54</t>
  </si>
  <si>
    <t>LJ. F. VUKOTINOVIĆA 2</t>
  </si>
  <si>
    <t>ŠETALIŠTE I. MEŠTROVIĆA 63</t>
  </si>
  <si>
    <t>POLJOPRIVREDNI INSTITUT OSIJEK</t>
  </si>
  <si>
    <t>JUŽNO PREDGRAĐE 17</t>
  </si>
  <si>
    <t>03665720049</t>
  </si>
  <si>
    <t>DZIV</t>
  </si>
  <si>
    <t>2063 FAKULTET ORGANIZACIJE I INFORMATIKE U VARAŽDINU</t>
  </si>
  <si>
    <t>2102 SVEUČILIŠTE U ZAGREBU - GEOTEHNIČKI FAKULTET</t>
  </si>
  <si>
    <t>43749 MEĐIMURSKO VELEUČILIŠTE U ČAKOVCU</t>
  </si>
  <si>
    <t>2452 SVEUČILIŠTE J.J STROSSMAYERA U OSIJEKU</t>
  </si>
  <si>
    <t>2284 SVEUČILIŠTE J.J STROSSMAYERA U OSIJEKU - EKONOMSKI FAKULTET</t>
  </si>
  <si>
    <t>2313 SVEUČILIŠTE J.J.STROSSMAYERA U OSIJEKU - FAKULTET ELEKTROTEHNIKE, RAČUNARSTVA I INFORMACIJSKIH TEHNOLOGIJA OSIJEK</t>
  </si>
  <si>
    <t>2321 SVEUČILIŠTE J.J STROSSMAYERA U OSIJEKU - FILOZOFSKI FAKULTET</t>
  </si>
  <si>
    <t>2508 SVEUČILIŠTE J.J.STROSSMAYERA U OSIJEKU - GRADSKA I SVEUČILIŠNA KNJIŽNICA</t>
  </si>
  <si>
    <t>2250 SVEUČILIŠTE J.J STROSSMAYERA U OSIJEKU - GRAĐEVINSKI I ARHITEKTONSKI FAKULTET OSIJEK</t>
  </si>
  <si>
    <t>22849 SVEUČILIŠTE J.J STROSSMAYERA U OSIJEKU - MEDICINSKI FAKULTET</t>
  </si>
  <si>
    <t>2268 SVEUČILIŠTE J.J STROSSMAYERA U OSIJEKU - FAKULTET AGROBIOTEHNIČKIH ZNANOSTI OSIJEK</t>
  </si>
  <si>
    <t>2292 SVEUČILIŠTE J.J STROSSMAYERA U OSIJEKU - PRAVNI FAKULTET</t>
  </si>
  <si>
    <t>2276 SVEUČILIŠTE J.J STROSSMAYERA U OSIJEKU - PREHRAMBENO TEHNOLOŠKI FAKULTET</t>
  </si>
  <si>
    <t>22486 SVEUČILIŠTE J.J STROSSMAYERA U OSIJEKU - FAKULTET ZA ODGOJNE I OBRAZOVNE ZNANOSTI</t>
  </si>
  <si>
    <t>50215 SVEUČILIŠTE J.J.STROSSMAYERA U OSIJEKU - AKADEMIJA ZA UMJETNOST I KULTURU U OSIJEKU</t>
  </si>
  <si>
    <t>38479 SVEUČILIŠTE J.J.STROSSMAYERA U OSIJEKU - KATOLIČKI BOGOSLOVNI FAKULTET U ĐAKOVU</t>
  </si>
  <si>
    <t>49796 SVEUČILIŠTE J.J.STROSSMAYERA U OSIJEKU - FAKULTET ZA DENTALNU MEDICINU I ZDRAVSTVO</t>
  </si>
  <si>
    <t>51360 SVEUČILIŠTE U SLAVONSKOM BRODU</t>
  </si>
  <si>
    <t>42024 SVEUČILIŠTE JURJA DOBRILE U PULI</t>
  </si>
  <si>
    <t>48267 SVEUČILIŠTE SJEVER</t>
  </si>
  <si>
    <t>24141 SVEUČILIŠTE U DUBROVNIKU</t>
  </si>
  <si>
    <t>2444 SVEUČILIŠTE U RIJECI</t>
  </si>
  <si>
    <t>38454 SVEUČILIŠTE U RIJECI - AKADEMIJA PRIMJENJENIH UMJETNOSTI</t>
  </si>
  <si>
    <t>2186 SVEUČILIŠTE U RIJECI - EKONOMSKI FAKULTET</t>
  </si>
  <si>
    <t>2194 SVEUČILIŠTE U RIJECI - FAKULTET ZA MENADŽMENT U TURIZMU I UGOSTITELJSTVU</t>
  </si>
  <si>
    <t>22857 SVEUČILIŠTE U RIJECI - FILOZOFSKI FAKULTET</t>
  </si>
  <si>
    <t>2160 SVEUČILIŠTE U RIJECI - GRAĐEVINSKI FAKULTET</t>
  </si>
  <si>
    <t>2225 SVEUČILIŠTE U RIJECI - MEDICINSKI FAKULTET</t>
  </si>
  <si>
    <t>22568 SVEUČILIŠTE U RIJECI - POMORSKI FAKULTET</t>
  </si>
  <si>
    <t>2217 SVEUČILIŠTE U RIJECI - PRAVNI FAKULTET</t>
  </si>
  <si>
    <t>2493 SVEUČILIŠTE U RIJECI - SVEUČILIŠNA KNJIŽNICA</t>
  </si>
  <si>
    <t>2151 SVEUČILIŠTE U RIJECI - TEHNIČKI FAKULTET</t>
  </si>
  <si>
    <t>40947 SVEUČILIŠTE U RIJECI - UČITELJSKI FAKULTET</t>
  </si>
  <si>
    <t>48023 SVEUČILIŠTE U RIJECI - FAKULTET ZDRAVSTVENIH STUDIJA U RIJECI</t>
  </si>
  <si>
    <t>2469 SVEUČILIŠTE U SPLITU</t>
  </si>
  <si>
    <t>2372 SVEUČILIŠTE U SPLITU - EKONOMSKI FAKULTET</t>
  </si>
  <si>
    <t>2330 SVEUČILIŠTE U SPLITU - FAKULTET ELEKTROTEHNIKE, STROJARSTVA I BRODOGRADNJE</t>
  </si>
  <si>
    <t>22435 SVEUČILIŠTE U SPLITU - FILOZOFSKI FAKULTET</t>
  </si>
  <si>
    <t>2348 SVEUČILIŠTE U SPLITU - FAKULTET GRAĐEVINARSTVA, ARHITEKTURE I GEODEZIJE</t>
  </si>
  <si>
    <t>2356 SVEUČILIŠTE U SPLITU - KEMIJSKO-TEHNOLOŠKI FAKULTET</t>
  </si>
  <si>
    <t>43773 SVEUČILIŠTE U SPLITU - KINEZIOLOŠKI FAKULTET</t>
  </si>
  <si>
    <t>23368 SVEUČILIŠTE U SPLITU - KATOLIČKI BOGOSLOVNI FAKULTET</t>
  </si>
  <si>
    <t>22451 SVEUČILIŠTE U SPLITU - MEDICINSKI FAKULTET</t>
  </si>
  <si>
    <t>22460 SVEUČILIŠTE U SPLITU - POMORSKI FAKULTET</t>
  </si>
  <si>
    <t>2397 SVEUČILIŠTE U SPLITU - PRAVNI FAKULTET</t>
  </si>
  <si>
    <t>2410 SVEUČILIŠTE U SPLITU - PRIRODOSLOVNO - MATEMATIČKI FAKULTET</t>
  </si>
  <si>
    <t>2524 SVEUČILIŠTE U SPLITU - SVEUČILIŠNA KNJIŽNICA</t>
  </si>
  <si>
    <t>22478 SVEUČILIŠTE U SPLITU - UMJETNIČKA AKADEMIJA</t>
  </si>
  <si>
    <t>23815 SVEUČILIŠTE U ZADRU</t>
  </si>
  <si>
    <t>2436 SVEUČILIŠTE U ZAGREBU</t>
  </si>
  <si>
    <t>1923 SVEUČILIŠTE U ZAGREBU - AGRONOMSKI FAKULTET</t>
  </si>
  <si>
    <t>1974 SVEUČILIŠTE U ZAGREBU - AKADEMIJA DRAMSKE UMJETNOSTI</t>
  </si>
  <si>
    <t>1982 SVEUČILIŠTE U ZAGREBU - AKADEMIJA LIKOVNIH UMJETNOSTI</t>
  </si>
  <si>
    <t xml:space="preserve">1861 SVEUČILIŠTE U ZAGREBU - ARHITEKTONSKI FAKULTET </t>
  </si>
  <si>
    <t xml:space="preserve">1966 SVEUČILIŠTE U ZAGREBU - EDUKACIJSKO-REHABILITACIJSKI FAKULTET </t>
  </si>
  <si>
    <t>1931 SVEUČILIŠTE U ZAGREBU - EKONOMSKI FAKULTET</t>
  </si>
  <si>
    <t>1757 SVEUČILIŠTE U ZAGREBU - FAKULTET ELEKTROTEHNIKE I RAČUNARSTVA</t>
  </si>
  <si>
    <t>6154 SVEUČILIŠTE U ZAGREBU - FAKULTET FILOZOFIJE I RELIGIJSKIH ZNANOSTI</t>
  </si>
  <si>
    <t xml:space="preserve">2135 SVEUČILIŠTE U ZAGREBU - KATOLIČKI BOGOSLOVNI FAKULTET </t>
  </si>
  <si>
    <t>51191 SVEUČILIŠTE U ZAGREBU - FAKULTET HRVATSKIH STUDIJA</t>
  </si>
  <si>
    <t>1790 SVEUČILIŠTE U ZAGREBU - FAKULTET KEMIJSKOG INŽENJERSTVA I TEHNOLOGIJE</t>
  </si>
  <si>
    <t>1907 SVEUČILIŠTE U ZAGREBU - FAKULTET POLITIČKIH ZNANOSTI</t>
  </si>
  <si>
    <t>1812 SVEUČILIŠTE U ZAGREBU - FAKULTET PROMETNIH ZNANOSTI</t>
  </si>
  <si>
    <t>1829 SVEUČILIŠTE U ZAGREBU - FAKULTET STROJARSTVA I BRODOGRADNJE</t>
  </si>
  <si>
    <t xml:space="preserve">2014 SVEUČILIŠTE U ZAGREBU - FARMACEUTSKO-BIOKEMIJSKI FAKULTET </t>
  </si>
  <si>
    <t>1958 SVEUČILIŠTE U ZAGREBU - FILOZOFSKI FAKULTET</t>
  </si>
  <si>
    <t>1853 SVEUČILIŠTE U ZAGREBU - GEODETSKI FAKULTET</t>
  </si>
  <si>
    <t>1837 SVEUČILIŠTE U ZAGREBU - GRAĐEVINSKI FAKULTET</t>
  </si>
  <si>
    <t>2080 SVEUČILIŠTE U ZAGREBU - GRAFIČKI FAKULTET</t>
  </si>
  <si>
    <t>2006 SVEUČILIŠTE U ZAGREBU - KINEZIOLOŠKI FAKULTET</t>
  </si>
  <si>
    <t>1888 SVEUČILIŠTE U ZAGREBU - MEDICINSKI FAKULTET</t>
  </si>
  <si>
    <t>2071 SVEUČILIŠTE U ZAGREBU - METALURŠKI FAKULTET SISAK</t>
  </si>
  <si>
    <t>1999 SVEUČILIŠTE U ZAGREBU - MUZIČKA AKADEMIJA</t>
  </si>
  <si>
    <t>1915 SVEUČILIŠTE U ZAGREBU - PRAVNI FAKULTET</t>
  </si>
  <si>
    <t>1845 SVEUČILIŠTE U ZAGREBU - PREHRAMBENO BIOTEHNOLOŠKI FAKULTET</t>
  </si>
  <si>
    <t>1781 SVEUČILIŠTE U ZAGREBU - PRIRODOSLOVNO-MATEMATIČKI FAKULTET</t>
  </si>
  <si>
    <t>2047 SVEUČILIŠTE U ZAGREBU - RUDARSKO-GEOLOŠKO-NAFTNI FAKULTET</t>
  </si>
  <si>
    <t>1870 SVEUČILIŠTE U ZAGREBU - STOMATOLOŠKI FAKULTET</t>
  </si>
  <si>
    <t>1896 SVEUČILIŠTE U ZAGREBU - ŠUMARSKI FAKULTET</t>
  </si>
  <si>
    <t>1804 SVEUČILIŠTE U ZAGREBU - TEKSTILNO TEHNOLOŠKI FAKULTET</t>
  </si>
  <si>
    <t>1940 SVEUČILIŠTE U ZAGREBU - UČITELJSKI FAKULTET</t>
  </si>
  <si>
    <t>2022 SVEUČILIŠTE U ZAGREBU - VETERINARSKI FAKULTET</t>
  </si>
  <si>
    <t>22427 TEHNIČKO VELEUČILIŠTE U ZAGREBU</t>
  </si>
  <si>
    <t>38446 VELEUČILIŠTE LAVOSLAV RUŽIČKA U VUKOVARU</t>
  </si>
  <si>
    <t>38438 VELEUČILIŠTE MARKO MARULIĆ U KNINU</t>
  </si>
  <si>
    <t>41185 VELEUČILIŠTE NIKOLA TESLA U GOSPIĆU</t>
  </si>
  <si>
    <t>21053 VELEUČILIŠTE U KARLOVCU</t>
  </si>
  <si>
    <t>22398 VELEUČILIŠTE U POŽEGI</t>
  </si>
  <si>
    <t>22494 VELEUČILIŠTE U RIJECI</t>
  </si>
  <si>
    <t>22824 VELEUČILIŠTE U ŠIBENIKU</t>
  </si>
  <si>
    <t>50848 VELEUČILIŠTE HRVATSKO ZAGORJE KRAPINA</t>
  </si>
  <si>
    <t>42993 VISOKA ŠKOLA ZA MENEDŽMENT U TURIZMU I INFORMATICI</t>
  </si>
  <si>
    <t>22371 VISOKO GOSPODARSKO UČILIŠTE U KRIŽEVCIMA</t>
  </si>
  <si>
    <t>22832 ZDRAVSTVENO VELEUČILIŠTE</t>
  </si>
  <si>
    <t>2918 EKONOMSKI INSTITUT ZAGREB</t>
  </si>
  <si>
    <t>2934 HRVATSKI INSTITUT ZA POVIJEST</t>
  </si>
  <si>
    <t>2983 HRVATSKI VETERINARSKI INSTITUT</t>
  </si>
  <si>
    <t>3105 INSTITUT DRUŠTVENIH ZNANOSTI IVO PILAR</t>
  </si>
  <si>
    <t>3041 INSTITUT RUĐER BOŠKOVIĆ</t>
  </si>
  <si>
    <t>3113 INSTITUT ZA ANTROPOLOGIJU</t>
  </si>
  <si>
    <t>3121 INSTITUT ZA ARHEOLOGIJU</t>
  </si>
  <si>
    <t>3050 INSTITUT ZA DRUŠTVENA ISTRAŽIVANJA</t>
  </si>
  <si>
    <t>3084 INSTITUT ZA ETNOLOGIJU I FOLKLORISTIKU</t>
  </si>
  <si>
    <t>3092 INSTITUT ZA FILOZOFIJU</t>
  </si>
  <si>
    <t>2975 INSTITUT ZA FIZIKU</t>
  </si>
  <si>
    <t xml:space="preserve">22525 HRVATSKI GEOLOŠKI INSTITUT </t>
  </si>
  <si>
    <t>21061 INSTITUT ZA HRVATSKI JEZIK I JEZIKOSLOVLJE</t>
  </si>
  <si>
    <t>3025 INSTITUT ZA JADRANSKE KULTURE I MELIORACIJU KRŠA</t>
  </si>
  <si>
    <t>23286 INSTITUT ZA JAVNE FINANCIJE</t>
  </si>
  <si>
    <t>2959 INSTITUT ZA MEDICINSKA ISTRAŽIVANJA I MEDICINU RADA</t>
  </si>
  <si>
    <t>22621 INSTITUT ZA RAZVOJ I MEĐUNARODNE ODNOSE</t>
  </si>
  <si>
    <t>3009 INSTITUT ZA MIGRACIJE I NARODNOSTI</t>
  </si>
  <si>
    <t>2900 INSTITUT ZA OCEANOGRAFIJU I RIBARSTVO</t>
  </si>
  <si>
    <t>3076 INSTITUT ZA POLJOPRIVREDU I TURIZAM</t>
  </si>
  <si>
    <t>2942 INSTITUT ZA POVIJEST UMJETNOSTI</t>
  </si>
  <si>
    <t>3068 INSTITUT ZA TURIZAM</t>
  </si>
  <si>
    <t>2991 POLJOPRIVREDNI INSTITUT OSIJEK</t>
  </si>
  <si>
    <t>21070 STAROSLAVENSKI INSTITUT</t>
  </si>
  <si>
    <t>2967 HRVATSKI ŠUMARSKI INSTITUT</t>
  </si>
  <si>
    <t>6179 DRŽAVNI ZAVOD ZA INTELEKTUALNO VLASNIŠTVO</t>
  </si>
  <si>
    <t>21836 NACIONALNA I SVEUČILIŠNA KNJIŽNICA U ZAGREBU</t>
  </si>
  <si>
    <t>21852 HRVATSKA AKADEMSKA I ISTRAŽIVAČKA MREŽA - CARNET</t>
  </si>
  <si>
    <t>21869 LEKSIKOGRAFSKI ZAVOD MIROSLAV KRLEŽA</t>
  </si>
  <si>
    <t>23665 SVEUČILIŠTE U ZAGREBU - SVEUČILIŠNI RAČUNSKI CENTAR - SRCE</t>
  </si>
  <si>
    <t>23962 AGENCIJA ZA ODGOJ I OBRAZOVANJE</t>
  </si>
  <si>
    <t>38487 AGENCIJA ZA ZNANOST I VISOKO OBRAZOVANJE</t>
  </si>
  <si>
    <t>40883 NACIONALNI CENTAR ZA VANJSKO VREDNOVANJE OBRAZOVANJA</t>
  </si>
  <si>
    <t>43335 AGENCIJA ZA MOBILNOST I PROGRAME EUROPSKE UNIJE</t>
  </si>
  <si>
    <t>46173 AGENCIJA ZA STRUKOVNO OBRAZOVANJE I OBRAZOVANJE ODRASLIH</t>
  </si>
  <si>
    <t>1222 MINISTARSTVO ZNANOSTI I OBRAZOVANJA</t>
  </si>
  <si>
    <t>EU PROJEKTI SVEUČILIŠTA U OSIJEKU (IZ EVIDENCIJSKIH PRIHODA)</t>
  </si>
  <si>
    <t>EU PROJEKTI SVEUČILIŠTA U RIJECI (IZ EVIDENCIJSKIH PRIHODA)</t>
  </si>
  <si>
    <t>EU PROJEKTI SVEUČILIŠTA U ZADRU (IZ EVIDENCIJSKIH PRIHODA)</t>
  </si>
  <si>
    <t>EU PROJEKTI SVEUČILIŠTA U PULI (IZ EVIDENCIJSKIH PRIHODA)</t>
  </si>
  <si>
    <t>EU PROJEKTI VELEUČILIŠTA I VISOKIH ŠKOLA (IZ EVIDENCIJSKIH PRIHODA)</t>
  </si>
  <si>
    <t>EU PROJEKTI SVEUČILIŠTE U SPLITU (IZ EVIDENCIJSKIH PRIHODA)</t>
  </si>
  <si>
    <t>EU PROJEKTI SVEUČILIŠTE U ZAGREBU (IZ EVIDENCIJSKIH PRIHODA)</t>
  </si>
  <si>
    <t>EU PROJEKTI SVEUČILIŠTA SJEVER (IZ EVIDENCIJSKIH PRIHODA)</t>
  </si>
  <si>
    <t>EU PROJEKTI SVEUČILIŠTA SLAVONSKOM BRODU (IZ EVIDENCIJSKIH PRIHODA)</t>
  </si>
  <si>
    <t>EU PROJEKTI JAVNIH INSTITUTA (IZ EVIDENCIJSKIH PRIHODA)</t>
  </si>
  <si>
    <t>A679115</t>
  </si>
  <si>
    <t>Dopušteni izvor</t>
  </si>
  <si>
    <t>671-izvor 11</t>
  </si>
  <si>
    <t>671-izvor 12</t>
  </si>
  <si>
    <t>Tekuće pomoći od HZMO-a, HZZ-a i HZZO-a</t>
  </si>
  <si>
    <t>Tekuće pomoći od ostalih izvanproračunskih korisnika državnog proračuna</t>
  </si>
  <si>
    <t>Tekuće pomoći od izvanproračunskih korisnika županijskih, gradskih i općinskih proračuna</t>
  </si>
  <si>
    <t>Kapitalne pomoći od HZMO-a, HZZ-a i HZZO-a</t>
  </si>
  <si>
    <t>Kapitalne pomoći od ostalih izvanproračunskih korisnika državnog proračuna</t>
  </si>
  <si>
    <t>Kapitalne pomoći od izvanproračunskih korisnika županijskih, gradskih i općinskih proračuna</t>
  </si>
  <si>
    <t>Prihodi od prodanih proizvoda</t>
  </si>
  <si>
    <t>Prihodi od prodaje robe</t>
  </si>
  <si>
    <t>Unos</t>
  </si>
  <si>
    <t>Europski fond za regionalni razvoj (EFRR)</t>
  </si>
  <si>
    <t>Tekuće pomoći od institucija i tijela EU - ESF</t>
  </si>
  <si>
    <t>Tekuće pomoći od institucija i tijela EU - EFRR</t>
  </si>
  <si>
    <t>Kapitalne pomoći od institucija i tijela EU - ESF</t>
  </si>
  <si>
    <t>Kapitalne pomoći od institucija i tijela EU - EFRR</t>
  </si>
  <si>
    <t>Rijeka, 13.10.2020.</t>
  </si>
  <si>
    <t xml:space="preserve">Koraljka Miočić </t>
  </si>
  <si>
    <t>051/355-109</t>
  </si>
  <si>
    <t>koraljka.miocic@efri.hr</t>
  </si>
  <si>
    <t>Ekonomski fakultet u Splitu</t>
  </si>
  <si>
    <r>
      <t>Cilj projekta je poboljšati kvalitetu, relevantnost i učinkovitost visokog obrazovanja kroz </t>
    </r>
    <r>
      <rPr>
        <sz val="11"/>
        <color theme="1"/>
        <rFont val="Calibri"/>
        <family val="2"/>
        <charset val="238"/>
        <scheme val="minor"/>
      </rPr>
      <t>razvoj standarda zanimanja i standarda kvalifikacija u području ekonomije i poboljšanje studijskih programa s razvojem i korištenjem suvremenih metoda poučavanja i učenja. Postizanje specifičnih ciljeva projekta temeljit će se na ESG standardima i HKO-u, što će uključivati jačanje kompetencija nastavnog i nenastavnog osoblja, centara za razvoj karijere, ekonomskih savjeta, javnog informiranja i općeg poboljšanja sustava kvalitete. (stvaranje institucionalnih i financijskih okvira održivosti).</t>
    </r>
  </si>
  <si>
    <t>UNIVERSITA DEGLI STUDI DI PAVIA</t>
  </si>
  <si>
    <t>1.1.2021.</t>
  </si>
  <si>
    <t>Cilj je projekta Fin-Tech koji je dio programa Obzor 2020. (Horizon 2020), novog programa Europske Unije za istraživanje i inovacije, stvoriti europsku FinTech platformu za upravljanje rizicima koja bi na kraju mogla dovesti do europskog istraživačkog sandbox-a. U tu će svrhu biti razvijen hub za razmjenu znanja gdje će se razvijati konkretni primjeri u upravljanju rizicima u fintech-u.</t>
  </si>
  <si>
    <t>REGIONE VENETO SESTIERE</t>
  </si>
  <si>
    <t>Glavni prioritet programa je podrška razvoju regionalnog inovacijskog sustava za Jadransko-jonsko područje. Industrijska proizvodnja EU suočava se s fazom radikalnih promjena i transformacije povezanih s uvođenjem informacijskih sustava u proizvodne procese, pod konceptom Industry 4.0.</t>
  </si>
  <si>
    <t> Institute for Comprehensive Development Solutions</t>
  </si>
  <si>
    <t>31.12.2022.</t>
  </si>
  <si>
    <t>Capacity Building of BLUE Economy Stakeholders to Effectively use CROWFUNDING (BLUE CROWFUNDING)</t>
  </si>
  <si>
    <t>Social and Creative</t>
  </si>
  <si>
    <t>Regione di Puglia</t>
  </si>
  <si>
    <t>Povećanje zapošljivosti studenata kroz unapređenje Centra za karijere i razvoj stručne prakse – CEZAR.</t>
  </si>
  <si>
    <r>
      <t>Opći cilj projekta </t>
    </r>
    <r>
      <rPr>
        <sz val="10"/>
        <color rgb="FF333333"/>
        <rFont val="Arial"/>
        <family val="2"/>
        <charset val="238"/>
      </rPr>
      <t>je doprinijeti povećanju zapošljivosti studenata sveučilišnih studija u Hrvatskoj</t>
    </r>
  </si>
  <si>
    <t xml:space="preserve"> „MI – jučer, danas, sutra“</t>
  </si>
  <si>
    <t>Udruga mladih i Alumni FET Pula</t>
  </si>
  <si>
    <t>Projektom "MI (migracijski izazovi) - jučer, danas sutra" želi se riješiti problem nedovoljnog jačanja kapaciteta organizacija civilnoga društva za</t>
  </si>
  <si>
    <t>postizanje učinkovitog dijaloga s javnom upravom i visokoobrazovnim institucijama u oblikovanju i provođenju reformi.</t>
  </si>
  <si>
    <t>09.03.2020.</t>
  </si>
  <si>
    <t>09.02.2023.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</si>
</sst>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8" formatCode="#,##0.00\ &quot;kn&quot;;[Red]\-#,##0.00\ &quot;kn&quot;"/>
    <numFmt numFmtId="43" formatCode="_-* #,##0.00_-;\-* #,##0.00_-;_-* &quot;-&quot;??_-;_-@_-"/>
    <numFmt numFmtId="164" formatCode="dd/mm/yy/;@"/>
    <numFmt numFmtId="165" formatCode="#,##0_ ;\-#,##0\ "/>
    <numFmt numFmtId="166" formatCode="#&quot;.&quot;"/>
    <numFmt numFmtId="167" formatCode="00000000"/>
    <numFmt numFmtId="168" formatCode="&quot;- &quot;@"/>
    <numFmt numFmtId="169" formatCode="&quot;+ &quot;@"/>
  </numFmts>
  <fonts count="77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0"/>
      <color indexed="56"/>
      <name val="Calibri"/>
      <family val="2"/>
      <charset val="238"/>
    </font>
    <font>
      <sz val="10"/>
      <color indexed="8"/>
      <name val="Open Sans"/>
    </font>
    <font>
      <b/>
      <sz val="10"/>
      <color indexed="1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8"/>
      <name val="Arial"/>
      <family val="2"/>
    </font>
    <font>
      <sz val="10"/>
      <color indexed="8"/>
      <name val="MS Sans Serif"/>
      <charset val="238"/>
    </font>
    <font>
      <sz val="10"/>
      <color indexed="8"/>
      <name val="Calibri"/>
      <family val="2"/>
      <charset val="238"/>
    </font>
    <font>
      <b/>
      <sz val="10"/>
      <color indexed="9"/>
      <name val="Calibri"/>
      <family val="2"/>
      <charset val="238"/>
    </font>
    <font>
      <sz val="10"/>
      <color indexed="8"/>
      <name val="Arial"/>
      <family val="2"/>
      <charset val="238"/>
    </font>
    <font>
      <b/>
      <i/>
      <sz val="10"/>
      <name val="Calibri"/>
      <family val="2"/>
      <charset val="238"/>
    </font>
    <font>
      <b/>
      <i/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9.85"/>
      <color indexed="8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</font>
    <font>
      <b/>
      <i/>
      <sz val="10"/>
      <color indexed="8"/>
      <name val="MS Sans Serif"/>
      <charset val="238"/>
    </font>
    <font>
      <i/>
      <sz val="10"/>
      <color indexed="8"/>
      <name val="MS Sans Serif"/>
      <charset val="238"/>
    </font>
    <font>
      <i/>
      <sz val="10"/>
      <color indexed="8"/>
      <name val="Calibri"/>
      <family val="2"/>
      <charset val="238"/>
    </font>
    <font>
      <b/>
      <sz val="12"/>
      <color indexed="9"/>
      <name val="Calibri"/>
      <family val="2"/>
      <charset val="238"/>
    </font>
    <font>
      <sz val="9.85"/>
      <color indexed="8"/>
      <name val="Calibri"/>
      <family val="2"/>
      <charset val="238"/>
    </font>
    <font>
      <b/>
      <sz val="9.85"/>
      <color indexed="8"/>
      <name val="Calibri"/>
      <family val="2"/>
      <charset val="238"/>
    </font>
    <font>
      <b/>
      <sz val="8"/>
      <color indexed="9"/>
      <name val="Arial"/>
      <family val="2"/>
      <charset val="238"/>
    </font>
    <font>
      <b/>
      <sz val="10"/>
      <color indexed="62"/>
      <name val="Calibri"/>
      <family val="2"/>
      <charset val="238"/>
    </font>
    <font>
      <sz val="10"/>
      <color indexed="56"/>
      <name val="Calibri"/>
      <family val="2"/>
      <charset val="238"/>
    </font>
    <font>
      <sz val="8"/>
      <name val="Calibri"/>
      <family val="2"/>
      <charset val="238"/>
    </font>
    <font>
      <sz val="10"/>
      <color rgb="FF000000"/>
      <name val="Open Sans"/>
    </font>
    <font>
      <sz val="8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sz val="8"/>
      <name val="0"/>
      <charset val="238"/>
    </font>
    <font>
      <sz val="11"/>
      <name val="Calibri"/>
      <family val="2"/>
      <charset val="238"/>
      <scheme val="minor"/>
    </font>
    <font>
      <sz val="10"/>
      <name val="Tahoma"/>
      <family val="2"/>
      <charset val="238"/>
    </font>
    <font>
      <sz val="9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6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FFC00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theme="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color indexed="8"/>
      <name val="Open Sans"/>
      <charset val="238"/>
    </font>
    <font>
      <b/>
      <sz val="15"/>
      <color theme="3"/>
      <name val="Calibri"/>
      <family val="2"/>
      <charset val="238"/>
      <scheme val="minor"/>
    </font>
    <font>
      <b/>
      <sz val="15"/>
      <color rgb="FFFF0000"/>
      <name val="Calibri"/>
      <family val="2"/>
      <charset val="238"/>
      <scheme val="minor"/>
    </font>
    <font>
      <sz val="9"/>
      <name val="Arial"/>
      <family val="2"/>
    </font>
    <font>
      <sz val="11"/>
      <name val="Calibri"/>
      <family val="2"/>
      <scheme val="minor"/>
    </font>
    <font>
      <sz val="11"/>
      <color rgb="FF000000"/>
      <name val="Arial"/>
      <family val="2"/>
      <charset val="238"/>
    </font>
    <font>
      <sz val="12"/>
      <color rgb="FF333333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theme="1"/>
      <name val="Times New Roman"/>
      <family val="1"/>
      <charset val="238"/>
    </font>
  </fonts>
  <fills count="57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2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4"/>
        <bgColor indexed="64"/>
      </patternFill>
    </fill>
    <fill>
      <patternFill patternType="solid">
        <fgColor indexed="60"/>
      </patternFill>
    </fill>
    <fill>
      <patternFill patternType="solid">
        <fgColor indexed="50"/>
      </patternFill>
    </fill>
    <fill>
      <patternFill patternType="solid">
        <fgColor indexed="57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/>
      <top/>
      <bottom/>
      <diagonal/>
    </border>
    <border>
      <left/>
      <right style="thin">
        <color indexed="18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ck">
        <color theme="4"/>
      </bottom>
      <diagonal/>
    </border>
  </borders>
  <cellStyleXfs count="78">
    <xf numFmtId="0" fontId="0" fillId="0" borderId="0"/>
    <xf numFmtId="43" fontId="23" fillId="0" borderId="0" applyFont="0" applyFill="0" applyBorder="0" applyAlignment="0" applyProtection="0"/>
    <xf numFmtId="0" fontId="14" fillId="0" borderId="0"/>
    <xf numFmtId="0" fontId="22" fillId="0" borderId="0"/>
    <xf numFmtId="0" fontId="4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" fontId="13" fillId="4" borderId="1" applyNumberFormat="0" applyProtection="0">
      <alignment vertical="center"/>
    </xf>
    <xf numFmtId="4" fontId="13" fillId="6" borderId="1" applyNumberFormat="0" applyProtection="0">
      <alignment horizontal="left" vertical="center" indent="1" justifyLastLine="1"/>
    </xf>
    <xf numFmtId="4" fontId="13" fillId="5" borderId="1" applyNumberFormat="0" applyProtection="0">
      <alignment horizontal="left" vertical="center" indent="1" justifyLastLine="1"/>
    </xf>
    <xf numFmtId="4" fontId="13" fillId="7" borderId="1" applyNumberFormat="0" applyProtection="0">
      <alignment horizontal="right" vertical="center"/>
    </xf>
    <xf numFmtId="0" fontId="13" fillId="3" borderId="1" applyNumberFormat="0" applyProtection="0">
      <alignment horizontal="left" vertical="center" indent="1" justifyLastLine="1"/>
    </xf>
    <xf numFmtId="0" fontId="13" fillId="8" borderId="1" applyNumberFormat="0" applyProtection="0">
      <alignment horizontal="left" vertical="center" indent="1" justifyLastLine="1"/>
    </xf>
    <xf numFmtId="0" fontId="13" fillId="2" borderId="1" applyNumberFormat="0" applyProtection="0">
      <alignment horizontal="left" vertical="center" indent="1" justifyLastLine="1"/>
    </xf>
    <xf numFmtId="0" fontId="13" fillId="9" borderId="1" applyNumberFormat="0" applyProtection="0">
      <alignment horizontal="left" vertical="center" indent="1" justifyLastLine="1"/>
    </xf>
    <xf numFmtId="0" fontId="29" fillId="10" borderId="2" applyBorder="0"/>
    <xf numFmtId="4" fontId="13" fillId="0" borderId="1" applyNumberFormat="0" applyProtection="0">
      <alignment horizontal="right" vertical="center"/>
    </xf>
    <xf numFmtId="4" fontId="13" fillId="5" borderId="1" applyNumberFormat="0" applyProtection="0">
      <alignment horizontal="left" vertical="center" indent="1" justifyLastLine="1"/>
    </xf>
    <xf numFmtId="0" fontId="41" fillId="21" borderId="0"/>
    <xf numFmtId="0" fontId="48" fillId="25" borderId="0" applyNumberFormat="0" applyBorder="0" applyAlignment="0" applyProtection="0"/>
    <xf numFmtId="0" fontId="48" fillId="26" borderId="0" applyNumberFormat="0" applyBorder="0" applyAlignment="0" applyProtection="0"/>
    <xf numFmtId="0" fontId="47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47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32" borderId="0" applyNumberFormat="0" applyBorder="0" applyAlignment="0" applyProtection="0"/>
    <xf numFmtId="0" fontId="47" fillId="33" borderId="0" applyNumberFormat="0" applyBorder="0" applyAlignment="0" applyProtection="0"/>
    <xf numFmtId="0" fontId="48" fillId="28" borderId="0" applyNumberFormat="0" applyBorder="0" applyAlignment="0" applyProtection="0"/>
    <xf numFmtId="0" fontId="48" fillId="34" borderId="0" applyNumberFormat="0" applyBorder="0" applyAlignment="0" applyProtection="0"/>
    <xf numFmtId="0" fontId="47" fillId="29" borderId="0" applyNumberFormat="0" applyBorder="0" applyAlignment="0" applyProtection="0"/>
    <xf numFmtId="0" fontId="48" fillId="35" borderId="0" applyNumberFormat="0" applyBorder="0" applyAlignment="0" applyProtection="0"/>
    <xf numFmtId="0" fontId="48" fillId="36" borderId="0" applyNumberFormat="0" applyBorder="0" applyAlignment="0" applyProtection="0"/>
    <xf numFmtId="0" fontId="47" fillId="27" borderId="0" applyNumberFormat="0" applyBorder="0" applyAlignment="0" applyProtection="0"/>
    <xf numFmtId="0" fontId="48" fillId="11" borderId="0" applyNumberFormat="0" applyBorder="0" applyAlignment="0" applyProtection="0"/>
    <xf numFmtId="0" fontId="48" fillId="37" borderId="0" applyNumberFormat="0" applyBorder="0" applyAlignment="0" applyProtection="0"/>
    <xf numFmtId="0" fontId="47" fillId="38" borderId="0" applyNumberFormat="0" applyBorder="0" applyAlignment="0" applyProtection="0"/>
    <xf numFmtId="0" fontId="49" fillId="39" borderId="0" applyNumberFormat="0" applyBorder="0" applyAlignment="0" applyProtection="0"/>
    <xf numFmtId="0" fontId="49" fillId="40" borderId="0" applyNumberFormat="0" applyBorder="0" applyAlignment="0" applyProtection="0"/>
    <xf numFmtId="0" fontId="49" fillId="41" borderId="0" applyNumberFormat="0" applyBorder="0" applyAlignment="0" applyProtection="0"/>
    <xf numFmtId="4" fontId="51" fillId="6" borderId="1" applyNumberFormat="0" applyProtection="0">
      <alignment vertical="center"/>
    </xf>
    <xf numFmtId="0" fontId="44" fillId="4" borderId="37" applyNumberFormat="0" applyProtection="0">
      <alignment horizontal="left" vertical="top" indent="1"/>
    </xf>
    <xf numFmtId="4" fontId="13" fillId="42" borderId="1" applyNumberFormat="0" applyProtection="0">
      <alignment horizontal="right" vertical="center"/>
    </xf>
    <xf numFmtId="4" fontId="13" fillId="43" borderId="1" applyNumberFormat="0" applyProtection="0">
      <alignment horizontal="right" vertical="center"/>
    </xf>
    <xf numFmtId="4" fontId="13" fillId="44" borderId="4" applyNumberFormat="0" applyProtection="0">
      <alignment horizontal="right" vertical="center"/>
    </xf>
    <xf numFmtId="4" fontId="13" fillId="24" borderId="1" applyNumberFormat="0" applyProtection="0">
      <alignment horizontal="right" vertical="center"/>
    </xf>
    <xf numFmtId="4" fontId="13" fillId="45" borderId="1" applyNumberFormat="0" applyProtection="0">
      <alignment horizontal="right" vertical="center"/>
    </xf>
    <xf numFmtId="4" fontId="13" fillId="46" borderId="1" applyNumberFormat="0" applyProtection="0">
      <alignment horizontal="right" vertical="center"/>
    </xf>
    <xf numFmtId="4" fontId="13" fillId="23" borderId="1" applyNumberFormat="0" applyProtection="0">
      <alignment horizontal="right" vertical="center"/>
    </xf>
    <xf numFmtId="4" fontId="13" fillId="22" borderId="1" applyNumberFormat="0" applyProtection="0">
      <alignment horizontal="right" vertical="center"/>
    </xf>
    <xf numFmtId="4" fontId="13" fillId="47" borderId="1" applyNumberFormat="0" applyProtection="0">
      <alignment horizontal="right" vertical="center"/>
    </xf>
    <xf numFmtId="4" fontId="13" fillId="48" borderId="4" applyNumberFormat="0" applyProtection="0">
      <alignment horizontal="left" vertical="center" indent="1" justifyLastLine="1"/>
    </xf>
    <xf numFmtId="4" fontId="43" fillId="10" borderId="4" applyNumberFormat="0" applyProtection="0">
      <alignment horizontal="left" vertical="center" indent="1" justifyLastLine="1"/>
    </xf>
    <xf numFmtId="4" fontId="43" fillId="10" borderId="4" applyNumberFormat="0" applyProtection="0">
      <alignment horizontal="left" vertical="center" indent="1" justifyLastLine="1"/>
    </xf>
    <xf numFmtId="4" fontId="13" fillId="9" borderId="4" applyNumberFormat="0" applyProtection="0">
      <alignment horizontal="left" vertical="center" indent="1" justifyLastLine="1"/>
    </xf>
    <xf numFmtId="4" fontId="13" fillId="7" borderId="4" applyNumberFormat="0" applyProtection="0">
      <alignment horizontal="left" vertical="center" indent="1" justifyLastLine="1"/>
    </xf>
    <xf numFmtId="0" fontId="13" fillId="10" borderId="37" applyNumberFormat="0" applyProtection="0">
      <alignment horizontal="left" vertical="top" indent="1"/>
    </xf>
    <xf numFmtId="0" fontId="13" fillId="7" borderId="37" applyNumberFormat="0" applyProtection="0">
      <alignment horizontal="left" vertical="top" indent="1"/>
    </xf>
    <xf numFmtId="0" fontId="13" fillId="2" borderId="37" applyNumberFormat="0" applyProtection="0">
      <alignment horizontal="left" vertical="top" indent="1"/>
    </xf>
    <xf numFmtId="0" fontId="13" fillId="9" borderId="37" applyNumberFormat="0" applyProtection="0">
      <alignment horizontal="left" vertical="top" indent="1"/>
    </xf>
    <xf numFmtId="0" fontId="13" fillId="49" borderId="38" applyNumberFormat="0">
      <protection locked="0"/>
    </xf>
    <xf numFmtId="4" fontId="42" fillId="50" borderId="37" applyNumberFormat="0" applyProtection="0">
      <alignment vertical="center"/>
    </xf>
    <xf numFmtId="4" fontId="52" fillId="0" borderId="13" applyNumberFormat="0" applyProtection="0">
      <alignment vertical="center"/>
    </xf>
    <xf numFmtId="4" fontId="42" fillId="3" borderId="37" applyNumberFormat="0" applyProtection="0">
      <alignment horizontal="left" vertical="center" indent="1"/>
    </xf>
    <xf numFmtId="0" fontId="42" fillId="50" borderId="37" applyNumberFormat="0" applyProtection="0">
      <alignment horizontal="left" vertical="top" indent="1"/>
    </xf>
    <xf numFmtId="4" fontId="51" fillId="15" borderId="1" applyNumberFormat="0" applyProtection="0">
      <alignment horizontal="right" vertical="center"/>
    </xf>
    <xf numFmtId="0" fontId="42" fillId="7" borderId="37" applyNumberFormat="0" applyProtection="0">
      <alignment horizontal="left" vertical="top" indent="1"/>
    </xf>
    <xf numFmtId="4" fontId="45" fillId="51" borderId="4" applyNumberFormat="0" applyProtection="0">
      <alignment horizontal="left" vertical="center" indent="1" justifyLastLine="1"/>
    </xf>
    <xf numFmtId="0" fontId="52" fillId="0" borderId="13"/>
    <xf numFmtId="4" fontId="46" fillId="49" borderId="1" applyNumberFormat="0" applyProtection="0">
      <alignment horizontal="right" vertical="center"/>
    </xf>
    <xf numFmtId="0" fontId="50" fillId="0" borderId="0" applyNumberFormat="0" applyFill="0" applyBorder="0" applyAlignment="0" applyProtection="0"/>
    <xf numFmtId="0" fontId="54" fillId="0" borderId="0"/>
    <xf numFmtId="0" fontId="54" fillId="0" borderId="0"/>
    <xf numFmtId="0" fontId="13" fillId="3" borderId="1" applyNumberFormat="0" applyProtection="0">
      <alignment horizontal="left" vertical="center" indent="1"/>
    </xf>
    <xf numFmtId="0" fontId="67" fillId="0" borderId="53" applyNumberFormat="0" applyFill="0" applyAlignment="0" applyProtection="0"/>
    <xf numFmtId="0" fontId="73" fillId="0" borderId="0" applyNumberFormat="0" applyFill="0" applyBorder="0" applyAlignment="0" applyProtection="0"/>
  </cellStyleXfs>
  <cellXfs count="317">
    <xf numFmtId="0" fontId="0" fillId="0" borderId="0" xfId="0"/>
    <xf numFmtId="0" fontId="15" fillId="0" borderId="0" xfId="2" applyNumberFormat="1" applyFont="1" applyFill="1" applyBorder="1" applyAlignment="1" applyProtection="1">
      <alignment vertical="center"/>
    </xf>
    <xf numFmtId="0" fontId="16" fillId="12" borderId="5" xfId="2" applyNumberFormat="1" applyFont="1" applyFill="1" applyBorder="1" applyAlignment="1" applyProtection="1">
      <alignment horizontal="center" vertical="center" wrapText="1"/>
    </xf>
    <xf numFmtId="3" fontId="15" fillId="0" borderId="6" xfId="2" applyNumberFormat="1" applyFont="1" applyFill="1" applyBorder="1" applyAlignment="1" applyProtection="1">
      <alignment vertical="center"/>
      <protection locked="0"/>
    </xf>
    <xf numFmtId="3" fontId="19" fillId="13" borderId="6" xfId="2" applyNumberFormat="1" applyFont="1" applyFill="1" applyBorder="1" applyAlignment="1" applyProtection="1">
      <alignment vertical="center"/>
    </xf>
    <xf numFmtId="0" fontId="21" fillId="0" borderId="0" xfId="2" applyNumberFormat="1" applyFont="1" applyFill="1" applyBorder="1" applyAlignment="1" applyProtection="1">
      <alignment vertical="center"/>
    </xf>
    <xf numFmtId="0" fontId="24" fillId="0" borderId="1" xfId="19" quotePrefix="1" applyNumberFormat="1" applyFont="1" applyFill="1">
      <alignment horizontal="left" vertical="center" indent="1" justifyLastLine="1"/>
    </xf>
    <xf numFmtId="4" fontId="0" fillId="0" borderId="0" xfId="0" applyNumberFormat="1"/>
    <xf numFmtId="0" fontId="21" fillId="0" borderId="6" xfId="2" applyNumberFormat="1" applyFont="1" applyFill="1" applyBorder="1" applyAlignment="1" applyProtection="1">
      <alignment vertical="center"/>
    </xf>
    <xf numFmtId="0" fontId="20" fillId="0" borderId="0" xfId="2" applyNumberFormat="1" applyFont="1" applyFill="1" applyBorder="1" applyAlignment="1" applyProtection="1">
      <alignment vertical="center"/>
    </xf>
    <xf numFmtId="3" fontId="18" fillId="15" borderId="6" xfId="2" applyNumberFormat="1" applyFont="1" applyFill="1" applyBorder="1" applyAlignment="1" applyProtection="1">
      <alignment horizontal="center" vertical="center"/>
    </xf>
    <xf numFmtId="3" fontId="18" fillId="15" borderId="6" xfId="2" applyNumberFormat="1" applyFont="1" applyFill="1" applyBorder="1" applyAlignment="1" applyProtection="1">
      <alignment vertical="center" wrapText="1"/>
    </xf>
    <xf numFmtId="3" fontId="18" fillId="13" borderId="6" xfId="2" applyNumberFormat="1" applyFont="1" applyFill="1" applyBorder="1" applyAlignment="1" applyProtection="1">
      <alignment vertical="center"/>
    </xf>
    <xf numFmtId="0" fontId="18" fillId="0" borderId="0" xfId="2" applyNumberFormat="1" applyFont="1" applyFill="1" applyBorder="1" applyAlignment="1" applyProtection="1">
      <alignment vertical="center"/>
    </xf>
    <xf numFmtId="3" fontId="21" fillId="13" borderId="6" xfId="2" applyNumberFormat="1" applyFont="1" applyFill="1" applyBorder="1" applyAlignment="1" applyProtection="1">
      <alignment vertical="center"/>
    </xf>
    <xf numFmtId="0" fontId="19" fillId="0" borderId="6" xfId="2" applyNumberFormat="1" applyFont="1" applyFill="1" applyBorder="1" applyAlignment="1" applyProtection="1">
      <alignment vertical="center"/>
    </xf>
    <xf numFmtId="0" fontId="19" fillId="16" borderId="0" xfId="2" applyNumberFormat="1" applyFont="1" applyFill="1" applyBorder="1" applyAlignment="1" applyProtection="1">
      <alignment horizontal="right" vertical="center"/>
    </xf>
    <xf numFmtId="0" fontId="21" fillId="16" borderId="0" xfId="2" applyNumberFormat="1" applyFont="1" applyFill="1" applyBorder="1" applyAlignment="1" applyProtection="1">
      <alignment horizontal="right" vertical="center"/>
    </xf>
    <xf numFmtId="0" fontId="18" fillId="0" borderId="6" xfId="2" applyNumberFormat="1" applyFont="1" applyFill="1" applyBorder="1" applyAlignment="1" applyProtection="1">
      <alignment vertical="center"/>
    </xf>
    <xf numFmtId="0" fontId="20" fillId="0" borderId="6" xfId="2" applyNumberFormat="1" applyFont="1" applyFill="1" applyBorder="1" applyAlignment="1" applyProtection="1">
      <alignment vertical="center"/>
    </xf>
    <xf numFmtId="0" fontId="19" fillId="16" borderId="0" xfId="2" applyNumberFormat="1" applyFont="1" applyFill="1" applyBorder="1" applyAlignment="1" applyProtection="1">
      <alignment vertical="center"/>
    </xf>
    <xf numFmtId="0" fontId="21" fillId="16" borderId="0" xfId="2" applyNumberFormat="1" applyFont="1" applyFill="1" applyBorder="1" applyAlignment="1" applyProtection="1">
      <alignment vertical="center"/>
    </xf>
    <xf numFmtId="0" fontId="4" fillId="6" borderId="0" xfId="2" applyNumberFormat="1" applyFont="1" applyFill="1" applyBorder="1" applyAlignment="1" applyProtection="1">
      <alignment vertical="center"/>
    </xf>
    <xf numFmtId="0" fontId="21" fillId="15" borderId="0" xfId="2" applyNumberFormat="1" applyFont="1" applyFill="1" applyBorder="1" applyAlignment="1" applyProtection="1">
      <alignment horizontal="center" vertical="center"/>
    </xf>
    <xf numFmtId="0" fontId="15" fillId="15" borderId="0" xfId="2" applyNumberFormat="1" applyFont="1" applyFill="1" applyBorder="1" applyAlignment="1" applyProtection="1">
      <alignment vertical="center" wrapText="1"/>
    </xf>
    <xf numFmtId="0" fontId="15" fillId="15" borderId="0" xfId="2" applyNumberFormat="1" applyFont="1" applyFill="1" applyBorder="1" applyAlignment="1" applyProtection="1">
      <alignment vertical="center"/>
    </xf>
    <xf numFmtId="0" fontId="26" fillId="0" borderId="0" xfId="0" applyFont="1"/>
    <xf numFmtId="0" fontId="27" fillId="0" borderId="0" xfId="0" applyFont="1" applyBorder="1" applyAlignment="1">
      <alignment horizontal="left"/>
    </xf>
    <xf numFmtId="0" fontId="0" fillId="0" borderId="0" xfId="0" applyBorder="1"/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0" fillId="0" borderId="11" xfId="0" applyFill="1" applyBorder="1"/>
    <xf numFmtId="3" fontId="0" fillId="0" borderId="7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0" fontId="0" fillId="0" borderId="12" xfId="0" applyFill="1" applyBorder="1"/>
    <xf numFmtId="0" fontId="0" fillId="0" borderId="13" xfId="0" applyFill="1" applyBorder="1"/>
    <xf numFmtId="0" fontId="0" fillId="0" borderId="6" xfId="0" applyFill="1" applyBorder="1"/>
    <xf numFmtId="0" fontId="0" fillId="0" borderId="14" xfId="0" applyFill="1" applyBorder="1"/>
    <xf numFmtId="0" fontId="0" fillId="0" borderId="15" xfId="0" applyFill="1" applyBorder="1"/>
    <xf numFmtId="3" fontId="0" fillId="0" borderId="12" xfId="0" applyNumberFormat="1" applyBorder="1"/>
    <xf numFmtId="3" fontId="0" fillId="0" borderId="6" xfId="0" applyNumberFormat="1" applyBorder="1"/>
    <xf numFmtId="3" fontId="0" fillId="0" borderId="14" xfId="0" applyNumberFormat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3" fontId="0" fillId="0" borderId="16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0" fontId="0" fillId="0" borderId="0" xfId="0" applyFill="1" applyBorder="1"/>
    <xf numFmtId="3" fontId="0" fillId="0" borderId="0" xfId="0" applyNumberFormat="1" applyBorder="1"/>
    <xf numFmtId="49" fontId="27" fillId="0" borderId="0" xfId="0" applyNumberFormat="1" applyFont="1" applyFill="1" applyBorder="1" applyAlignment="1" applyProtection="1"/>
    <xf numFmtId="49" fontId="27" fillId="0" borderId="0" xfId="0" applyNumberFormat="1" applyFont="1" applyFill="1" applyBorder="1" applyAlignment="1" applyProtection="1">
      <alignment vertical="center" wrapText="1"/>
    </xf>
    <xf numFmtId="49" fontId="17" fillId="0" borderId="0" xfId="0" applyNumberFormat="1" applyFont="1" applyFill="1" applyBorder="1" applyAlignment="1" applyProtection="1">
      <alignment vertical="center" wrapText="1"/>
    </xf>
    <xf numFmtId="0" fontId="27" fillId="0" borderId="0" xfId="0" applyFont="1" applyFill="1" applyBorder="1" applyAlignment="1">
      <alignment horizontal="right" vertical="center" wrapText="1"/>
    </xf>
    <xf numFmtId="0" fontId="27" fillId="0" borderId="0" xfId="0" applyFont="1" applyFill="1" applyBorder="1" applyAlignment="1">
      <alignment vertical="center" wrapText="1"/>
    </xf>
    <xf numFmtId="164" fontId="17" fillId="0" borderId="0" xfId="0" applyNumberFormat="1" applyFont="1" applyFill="1" applyBorder="1" applyAlignment="1">
      <alignment vertical="center" wrapText="1"/>
    </xf>
    <xf numFmtId="0" fontId="28" fillId="0" borderId="0" xfId="0" applyFont="1"/>
    <xf numFmtId="0" fontId="25" fillId="0" borderId="1" xfId="19" quotePrefix="1" applyNumberFormat="1" applyFont="1" applyFill="1">
      <alignment horizontal="left" vertical="center" indent="1" justifyLastLine="1"/>
    </xf>
    <xf numFmtId="0" fontId="15" fillId="0" borderId="0" xfId="2" applyNumberFormat="1" applyFont="1" applyFill="1" applyBorder="1" applyAlignment="1" applyProtection="1">
      <alignment vertical="center" wrapText="1"/>
    </xf>
    <xf numFmtId="0" fontId="32" fillId="0" borderId="0" xfId="2" quotePrefix="1" applyNumberFormat="1" applyFont="1" applyFill="1" applyBorder="1" applyAlignment="1" applyProtection="1">
      <alignment horizontal="center" vertical="center"/>
    </xf>
    <xf numFmtId="0" fontId="21" fillId="0" borderId="0" xfId="2" applyNumberFormat="1" applyFont="1" applyFill="1" applyBorder="1" applyAlignment="1" applyProtection="1">
      <alignment horizontal="center" vertical="center"/>
    </xf>
    <xf numFmtId="0" fontId="15" fillId="0" borderId="0" xfId="2" applyNumberFormat="1" applyFont="1" applyFill="1" applyBorder="1" applyAlignment="1" applyProtection="1">
      <alignment horizontal="center" vertical="center"/>
    </xf>
    <xf numFmtId="0" fontId="21" fillId="0" borderId="0" xfId="2" quotePrefix="1" applyNumberFormat="1" applyFont="1" applyFill="1" applyBorder="1" applyAlignment="1" applyProtection="1">
      <alignment horizontal="left" vertical="center"/>
    </xf>
    <xf numFmtId="0" fontId="36" fillId="12" borderId="1" xfId="11" quotePrefix="1" applyNumberFormat="1" applyFont="1" applyFill="1">
      <alignment horizontal="left" vertical="center" indent="1" justifyLastLine="1"/>
    </xf>
    <xf numFmtId="3" fontId="36" fillId="12" borderId="1" xfId="19" quotePrefix="1" applyNumberFormat="1" applyFont="1" applyFill="1" applyAlignment="1">
      <alignment horizontal="left" vertical="center" wrapText="1" indent="1" justifyLastLine="1"/>
    </xf>
    <xf numFmtId="3" fontId="16" fillId="12" borderId="21" xfId="2" applyNumberFormat="1" applyFont="1" applyFill="1" applyBorder="1" applyAlignment="1" applyProtection="1">
      <alignment horizontal="right"/>
    </xf>
    <xf numFmtId="3" fontId="16" fillId="12" borderId="5" xfId="2" applyNumberFormat="1" applyFont="1" applyFill="1" applyBorder="1" applyAlignment="1" applyProtection="1">
      <alignment horizontal="right"/>
    </xf>
    <xf numFmtId="3" fontId="16" fillId="12" borderId="5" xfId="2" applyNumberFormat="1" applyFont="1" applyFill="1" applyBorder="1" applyAlignment="1" applyProtection="1">
      <alignment vertical="center"/>
    </xf>
    <xf numFmtId="0" fontId="15" fillId="0" borderId="0" xfId="2" applyFont="1" applyProtection="1"/>
    <xf numFmtId="0" fontId="14" fillId="0" borderId="0" xfId="2" applyProtection="1"/>
    <xf numFmtId="0" fontId="21" fillId="0" borderId="0" xfId="2" applyFont="1" applyProtection="1"/>
    <xf numFmtId="0" fontId="15" fillId="0" borderId="0" xfId="2" applyFont="1" applyAlignment="1" applyProtection="1">
      <alignment vertical="center"/>
    </xf>
    <xf numFmtId="0" fontId="14" fillId="0" borderId="0" xfId="2" applyAlignment="1" applyProtection="1">
      <alignment vertical="center"/>
    </xf>
    <xf numFmtId="3" fontId="21" fillId="13" borderId="6" xfId="2" applyNumberFormat="1" applyFont="1" applyFill="1" applyBorder="1" applyProtection="1"/>
    <xf numFmtId="3" fontId="19" fillId="13" borderId="6" xfId="2" applyNumberFormat="1" applyFont="1" applyFill="1" applyBorder="1" applyProtection="1"/>
    <xf numFmtId="0" fontId="32" fillId="0" borderId="0" xfId="2" applyFont="1" applyProtection="1"/>
    <xf numFmtId="0" fontId="31" fillId="0" borderId="0" xfId="2" applyFont="1" applyProtection="1"/>
    <xf numFmtId="0" fontId="21" fillId="0" borderId="6" xfId="2" applyFont="1" applyBorder="1" applyProtection="1"/>
    <xf numFmtId="0" fontId="20" fillId="0" borderId="6" xfId="2" applyFont="1" applyBorder="1" applyAlignment="1" applyProtection="1">
      <alignment vertical="center"/>
    </xf>
    <xf numFmtId="0" fontId="20" fillId="0" borderId="6" xfId="2" applyFont="1" applyFill="1" applyBorder="1" applyAlignment="1" applyProtection="1">
      <alignment vertical="center"/>
    </xf>
    <xf numFmtId="0" fontId="18" fillId="0" borderId="6" xfId="2" applyFont="1" applyFill="1" applyBorder="1" applyAlignment="1" applyProtection="1">
      <alignment horizontal="center" vertical="center"/>
    </xf>
    <xf numFmtId="0" fontId="19" fillId="0" borderId="0" xfId="2" applyFont="1" applyProtection="1"/>
    <xf numFmtId="0" fontId="30" fillId="0" borderId="0" xfId="2" applyFont="1" applyProtection="1"/>
    <xf numFmtId="0" fontId="20" fillId="0" borderId="6" xfId="5" applyFont="1" applyFill="1" applyBorder="1" applyAlignment="1" applyProtection="1">
      <alignment horizontal="left" vertical="center" wrapText="1"/>
    </xf>
    <xf numFmtId="0" fontId="20" fillId="0" borderId="6" xfId="2" applyFont="1" applyFill="1" applyBorder="1" applyAlignment="1" applyProtection="1">
      <alignment horizontal="right" vertical="center"/>
    </xf>
    <xf numFmtId="1" fontId="11" fillId="0" borderId="0" xfId="2" applyNumberFormat="1" applyFont="1" applyAlignment="1" applyProtection="1">
      <alignment vertical="center" wrapText="1"/>
    </xf>
    <xf numFmtId="0" fontId="11" fillId="0" borderId="0" xfId="2" applyFont="1" applyAlignment="1" applyProtection="1">
      <alignment vertical="center"/>
    </xf>
    <xf numFmtId="0" fontId="11" fillId="0" borderId="0" xfId="2" applyFont="1" applyAlignment="1" applyProtection="1">
      <alignment horizontal="right" vertical="center"/>
    </xf>
    <xf numFmtId="1" fontId="16" fillId="12" borderId="5" xfId="2" applyNumberFormat="1" applyFont="1" applyFill="1" applyBorder="1" applyAlignment="1" applyProtection="1">
      <alignment horizontal="left" vertical="center" wrapText="1"/>
    </xf>
    <xf numFmtId="0" fontId="16" fillId="12" borderId="5" xfId="2" applyFont="1" applyFill="1" applyBorder="1" applyAlignment="1" applyProtection="1">
      <alignment horizontal="center" vertical="center" wrapText="1"/>
    </xf>
    <xf numFmtId="0" fontId="11" fillId="0" borderId="0" xfId="2" applyFont="1" applyFill="1" applyAlignment="1" applyProtection="1">
      <alignment vertical="center"/>
    </xf>
    <xf numFmtId="49" fontId="15" fillId="0" borderId="6" xfId="2" applyNumberFormat="1" applyFont="1" applyFill="1" applyBorder="1" applyAlignment="1" applyProtection="1">
      <alignment horizontal="left"/>
    </xf>
    <xf numFmtId="0" fontId="11" fillId="0" borderId="6" xfId="6" applyFont="1" applyFill="1" applyBorder="1" applyAlignment="1" applyProtection="1">
      <alignment horizontal="left" vertical="center" wrapText="1"/>
    </xf>
    <xf numFmtId="49" fontId="15" fillId="0" borderId="22" xfId="2" applyNumberFormat="1" applyFont="1" applyFill="1" applyBorder="1" applyAlignment="1" applyProtection="1">
      <alignment horizontal="left"/>
    </xf>
    <xf numFmtId="49" fontId="19" fillId="13" borderId="6" xfId="2" applyNumberFormat="1" applyFont="1" applyFill="1" applyBorder="1" applyAlignment="1" applyProtection="1">
      <alignment horizontal="left"/>
    </xf>
    <xf numFmtId="0" fontId="18" fillId="13" borderId="6" xfId="6" applyFont="1" applyFill="1" applyBorder="1" applyAlignment="1" applyProtection="1">
      <alignment horizontal="left" vertical="center" wrapText="1"/>
    </xf>
    <xf numFmtId="0" fontId="15" fillId="0" borderId="6" xfId="7" applyFont="1" applyFill="1" applyBorder="1" applyAlignment="1" applyProtection="1">
      <alignment horizontal="left" wrapText="1"/>
    </xf>
    <xf numFmtId="1" fontId="11" fillId="0" borderId="6" xfId="2" applyNumberFormat="1" applyFont="1" applyBorder="1" applyAlignment="1" applyProtection="1">
      <alignment horizontal="left" vertical="center" wrapText="1"/>
    </xf>
    <xf numFmtId="0" fontId="11" fillId="0" borderId="6" xfId="8" applyFont="1" applyFill="1" applyBorder="1" applyAlignment="1" applyProtection="1">
      <alignment horizontal="left" vertical="center" wrapText="1"/>
    </xf>
    <xf numFmtId="0" fontId="15" fillId="0" borderId="0" xfId="2" applyNumberFormat="1" applyFont="1" applyFill="1" applyBorder="1" applyAlignment="1" applyProtection="1">
      <alignment horizontal="center" vertical="center" wrapText="1"/>
    </xf>
    <xf numFmtId="0" fontId="15" fillId="0" borderId="0" xfId="2" applyNumberFormat="1" applyFont="1" applyFill="1" applyBorder="1" applyAlignment="1" applyProtection="1">
      <alignment horizontal="left" vertical="center" wrapText="1"/>
    </xf>
    <xf numFmtId="0" fontId="35" fillId="0" borderId="0" xfId="2" applyFont="1" applyBorder="1" applyAlignment="1" applyProtection="1">
      <alignment vertical="center"/>
    </xf>
    <xf numFmtId="0" fontId="34" fillId="0" borderId="0" xfId="2" quotePrefix="1" applyFont="1" applyBorder="1" applyAlignment="1" applyProtection="1">
      <alignment horizontal="center" vertical="center"/>
    </xf>
    <xf numFmtId="0" fontId="34" fillId="0" borderId="0" xfId="2" applyFont="1" applyBorder="1" applyAlignment="1" applyProtection="1">
      <alignment vertical="center"/>
    </xf>
    <xf numFmtId="0" fontId="35" fillId="0" borderId="0" xfId="2" quotePrefix="1" applyFont="1" applyBorder="1" applyAlignment="1" applyProtection="1">
      <alignment horizontal="left" vertical="center" wrapText="1"/>
    </xf>
    <xf numFmtId="0" fontId="34" fillId="0" borderId="0" xfId="2" quotePrefix="1" applyFont="1" applyBorder="1" applyAlignment="1" applyProtection="1">
      <alignment horizontal="left" vertical="center" wrapText="1"/>
    </xf>
    <xf numFmtId="0" fontId="11" fillId="0" borderId="22" xfId="6" applyFont="1" applyFill="1" applyBorder="1" applyAlignment="1" applyProtection="1">
      <alignment horizontal="left" vertical="center" wrapText="1"/>
    </xf>
    <xf numFmtId="49" fontId="15" fillId="0" borderId="24" xfId="2" applyNumberFormat="1" applyFont="1" applyFill="1" applyBorder="1" applyAlignment="1" applyProtection="1">
      <alignment horizontal="left"/>
    </xf>
    <xf numFmtId="0" fontId="11" fillId="0" borderId="24" xfId="6" applyFont="1" applyFill="1" applyBorder="1" applyAlignment="1" applyProtection="1">
      <alignment horizontal="left" vertical="center" wrapText="1"/>
    </xf>
    <xf numFmtId="165" fontId="15" fillId="0" borderId="6" xfId="2" applyNumberFormat="1" applyFont="1" applyFill="1" applyBorder="1" applyAlignment="1" applyProtection="1">
      <alignment vertical="center"/>
      <protection locked="0"/>
    </xf>
    <xf numFmtId="49" fontId="21" fillId="13" borderId="6" xfId="2" applyNumberFormat="1" applyFont="1" applyFill="1" applyBorder="1" applyAlignment="1" applyProtection="1">
      <alignment horizontal="left"/>
    </xf>
    <xf numFmtId="0" fontId="20" fillId="13" borderId="6" xfId="6" applyFont="1" applyFill="1" applyBorder="1" applyAlignment="1" applyProtection="1">
      <alignment horizontal="left" vertical="center" wrapText="1"/>
    </xf>
    <xf numFmtId="49" fontId="21" fillId="13" borderId="18" xfId="2" applyNumberFormat="1" applyFont="1" applyFill="1" applyBorder="1" applyAlignment="1" applyProtection="1">
      <alignment horizontal="left"/>
    </xf>
    <xf numFmtId="0" fontId="20" fillId="13" borderId="18" xfId="6" applyFont="1" applyFill="1" applyBorder="1" applyAlignment="1" applyProtection="1">
      <alignment horizontal="left" vertical="center" wrapText="1"/>
    </xf>
    <xf numFmtId="3" fontId="21" fillId="13" borderId="18" xfId="2" applyNumberFormat="1" applyFont="1" applyFill="1" applyBorder="1" applyAlignment="1" applyProtection="1">
      <alignment vertical="center"/>
    </xf>
    <xf numFmtId="0" fontId="37" fillId="20" borderId="6" xfId="2" applyFont="1" applyFill="1" applyBorder="1" applyAlignment="1" applyProtection="1">
      <alignment vertical="center" wrapText="1"/>
    </xf>
    <xf numFmtId="3" fontId="37" fillId="20" borderId="6" xfId="2" applyNumberFormat="1" applyFont="1" applyFill="1" applyBorder="1" applyAlignment="1" applyProtection="1">
      <alignment vertical="center"/>
    </xf>
    <xf numFmtId="3" fontId="37" fillId="20" borderId="6" xfId="2" applyNumberFormat="1" applyFont="1" applyFill="1" applyBorder="1" applyAlignment="1" applyProtection="1">
      <alignment vertical="center" wrapText="1"/>
    </xf>
    <xf numFmtId="3" fontId="20" fillId="14" borderId="6" xfId="2" applyNumberFormat="1" applyFont="1" applyFill="1" applyBorder="1" applyAlignment="1" applyProtection="1">
      <alignment horizontal="left" vertical="center"/>
    </xf>
    <xf numFmtId="3" fontId="20" fillId="14" borderId="6" xfId="2" applyNumberFormat="1" applyFont="1" applyFill="1" applyBorder="1" applyAlignment="1" applyProtection="1">
      <alignment vertical="center" wrapText="1"/>
    </xf>
    <xf numFmtId="3" fontId="21" fillId="14" borderId="6" xfId="2" applyNumberFormat="1" applyFont="1" applyFill="1" applyBorder="1" applyProtection="1"/>
    <xf numFmtId="3" fontId="20" fillId="14" borderId="6" xfId="2" applyNumberFormat="1" applyFont="1" applyFill="1" applyBorder="1" applyAlignment="1" applyProtection="1">
      <alignment vertical="center"/>
    </xf>
    <xf numFmtId="3" fontId="21" fillId="14" borderId="6" xfId="2" applyNumberFormat="1" applyFont="1" applyFill="1" applyBorder="1" applyAlignment="1" applyProtection="1">
      <alignment vertical="center"/>
    </xf>
    <xf numFmtId="0" fontId="20" fillId="14" borderId="6" xfId="2" applyFont="1" applyFill="1" applyBorder="1" applyAlignment="1" applyProtection="1">
      <alignment horizontal="left" vertical="center"/>
    </xf>
    <xf numFmtId="0" fontId="21" fillId="14" borderId="6" xfId="2" applyFont="1" applyFill="1" applyBorder="1" applyAlignment="1" applyProtection="1">
      <alignment vertical="center"/>
    </xf>
    <xf numFmtId="0" fontId="11" fillId="0" borderId="6" xfId="6" applyFont="1" applyFill="1" applyBorder="1" applyAlignment="1" applyProtection="1">
      <alignment horizontal="left" vertical="center"/>
    </xf>
    <xf numFmtId="3" fontId="20" fillId="14" borderId="23" xfId="2" applyNumberFormat="1" applyFont="1" applyFill="1" applyBorder="1" applyAlignment="1" applyProtection="1">
      <alignment vertical="center"/>
    </xf>
    <xf numFmtId="3" fontId="21" fillId="14" borderId="24" xfId="2" applyNumberFormat="1" applyFont="1" applyFill="1" applyBorder="1" applyAlignment="1" applyProtection="1">
      <alignment vertical="center"/>
    </xf>
    <xf numFmtId="3" fontId="21" fillId="13" borderId="26" xfId="2" applyNumberFormat="1" applyFont="1" applyFill="1" applyBorder="1" applyProtection="1"/>
    <xf numFmtId="3" fontId="21" fillId="13" borderId="26" xfId="2" applyNumberFormat="1" applyFont="1" applyFill="1" applyBorder="1" applyAlignment="1" applyProtection="1">
      <alignment vertical="center"/>
    </xf>
    <xf numFmtId="0" fontId="4" fillId="12" borderId="5" xfId="2" applyFont="1" applyFill="1" applyBorder="1" applyAlignment="1" applyProtection="1">
      <alignment horizontal="center" vertical="center" wrapText="1"/>
    </xf>
    <xf numFmtId="0" fontId="4" fillId="12" borderId="5" xfId="2" applyNumberFormat="1" applyFont="1" applyFill="1" applyBorder="1" applyAlignment="1" applyProtection="1">
      <alignment horizontal="center" vertical="center" wrapText="1"/>
    </xf>
    <xf numFmtId="3" fontId="15" fillId="13" borderId="24" xfId="2" applyNumberFormat="1" applyFont="1" applyFill="1" applyBorder="1" applyAlignment="1" applyProtection="1">
      <alignment vertical="center"/>
    </xf>
    <xf numFmtId="0" fontId="21" fillId="0" borderId="6" xfId="2" applyFont="1" applyBorder="1" applyAlignment="1" applyProtection="1">
      <alignment horizontal="right"/>
    </xf>
    <xf numFmtId="0" fontId="25" fillId="53" borderId="1" xfId="19" quotePrefix="1" applyNumberFormat="1" applyFont="1" applyFill="1" applyBorder="1">
      <alignment horizontal="left" vertical="center" indent="1" justifyLastLine="1"/>
    </xf>
    <xf numFmtId="0" fontId="24" fillId="53" borderId="1" xfId="19" quotePrefix="1" applyNumberFormat="1" applyFont="1" applyFill="1" applyBorder="1">
      <alignment horizontal="left" vertical="center" indent="1" justifyLastLine="1"/>
    </xf>
    <xf numFmtId="3" fontId="11" fillId="15" borderId="6" xfId="2" applyNumberFormat="1" applyFont="1" applyFill="1" applyBorder="1" applyAlignment="1" applyProtection="1">
      <alignment vertical="center"/>
    </xf>
    <xf numFmtId="0" fontId="0" fillId="0" borderId="0" xfId="0" applyProtection="1"/>
    <xf numFmtId="4" fontId="0" fillId="0" borderId="0" xfId="0" applyNumberFormat="1" applyProtection="1"/>
    <xf numFmtId="0" fontId="36" fillId="12" borderId="1" xfId="11" quotePrefix="1" applyNumberFormat="1" applyFont="1" applyFill="1" applyProtection="1">
      <alignment horizontal="left" vertical="center" indent="1" justifyLastLine="1"/>
    </xf>
    <xf numFmtId="4" fontId="36" fillId="12" borderId="40" xfId="19" applyNumberFormat="1" applyFont="1" applyFill="1" applyBorder="1" applyAlignment="1" applyProtection="1">
      <alignment horizontal="center" vertical="center" wrapText="1" justifyLastLine="1"/>
    </xf>
    <xf numFmtId="0" fontId="24" fillId="53" borderId="1" xfId="19" quotePrefix="1" applyNumberFormat="1" applyFont="1" applyFill="1" applyBorder="1" applyProtection="1">
      <alignment horizontal="left" vertical="center" indent="1" justifyLastLine="1"/>
    </xf>
    <xf numFmtId="0" fontId="24" fillId="53" borderId="1" xfId="19" quotePrefix="1" applyNumberFormat="1" applyFont="1" applyFill="1" applyProtection="1">
      <alignment horizontal="left" vertical="center" indent="1" justifyLastLine="1"/>
    </xf>
    <xf numFmtId="0" fontId="53" fillId="52" borderId="0" xfId="0" applyFont="1" applyFill="1" applyProtection="1"/>
    <xf numFmtId="3" fontId="57" fillId="12" borderId="1" xfId="19" quotePrefix="1" applyNumberFormat="1" applyFont="1" applyFill="1" applyAlignment="1">
      <alignment horizontal="center" vertical="center" wrapText="1" justifyLastLine="1"/>
    </xf>
    <xf numFmtId="0" fontId="36" fillId="12" borderId="41" xfId="11" applyNumberFormat="1" applyFont="1" applyFill="1" applyBorder="1">
      <alignment horizontal="left" vertical="center" indent="1" justifyLastLine="1"/>
    </xf>
    <xf numFmtId="0" fontId="25" fillId="52" borderId="1" xfId="19" quotePrefix="1" applyNumberFormat="1" applyFont="1" applyFill="1" applyBorder="1" applyAlignment="1" applyProtection="1">
      <alignment horizontal="center" vertical="center" justifyLastLine="1"/>
      <protection locked="0"/>
    </xf>
    <xf numFmtId="0" fontId="24" fillId="0" borderId="1" xfId="19" quotePrefix="1" applyNumberFormat="1" applyFont="1" applyFill="1" applyAlignment="1" applyProtection="1">
      <alignment horizontal="center" vertical="center" justifyLastLine="1"/>
      <protection locked="0"/>
    </xf>
    <xf numFmtId="0" fontId="3" fillId="0" borderId="0" xfId="4" applyFont="1" applyAlignment="1" applyProtection="1"/>
    <xf numFmtId="0" fontId="1" fillId="0" borderId="0" xfId="4" applyFont="1" applyAlignment="1" applyProtection="1">
      <alignment vertical="center"/>
    </xf>
    <xf numFmtId="0" fontId="4" fillId="0" borderId="0" xfId="4" applyFont="1" applyAlignment="1" applyProtection="1">
      <alignment vertical="center"/>
    </xf>
    <xf numFmtId="0" fontId="55" fillId="52" borderId="6" xfId="73" applyFont="1" applyFill="1" applyBorder="1" applyAlignment="1" applyProtection="1">
      <alignment horizontal="center" vertical="center"/>
    </xf>
    <xf numFmtId="0" fontId="55" fillId="52" borderId="24" xfId="73" applyFont="1" applyFill="1" applyBorder="1" applyAlignment="1" applyProtection="1">
      <alignment horizontal="center" vertical="center"/>
    </xf>
    <xf numFmtId="0" fontId="5" fillId="0" borderId="0" xfId="4" applyFont="1" applyAlignment="1" applyProtection="1">
      <alignment vertical="center"/>
    </xf>
    <xf numFmtId="0" fontId="55" fillId="52" borderId="6" xfId="2" applyFont="1" applyFill="1" applyBorder="1" applyAlignment="1" applyProtection="1">
      <alignment horizontal="left" vertical="center"/>
    </xf>
    <xf numFmtId="0" fontId="7" fillId="0" borderId="0" xfId="4" applyFont="1" applyAlignment="1" applyProtection="1">
      <alignment horizontal="left" vertical="center" wrapText="1"/>
    </xf>
    <xf numFmtId="0" fontId="8" fillId="17" borderId="5" xfId="4" applyFont="1" applyFill="1" applyBorder="1" applyAlignment="1" applyProtection="1">
      <alignment horizontal="center" vertical="center" wrapText="1"/>
    </xf>
    <xf numFmtId="0" fontId="7" fillId="0" borderId="3" xfId="4" applyFont="1" applyBorder="1" applyAlignment="1" applyProtection="1">
      <alignment horizontal="center" vertical="center" wrapText="1"/>
    </xf>
    <xf numFmtId="0" fontId="9" fillId="0" borderId="4" xfId="4" applyFont="1" applyBorder="1" applyAlignment="1" applyProtection="1">
      <alignment horizontal="left" vertical="center" wrapText="1"/>
    </xf>
    <xf numFmtId="3" fontId="7" fillId="11" borderId="4" xfId="4" applyNumberFormat="1" applyFont="1" applyFill="1" applyBorder="1" applyAlignment="1" applyProtection="1">
      <alignment horizontal="right" vertical="center" wrapText="1"/>
    </xf>
    <xf numFmtId="0" fontId="7" fillId="0" borderId="0" xfId="4" applyFont="1" applyAlignment="1" applyProtection="1">
      <alignment horizontal="center" vertical="center" wrapText="1"/>
    </xf>
    <xf numFmtId="0" fontId="9" fillId="0" borderId="4" xfId="4" applyFont="1" applyBorder="1" applyAlignment="1" applyProtection="1">
      <alignment horizontal="center" vertical="center" wrapText="1"/>
    </xf>
    <xf numFmtId="3" fontId="7" fillId="0" borderId="4" xfId="4" applyNumberFormat="1" applyFont="1" applyFill="1" applyBorder="1" applyAlignment="1" applyProtection="1">
      <alignment horizontal="right" vertical="center"/>
    </xf>
    <xf numFmtId="0" fontId="9" fillId="0" borderId="4" xfId="4" applyFont="1" applyBorder="1" applyAlignment="1" applyProtection="1">
      <alignment horizontal="left" vertical="center"/>
    </xf>
    <xf numFmtId="3" fontId="1" fillId="0" borderId="0" xfId="4" applyNumberFormat="1" applyFont="1" applyAlignment="1" applyProtection="1">
      <alignment vertical="center"/>
    </xf>
    <xf numFmtId="0" fontId="9" fillId="0" borderId="4" xfId="4" applyFont="1" applyBorder="1" applyAlignment="1" applyProtection="1">
      <alignment horizontal="center" vertical="center"/>
    </xf>
    <xf numFmtId="3" fontId="7" fillId="11" borderId="4" xfId="4" applyNumberFormat="1" applyFont="1" applyFill="1" applyBorder="1" applyAlignment="1" applyProtection="1">
      <alignment horizontal="right" vertical="center"/>
    </xf>
    <xf numFmtId="3" fontId="7" fillId="0" borderId="4" xfId="4" applyNumberFormat="1" applyFont="1" applyFill="1" applyBorder="1" applyAlignment="1" applyProtection="1">
      <alignment horizontal="right" vertical="center" wrapText="1"/>
    </xf>
    <xf numFmtId="3" fontId="9" fillId="0" borderId="4" xfId="4" applyNumberFormat="1" applyFont="1" applyFill="1" applyBorder="1" applyAlignment="1" applyProtection="1">
      <alignment horizontal="right" vertical="center" wrapText="1"/>
    </xf>
    <xf numFmtId="0" fontId="7" fillId="0" borderId="4" xfId="4" applyFont="1" applyBorder="1" applyAlignment="1" applyProtection="1">
      <alignment horizontal="left" vertical="center" wrapText="1"/>
    </xf>
    <xf numFmtId="3" fontId="7" fillId="0" borderId="0" xfId="4" applyNumberFormat="1" applyFont="1" applyAlignment="1" applyProtection="1">
      <alignment horizontal="right" vertical="center"/>
    </xf>
    <xf numFmtId="3" fontId="7" fillId="19" borderId="4" xfId="4" applyNumberFormat="1" applyFont="1" applyFill="1" applyBorder="1" applyAlignment="1" applyProtection="1">
      <alignment horizontal="right" vertical="center"/>
    </xf>
    <xf numFmtId="3" fontId="7" fillId="19" borderId="4" xfId="4" applyNumberFormat="1" applyFont="1" applyFill="1" applyBorder="1" applyAlignment="1" applyProtection="1">
      <alignment horizontal="right" vertical="center" wrapText="1"/>
    </xf>
    <xf numFmtId="3" fontId="11" fillId="0" borderId="0" xfId="4" applyNumberFormat="1" applyFont="1" applyAlignment="1" applyProtection="1">
      <alignment vertical="center"/>
    </xf>
    <xf numFmtId="0" fontId="10" fillId="0" borderId="0" xfId="4" applyFont="1" applyAlignment="1" applyProtection="1">
      <alignment vertical="center"/>
    </xf>
    <xf numFmtId="0" fontId="8" fillId="17" borderId="5" xfId="4" applyFont="1" applyFill="1" applyBorder="1" applyAlignment="1" applyProtection="1">
      <alignment horizontal="left" vertical="center" wrapText="1"/>
    </xf>
    <xf numFmtId="3" fontId="8" fillId="17" borderId="5" xfId="4" applyNumberFormat="1" applyFont="1" applyFill="1" applyBorder="1" applyAlignment="1" applyProtection="1">
      <alignment horizontal="right" vertical="center"/>
    </xf>
    <xf numFmtId="8" fontId="1" fillId="0" borderId="0" xfId="4" applyNumberFormat="1" applyFont="1" applyAlignment="1" applyProtection="1">
      <alignment vertical="center"/>
    </xf>
    <xf numFmtId="0" fontId="12" fillId="0" borderId="0" xfId="4" applyFont="1" applyProtection="1"/>
    <xf numFmtId="0" fontId="12" fillId="0" borderId="0" xfId="4" applyFont="1" applyAlignment="1" applyProtection="1">
      <alignment vertical="center"/>
    </xf>
    <xf numFmtId="1" fontId="16" fillId="12" borderId="5" xfId="2" applyNumberFormat="1" applyFont="1" applyFill="1" applyBorder="1" applyAlignment="1" applyProtection="1">
      <alignment horizontal="center" vertical="center" wrapText="1"/>
    </xf>
    <xf numFmtId="3" fontId="24" fillId="0" borderId="1" xfId="18" applyNumberFormat="1" applyFont="1" applyFill="1" applyProtection="1">
      <alignment horizontal="right" vertical="center"/>
      <protection locked="0"/>
    </xf>
    <xf numFmtId="0" fontId="24" fillId="0" borderId="1" xfId="18" applyNumberFormat="1" applyFont="1" applyFill="1" applyAlignment="1" applyProtection="1">
      <alignment horizontal="center" vertical="center"/>
      <protection locked="0"/>
    </xf>
    <xf numFmtId="0" fontId="25" fillId="53" borderId="1" xfId="19" quotePrefix="1" applyNumberFormat="1" applyFont="1" applyFill="1" applyBorder="1" applyAlignment="1">
      <alignment horizontal="center" vertical="center" justifyLastLine="1"/>
    </xf>
    <xf numFmtId="3" fontId="15" fillId="0" borderId="6" xfId="2" applyNumberFormat="1" applyFont="1" applyFill="1" applyBorder="1" applyAlignment="1" applyProtection="1">
      <alignment vertical="center"/>
    </xf>
    <xf numFmtId="3" fontId="15" fillId="0" borderId="22" xfId="2" applyNumberFormat="1" applyFont="1" applyFill="1" applyBorder="1" applyAlignment="1" applyProtection="1">
      <alignment vertical="center"/>
    </xf>
    <xf numFmtId="0" fontId="59" fillId="0" borderId="0" xfId="0" applyFont="1" applyAlignment="1">
      <alignment vertical="top"/>
    </xf>
    <xf numFmtId="0" fontId="24" fillId="53" borderId="1" xfId="0" applyFont="1" applyFill="1" applyBorder="1" applyAlignment="1"/>
    <xf numFmtId="0" fontId="60" fillId="17" borderId="5" xfId="4" applyFont="1" applyFill="1" applyBorder="1" applyAlignment="1" applyProtection="1">
      <alignment horizontal="center" vertical="center" wrapText="1"/>
    </xf>
    <xf numFmtId="0" fontId="2" fillId="53" borderId="43" xfId="4" applyFont="1" applyFill="1" applyBorder="1" applyAlignment="1" applyProtection="1">
      <alignment horizontal="left" vertical="center" wrapText="1"/>
    </xf>
    <xf numFmtId="0" fontId="2" fillId="53" borderId="49" xfId="4" applyFont="1" applyFill="1" applyBorder="1" applyAlignment="1" applyProtection="1">
      <alignment horizontal="left" vertical="center" wrapText="1"/>
    </xf>
    <xf numFmtId="0" fontId="53" fillId="0" borderId="0" xfId="0" applyFont="1" applyProtection="1"/>
    <xf numFmtId="0" fontId="0" fillId="0" borderId="0" xfId="0" applyFill="1" applyBorder="1" applyProtection="1"/>
    <xf numFmtId="0" fontId="0" fillId="0" borderId="0" xfId="0" applyFont="1" applyProtection="1"/>
    <xf numFmtId="0" fontId="61" fillId="0" borderId="6" xfId="5" applyFont="1" applyFill="1" applyBorder="1" applyAlignment="1" applyProtection="1">
      <alignment horizontal="left" vertical="center"/>
    </xf>
    <xf numFmtId="0" fontId="0" fillId="0" borderId="10" xfId="0" applyFill="1" applyBorder="1"/>
    <xf numFmtId="14" fontId="24" fillId="0" borderId="1" xfId="18" applyNumberFormat="1" applyFont="1" applyFill="1" applyProtection="1">
      <alignment horizontal="right" vertical="center"/>
      <protection locked="0"/>
    </xf>
    <xf numFmtId="0" fontId="24" fillId="0" borderId="1" xfId="18" applyNumberFormat="1" applyFont="1" applyFill="1" applyProtection="1">
      <alignment horizontal="right" vertical="center"/>
      <protection locked="0"/>
    </xf>
    <xf numFmtId="3" fontId="57" fillId="12" borderId="1" xfId="19" quotePrefix="1" applyNumberFormat="1" applyFont="1" applyFill="1" applyBorder="1" applyAlignment="1">
      <alignment horizontal="center" vertical="center" wrapText="1" justifyLastLine="1"/>
    </xf>
    <xf numFmtId="0" fontId="36" fillId="12" borderId="1" xfId="11" quotePrefix="1" applyNumberFormat="1" applyFont="1" applyFill="1" applyBorder="1" applyProtection="1">
      <alignment horizontal="left" vertical="center" indent="1" justifyLastLine="1"/>
    </xf>
    <xf numFmtId="0" fontId="60" fillId="17" borderId="1" xfId="4" applyFont="1" applyFill="1" applyBorder="1" applyAlignment="1" applyProtection="1">
      <alignment horizontal="center" vertical="center" wrapText="1"/>
    </xf>
    <xf numFmtId="168" fontId="13" fillId="0" borderId="1" xfId="14" quotePrefix="1" applyNumberFormat="1" applyFill="1" applyAlignment="1">
      <alignment horizontal="left" vertical="center" indent="3" justifyLastLine="1"/>
    </xf>
    <xf numFmtId="0" fontId="0" fillId="0" borderId="0" xfId="0" applyFill="1"/>
    <xf numFmtId="168" fontId="13" fillId="18" borderId="1" xfId="13" quotePrefix="1" applyNumberFormat="1" applyFill="1" applyAlignment="1">
      <alignment horizontal="left" vertical="center" indent="2" justifyLastLine="1"/>
    </xf>
    <xf numFmtId="0" fontId="13" fillId="18" borderId="1" xfId="13" quotePrefix="1" applyFill="1">
      <alignment horizontal="left" vertical="center" indent="1" justifyLastLine="1"/>
    </xf>
    <xf numFmtId="168" fontId="13" fillId="18" borderId="1" xfId="14" quotePrefix="1" applyNumberFormat="1" applyFill="1" applyAlignment="1">
      <alignment horizontal="left" vertical="center" indent="3" justifyLastLine="1"/>
    </xf>
    <xf numFmtId="168" fontId="13" fillId="18" borderId="1" xfId="15" quotePrefix="1" applyNumberFormat="1" applyFill="1" applyAlignment="1">
      <alignment horizontal="left" vertical="center" indent="4" justifyLastLine="1"/>
    </xf>
    <xf numFmtId="169" fontId="13" fillId="0" borderId="1" xfId="16" quotePrefix="1" applyNumberFormat="1" applyFill="1" applyAlignment="1">
      <alignment horizontal="left" vertical="center" indent="5" justifyLastLine="1"/>
    </xf>
    <xf numFmtId="0" fontId="13" fillId="0" borderId="1" xfId="16" quotePrefix="1" applyFill="1" applyAlignment="1">
      <alignment horizontal="left" vertical="center" wrapText="1" indent="1" justifyLastLine="1"/>
    </xf>
    <xf numFmtId="0" fontId="13" fillId="18" borderId="1" xfId="15" quotePrefix="1" applyFill="1" applyAlignment="1">
      <alignment horizontal="left" vertical="center" wrapText="1" indent="1" justifyLastLine="1"/>
    </xf>
    <xf numFmtId="0" fontId="13" fillId="18" borderId="1" xfId="14" quotePrefix="1" applyFill="1" applyAlignment="1">
      <alignment horizontal="left" vertical="center" wrapText="1" indent="1" justifyLastLine="1"/>
    </xf>
    <xf numFmtId="49" fontId="11" fillId="0" borderId="6" xfId="2" applyNumberFormat="1" applyFont="1" applyFill="1" applyBorder="1" applyAlignment="1" applyProtection="1">
      <alignment horizontal="left"/>
    </xf>
    <xf numFmtId="0" fontId="58" fillId="0" borderId="0" xfId="2" applyNumberFormat="1" applyFont="1" applyFill="1" applyBorder="1" applyAlignment="1" applyProtection="1">
      <alignment horizontal="center" vertical="center" wrapText="1"/>
    </xf>
    <xf numFmtId="0" fontId="6" fillId="0" borderId="0" xfId="2" applyFont="1" applyBorder="1" applyAlignment="1" applyProtection="1">
      <alignment horizontal="center"/>
    </xf>
    <xf numFmtId="0" fontId="33" fillId="12" borderId="0" xfId="2" applyFont="1" applyFill="1" applyBorder="1" applyAlignment="1" applyProtection="1">
      <alignment horizontal="center" vertical="center"/>
    </xf>
    <xf numFmtId="0" fontId="62" fillId="12" borderId="5" xfId="2" applyNumberFormat="1" applyFont="1" applyFill="1" applyBorder="1" applyAlignment="1" applyProtection="1">
      <alignment horizontal="center" vertical="center" wrapText="1"/>
    </xf>
    <xf numFmtId="0" fontId="62" fillId="12" borderId="5" xfId="2" applyFont="1" applyFill="1" applyBorder="1" applyAlignment="1" applyProtection="1">
      <alignment horizontal="center" vertical="center" wrapText="1"/>
    </xf>
    <xf numFmtId="0" fontId="13" fillId="18" borderId="1" xfId="14" quotePrefix="1" applyFill="1">
      <alignment horizontal="left" vertical="center" indent="1" justifyLastLine="1"/>
    </xf>
    <xf numFmtId="0" fontId="13" fillId="18" borderId="1" xfId="15" quotePrefix="1" applyFill="1">
      <alignment horizontal="left" vertical="center" indent="1" justifyLastLine="1"/>
    </xf>
    <xf numFmtId="0" fontId="0" fillId="55" borderId="0" xfId="0" applyFill="1"/>
    <xf numFmtId="0" fontId="63" fillId="55" borderId="0" xfId="0" applyFont="1" applyFill="1"/>
    <xf numFmtId="0" fontId="13" fillId="3" borderId="1" xfId="75" quotePrefix="1" applyAlignment="1">
      <alignment horizontal="left" vertical="center" indent="2"/>
    </xf>
    <xf numFmtId="0" fontId="13" fillId="3" borderId="1" xfId="75" quotePrefix="1">
      <alignment horizontal="left" vertical="center" indent="1"/>
    </xf>
    <xf numFmtId="0" fontId="13" fillId="0" borderId="1" xfId="14" quotePrefix="1" applyFill="1" applyAlignment="1">
      <alignment horizontal="left" vertical="center" indent="1" justifyLastLine="1"/>
    </xf>
    <xf numFmtId="0" fontId="13" fillId="8" borderId="1" xfId="14" quotePrefix="1" applyAlignment="1">
      <alignment horizontal="left" vertical="center" indent="3"/>
    </xf>
    <xf numFmtId="0" fontId="13" fillId="8" borderId="1" xfId="14" quotePrefix="1" applyAlignment="1">
      <alignment horizontal="left" vertical="center" indent="1"/>
    </xf>
    <xf numFmtId="0" fontId="13" fillId="2" borderId="1" xfId="15" quotePrefix="1" applyAlignment="1">
      <alignment horizontal="left" vertical="center" indent="4"/>
    </xf>
    <xf numFmtId="0" fontId="13" fillId="2" borderId="1" xfId="15" quotePrefix="1" applyAlignment="1">
      <alignment horizontal="left" vertical="center" indent="1"/>
    </xf>
    <xf numFmtId="0" fontId="13" fillId="2" borderId="1" xfId="15" quotePrefix="1" applyFont="1" applyAlignment="1">
      <alignment horizontal="left" vertical="center" indent="4"/>
    </xf>
    <xf numFmtId="0" fontId="13" fillId="2" borderId="1" xfId="15" quotePrefix="1" applyFont="1" applyAlignment="1">
      <alignment horizontal="left" vertical="center" indent="1"/>
    </xf>
    <xf numFmtId="49" fontId="55" fillId="0" borderId="52" xfId="0" applyNumberFormat="1" applyFont="1" applyFill="1" applyBorder="1" applyAlignment="1">
      <alignment horizontal="center" vertical="center"/>
    </xf>
    <xf numFmtId="49" fontId="55" fillId="52" borderId="6" xfId="2" applyNumberFormat="1" applyFont="1" applyFill="1" applyBorder="1" applyAlignment="1" applyProtection="1">
      <alignment horizontal="left" vertical="center"/>
    </xf>
    <xf numFmtId="49" fontId="0" fillId="0" borderId="0" xfId="0" applyNumberFormat="1" applyAlignment="1" applyProtection="1">
      <alignment horizontal="left"/>
    </xf>
    <xf numFmtId="1" fontId="55" fillId="0" borderId="51" xfId="0" applyNumberFormat="1" applyFont="1" applyFill="1" applyBorder="1" applyAlignment="1">
      <alignment horizontal="right" vertical="center"/>
    </xf>
    <xf numFmtId="167" fontId="55" fillId="0" borderId="51" xfId="0" applyNumberFormat="1" applyFont="1" applyFill="1" applyBorder="1" applyAlignment="1">
      <alignment horizontal="center" vertical="center"/>
    </xf>
    <xf numFmtId="166" fontId="55" fillId="0" borderId="50" xfId="0" applyNumberFormat="1" applyFont="1" applyFill="1" applyBorder="1" applyAlignment="1">
      <alignment horizontal="center" vertical="center"/>
    </xf>
    <xf numFmtId="0" fontId="55" fillId="0" borderId="51" xfId="0" applyFont="1" applyFill="1" applyBorder="1" applyAlignment="1">
      <alignment horizontal="left" vertical="center"/>
    </xf>
    <xf numFmtId="0" fontId="55" fillId="0" borderId="51" xfId="0" applyFont="1" applyFill="1" applyBorder="1" applyAlignment="1">
      <alignment vertical="center"/>
    </xf>
    <xf numFmtId="0" fontId="55" fillId="0" borderId="51" xfId="74" applyFont="1" applyFill="1" applyBorder="1" applyAlignment="1">
      <alignment horizontal="left" vertical="center"/>
    </xf>
    <xf numFmtId="167" fontId="55" fillId="0" borderId="51" xfId="74" applyNumberFormat="1" applyFont="1" applyFill="1" applyBorder="1" applyAlignment="1">
      <alignment horizontal="center" vertical="center"/>
    </xf>
    <xf numFmtId="167" fontId="55" fillId="0" borderId="51" xfId="0" quotePrefix="1" applyNumberFormat="1" applyFont="1" applyFill="1" applyBorder="1" applyAlignment="1">
      <alignment horizontal="center" vertical="center"/>
    </xf>
    <xf numFmtId="0" fontId="55" fillId="0" borderId="51" xfId="0" applyFont="1" applyFill="1" applyBorder="1" applyAlignment="1"/>
    <xf numFmtId="167" fontId="55" fillId="0" borderId="51" xfId="0" applyNumberFormat="1" applyFont="1" applyFill="1" applyBorder="1" applyAlignment="1">
      <alignment horizontal="left" vertical="center"/>
    </xf>
    <xf numFmtId="0" fontId="55" fillId="52" borderId="51" xfId="2" applyFont="1" applyFill="1" applyBorder="1" applyAlignment="1" applyProtection="1">
      <alignment horizontal="left" vertical="center"/>
    </xf>
    <xf numFmtId="0" fontId="55" fillId="0" borderId="6" xfId="0" applyFont="1" applyFill="1" applyBorder="1" applyAlignment="1">
      <alignment vertical="center"/>
    </xf>
    <xf numFmtId="0" fontId="66" fillId="0" borderId="0" xfId="4" applyFont="1" applyAlignment="1" applyProtection="1"/>
    <xf numFmtId="0" fontId="67" fillId="56" borderId="53" xfId="76" applyNumberFormat="1" applyFill="1" applyAlignment="1">
      <alignment horizontal="left"/>
    </xf>
    <xf numFmtId="0" fontId="67" fillId="56" borderId="53" xfId="76" applyNumberFormat="1" applyFill="1" applyAlignment="1">
      <alignment horizontal="center"/>
    </xf>
    <xf numFmtId="49" fontId="68" fillId="56" borderId="53" xfId="76" applyNumberFormat="1" applyFont="1" applyFill="1" applyAlignment="1">
      <alignment horizontal="left"/>
    </xf>
    <xf numFmtId="0" fontId="0" fillId="0" borderId="0" xfId="0" applyFill="1" applyBorder="1" applyAlignment="1">
      <alignment horizontal="left"/>
    </xf>
    <xf numFmtId="0" fontId="55" fillId="0" borderId="0" xfId="0" applyFont="1" applyFill="1" applyBorder="1" applyAlignment="1">
      <alignment horizontal="left" vertical="center" wrapText="1"/>
    </xf>
    <xf numFmtId="0" fontId="69" fillId="0" borderId="0" xfId="0" applyNumberFormat="1" applyFont="1" applyFill="1" applyBorder="1" applyAlignment="1" applyProtection="1">
      <alignment horizontal="left" vertical="center"/>
      <protection hidden="1"/>
    </xf>
    <xf numFmtId="0" fontId="55" fillId="0" borderId="0" xfId="0" applyFont="1" applyFill="1" applyBorder="1" applyAlignment="1">
      <alignment horizontal="center" vertical="center" wrapText="1"/>
    </xf>
    <xf numFmtId="0" fontId="69" fillId="0" borderId="0" xfId="0" applyNumberFormat="1" applyFont="1" applyFill="1" applyAlignment="1">
      <alignment horizontal="center"/>
    </xf>
    <xf numFmtId="0" fontId="69" fillId="0" borderId="0" xfId="0" applyNumberFormat="1" applyFont="1" applyFill="1" applyAlignment="1">
      <alignment horizontal="left"/>
    </xf>
    <xf numFmtId="0" fontId="55" fillId="0" borderId="0" xfId="0" applyFont="1" applyFill="1" applyBorder="1" applyAlignment="1">
      <alignment horizontal="left" vertical="center"/>
    </xf>
    <xf numFmtId="0" fontId="69" fillId="0" borderId="0" xfId="0" applyNumberFormat="1" applyFont="1" applyAlignment="1">
      <alignment horizontal="center"/>
    </xf>
    <xf numFmtId="0" fontId="69" fillId="0" borderId="0" xfId="0" applyNumberFormat="1" applyFont="1" applyAlignment="1">
      <alignment horizontal="left"/>
    </xf>
    <xf numFmtId="0" fontId="43" fillId="0" borderId="0" xfId="0" applyNumberFormat="1" applyFont="1" applyAlignment="1">
      <alignment horizontal="center"/>
    </xf>
    <xf numFmtId="0" fontId="43" fillId="0" borderId="0" xfId="0" applyNumberFormat="1" applyFont="1" applyAlignment="1">
      <alignment horizontal="left"/>
    </xf>
    <xf numFmtId="0" fontId="55" fillId="0" borderId="0" xfId="0" applyFont="1" applyFill="1" applyBorder="1" applyAlignment="1">
      <alignment horizontal="left" vertical="center" wrapText="1" indent="1"/>
    </xf>
    <xf numFmtId="0" fontId="70" fillId="0" borderId="0" xfId="0" applyFont="1"/>
    <xf numFmtId="0" fontId="70" fillId="0" borderId="0" xfId="0" applyFont="1" applyAlignment="1">
      <alignment horizontal="center"/>
    </xf>
    <xf numFmtId="0" fontId="70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5" fillId="0" borderId="0" xfId="0" applyFont="1" applyFill="1" applyAlignment="1">
      <alignment horizontal="left" vertical="center"/>
    </xf>
    <xf numFmtId="49" fontId="69" fillId="0" borderId="0" xfId="0" applyNumberFormat="1" applyFont="1" applyFill="1" applyBorder="1" applyAlignment="1" applyProtection="1">
      <alignment horizontal="left" vertical="center"/>
      <protection hidden="1"/>
    </xf>
    <xf numFmtId="0" fontId="55" fillId="0" borderId="0" xfId="0" applyNumberFormat="1" applyFont="1" applyFill="1" applyBorder="1" applyAlignment="1">
      <alignment horizontal="left" vertical="center" wrapText="1"/>
    </xf>
    <xf numFmtId="0" fontId="55" fillId="0" borderId="0" xfId="6" quotePrefix="1" applyFont="1" applyFill="1" applyBorder="1" applyAlignment="1">
      <alignment horizontal="left" vertical="center" wrapText="1"/>
    </xf>
    <xf numFmtId="1" fontId="55" fillId="0" borderId="0" xfId="0" applyNumberFormat="1" applyFont="1" applyFill="1" applyBorder="1" applyAlignment="1">
      <alignment horizontal="left" vertical="center" wrapText="1"/>
    </xf>
    <xf numFmtId="0" fontId="55" fillId="0" borderId="0" xfId="6" applyNumberFormat="1" applyFont="1" applyFill="1" applyBorder="1" applyAlignment="1">
      <alignment horizontal="left" vertical="center" wrapText="1"/>
    </xf>
    <xf numFmtId="0" fontId="55" fillId="0" borderId="0" xfId="6" applyFont="1" applyFill="1" applyBorder="1" applyAlignment="1">
      <alignment horizontal="left" vertical="center" wrapText="1"/>
    </xf>
    <xf numFmtId="1" fontId="11" fillId="0" borderId="6" xfId="2" applyNumberFormat="1" applyFont="1" applyFill="1" applyBorder="1" applyAlignment="1" applyProtection="1">
      <alignment horizontal="left" vertical="center" wrapText="1"/>
    </xf>
    <xf numFmtId="0" fontId="53" fillId="0" borderId="0" xfId="0" applyFont="1"/>
    <xf numFmtId="169" fontId="13" fillId="0" borderId="1" xfId="16" quotePrefix="1" applyNumberFormat="1" applyFill="1" applyAlignment="1" applyProtection="1">
      <alignment horizontal="left" vertical="center" indent="5" justifyLastLine="1"/>
      <protection locked="0"/>
    </xf>
    <xf numFmtId="0" fontId="71" fillId="0" borderId="0" xfId="0" applyFont="1" applyAlignment="1">
      <alignment vertical="center"/>
    </xf>
    <xf numFmtId="0" fontId="72" fillId="0" borderId="0" xfId="0" applyFont="1"/>
    <xf numFmtId="0" fontId="73" fillId="0" borderId="0" xfId="77"/>
    <xf numFmtId="0" fontId="74" fillId="0" borderId="0" xfId="0" applyFont="1"/>
    <xf numFmtId="0" fontId="75" fillId="0" borderId="0" xfId="0" applyFont="1" applyAlignment="1">
      <alignment vertical="center" wrapText="1"/>
    </xf>
    <xf numFmtId="0" fontId="74" fillId="0" borderId="0" xfId="0" applyFont="1" applyAlignment="1">
      <alignment vertical="center" wrapText="1"/>
    </xf>
    <xf numFmtId="0" fontId="76" fillId="0" borderId="0" xfId="0" applyFont="1"/>
    <xf numFmtId="0" fontId="2" fillId="0" borderId="44" xfId="4" applyFont="1" applyBorder="1" applyAlignment="1" applyProtection="1">
      <alignment horizontal="center" vertical="center" wrapText="1"/>
      <protection locked="0"/>
    </xf>
    <xf numFmtId="0" fontId="2" fillId="0" borderId="45" xfId="4" applyFont="1" applyBorder="1" applyAlignment="1" applyProtection="1">
      <alignment horizontal="center" vertical="center" wrapText="1"/>
      <protection locked="0"/>
    </xf>
    <xf numFmtId="0" fontId="2" fillId="0" borderId="46" xfId="4" applyFont="1" applyBorder="1" applyAlignment="1" applyProtection="1">
      <alignment horizontal="center" vertical="center" wrapText="1"/>
      <protection locked="0"/>
    </xf>
    <xf numFmtId="0" fontId="38" fillId="0" borderId="47" xfId="4" applyFont="1" applyBorder="1" applyAlignment="1" applyProtection="1">
      <alignment horizontal="left" vertical="center" wrapText="1"/>
      <protection locked="0"/>
    </xf>
    <xf numFmtId="0" fontId="38" fillId="0" borderId="42" xfId="4" applyFont="1" applyBorder="1" applyAlignment="1" applyProtection="1">
      <alignment horizontal="left" vertical="center" wrapText="1"/>
      <protection locked="0"/>
    </xf>
    <xf numFmtId="0" fontId="38" fillId="0" borderId="48" xfId="4" applyFont="1" applyBorder="1" applyAlignment="1" applyProtection="1">
      <alignment horizontal="left" vertical="center" wrapText="1"/>
      <protection locked="0"/>
    </xf>
    <xf numFmtId="0" fontId="7" fillId="0" borderId="0" xfId="4" applyFont="1" applyAlignment="1" applyProtection="1">
      <alignment horizontal="center" vertical="center" wrapText="1"/>
    </xf>
    <xf numFmtId="0" fontId="3" fillId="0" borderId="0" xfId="4" applyFont="1" applyAlignment="1" applyProtection="1"/>
    <xf numFmtId="0" fontId="6" fillId="0" borderId="0" xfId="4" applyFont="1" applyAlignment="1" applyProtection="1">
      <alignment horizontal="center" vertical="center" wrapText="1"/>
    </xf>
    <xf numFmtId="0" fontId="56" fillId="0" borderId="39" xfId="0" applyFont="1" applyBorder="1"/>
    <xf numFmtId="0" fontId="56" fillId="0" borderId="39" xfId="0" applyFont="1" applyBorder="1" applyProtection="1"/>
    <xf numFmtId="0" fontId="56" fillId="0" borderId="0" xfId="0" applyFont="1" applyBorder="1" applyProtection="1"/>
    <xf numFmtId="0" fontId="58" fillId="0" borderId="0" xfId="2" applyNumberFormat="1" applyFont="1" applyFill="1" applyBorder="1" applyAlignment="1" applyProtection="1">
      <alignment horizontal="center" vertical="center" wrapText="1"/>
    </xf>
    <xf numFmtId="1" fontId="16" fillId="12" borderId="25" xfId="2" applyNumberFormat="1" applyFont="1" applyFill="1" applyBorder="1" applyAlignment="1" applyProtection="1">
      <alignment horizontal="center" vertical="center" wrapText="1"/>
    </xf>
    <xf numFmtId="1" fontId="16" fillId="12" borderId="27" xfId="2" applyNumberFormat="1" applyFont="1" applyFill="1" applyBorder="1" applyAlignment="1" applyProtection="1">
      <alignment horizontal="center" vertical="center" wrapText="1"/>
    </xf>
    <xf numFmtId="0" fontId="33" fillId="12" borderId="25" xfId="2" applyFont="1" applyFill="1" applyBorder="1" applyAlignment="1" applyProtection="1">
      <alignment horizontal="center" vertical="center"/>
    </xf>
    <xf numFmtId="0" fontId="33" fillId="12" borderId="28" xfId="2" applyFont="1" applyFill="1" applyBorder="1" applyAlignment="1" applyProtection="1">
      <alignment horizontal="center" vertical="center"/>
    </xf>
    <xf numFmtId="0" fontId="33" fillId="12" borderId="27" xfId="2" applyFont="1" applyFill="1" applyBorder="1" applyAlignment="1" applyProtection="1">
      <alignment horizontal="center" vertical="center"/>
    </xf>
    <xf numFmtId="1" fontId="16" fillId="12" borderId="5" xfId="2" applyNumberFormat="1" applyFont="1" applyFill="1" applyBorder="1" applyAlignment="1" applyProtection="1">
      <alignment horizontal="center" vertical="center" wrapText="1"/>
    </xf>
    <xf numFmtId="0" fontId="6" fillId="0" borderId="0" xfId="2" applyFont="1" applyBorder="1" applyAlignment="1" applyProtection="1">
      <alignment horizontal="center"/>
    </xf>
    <xf numFmtId="0" fontId="28" fillId="54" borderId="29" xfId="0" applyFont="1" applyFill="1" applyBorder="1" applyAlignment="1">
      <alignment horizontal="center" vertical="center" wrapText="1"/>
    </xf>
    <xf numFmtId="0" fontId="28" fillId="54" borderId="30" xfId="0" applyFont="1" applyFill="1" applyBorder="1" applyAlignment="1">
      <alignment horizontal="center" vertical="center"/>
    </xf>
    <xf numFmtId="0" fontId="28" fillId="54" borderId="31" xfId="0" applyFont="1" applyFill="1" applyBorder="1" applyAlignment="1">
      <alignment horizontal="center" vertical="center" wrapText="1"/>
    </xf>
    <xf numFmtId="0" fontId="28" fillId="54" borderId="32" xfId="0" applyFont="1" applyFill="1" applyBorder="1" applyAlignment="1">
      <alignment horizontal="center" vertical="center" wrapText="1"/>
    </xf>
    <xf numFmtId="0" fontId="28" fillId="54" borderId="33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28" fillId="54" borderId="34" xfId="0" applyFont="1" applyFill="1" applyBorder="1" applyAlignment="1">
      <alignment horizontal="center" vertical="center" wrapText="1"/>
    </xf>
    <xf numFmtId="0" fontId="28" fillId="54" borderId="35" xfId="0" applyFont="1" applyFill="1" applyBorder="1" applyAlignment="1">
      <alignment horizontal="center" vertical="center" wrapText="1"/>
    </xf>
    <xf numFmtId="0" fontId="28" fillId="54" borderId="36" xfId="0" applyFont="1" applyFill="1" applyBorder="1" applyAlignment="1">
      <alignment horizontal="center" vertical="center" wrapText="1"/>
    </xf>
    <xf numFmtId="0" fontId="28" fillId="54" borderId="30" xfId="0" applyFont="1" applyFill="1" applyBorder="1" applyAlignment="1">
      <alignment horizontal="center" vertical="center" wrapText="1"/>
    </xf>
  </cellXfs>
  <cellStyles count="78">
    <cellStyle name="Accent1 - 20%" xfId="21"/>
    <cellStyle name="Accent1 - 40%" xfId="22"/>
    <cellStyle name="Accent1 - 60%" xfId="23"/>
    <cellStyle name="Accent2 - 20%" xfId="24"/>
    <cellStyle name="Accent2 - 40%" xfId="25"/>
    <cellStyle name="Accent2 - 60%" xfId="26"/>
    <cellStyle name="Accent3 - 20%" xfId="27"/>
    <cellStyle name="Accent3 - 40%" xfId="28"/>
    <cellStyle name="Accent3 - 60%" xfId="29"/>
    <cellStyle name="Accent4 - 20%" xfId="30"/>
    <cellStyle name="Accent4 - 40%" xfId="31"/>
    <cellStyle name="Accent4 - 60%" xfId="32"/>
    <cellStyle name="Accent5 - 20%" xfId="33"/>
    <cellStyle name="Accent5 - 40%" xfId="34"/>
    <cellStyle name="Accent5 - 60%" xfId="35"/>
    <cellStyle name="Accent6 - 20%" xfId="36"/>
    <cellStyle name="Accent6 - 40%" xfId="37"/>
    <cellStyle name="Accent6 - 60%" xfId="38"/>
    <cellStyle name="Comma 2" xfId="1"/>
    <cellStyle name="Emphasis 1" xfId="39"/>
    <cellStyle name="Emphasis 2" xfId="40"/>
    <cellStyle name="Emphasis 3" xfId="41"/>
    <cellStyle name="Hyperlink" xfId="77" builtinId="8"/>
    <cellStyle name="Naslov 1" xfId="76"/>
    <cellStyle name="Normal" xfId="0" builtinId="0"/>
    <cellStyle name="Normal 2" xfId="2"/>
    <cellStyle name="Normal 3" xfId="20"/>
    <cellStyle name="Normal 3 3" xfId="3"/>
    <cellStyle name="Normal 6" xfId="4"/>
    <cellStyle name="Obično_01_ZAGREBAČKA ŽUPANIJA" xfId="73"/>
    <cellStyle name="Obično_14_OSJEČKO-BARANJSKA ŽUPANIJA" xfId="74"/>
    <cellStyle name="Obično_List4" xfId="5"/>
    <cellStyle name="Obično_List7" xfId="6"/>
    <cellStyle name="Obično_List8" xfId="7"/>
    <cellStyle name="Obično_List9" xfId="8"/>
    <cellStyle name="SAPBEXaggData" xfId="9"/>
    <cellStyle name="SAPBEXaggDataEmph" xfId="42"/>
    <cellStyle name="SAPBEXaggItem" xfId="10"/>
    <cellStyle name="SAPBEXaggItemX" xfId="43"/>
    <cellStyle name="SAPBEXchaText" xfId="11"/>
    <cellStyle name="SAPBEXexcBad7" xfId="44"/>
    <cellStyle name="SAPBEXexcBad8" xfId="45"/>
    <cellStyle name="SAPBEXexcBad9" xfId="46"/>
    <cellStyle name="SAPBEXexcCritical4" xfId="47"/>
    <cellStyle name="SAPBEXexcCritical5" xfId="48"/>
    <cellStyle name="SAPBEXexcCritical6" xfId="49"/>
    <cellStyle name="SAPBEXexcGood1" xfId="50"/>
    <cellStyle name="SAPBEXexcGood2" xfId="51"/>
    <cellStyle name="SAPBEXexcGood3" xfId="52"/>
    <cellStyle name="SAPBEXfilterDrill" xfId="53"/>
    <cellStyle name="SAPBEXfilterItem" xfId="54"/>
    <cellStyle name="SAPBEXfilterText" xfId="55"/>
    <cellStyle name="SAPBEXformats" xfId="12"/>
    <cellStyle name="SAPBEXheaderItem" xfId="56"/>
    <cellStyle name="SAPBEXheaderText" xfId="57"/>
    <cellStyle name="SAPBEXHLevel0" xfId="13"/>
    <cellStyle name="SAPBEXHLevel0 2" xfId="75"/>
    <cellStyle name="SAPBEXHLevel0X" xfId="58"/>
    <cellStyle name="SAPBEXHLevel1" xfId="14"/>
    <cellStyle name="SAPBEXHLevel1X" xfId="59"/>
    <cellStyle name="SAPBEXHLevel2" xfId="15"/>
    <cellStyle name="SAPBEXHLevel2X" xfId="60"/>
    <cellStyle name="SAPBEXHLevel3" xfId="16"/>
    <cellStyle name="SAPBEXHLevel3X" xfId="61"/>
    <cellStyle name="SAPBEXinputData" xfId="62"/>
    <cellStyle name="SAPBEXItemHeader" xfId="17"/>
    <cellStyle name="SAPBEXresData" xfId="63"/>
    <cellStyle name="SAPBEXresDataEmph" xfId="64"/>
    <cellStyle name="SAPBEXresItem" xfId="65"/>
    <cellStyle name="SAPBEXresItemX" xfId="66"/>
    <cellStyle name="SAPBEXstdData" xfId="18"/>
    <cellStyle name="SAPBEXstdDataEmph" xfId="67"/>
    <cellStyle name="SAPBEXstdItem" xfId="19"/>
    <cellStyle name="SAPBEXstdItemX" xfId="68"/>
    <cellStyle name="SAPBEXtitle" xfId="69"/>
    <cellStyle name="SAPBEXunassignedItem" xfId="70"/>
    <cellStyle name="SAPBEXundefined" xfId="71"/>
    <cellStyle name="Sheet Title" xfId="72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19050</xdr:rowOff>
    </xdr:from>
    <xdr:to>
      <xdr:col>2</xdr:col>
      <xdr:colOff>0</xdr:colOff>
      <xdr:row>4</xdr:row>
      <xdr:rowOff>0</xdr:rowOff>
    </xdr:to>
    <xdr:sp macro="" textlink="">
      <xdr:nvSpPr>
        <xdr:cNvPr id="13313" name="Line 1"/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</xdr:row>
      <xdr:rowOff>19050</xdr:rowOff>
    </xdr:from>
    <xdr:to>
      <xdr:col>1</xdr:col>
      <xdr:colOff>1085850</xdr:colOff>
      <xdr:row>4</xdr:row>
      <xdr:rowOff>0</xdr:rowOff>
    </xdr:to>
    <xdr:sp macro="" textlink="">
      <xdr:nvSpPr>
        <xdr:cNvPr id="13314" name="Line 2"/>
        <xdr:cNvSpPr>
          <a:spLocks noChangeShapeType="1"/>
        </xdr:cNvSpPr>
      </xdr:nvSpPr>
      <xdr:spPr bwMode="auto">
        <a:xfrm>
          <a:off x="9525" y="371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</xdr:row>
      <xdr:rowOff>19050</xdr:rowOff>
    </xdr:from>
    <xdr:to>
      <xdr:col>2</xdr:col>
      <xdr:colOff>0</xdr:colOff>
      <xdr:row>4</xdr:row>
      <xdr:rowOff>0</xdr:rowOff>
    </xdr:to>
    <xdr:sp macro="" textlink="">
      <xdr:nvSpPr>
        <xdr:cNvPr id="13315" name="Line 1"/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84</xdr:row>
      <xdr:rowOff>19050</xdr:rowOff>
    </xdr:from>
    <xdr:to>
      <xdr:col>2</xdr:col>
      <xdr:colOff>0</xdr:colOff>
      <xdr:row>86</xdr:row>
      <xdr:rowOff>0</xdr:rowOff>
    </xdr:to>
    <xdr:sp macro="" textlink="">
      <xdr:nvSpPr>
        <xdr:cNvPr id="13321" name="Line 1"/>
        <xdr:cNvSpPr>
          <a:spLocks noChangeShapeType="1"/>
        </xdr:cNvSpPr>
      </xdr:nvSpPr>
      <xdr:spPr bwMode="auto">
        <a:xfrm>
          <a:off x="19050" y="2442210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84</xdr:row>
      <xdr:rowOff>19050</xdr:rowOff>
    </xdr:from>
    <xdr:to>
      <xdr:col>1</xdr:col>
      <xdr:colOff>1085850</xdr:colOff>
      <xdr:row>86</xdr:row>
      <xdr:rowOff>0</xdr:rowOff>
    </xdr:to>
    <xdr:sp macro="" textlink="">
      <xdr:nvSpPr>
        <xdr:cNvPr id="13322" name="Line 2"/>
        <xdr:cNvSpPr>
          <a:spLocks noChangeShapeType="1"/>
        </xdr:cNvSpPr>
      </xdr:nvSpPr>
      <xdr:spPr bwMode="auto">
        <a:xfrm>
          <a:off x="9525" y="2442210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84</xdr:row>
      <xdr:rowOff>19050</xdr:rowOff>
    </xdr:from>
    <xdr:to>
      <xdr:col>2</xdr:col>
      <xdr:colOff>0</xdr:colOff>
      <xdr:row>86</xdr:row>
      <xdr:rowOff>0</xdr:rowOff>
    </xdr:to>
    <xdr:sp macro="" textlink="">
      <xdr:nvSpPr>
        <xdr:cNvPr id="13323" name="Line 1"/>
        <xdr:cNvSpPr>
          <a:spLocks noChangeShapeType="1"/>
        </xdr:cNvSpPr>
      </xdr:nvSpPr>
      <xdr:spPr bwMode="auto">
        <a:xfrm>
          <a:off x="19050" y="2442210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84</xdr:row>
      <xdr:rowOff>19050</xdr:rowOff>
    </xdr:from>
    <xdr:to>
      <xdr:col>1</xdr:col>
      <xdr:colOff>1085850</xdr:colOff>
      <xdr:row>86</xdr:row>
      <xdr:rowOff>0</xdr:rowOff>
    </xdr:to>
    <xdr:sp macro="" textlink="">
      <xdr:nvSpPr>
        <xdr:cNvPr id="13324" name="Line 2"/>
        <xdr:cNvSpPr>
          <a:spLocks noChangeShapeType="1"/>
        </xdr:cNvSpPr>
      </xdr:nvSpPr>
      <xdr:spPr bwMode="auto">
        <a:xfrm>
          <a:off x="9525" y="2442210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84</xdr:row>
      <xdr:rowOff>19050</xdr:rowOff>
    </xdr:from>
    <xdr:to>
      <xdr:col>2</xdr:col>
      <xdr:colOff>0</xdr:colOff>
      <xdr:row>86</xdr:row>
      <xdr:rowOff>0</xdr:rowOff>
    </xdr:to>
    <xdr:sp macro="" textlink="">
      <xdr:nvSpPr>
        <xdr:cNvPr id="18" name="Line 1"/>
        <xdr:cNvSpPr>
          <a:spLocks noChangeShapeType="1"/>
        </xdr:cNvSpPr>
      </xdr:nvSpPr>
      <xdr:spPr bwMode="auto">
        <a:xfrm>
          <a:off x="19050" y="372224"/>
          <a:ext cx="302017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84</xdr:row>
      <xdr:rowOff>19050</xdr:rowOff>
    </xdr:from>
    <xdr:to>
      <xdr:col>1</xdr:col>
      <xdr:colOff>1085850</xdr:colOff>
      <xdr:row>86</xdr:row>
      <xdr:rowOff>0</xdr:rowOff>
    </xdr:to>
    <xdr:sp macro="" textlink="">
      <xdr:nvSpPr>
        <xdr:cNvPr id="19" name="Line 2"/>
        <xdr:cNvSpPr>
          <a:spLocks noChangeShapeType="1"/>
        </xdr:cNvSpPr>
      </xdr:nvSpPr>
      <xdr:spPr bwMode="auto">
        <a:xfrm>
          <a:off x="9525" y="372224"/>
          <a:ext cx="314325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84</xdr:row>
      <xdr:rowOff>19050</xdr:rowOff>
    </xdr:from>
    <xdr:to>
      <xdr:col>2</xdr:col>
      <xdr:colOff>0</xdr:colOff>
      <xdr:row>86</xdr:row>
      <xdr:rowOff>0</xdr:rowOff>
    </xdr:to>
    <xdr:sp macro="" textlink="">
      <xdr:nvSpPr>
        <xdr:cNvPr id="20" name="Line 1"/>
        <xdr:cNvSpPr>
          <a:spLocks noChangeShapeType="1"/>
        </xdr:cNvSpPr>
      </xdr:nvSpPr>
      <xdr:spPr bwMode="auto">
        <a:xfrm>
          <a:off x="19050" y="372224"/>
          <a:ext cx="302017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84</xdr:row>
      <xdr:rowOff>19050</xdr:rowOff>
    </xdr:from>
    <xdr:to>
      <xdr:col>1</xdr:col>
      <xdr:colOff>1085850</xdr:colOff>
      <xdr:row>86</xdr:row>
      <xdr:rowOff>0</xdr:rowOff>
    </xdr:to>
    <xdr:sp macro="" textlink="">
      <xdr:nvSpPr>
        <xdr:cNvPr id="21" name="Line 2"/>
        <xdr:cNvSpPr>
          <a:spLocks noChangeShapeType="1"/>
        </xdr:cNvSpPr>
      </xdr:nvSpPr>
      <xdr:spPr bwMode="auto">
        <a:xfrm>
          <a:off x="9525" y="372224"/>
          <a:ext cx="314325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Službeni dopis s popunjenom tablicom pošaljite poštom na adresu: Ministarstvo financija, Katančičeva 5, 10 000 Zagreb, Sektor za pripremu i izradu prijedloga proračuna države i na e-mail adresu vašeg savjetnika u Sektoru.</a:t>
          </a: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/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38100" y="4629150"/>
          <a:ext cx="7362825" cy="1457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ezavod.si/en/about-e-institute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96"/>
  <sheetViews>
    <sheetView showGridLines="0" tabSelected="1" workbookViewId="0">
      <selection activeCell="C3" sqref="C3:E3"/>
    </sheetView>
  </sheetViews>
  <sheetFormatPr defaultColWidth="14.42578125" defaultRowHeight="12.75"/>
  <cols>
    <col min="1" max="1" width="7.5703125" style="152" customWidth="1"/>
    <col min="2" max="2" width="36.140625" style="152" bestFit="1" customWidth="1"/>
    <col min="3" max="3" width="21.42578125" style="152" customWidth="1"/>
    <col min="4" max="4" width="21.140625" style="152" customWidth="1"/>
    <col min="5" max="5" width="21.7109375" style="152" customWidth="1"/>
    <col min="6" max="8" width="11.42578125" style="152" customWidth="1"/>
    <col min="9" max="11" width="11.42578125" style="152" hidden="1" customWidth="1"/>
    <col min="12" max="12" width="16.42578125" style="152" hidden="1" customWidth="1"/>
    <col min="13" max="13" width="7.85546875" style="152" hidden="1" customWidth="1"/>
    <col min="14" max="14" width="41.28515625" style="152" hidden="1" customWidth="1"/>
    <col min="15" max="15" width="19.5703125" style="152" hidden="1" customWidth="1"/>
    <col min="16" max="22" width="11.42578125" style="152" hidden="1" customWidth="1"/>
    <col min="23" max="28" width="11.42578125" style="152" customWidth="1"/>
    <col min="29" max="16384" width="14.42578125" style="152"/>
  </cols>
  <sheetData>
    <row r="1" spans="1:28">
      <c r="A1" s="249"/>
    </row>
    <row r="3" spans="1:28" ht="36.75" customHeight="1" thickBot="1">
      <c r="A3" s="153"/>
      <c r="B3" s="193" t="s">
        <v>361</v>
      </c>
      <c r="C3" s="287" t="s">
        <v>2201</v>
      </c>
      <c r="D3" s="288"/>
      <c r="E3" s="289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</row>
    <row r="4" spans="1:28" ht="15.75" thickBot="1">
      <c r="A4" s="153"/>
      <c r="B4" s="194" t="s">
        <v>0</v>
      </c>
      <c r="C4" s="290" t="s">
        <v>2336</v>
      </c>
      <c r="D4" s="291"/>
      <c r="E4" s="292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</row>
    <row r="5" spans="1:28" ht="15.75" thickBot="1">
      <c r="A5" s="154"/>
      <c r="B5" s="194" t="s">
        <v>1</v>
      </c>
      <c r="C5" s="290" t="s">
        <v>2337</v>
      </c>
      <c r="D5" s="291"/>
      <c r="E5" s="292"/>
      <c r="F5" s="153"/>
      <c r="G5" s="153"/>
      <c r="H5" s="153"/>
      <c r="I5" s="153"/>
      <c r="J5" s="153"/>
      <c r="K5" s="155" t="s">
        <v>371</v>
      </c>
      <c r="L5" s="155" t="s">
        <v>755</v>
      </c>
      <c r="M5" s="155" t="s">
        <v>372</v>
      </c>
      <c r="N5" s="155" t="s">
        <v>373</v>
      </c>
      <c r="O5" s="155" t="s">
        <v>374</v>
      </c>
      <c r="P5" s="155" t="s">
        <v>375</v>
      </c>
      <c r="Q5" s="155" t="s">
        <v>376</v>
      </c>
      <c r="R5" s="155" t="s">
        <v>377</v>
      </c>
      <c r="S5" s="155" t="s">
        <v>378</v>
      </c>
      <c r="T5" s="155" t="s">
        <v>753</v>
      </c>
      <c r="U5" s="156" t="s">
        <v>226</v>
      </c>
      <c r="V5" s="153"/>
      <c r="W5" s="153"/>
      <c r="X5" s="153"/>
      <c r="Y5" s="153"/>
      <c r="Z5" s="153"/>
      <c r="AA5" s="153"/>
      <c r="AB5" s="153"/>
    </row>
    <row r="6" spans="1:28" ht="15.75" thickBot="1">
      <c r="A6" s="157"/>
      <c r="B6" s="194" t="s">
        <v>2</v>
      </c>
      <c r="C6" s="290" t="s">
        <v>2338</v>
      </c>
      <c r="D6" s="291"/>
      <c r="E6" s="292"/>
      <c r="F6" s="153"/>
      <c r="G6" s="153"/>
      <c r="H6" s="153"/>
      <c r="I6" s="153"/>
      <c r="J6" s="153"/>
      <c r="K6" s="152">
        <v>0</v>
      </c>
      <c r="L6" s="152" t="s">
        <v>756</v>
      </c>
      <c r="T6" s="152" t="s">
        <v>782</v>
      </c>
      <c r="U6" s="152" t="s">
        <v>782</v>
      </c>
      <c r="V6" s="153"/>
      <c r="W6" s="153"/>
      <c r="X6" s="153"/>
      <c r="Y6" s="153"/>
      <c r="Z6" s="153"/>
      <c r="AA6" s="153"/>
      <c r="AB6" s="153"/>
    </row>
    <row r="7" spans="1:28" ht="15.75" thickBot="1">
      <c r="A7" s="157"/>
      <c r="B7" s="194" t="s">
        <v>360</v>
      </c>
      <c r="C7" s="290" t="s">
        <v>2339</v>
      </c>
      <c r="D7" s="291"/>
      <c r="E7" s="292"/>
      <c r="F7" s="153"/>
      <c r="G7" s="153"/>
      <c r="H7" s="153"/>
      <c r="I7" s="153"/>
      <c r="J7" s="153"/>
      <c r="K7" s="239">
        <f t="shared" ref="K7:K34" si="0">+K6+1</f>
        <v>1</v>
      </c>
      <c r="L7" s="237" t="s">
        <v>2307</v>
      </c>
      <c r="M7" s="237">
        <v>1222</v>
      </c>
      <c r="N7" s="240" t="s">
        <v>610</v>
      </c>
      <c r="O7" s="241"/>
      <c r="P7" s="246"/>
      <c r="Q7" s="240"/>
      <c r="R7" s="238"/>
      <c r="S7" s="234"/>
      <c r="T7" s="235" t="s">
        <v>1536</v>
      </c>
      <c r="U7" s="236" t="s">
        <v>1205</v>
      </c>
      <c r="V7" s="153"/>
      <c r="W7" s="153"/>
      <c r="X7" s="153"/>
      <c r="Y7" s="153"/>
      <c r="Z7" s="153"/>
      <c r="AA7" s="153"/>
      <c r="AB7" s="153"/>
    </row>
    <row r="8" spans="1:28" ht="15">
      <c r="A8" s="157"/>
      <c r="B8" s="157"/>
      <c r="C8" s="153"/>
      <c r="D8" s="153"/>
      <c r="E8" s="153"/>
      <c r="F8" s="153"/>
      <c r="G8" s="153"/>
      <c r="H8" s="153"/>
      <c r="I8" s="153"/>
      <c r="J8" s="153"/>
      <c r="K8" s="239">
        <f t="shared" si="0"/>
        <v>2</v>
      </c>
      <c r="L8" s="237" t="s">
        <v>2234</v>
      </c>
      <c r="M8" s="237">
        <v>1757</v>
      </c>
      <c r="N8" s="240" t="s">
        <v>533</v>
      </c>
      <c r="O8" s="241" t="s">
        <v>514</v>
      </c>
      <c r="P8" s="240" t="s">
        <v>534</v>
      </c>
      <c r="Q8" s="240" t="s">
        <v>380</v>
      </c>
      <c r="R8" s="238">
        <v>3276643</v>
      </c>
      <c r="S8" s="234" t="s">
        <v>535</v>
      </c>
      <c r="T8" s="235" t="s">
        <v>52</v>
      </c>
      <c r="U8" s="236" t="s">
        <v>51</v>
      </c>
      <c r="V8" s="153"/>
      <c r="W8" s="153"/>
      <c r="X8" s="153"/>
      <c r="Y8" s="153"/>
      <c r="Z8" s="153"/>
      <c r="AA8" s="153"/>
      <c r="AB8" s="153"/>
    </row>
    <row r="9" spans="1:28" ht="28.5" customHeight="1">
      <c r="B9" s="295" t="s">
        <v>2140</v>
      </c>
      <c r="C9" s="294"/>
      <c r="D9" s="294"/>
      <c r="E9" s="294"/>
      <c r="F9" s="153"/>
      <c r="G9" s="153"/>
      <c r="H9" s="153"/>
      <c r="I9" s="153"/>
      <c r="J9" s="153"/>
      <c r="K9" s="239">
        <f t="shared" si="0"/>
        <v>3</v>
      </c>
      <c r="L9" s="237" t="s">
        <v>2253</v>
      </c>
      <c r="M9" s="237">
        <v>1781</v>
      </c>
      <c r="N9" s="240" t="s">
        <v>586</v>
      </c>
      <c r="O9" s="241" t="s">
        <v>514</v>
      </c>
      <c r="P9" s="240" t="s">
        <v>587</v>
      </c>
      <c r="Q9" s="240" t="s">
        <v>380</v>
      </c>
      <c r="R9" s="238">
        <v>3270149</v>
      </c>
      <c r="S9" s="234" t="s">
        <v>588</v>
      </c>
      <c r="T9" s="235" t="s">
        <v>52</v>
      </c>
      <c r="U9" s="236" t="s">
        <v>51</v>
      </c>
      <c r="V9" s="153"/>
      <c r="W9" s="153"/>
      <c r="X9" s="153"/>
      <c r="Y9" s="153"/>
      <c r="Z9" s="153"/>
      <c r="AA9" s="153"/>
      <c r="AB9" s="153"/>
    </row>
    <row r="10" spans="1:28" ht="18.75" customHeight="1">
      <c r="B10" s="295" t="s">
        <v>3</v>
      </c>
      <c r="C10" s="294"/>
      <c r="D10" s="294"/>
      <c r="E10" s="294"/>
      <c r="F10" s="153"/>
      <c r="G10" s="153"/>
      <c r="H10" s="153"/>
      <c r="I10" s="153"/>
      <c r="J10" s="153"/>
      <c r="K10" s="239">
        <f t="shared" si="0"/>
        <v>4</v>
      </c>
      <c r="L10" s="237" t="s">
        <v>2238</v>
      </c>
      <c r="M10" s="237">
        <v>1790</v>
      </c>
      <c r="N10" s="240" t="s">
        <v>540</v>
      </c>
      <c r="O10" s="248" t="s">
        <v>514</v>
      </c>
      <c r="P10" s="240" t="s">
        <v>541</v>
      </c>
      <c r="Q10" s="240" t="s">
        <v>380</v>
      </c>
      <c r="R10" s="238">
        <v>3250270</v>
      </c>
      <c r="S10" s="234" t="s">
        <v>542</v>
      </c>
      <c r="T10" s="235" t="s">
        <v>52</v>
      </c>
      <c r="U10" s="236" t="s">
        <v>51</v>
      </c>
      <c r="V10" s="153"/>
      <c r="W10" s="153"/>
      <c r="X10" s="153"/>
      <c r="Y10" s="153"/>
      <c r="Z10" s="153"/>
      <c r="AA10" s="153"/>
      <c r="AB10" s="153"/>
    </row>
    <row r="11" spans="1:28" ht="12" customHeight="1">
      <c r="B11" s="293"/>
      <c r="C11" s="294"/>
      <c r="D11" s="294"/>
      <c r="E11" s="294"/>
      <c r="F11" s="153"/>
      <c r="G11" s="153"/>
      <c r="H11" s="153"/>
      <c r="I11" s="153"/>
      <c r="J11" s="153"/>
      <c r="K11" s="239">
        <f t="shared" si="0"/>
        <v>5</v>
      </c>
      <c r="L11" s="237" t="s">
        <v>2257</v>
      </c>
      <c r="M11" s="237">
        <v>1804</v>
      </c>
      <c r="N11" s="240" t="s">
        <v>597</v>
      </c>
      <c r="O11" s="248" t="s">
        <v>514</v>
      </c>
      <c r="P11" s="240" t="s">
        <v>598</v>
      </c>
      <c r="Q11" s="240" t="s">
        <v>380</v>
      </c>
      <c r="R11" s="238">
        <v>3207064</v>
      </c>
      <c r="S11" s="234" t="s">
        <v>599</v>
      </c>
      <c r="T11" s="235" t="s">
        <v>52</v>
      </c>
      <c r="U11" s="236" t="s">
        <v>51</v>
      </c>
      <c r="V11" s="153"/>
      <c r="W11" s="153"/>
      <c r="X11" s="153"/>
      <c r="Y11" s="153"/>
      <c r="Z11" s="153"/>
      <c r="AA11" s="153"/>
      <c r="AB11" s="153"/>
    </row>
    <row r="12" spans="1:28" ht="12" customHeight="1">
      <c r="A12" s="159"/>
      <c r="B12" s="159"/>
      <c r="C12" s="153"/>
      <c r="D12" s="153"/>
      <c r="E12" s="153"/>
      <c r="F12" s="153"/>
      <c r="G12" s="153"/>
      <c r="H12" s="153"/>
      <c r="I12" s="153"/>
      <c r="J12" s="153"/>
      <c r="K12" s="239">
        <f t="shared" si="0"/>
        <v>6</v>
      </c>
      <c r="L12" s="237" t="s">
        <v>2240</v>
      </c>
      <c r="M12" s="237">
        <v>1812</v>
      </c>
      <c r="N12" s="240" t="s">
        <v>546</v>
      </c>
      <c r="O12" s="248" t="s">
        <v>514</v>
      </c>
      <c r="P12" s="240" t="s">
        <v>547</v>
      </c>
      <c r="Q12" s="240" t="s">
        <v>380</v>
      </c>
      <c r="R12" s="238">
        <v>3260771</v>
      </c>
      <c r="S12" s="234" t="s">
        <v>548</v>
      </c>
      <c r="T12" s="235" t="s">
        <v>52</v>
      </c>
      <c r="U12" s="236" t="s">
        <v>51</v>
      </c>
      <c r="V12" s="153"/>
      <c r="W12" s="153"/>
      <c r="X12" s="153"/>
      <c r="Y12" s="153"/>
      <c r="Z12" s="153"/>
      <c r="AA12" s="153"/>
      <c r="AB12" s="153"/>
    </row>
    <row r="13" spans="1:28" ht="33" customHeight="1">
      <c r="A13" s="160"/>
      <c r="B13" s="160"/>
      <c r="C13" s="160" t="s">
        <v>2141</v>
      </c>
      <c r="D13" s="160" t="s">
        <v>2142</v>
      </c>
      <c r="E13" s="160" t="s">
        <v>2143</v>
      </c>
      <c r="F13" s="161"/>
      <c r="G13" s="153"/>
      <c r="H13" s="153"/>
      <c r="I13" s="153"/>
      <c r="J13" s="153"/>
      <c r="K13" s="239">
        <f t="shared" si="0"/>
        <v>7</v>
      </c>
      <c r="L13" s="237" t="s">
        <v>2241</v>
      </c>
      <c r="M13" s="237">
        <v>1829</v>
      </c>
      <c r="N13" s="240" t="s">
        <v>549</v>
      </c>
      <c r="O13" s="248" t="s">
        <v>514</v>
      </c>
      <c r="P13" s="240" t="s">
        <v>550</v>
      </c>
      <c r="Q13" s="240" t="s">
        <v>380</v>
      </c>
      <c r="R13" s="238">
        <v>3276546</v>
      </c>
      <c r="S13" s="234" t="s">
        <v>551</v>
      </c>
      <c r="T13" s="235" t="s">
        <v>52</v>
      </c>
      <c r="U13" s="236" t="s">
        <v>51</v>
      </c>
      <c r="V13" s="153"/>
      <c r="W13" s="153"/>
      <c r="X13" s="153"/>
      <c r="Y13" s="153"/>
      <c r="Z13" s="153"/>
      <c r="AA13" s="153"/>
      <c r="AB13" s="153"/>
    </row>
    <row r="14" spans="1:28" ht="19.5" customHeight="1">
      <c r="A14" s="162"/>
      <c r="B14" s="162" t="s">
        <v>4</v>
      </c>
      <c r="C14" s="163">
        <f>SUM(C15:C16)</f>
        <v>39459027</v>
      </c>
      <c r="D14" s="163">
        <f>+D15+D16</f>
        <v>39182445</v>
      </c>
      <c r="E14" s="163">
        <f>+E15+E16</f>
        <v>37904068</v>
      </c>
      <c r="F14" s="164"/>
      <c r="G14" s="153"/>
      <c r="H14" s="153"/>
      <c r="I14" s="153"/>
      <c r="J14" s="153"/>
      <c r="K14" s="239">
        <f t="shared" si="0"/>
        <v>8</v>
      </c>
      <c r="L14" s="237" t="s">
        <v>2245</v>
      </c>
      <c r="M14" s="237">
        <v>1837</v>
      </c>
      <c r="N14" s="240" t="s">
        <v>564</v>
      </c>
      <c r="O14" s="248" t="s">
        <v>514</v>
      </c>
      <c r="P14" s="240" t="s">
        <v>565</v>
      </c>
      <c r="Q14" s="240" t="s">
        <v>380</v>
      </c>
      <c r="R14" s="238">
        <v>3227120</v>
      </c>
      <c r="S14" s="234" t="s">
        <v>566</v>
      </c>
      <c r="T14" s="235" t="s">
        <v>52</v>
      </c>
      <c r="U14" s="236" t="s">
        <v>51</v>
      </c>
      <c r="V14" s="153"/>
      <c r="W14" s="153"/>
      <c r="X14" s="153"/>
      <c r="Y14" s="153"/>
      <c r="Z14" s="153"/>
      <c r="AA14" s="153"/>
      <c r="AB14" s="153"/>
    </row>
    <row r="15" spans="1:28" ht="19.5" customHeight="1">
      <c r="A15" s="165">
        <v>6</v>
      </c>
      <c r="B15" s="162" t="s">
        <v>5</v>
      </c>
      <c r="C15" s="166">
        <f>'PLAN PRIHODA I PRIMITAKA '!D27</f>
        <v>39459027</v>
      </c>
      <c r="D15" s="166">
        <f>'PLAN PRIHODA I PRIMITAKA '!D68</f>
        <v>39182445</v>
      </c>
      <c r="E15" s="166">
        <f>'PLAN PRIHODA I PRIMITAKA '!D109</f>
        <v>37904068</v>
      </c>
      <c r="F15" s="153"/>
      <c r="G15" s="153"/>
      <c r="H15" s="153"/>
      <c r="I15" s="153"/>
      <c r="J15" s="153"/>
      <c r="K15" s="239">
        <f t="shared" si="0"/>
        <v>9</v>
      </c>
      <c r="L15" s="237" t="s">
        <v>2252</v>
      </c>
      <c r="M15" s="237">
        <v>1845</v>
      </c>
      <c r="N15" s="240" t="s">
        <v>584</v>
      </c>
      <c r="O15" s="248" t="s">
        <v>514</v>
      </c>
      <c r="P15" s="240" t="s">
        <v>590</v>
      </c>
      <c r="Q15" s="240" t="s">
        <v>380</v>
      </c>
      <c r="R15" s="238">
        <v>3207102</v>
      </c>
      <c r="S15" s="234" t="s">
        <v>585</v>
      </c>
      <c r="T15" s="235" t="s">
        <v>52</v>
      </c>
      <c r="U15" s="236" t="s">
        <v>51</v>
      </c>
      <c r="V15" s="153"/>
      <c r="W15" s="153"/>
      <c r="X15" s="153"/>
      <c r="Y15" s="153"/>
      <c r="Z15" s="153"/>
      <c r="AA15" s="153"/>
      <c r="AB15" s="153"/>
    </row>
    <row r="16" spans="1:28" ht="19.5" customHeight="1">
      <c r="A16" s="165">
        <v>7</v>
      </c>
      <c r="B16" s="167" t="s">
        <v>6</v>
      </c>
      <c r="C16" s="166">
        <f>'PLAN PRIHODA I PRIMITAKA '!D34</f>
        <v>0</v>
      </c>
      <c r="D16" s="166">
        <f>'PLAN PRIHODA I PRIMITAKA '!D75</f>
        <v>0</v>
      </c>
      <c r="E16" s="166">
        <f>'PLAN PRIHODA I PRIMITAKA '!D116</f>
        <v>0</v>
      </c>
      <c r="F16" s="153"/>
      <c r="G16" s="168"/>
      <c r="H16" s="153"/>
      <c r="I16" s="153"/>
      <c r="J16" s="153"/>
      <c r="K16" s="239">
        <f t="shared" si="0"/>
        <v>10</v>
      </c>
      <c r="L16" s="237" t="s">
        <v>2244</v>
      </c>
      <c r="M16" s="237">
        <v>1853</v>
      </c>
      <c r="N16" s="240" t="s">
        <v>558</v>
      </c>
      <c r="O16" s="248" t="s">
        <v>514</v>
      </c>
      <c r="P16" s="240" t="s">
        <v>2163</v>
      </c>
      <c r="Q16" s="240" t="s">
        <v>380</v>
      </c>
      <c r="R16" s="238">
        <v>3204987</v>
      </c>
      <c r="S16" s="234" t="s">
        <v>559</v>
      </c>
      <c r="T16" s="235" t="s">
        <v>52</v>
      </c>
      <c r="U16" s="236" t="s">
        <v>51</v>
      </c>
      <c r="V16" s="153"/>
      <c r="W16" s="153"/>
      <c r="X16" s="153"/>
      <c r="Y16" s="153"/>
      <c r="Z16" s="153"/>
      <c r="AA16" s="153"/>
      <c r="AB16" s="153"/>
    </row>
    <row r="17" spans="1:28" ht="19.5" customHeight="1">
      <c r="A17" s="169"/>
      <c r="B17" s="167" t="s">
        <v>7</v>
      </c>
      <c r="C17" s="170">
        <f>SUM(C18:C19)</f>
        <v>38342594</v>
      </c>
      <c r="D17" s="170">
        <f>+D18+D19</f>
        <v>38170074.899999999</v>
      </c>
      <c r="E17" s="170">
        <f>+E18+E19</f>
        <v>37186007.600000001</v>
      </c>
      <c r="F17" s="153"/>
      <c r="G17" s="153"/>
      <c r="H17" s="153"/>
      <c r="I17" s="153"/>
      <c r="J17" s="153"/>
      <c r="K17" s="239">
        <f t="shared" si="0"/>
        <v>11</v>
      </c>
      <c r="L17" s="237" t="s">
        <v>2231</v>
      </c>
      <c r="M17" s="237">
        <v>1861</v>
      </c>
      <c r="N17" s="240" t="s">
        <v>525</v>
      </c>
      <c r="O17" s="248" t="s">
        <v>514</v>
      </c>
      <c r="P17" s="240" t="s">
        <v>526</v>
      </c>
      <c r="Q17" s="240" t="s">
        <v>380</v>
      </c>
      <c r="R17" s="238">
        <v>3204952</v>
      </c>
      <c r="S17" s="234" t="s">
        <v>527</v>
      </c>
      <c r="T17" s="235" t="s">
        <v>52</v>
      </c>
      <c r="U17" s="236" t="s">
        <v>51</v>
      </c>
      <c r="V17" s="153"/>
      <c r="W17" s="153"/>
      <c r="X17" s="153"/>
      <c r="Y17" s="153"/>
      <c r="Z17" s="153"/>
      <c r="AA17" s="153"/>
      <c r="AB17" s="153"/>
    </row>
    <row r="18" spans="1:28" ht="19.5" customHeight="1">
      <c r="A18" s="169">
        <v>3</v>
      </c>
      <c r="B18" s="162" t="s">
        <v>8</v>
      </c>
      <c r="C18" s="171">
        <f>'PLAN RASHODA I IZDATAKA'!D4</f>
        <v>37675594</v>
      </c>
      <c r="D18" s="172">
        <f>'PLAN RASHODA I IZDATAKA'!D72</f>
        <v>37496224.899999999</v>
      </c>
      <c r="E18" s="172">
        <f>'PLAN RASHODA I IZDATAKA'!D92</f>
        <v>36567307.600000001</v>
      </c>
      <c r="F18" s="153"/>
      <c r="G18" s="153"/>
      <c r="H18" s="153"/>
      <c r="I18" s="153"/>
      <c r="J18" s="153"/>
      <c r="K18" s="239">
        <f t="shared" si="0"/>
        <v>12</v>
      </c>
      <c r="L18" s="237" t="s">
        <v>2255</v>
      </c>
      <c r="M18" s="237">
        <v>1870</v>
      </c>
      <c r="N18" s="240" t="s">
        <v>592</v>
      </c>
      <c r="O18" s="248" t="s">
        <v>514</v>
      </c>
      <c r="P18" s="240" t="s">
        <v>593</v>
      </c>
      <c r="Q18" s="240" t="s">
        <v>380</v>
      </c>
      <c r="R18" s="238">
        <v>3204995</v>
      </c>
      <c r="S18" s="234" t="s">
        <v>594</v>
      </c>
      <c r="T18" s="235" t="s">
        <v>52</v>
      </c>
      <c r="U18" s="236" t="s">
        <v>51</v>
      </c>
      <c r="V18" s="153"/>
      <c r="W18" s="153"/>
      <c r="X18" s="153"/>
      <c r="Y18" s="153"/>
      <c r="Z18" s="153"/>
      <c r="AA18" s="153"/>
      <c r="AB18" s="153"/>
    </row>
    <row r="19" spans="1:28" ht="19.5" customHeight="1">
      <c r="A19" s="165">
        <v>4</v>
      </c>
      <c r="B19" s="167" t="s">
        <v>9</v>
      </c>
      <c r="C19" s="171">
        <f>'PLAN RASHODA I IZDATAKA'!D38</f>
        <v>667000</v>
      </c>
      <c r="D19" s="172">
        <f>'PLAN RASHODA I IZDATAKA'!D80</f>
        <v>673850</v>
      </c>
      <c r="E19" s="172">
        <f>'PLAN RASHODA I IZDATAKA'!D100</f>
        <v>618700</v>
      </c>
      <c r="F19" s="153"/>
      <c r="G19" s="153"/>
      <c r="H19" s="153"/>
      <c r="I19" s="153"/>
      <c r="J19" s="153"/>
      <c r="K19" s="239">
        <f t="shared" si="0"/>
        <v>13</v>
      </c>
      <c r="L19" s="237" t="s">
        <v>2248</v>
      </c>
      <c r="M19" s="237">
        <v>1888</v>
      </c>
      <c r="N19" s="240" t="s">
        <v>573</v>
      </c>
      <c r="O19" s="248" t="s">
        <v>514</v>
      </c>
      <c r="P19" s="240" t="s">
        <v>574</v>
      </c>
      <c r="Q19" s="240" t="s">
        <v>380</v>
      </c>
      <c r="R19" s="238">
        <v>3270211</v>
      </c>
      <c r="S19" s="234" t="s">
        <v>575</v>
      </c>
      <c r="T19" s="235" t="s">
        <v>52</v>
      </c>
      <c r="U19" s="236" t="s">
        <v>51</v>
      </c>
      <c r="V19" s="153"/>
      <c r="W19" s="153"/>
      <c r="X19" s="153"/>
      <c r="Y19" s="153"/>
      <c r="Z19" s="153"/>
      <c r="AA19" s="153"/>
      <c r="AB19" s="153"/>
    </row>
    <row r="20" spans="1:28" ht="19.5" customHeight="1">
      <c r="A20" s="162"/>
      <c r="B20" s="162" t="s">
        <v>10</v>
      </c>
      <c r="C20" s="163">
        <f>+C14-C17</f>
        <v>1116433</v>
      </c>
      <c r="D20" s="163">
        <f>+D14-D17</f>
        <v>1012370.1000000015</v>
      </c>
      <c r="E20" s="163">
        <f>+E14-E17</f>
        <v>718060.39999999851</v>
      </c>
      <c r="F20" s="153"/>
      <c r="G20" s="153"/>
      <c r="H20" s="153"/>
      <c r="I20" s="153"/>
      <c r="J20" s="153"/>
      <c r="K20" s="239">
        <f t="shared" si="0"/>
        <v>14</v>
      </c>
      <c r="L20" s="237" t="s">
        <v>2256</v>
      </c>
      <c r="M20" s="237">
        <v>1896</v>
      </c>
      <c r="N20" s="240" t="s">
        <v>595</v>
      </c>
      <c r="O20" s="248" t="s">
        <v>514</v>
      </c>
      <c r="P20" s="240" t="s">
        <v>2166</v>
      </c>
      <c r="Q20" s="240" t="s">
        <v>380</v>
      </c>
      <c r="R20" s="238">
        <v>3281485</v>
      </c>
      <c r="S20" s="234" t="s">
        <v>596</v>
      </c>
      <c r="T20" s="235" t="s">
        <v>52</v>
      </c>
      <c r="U20" s="236" t="s">
        <v>51</v>
      </c>
      <c r="V20" s="153"/>
      <c r="W20" s="153"/>
      <c r="X20" s="153"/>
      <c r="Y20" s="153"/>
      <c r="Z20" s="153"/>
      <c r="AA20" s="153"/>
      <c r="AB20" s="153"/>
    </row>
    <row r="21" spans="1:28" ht="19.5" customHeight="1">
      <c r="B21" s="293"/>
      <c r="C21" s="294"/>
      <c r="D21" s="294"/>
      <c r="E21" s="294"/>
      <c r="F21" s="153"/>
      <c r="G21" s="153"/>
      <c r="H21" s="153"/>
      <c r="I21" s="153"/>
      <c r="J21" s="153"/>
      <c r="K21" s="239">
        <f t="shared" si="0"/>
        <v>15</v>
      </c>
      <c r="L21" s="237" t="s">
        <v>2239</v>
      </c>
      <c r="M21" s="237">
        <v>1907</v>
      </c>
      <c r="N21" s="240" t="s">
        <v>543</v>
      </c>
      <c r="O21" s="248" t="s">
        <v>514</v>
      </c>
      <c r="P21" s="240" t="s">
        <v>544</v>
      </c>
      <c r="Q21" s="240" t="s">
        <v>380</v>
      </c>
      <c r="R21" s="238">
        <v>3270262</v>
      </c>
      <c r="S21" s="234" t="s">
        <v>545</v>
      </c>
      <c r="T21" s="235" t="s">
        <v>52</v>
      </c>
      <c r="U21" s="236" t="s">
        <v>51</v>
      </c>
      <c r="V21" s="153"/>
      <c r="W21" s="153"/>
      <c r="X21" s="153"/>
      <c r="Y21" s="153"/>
      <c r="Z21" s="153"/>
      <c r="AA21" s="153"/>
      <c r="AB21" s="153"/>
    </row>
    <row r="22" spans="1:28" ht="29.25" customHeight="1">
      <c r="A22" s="160"/>
      <c r="B22" s="160"/>
      <c r="C22" s="160" t="s">
        <v>2141</v>
      </c>
      <c r="D22" s="160" t="s">
        <v>2142</v>
      </c>
      <c r="E22" s="160" t="s">
        <v>2143</v>
      </c>
      <c r="F22" s="153"/>
      <c r="G22" s="153"/>
      <c r="H22" s="168"/>
      <c r="I22" s="153"/>
      <c r="J22" s="153"/>
      <c r="K22" s="239">
        <f t="shared" si="0"/>
        <v>16</v>
      </c>
      <c r="L22" s="237" t="s">
        <v>2251</v>
      </c>
      <c r="M22" s="237">
        <v>1915</v>
      </c>
      <c r="N22" s="240" t="s">
        <v>581</v>
      </c>
      <c r="O22" s="248" t="s">
        <v>514</v>
      </c>
      <c r="P22" s="240" t="s">
        <v>582</v>
      </c>
      <c r="Q22" s="240" t="s">
        <v>380</v>
      </c>
      <c r="R22" s="238">
        <v>3225909</v>
      </c>
      <c r="S22" s="234" t="s">
        <v>583</v>
      </c>
      <c r="T22" s="235" t="s">
        <v>52</v>
      </c>
      <c r="U22" s="236" t="s">
        <v>51</v>
      </c>
      <c r="V22" s="153"/>
      <c r="W22" s="153"/>
      <c r="X22" s="153"/>
      <c r="Y22" s="153"/>
      <c r="Z22" s="153"/>
      <c r="AA22" s="153"/>
      <c r="AB22" s="153"/>
    </row>
    <row r="23" spans="1:28" ht="30">
      <c r="A23" s="173" t="s">
        <v>11</v>
      </c>
      <c r="B23" s="173" t="s">
        <v>12</v>
      </c>
      <c r="C23" s="171">
        <f>'PLAN PRIHODA I PRIMITAKA '!D5</f>
        <v>11717197</v>
      </c>
      <c r="D23" s="171">
        <f>'PLAN PRIHODA I PRIMITAKA '!D46</f>
        <v>12833630</v>
      </c>
      <c r="E23" s="171">
        <f>'PLAN PRIHODA I PRIMITAKA '!D87</f>
        <v>13846000</v>
      </c>
      <c r="F23" s="153"/>
      <c r="G23" s="153"/>
      <c r="H23" s="174"/>
      <c r="I23" s="153"/>
      <c r="J23" s="153"/>
      <c r="K23" s="239">
        <f t="shared" si="0"/>
        <v>17</v>
      </c>
      <c r="L23" s="237" t="s">
        <v>2228</v>
      </c>
      <c r="M23" s="237">
        <v>1923</v>
      </c>
      <c r="N23" s="240" t="s">
        <v>516</v>
      </c>
      <c r="O23" s="248" t="s">
        <v>514</v>
      </c>
      <c r="P23" s="240" t="s">
        <v>517</v>
      </c>
      <c r="Q23" s="240" t="s">
        <v>380</v>
      </c>
      <c r="R23" s="238">
        <v>3283097</v>
      </c>
      <c r="S23" s="234" t="s">
        <v>518</v>
      </c>
      <c r="T23" s="235" t="s">
        <v>52</v>
      </c>
      <c r="U23" s="236" t="s">
        <v>51</v>
      </c>
      <c r="V23" s="153"/>
      <c r="W23" s="153"/>
      <c r="X23" s="153"/>
      <c r="Y23" s="153"/>
      <c r="Z23" s="153"/>
      <c r="AA23" s="153"/>
      <c r="AB23" s="153"/>
    </row>
    <row r="24" spans="1:28" ht="30">
      <c r="A24" s="173" t="s">
        <v>13</v>
      </c>
      <c r="B24" s="173" t="s">
        <v>14</v>
      </c>
      <c r="C24" s="175">
        <f>'PLAN PRIHODA I PRIMITAKA '!D7</f>
        <v>-12833630</v>
      </c>
      <c r="D24" s="175">
        <f>'PLAN PRIHODA I PRIMITAKA '!D48</f>
        <v>-13846000</v>
      </c>
      <c r="E24" s="176">
        <f>'PLAN PRIHODA I PRIMITAKA '!D89</f>
        <v>-14564060</v>
      </c>
      <c r="F24" s="153"/>
      <c r="G24" s="153"/>
      <c r="H24" s="174"/>
      <c r="I24" s="153"/>
      <c r="J24" s="153"/>
      <c r="K24" s="239">
        <f t="shared" si="0"/>
        <v>18</v>
      </c>
      <c r="L24" s="237" t="s">
        <v>2233</v>
      </c>
      <c r="M24" s="237">
        <v>1931</v>
      </c>
      <c r="N24" s="240" t="s">
        <v>531</v>
      </c>
      <c r="O24" s="241" t="s">
        <v>514</v>
      </c>
      <c r="P24" s="240" t="s">
        <v>2158</v>
      </c>
      <c r="Q24" s="240" t="s">
        <v>380</v>
      </c>
      <c r="R24" s="238">
        <v>3272079</v>
      </c>
      <c r="S24" s="234" t="s">
        <v>532</v>
      </c>
      <c r="T24" s="235" t="s">
        <v>52</v>
      </c>
      <c r="U24" s="236" t="s">
        <v>51</v>
      </c>
      <c r="V24" s="153"/>
      <c r="W24" s="153"/>
      <c r="X24" s="153"/>
      <c r="Y24" s="153"/>
      <c r="Z24" s="153"/>
      <c r="AA24" s="153"/>
      <c r="AB24" s="153"/>
    </row>
    <row r="25" spans="1:28" ht="19.5" customHeight="1">
      <c r="B25" s="293"/>
      <c r="C25" s="294"/>
      <c r="D25" s="294"/>
      <c r="E25" s="294"/>
      <c r="F25" s="153"/>
      <c r="G25" s="153"/>
      <c r="H25" s="153"/>
      <c r="I25" s="153"/>
      <c r="J25" s="153"/>
      <c r="K25" s="239">
        <f t="shared" si="0"/>
        <v>19</v>
      </c>
      <c r="L25" s="237" t="s">
        <v>2258</v>
      </c>
      <c r="M25" s="237">
        <v>1940</v>
      </c>
      <c r="N25" s="240" t="s">
        <v>600</v>
      </c>
      <c r="O25" s="241" t="s">
        <v>514</v>
      </c>
      <c r="P25" s="240" t="s">
        <v>601</v>
      </c>
      <c r="Q25" s="240" t="s">
        <v>380</v>
      </c>
      <c r="R25" s="238">
        <v>1422545</v>
      </c>
      <c r="S25" s="234" t="s">
        <v>602</v>
      </c>
      <c r="T25" s="235" t="s">
        <v>52</v>
      </c>
      <c r="U25" s="236" t="s">
        <v>51</v>
      </c>
      <c r="V25" s="153"/>
      <c r="W25" s="153"/>
      <c r="X25" s="153"/>
      <c r="Y25" s="153"/>
      <c r="Z25" s="153"/>
      <c r="AA25" s="153"/>
      <c r="AB25" s="153"/>
    </row>
    <row r="26" spans="1:28" ht="30.75" customHeight="1">
      <c r="A26" s="160"/>
      <c r="B26" s="160"/>
      <c r="C26" s="160" t="s">
        <v>2141</v>
      </c>
      <c r="D26" s="160" t="s">
        <v>2142</v>
      </c>
      <c r="E26" s="160" t="s">
        <v>2143</v>
      </c>
      <c r="F26" s="153"/>
      <c r="G26" s="153"/>
      <c r="H26" s="177"/>
      <c r="I26" s="153"/>
      <c r="J26" s="153"/>
      <c r="K26" s="239">
        <f t="shared" si="0"/>
        <v>20</v>
      </c>
      <c r="L26" s="237" t="s">
        <v>2243</v>
      </c>
      <c r="M26" s="237">
        <v>1958</v>
      </c>
      <c r="N26" s="240" t="s">
        <v>555</v>
      </c>
      <c r="O26" s="241" t="s">
        <v>514</v>
      </c>
      <c r="P26" s="240" t="s">
        <v>556</v>
      </c>
      <c r="Q26" s="240" t="s">
        <v>380</v>
      </c>
      <c r="R26" s="238">
        <v>3254852</v>
      </c>
      <c r="S26" s="234" t="s">
        <v>557</v>
      </c>
      <c r="T26" s="235" t="s">
        <v>52</v>
      </c>
      <c r="U26" s="236" t="s">
        <v>51</v>
      </c>
      <c r="V26" s="153"/>
      <c r="W26" s="153"/>
      <c r="X26" s="153"/>
      <c r="Y26" s="153"/>
      <c r="Z26" s="153"/>
      <c r="AA26" s="153"/>
      <c r="AB26" s="153"/>
    </row>
    <row r="27" spans="1:28" ht="30">
      <c r="A27" s="165">
        <v>8</v>
      </c>
      <c r="B27" s="162" t="s">
        <v>15</v>
      </c>
      <c r="C27" s="166">
        <f>'PLAN PRIHODA I PRIMITAKA '!D41</f>
        <v>0</v>
      </c>
      <c r="D27" s="166">
        <f>'PLAN PRIHODA I PRIMITAKA '!D82</f>
        <v>0</v>
      </c>
      <c r="E27" s="166">
        <f>'PLAN PRIHODA I PRIMITAKA '!D123</f>
        <v>0</v>
      </c>
      <c r="F27" s="153"/>
      <c r="G27" s="153"/>
      <c r="H27" s="153"/>
      <c r="I27" s="153"/>
      <c r="J27" s="153"/>
      <c r="K27" s="239">
        <f t="shared" si="0"/>
        <v>21</v>
      </c>
      <c r="L27" s="237" t="s">
        <v>2232</v>
      </c>
      <c r="M27" s="237">
        <v>1966</v>
      </c>
      <c r="N27" s="240" t="s">
        <v>528</v>
      </c>
      <c r="O27" s="241" t="s">
        <v>514</v>
      </c>
      <c r="P27" s="240" t="s">
        <v>529</v>
      </c>
      <c r="Q27" s="240" t="s">
        <v>380</v>
      </c>
      <c r="R27" s="238">
        <v>3219780</v>
      </c>
      <c r="S27" s="234" t="s">
        <v>530</v>
      </c>
      <c r="T27" s="235" t="s">
        <v>52</v>
      </c>
      <c r="U27" s="236" t="s">
        <v>51</v>
      </c>
      <c r="V27" s="153"/>
      <c r="W27" s="153"/>
      <c r="X27" s="153"/>
      <c r="Y27" s="153"/>
      <c r="Z27" s="153"/>
      <c r="AA27" s="153"/>
      <c r="AB27" s="153"/>
    </row>
    <row r="28" spans="1:28" ht="30">
      <c r="A28" s="165">
        <v>5</v>
      </c>
      <c r="B28" s="162" t="s">
        <v>16</v>
      </c>
      <c r="C28" s="166">
        <f>'PLAN RASHODA I IZDATAKA'!D58</f>
        <v>0</v>
      </c>
      <c r="D28" s="166">
        <f>'PLAN RASHODA I IZDATAKA'!D86</f>
        <v>0</v>
      </c>
      <c r="E28" s="166">
        <f>'PLAN RASHODA I IZDATAKA'!D106</f>
        <v>0</v>
      </c>
      <c r="F28" s="178"/>
      <c r="G28" s="153"/>
      <c r="H28" s="153"/>
      <c r="I28" s="153"/>
      <c r="J28" s="153"/>
      <c r="K28" s="239">
        <f t="shared" si="0"/>
        <v>22</v>
      </c>
      <c r="L28" s="237" t="s">
        <v>2229</v>
      </c>
      <c r="M28" s="237">
        <v>1974</v>
      </c>
      <c r="N28" s="240" t="s">
        <v>519</v>
      </c>
      <c r="O28" s="248" t="s">
        <v>514</v>
      </c>
      <c r="P28" s="240" t="s">
        <v>520</v>
      </c>
      <c r="Q28" s="240" t="s">
        <v>380</v>
      </c>
      <c r="R28" s="238">
        <v>3205029</v>
      </c>
      <c r="S28" s="234" t="s">
        <v>521</v>
      </c>
      <c r="T28" s="235" t="s">
        <v>52</v>
      </c>
      <c r="U28" s="236" t="s">
        <v>51</v>
      </c>
      <c r="V28" s="153"/>
      <c r="W28" s="153"/>
      <c r="X28" s="153"/>
      <c r="Y28" s="153"/>
      <c r="Z28" s="153"/>
      <c r="AA28" s="153"/>
      <c r="AB28" s="153"/>
    </row>
    <row r="29" spans="1:28" ht="19.5" customHeight="1">
      <c r="A29" s="162"/>
      <c r="B29" s="162" t="s">
        <v>17</v>
      </c>
      <c r="C29" s="170">
        <f>+C27-C28</f>
        <v>0</v>
      </c>
      <c r="D29" s="170">
        <f>+D27-D28</f>
        <v>0</v>
      </c>
      <c r="E29" s="170">
        <f>+E27-E28</f>
        <v>0</v>
      </c>
      <c r="F29" s="153"/>
      <c r="G29" s="153"/>
      <c r="H29" s="153"/>
      <c r="I29" s="153"/>
      <c r="J29" s="153"/>
      <c r="K29" s="239">
        <f t="shared" si="0"/>
        <v>23</v>
      </c>
      <c r="L29" s="237" t="s">
        <v>2230</v>
      </c>
      <c r="M29" s="237">
        <v>1982</v>
      </c>
      <c r="N29" s="240" t="s">
        <v>522</v>
      </c>
      <c r="O29" s="248" t="s">
        <v>514</v>
      </c>
      <c r="P29" s="240" t="s">
        <v>523</v>
      </c>
      <c r="Q29" s="240" t="s">
        <v>380</v>
      </c>
      <c r="R29" s="238">
        <v>3207919</v>
      </c>
      <c r="S29" s="234" t="s">
        <v>524</v>
      </c>
      <c r="T29" s="235" t="s">
        <v>52</v>
      </c>
      <c r="U29" s="236" t="s">
        <v>51</v>
      </c>
      <c r="V29" s="153"/>
      <c r="W29" s="153"/>
      <c r="X29" s="153"/>
      <c r="Y29" s="153"/>
      <c r="Z29" s="153"/>
      <c r="AA29" s="153"/>
      <c r="AB29" s="153"/>
    </row>
    <row r="30" spans="1:28" ht="19.5" customHeight="1">
      <c r="B30" s="293"/>
      <c r="C30" s="294"/>
      <c r="D30" s="294"/>
      <c r="E30" s="294"/>
      <c r="F30" s="153"/>
      <c r="G30" s="153"/>
      <c r="H30" s="153"/>
      <c r="I30" s="153"/>
      <c r="J30" s="153"/>
      <c r="K30" s="239">
        <f t="shared" si="0"/>
        <v>24</v>
      </c>
      <c r="L30" s="237" t="s">
        <v>2250</v>
      </c>
      <c r="M30" s="237">
        <v>1999</v>
      </c>
      <c r="N30" s="240" t="s">
        <v>579</v>
      </c>
      <c r="O30" s="248" t="s">
        <v>514</v>
      </c>
      <c r="P30" s="240" t="s">
        <v>2165</v>
      </c>
      <c r="Q30" s="240" t="s">
        <v>380</v>
      </c>
      <c r="R30" s="238">
        <v>3205002</v>
      </c>
      <c r="S30" s="234" t="s">
        <v>580</v>
      </c>
      <c r="T30" s="235" t="s">
        <v>52</v>
      </c>
      <c r="U30" s="236" t="s">
        <v>51</v>
      </c>
      <c r="V30" s="153"/>
      <c r="W30" s="153"/>
      <c r="X30" s="153"/>
      <c r="Y30" s="153"/>
      <c r="Z30" s="153"/>
      <c r="AA30" s="153"/>
      <c r="AB30" s="153"/>
    </row>
    <row r="31" spans="1:28" ht="30">
      <c r="A31" s="179"/>
      <c r="B31" s="179" t="s">
        <v>18</v>
      </c>
      <c r="C31" s="180">
        <f>+C20+C23+C24+C29</f>
        <v>0</v>
      </c>
      <c r="D31" s="180">
        <f>+D20+D23+D24+D29</f>
        <v>0.10000000149011612</v>
      </c>
      <c r="E31" s="180">
        <f>+E20+E23+E24+E29</f>
        <v>0.39999999850988388</v>
      </c>
      <c r="F31" s="153"/>
      <c r="G31" s="181"/>
      <c r="H31" s="153"/>
      <c r="I31" s="153"/>
      <c r="J31" s="153"/>
      <c r="K31" s="239">
        <f t="shared" si="0"/>
        <v>25</v>
      </c>
      <c r="L31" s="237" t="s">
        <v>2247</v>
      </c>
      <c r="M31" s="237">
        <v>2006</v>
      </c>
      <c r="N31" s="240" t="s">
        <v>570</v>
      </c>
      <c r="O31" s="248" t="s">
        <v>514</v>
      </c>
      <c r="P31" s="240" t="s">
        <v>571</v>
      </c>
      <c r="Q31" s="240" t="s">
        <v>380</v>
      </c>
      <c r="R31" s="238">
        <v>3274080</v>
      </c>
      <c r="S31" s="234" t="s">
        <v>572</v>
      </c>
      <c r="T31" s="235" t="s">
        <v>52</v>
      </c>
      <c r="U31" s="236" t="s">
        <v>51</v>
      </c>
      <c r="V31" s="153"/>
      <c r="W31" s="153"/>
      <c r="X31" s="153"/>
      <c r="Y31" s="153"/>
      <c r="Z31" s="153"/>
      <c r="AA31" s="153"/>
      <c r="AB31" s="153"/>
    </row>
    <row r="32" spans="1:28" ht="18.75" customHeight="1">
      <c r="A32" s="159"/>
      <c r="B32" s="159"/>
      <c r="C32" s="153"/>
      <c r="D32" s="153"/>
      <c r="E32" s="153"/>
      <c r="F32" s="153"/>
      <c r="G32" s="153"/>
      <c r="H32" s="153"/>
      <c r="I32" s="153"/>
      <c r="J32" s="153"/>
      <c r="K32" s="239">
        <f t="shared" si="0"/>
        <v>26</v>
      </c>
      <c r="L32" s="237" t="s">
        <v>2242</v>
      </c>
      <c r="M32" s="237">
        <v>2014</v>
      </c>
      <c r="N32" s="240" t="s">
        <v>552</v>
      </c>
      <c r="O32" s="248" t="s">
        <v>514</v>
      </c>
      <c r="P32" s="240" t="s">
        <v>553</v>
      </c>
      <c r="Q32" s="240" t="s">
        <v>380</v>
      </c>
      <c r="R32" s="238">
        <v>3205037</v>
      </c>
      <c r="S32" s="234" t="s">
        <v>554</v>
      </c>
      <c r="T32" s="235" t="s">
        <v>52</v>
      </c>
      <c r="U32" s="236" t="s">
        <v>51</v>
      </c>
      <c r="V32" s="153"/>
      <c r="W32" s="153"/>
      <c r="X32" s="153"/>
      <c r="Y32" s="153"/>
      <c r="Z32" s="153"/>
      <c r="AA32" s="153"/>
      <c r="AB32" s="153"/>
    </row>
    <row r="33" spans="1:28" ht="15">
      <c r="A33" s="182"/>
      <c r="B33" s="182"/>
      <c r="C33" s="182"/>
      <c r="D33" s="182"/>
      <c r="E33" s="182"/>
      <c r="F33" s="182"/>
      <c r="G33" s="183"/>
      <c r="H33" s="183"/>
      <c r="I33" s="183"/>
      <c r="J33" s="183"/>
      <c r="K33" s="239">
        <f t="shared" si="0"/>
        <v>27</v>
      </c>
      <c r="L33" s="237" t="s">
        <v>2259</v>
      </c>
      <c r="M33" s="237">
        <v>2022</v>
      </c>
      <c r="N33" s="240" t="s">
        <v>603</v>
      </c>
      <c r="O33" s="248" t="s">
        <v>514</v>
      </c>
      <c r="P33" s="240" t="s">
        <v>604</v>
      </c>
      <c r="Q33" s="240" t="s">
        <v>380</v>
      </c>
      <c r="R33" s="238">
        <v>3225755</v>
      </c>
      <c r="S33" s="234" t="s">
        <v>605</v>
      </c>
      <c r="T33" s="235" t="s">
        <v>52</v>
      </c>
      <c r="U33" s="236" t="s">
        <v>51</v>
      </c>
      <c r="V33" s="183"/>
      <c r="W33" s="183"/>
      <c r="X33" s="183"/>
      <c r="Y33" s="183"/>
      <c r="Z33" s="183"/>
      <c r="AA33" s="183"/>
      <c r="AB33" s="183"/>
    </row>
    <row r="34" spans="1:28" ht="15">
      <c r="A34" s="153"/>
      <c r="B34" s="153"/>
      <c r="C34" s="153"/>
      <c r="D34" s="153"/>
      <c r="E34" s="153"/>
      <c r="F34" s="153"/>
      <c r="G34" s="153"/>
      <c r="H34" s="153"/>
      <c r="I34" s="153"/>
      <c r="J34" s="153"/>
      <c r="K34" s="239">
        <f t="shared" si="0"/>
        <v>28</v>
      </c>
      <c r="L34" s="237" t="s">
        <v>2254</v>
      </c>
      <c r="M34" s="237">
        <v>2047</v>
      </c>
      <c r="N34" s="240" t="s">
        <v>589</v>
      </c>
      <c r="O34" s="248" t="s">
        <v>514</v>
      </c>
      <c r="P34" s="240" t="s">
        <v>590</v>
      </c>
      <c r="Q34" s="240" t="s">
        <v>380</v>
      </c>
      <c r="R34" s="238">
        <v>3207005</v>
      </c>
      <c r="S34" s="234" t="s">
        <v>591</v>
      </c>
      <c r="T34" s="235" t="s">
        <v>52</v>
      </c>
      <c r="U34" s="236" t="s">
        <v>51</v>
      </c>
      <c r="V34" s="153"/>
      <c r="W34" s="153"/>
      <c r="X34" s="153"/>
      <c r="Y34" s="153"/>
      <c r="Z34" s="153"/>
      <c r="AA34" s="153"/>
      <c r="AB34" s="153"/>
    </row>
    <row r="35" spans="1:28" ht="15">
      <c r="A35" s="153"/>
      <c r="B35" s="153"/>
      <c r="C35" s="153"/>
      <c r="D35" s="153"/>
      <c r="E35" s="153"/>
      <c r="F35" s="153"/>
      <c r="G35" s="153"/>
      <c r="H35" s="153"/>
      <c r="I35" s="153"/>
      <c r="J35" s="153"/>
      <c r="K35" s="239">
        <f>1</f>
        <v>1</v>
      </c>
      <c r="L35" s="237" t="s">
        <v>2178</v>
      </c>
      <c r="M35" s="237">
        <v>2063</v>
      </c>
      <c r="N35" s="240" t="s">
        <v>606</v>
      </c>
      <c r="O35" s="248" t="s">
        <v>514</v>
      </c>
      <c r="P35" s="240" t="s">
        <v>607</v>
      </c>
      <c r="Q35" s="240" t="s">
        <v>562</v>
      </c>
      <c r="R35" s="238">
        <v>3006107</v>
      </c>
      <c r="S35" s="234" t="s">
        <v>608</v>
      </c>
      <c r="T35" s="235" t="s">
        <v>52</v>
      </c>
      <c r="U35" s="236" t="s">
        <v>51</v>
      </c>
      <c r="V35" s="153"/>
      <c r="W35" s="153"/>
      <c r="X35" s="153"/>
      <c r="Y35" s="153"/>
      <c r="Z35" s="153"/>
      <c r="AA35" s="153"/>
      <c r="AB35" s="153"/>
    </row>
    <row r="36" spans="1:28" ht="15">
      <c r="A36" s="153"/>
      <c r="B36" s="153"/>
      <c r="C36" s="153"/>
      <c r="D36" s="153"/>
      <c r="E36" s="153"/>
      <c r="F36" s="153"/>
      <c r="G36" s="153"/>
      <c r="H36" s="153"/>
      <c r="I36" s="153"/>
      <c r="J36" s="153"/>
      <c r="K36" s="239">
        <f t="shared" ref="K36:K67" si="1">+K35+1</f>
        <v>2</v>
      </c>
      <c r="L36" s="237" t="s">
        <v>2249</v>
      </c>
      <c r="M36" s="237">
        <v>2071</v>
      </c>
      <c r="N36" s="240" t="s">
        <v>576</v>
      </c>
      <c r="O36" s="248" t="s">
        <v>514</v>
      </c>
      <c r="P36" s="240" t="s">
        <v>577</v>
      </c>
      <c r="Q36" s="240" t="s">
        <v>2164</v>
      </c>
      <c r="R36" s="238">
        <v>3313786</v>
      </c>
      <c r="S36" s="234" t="s">
        <v>578</v>
      </c>
      <c r="T36" s="235" t="s">
        <v>52</v>
      </c>
      <c r="U36" s="236" t="s">
        <v>51</v>
      </c>
      <c r="V36" s="153"/>
      <c r="W36" s="153"/>
      <c r="X36" s="153"/>
      <c r="Y36" s="153"/>
      <c r="Z36" s="153"/>
      <c r="AA36" s="153"/>
      <c r="AB36" s="153"/>
    </row>
    <row r="37" spans="1:28" ht="15">
      <c r="A37" s="153"/>
      <c r="B37" s="153"/>
      <c r="C37" s="153"/>
      <c r="D37" s="153"/>
      <c r="E37" s="153"/>
      <c r="F37" s="153"/>
      <c r="G37" s="153"/>
      <c r="H37" s="153"/>
      <c r="I37" s="153"/>
      <c r="J37" s="153"/>
      <c r="K37" s="239">
        <f t="shared" si="1"/>
        <v>3</v>
      </c>
      <c r="L37" s="237" t="s">
        <v>2246</v>
      </c>
      <c r="M37" s="237">
        <v>2080</v>
      </c>
      <c r="N37" s="240" t="s">
        <v>567</v>
      </c>
      <c r="O37" s="248" t="s">
        <v>514</v>
      </c>
      <c r="P37" s="240" t="s">
        <v>568</v>
      </c>
      <c r="Q37" s="240" t="s">
        <v>380</v>
      </c>
      <c r="R37" s="238">
        <v>3219763</v>
      </c>
      <c r="S37" s="234" t="s">
        <v>569</v>
      </c>
      <c r="T37" s="235" t="s">
        <v>52</v>
      </c>
      <c r="U37" s="236" t="s">
        <v>51</v>
      </c>
      <c r="V37" s="153"/>
      <c r="W37" s="153"/>
      <c r="X37" s="153"/>
      <c r="Y37" s="153"/>
      <c r="Z37" s="153"/>
      <c r="AA37" s="153"/>
      <c r="AB37" s="153"/>
    </row>
    <row r="38" spans="1:28" ht="15">
      <c r="A38" s="153"/>
      <c r="B38" s="153"/>
      <c r="C38" s="153"/>
      <c r="D38" s="153"/>
      <c r="E38" s="153"/>
      <c r="F38" s="153"/>
      <c r="G38" s="153"/>
      <c r="H38" s="153"/>
      <c r="I38" s="153"/>
      <c r="J38" s="153"/>
      <c r="K38" s="239">
        <f t="shared" si="1"/>
        <v>4</v>
      </c>
      <c r="L38" s="237" t="s">
        <v>2179</v>
      </c>
      <c r="M38" s="237">
        <v>2102</v>
      </c>
      <c r="N38" s="240" t="s">
        <v>560</v>
      </c>
      <c r="O38" s="248" t="s">
        <v>514</v>
      </c>
      <c r="P38" s="240" t="s">
        <v>561</v>
      </c>
      <c r="Q38" s="240" t="s">
        <v>562</v>
      </c>
      <c r="R38" s="238">
        <v>3042316</v>
      </c>
      <c r="S38" s="234" t="s">
        <v>563</v>
      </c>
      <c r="T38" s="235" t="s">
        <v>52</v>
      </c>
      <c r="U38" s="236" t="s">
        <v>51</v>
      </c>
      <c r="V38" s="153"/>
      <c r="W38" s="153"/>
      <c r="X38" s="153"/>
      <c r="Y38" s="153"/>
      <c r="Z38" s="153"/>
      <c r="AA38" s="153"/>
      <c r="AB38" s="153"/>
    </row>
    <row r="39" spans="1:28" ht="15">
      <c r="A39" s="153"/>
      <c r="B39" s="153"/>
      <c r="C39" s="153"/>
      <c r="D39" s="153"/>
      <c r="E39" s="153"/>
      <c r="F39" s="153"/>
      <c r="G39" s="153"/>
      <c r="H39" s="153"/>
      <c r="I39" s="153"/>
      <c r="J39" s="153"/>
      <c r="K39" s="239">
        <f t="shared" si="1"/>
        <v>5</v>
      </c>
      <c r="L39" s="237" t="s">
        <v>2236</v>
      </c>
      <c r="M39" s="237">
        <v>2135</v>
      </c>
      <c r="N39" s="240" t="s">
        <v>538</v>
      </c>
      <c r="O39" s="248" t="s">
        <v>514</v>
      </c>
      <c r="P39" s="240" t="s">
        <v>539</v>
      </c>
      <c r="Q39" s="240" t="s">
        <v>380</v>
      </c>
      <c r="R39" s="238">
        <v>3703088</v>
      </c>
      <c r="S39" s="234">
        <v>48987767944</v>
      </c>
      <c r="T39" s="235" t="s">
        <v>52</v>
      </c>
      <c r="U39" s="236" t="s">
        <v>51</v>
      </c>
      <c r="V39" s="153"/>
      <c r="W39" s="153"/>
      <c r="X39" s="153"/>
      <c r="Y39" s="153"/>
      <c r="Z39" s="153"/>
      <c r="AA39" s="153"/>
      <c r="AB39" s="153"/>
    </row>
    <row r="40" spans="1:28" ht="15">
      <c r="A40" s="153"/>
      <c r="B40" s="153"/>
      <c r="C40" s="153"/>
      <c r="D40" s="153"/>
      <c r="E40" s="153"/>
      <c r="F40" s="153"/>
      <c r="G40" s="153"/>
      <c r="H40" s="153"/>
      <c r="I40" s="153"/>
      <c r="J40" s="153"/>
      <c r="K40" s="239">
        <f t="shared" si="1"/>
        <v>6</v>
      </c>
      <c r="L40" s="237" t="s">
        <v>2209</v>
      </c>
      <c r="M40" s="237">
        <v>2151</v>
      </c>
      <c r="N40" s="240" t="s">
        <v>466</v>
      </c>
      <c r="O40" s="158" t="s">
        <v>435</v>
      </c>
      <c r="P40" s="240" t="s">
        <v>467</v>
      </c>
      <c r="Q40" s="240" t="s">
        <v>437</v>
      </c>
      <c r="R40" s="238">
        <v>3334317</v>
      </c>
      <c r="S40" s="234" t="s">
        <v>468</v>
      </c>
      <c r="T40" s="235" t="s">
        <v>52</v>
      </c>
      <c r="U40" s="236" t="s">
        <v>51</v>
      </c>
      <c r="V40" s="153"/>
      <c r="W40" s="153"/>
      <c r="X40" s="153"/>
      <c r="Y40" s="153"/>
      <c r="Z40" s="153"/>
      <c r="AA40" s="153"/>
      <c r="AB40" s="153"/>
    </row>
    <row r="41" spans="1:28" ht="15">
      <c r="A41" s="153"/>
      <c r="B41" s="153"/>
      <c r="C41" s="153"/>
      <c r="D41" s="153"/>
      <c r="E41" s="153"/>
      <c r="F41" s="153"/>
      <c r="G41" s="153"/>
      <c r="H41" s="153"/>
      <c r="I41" s="153"/>
      <c r="J41" s="153"/>
      <c r="K41" s="239">
        <f t="shared" si="1"/>
        <v>7</v>
      </c>
      <c r="L41" s="237" t="s">
        <v>2204</v>
      </c>
      <c r="M41" s="237">
        <v>2160</v>
      </c>
      <c r="N41" s="240" t="s">
        <v>2153</v>
      </c>
      <c r="O41" s="247" t="s">
        <v>435</v>
      </c>
      <c r="P41" s="240" t="s">
        <v>452</v>
      </c>
      <c r="Q41" s="240" t="s">
        <v>437</v>
      </c>
      <c r="R41" s="238">
        <v>3395855</v>
      </c>
      <c r="S41" s="234" t="s">
        <v>453</v>
      </c>
      <c r="T41" s="235" t="s">
        <v>52</v>
      </c>
      <c r="U41" s="236" t="s">
        <v>51</v>
      </c>
      <c r="V41" s="153"/>
      <c r="W41" s="153"/>
      <c r="X41" s="153"/>
      <c r="Y41" s="153"/>
      <c r="Z41" s="153"/>
      <c r="AA41" s="153"/>
      <c r="AB41" s="153"/>
    </row>
    <row r="42" spans="1:28" ht="15">
      <c r="A42" s="153"/>
      <c r="B42" s="153"/>
      <c r="C42" s="153"/>
      <c r="D42" s="153"/>
      <c r="E42" s="153"/>
      <c r="F42" s="153"/>
      <c r="G42" s="153"/>
      <c r="H42" s="153"/>
      <c r="I42" s="153"/>
      <c r="J42" s="153"/>
      <c r="K42" s="239">
        <f t="shared" si="1"/>
        <v>8</v>
      </c>
      <c r="L42" s="237" t="s">
        <v>2201</v>
      </c>
      <c r="M42" s="237">
        <v>2186</v>
      </c>
      <c r="N42" s="240" t="s">
        <v>442</v>
      </c>
      <c r="O42" s="247" t="s">
        <v>435</v>
      </c>
      <c r="P42" s="240" t="s">
        <v>443</v>
      </c>
      <c r="Q42" s="240" t="s">
        <v>437</v>
      </c>
      <c r="R42" s="238">
        <v>3328627</v>
      </c>
      <c r="S42" s="234" t="s">
        <v>444</v>
      </c>
      <c r="T42" s="235" t="s">
        <v>52</v>
      </c>
      <c r="U42" s="236" t="s">
        <v>51</v>
      </c>
      <c r="V42" s="153"/>
      <c r="W42" s="153"/>
      <c r="X42" s="153"/>
      <c r="Y42" s="153"/>
      <c r="Z42" s="153"/>
      <c r="AA42" s="153"/>
      <c r="AB42" s="153"/>
    </row>
    <row r="43" spans="1:28" ht="15">
      <c r="A43" s="153"/>
      <c r="B43" s="153"/>
      <c r="C43" s="153"/>
      <c r="D43" s="153"/>
      <c r="E43" s="153"/>
      <c r="F43" s="153"/>
      <c r="G43" s="153"/>
      <c r="H43" s="153"/>
      <c r="I43" s="153"/>
      <c r="J43" s="153"/>
      <c r="K43" s="239">
        <f t="shared" si="1"/>
        <v>9</v>
      </c>
      <c r="L43" s="237" t="s">
        <v>2202</v>
      </c>
      <c r="M43" s="237">
        <v>2194</v>
      </c>
      <c r="N43" s="240" t="s">
        <v>445</v>
      </c>
      <c r="O43" s="247" t="s">
        <v>435</v>
      </c>
      <c r="P43" s="240" t="s">
        <v>446</v>
      </c>
      <c r="Q43" s="240" t="s">
        <v>447</v>
      </c>
      <c r="R43" s="238">
        <v>3091732</v>
      </c>
      <c r="S43" s="234" t="s">
        <v>448</v>
      </c>
      <c r="T43" s="235" t="s">
        <v>52</v>
      </c>
      <c r="U43" s="236" t="s">
        <v>51</v>
      </c>
      <c r="V43" s="153"/>
      <c r="W43" s="153"/>
      <c r="X43" s="153"/>
      <c r="Y43" s="153"/>
      <c r="Z43" s="153"/>
      <c r="AA43" s="153"/>
      <c r="AB43" s="153"/>
    </row>
    <row r="44" spans="1:28" ht="15">
      <c r="A44" s="153"/>
      <c r="B44" s="153"/>
      <c r="C44" s="153"/>
      <c r="D44" s="153"/>
      <c r="E44" s="153"/>
      <c r="F44" s="153"/>
      <c r="G44" s="153"/>
      <c r="H44" s="153"/>
      <c r="I44" s="153"/>
      <c r="J44" s="153"/>
      <c r="K44" s="239">
        <f t="shared" si="1"/>
        <v>10</v>
      </c>
      <c r="L44" s="237" t="s">
        <v>2207</v>
      </c>
      <c r="M44" s="237">
        <v>2217</v>
      </c>
      <c r="N44" s="240" t="s">
        <v>460</v>
      </c>
      <c r="O44" s="247" t="s">
        <v>435</v>
      </c>
      <c r="P44" s="240" t="s">
        <v>461</v>
      </c>
      <c r="Q44" s="240" t="s">
        <v>437</v>
      </c>
      <c r="R44" s="238">
        <v>3328562</v>
      </c>
      <c r="S44" s="234" t="s">
        <v>462</v>
      </c>
      <c r="T44" s="235" t="s">
        <v>52</v>
      </c>
      <c r="U44" s="236" t="s">
        <v>51</v>
      </c>
      <c r="V44" s="153"/>
      <c r="W44" s="153"/>
      <c r="X44" s="153"/>
      <c r="Y44" s="153"/>
      <c r="Z44" s="153"/>
      <c r="AA44" s="153"/>
      <c r="AB44" s="153"/>
    </row>
    <row r="45" spans="1:28" ht="15">
      <c r="A45" s="153"/>
      <c r="B45" s="153"/>
      <c r="C45" s="153"/>
      <c r="D45" s="153"/>
      <c r="E45" s="153"/>
      <c r="F45" s="153"/>
      <c r="G45" s="153"/>
      <c r="H45" s="153"/>
      <c r="I45" s="153"/>
      <c r="J45" s="153"/>
      <c r="K45" s="239">
        <f t="shared" si="1"/>
        <v>11</v>
      </c>
      <c r="L45" s="237" t="s">
        <v>2205</v>
      </c>
      <c r="M45" s="237">
        <v>2225</v>
      </c>
      <c r="N45" s="240" t="s">
        <v>454</v>
      </c>
      <c r="O45" s="247" t="s">
        <v>435</v>
      </c>
      <c r="P45" s="240" t="s">
        <v>455</v>
      </c>
      <c r="Q45" s="240" t="s">
        <v>437</v>
      </c>
      <c r="R45" s="238">
        <v>3328554</v>
      </c>
      <c r="S45" s="234" t="s">
        <v>456</v>
      </c>
      <c r="T45" s="235" t="s">
        <v>52</v>
      </c>
      <c r="U45" s="236" t="s">
        <v>51</v>
      </c>
      <c r="V45" s="153"/>
      <c r="W45" s="153"/>
      <c r="X45" s="153"/>
      <c r="Y45" s="153"/>
      <c r="Z45" s="153"/>
      <c r="AA45" s="153"/>
      <c r="AB45" s="153"/>
    </row>
    <row r="46" spans="1:28" ht="15">
      <c r="A46" s="153"/>
      <c r="B46" s="153"/>
      <c r="C46" s="153"/>
      <c r="D46" s="153"/>
      <c r="E46" s="153"/>
      <c r="F46" s="153"/>
      <c r="G46" s="153"/>
      <c r="H46" s="153"/>
      <c r="I46" s="153"/>
      <c r="J46" s="153"/>
      <c r="K46" s="239">
        <f t="shared" si="1"/>
        <v>12</v>
      </c>
      <c r="L46" s="237" t="s">
        <v>2186</v>
      </c>
      <c r="M46" s="237">
        <v>2250</v>
      </c>
      <c r="N46" s="240" t="s">
        <v>2147</v>
      </c>
      <c r="O46" s="247" t="s">
        <v>381</v>
      </c>
      <c r="P46" s="240" t="s">
        <v>2148</v>
      </c>
      <c r="Q46" s="240" t="s">
        <v>383</v>
      </c>
      <c r="R46" s="238">
        <v>3397335</v>
      </c>
      <c r="S46" s="234" t="s">
        <v>396</v>
      </c>
      <c r="T46" s="235" t="s">
        <v>52</v>
      </c>
      <c r="U46" s="236" t="s">
        <v>51</v>
      </c>
      <c r="V46" s="153"/>
      <c r="W46" s="153"/>
      <c r="X46" s="153"/>
      <c r="Y46" s="153"/>
      <c r="Z46" s="153"/>
      <c r="AA46" s="153"/>
      <c r="AB46" s="153"/>
    </row>
    <row r="47" spans="1:28" ht="15">
      <c r="A47" s="153"/>
      <c r="B47" s="153"/>
      <c r="C47" s="153"/>
      <c r="D47" s="153"/>
      <c r="E47" s="153"/>
      <c r="F47" s="153"/>
      <c r="G47" s="153"/>
      <c r="H47" s="153"/>
      <c r="I47" s="153"/>
      <c r="J47" s="153"/>
      <c r="K47" s="239">
        <f t="shared" si="1"/>
        <v>13</v>
      </c>
      <c r="L47" s="237" t="s">
        <v>2188</v>
      </c>
      <c r="M47" s="237">
        <v>2268</v>
      </c>
      <c r="N47" s="240" t="s">
        <v>2149</v>
      </c>
      <c r="O47" s="247" t="s">
        <v>381</v>
      </c>
      <c r="P47" s="240" t="s">
        <v>400</v>
      </c>
      <c r="Q47" s="240" t="s">
        <v>383</v>
      </c>
      <c r="R47" s="238">
        <v>3058212</v>
      </c>
      <c r="S47" s="234" t="s">
        <v>401</v>
      </c>
      <c r="T47" s="235" t="s">
        <v>52</v>
      </c>
      <c r="U47" s="236" t="s">
        <v>51</v>
      </c>
      <c r="V47" s="153"/>
      <c r="W47" s="153"/>
      <c r="X47" s="153"/>
      <c r="Y47" s="153"/>
      <c r="Z47" s="153"/>
      <c r="AA47" s="153"/>
      <c r="AB47" s="153"/>
    </row>
    <row r="48" spans="1:28" ht="15">
      <c r="A48" s="153"/>
      <c r="B48" s="153"/>
      <c r="C48" s="153"/>
      <c r="D48" s="153"/>
      <c r="E48" s="153"/>
      <c r="F48" s="153"/>
      <c r="G48" s="153"/>
      <c r="H48" s="153"/>
      <c r="I48" s="153"/>
      <c r="J48" s="153"/>
      <c r="K48" s="239">
        <f t="shared" si="1"/>
        <v>14</v>
      </c>
      <c r="L48" s="237" t="s">
        <v>2190</v>
      </c>
      <c r="M48" s="237">
        <v>2276</v>
      </c>
      <c r="N48" s="240" t="s">
        <v>406</v>
      </c>
      <c r="O48" s="247" t="s">
        <v>381</v>
      </c>
      <c r="P48" s="240" t="s">
        <v>407</v>
      </c>
      <c r="Q48" s="240" t="s">
        <v>383</v>
      </c>
      <c r="R48" s="238">
        <v>3058204</v>
      </c>
      <c r="S48" s="234" t="s">
        <v>408</v>
      </c>
      <c r="T48" s="235" t="s">
        <v>52</v>
      </c>
      <c r="U48" s="236" t="s">
        <v>51</v>
      </c>
      <c r="V48" s="153"/>
      <c r="W48" s="153"/>
      <c r="X48" s="153"/>
      <c r="Y48" s="153"/>
      <c r="Z48" s="153"/>
      <c r="AA48" s="153"/>
      <c r="AB48" s="153"/>
    </row>
    <row r="49" spans="1:28" ht="15">
      <c r="A49" s="153"/>
      <c r="B49" s="153"/>
      <c r="C49" s="153"/>
      <c r="D49" s="153"/>
      <c r="E49" s="153"/>
      <c r="F49" s="153"/>
      <c r="G49" s="153"/>
      <c r="H49" s="153"/>
      <c r="I49" s="153"/>
      <c r="J49" s="153"/>
      <c r="K49" s="239">
        <f t="shared" si="1"/>
        <v>15</v>
      </c>
      <c r="L49" s="237" t="s">
        <v>2182</v>
      </c>
      <c r="M49" s="237">
        <v>2284</v>
      </c>
      <c r="N49" s="240" t="s">
        <v>385</v>
      </c>
      <c r="O49" s="247" t="s">
        <v>381</v>
      </c>
      <c r="P49" s="240" t="s">
        <v>386</v>
      </c>
      <c r="Q49" s="240" t="s">
        <v>383</v>
      </c>
      <c r="R49" s="238">
        <v>3021645</v>
      </c>
      <c r="S49" s="234" t="s">
        <v>387</v>
      </c>
      <c r="T49" s="235" t="s">
        <v>52</v>
      </c>
      <c r="U49" s="236" t="s">
        <v>51</v>
      </c>
      <c r="V49" s="153"/>
      <c r="W49" s="153"/>
      <c r="X49" s="153"/>
      <c r="Y49" s="153"/>
      <c r="Z49" s="153"/>
      <c r="AA49" s="153"/>
      <c r="AB49" s="153"/>
    </row>
    <row r="50" spans="1:28" ht="15">
      <c r="A50" s="153"/>
      <c r="B50" s="153"/>
      <c r="C50" s="153"/>
      <c r="D50" s="153"/>
      <c r="E50" s="153"/>
      <c r="F50" s="153"/>
      <c r="G50" s="153"/>
      <c r="H50" s="153"/>
      <c r="I50" s="153"/>
      <c r="J50" s="153"/>
      <c r="K50" s="239">
        <f t="shared" si="1"/>
        <v>16</v>
      </c>
      <c r="L50" s="237" t="s">
        <v>2189</v>
      </c>
      <c r="M50" s="237">
        <v>2292</v>
      </c>
      <c r="N50" s="240" t="s">
        <v>402</v>
      </c>
      <c r="O50" s="247" t="s">
        <v>381</v>
      </c>
      <c r="P50" s="240" t="s">
        <v>403</v>
      </c>
      <c r="Q50" s="240" t="s">
        <v>404</v>
      </c>
      <c r="R50" s="238">
        <v>3014193</v>
      </c>
      <c r="S50" s="234" t="s">
        <v>405</v>
      </c>
      <c r="T50" s="235" t="s">
        <v>52</v>
      </c>
      <c r="U50" s="236" t="s">
        <v>51</v>
      </c>
      <c r="V50" s="153"/>
      <c r="W50" s="153"/>
      <c r="X50" s="153"/>
      <c r="Y50" s="153"/>
      <c r="Z50" s="153"/>
      <c r="AA50" s="153"/>
      <c r="AB50" s="153"/>
    </row>
    <row r="51" spans="1:28" ht="15">
      <c r="A51" s="153"/>
      <c r="B51" s="153"/>
      <c r="C51" s="153"/>
      <c r="D51" s="153"/>
      <c r="E51" s="153"/>
      <c r="F51" s="153"/>
      <c r="G51" s="153"/>
      <c r="H51" s="153"/>
      <c r="I51" s="153"/>
      <c r="J51" s="153"/>
      <c r="K51" s="239">
        <f t="shared" si="1"/>
        <v>17</v>
      </c>
      <c r="L51" s="237" t="s">
        <v>2183</v>
      </c>
      <c r="M51" s="237">
        <v>2313</v>
      </c>
      <c r="N51" s="240" t="s">
        <v>2146</v>
      </c>
      <c r="O51" s="247" t="s">
        <v>381</v>
      </c>
      <c r="P51" s="240" t="s">
        <v>388</v>
      </c>
      <c r="Q51" s="240" t="s">
        <v>383</v>
      </c>
      <c r="R51" s="238">
        <v>3392589</v>
      </c>
      <c r="S51" s="234" t="s">
        <v>389</v>
      </c>
      <c r="T51" s="235" t="s">
        <v>52</v>
      </c>
      <c r="U51" s="236" t="s">
        <v>51</v>
      </c>
      <c r="V51" s="153"/>
      <c r="W51" s="153"/>
      <c r="X51" s="153"/>
      <c r="Y51" s="153"/>
      <c r="Z51" s="153"/>
      <c r="AA51" s="153"/>
      <c r="AB51" s="153"/>
    </row>
    <row r="52" spans="1:28" ht="15">
      <c r="A52" s="153"/>
      <c r="B52" s="153"/>
      <c r="C52" s="153"/>
      <c r="D52" s="153"/>
      <c r="E52" s="153"/>
      <c r="F52" s="153"/>
      <c r="G52" s="153"/>
      <c r="H52" s="153"/>
      <c r="I52" s="153"/>
      <c r="J52" s="153"/>
      <c r="K52" s="239">
        <f t="shared" si="1"/>
        <v>18</v>
      </c>
      <c r="L52" s="237" t="s">
        <v>2184</v>
      </c>
      <c r="M52" s="237">
        <v>2321</v>
      </c>
      <c r="N52" s="240" t="s">
        <v>390</v>
      </c>
      <c r="O52" s="247" t="s">
        <v>381</v>
      </c>
      <c r="P52" s="240" t="s">
        <v>391</v>
      </c>
      <c r="Q52" s="240" t="s">
        <v>383</v>
      </c>
      <c r="R52" s="238">
        <v>3014185</v>
      </c>
      <c r="S52" s="234" t="s">
        <v>392</v>
      </c>
      <c r="T52" s="235" t="s">
        <v>52</v>
      </c>
      <c r="U52" s="236" t="s">
        <v>51</v>
      </c>
      <c r="V52" s="153"/>
      <c r="W52" s="153"/>
      <c r="X52" s="153"/>
      <c r="Y52" s="153"/>
      <c r="Z52" s="153"/>
      <c r="AA52" s="153"/>
      <c r="AB52" s="153"/>
    </row>
    <row r="53" spans="1:28" ht="15">
      <c r="A53" s="153"/>
      <c r="B53" s="153"/>
      <c r="C53" s="153"/>
      <c r="D53" s="153"/>
      <c r="E53" s="153"/>
      <c r="F53" s="153"/>
      <c r="G53" s="153"/>
      <c r="H53" s="153"/>
      <c r="I53" s="153"/>
      <c r="J53" s="153"/>
      <c r="K53" s="239">
        <f t="shared" si="1"/>
        <v>19</v>
      </c>
      <c r="L53" s="237" t="s">
        <v>2214</v>
      </c>
      <c r="M53" s="237">
        <v>2330</v>
      </c>
      <c r="N53" s="240" t="s">
        <v>482</v>
      </c>
      <c r="O53" s="241" t="s">
        <v>476</v>
      </c>
      <c r="P53" s="240" t="s">
        <v>483</v>
      </c>
      <c r="Q53" s="240" t="s">
        <v>477</v>
      </c>
      <c r="R53" s="238">
        <v>3118339</v>
      </c>
      <c r="S53" s="234" t="s">
        <v>484</v>
      </c>
      <c r="T53" s="235" t="s">
        <v>52</v>
      </c>
      <c r="U53" s="236" t="s">
        <v>51</v>
      </c>
      <c r="V53" s="153"/>
      <c r="W53" s="153"/>
      <c r="X53" s="153"/>
      <c r="Y53" s="153"/>
      <c r="Z53" s="153"/>
      <c r="AA53" s="153"/>
      <c r="AB53" s="153"/>
    </row>
    <row r="54" spans="1:28" ht="15">
      <c r="A54" s="153"/>
      <c r="B54" s="153"/>
      <c r="C54" s="153"/>
      <c r="D54" s="153"/>
      <c r="E54" s="153"/>
      <c r="F54" s="153"/>
      <c r="G54" s="153"/>
      <c r="H54" s="153"/>
      <c r="I54" s="153"/>
      <c r="J54" s="153"/>
      <c r="K54" s="239">
        <f t="shared" si="1"/>
        <v>20</v>
      </c>
      <c r="L54" s="237" t="s">
        <v>2216</v>
      </c>
      <c r="M54" s="237">
        <v>2348</v>
      </c>
      <c r="N54" s="240" t="s">
        <v>488</v>
      </c>
      <c r="O54" s="241" t="s">
        <v>476</v>
      </c>
      <c r="P54" s="240" t="s">
        <v>489</v>
      </c>
      <c r="Q54" s="240" t="s">
        <v>477</v>
      </c>
      <c r="R54" s="238">
        <v>3149463</v>
      </c>
      <c r="S54" s="234" t="s">
        <v>490</v>
      </c>
      <c r="T54" s="235" t="s">
        <v>52</v>
      </c>
      <c r="U54" s="236" t="s">
        <v>51</v>
      </c>
      <c r="V54" s="153"/>
      <c r="W54" s="153"/>
      <c r="X54" s="153"/>
      <c r="Y54" s="153"/>
      <c r="Z54" s="153"/>
      <c r="AA54" s="153"/>
      <c r="AB54" s="153"/>
    </row>
    <row r="55" spans="1:28" ht="15">
      <c r="A55" s="153"/>
      <c r="B55" s="153"/>
      <c r="C55" s="153"/>
      <c r="D55" s="153"/>
      <c r="E55" s="153"/>
      <c r="F55" s="153"/>
      <c r="G55" s="153"/>
      <c r="H55" s="153"/>
      <c r="I55" s="153"/>
      <c r="J55" s="153"/>
      <c r="K55" s="239">
        <f t="shared" si="1"/>
        <v>21</v>
      </c>
      <c r="L55" s="237" t="s">
        <v>2217</v>
      </c>
      <c r="M55" s="237">
        <v>2356</v>
      </c>
      <c r="N55" s="240" t="s">
        <v>491</v>
      </c>
      <c r="O55" s="241" t="s">
        <v>476</v>
      </c>
      <c r="P55" s="240" t="s">
        <v>2154</v>
      </c>
      <c r="Q55" s="240" t="s">
        <v>477</v>
      </c>
      <c r="R55" s="238">
        <v>3119068</v>
      </c>
      <c r="S55" s="234" t="s">
        <v>492</v>
      </c>
      <c r="T55" s="235" t="s">
        <v>52</v>
      </c>
      <c r="U55" s="236" t="s">
        <v>51</v>
      </c>
      <c r="V55" s="153"/>
      <c r="W55" s="153"/>
      <c r="X55" s="153"/>
      <c r="Y55" s="153"/>
      <c r="Z55" s="153"/>
      <c r="AA55" s="153"/>
      <c r="AB55" s="153"/>
    </row>
    <row r="56" spans="1:28" ht="15">
      <c r="A56" s="153"/>
      <c r="B56" s="153"/>
      <c r="C56" s="153"/>
      <c r="D56" s="153"/>
      <c r="E56" s="153"/>
      <c r="F56" s="153"/>
      <c r="G56" s="153"/>
      <c r="H56" s="153"/>
      <c r="I56" s="153"/>
      <c r="J56" s="153"/>
      <c r="K56" s="239">
        <f t="shared" si="1"/>
        <v>22</v>
      </c>
      <c r="L56" s="237" t="s">
        <v>2213</v>
      </c>
      <c r="M56" s="237">
        <v>2372</v>
      </c>
      <c r="N56" s="240" t="s">
        <v>479</v>
      </c>
      <c r="O56" s="241" t="s">
        <v>476</v>
      </c>
      <c r="P56" s="240" t="s">
        <v>480</v>
      </c>
      <c r="Q56" s="240" t="s">
        <v>477</v>
      </c>
      <c r="R56" s="238">
        <v>3119076</v>
      </c>
      <c r="S56" s="234" t="s">
        <v>481</v>
      </c>
      <c r="T56" s="235" t="s">
        <v>52</v>
      </c>
      <c r="U56" s="236" t="s">
        <v>51</v>
      </c>
      <c r="V56" s="153"/>
      <c r="W56" s="153"/>
      <c r="X56" s="153"/>
      <c r="Y56" s="153"/>
      <c r="Z56" s="153"/>
      <c r="AA56" s="153"/>
      <c r="AB56" s="153"/>
    </row>
    <row r="57" spans="1:28" ht="15">
      <c r="A57" s="153"/>
      <c r="B57" s="153"/>
      <c r="C57" s="153"/>
      <c r="D57" s="153"/>
      <c r="E57" s="153"/>
      <c r="F57" s="153"/>
      <c r="G57" s="153"/>
      <c r="H57" s="153"/>
      <c r="I57" s="153"/>
      <c r="J57" s="153"/>
      <c r="K57" s="239">
        <f t="shared" si="1"/>
        <v>23</v>
      </c>
      <c r="L57" s="237" t="s">
        <v>2222</v>
      </c>
      <c r="M57" s="237">
        <v>2397</v>
      </c>
      <c r="N57" s="240" t="s">
        <v>503</v>
      </c>
      <c r="O57" s="241" t="s">
        <v>476</v>
      </c>
      <c r="P57" s="240" t="s">
        <v>504</v>
      </c>
      <c r="Q57" s="240" t="s">
        <v>477</v>
      </c>
      <c r="R57" s="238">
        <v>3118347</v>
      </c>
      <c r="S57" s="234" t="s">
        <v>505</v>
      </c>
      <c r="T57" s="235" t="s">
        <v>52</v>
      </c>
      <c r="U57" s="236" t="s">
        <v>51</v>
      </c>
      <c r="V57" s="153"/>
      <c r="W57" s="153"/>
      <c r="X57" s="153"/>
      <c r="Y57" s="153"/>
      <c r="Z57" s="153"/>
      <c r="AA57" s="153"/>
      <c r="AB57" s="153"/>
    </row>
    <row r="58" spans="1:28" ht="15">
      <c r="A58" s="153"/>
      <c r="B58" s="153"/>
      <c r="C58" s="153"/>
      <c r="D58" s="153"/>
      <c r="E58" s="153"/>
      <c r="F58" s="153"/>
      <c r="G58" s="153"/>
      <c r="H58" s="153"/>
      <c r="I58" s="153"/>
      <c r="J58" s="153"/>
      <c r="K58" s="239">
        <f t="shared" si="1"/>
        <v>24</v>
      </c>
      <c r="L58" s="237" t="s">
        <v>2223</v>
      </c>
      <c r="M58" s="237">
        <v>2410</v>
      </c>
      <c r="N58" s="240" t="s">
        <v>506</v>
      </c>
      <c r="O58" s="241" t="s">
        <v>476</v>
      </c>
      <c r="P58" s="240" t="s">
        <v>2156</v>
      </c>
      <c r="Q58" s="240" t="s">
        <v>477</v>
      </c>
      <c r="R58" s="238">
        <v>3199622</v>
      </c>
      <c r="S58" s="234" t="s">
        <v>507</v>
      </c>
      <c r="T58" s="235" t="s">
        <v>52</v>
      </c>
      <c r="U58" s="236" t="s">
        <v>51</v>
      </c>
      <c r="V58" s="153"/>
      <c r="W58" s="153"/>
      <c r="X58" s="153"/>
      <c r="Y58" s="153"/>
      <c r="Z58" s="153"/>
      <c r="AA58" s="153"/>
      <c r="AB58" s="153"/>
    </row>
    <row r="59" spans="1:28" ht="15">
      <c r="A59" s="153"/>
      <c r="B59" s="153"/>
      <c r="C59" s="153"/>
      <c r="D59" s="153"/>
      <c r="E59" s="153"/>
      <c r="F59" s="153"/>
      <c r="G59" s="153"/>
      <c r="H59" s="153"/>
      <c r="I59" s="153"/>
      <c r="J59" s="153"/>
      <c r="K59" s="239">
        <f t="shared" si="1"/>
        <v>25</v>
      </c>
      <c r="L59" s="237" t="s">
        <v>2227</v>
      </c>
      <c r="M59" s="237">
        <v>2436</v>
      </c>
      <c r="N59" s="240" t="s">
        <v>514</v>
      </c>
      <c r="O59" s="241" t="s">
        <v>514</v>
      </c>
      <c r="P59" s="240" t="s">
        <v>582</v>
      </c>
      <c r="Q59" s="240" t="s">
        <v>380</v>
      </c>
      <c r="R59" s="238">
        <v>3211592</v>
      </c>
      <c r="S59" s="234" t="s">
        <v>515</v>
      </c>
      <c r="T59" s="235" t="s">
        <v>52</v>
      </c>
      <c r="U59" s="236" t="s">
        <v>51</v>
      </c>
      <c r="V59" s="153"/>
      <c r="W59" s="153"/>
      <c r="X59" s="153"/>
      <c r="Y59" s="153"/>
      <c r="Z59" s="153"/>
      <c r="AA59" s="153"/>
      <c r="AB59" s="153"/>
    </row>
    <row r="60" spans="1:28" ht="15">
      <c r="A60" s="153"/>
      <c r="B60" s="153"/>
      <c r="C60" s="153"/>
      <c r="D60" s="153"/>
      <c r="E60" s="153"/>
      <c r="F60" s="153"/>
      <c r="G60" s="153"/>
      <c r="H60" s="153"/>
      <c r="I60" s="153"/>
      <c r="J60" s="153"/>
      <c r="K60" s="239">
        <f t="shared" si="1"/>
        <v>26</v>
      </c>
      <c r="L60" s="237" t="s">
        <v>2199</v>
      </c>
      <c r="M60" s="237">
        <v>2444</v>
      </c>
      <c r="N60" s="240" t="s">
        <v>435</v>
      </c>
      <c r="O60" s="247" t="s">
        <v>435</v>
      </c>
      <c r="P60" s="240" t="s">
        <v>436</v>
      </c>
      <c r="Q60" s="240" t="s">
        <v>437</v>
      </c>
      <c r="R60" s="238">
        <v>3337413</v>
      </c>
      <c r="S60" s="234" t="s">
        <v>438</v>
      </c>
      <c r="T60" s="235" t="s">
        <v>52</v>
      </c>
      <c r="U60" s="236" t="s">
        <v>51</v>
      </c>
      <c r="V60" s="153"/>
      <c r="W60" s="153"/>
      <c r="X60" s="153"/>
      <c r="Y60" s="153"/>
      <c r="Z60" s="153"/>
      <c r="AA60" s="153"/>
      <c r="AB60" s="153"/>
    </row>
    <row r="61" spans="1:28" ht="15">
      <c r="A61" s="153"/>
      <c r="B61" s="153"/>
      <c r="C61" s="153"/>
      <c r="D61" s="153"/>
      <c r="E61" s="153"/>
      <c r="F61" s="153"/>
      <c r="G61" s="153"/>
      <c r="H61" s="153"/>
      <c r="I61" s="153"/>
      <c r="J61" s="153"/>
      <c r="K61" s="239">
        <f t="shared" si="1"/>
        <v>27</v>
      </c>
      <c r="L61" s="237" t="s">
        <v>2181</v>
      </c>
      <c r="M61" s="237">
        <v>2452</v>
      </c>
      <c r="N61" s="240" t="s">
        <v>381</v>
      </c>
      <c r="O61" s="247" t="s">
        <v>381</v>
      </c>
      <c r="P61" s="240" t="s">
        <v>382</v>
      </c>
      <c r="Q61" s="240" t="s">
        <v>383</v>
      </c>
      <c r="R61" s="238">
        <v>3049779</v>
      </c>
      <c r="S61" s="234" t="s">
        <v>384</v>
      </c>
      <c r="T61" s="235" t="s">
        <v>52</v>
      </c>
      <c r="U61" s="236" t="s">
        <v>51</v>
      </c>
      <c r="V61" s="153"/>
      <c r="W61" s="153"/>
      <c r="X61" s="153"/>
      <c r="Y61" s="153"/>
      <c r="Z61" s="153"/>
      <c r="AA61" s="153"/>
      <c r="AB61" s="153"/>
    </row>
    <row r="62" spans="1:28" ht="15">
      <c r="A62" s="153"/>
      <c r="B62" s="153"/>
      <c r="C62" s="153"/>
      <c r="D62" s="153"/>
      <c r="E62" s="153"/>
      <c r="F62" s="153"/>
      <c r="G62" s="153"/>
      <c r="H62" s="153"/>
      <c r="I62" s="153"/>
      <c r="J62" s="153"/>
      <c r="K62" s="239">
        <f t="shared" si="1"/>
        <v>28</v>
      </c>
      <c r="L62" s="237" t="s">
        <v>2212</v>
      </c>
      <c r="M62" s="237">
        <v>2469</v>
      </c>
      <c r="N62" s="240" t="s">
        <v>476</v>
      </c>
      <c r="O62" s="241" t="s">
        <v>476</v>
      </c>
      <c r="P62" s="240" t="s">
        <v>486</v>
      </c>
      <c r="Q62" s="240" t="s">
        <v>477</v>
      </c>
      <c r="R62" s="238">
        <v>3129306</v>
      </c>
      <c r="S62" s="234" t="s">
        <v>478</v>
      </c>
      <c r="T62" s="235" t="s">
        <v>52</v>
      </c>
      <c r="U62" s="236" t="s">
        <v>51</v>
      </c>
      <c r="V62" s="153"/>
      <c r="W62" s="153"/>
      <c r="X62" s="153"/>
      <c r="Y62" s="153"/>
      <c r="Z62" s="153"/>
      <c r="AA62" s="153"/>
      <c r="AB62" s="153"/>
    </row>
    <row r="63" spans="1:28" ht="15">
      <c r="A63" s="153"/>
      <c r="B63" s="153"/>
      <c r="C63" s="153"/>
      <c r="D63" s="153"/>
      <c r="E63" s="153"/>
      <c r="F63" s="153"/>
      <c r="G63" s="153"/>
      <c r="H63" s="153"/>
      <c r="I63" s="153"/>
      <c r="J63" s="153"/>
      <c r="K63" s="239">
        <f t="shared" si="1"/>
        <v>29</v>
      </c>
      <c r="L63" s="237" t="s">
        <v>2208</v>
      </c>
      <c r="M63" s="237">
        <v>2493</v>
      </c>
      <c r="N63" s="240" t="s">
        <v>463</v>
      </c>
      <c r="O63" s="247" t="s">
        <v>435</v>
      </c>
      <c r="P63" s="240" t="s">
        <v>464</v>
      </c>
      <c r="Q63" s="240" t="s">
        <v>437</v>
      </c>
      <c r="R63" s="238">
        <v>3328686</v>
      </c>
      <c r="S63" s="234" t="s">
        <v>465</v>
      </c>
      <c r="T63" s="235" t="s">
        <v>52</v>
      </c>
      <c r="U63" s="236" t="s">
        <v>51</v>
      </c>
      <c r="V63" s="153"/>
      <c r="W63" s="153"/>
      <c r="X63" s="153"/>
      <c r="Y63" s="153"/>
      <c r="Z63" s="153"/>
      <c r="AA63" s="153"/>
      <c r="AB63" s="153"/>
    </row>
    <row r="64" spans="1:28" ht="15">
      <c r="A64" s="153"/>
      <c r="B64" s="153"/>
      <c r="C64" s="153"/>
      <c r="D64" s="153"/>
      <c r="E64" s="153"/>
      <c r="F64" s="153"/>
      <c r="G64" s="153"/>
      <c r="H64" s="153"/>
      <c r="I64" s="153"/>
      <c r="J64" s="153"/>
      <c r="K64" s="239">
        <f t="shared" si="1"/>
        <v>30</v>
      </c>
      <c r="L64" s="237" t="s">
        <v>2185</v>
      </c>
      <c r="M64" s="237">
        <v>2508</v>
      </c>
      <c r="N64" s="242" t="s">
        <v>393</v>
      </c>
      <c r="O64" s="247" t="s">
        <v>381</v>
      </c>
      <c r="P64" s="242" t="s">
        <v>394</v>
      </c>
      <c r="Q64" s="242" t="s">
        <v>383</v>
      </c>
      <c r="R64" s="243">
        <v>3014347</v>
      </c>
      <c r="S64" s="234" t="s">
        <v>395</v>
      </c>
      <c r="T64" s="235" t="s">
        <v>52</v>
      </c>
      <c r="U64" s="236" t="s">
        <v>51</v>
      </c>
      <c r="V64" s="153"/>
      <c r="W64" s="153"/>
      <c r="X64" s="153"/>
      <c r="Y64" s="153"/>
      <c r="Z64" s="153"/>
      <c r="AA64" s="153"/>
      <c r="AB64" s="153"/>
    </row>
    <row r="65" spans="1:28" ht="15">
      <c r="A65" s="153"/>
      <c r="B65" s="153"/>
      <c r="C65" s="153"/>
      <c r="D65" s="153"/>
      <c r="E65" s="153"/>
      <c r="F65" s="153"/>
      <c r="G65" s="153"/>
      <c r="H65" s="153"/>
      <c r="I65" s="153"/>
      <c r="J65" s="153"/>
      <c r="K65" s="239">
        <f t="shared" si="1"/>
        <v>31</v>
      </c>
      <c r="L65" s="237" t="s">
        <v>2224</v>
      </c>
      <c r="M65" s="237">
        <v>2524</v>
      </c>
      <c r="N65" s="240" t="s">
        <v>508</v>
      </c>
      <c r="O65" s="241" t="s">
        <v>476</v>
      </c>
      <c r="P65" s="240" t="s">
        <v>509</v>
      </c>
      <c r="Q65" s="240" t="s">
        <v>477</v>
      </c>
      <c r="R65" s="238">
        <v>3118436</v>
      </c>
      <c r="S65" s="234" t="s">
        <v>510</v>
      </c>
      <c r="T65" s="235" t="s">
        <v>52</v>
      </c>
      <c r="U65" s="236" t="s">
        <v>51</v>
      </c>
      <c r="V65" s="153"/>
      <c r="W65" s="153"/>
      <c r="X65" s="153"/>
      <c r="Y65" s="153"/>
      <c r="Z65" s="153"/>
      <c r="AA65" s="153"/>
      <c r="AB65" s="153"/>
    </row>
    <row r="66" spans="1:28" ht="15">
      <c r="A66" s="153"/>
      <c r="B66" s="153"/>
      <c r="C66" s="153"/>
      <c r="D66" s="153"/>
      <c r="E66" s="153"/>
      <c r="F66" s="153"/>
      <c r="G66" s="153"/>
      <c r="H66" s="153"/>
      <c r="I66" s="153"/>
      <c r="J66" s="153"/>
      <c r="K66" s="239">
        <f t="shared" si="1"/>
        <v>32</v>
      </c>
      <c r="L66" s="237" t="s">
        <v>2235</v>
      </c>
      <c r="M66" s="237">
        <v>6154</v>
      </c>
      <c r="N66" s="240" t="s">
        <v>2159</v>
      </c>
      <c r="O66" s="241" t="s">
        <v>514</v>
      </c>
      <c r="P66" s="240" t="s">
        <v>536</v>
      </c>
      <c r="Q66" s="240" t="s">
        <v>380</v>
      </c>
      <c r="R66" s="238">
        <v>1235664</v>
      </c>
      <c r="S66" s="234" t="s">
        <v>537</v>
      </c>
      <c r="T66" s="235" t="s">
        <v>52</v>
      </c>
      <c r="U66" s="236" t="s">
        <v>51</v>
      </c>
      <c r="V66" s="153"/>
      <c r="W66" s="153"/>
      <c r="X66" s="153"/>
      <c r="Y66" s="153"/>
      <c r="Z66" s="153"/>
      <c r="AA66" s="153"/>
      <c r="AB66" s="153"/>
    </row>
    <row r="67" spans="1:28" ht="15">
      <c r="A67" s="153"/>
      <c r="B67" s="153"/>
      <c r="C67" s="153"/>
      <c r="D67" s="153"/>
      <c r="E67" s="153"/>
      <c r="F67" s="153"/>
      <c r="G67" s="153"/>
      <c r="H67" s="153"/>
      <c r="I67" s="153"/>
      <c r="J67" s="153"/>
      <c r="K67" s="239">
        <f t="shared" si="1"/>
        <v>33</v>
      </c>
      <c r="L67" s="237" t="s">
        <v>2264</v>
      </c>
      <c r="M67" s="237">
        <v>21053</v>
      </c>
      <c r="N67" s="240" t="s">
        <v>629</v>
      </c>
      <c r="O67" s="241" t="s">
        <v>610</v>
      </c>
      <c r="P67" s="240" t="s">
        <v>630</v>
      </c>
      <c r="Q67" s="240" t="s">
        <v>631</v>
      </c>
      <c r="R67" s="238">
        <v>1286030</v>
      </c>
      <c r="S67" s="234" t="s">
        <v>632</v>
      </c>
      <c r="T67" s="235" t="s">
        <v>52</v>
      </c>
      <c r="U67" s="236" t="s">
        <v>51</v>
      </c>
      <c r="V67" s="153"/>
      <c r="W67" s="153"/>
      <c r="X67" s="153"/>
      <c r="Y67" s="153"/>
      <c r="Z67" s="153"/>
      <c r="AA67" s="153"/>
      <c r="AB67" s="153"/>
    </row>
    <row r="68" spans="1:28" ht="15">
      <c r="A68" s="153"/>
      <c r="B68" s="153"/>
      <c r="C68" s="153"/>
      <c r="D68" s="153"/>
      <c r="E68" s="153"/>
      <c r="F68" s="153"/>
      <c r="G68" s="153"/>
      <c r="H68" s="153"/>
      <c r="I68" s="153"/>
      <c r="J68" s="153"/>
      <c r="K68" s="239">
        <f t="shared" ref="K68:K99" si="2">+K67+1</f>
        <v>34</v>
      </c>
      <c r="L68" s="237" t="s">
        <v>2270</v>
      </c>
      <c r="M68" s="237">
        <v>22371</v>
      </c>
      <c r="N68" s="240" t="s">
        <v>648</v>
      </c>
      <c r="O68" s="241" t="s">
        <v>610</v>
      </c>
      <c r="P68" s="240" t="s">
        <v>649</v>
      </c>
      <c r="Q68" s="240" t="s">
        <v>650</v>
      </c>
      <c r="R68" s="238">
        <v>1411942</v>
      </c>
      <c r="S68" s="234" t="s">
        <v>651</v>
      </c>
      <c r="T68" s="235" t="s">
        <v>52</v>
      </c>
      <c r="U68" s="236" t="s">
        <v>51</v>
      </c>
      <c r="V68" s="153"/>
      <c r="W68" s="153"/>
      <c r="X68" s="153"/>
      <c r="Y68" s="153"/>
      <c r="Z68" s="153"/>
      <c r="AA68" s="153"/>
      <c r="AB68" s="153"/>
    </row>
    <row r="69" spans="1:28" ht="15">
      <c r="A69" s="153"/>
      <c r="B69" s="153"/>
      <c r="C69" s="153"/>
      <c r="D69" s="153"/>
      <c r="E69" s="153"/>
      <c r="F69" s="153"/>
      <c r="G69" s="153"/>
      <c r="H69" s="153"/>
      <c r="I69" s="153"/>
      <c r="J69" s="153"/>
      <c r="K69" s="239">
        <f t="shared" si="2"/>
        <v>35</v>
      </c>
      <c r="L69" s="237" t="s">
        <v>2265</v>
      </c>
      <c r="M69" s="237">
        <v>22398</v>
      </c>
      <c r="N69" s="240" t="s">
        <v>633</v>
      </c>
      <c r="O69" s="241" t="s">
        <v>610</v>
      </c>
      <c r="P69" s="240" t="s">
        <v>634</v>
      </c>
      <c r="Q69" s="240" t="s">
        <v>635</v>
      </c>
      <c r="R69" s="238">
        <v>1395521</v>
      </c>
      <c r="S69" s="234" t="s">
        <v>636</v>
      </c>
      <c r="T69" s="235" t="s">
        <v>52</v>
      </c>
      <c r="U69" s="236" t="s">
        <v>51</v>
      </c>
      <c r="V69" s="153"/>
      <c r="W69" s="153"/>
      <c r="X69" s="153"/>
      <c r="Y69" s="153"/>
      <c r="Z69" s="153"/>
      <c r="AA69" s="153"/>
      <c r="AB69" s="153"/>
    </row>
    <row r="70" spans="1:28" ht="15">
      <c r="A70" s="153"/>
      <c r="B70" s="153"/>
      <c r="C70" s="153"/>
      <c r="D70" s="153"/>
      <c r="E70" s="153"/>
      <c r="F70" s="153"/>
      <c r="G70" s="153"/>
      <c r="H70" s="153"/>
      <c r="I70" s="153"/>
      <c r="J70" s="153"/>
      <c r="K70" s="239">
        <f t="shared" si="2"/>
        <v>36</v>
      </c>
      <c r="L70" s="237" t="s">
        <v>2260</v>
      </c>
      <c r="M70" s="237">
        <v>22427</v>
      </c>
      <c r="N70" s="240" t="s">
        <v>614</v>
      </c>
      <c r="O70" s="241" t="s">
        <v>610</v>
      </c>
      <c r="P70" s="240" t="s">
        <v>615</v>
      </c>
      <c r="Q70" s="240" t="s">
        <v>380</v>
      </c>
      <c r="R70" s="238">
        <v>1398270</v>
      </c>
      <c r="S70" s="234" t="s">
        <v>616</v>
      </c>
      <c r="T70" s="235" t="s">
        <v>52</v>
      </c>
      <c r="U70" s="236" t="s">
        <v>51</v>
      </c>
      <c r="V70" s="153"/>
      <c r="W70" s="153"/>
      <c r="X70" s="153"/>
      <c r="Y70" s="153"/>
      <c r="Z70" s="153"/>
      <c r="AA70" s="153"/>
      <c r="AB70" s="153"/>
    </row>
    <row r="71" spans="1:28" ht="15">
      <c r="A71" s="153"/>
      <c r="B71" s="153"/>
      <c r="C71" s="153"/>
      <c r="D71" s="153"/>
      <c r="E71" s="153"/>
      <c r="F71" s="153"/>
      <c r="G71" s="153"/>
      <c r="H71" s="153"/>
      <c r="I71" s="153"/>
      <c r="J71" s="153"/>
      <c r="K71" s="239">
        <f t="shared" si="2"/>
        <v>37</v>
      </c>
      <c r="L71" s="237" t="s">
        <v>2215</v>
      </c>
      <c r="M71" s="237">
        <v>22435</v>
      </c>
      <c r="N71" s="240" t="s">
        <v>485</v>
      </c>
      <c r="O71" s="241" t="s">
        <v>476</v>
      </c>
      <c r="P71" s="240" t="s">
        <v>486</v>
      </c>
      <c r="Q71" s="240" t="s">
        <v>477</v>
      </c>
      <c r="R71" s="238">
        <v>1413236</v>
      </c>
      <c r="S71" s="234" t="s">
        <v>487</v>
      </c>
      <c r="T71" s="235" t="s">
        <v>52</v>
      </c>
      <c r="U71" s="236" t="s">
        <v>51</v>
      </c>
      <c r="V71" s="153"/>
      <c r="W71" s="153"/>
      <c r="X71" s="153"/>
      <c r="Y71" s="153"/>
      <c r="Z71" s="153"/>
      <c r="AA71" s="153"/>
      <c r="AB71" s="153"/>
    </row>
    <row r="72" spans="1:28" ht="15">
      <c r="A72" s="153"/>
      <c r="B72" s="153"/>
      <c r="C72" s="153"/>
      <c r="D72" s="153"/>
      <c r="E72" s="153"/>
      <c r="F72" s="153"/>
      <c r="G72" s="153"/>
      <c r="H72" s="153"/>
      <c r="I72" s="153"/>
      <c r="J72" s="153"/>
      <c r="K72" s="239">
        <f t="shared" si="2"/>
        <v>38</v>
      </c>
      <c r="L72" s="237" t="s">
        <v>2220</v>
      </c>
      <c r="M72" s="237">
        <v>22451</v>
      </c>
      <c r="N72" s="240" t="s">
        <v>498</v>
      </c>
      <c r="O72" s="241" t="s">
        <v>476</v>
      </c>
      <c r="P72" s="240" t="s">
        <v>499</v>
      </c>
      <c r="Q72" s="240" t="s">
        <v>477</v>
      </c>
      <c r="R72" s="238">
        <v>1315366</v>
      </c>
      <c r="S72" s="234" t="s">
        <v>500</v>
      </c>
      <c r="T72" s="235" t="s">
        <v>52</v>
      </c>
      <c r="U72" s="236" t="s">
        <v>51</v>
      </c>
      <c r="V72" s="153"/>
      <c r="W72" s="153"/>
      <c r="X72" s="153"/>
      <c r="Y72" s="153"/>
      <c r="Z72" s="153"/>
      <c r="AA72" s="153"/>
      <c r="AB72" s="153"/>
    </row>
    <row r="73" spans="1:28" ht="15">
      <c r="A73" s="153"/>
      <c r="B73" s="153"/>
      <c r="C73" s="153"/>
      <c r="D73" s="153"/>
      <c r="E73" s="153"/>
      <c r="F73" s="153"/>
      <c r="G73" s="153"/>
      <c r="H73" s="153"/>
      <c r="I73" s="153"/>
      <c r="J73" s="153"/>
      <c r="K73" s="239">
        <f t="shared" si="2"/>
        <v>39</v>
      </c>
      <c r="L73" s="237" t="s">
        <v>2221</v>
      </c>
      <c r="M73" s="237">
        <v>22460</v>
      </c>
      <c r="N73" s="240" t="s">
        <v>501</v>
      </c>
      <c r="O73" s="241" t="s">
        <v>476</v>
      </c>
      <c r="P73" s="240" t="s">
        <v>2155</v>
      </c>
      <c r="Q73" s="240" t="s">
        <v>477</v>
      </c>
      <c r="R73" s="238">
        <v>1406043</v>
      </c>
      <c r="S73" s="234" t="s">
        <v>502</v>
      </c>
      <c r="T73" s="235" t="s">
        <v>52</v>
      </c>
      <c r="U73" s="236" t="s">
        <v>51</v>
      </c>
      <c r="V73" s="153"/>
      <c r="W73" s="153"/>
      <c r="X73" s="153"/>
      <c r="Y73" s="153"/>
      <c r="Z73" s="153"/>
      <c r="AA73" s="153"/>
      <c r="AB73" s="153"/>
    </row>
    <row r="74" spans="1:28" ht="15">
      <c r="A74" s="153"/>
      <c r="B74" s="153"/>
      <c r="C74" s="153"/>
      <c r="D74" s="153"/>
      <c r="E74" s="153"/>
      <c r="F74" s="153"/>
      <c r="G74" s="153"/>
      <c r="H74" s="153"/>
      <c r="I74" s="153"/>
      <c r="J74" s="153"/>
      <c r="K74" s="239">
        <f t="shared" si="2"/>
        <v>40</v>
      </c>
      <c r="L74" s="237" t="s">
        <v>2225</v>
      </c>
      <c r="M74" s="237">
        <v>22478</v>
      </c>
      <c r="N74" s="240" t="s">
        <v>511</v>
      </c>
      <c r="O74" s="241" t="s">
        <v>476</v>
      </c>
      <c r="P74" s="240" t="s">
        <v>512</v>
      </c>
      <c r="Q74" s="240" t="s">
        <v>477</v>
      </c>
      <c r="R74" s="238">
        <v>1321358</v>
      </c>
      <c r="S74" s="234" t="s">
        <v>513</v>
      </c>
      <c r="T74" s="235" t="s">
        <v>52</v>
      </c>
      <c r="U74" s="236" t="s">
        <v>51</v>
      </c>
      <c r="V74" s="153"/>
      <c r="W74" s="153"/>
      <c r="X74" s="153"/>
      <c r="Y74" s="153"/>
      <c r="Z74" s="153"/>
      <c r="AA74" s="153"/>
      <c r="AB74" s="153"/>
    </row>
    <row r="75" spans="1:28" ht="15">
      <c r="A75" s="153"/>
      <c r="B75" s="153"/>
      <c r="C75" s="153"/>
      <c r="D75" s="153"/>
      <c r="E75" s="153"/>
      <c r="F75" s="153"/>
      <c r="G75" s="153"/>
      <c r="H75" s="153"/>
      <c r="I75" s="153"/>
      <c r="J75" s="153"/>
      <c r="K75" s="239">
        <f t="shared" si="2"/>
        <v>41</v>
      </c>
      <c r="L75" s="237" t="s">
        <v>2191</v>
      </c>
      <c r="M75" s="237">
        <v>22486</v>
      </c>
      <c r="N75" s="240" t="s">
        <v>409</v>
      </c>
      <c r="O75" s="247" t="s">
        <v>381</v>
      </c>
      <c r="P75" s="240" t="s">
        <v>410</v>
      </c>
      <c r="Q75" s="240" t="s">
        <v>383</v>
      </c>
      <c r="R75" s="238">
        <v>1404881</v>
      </c>
      <c r="S75" s="234" t="s">
        <v>411</v>
      </c>
      <c r="T75" s="235" t="s">
        <v>52</v>
      </c>
      <c r="U75" s="236" t="s">
        <v>51</v>
      </c>
      <c r="V75" s="153"/>
      <c r="W75" s="153"/>
      <c r="X75" s="153"/>
      <c r="Y75" s="153"/>
      <c r="Z75" s="153"/>
      <c r="AA75" s="153"/>
      <c r="AB75" s="153"/>
    </row>
    <row r="76" spans="1:28" ht="15">
      <c r="A76" s="153"/>
      <c r="B76" s="153"/>
      <c r="C76" s="153"/>
      <c r="D76" s="153"/>
      <c r="E76" s="153"/>
      <c r="F76" s="153"/>
      <c r="G76" s="153"/>
      <c r="H76" s="153"/>
      <c r="I76" s="153"/>
      <c r="J76" s="153"/>
      <c r="K76" s="239">
        <f t="shared" si="2"/>
        <v>42</v>
      </c>
      <c r="L76" s="237" t="s">
        <v>2266</v>
      </c>
      <c r="M76" s="237">
        <v>22494</v>
      </c>
      <c r="N76" s="240" t="s">
        <v>637</v>
      </c>
      <c r="O76" s="241" t="s">
        <v>610</v>
      </c>
      <c r="P76" s="240" t="s">
        <v>638</v>
      </c>
      <c r="Q76" s="240" t="s">
        <v>437</v>
      </c>
      <c r="R76" s="238">
        <v>1387332</v>
      </c>
      <c r="S76" s="234" t="s">
        <v>639</v>
      </c>
      <c r="T76" s="235" t="s">
        <v>52</v>
      </c>
      <c r="U76" s="236" t="s">
        <v>51</v>
      </c>
      <c r="V76" s="153"/>
      <c r="W76" s="153"/>
      <c r="X76" s="153"/>
      <c r="Y76" s="153"/>
      <c r="Z76" s="153"/>
      <c r="AA76" s="153"/>
      <c r="AB76" s="153"/>
    </row>
    <row r="77" spans="1:28" ht="15">
      <c r="A77" s="153"/>
      <c r="B77" s="153"/>
      <c r="C77" s="153"/>
      <c r="D77" s="153"/>
      <c r="E77" s="153"/>
      <c r="F77" s="153"/>
      <c r="G77" s="153"/>
      <c r="H77" s="153"/>
      <c r="I77" s="153"/>
      <c r="J77" s="153"/>
      <c r="K77" s="239">
        <f t="shared" si="2"/>
        <v>43</v>
      </c>
      <c r="L77" s="237" t="s">
        <v>2206</v>
      </c>
      <c r="M77" s="237">
        <v>22568</v>
      </c>
      <c r="N77" s="240" t="s">
        <v>457</v>
      </c>
      <c r="O77" s="247" t="s">
        <v>435</v>
      </c>
      <c r="P77" s="240" t="s">
        <v>458</v>
      </c>
      <c r="Q77" s="240" t="s">
        <v>437</v>
      </c>
      <c r="R77" s="238">
        <v>1580485</v>
      </c>
      <c r="S77" s="234" t="s">
        <v>459</v>
      </c>
      <c r="T77" s="235" t="s">
        <v>52</v>
      </c>
      <c r="U77" s="236" t="s">
        <v>51</v>
      </c>
      <c r="V77" s="153"/>
      <c r="W77" s="153"/>
      <c r="X77" s="153"/>
      <c r="Y77" s="153"/>
      <c r="Z77" s="153"/>
      <c r="AA77" s="153"/>
      <c r="AB77" s="153"/>
    </row>
    <row r="78" spans="1:28" ht="15">
      <c r="A78" s="153"/>
      <c r="B78" s="153"/>
      <c r="C78" s="153"/>
      <c r="D78" s="153"/>
      <c r="E78" s="153"/>
      <c r="F78" s="153"/>
      <c r="G78" s="153"/>
      <c r="H78" s="153"/>
      <c r="I78" s="153"/>
      <c r="J78" s="153"/>
      <c r="K78" s="239">
        <f t="shared" si="2"/>
        <v>44</v>
      </c>
      <c r="L78" s="237" t="s">
        <v>2267</v>
      </c>
      <c r="M78" s="237">
        <v>22824</v>
      </c>
      <c r="N78" s="240" t="s">
        <v>640</v>
      </c>
      <c r="O78" s="241" t="s">
        <v>610</v>
      </c>
      <c r="P78" s="240" t="s">
        <v>641</v>
      </c>
      <c r="Q78" s="240" t="s">
        <v>642</v>
      </c>
      <c r="R78" s="238">
        <v>2100673</v>
      </c>
      <c r="S78" s="234" t="s">
        <v>643</v>
      </c>
      <c r="T78" s="235" t="s">
        <v>52</v>
      </c>
      <c r="U78" s="236" t="s">
        <v>51</v>
      </c>
      <c r="V78" s="153"/>
      <c r="W78" s="153"/>
      <c r="X78" s="153"/>
      <c r="Y78" s="153"/>
      <c r="Z78" s="153"/>
      <c r="AA78" s="153"/>
      <c r="AB78" s="153"/>
    </row>
    <row r="79" spans="1:28" ht="15">
      <c r="A79" s="153"/>
      <c r="B79" s="153"/>
      <c r="C79" s="153"/>
      <c r="D79" s="153"/>
      <c r="E79" s="153"/>
      <c r="F79" s="153"/>
      <c r="G79" s="153"/>
      <c r="H79" s="153"/>
      <c r="I79" s="153"/>
      <c r="J79" s="153"/>
      <c r="K79" s="239">
        <f t="shared" si="2"/>
        <v>45</v>
      </c>
      <c r="L79" s="237" t="s">
        <v>2271</v>
      </c>
      <c r="M79" s="237">
        <v>22832</v>
      </c>
      <c r="N79" s="240" t="s">
        <v>652</v>
      </c>
      <c r="O79" s="241" t="s">
        <v>610</v>
      </c>
      <c r="P79" s="240" t="s">
        <v>653</v>
      </c>
      <c r="Q79" s="240" t="s">
        <v>380</v>
      </c>
      <c r="R79" s="238">
        <v>1274597</v>
      </c>
      <c r="S79" s="234" t="s">
        <v>654</v>
      </c>
      <c r="T79" s="235" t="s">
        <v>52</v>
      </c>
      <c r="U79" s="236" t="s">
        <v>51</v>
      </c>
      <c r="V79" s="153"/>
      <c r="W79" s="153"/>
      <c r="X79" s="153"/>
      <c r="Y79" s="153"/>
      <c r="Z79" s="153"/>
      <c r="AA79" s="153"/>
      <c r="AB79" s="153"/>
    </row>
    <row r="80" spans="1:28" ht="15">
      <c r="A80" s="153"/>
      <c r="B80" s="153"/>
      <c r="C80" s="153"/>
      <c r="D80" s="153"/>
      <c r="E80" s="153"/>
      <c r="F80" s="153"/>
      <c r="G80" s="153"/>
      <c r="H80" s="153"/>
      <c r="I80" s="153"/>
      <c r="J80" s="153"/>
      <c r="K80" s="239">
        <f t="shared" si="2"/>
        <v>46</v>
      </c>
      <c r="L80" s="237" t="s">
        <v>2187</v>
      </c>
      <c r="M80" s="237">
        <v>22849</v>
      </c>
      <c r="N80" s="240" t="s">
        <v>397</v>
      </c>
      <c r="O80" s="247" t="s">
        <v>381</v>
      </c>
      <c r="P80" s="240" t="s">
        <v>398</v>
      </c>
      <c r="Q80" s="240" t="s">
        <v>383</v>
      </c>
      <c r="R80" s="238">
        <v>1388142</v>
      </c>
      <c r="S80" s="234" t="s">
        <v>399</v>
      </c>
      <c r="T80" s="235" t="s">
        <v>52</v>
      </c>
      <c r="U80" s="236" t="s">
        <v>51</v>
      </c>
      <c r="V80" s="153"/>
      <c r="W80" s="153"/>
      <c r="X80" s="153"/>
      <c r="Y80" s="153"/>
      <c r="Z80" s="153"/>
      <c r="AA80" s="153"/>
      <c r="AB80" s="153"/>
    </row>
    <row r="81" spans="1:28" ht="15">
      <c r="A81" s="153"/>
      <c r="B81" s="153"/>
      <c r="C81" s="153"/>
      <c r="D81" s="153"/>
      <c r="E81" s="153"/>
      <c r="F81" s="153"/>
      <c r="G81" s="153"/>
      <c r="H81" s="153"/>
      <c r="I81" s="153"/>
      <c r="J81" s="153"/>
      <c r="K81" s="239">
        <f t="shared" si="2"/>
        <v>47</v>
      </c>
      <c r="L81" s="237" t="s">
        <v>2203</v>
      </c>
      <c r="M81" s="237">
        <v>22857</v>
      </c>
      <c r="N81" s="240" t="s">
        <v>449</v>
      </c>
      <c r="O81" s="247" t="s">
        <v>435</v>
      </c>
      <c r="P81" s="240" t="s">
        <v>450</v>
      </c>
      <c r="Q81" s="240" t="s">
        <v>437</v>
      </c>
      <c r="R81" s="238">
        <v>3368491</v>
      </c>
      <c r="S81" s="234" t="s">
        <v>451</v>
      </c>
      <c r="T81" s="235" t="s">
        <v>52</v>
      </c>
      <c r="U81" s="236" t="s">
        <v>51</v>
      </c>
      <c r="V81" s="153"/>
      <c r="W81" s="153"/>
      <c r="X81" s="153"/>
      <c r="Y81" s="153"/>
      <c r="Z81" s="153"/>
      <c r="AA81" s="153"/>
      <c r="AB81" s="153"/>
    </row>
    <row r="82" spans="1:28" ht="15">
      <c r="A82" s="153"/>
      <c r="B82" s="153"/>
      <c r="C82" s="153"/>
      <c r="D82" s="153"/>
      <c r="E82" s="153"/>
      <c r="F82" s="153"/>
      <c r="G82" s="153"/>
      <c r="H82" s="153"/>
      <c r="I82" s="153"/>
      <c r="J82" s="153"/>
      <c r="K82" s="239">
        <f t="shared" si="2"/>
        <v>48</v>
      </c>
      <c r="L82" s="237" t="s">
        <v>2219</v>
      </c>
      <c r="M82" s="245">
        <v>23368</v>
      </c>
      <c r="N82" s="240" t="s">
        <v>496</v>
      </c>
      <c r="O82" s="241" t="s">
        <v>476</v>
      </c>
      <c r="P82" s="240" t="s">
        <v>497</v>
      </c>
      <c r="Q82" s="240" t="s">
        <v>477</v>
      </c>
      <c r="R82" s="238">
        <v>1465643</v>
      </c>
      <c r="S82" s="234">
        <v>36149548625</v>
      </c>
      <c r="T82" s="235" t="s">
        <v>52</v>
      </c>
      <c r="U82" s="236" t="s">
        <v>51</v>
      </c>
      <c r="V82" s="153"/>
      <c r="W82" s="153"/>
      <c r="X82" s="153"/>
      <c r="Y82" s="153"/>
      <c r="Z82" s="153"/>
      <c r="AA82" s="153"/>
      <c r="AB82" s="153"/>
    </row>
    <row r="83" spans="1:28" ht="15">
      <c r="A83" s="153"/>
      <c r="B83" s="153"/>
      <c r="C83" s="153"/>
      <c r="D83" s="153"/>
      <c r="E83" s="153"/>
      <c r="F83" s="153"/>
      <c r="G83" s="153"/>
      <c r="H83" s="153"/>
      <c r="I83" s="153"/>
      <c r="J83" s="153"/>
      <c r="K83" s="239">
        <f t="shared" si="2"/>
        <v>49</v>
      </c>
      <c r="L83" s="237" t="s">
        <v>2226</v>
      </c>
      <c r="M83" s="237">
        <v>23815</v>
      </c>
      <c r="N83" s="240" t="s">
        <v>432</v>
      </c>
      <c r="O83" s="241" t="s">
        <v>432</v>
      </c>
      <c r="P83" s="240" t="s">
        <v>2157</v>
      </c>
      <c r="Q83" s="240" t="s">
        <v>433</v>
      </c>
      <c r="R83" s="238">
        <v>1695525</v>
      </c>
      <c r="S83" s="234" t="s">
        <v>434</v>
      </c>
      <c r="T83" s="235" t="s">
        <v>52</v>
      </c>
      <c r="U83" s="236" t="s">
        <v>51</v>
      </c>
      <c r="V83" s="153"/>
      <c r="W83" s="153"/>
      <c r="X83" s="153"/>
      <c r="Y83" s="153"/>
      <c r="Z83" s="153"/>
      <c r="AA83" s="153"/>
      <c r="AB83" s="153"/>
    </row>
    <row r="84" spans="1:28" ht="15">
      <c r="A84" s="153"/>
      <c r="B84" s="153"/>
      <c r="C84" s="153"/>
      <c r="D84" s="153"/>
      <c r="E84" s="153"/>
      <c r="F84" s="153"/>
      <c r="G84" s="153"/>
      <c r="H84" s="153"/>
      <c r="I84" s="153"/>
      <c r="J84" s="153"/>
      <c r="K84" s="239">
        <f t="shared" si="2"/>
        <v>50</v>
      </c>
      <c r="L84" s="237" t="s">
        <v>2198</v>
      </c>
      <c r="M84" s="237">
        <v>24141</v>
      </c>
      <c r="N84" s="240" t="s">
        <v>428</v>
      </c>
      <c r="O84" s="241" t="s">
        <v>428</v>
      </c>
      <c r="P84" s="240" t="s">
        <v>429</v>
      </c>
      <c r="Q84" s="240" t="s">
        <v>430</v>
      </c>
      <c r="R84" s="238">
        <v>1787578</v>
      </c>
      <c r="S84" s="234" t="s">
        <v>431</v>
      </c>
      <c r="T84" s="235" t="s">
        <v>52</v>
      </c>
      <c r="U84" s="236" t="s">
        <v>51</v>
      </c>
      <c r="V84" s="153"/>
      <c r="W84" s="153"/>
      <c r="X84" s="153"/>
      <c r="Y84" s="153"/>
      <c r="Z84" s="153"/>
      <c r="AA84" s="153"/>
      <c r="AB84" s="153"/>
    </row>
    <row r="85" spans="1:28" ht="15">
      <c r="A85" s="153"/>
      <c r="B85" s="153"/>
      <c r="C85" s="153"/>
      <c r="D85" s="153"/>
      <c r="E85" s="153"/>
      <c r="F85" s="153"/>
      <c r="G85" s="153"/>
      <c r="H85" s="153"/>
      <c r="I85" s="153"/>
      <c r="J85" s="153"/>
      <c r="K85" s="239">
        <f t="shared" si="2"/>
        <v>51</v>
      </c>
      <c r="L85" s="237" t="s">
        <v>2262</v>
      </c>
      <c r="M85" s="237">
        <v>38438</v>
      </c>
      <c r="N85" s="240" t="s">
        <v>621</v>
      </c>
      <c r="O85" s="241" t="s">
        <v>610</v>
      </c>
      <c r="P85" s="246" t="s">
        <v>622</v>
      </c>
      <c r="Q85" s="246" t="s">
        <v>623</v>
      </c>
      <c r="R85" s="238">
        <v>1963813</v>
      </c>
      <c r="S85" s="234" t="s">
        <v>624</v>
      </c>
      <c r="T85" s="235" t="s">
        <v>52</v>
      </c>
      <c r="U85" s="236" t="s">
        <v>51</v>
      </c>
      <c r="V85" s="153"/>
      <c r="W85" s="153"/>
      <c r="X85" s="153"/>
      <c r="Y85" s="153"/>
      <c r="Z85" s="153"/>
      <c r="AA85" s="153"/>
      <c r="AB85" s="153"/>
    </row>
    <row r="86" spans="1:28" ht="15">
      <c r="A86" s="153"/>
      <c r="B86" s="153"/>
      <c r="C86" s="153"/>
      <c r="D86" s="153"/>
      <c r="E86" s="153"/>
      <c r="F86" s="153"/>
      <c r="G86" s="153"/>
      <c r="H86" s="153"/>
      <c r="I86" s="153"/>
      <c r="J86" s="153"/>
      <c r="K86" s="239">
        <f t="shared" si="2"/>
        <v>52</v>
      </c>
      <c r="L86" s="237" t="s">
        <v>2261</v>
      </c>
      <c r="M86" s="237">
        <v>38446</v>
      </c>
      <c r="N86" s="240" t="s">
        <v>617</v>
      </c>
      <c r="O86" s="241" t="s">
        <v>610</v>
      </c>
      <c r="P86" s="240" t="s">
        <v>618</v>
      </c>
      <c r="Q86" s="240" t="s">
        <v>619</v>
      </c>
      <c r="R86" s="238">
        <v>1970828</v>
      </c>
      <c r="S86" s="234" t="s">
        <v>620</v>
      </c>
      <c r="T86" s="235" t="s">
        <v>52</v>
      </c>
      <c r="U86" s="236" t="s">
        <v>51</v>
      </c>
      <c r="V86" s="153"/>
      <c r="W86" s="153"/>
      <c r="X86" s="153"/>
      <c r="Y86" s="153"/>
      <c r="Z86" s="153"/>
      <c r="AA86" s="153"/>
      <c r="AB86" s="153"/>
    </row>
    <row r="87" spans="1:28" ht="15">
      <c r="A87" s="153"/>
      <c r="B87" s="153"/>
      <c r="C87" s="153"/>
      <c r="D87" s="153"/>
      <c r="E87" s="153"/>
      <c r="F87" s="153"/>
      <c r="G87" s="153"/>
      <c r="H87" s="153"/>
      <c r="I87" s="153"/>
      <c r="J87" s="153"/>
      <c r="K87" s="239">
        <f t="shared" si="2"/>
        <v>53</v>
      </c>
      <c r="L87" s="237" t="s">
        <v>2200</v>
      </c>
      <c r="M87" s="237">
        <v>38454</v>
      </c>
      <c r="N87" s="240" t="s">
        <v>439</v>
      </c>
      <c r="O87" s="247" t="s">
        <v>435</v>
      </c>
      <c r="P87" s="240" t="s">
        <v>440</v>
      </c>
      <c r="Q87" s="240" t="s">
        <v>437</v>
      </c>
      <c r="R87" s="238">
        <v>1954253</v>
      </c>
      <c r="S87" s="234" t="s">
        <v>441</v>
      </c>
      <c r="T87" s="235" t="s">
        <v>52</v>
      </c>
      <c r="U87" s="236" t="s">
        <v>51</v>
      </c>
      <c r="V87" s="153"/>
      <c r="W87" s="153"/>
      <c r="X87" s="153"/>
      <c r="Y87" s="153"/>
      <c r="Z87" s="153"/>
      <c r="AA87" s="153"/>
      <c r="AB87" s="153"/>
    </row>
    <row r="88" spans="1:28" ht="15">
      <c r="A88" s="153"/>
      <c r="B88" s="153"/>
      <c r="C88" s="153"/>
      <c r="D88" s="153"/>
      <c r="E88" s="153"/>
      <c r="F88" s="153"/>
      <c r="G88" s="153"/>
      <c r="H88" s="153"/>
      <c r="I88" s="153"/>
      <c r="J88" s="153"/>
      <c r="K88" s="239">
        <f t="shared" si="2"/>
        <v>54</v>
      </c>
      <c r="L88" s="237" t="s">
        <v>2193</v>
      </c>
      <c r="M88" s="237">
        <v>38479</v>
      </c>
      <c r="N88" s="240" t="s">
        <v>412</v>
      </c>
      <c r="O88" s="247" t="s">
        <v>381</v>
      </c>
      <c r="P88" s="240" t="s">
        <v>413</v>
      </c>
      <c r="Q88" s="240" t="s">
        <v>414</v>
      </c>
      <c r="R88" s="238">
        <v>1986490</v>
      </c>
      <c r="S88" s="234" t="s">
        <v>415</v>
      </c>
      <c r="T88" s="235" t="s">
        <v>52</v>
      </c>
      <c r="U88" s="236" t="s">
        <v>51</v>
      </c>
      <c r="V88" s="153"/>
      <c r="W88" s="153"/>
      <c r="X88" s="153"/>
      <c r="Y88" s="153"/>
      <c r="Z88" s="153"/>
      <c r="AA88" s="153"/>
      <c r="AB88" s="153"/>
    </row>
    <row r="89" spans="1:28" ht="15">
      <c r="A89" s="153"/>
      <c r="B89" s="153"/>
      <c r="C89" s="153"/>
      <c r="D89" s="153"/>
      <c r="E89" s="153"/>
      <c r="F89" s="153"/>
      <c r="G89" s="153"/>
      <c r="H89" s="153"/>
      <c r="I89" s="153"/>
      <c r="J89" s="153"/>
      <c r="K89" s="239">
        <f t="shared" si="2"/>
        <v>55</v>
      </c>
      <c r="L89" s="237" t="s">
        <v>2210</v>
      </c>
      <c r="M89" s="237">
        <v>40947</v>
      </c>
      <c r="N89" s="240" t="s">
        <v>469</v>
      </c>
      <c r="O89" s="247" t="s">
        <v>435</v>
      </c>
      <c r="P89" s="240" t="s">
        <v>470</v>
      </c>
      <c r="Q89" s="240" t="s">
        <v>437</v>
      </c>
      <c r="R89" s="238">
        <v>2116073</v>
      </c>
      <c r="S89" s="234" t="s">
        <v>471</v>
      </c>
      <c r="T89" s="235" t="s">
        <v>52</v>
      </c>
      <c r="U89" s="236" t="s">
        <v>51</v>
      </c>
      <c r="V89" s="153"/>
      <c r="W89" s="153"/>
      <c r="X89" s="153"/>
      <c r="Y89" s="153"/>
      <c r="Z89" s="153"/>
      <c r="AA89" s="153"/>
      <c r="AB89" s="153"/>
    </row>
    <row r="90" spans="1:28" ht="15">
      <c r="A90" s="153"/>
      <c r="B90" s="153"/>
      <c r="C90" s="153"/>
      <c r="D90" s="153"/>
      <c r="E90" s="153"/>
      <c r="F90" s="153"/>
      <c r="G90" s="153"/>
      <c r="H90" s="153"/>
      <c r="I90" s="153"/>
      <c r="J90" s="153"/>
      <c r="K90" s="239">
        <f t="shared" si="2"/>
        <v>56</v>
      </c>
      <c r="L90" s="237" t="s">
        <v>2263</v>
      </c>
      <c r="M90" s="237">
        <v>41185</v>
      </c>
      <c r="N90" s="240" t="s">
        <v>625</v>
      </c>
      <c r="O90" s="241" t="s">
        <v>610</v>
      </c>
      <c r="P90" s="240" t="s">
        <v>626</v>
      </c>
      <c r="Q90" s="240" t="s">
        <v>627</v>
      </c>
      <c r="R90" s="238">
        <v>2103133</v>
      </c>
      <c r="S90" s="234" t="s">
        <v>628</v>
      </c>
      <c r="T90" s="235" t="s">
        <v>52</v>
      </c>
      <c r="U90" s="236" t="s">
        <v>51</v>
      </c>
      <c r="V90" s="153"/>
      <c r="W90" s="153"/>
      <c r="X90" s="153"/>
      <c r="Y90" s="153"/>
      <c r="Z90" s="153"/>
      <c r="AA90" s="153"/>
      <c r="AB90" s="153"/>
    </row>
    <row r="91" spans="1:28" ht="15">
      <c r="A91" s="153"/>
      <c r="B91" s="153"/>
      <c r="C91" s="153"/>
      <c r="D91" s="153"/>
      <c r="E91" s="153"/>
      <c r="F91" s="153"/>
      <c r="G91" s="153"/>
      <c r="H91" s="153"/>
      <c r="I91" s="153"/>
      <c r="J91" s="153"/>
      <c r="K91" s="239">
        <f t="shared" si="2"/>
        <v>57</v>
      </c>
      <c r="L91" s="237" t="s">
        <v>2196</v>
      </c>
      <c r="M91" s="237">
        <v>42024</v>
      </c>
      <c r="N91" s="240" t="s">
        <v>421</v>
      </c>
      <c r="O91" s="241" t="s">
        <v>421</v>
      </c>
      <c r="P91" s="240" t="s">
        <v>422</v>
      </c>
      <c r="Q91" s="240" t="s">
        <v>423</v>
      </c>
      <c r="R91" s="238">
        <v>2161753</v>
      </c>
      <c r="S91" s="234" t="s">
        <v>424</v>
      </c>
      <c r="T91" s="235" t="s">
        <v>52</v>
      </c>
      <c r="U91" s="236" t="s">
        <v>51</v>
      </c>
      <c r="V91" s="153"/>
      <c r="W91" s="153"/>
      <c r="X91" s="153"/>
      <c r="Y91" s="153"/>
      <c r="Z91" s="153"/>
      <c r="AA91" s="153"/>
      <c r="AB91" s="153"/>
    </row>
    <row r="92" spans="1:28" ht="15">
      <c r="A92" s="153"/>
      <c r="B92" s="153"/>
      <c r="C92" s="153"/>
      <c r="D92" s="153"/>
      <c r="E92" s="153"/>
      <c r="F92" s="153"/>
      <c r="G92" s="153"/>
      <c r="H92" s="153"/>
      <c r="I92" s="153"/>
      <c r="J92" s="153"/>
      <c r="K92" s="239">
        <f t="shared" si="2"/>
        <v>58</v>
      </c>
      <c r="L92" s="237" t="s">
        <v>2269</v>
      </c>
      <c r="M92" s="237">
        <v>42993</v>
      </c>
      <c r="N92" s="240" t="s">
        <v>644</v>
      </c>
      <c r="O92" s="241" t="s">
        <v>610</v>
      </c>
      <c r="P92" s="240" t="s">
        <v>645</v>
      </c>
      <c r="Q92" s="240" t="s">
        <v>646</v>
      </c>
      <c r="R92" s="238">
        <v>2282208</v>
      </c>
      <c r="S92" s="234" t="s">
        <v>647</v>
      </c>
      <c r="T92" s="235" t="s">
        <v>52</v>
      </c>
      <c r="U92" s="236" t="s">
        <v>51</v>
      </c>
      <c r="V92" s="153"/>
      <c r="W92" s="153"/>
      <c r="X92" s="153"/>
      <c r="Y92" s="153"/>
      <c r="Z92" s="153"/>
      <c r="AA92" s="153"/>
      <c r="AB92" s="153"/>
    </row>
    <row r="93" spans="1:28" ht="15">
      <c r="A93" s="153"/>
      <c r="B93" s="153"/>
      <c r="C93" s="153"/>
      <c r="D93" s="153"/>
      <c r="E93" s="153"/>
      <c r="F93" s="153"/>
      <c r="G93" s="153"/>
      <c r="H93" s="153"/>
      <c r="I93" s="153"/>
      <c r="J93" s="153"/>
      <c r="K93" s="239">
        <f t="shared" si="2"/>
        <v>59</v>
      </c>
      <c r="L93" s="237" t="s">
        <v>2180</v>
      </c>
      <c r="M93" s="237">
        <v>43749</v>
      </c>
      <c r="N93" s="240" t="s">
        <v>609</v>
      </c>
      <c r="O93" s="241" t="s">
        <v>610</v>
      </c>
      <c r="P93" s="240" t="s">
        <v>611</v>
      </c>
      <c r="Q93" s="240" t="s">
        <v>612</v>
      </c>
      <c r="R93" s="238">
        <v>2382512</v>
      </c>
      <c r="S93" s="234" t="s">
        <v>613</v>
      </c>
      <c r="T93" s="235" t="s">
        <v>52</v>
      </c>
      <c r="U93" s="236" t="s">
        <v>51</v>
      </c>
      <c r="V93" s="153"/>
      <c r="W93" s="153"/>
      <c r="X93" s="153"/>
      <c r="Y93" s="153"/>
      <c r="Z93" s="153"/>
      <c r="AA93" s="153"/>
      <c r="AB93" s="153"/>
    </row>
    <row r="94" spans="1:28" ht="15">
      <c r="A94" s="153"/>
      <c r="B94" s="153"/>
      <c r="C94" s="153"/>
      <c r="D94" s="153"/>
      <c r="E94" s="153"/>
      <c r="F94" s="153"/>
      <c r="G94" s="153"/>
      <c r="H94" s="153"/>
      <c r="I94" s="153"/>
      <c r="J94" s="153"/>
      <c r="K94" s="239">
        <f t="shared" si="2"/>
        <v>60</v>
      </c>
      <c r="L94" s="237" t="s">
        <v>2218</v>
      </c>
      <c r="M94" s="237">
        <v>43773</v>
      </c>
      <c r="N94" s="240" t="s">
        <v>493</v>
      </c>
      <c r="O94" s="241" t="s">
        <v>476</v>
      </c>
      <c r="P94" s="240" t="s">
        <v>494</v>
      </c>
      <c r="Q94" s="240" t="s">
        <v>477</v>
      </c>
      <c r="R94" s="238">
        <v>2393255</v>
      </c>
      <c r="S94" s="234" t="s">
        <v>495</v>
      </c>
      <c r="T94" s="235" t="s">
        <v>52</v>
      </c>
      <c r="U94" s="236" t="s">
        <v>51</v>
      </c>
      <c r="V94" s="153"/>
      <c r="W94" s="153"/>
      <c r="X94" s="153"/>
      <c r="Y94" s="153"/>
      <c r="Z94" s="153"/>
      <c r="AA94" s="153"/>
      <c r="AB94" s="153"/>
    </row>
    <row r="95" spans="1:28" ht="15">
      <c r="A95" s="153"/>
      <c r="B95" s="153"/>
      <c r="C95" s="153"/>
      <c r="D95" s="153"/>
      <c r="E95" s="153"/>
      <c r="F95" s="153"/>
      <c r="G95" s="153"/>
      <c r="H95" s="153"/>
      <c r="I95" s="153"/>
      <c r="J95" s="153"/>
      <c r="K95" s="239">
        <f t="shared" si="2"/>
        <v>61</v>
      </c>
      <c r="L95" s="237" t="s">
        <v>2211</v>
      </c>
      <c r="M95" s="237">
        <v>48023</v>
      </c>
      <c r="N95" s="240" t="s">
        <v>472</v>
      </c>
      <c r="O95" s="247" t="s">
        <v>435</v>
      </c>
      <c r="P95" s="240" t="s">
        <v>473</v>
      </c>
      <c r="Q95" s="240" t="s">
        <v>437</v>
      </c>
      <c r="R95" s="244" t="s">
        <v>474</v>
      </c>
      <c r="S95" s="234" t="s">
        <v>475</v>
      </c>
      <c r="T95" s="235" t="s">
        <v>52</v>
      </c>
      <c r="U95" s="236" t="s">
        <v>51</v>
      </c>
      <c r="V95" s="153"/>
      <c r="W95" s="153"/>
      <c r="X95" s="153"/>
      <c r="Y95" s="153"/>
      <c r="Z95" s="153"/>
      <c r="AA95" s="153"/>
      <c r="AB95" s="153"/>
    </row>
    <row r="96" spans="1:28" ht="15">
      <c r="A96" s="153"/>
      <c r="B96" s="153"/>
      <c r="C96" s="153"/>
      <c r="D96" s="153"/>
      <c r="E96" s="153"/>
      <c r="F96" s="153"/>
      <c r="G96" s="153"/>
      <c r="H96" s="153"/>
      <c r="I96" s="153"/>
      <c r="J96" s="153"/>
      <c r="K96" s="239">
        <f t="shared" si="2"/>
        <v>62</v>
      </c>
      <c r="L96" s="237" t="s">
        <v>2197</v>
      </c>
      <c r="M96" s="237">
        <v>48267</v>
      </c>
      <c r="N96" s="240" t="s">
        <v>425</v>
      </c>
      <c r="O96" s="241" t="s">
        <v>425</v>
      </c>
      <c r="P96" s="240" t="s">
        <v>2152</v>
      </c>
      <c r="Q96" s="240" t="s">
        <v>426</v>
      </c>
      <c r="R96" s="238">
        <v>2752298</v>
      </c>
      <c r="S96" s="234" t="s">
        <v>427</v>
      </c>
      <c r="T96" s="235" t="s">
        <v>52</v>
      </c>
      <c r="U96" s="236" t="s">
        <v>51</v>
      </c>
      <c r="V96" s="153"/>
      <c r="W96" s="153"/>
      <c r="X96" s="153"/>
      <c r="Y96" s="153"/>
      <c r="Z96" s="153"/>
      <c r="AA96" s="153"/>
      <c r="AB96" s="153"/>
    </row>
    <row r="97" spans="1:28" ht="15">
      <c r="A97" s="153"/>
      <c r="B97" s="153"/>
      <c r="C97" s="153"/>
      <c r="D97" s="153"/>
      <c r="E97" s="153"/>
      <c r="F97" s="153"/>
      <c r="G97" s="153"/>
      <c r="H97" s="153"/>
      <c r="I97" s="153"/>
      <c r="J97" s="153"/>
      <c r="K97" s="239">
        <f t="shared" si="2"/>
        <v>63</v>
      </c>
      <c r="L97" s="237" t="s">
        <v>2194</v>
      </c>
      <c r="M97" s="237">
        <v>49796</v>
      </c>
      <c r="N97" s="240" t="s">
        <v>416</v>
      </c>
      <c r="O97" s="247" t="s">
        <v>381</v>
      </c>
      <c r="P97" s="240" t="s">
        <v>417</v>
      </c>
      <c r="Q97" s="240" t="s">
        <v>383</v>
      </c>
      <c r="R97" s="238">
        <v>4748875</v>
      </c>
      <c r="S97" s="234" t="s">
        <v>418</v>
      </c>
      <c r="T97" s="235" t="s">
        <v>52</v>
      </c>
      <c r="U97" s="236" t="s">
        <v>51</v>
      </c>
      <c r="V97" s="153"/>
      <c r="W97" s="153"/>
      <c r="X97" s="153"/>
      <c r="Y97" s="153"/>
      <c r="Z97" s="153"/>
      <c r="AA97" s="153"/>
      <c r="AB97" s="153"/>
    </row>
    <row r="98" spans="1:28" ht="15">
      <c r="A98" s="153"/>
      <c r="B98" s="153"/>
      <c r="C98" s="153"/>
      <c r="D98" s="153"/>
      <c r="E98" s="153"/>
      <c r="F98" s="153"/>
      <c r="G98" s="153"/>
      <c r="H98" s="153"/>
      <c r="I98" s="153"/>
      <c r="J98" s="153"/>
      <c r="K98" s="239">
        <f t="shared" si="2"/>
        <v>64</v>
      </c>
      <c r="L98" s="237" t="s">
        <v>2192</v>
      </c>
      <c r="M98" s="237">
        <v>50215</v>
      </c>
      <c r="N98" s="240" t="s">
        <v>419</v>
      </c>
      <c r="O98" s="247" t="s">
        <v>381</v>
      </c>
      <c r="P98" s="240" t="s">
        <v>420</v>
      </c>
      <c r="Q98" s="240" t="s">
        <v>383</v>
      </c>
      <c r="R98" s="238">
        <v>4907361</v>
      </c>
      <c r="S98" s="234" t="s">
        <v>2150</v>
      </c>
      <c r="T98" s="235" t="s">
        <v>52</v>
      </c>
      <c r="U98" s="236" t="s">
        <v>51</v>
      </c>
      <c r="V98" s="153"/>
      <c r="W98" s="153"/>
      <c r="X98" s="153"/>
      <c r="Y98" s="153"/>
      <c r="Z98" s="153"/>
      <c r="AA98" s="153"/>
      <c r="AB98" s="153"/>
    </row>
    <row r="99" spans="1:28" ht="15">
      <c r="A99" s="153"/>
      <c r="B99" s="153"/>
      <c r="C99" s="153"/>
      <c r="D99" s="153"/>
      <c r="E99" s="153"/>
      <c r="F99" s="153"/>
      <c r="G99" s="153"/>
      <c r="H99" s="153"/>
      <c r="I99" s="153"/>
      <c r="J99" s="153"/>
      <c r="K99" s="239">
        <f t="shared" si="2"/>
        <v>65</v>
      </c>
      <c r="L99" s="237" t="s">
        <v>2268</v>
      </c>
      <c r="M99" s="237">
        <v>50848</v>
      </c>
      <c r="N99" s="240" t="s">
        <v>2167</v>
      </c>
      <c r="O99" s="241" t="s">
        <v>610</v>
      </c>
      <c r="P99" s="240" t="s">
        <v>2168</v>
      </c>
      <c r="Q99" s="240" t="s">
        <v>2169</v>
      </c>
      <c r="R99" s="238">
        <v>2271354</v>
      </c>
      <c r="S99" s="234" t="s">
        <v>2170</v>
      </c>
      <c r="T99" s="235" t="s">
        <v>52</v>
      </c>
      <c r="U99" s="236" t="s">
        <v>51</v>
      </c>
      <c r="V99" s="153"/>
      <c r="W99" s="153"/>
      <c r="X99" s="153"/>
      <c r="Y99" s="153"/>
      <c r="Z99" s="153"/>
      <c r="AA99" s="153"/>
      <c r="AB99" s="153"/>
    </row>
    <row r="100" spans="1:28" ht="15">
      <c r="A100" s="153"/>
      <c r="B100" s="153"/>
      <c r="C100" s="153"/>
      <c r="D100" s="153"/>
      <c r="E100" s="153"/>
      <c r="F100" s="153"/>
      <c r="G100" s="153"/>
      <c r="H100" s="153"/>
      <c r="I100" s="153"/>
      <c r="J100" s="153"/>
      <c r="K100" s="239">
        <f t="shared" ref="K100:K136" si="3">+K99+1</f>
        <v>66</v>
      </c>
      <c r="L100" s="237" t="s">
        <v>2237</v>
      </c>
      <c r="M100" s="237">
        <v>51191</v>
      </c>
      <c r="N100" s="240" t="s">
        <v>2160</v>
      </c>
      <c r="O100" s="241" t="s">
        <v>514</v>
      </c>
      <c r="P100" s="240" t="s">
        <v>2161</v>
      </c>
      <c r="Q100" s="240" t="s">
        <v>380</v>
      </c>
      <c r="R100" s="238">
        <v>5214068</v>
      </c>
      <c r="S100" s="234" t="s">
        <v>2162</v>
      </c>
      <c r="T100" s="235" t="s">
        <v>52</v>
      </c>
      <c r="U100" s="236" t="s">
        <v>51</v>
      </c>
      <c r="V100" s="153"/>
      <c r="W100" s="153"/>
      <c r="X100" s="153"/>
      <c r="Y100" s="153"/>
      <c r="Z100" s="153"/>
      <c r="AA100" s="153"/>
      <c r="AB100" s="153"/>
    </row>
    <row r="101" spans="1:28" ht="15">
      <c r="A101" s="153"/>
      <c r="B101" s="153"/>
      <c r="C101" s="153"/>
      <c r="D101" s="153"/>
      <c r="E101" s="153"/>
      <c r="F101" s="153"/>
      <c r="G101" s="153"/>
      <c r="H101" s="153"/>
      <c r="I101" s="153"/>
      <c r="J101" s="153"/>
      <c r="K101" s="239">
        <f t="shared" si="3"/>
        <v>67</v>
      </c>
      <c r="L101" s="237" t="s">
        <v>2195</v>
      </c>
      <c r="M101" s="237">
        <v>51360</v>
      </c>
      <c r="N101" s="240" t="s">
        <v>2151</v>
      </c>
      <c r="O101" s="241" t="s">
        <v>2151</v>
      </c>
      <c r="P101" s="240"/>
      <c r="Q101" s="240"/>
      <c r="R101" s="238"/>
      <c r="S101" s="234"/>
      <c r="T101" s="235" t="s">
        <v>52</v>
      </c>
      <c r="U101" s="236" t="s">
        <v>51</v>
      </c>
      <c r="V101" s="153"/>
      <c r="W101" s="153"/>
      <c r="X101" s="153"/>
      <c r="Y101" s="153"/>
      <c r="Z101" s="153"/>
      <c r="AA101" s="153"/>
      <c r="AB101" s="153"/>
    </row>
    <row r="102" spans="1:28" ht="15">
      <c r="A102" s="153"/>
      <c r="B102" s="153"/>
      <c r="C102" s="153"/>
      <c r="D102" s="153"/>
      <c r="E102" s="153"/>
      <c r="F102" s="153"/>
      <c r="G102" s="153"/>
      <c r="H102" s="153"/>
      <c r="I102" s="153"/>
      <c r="J102" s="153"/>
      <c r="K102" s="239">
        <f t="shared" si="3"/>
        <v>68</v>
      </c>
      <c r="L102" s="237" t="s">
        <v>2290</v>
      </c>
      <c r="M102" s="237">
        <v>2900</v>
      </c>
      <c r="N102" s="240" t="s">
        <v>706</v>
      </c>
      <c r="O102" s="241" t="s">
        <v>610</v>
      </c>
      <c r="P102" s="240" t="s">
        <v>2173</v>
      </c>
      <c r="Q102" s="240" t="s">
        <v>477</v>
      </c>
      <c r="R102" s="238">
        <v>3118355</v>
      </c>
      <c r="S102" s="234" t="s">
        <v>707</v>
      </c>
      <c r="T102" s="235" t="s">
        <v>781</v>
      </c>
      <c r="U102" s="236" t="s">
        <v>655</v>
      </c>
      <c r="V102" s="153"/>
      <c r="W102" s="153"/>
      <c r="X102" s="153"/>
      <c r="Y102" s="153"/>
      <c r="Z102" s="153"/>
      <c r="AA102" s="153"/>
      <c r="AB102" s="153"/>
    </row>
    <row r="103" spans="1:28" ht="15">
      <c r="A103" s="153"/>
      <c r="B103" s="153"/>
      <c r="C103" s="153"/>
      <c r="D103" s="153"/>
      <c r="E103" s="153"/>
      <c r="F103" s="153"/>
      <c r="G103" s="153"/>
      <c r="H103" s="153"/>
      <c r="I103" s="153"/>
      <c r="J103" s="153"/>
      <c r="K103" s="239">
        <f t="shared" si="3"/>
        <v>69</v>
      </c>
      <c r="L103" s="237" t="s">
        <v>2272</v>
      </c>
      <c r="M103" s="237">
        <v>2918</v>
      </c>
      <c r="N103" s="240" t="s">
        <v>656</v>
      </c>
      <c r="O103" s="241" t="s">
        <v>610</v>
      </c>
      <c r="P103" s="240" t="s">
        <v>657</v>
      </c>
      <c r="Q103" s="240" t="s">
        <v>380</v>
      </c>
      <c r="R103" s="238">
        <v>3219925</v>
      </c>
      <c r="S103" s="234" t="s">
        <v>658</v>
      </c>
      <c r="T103" s="235" t="s">
        <v>781</v>
      </c>
      <c r="U103" s="236" t="s">
        <v>655</v>
      </c>
      <c r="V103" s="153"/>
      <c r="W103" s="153"/>
      <c r="X103" s="153"/>
      <c r="Y103" s="153"/>
      <c r="Z103" s="153"/>
      <c r="AA103" s="153"/>
      <c r="AB103" s="153"/>
    </row>
    <row r="104" spans="1:28" ht="15">
      <c r="A104" s="153"/>
      <c r="B104" s="153"/>
      <c r="C104" s="153"/>
      <c r="D104" s="153"/>
      <c r="E104" s="153"/>
      <c r="F104" s="153"/>
      <c r="G104" s="153"/>
      <c r="H104" s="153"/>
      <c r="I104" s="153"/>
      <c r="J104" s="153"/>
      <c r="K104" s="239">
        <f t="shared" si="3"/>
        <v>70</v>
      </c>
      <c r="L104" s="237" t="s">
        <v>2273</v>
      </c>
      <c r="M104" s="237">
        <v>2934</v>
      </c>
      <c r="N104" s="240" t="s">
        <v>659</v>
      </c>
      <c r="O104" s="241" t="s">
        <v>610</v>
      </c>
      <c r="P104" s="240" t="s">
        <v>660</v>
      </c>
      <c r="Q104" s="240" t="s">
        <v>380</v>
      </c>
      <c r="R104" s="238">
        <v>3207153</v>
      </c>
      <c r="S104" s="234" t="s">
        <v>661</v>
      </c>
      <c r="T104" s="235" t="s">
        <v>781</v>
      </c>
      <c r="U104" s="236" t="s">
        <v>655</v>
      </c>
      <c r="V104" s="153"/>
      <c r="W104" s="153"/>
      <c r="X104" s="153"/>
      <c r="Y104" s="153"/>
      <c r="Z104" s="153"/>
      <c r="AA104" s="153"/>
      <c r="AB104" s="153"/>
    </row>
    <row r="105" spans="1:28" ht="15">
      <c r="A105" s="153"/>
      <c r="B105" s="153"/>
      <c r="C105" s="153"/>
      <c r="D105" s="153"/>
      <c r="E105" s="153"/>
      <c r="F105" s="153"/>
      <c r="G105" s="153"/>
      <c r="H105" s="153"/>
      <c r="I105" s="153"/>
      <c r="J105" s="153"/>
      <c r="K105" s="239">
        <f t="shared" si="3"/>
        <v>71</v>
      </c>
      <c r="L105" s="237" t="s">
        <v>2292</v>
      </c>
      <c r="M105" s="237">
        <v>2942</v>
      </c>
      <c r="N105" s="240" t="s">
        <v>712</v>
      </c>
      <c r="O105" s="241" t="s">
        <v>610</v>
      </c>
      <c r="P105" s="240" t="s">
        <v>713</v>
      </c>
      <c r="Q105" s="240" t="s">
        <v>380</v>
      </c>
      <c r="R105" s="238">
        <v>1339958</v>
      </c>
      <c r="S105" s="234" t="s">
        <v>714</v>
      </c>
      <c r="T105" s="235" t="s">
        <v>781</v>
      </c>
      <c r="U105" s="236" t="s">
        <v>655</v>
      </c>
      <c r="V105" s="153"/>
      <c r="W105" s="153"/>
      <c r="X105" s="153"/>
      <c r="Y105" s="153"/>
      <c r="Z105" s="153"/>
      <c r="AA105" s="153"/>
      <c r="AB105" s="153"/>
    </row>
    <row r="106" spans="1:28" ht="15">
      <c r="A106" s="153"/>
      <c r="B106" s="153"/>
      <c r="C106" s="153"/>
      <c r="D106" s="153"/>
      <c r="E106" s="153"/>
      <c r="F106" s="153"/>
      <c r="G106" s="153"/>
      <c r="H106" s="153"/>
      <c r="I106" s="153"/>
      <c r="J106" s="153"/>
      <c r="K106" s="239">
        <f t="shared" si="3"/>
        <v>72</v>
      </c>
      <c r="L106" s="237" t="s">
        <v>2287</v>
      </c>
      <c r="M106" s="237">
        <v>2959</v>
      </c>
      <c r="N106" s="240" t="s">
        <v>698</v>
      </c>
      <c r="O106" s="241" t="s">
        <v>610</v>
      </c>
      <c r="P106" s="240" t="s">
        <v>699</v>
      </c>
      <c r="Q106" s="240" t="s">
        <v>380</v>
      </c>
      <c r="R106" s="238">
        <v>3270475</v>
      </c>
      <c r="S106" s="234" t="s">
        <v>700</v>
      </c>
      <c r="T106" s="235" t="s">
        <v>781</v>
      </c>
      <c r="U106" s="236" t="s">
        <v>655</v>
      </c>
      <c r="V106" s="153"/>
      <c r="W106" s="153"/>
      <c r="X106" s="153"/>
      <c r="Y106" s="153"/>
      <c r="Z106" s="153"/>
      <c r="AA106" s="153"/>
      <c r="AB106" s="153"/>
    </row>
    <row r="107" spans="1:28" ht="15">
      <c r="A107" s="153"/>
      <c r="B107" s="153"/>
      <c r="C107" s="153"/>
      <c r="D107" s="153"/>
      <c r="E107" s="153"/>
      <c r="F107" s="153"/>
      <c r="G107" s="153"/>
      <c r="H107" s="153"/>
      <c r="I107" s="153"/>
      <c r="J107" s="153"/>
      <c r="K107" s="239">
        <f t="shared" si="3"/>
        <v>73</v>
      </c>
      <c r="L107" s="237" t="s">
        <v>2296</v>
      </c>
      <c r="M107" s="237">
        <v>2967</v>
      </c>
      <c r="N107" s="240" t="s">
        <v>721</v>
      </c>
      <c r="O107" s="241" t="s">
        <v>610</v>
      </c>
      <c r="P107" s="240" t="s">
        <v>722</v>
      </c>
      <c r="Q107" s="240" t="s">
        <v>723</v>
      </c>
      <c r="R107" s="238">
        <v>3115879</v>
      </c>
      <c r="S107" s="234" t="s">
        <v>724</v>
      </c>
      <c r="T107" s="235" t="s">
        <v>781</v>
      </c>
      <c r="U107" s="236" t="s">
        <v>655</v>
      </c>
      <c r="V107" s="153"/>
      <c r="W107" s="153"/>
      <c r="X107" s="153"/>
      <c r="Y107" s="153"/>
      <c r="Z107" s="153"/>
      <c r="AA107" s="153"/>
      <c r="AB107" s="153"/>
    </row>
    <row r="108" spans="1:28" ht="15">
      <c r="A108" s="153"/>
      <c r="B108" s="153"/>
      <c r="C108" s="153"/>
      <c r="D108" s="153"/>
      <c r="E108" s="153"/>
      <c r="F108" s="153"/>
      <c r="G108" s="153"/>
      <c r="H108" s="153"/>
      <c r="I108" s="153"/>
      <c r="J108" s="153"/>
      <c r="K108" s="239">
        <f t="shared" si="3"/>
        <v>74</v>
      </c>
      <c r="L108" s="237" t="s">
        <v>2282</v>
      </c>
      <c r="M108" s="237">
        <v>2975</v>
      </c>
      <c r="N108" s="240" t="s">
        <v>684</v>
      </c>
      <c r="O108" s="241" t="s">
        <v>610</v>
      </c>
      <c r="P108" s="240" t="s">
        <v>669</v>
      </c>
      <c r="Q108" s="240" t="s">
        <v>380</v>
      </c>
      <c r="R108" s="238">
        <v>3270424</v>
      </c>
      <c r="S108" s="234" t="s">
        <v>685</v>
      </c>
      <c r="T108" s="235" t="s">
        <v>781</v>
      </c>
      <c r="U108" s="236" t="s">
        <v>655</v>
      </c>
      <c r="V108" s="153"/>
      <c r="W108" s="153"/>
      <c r="X108" s="153"/>
      <c r="Y108" s="153"/>
      <c r="Z108" s="153"/>
      <c r="AA108" s="153"/>
      <c r="AB108" s="153"/>
    </row>
    <row r="109" spans="1:28" ht="15">
      <c r="A109" s="153"/>
      <c r="B109" s="153"/>
      <c r="C109" s="153"/>
      <c r="D109" s="153"/>
      <c r="E109" s="153"/>
      <c r="F109" s="153"/>
      <c r="G109" s="153"/>
      <c r="H109" s="153"/>
      <c r="I109" s="153"/>
      <c r="J109" s="153"/>
      <c r="K109" s="239">
        <f t="shared" si="3"/>
        <v>75</v>
      </c>
      <c r="L109" s="237" t="s">
        <v>2274</v>
      </c>
      <c r="M109" s="237">
        <v>2983</v>
      </c>
      <c r="N109" s="240" t="s">
        <v>662</v>
      </c>
      <c r="O109" s="241" t="s">
        <v>610</v>
      </c>
      <c r="P109" s="240" t="s">
        <v>663</v>
      </c>
      <c r="Q109" s="240" t="s">
        <v>380</v>
      </c>
      <c r="R109" s="238">
        <v>3274098</v>
      </c>
      <c r="S109" s="234" t="s">
        <v>664</v>
      </c>
      <c r="T109" s="235" t="s">
        <v>781</v>
      </c>
      <c r="U109" s="236" t="s">
        <v>655</v>
      </c>
      <c r="V109" s="153"/>
      <c r="W109" s="153"/>
      <c r="X109" s="153"/>
      <c r="Y109" s="153"/>
      <c r="Z109" s="153"/>
      <c r="AA109" s="153"/>
      <c r="AB109" s="153"/>
    </row>
    <row r="110" spans="1:28" ht="15">
      <c r="A110" s="153"/>
      <c r="B110" s="153"/>
      <c r="C110" s="153"/>
      <c r="D110" s="153"/>
      <c r="E110" s="153"/>
      <c r="F110" s="153"/>
      <c r="G110" s="153"/>
      <c r="H110" s="153"/>
      <c r="I110" s="153"/>
      <c r="J110" s="153"/>
      <c r="K110" s="239">
        <f t="shared" si="3"/>
        <v>76</v>
      </c>
      <c r="L110" s="237" t="s">
        <v>2294</v>
      </c>
      <c r="M110" s="237">
        <v>2991</v>
      </c>
      <c r="N110" s="240" t="s">
        <v>2174</v>
      </c>
      <c r="O110" s="241" t="s">
        <v>610</v>
      </c>
      <c r="P110" s="240" t="s">
        <v>2175</v>
      </c>
      <c r="Q110" s="240" t="s">
        <v>383</v>
      </c>
      <c r="R110" s="238">
        <v>3058239</v>
      </c>
      <c r="S110" s="234" t="s">
        <v>2176</v>
      </c>
      <c r="T110" s="235" t="s">
        <v>781</v>
      </c>
      <c r="U110" s="236" t="s">
        <v>655</v>
      </c>
      <c r="V110" s="153"/>
      <c r="W110" s="153"/>
      <c r="X110" s="153"/>
      <c r="Y110" s="153"/>
      <c r="Z110" s="153"/>
      <c r="AA110" s="153"/>
      <c r="AB110" s="153"/>
    </row>
    <row r="111" spans="1:28" ht="15">
      <c r="A111" s="153"/>
      <c r="B111" s="153"/>
      <c r="C111" s="153"/>
      <c r="D111" s="153"/>
      <c r="E111" s="153"/>
      <c r="F111" s="153"/>
      <c r="G111" s="153"/>
      <c r="H111" s="153"/>
      <c r="I111" s="153"/>
      <c r="J111" s="153"/>
      <c r="K111" s="239">
        <f t="shared" si="3"/>
        <v>77</v>
      </c>
      <c r="L111" s="237" t="s">
        <v>2289</v>
      </c>
      <c r="M111" s="237">
        <v>3009</v>
      </c>
      <c r="N111" s="240" t="s">
        <v>703</v>
      </c>
      <c r="O111" s="241" t="s">
        <v>610</v>
      </c>
      <c r="P111" s="240" t="s">
        <v>704</v>
      </c>
      <c r="Q111" s="240" t="s">
        <v>380</v>
      </c>
      <c r="R111" s="238">
        <v>3287572</v>
      </c>
      <c r="S111" s="234" t="s">
        <v>705</v>
      </c>
      <c r="T111" s="235" t="s">
        <v>781</v>
      </c>
      <c r="U111" s="236" t="s">
        <v>655</v>
      </c>
      <c r="V111" s="153"/>
      <c r="W111" s="153"/>
      <c r="X111" s="153"/>
      <c r="Y111" s="153"/>
      <c r="Z111" s="153"/>
      <c r="AA111" s="153"/>
      <c r="AB111" s="153"/>
    </row>
    <row r="112" spans="1:28" ht="15">
      <c r="A112" s="153"/>
      <c r="B112" s="153"/>
      <c r="C112" s="153"/>
      <c r="D112" s="153"/>
      <c r="E112" s="153"/>
      <c r="F112" s="153"/>
      <c r="G112" s="153"/>
      <c r="H112" s="153"/>
      <c r="I112" s="153"/>
      <c r="J112" s="153"/>
      <c r="K112" s="239">
        <f t="shared" si="3"/>
        <v>78</v>
      </c>
      <c r="L112" s="237" t="s">
        <v>2285</v>
      </c>
      <c r="M112" s="237">
        <v>3025</v>
      </c>
      <c r="N112" s="240" t="s">
        <v>692</v>
      </c>
      <c r="O112" s="241" t="s">
        <v>610</v>
      </c>
      <c r="P112" s="240" t="s">
        <v>693</v>
      </c>
      <c r="Q112" s="240" t="s">
        <v>477</v>
      </c>
      <c r="R112" s="238">
        <v>3140792</v>
      </c>
      <c r="S112" s="234" t="s">
        <v>694</v>
      </c>
      <c r="T112" s="235" t="s">
        <v>781</v>
      </c>
      <c r="U112" s="236" t="s">
        <v>655</v>
      </c>
      <c r="V112" s="153"/>
      <c r="W112" s="153"/>
      <c r="X112" s="153"/>
      <c r="Y112" s="153"/>
      <c r="Z112" s="153"/>
      <c r="AA112" s="153"/>
      <c r="AB112" s="153"/>
    </row>
    <row r="113" spans="1:28" ht="15">
      <c r="A113" s="153"/>
      <c r="B113" s="153"/>
      <c r="C113" s="153"/>
      <c r="D113" s="153"/>
      <c r="E113" s="153"/>
      <c r="F113" s="153"/>
      <c r="G113" s="153"/>
      <c r="H113" s="153"/>
      <c r="I113" s="153"/>
      <c r="J113" s="153"/>
      <c r="K113" s="239">
        <f t="shared" si="3"/>
        <v>79</v>
      </c>
      <c r="L113" s="237" t="s">
        <v>2276</v>
      </c>
      <c r="M113" s="237">
        <v>3041</v>
      </c>
      <c r="N113" s="240" t="s">
        <v>668</v>
      </c>
      <c r="O113" s="241" t="s">
        <v>610</v>
      </c>
      <c r="P113" s="240" t="s">
        <v>669</v>
      </c>
      <c r="Q113" s="240" t="s">
        <v>380</v>
      </c>
      <c r="R113" s="238">
        <v>3270289</v>
      </c>
      <c r="S113" s="234" t="s">
        <v>670</v>
      </c>
      <c r="T113" s="235" t="s">
        <v>781</v>
      </c>
      <c r="U113" s="236" t="s">
        <v>655</v>
      </c>
      <c r="V113" s="153"/>
      <c r="W113" s="153"/>
      <c r="X113" s="153"/>
      <c r="Y113" s="153"/>
      <c r="Z113" s="153"/>
      <c r="AA113" s="153"/>
      <c r="AB113" s="153"/>
    </row>
    <row r="114" spans="1:28" ht="15">
      <c r="A114" s="153"/>
      <c r="B114" s="153"/>
      <c r="C114" s="153"/>
      <c r="D114" s="153"/>
      <c r="E114" s="153"/>
      <c r="F114" s="153"/>
      <c r="G114" s="153"/>
      <c r="H114" s="153"/>
      <c r="I114" s="153"/>
      <c r="J114" s="153"/>
      <c r="K114" s="239">
        <f t="shared" si="3"/>
        <v>80</v>
      </c>
      <c r="L114" s="237" t="s">
        <v>2279</v>
      </c>
      <c r="M114" s="237">
        <v>3050</v>
      </c>
      <c r="N114" s="240" t="s">
        <v>676</v>
      </c>
      <c r="O114" s="241" t="s">
        <v>610</v>
      </c>
      <c r="P114" s="240" t="s">
        <v>677</v>
      </c>
      <c r="Q114" s="240" t="s">
        <v>380</v>
      </c>
      <c r="R114" s="238">
        <v>3205118</v>
      </c>
      <c r="S114" s="234" t="s">
        <v>678</v>
      </c>
      <c r="T114" s="235" t="s">
        <v>781</v>
      </c>
      <c r="U114" s="236" t="s">
        <v>655</v>
      </c>
      <c r="V114" s="153"/>
      <c r="W114" s="153"/>
      <c r="X114" s="153"/>
      <c r="Y114" s="153"/>
      <c r="Z114" s="153"/>
      <c r="AA114" s="153"/>
      <c r="AB114" s="153"/>
    </row>
    <row r="115" spans="1:28" ht="15">
      <c r="A115" s="153"/>
      <c r="B115" s="153"/>
      <c r="C115" s="153"/>
      <c r="D115" s="153"/>
      <c r="E115" s="153"/>
      <c r="F115" s="153"/>
      <c r="G115" s="153"/>
      <c r="H115" s="153"/>
      <c r="I115" s="153"/>
      <c r="J115" s="153"/>
      <c r="K115" s="239">
        <f t="shared" si="3"/>
        <v>81</v>
      </c>
      <c r="L115" s="237" t="s">
        <v>2293</v>
      </c>
      <c r="M115" s="237">
        <v>3068</v>
      </c>
      <c r="N115" s="240" t="s">
        <v>715</v>
      </c>
      <c r="O115" s="241" t="s">
        <v>610</v>
      </c>
      <c r="P115" s="240" t="s">
        <v>716</v>
      </c>
      <c r="Q115" s="240" t="s">
        <v>380</v>
      </c>
      <c r="R115" s="238">
        <v>3208001</v>
      </c>
      <c r="S115" s="234" t="s">
        <v>717</v>
      </c>
      <c r="T115" s="235" t="s">
        <v>781</v>
      </c>
      <c r="U115" s="236" t="s">
        <v>655</v>
      </c>
      <c r="V115" s="153"/>
      <c r="W115" s="153"/>
      <c r="X115" s="153"/>
      <c r="Y115" s="153"/>
      <c r="Z115" s="153"/>
      <c r="AA115" s="153"/>
      <c r="AB115" s="153"/>
    </row>
    <row r="116" spans="1:28" ht="15">
      <c r="A116" s="153"/>
      <c r="B116" s="153"/>
      <c r="C116" s="153"/>
      <c r="D116" s="153"/>
      <c r="E116" s="153"/>
      <c r="F116" s="153"/>
      <c r="G116" s="153"/>
      <c r="H116" s="153"/>
      <c r="I116" s="153"/>
      <c r="J116" s="153"/>
      <c r="K116" s="239">
        <f t="shared" si="3"/>
        <v>82</v>
      </c>
      <c r="L116" s="237" t="s">
        <v>2291</v>
      </c>
      <c r="M116" s="237">
        <v>3076</v>
      </c>
      <c r="N116" s="240" t="s">
        <v>708</v>
      </c>
      <c r="O116" s="241" t="s">
        <v>610</v>
      </c>
      <c r="P116" s="240" t="s">
        <v>709</v>
      </c>
      <c r="Q116" s="240" t="s">
        <v>710</v>
      </c>
      <c r="R116" s="238">
        <v>3421031</v>
      </c>
      <c r="S116" s="234" t="s">
        <v>711</v>
      </c>
      <c r="T116" s="235" t="s">
        <v>781</v>
      </c>
      <c r="U116" s="236" t="s">
        <v>655</v>
      </c>
      <c r="V116" s="153"/>
      <c r="W116" s="153"/>
      <c r="X116" s="153"/>
      <c r="Y116" s="153"/>
      <c r="Z116" s="153"/>
      <c r="AA116" s="153"/>
      <c r="AB116" s="153"/>
    </row>
    <row r="117" spans="1:28" ht="15">
      <c r="A117" s="153"/>
      <c r="B117" s="153"/>
      <c r="C117" s="153"/>
      <c r="D117" s="153"/>
      <c r="E117" s="153"/>
      <c r="F117" s="153"/>
      <c r="G117" s="153"/>
      <c r="H117" s="153"/>
      <c r="I117" s="153"/>
      <c r="J117" s="153"/>
      <c r="K117" s="239">
        <f t="shared" si="3"/>
        <v>83</v>
      </c>
      <c r="L117" s="237" t="s">
        <v>2280</v>
      </c>
      <c r="M117" s="237">
        <v>3084</v>
      </c>
      <c r="N117" s="240" t="s">
        <v>679</v>
      </c>
      <c r="O117" s="241" t="s">
        <v>610</v>
      </c>
      <c r="P117" s="240" t="s">
        <v>680</v>
      </c>
      <c r="Q117" s="240" t="s">
        <v>380</v>
      </c>
      <c r="R117" s="238">
        <v>3724042</v>
      </c>
      <c r="S117" s="234" t="s">
        <v>681</v>
      </c>
      <c r="T117" s="235" t="s">
        <v>781</v>
      </c>
      <c r="U117" s="236" t="s">
        <v>655</v>
      </c>
      <c r="V117" s="153"/>
      <c r="W117" s="153"/>
      <c r="X117" s="153"/>
      <c r="Y117" s="153"/>
      <c r="Z117" s="153"/>
      <c r="AA117" s="153"/>
      <c r="AB117" s="153"/>
    </row>
    <row r="118" spans="1:28" ht="15">
      <c r="A118" s="153"/>
      <c r="B118" s="153"/>
      <c r="C118" s="153"/>
      <c r="D118" s="153"/>
      <c r="E118" s="153"/>
      <c r="F118" s="153"/>
      <c r="G118" s="153"/>
      <c r="H118" s="153"/>
      <c r="I118" s="153"/>
      <c r="J118" s="153"/>
      <c r="K118" s="239">
        <f t="shared" si="3"/>
        <v>84</v>
      </c>
      <c r="L118" s="237" t="s">
        <v>2281</v>
      </c>
      <c r="M118" s="237">
        <v>3092</v>
      </c>
      <c r="N118" s="240" t="s">
        <v>682</v>
      </c>
      <c r="O118" s="241" t="s">
        <v>610</v>
      </c>
      <c r="P118" s="240" t="s">
        <v>2171</v>
      </c>
      <c r="Q118" s="240" t="s">
        <v>380</v>
      </c>
      <c r="R118" s="238">
        <v>3772047</v>
      </c>
      <c r="S118" s="234" t="s">
        <v>683</v>
      </c>
      <c r="T118" s="235" t="s">
        <v>781</v>
      </c>
      <c r="U118" s="236" t="s">
        <v>655</v>
      </c>
      <c r="V118" s="153"/>
      <c r="W118" s="153"/>
      <c r="X118" s="153"/>
      <c r="Y118" s="153"/>
      <c r="Z118" s="153"/>
      <c r="AA118" s="153"/>
      <c r="AB118" s="153"/>
    </row>
    <row r="119" spans="1:28" ht="15">
      <c r="A119" s="153"/>
      <c r="B119" s="153"/>
      <c r="C119" s="153"/>
      <c r="D119" s="153"/>
      <c r="E119" s="153"/>
      <c r="F119" s="153"/>
      <c r="G119" s="153"/>
      <c r="H119" s="153"/>
      <c r="I119" s="153"/>
      <c r="J119" s="153"/>
      <c r="K119" s="239">
        <f t="shared" si="3"/>
        <v>85</v>
      </c>
      <c r="L119" s="237" t="s">
        <v>2275</v>
      </c>
      <c r="M119" s="237">
        <v>3105</v>
      </c>
      <c r="N119" s="240" t="s">
        <v>665</v>
      </c>
      <c r="O119" s="241" t="s">
        <v>610</v>
      </c>
      <c r="P119" s="240" t="s">
        <v>666</v>
      </c>
      <c r="Q119" s="240" t="s">
        <v>380</v>
      </c>
      <c r="R119" s="238">
        <v>3793028</v>
      </c>
      <c r="S119" s="234" t="s">
        <v>667</v>
      </c>
      <c r="T119" s="235" t="s">
        <v>781</v>
      </c>
      <c r="U119" s="236" t="s">
        <v>655</v>
      </c>
      <c r="V119" s="153"/>
      <c r="W119" s="153"/>
      <c r="X119" s="153"/>
      <c r="Y119" s="153"/>
      <c r="Z119" s="153"/>
      <c r="AA119" s="153"/>
      <c r="AB119" s="153"/>
    </row>
    <row r="120" spans="1:28" ht="15">
      <c r="A120" s="153"/>
      <c r="B120" s="153"/>
      <c r="C120" s="153"/>
      <c r="D120" s="153"/>
      <c r="E120" s="153"/>
      <c r="F120" s="153"/>
      <c r="G120" s="153"/>
      <c r="H120" s="153"/>
      <c r="I120" s="153"/>
      <c r="J120" s="153"/>
      <c r="K120" s="239">
        <f t="shared" si="3"/>
        <v>86</v>
      </c>
      <c r="L120" s="237" t="s">
        <v>2277</v>
      </c>
      <c r="M120" s="237">
        <v>3113</v>
      </c>
      <c r="N120" s="240" t="s">
        <v>671</v>
      </c>
      <c r="O120" s="241" t="s">
        <v>610</v>
      </c>
      <c r="P120" s="240" t="s">
        <v>672</v>
      </c>
      <c r="Q120" s="240" t="s">
        <v>380</v>
      </c>
      <c r="R120" s="238">
        <v>3817121</v>
      </c>
      <c r="S120" s="234" t="s">
        <v>673</v>
      </c>
      <c r="T120" s="235" t="s">
        <v>781</v>
      </c>
      <c r="U120" s="236" t="s">
        <v>655</v>
      </c>
      <c r="V120" s="153"/>
      <c r="W120" s="153"/>
      <c r="X120" s="153"/>
      <c r="Y120" s="153"/>
      <c r="Z120" s="153"/>
      <c r="AA120" s="153"/>
      <c r="AB120" s="153"/>
    </row>
    <row r="121" spans="1:28" ht="15">
      <c r="A121" s="153"/>
      <c r="B121" s="153"/>
      <c r="C121" s="153"/>
      <c r="D121" s="153"/>
      <c r="E121" s="153"/>
      <c r="F121" s="153"/>
      <c r="G121" s="153"/>
      <c r="H121" s="153"/>
      <c r="I121" s="153"/>
      <c r="J121" s="153"/>
      <c r="K121" s="239">
        <f t="shared" si="3"/>
        <v>87</v>
      </c>
      <c r="L121" s="237" t="s">
        <v>2278</v>
      </c>
      <c r="M121" s="237">
        <v>3121</v>
      </c>
      <c r="N121" s="240" t="s">
        <v>674</v>
      </c>
      <c r="O121" s="241" t="s">
        <v>610</v>
      </c>
      <c r="P121" s="240" t="s">
        <v>672</v>
      </c>
      <c r="Q121" s="240" t="s">
        <v>380</v>
      </c>
      <c r="R121" s="238">
        <v>3937658</v>
      </c>
      <c r="S121" s="234" t="s">
        <v>675</v>
      </c>
      <c r="T121" s="235" t="s">
        <v>781</v>
      </c>
      <c r="U121" s="236" t="s">
        <v>655</v>
      </c>
      <c r="V121" s="153"/>
      <c r="W121" s="153"/>
      <c r="X121" s="153"/>
      <c r="Y121" s="153"/>
      <c r="Z121" s="153"/>
      <c r="AA121" s="153"/>
      <c r="AB121" s="153"/>
    </row>
    <row r="122" spans="1:28" ht="15">
      <c r="A122" s="153"/>
      <c r="B122" s="153"/>
      <c r="C122" s="153"/>
      <c r="D122" s="153"/>
      <c r="E122" s="153"/>
      <c r="F122" s="153"/>
      <c r="G122" s="153"/>
      <c r="H122" s="153"/>
      <c r="I122" s="153"/>
      <c r="J122" s="153"/>
      <c r="K122" s="239">
        <f t="shared" si="3"/>
        <v>88</v>
      </c>
      <c r="L122" s="237" t="s">
        <v>2284</v>
      </c>
      <c r="M122" s="237">
        <v>21061</v>
      </c>
      <c r="N122" s="240" t="s">
        <v>689</v>
      </c>
      <c r="O122" s="241" t="s">
        <v>610</v>
      </c>
      <c r="P122" s="240" t="s">
        <v>690</v>
      </c>
      <c r="Q122" s="240" t="s">
        <v>380</v>
      </c>
      <c r="R122" s="238">
        <v>1259571</v>
      </c>
      <c r="S122" s="234" t="s">
        <v>691</v>
      </c>
      <c r="T122" s="235" t="s">
        <v>781</v>
      </c>
      <c r="U122" s="236" t="s">
        <v>655</v>
      </c>
      <c r="V122" s="153"/>
      <c r="W122" s="153"/>
      <c r="X122" s="153"/>
      <c r="Y122" s="153"/>
      <c r="Z122" s="153"/>
      <c r="AA122" s="153"/>
      <c r="AB122" s="153"/>
    </row>
    <row r="123" spans="1:28" ht="15">
      <c r="A123" s="153"/>
      <c r="B123" s="153"/>
      <c r="C123" s="153"/>
      <c r="D123" s="153"/>
      <c r="E123" s="153"/>
      <c r="F123" s="153"/>
      <c r="G123" s="153"/>
      <c r="H123" s="153"/>
      <c r="I123" s="153"/>
      <c r="J123" s="153"/>
      <c r="K123" s="239">
        <f t="shared" si="3"/>
        <v>89</v>
      </c>
      <c r="L123" s="237" t="s">
        <v>2295</v>
      </c>
      <c r="M123" s="237">
        <v>21070</v>
      </c>
      <c r="N123" s="240" t="s">
        <v>718</v>
      </c>
      <c r="O123" s="241" t="s">
        <v>610</v>
      </c>
      <c r="P123" s="240" t="s">
        <v>719</v>
      </c>
      <c r="Q123" s="240" t="s">
        <v>380</v>
      </c>
      <c r="R123" s="238">
        <v>1259563</v>
      </c>
      <c r="S123" s="234" t="s">
        <v>720</v>
      </c>
      <c r="T123" s="235" t="s">
        <v>781</v>
      </c>
      <c r="U123" s="236" t="s">
        <v>655</v>
      </c>
      <c r="V123" s="153"/>
      <c r="W123" s="153"/>
      <c r="X123" s="153"/>
      <c r="Y123" s="153"/>
      <c r="Z123" s="153"/>
      <c r="AA123" s="153"/>
      <c r="AB123" s="153"/>
    </row>
    <row r="124" spans="1:28" ht="15">
      <c r="A124" s="153"/>
      <c r="B124" s="153"/>
      <c r="C124" s="153"/>
      <c r="D124" s="153"/>
      <c r="E124" s="153"/>
      <c r="F124" s="153"/>
      <c r="G124" s="153"/>
      <c r="H124" s="153"/>
      <c r="I124" s="153"/>
      <c r="J124" s="153"/>
      <c r="K124" s="239">
        <f t="shared" si="3"/>
        <v>90</v>
      </c>
      <c r="L124" s="237" t="s">
        <v>2283</v>
      </c>
      <c r="M124" s="237">
        <v>22525</v>
      </c>
      <c r="N124" s="240" t="s">
        <v>686</v>
      </c>
      <c r="O124" s="241" t="s">
        <v>610</v>
      </c>
      <c r="P124" s="240" t="s">
        <v>687</v>
      </c>
      <c r="Q124" s="240" t="s">
        <v>380</v>
      </c>
      <c r="R124" s="238">
        <v>3219518</v>
      </c>
      <c r="S124" s="234" t="s">
        <v>688</v>
      </c>
      <c r="T124" s="235" t="s">
        <v>781</v>
      </c>
      <c r="U124" s="236" t="s">
        <v>655</v>
      </c>
      <c r="V124" s="153"/>
      <c r="W124" s="153"/>
      <c r="X124" s="153"/>
      <c r="Y124" s="153"/>
      <c r="Z124" s="153"/>
      <c r="AA124" s="153"/>
      <c r="AB124" s="153"/>
    </row>
    <row r="125" spans="1:28" ht="15">
      <c r="A125" s="153"/>
      <c r="B125" s="153"/>
      <c r="C125" s="153"/>
      <c r="D125" s="153"/>
      <c r="E125" s="153"/>
      <c r="F125" s="153"/>
      <c r="G125" s="153"/>
      <c r="H125" s="153"/>
      <c r="I125" s="153"/>
      <c r="J125" s="153"/>
      <c r="K125" s="239">
        <f t="shared" si="3"/>
        <v>91</v>
      </c>
      <c r="L125" s="237" t="s">
        <v>2288</v>
      </c>
      <c r="M125" s="237">
        <v>22621</v>
      </c>
      <c r="N125" s="240" t="s">
        <v>701</v>
      </c>
      <c r="O125" s="241" t="s">
        <v>610</v>
      </c>
      <c r="P125" s="240" t="s">
        <v>2172</v>
      </c>
      <c r="Q125" s="240" t="s">
        <v>380</v>
      </c>
      <c r="R125" s="238">
        <v>3205177</v>
      </c>
      <c r="S125" s="234" t="s">
        <v>702</v>
      </c>
      <c r="T125" s="235" t="s">
        <v>781</v>
      </c>
      <c r="U125" s="236" t="s">
        <v>655</v>
      </c>
      <c r="V125" s="153"/>
      <c r="W125" s="153"/>
      <c r="X125" s="153"/>
      <c r="Y125" s="153"/>
      <c r="Z125" s="153"/>
      <c r="AA125" s="153"/>
      <c r="AB125" s="153"/>
    </row>
    <row r="126" spans="1:28" ht="15">
      <c r="A126" s="153"/>
      <c r="B126" s="153"/>
      <c r="C126" s="153"/>
      <c r="D126" s="153"/>
      <c r="E126" s="153"/>
      <c r="F126" s="153"/>
      <c r="G126" s="153"/>
      <c r="H126" s="153"/>
      <c r="I126" s="153"/>
      <c r="J126" s="153"/>
      <c r="K126" s="239">
        <f t="shared" si="3"/>
        <v>92</v>
      </c>
      <c r="L126" s="237" t="s">
        <v>2286</v>
      </c>
      <c r="M126" s="237">
        <v>23286</v>
      </c>
      <c r="N126" s="240" t="s">
        <v>695</v>
      </c>
      <c r="O126" s="241" t="s">
        <v>610</v>
      </c>
      <c r="P126" s="240" t="s">
        <v>696</v>
      </c>
      <c r="Q126" s="240" t="s">
        <v>380</v>
      </c>
      <c r="R126" s="238">
        <v>3226344</v>
      </c>
      <c r="S126" s="234" t="s">
        <v>697</v>
      </c>
      <c r="T126" s="235" t="s">
        <v>781</v>
      </c>
      <c r="U126" s="236" t="s">
        <v>655</v>
      </c>
      <c r="V126" s="153"/>
      <c r="W126" s="153"/>
      <c r="X126" s="153"/>
      <c r="Y126" s="153"/>
      <c r="Z126" s="153"/>
      <c r="AA126" s="153"/>
      <c r="AB126" s="153"/>
    </row>
    <row r="127" spans="1:28" ht="15">
      <c r="A127" s="153"/>
      <c r="B127" s="153"/>
      <c r="C127" s="153"/>
      <c r="D127" s="153"/>
      <c r="E127" s="153"/>
      <c r="F127" s="153"/>
      <c r="G127" s="153"/>
      <c r="H127" s="153"/>
      <c r="I127" s="153"/>
      <c r="J127" s="153"/>
      <c r="K127" s="239">
        <f t="shared" si="3"/>
        <v>93</v>
      </c>
      <c r="L127" s="237" t="s">
        <v>2297</v>
      </c>
      <c r="M127" s="237">
        <v>6179</v>
      </c>
      <c r="N127" s="240" t="s">
        <v>726</v>
      </c>
      <c r="O127" s="241" t="s">
        <v>610</v>
      </c>
      <c r="P127" s="240" t="s">
        <v>727</v>
      </c>
      <c r="Q127" s="240" t="s">
        <v>380</v>
      </c>
      <c r="R127" s="238">
        <v>3899772</v>
      </c>
      <c r="S127" s="234" t="s">
        <v>728</v>
      </c>
      <c r="T127" s="235" t="s">
        <v>2177</v>
      </c>
      <c r="U127" s="236" t="s">
        <v>1236</v>
      </c>
      <c r="V127" s="153"/>
      <c r="W127" s="153"/>
      <c r="X127" s="153"/>
      <c r="Y127" s="153"/>
      <c r="Z127" s="153"/>
      <c r="AA127" s="153"/>
      <c r="AB127" s="153"/>
    </row>
    <row r="128" spans="1:28" ht="15">
      <c r="A128" s="153"/>
      <c r="B128" s="153"/>
      <c r="C128" s="153"/>
      <c r="D128" s="153"/>
      <c r="E128" s="153"/>
      <c r="F128" s="153"/>
      <c r="G128" s="153"/>
      <c r="H128" s="153"/>
      <c r="I128" s="153"/>
      <c r="J128" s="153"/>
      <c r="K128" s="239">
        <f t="shared" si="3"/>
        <v>94</v>
      </c>
      <c r="L128" s="237" t="s">
        <v>2298</v>
      </c>
      <c r="M128" s="237">
        <v>21836</v>
      </c>
      <c r="N128" s="240" t="s">
        <v>729</v>
      </c>
      <c r="O128" s="241" t="s">
        <v>610</v>
      </c>
      <c r="P128" s="246" t="s">
        <v>730</v>
      </c>
      <c r="Q128" s="240" t="s">
        <v>380</v>
      </c>
      <c r="R128" s="238">
        <v>3205363</v>
      </c>
      <c r="S128" s="234" t="s">
        <v>731</v>
      </c>
      <c r="T128" s="235" t="s">
        <v>754</v>
      </c>
      <c r="U128" s="236" t="s">
        <v>725</v>
      </c>
      <c r="V128" s="153"/>
      <c r="W128" s="153"/>
      <c r="X128" s="153"/>
      <c r="Y128" s="153"/>
      <c r="Z128" s="153"/>
      <c r="AA128" s="153"/>
      <c r="AB128" s="153"/>
    </row>
    <row r="129" spans="1:28" ht="15">
      <c r="A129" s="153"/>
      <c r="B129" s="153"/>
      <c r="C129" s="153"/>
      <c r="D129" s="153"/>
      <c r="E129" s="153"/>
      <c r="F129" s="153"/>
      <c r="G129" s="153"/>
      <c r="H129" s="153"/>
      <c r="I129" s="153"/>
      <c r="J129" s="153"/>
      <c r="K129" s="239">
        <f t="shared" si="3"/>
        <v>95</v>
      </c>
      <c r="L129" s="237" t="s">
        <v>2299</v>
      </c>
      <c r="M129" s="237">
        <v>21852</v>
      </c>
      <c r="N129" s="240" t="s">
        <v>732</v>
      </c>
      <c r="O129" s="241" t="s">
        <v>610</v>
      </c>
      <c r="P129" s="246" t="s">
        <v>733</v>
      </c>
      <c r="Q129" s="240" t="s">
        <v>380</v>
      </c>
      <c r="R129" s="238">
        <v>1147820</v>
      </c>
      <c r="S129" s="234" t="s">
        <v>734</v>
      </c>
      <c r="T129" s="235" t="s">
        <v>754</v>
      </c>
      <c r="U129" s="236" t="s">
        <v>725</v>
      </c>
      <c r="V129" s="153"/>
      <c r="W129" s="153"/>
      <c r="X129" s="153"/>
      <c r="Y129" s="153"/>
      <c r="Z129" s="153"/>
      <c r="AA129" s="153"/>
      <c r="AB129" s="153"/>
    </row>
    <row r="130" spans="1:28" ht="15">
      <c r="A130" s="153"/>
      <c r="B130" s="153"/>
      <c r="C130" s="153"/>
      <c r="D130" s="153"/>
      <c r="E130" s="153"/>
      <c r="F130" s="153"/>
      <c r="G130" s="153"/>
      <c r="H130" s="153"/>
      <c r="I130" s="153"/>
      <c r="J130" s="153"/>
      <c r="K130" s="239">
        <f t="shared" si="3"/>
        <v>96</v>
      </c>
      <c r="L130" s="237" t="s">
        <v>2300</v>
      </c>
      <c r="M130" s="237">
        <v>21869</v>
      </c>
      <c r="N130" s="240" t="s">
        <v>735</v>
      </c>
      <c r="O130" s="241" t="s">
        <v>610</v>
      </c>
      <c r="P130" s="246" t="s">
        <v>736</v>
      </c>
      <c r="Q130" s="240" t="s">
        <v>380</v>
      </c>
      <c r="R130" s="238">
        <v>3211622</v>
      </c>
      <c r="S130" s="234" t="s">
        <v>737</v>
      </c>
      <c r="T130" s="235" t="s">
        <v>754</v>
      </c>
      <c r="U130" s="236" t="s">
        <v>725</v>
      </c>
      <c r="V130" s="153"/>
      <c r="W130" s="153"/>
      <c r="X130" s="153"/>
      <c r="Y130" s="153"/>
      <c r="Z130" s="153"/>
      <c r="AA130" s="153"/>
      <c r="AB130" s="153"/>
    </row>
    <row r="131" spans="1:28" ht="15">
      <c r="A131" s="153"/>
      <c r="B131" s="153"/>
      <c r="C131" s="153"/>
      <c r="D131" s="153"/>
      <c r="E131" s="153"/>
      <c r="F131" s="153"/>
      <c r="G131" s="153"/>
      <c r="H131" s="153"/>
      <c r="I131" s="153"/>
      <c r="J131" s="153"/>
      <c r="K131" s="239">
        <f t="shared" si="3"/>
        <v>97</v>
      </c>
      <c r="L131" s="237" t="s">
        <v>2301</v>
      </c>
      <c r="M131" s="237">
        <v>23665</v>
      </c>
      <c r="N131" s="240" t="s">
        <v>738</v>
      </c>
      <c r="O131" s="241" t="s">
        <v>610</v>
      </c>
      <c r="P131" s="246" t="s">
        <v>733</v>
      </c>
      <c r="Q131" s="240" t="s">
        <v>380</v>
      </c>
      <c r="R131" s="238">
        <v>3283020</v>
      </c>
      <c r="S131" s="234" t="s">
        <v>739</v>
      </c>
      <c r="T131" s="235" t="s">
        <v>754</v>
      </c>
      <c r="U131" s="236" t="s">
        <v>725</v>
      </c>
      <c r="V131" s="153"/>
      <c r="W131" s="153"/>
      <c r="X131" s="153"/>
      <c r="Y131" s="153"/>
      <c r="Z131" s="153"/>
      <c r="AA131" s="153"/>
      <c r="AB131" s="153"/>
    </row>
    <row r="132" spans="1:28" ht="15">
      <c r="A132" s="153"/>
      <c r="B132" s="153"/>
      <c r="C132" s="153"/>
      <c r="D132" s="153"/>
      <c r="E132" s="153"/>
      <c r="F132" s="153"/>
      <c r="G132" s="153"/>
      <c r="H132" s="153"/>
      <c r="I132" s="153"/>
      <c r="J132" s="153"/>
      <c r="K132" s="239">
        <f t="shared" si="3"/>
        <v>98</v>
      </c>
      <c r="L132" s="237" t="s">
        <v>2302</v>
      </c>
      <c r="M132" s="237">
        <v>23962</v>
      </c>
      <c r="N132" s="240" t="s">
        <v>740</v>
      </c>
      <c r="O132" s="241" t="s">
        <v>610</v>
      </c>
      <c r="P132" s="240" t="s">
        <v>379</v>
      </c>
      <c r="Q132" s="240" t="s">
        <v>380</v>
      </c>
      <c r="R132" s="238">
        <v>1778129</v>
      </c>
      <c r="S132" s="234" t="s">
        <v>741</v>
      </c>
      <c r="T132" s="235" t="s">
        <v>754</v>
      </c>
      <c r="U132" s="236" t="s">
        <v>725</v>
      </c>
      <c r="V132" s="153"/>
      <c r="W132" s="153"/>
      <c r="X132" s="153"/>
      <c r="Y132" s="153"/>
      <c r="Z132" s="153"/>
      <c r="AA132" s="153"/>
      <c r="AB132" s="153"/>
    </row>
    <row r="133" spans="1:28" ht="15">
      <c r="A133" s="153"/>
      <c r="B133" s="153"/>
      <c r="C133" s="153"/>
      <c r="D133" s="153"/>
      <c r="E133" s="153"/>
      <c r="F133" s="153"/>
      <c r="G133" s="153"/>
      <c r="H133" s="153"/>
      <c r="I133" s="153"/>
      <c r="J133" s="153"/>
      <c r="K133" s="239">
        <f t="shared" si="3"/>
        <v>99</v>
      </c>
      <c r="L133" s="237" t="s">
        <v>2303</v>
      </c>
      <c r="M133" s="237">
        <v>38487</v>
      </c>
      <c r="N133" s="240" t="s">
        <v>742</v>
      </c>
      <c r="O133" s="241" t="s">
        <v>610</v>
      </c>
      <c r="P133" s="246" t="s">
        <v>743</v>
      </c>
      <c r="Q133" s="240" t="s">
        <v>380</v>
      </c>
      <c r="R133" s="238">
        <v>1922548</v>
      </c>
      <c r="S133" s="234" t="s">
        <v>744</v>
      </c>
      <c r="T133" s="235" t="s">
        <v>754</v>
      </c>
      <c r="U133" s="236" t="s">
        <v>725</v>
      </c>
      <c r="V133" s="153"/>
      <c r="W133" s="153"/>
      <c r="X133" s="153"/>
      <c r="Y133" s="153"/>
      <c r="Z133" s="153"/>
      <c r="AA133" s="153"/>
      <c r="AB133" s="153"/>
    </row>
    <row r="134" spans="1:28" ht="15">
      <c r="A134" s="153"/>
      <c r="B134" s="153"/>
      <c r="C134" s="153"/>
      <c r="D134" s="153"/>
      <c r="E134" s="153"/>
      <c r="F134" s="153"/>
      <c r="G134" s="153"/>
      <c r="H134" s="153"/>
      <c r="I134" s="153"/>
      <c r="J134" s="153"/>
      <c r="K134" s="239">
        <f t="shared" si="3"/>
        <v>100</v>
      </c>
      <c r="L134" s="237" t="s">
        <v>2304</v>
      </c>
      <c r="M134" s="237">
        <v>40883</v>
      </c>
      <c r="N134" s="240" t="s">
        <v>745</v>
      </c>
      <c r="O134" s="241" t="s">
        <v>610</v>
      </c>
      <c r="P134" s="246" t="s">
        <v>746</v>
      </c>
      <c r="Q134" s="240" t="s">
        <v>380</v>
      </c>
      <c r="R134" s="238">
        <v>1943430</v>
      </c>
      <c r="S134" s="234" t="s">
        <v>747</v>
      </c>
      <c r="T134" s="235" t="s">
        <v>754</v>
      </c>
      <c r="U134" s="236" t="s">
        <v>725</v>
      </c>
      <c r="V134" s="153"/>
      <c r="W134" s="153"/>
      <c r="X134" s="153"/>
      <c r="Y134" s="153"/>
      <c r="Z134" s="153"/>
      <c r="AA134" s="153"/>
      <c r="AB134" s="153"/>
    </row>
    <row r="135" spans="1:28" ht="15">
      <c r="A135" s="153"/>
      <c r="B135" s="153"/>
      <c r="C135" s="153"/>
      <c r="D135" s="153"/>
      <c r="E135" s="153"/>
      <c r="F135" s="153"/>
      <c r="G135" s="153"/>
      <c r="H135" s="153"/>
      <c r="I135" s="153"/>
      <c r="J135" s="153"/>
      <c r="K135" s="239">
        <f t="shared" si="3"/>
        <v>101</v>
      </c>
      <c r="L135" s="237" t="s">
        <v>2305</v>
      </c>
      <c r="M135" s="237">
        <v>43335</v>
      </c>
      <c r="N135" s="240" t="s">
        <v>748</v>
      </c>
      <c r="O135" s="241" t="s">
        <v>610</v>
      </c>
      <c r="P135" s="246" t="s">
        <v>736</v>
      </c>
      <c r="Q135" s="240" t="s">
        <v>380</v>
      </c>
      <c r="R135" s="238">
        <v>2298007</v>
      </c>
      <c r="S135" s="234" t="s">
        <v>749</v>
      </c>
      <c r="T135" s="235" t="s">
        <v>754</v>
      </c>
      <c r="U135" s="236" t="s">
        <v>725</v>
      </c>
      <c r="V135" s="153"/>
      <c r="W135" s="153"/>
      <c r="X135" s="153"/>
      <c r="Y135" s="153"/>
      <c r="Z135" s="153"/>
      <c r="AA135" s="153"/>
      <c r="AB135" s="153"/>
    </row>
    <row r="136" spans="1:28" ht="15">
      <c r="A136" s="153"/>
      <c r="B136" s="153"/>
      <c r="C136" s="153"/>
      <c r="D136" s="153"/>
      <c r="E136" s="153"/>
      <c r="F136" s="153"/>
      <c r="G136" s="153"/>
      <c r="H136" s="153"/>
      <c r="I136" s="153"/>
      <c r="J136" s="153"/>
      <c r="K136" s="239">
        <f t="shared" si="3"/>
        <v>102</v>
      </c>
      <c r="L136" s="237" t="s">
        <v>2306</v>
      </c>
      <c r="M136" s="237">
        <v>46173</v>
      </c>
      <c r="N136" s="240" t="s">
        <v>750</v>
      </c>
      <c r="O136" s="241" t="s">
        <v>610</v>
      </c>
      <c r="P136" s="246" t="s">
        <v>751</v>
      </c>
      <c r="Q136" s="240" t="s">
        <v>380</v>
      </c>
      <c r="R136" s="238">
        <v>2650029</v>
      </c>
      <c r="S136" s="234" t="s">
        <v>752</v>
      </c>
      <c r="T136" s="235" t="s">
        <v>754</v>
      </c>
      <c r="U136" s="236" t="s">
        <v>725</v>
      </c>
      <c r="V136" s="153"/>
      <c r="W136" s="153"/>
      <c r="X136" s="153"/>
      <c r="Y136" s="153"/>
      <c r="Z136" s="153"/>
      <c r="AA136" s="153"/>
      <c r="AB136" s="153"/>
    </row>
    <row r="137" spans="1:28" ht="15">
      <c r="A137" s="153"/>
      <c r="B137" s="153"/>
      <c r="C137" s="153"/>
      <c r="D137" s="153"/>
      <c r="E137" s="153"/>
      <c r="F137" s="153"/>
      <c r="G137" s="153"/>
      <c r="H137" s="153"/>
      <c r="I137" s="153"/>
      <c r="J137" s="153"/>
      <c r="K137" s="153"/>
      <c r="L137" s="153"/>
      <c r="M137" s="153"/>
      <c r="N137" s="153"/>
      <c r="O137" s="153"/>
      <c r="P137" s="153"/>
      <c r="Q137" s="153"/>
      <c r="R137" s="153"/>
      <c r="S137" s="153"/>
      <c r="T137" s="153"/>
      <c r="U137" s="153"/>
      <c r="V137" s="153"/>
      <c r="W137" s="153"/>
      <c r="X137" s="153"/>
      <c r="Y137" s="153"/>
      <c r="Z137" s="153"/>
      <c r="AA137" s="153"/>
      <c r="AB137" s="153"/>
    </row>
    <row r="138" spans="1:28" ht="15">
      <c r="A138" s="153"/>
      <c r="B138" s="153"/>
      <c r="C138" s="153"/>
      <c r="D138" s="153"/>
      <c r="E138" s="153"/>
      <c r="F138" s="153"/>
      <c r="G138" s="153"/>
      <c r="H138" s="153"/>
      <c r="I138" s="153"/>
      <c r="J138" s="153"/>
      <c r="K138" s="153"/>
      <c r="L138" s="153"/>
      <c r="M138" s="153"/>
      <c r="N138" s="153"/>
      <c r="O138" s="153"/>
      <c r="P138" s="153"/>
      <c r="Q138" s="153"/>
      <c r="R138" s="153"/>
      <c r="S138" s="153"/>
      <c r="T138" s="153"/>
      <c r="U138" s="153"/>
      <c r="V138" s="153"/>
      <c r="W138" s="153"/>
      <c r="X138" s="153"/>
      <c r="Y138" s="153"/>
      <c r="Z138" s="153"/>
      <c r="AA138" s="153"/>
      <c r="AB138" s="153"/>
    </row>
    <row r="139" spans="1:28" ht="15">
      <c r="A139" s="153"/>
      <c r="B139" s="153"/>
      <c r="C139" s="153"/>
      <c r="D139" s="153"/>
      <c r="E139" s="153"/>
      <c r="F139" s="153"/>
      <c r="G139" s="153"/>
      <c r="H139" s="153"/>
      <c r="I139" s="153"/>
      <c r="J139" s="153"/>
      <c r="K139" s="153"/>
      <c r="L139" s="153"/>
      <c r="M139" s="153"/>
      <c r="N139" s="153"/>
      <c r="O139" s="153"/>
      <c r="P139" s="153"/>
      <c r="Q139" s="153"/>
      <c r="R139" s="153"/>
      <c r="S139" s="153"/>
      <c r="T139" s="153"/>
      <c r="U139" s="153"/>
      <c r="V139" s="153"/>
      <c r="W139" s="153"/>
      <c r="X139" s="153"/>
      <c r="Y139" s="153"/>
      <c r="Z139" s="153"/>
      <c r="AA139" s="153"/>
      <c r="AB139" s="153"/>
    </row>
    <row r="140" spans="1:28" ht="15">
      <c r="A140" s="153"/>
      <c r="B140" s="153"/>
      <c r="C140" s="153"/>
      <c r="D140" s="153"/>
      <c r="E140" s="153"/>
      <c r="F140" s="153"/>
      <c r="G140" s="153"/>
      <c r="H140" s="153"/>
      <c r="I140" s="153"/>
      <c r="J140" s="153"/>
      <c r="K140" s="153"/>
      <c r="L140" s="153"/>
      <c r="M140" s="153"/>
      <c r="N140" s="153"/>
      <c r="O140" s="153"/>
      <c r="P140" s="153"/>
      <c r="Q140" s="153"/>
      <c r="R140" s="153"/>
      <c r="S140" s="153"/>
      <c r="T140" s="153"/>
      <c r="U140" s="153"/>
      <c r="V140" s="153"/>
      <c r="W140" s="153"/>
      <c r="X140" s="153"/>
      <c r="Y140" s="153"/>
      <c r="Z140" s="153"/>
      <c r="AA140" s="153"/>
      <c r="AB140" s="153"/>
    </row>
    <row r="141" spans="1:28" ht="15">
      <c r="A141" s="153"/>
      <c r="B141" s="153"/>
      <c r="C141" s="153"/>
      <c r="D141" s="153"/>
      <c r="E141" s="153"/>
      <c r="F141" s="153"/>
      <c r="G141" s="153"/>
      <c r="H141" s="153"/>
      <c r="I141" s="153"/>
      <c r="J141" s="153"/>
      <c r="K141" s="153"/>
      <c r="L141" s="153"/>
      <c r="M141" s="153"/>
      <c r="N141" s="153"/>
      <c r="O141" s="153"/>
      <c r="P141" s="153"/>
      <c r="Q141" s="153"/>
      <c r="R141" s="153"/>
      <c r="S141" s="153"/>
      <c r="T141" s="153"/>
      <c r="U141" s="153"/>
      <c r="V141" s="153"/>
      <c r="W141" s="153"/>
      <c r="X141" s="153"/>
      <c r="Y141" s="153"/>
      <c r="Z141" s="153"/>
      <c r="AA141" s="153"/>
      <c r="AB141" s="153"/>
    </row>
    <row r="142" spans="1:28" ht="15">
      <c r="A142" s="153"/>
      <c r="B142" s="153"/>
      <c r="C142" s="153"/>
      <c r="D142" s="153"/>
      <c r="E142" s="153"/>
      <c r="F142" s="153"/>
      <c r="G142" s="153"/>
      <c r="H142" s="153"/>
      <c r="I142" s="153"/>
      <c r="J142" s="153"/>
      <c r="K142" s="153"/>
      <c r="L142" s="153"/>
      <c r="M142" s="153"/>
      <c r="N142" s="153"/>
      <c r="O142" s="153"/>
      <c r="P142" s="153"/>
      <c r="Q142" s="153"/>
      <c r="R142" s="153"/>
      <c r="S142" s="153"/>
      <c r="T142" s="153"/>
      <c r="U142" s="153"/>
      <c r="V142" s="153"/>
      <c r="W142" s="153"/>
      <c r="X142" s="153"/>
      <c r="Y142" s="153"/>
      <c r="Z142" s="153"/>
      <c r="AA142" s="153"/>
      <c r="AB142" s="153"/>
    </row>
    <row r="143" spans="1:28" ht="15">
      <c r="A143" s="153"/>
      <c r="B143" s="153"/>
      <c r="C143" s="153"/>
      <c r="D143" s="153"/>
      <c r="E143" s="153"/>
      <c r="F143" s="153"/>
      <c r="G143" s="153"/>
      <c r="H143" s="153"/>
      <c r="I143" s="153"/>
      <c r="J143" s="153"/>
      <c r="K143" s="153"/>
      <c r="L143" s="153"/>
      <c r="M143" s="153"/>
      <c r="N143" s="153"/>
      <c r="O143" s="153"/>
      <c r="P143" s="153"/>
      <c r="Q143" s="153"/>
      <c r="R143" s="153"/>
      <c r="S143" s="153"/>
      <c r="T143" s="153"/>
      <c r="U143" s="153"/>
      <c r="V143" s="153"/>
      <c r="W143" s="153"/>
      <c r="X143" s="153"/>
      <c r="Y143" s="153"/>
      <c r="Z143" s="153"/>
      <c r="AA143" s="153"/>
      <c r="AB143" s="153"/>
    </row>
    <row r="144" spans="1:28" ht="15">
      <c r="A144" s="153"/>
      <c r="B144" s="153"/>
      <c r="C144" s="153"/>
      <c r="D144" s="153"/>
      <c r="E144" s="153"/>
      <c r="F144" s="153"/>
      <c r="G144" s="153"/>
      <c r="H144" s="153"/>
      <c r="I144" s="153"/>
      <c r="J144" s="153"/>
      <c r="K144" s="153"/>
      <c r="L144" s="153"/>
      <c r="M144" s="153"/>
      <c r="N144" s="153"/>
      <c r="O144" s="153"/>
      <c r="P144" s="153"/>
      <c r="Q144" s="153"/>
      <c r="R144" s="153"/>
      <c r="S144" s="153"/>
      <c r="T144" s="153"/>
      <c r="U144" s="153"/>
      <c r="V144" s="153"/>
      <c r="W144" s="153"/>
      <c r="X144" s="153"/>
      <c r="Y144" s="153"/>
      <c r="Z144" s="153"/>
      <c r="AA144" s="153"/>
      <c r="AB144" s="153"/>
    </row>
    <row r="145" spans="1:28" ht="15">
      <c r="A145" s="153"/>
      <c r="B145" s="153"/>
      <c r="C145" s="153"/>
      <c r="D145" s="153"/>
      <c r="E145" s="153"/>
      <c r="F145" s="153"/>
      <c r="G145" s="153"/>
      <c r="H145" s="153"/>
      <c r="I145" s="153"/>
      <c r="J145" s="153"/>
      <c r="K145" s="153"/>
      <c r="L145" s="153"/>
      <c r="M145" s="153"/>
      <c r="N145" s="153"/>
      <c r="O145" s="153"/>
      <c r="P145" s="153"/>
      <c r="Q145" s="153"/>
      <c r="R145" s="153"/>
      <c r="S145" s="153"/>
      <c r="T145" s="153"/>
      <c r="U145" s="153"/>
      <c r="V145" s="153"/>
      <c r="W145" s="153"/>
      <c r="X145" s="153"/>
      <c r="Y145" s="153"/>
      <c r="Z145" s="153"/>
      <c r="AA145" s="153"/>
      <c r="AB145" s="153"/>
    </row>
    <row r="146" spans="1:28" ht="15">
      <c r="A146" s="153"/>
      <c r="B146" s="153"/>
      <c r="C146" s="153"/>
      <c r="D146" s="153"/>
      <c r="E146" s="153"/>
      <c r="F146" s="153"/>
      <c r="G146" s="153"/>
      <c r="H146" s="153"/>
      <c r="I146" s="153"/>
      <c r="J146" s="153"/>
      <c r="K146" s="153"/>
      <c r="L146" s="153"/>
      <c r="M146" s="153"/>
      <c r="N146" s="153"/>
      <c r="O146" s="153"/>
      <c r="P146" s="153"/>
      <c r="Q146" s="153"/>
      <c r="R146" s="153"/>
      <c r="S146" s="153"/>
      <c r="T146" s="153"/>
      <c r="U146" s="153"/>
      <c r="V146" s="153"/>
      <c r="W146" s="153"/>
      <c r="X146" s="153"/>
      <c r="Y146" s="153"/>
      <c r="Z146" s="153"/>
      <c r="AA146" s="153"/>
      <c r="AB146" s="153"/>
    </row>
    <row r="147" spans="1:28" ht="15">
      <c r="A147" s="153"/>
      <c r="B147" s="153"/>
      <c r="C147" s="153"/>
      <c r="D147" s="153"/>
      <c r="E147" s="153"/>
      <c r="F147" s="153"/>
      <c r="G147" s="153"/>
      <c r="H147" s="153"/>
      <c r="I147" s="153"/>
      <c r="J147" s="153"/>
      <c r="K147" s="153"/>
      <c r="L147" s="153"/>
      <c r="M147" s="153"/>
      <c r="N147" s="153"/>
      <c r="O147" s="153"/>
      <c r="P147" s="153"/>
      <c r="Q147" s="153"/>
      <c r="R147" s="153"/>
      <c r="S147" s="153"/>
      <c r="T147" s="153"/>
      <c r="U147" s="153"/>
      <c r="V147" s="153"/>
      <c r="W147" s="153"/>
      <c r="X147" s="153"/>
      <c r="Y147" s="153"/>
      <c r="Z147" s="153"/>
      <c r="AA147" s="153"/>
      <c r="AB147" s="153"/>
    </row>
    <row r="148" spans="1:28" ht="15">
      <c r="A148" s="153"/>
      <c r="B148" s="153"/>
      <c r="C148" s="153"/>
      <c r="D148" s="153"/>
      <c r="E148" s="153"/>
      <c r="F148" s="153"/>
      <c r="G148" s="153"/>
      <c r="H148" s="153"/>
      <c r="I148" s="153"/>
      <c r="J148" s="153"/>
      <c r="K148" s="153"/>
      <c r="L148" s="153"/>
      <c r="M148" s="153"/>
      <c r="N148" s="153"/>
      <c r="O148" s="153"/>
      <c r="P148" s="153"/>
      <c r="Q148" s="153"/>
      <c r="R148" s="153"/>
      <c r="S148" s="153"/>
      <c r="T148" s="153"/>
      <c r="U148" s="153"/>
      <c r="V148" s="153"/>
      <c r="W148" s="153"/>
      <c r="X148" s="153"/>
      <c r="Y148" s="153"/>
      <c r="Z148" s="153"/>
      <c r="AA148" s="153"/>
      <c r="AB148" s="153"/>
    </row>
    <row r="149" spans="1:28" ht="15">
      <c r="A149" s="153"/>
      <c r="B149" s="153"/>
      <c r="C149" s="153"/>
      <c r="D149" s="153"/>
      <c r="E149" s="153"/>
      <c r="F149" s="153"/>
      <c r="G149" s="153"/>
      <c r="H149" s="153"/>
      <c r="I149" s="153"/>
      <c r="J149" s="153"/>
      <c r="K149" s="153"/>
      <c r="L149" s="153"/>
      <c r="M149" s="153"/>
      <c r="N149" s="153"/>
      <c r="O149" s="153"/>
      <c r="P149" s="153"/>
      <c r="Q149" s="153"/>
      <c r="R149" s="153"/>
      <c r="S149" s="153"/>
      <c r="T149" s="153"/>
      <c r="U149" s="153"/>
      <c r="V149" s="153"/>
      <c r="W149" s="153"/>
      <c r="X149" s="153"/>
      <c r="Y149" s="153"/>
      <c r="Z149" s="153"/>
      <c r="AA149" s="153"/>
      <c r="AB149" s="153"/>
    </row>
    <row r="150" spans="1:28" ht="15">
      <c r="A150" s="153"/>
      <c r="B150" s="153"/>
      <c r="C150" s="153"/>
      <c r="D150" s="153"/>
      <c r="E150" s="153"/>
      <c r="F150" s="153"/>
      <c r="G150" s="153"/>
      <c r="H150" s="153"/>
      <c r="I150" s="153"/>
      <c r="J150" s="153"/>
      <c r="K150" s="153"/>
      <c r="L150" s="153"/>
      <c r="M150" s="153"/>
      <c r="N150" s="153"/>
      <c r="O150" s="153"/>
      <c r="P150" s="153"/>
      <c r="Q150" s="153"/>
      <c r="R150" s="153"/>
      <c r="S150" s="153"/>
      <c r="T150" s="153"/>
      <c r="U150" s="153"/>
      <c r="V150" s="153"/>
      <c r="W150" s="153"/>
      <c r="X150" s="153"/>
      <c r="Y150" s="153"/>
      <c r="Z150" s="153"/>
      <c r="AA150" s="153"/>
      <c r="AB150" s="153"/>
    </row>
    <row r="151" spans="1:28" ht="15">
      <c r="A151" s="153"/>
      <c r="B151" s="153"/>
      <c r="C151" s="153"/>
      <c r="D151" s="153"/>
      <c r="E151" s="153"/>
      <c r="F151" s="153"/>
      <c r="G151" s="153"/>
      <c r="H151" s="153"/>
      <c r="I151" s="153"/>
      <c r="J151" s="153"/>
      <c r="K151" s="153"/>
      <c r="L151" s="153"/>
      <c r="M151" s="153"/>
      <c r="N151" s="153"/>
      <c r="O151" s="153"/>
      <c r="P151" s="153"/>
      <c r="Q151" s="153"/>
      <c r="R151" s="153"/>
      <c r="S151" s="153"/>
      <c r="T151" s="153"/>
      <c r="U151" s="153"/>
      <c r="V151" s="153"/>
      <c r="W151" s="153"/>
      <c r="X151" s="153"/>
      <c r="Y151" s="153"/>
      <c r="Z151" s="153"/>
      <c r="AA151" s="153"/>
      <c r="AB151" s="153"/>
    </row>
    <row r="152" spans="1:28" ht="15">
      <c r="A152" s="153"/>
      <c r="B152" s="153"/>
      <c r="C152" s="153"/>
      <c r="D152" s="153"/>
      <c r="E152" s="153"/>
      <c r="F152" s="153"/>
      <c r="G152" s="153"/>
      <c r="H152" s="153"/>
      <c r="I152" s="153"/>
      <c r="J152" s="153"/>
      <c r="K152" s="153"/>
      <c r="L152" s="153"/>
      <c r="M152" s="153"/>
      <c r="N152" s="153"/>
      <c r="O152" s="153"/>
      <c r="P152" s="153"/>
      <c r="Q152" s="153"/>
      <c r="R152" s="153"/>
      <c r="S152" s="153"/>
      <c r="T152" s="153"/>
      <c r="U152" s="153"/>
      <c r="V152" s="153"/>
      <c r="W152" s="153"/>
      <c r="X152" s="153"/>
      <c r="Y152" s="153"/>
      <c r="Z152" s="153"/>
      <c r="AA152" s="153"/>
      <c r="AB152" s="153"/>
    </row>
    <row r="153" spans="1:28" ht="15">
      <c r="A153" s="153"/>
      <c r="B153" s="153"/>
      <c r="C153" s="153"/>
      <c r="D153" s="153"/>
      <c r="E153" s="153"/>
      <c r="F153" s="153"/>
      <c r="G153" s="153"/>
      <c r="H153" s="153"/>
      <c r="I153" s="153"/>
      <c r="J153" s="153"/>
      <c r="K153" s="153"/>
      <c r="L153" s="153"/>
      <c r="M153" s="153"/>
      <c r="N153" s="153"/>
      <c r="O153" s="153"/>
      <c r="P153" s="153"/>
      <c r="Q153" s="153"/>
      <c r="R153" s="153"/>
      <c r="S153" s="153"/>
      <c r="T153" s="153"/>
      <c r="U153" s="153"/>
      <c r="V153" s="153"/>
      <c r="W153" s="153"/>
      <c r="X153" s="153"/>
      <c r="Y153" s="153"/>
      <c r="Z153" s="153"/>
      <c r="AA153" s="153"/>
      <c r="AB153" s="153"/>
    </row>
    <row r="154" spans="1:28" ht="15">
      <c r="A154" s="153"/>
      <c r="B154" s="153"/>
      <c r="C154" s="153"/>
      <c r="D154" s="153"/>
      <c r="E154" s="153"/>
      <c r="F154" s="153"/>
      <c r="G154" s="153"/>
      <c r="H154" s="153"/>
      <c r="I154" s="153"/>
      <c r="J154" s="153"/>
      <c r="K154" s="153"/>
      <c r="L154" s="153"/>
      <c r="M154" s="153"/>
      <c r="N154" s="153"/>
      <c r="O154" s="153"/>
      <c r="P154" s="153"/>
      <c r="Q154" s="153"/>
      <c r="R154" s="153"/>
      <c r="S154" s="153"/>
      <c r="T154" s="153"/>
      <c r="U154" s="153"/>
      <c r="V154" s="153"/>
      <c r="W154" s="153"/>
      <c r="X154" s="153"/>
      <c r="Y154" s="153"/>
      <c r="Z154" s="153"/>
      <c r="AA154" s="153"/>
      <c r="AB154" s="153"/>
    </row>
    <row r="155" spans="1:28" ht="15">
      <c r="A155" s="153"/>
      <c r="B155" s="153"/>
      <c r="C155" s="153"/>
      <c r="D155" s="153"/>
      <c r="E155" s="153"/>
      <c r="F155" s="153"/>
      <c r="G155" s="153"/>
      <c r="H155" s="153"/>
      <c r="I155" s="153"/>
      <c r="J155" s="153"/>
      <c r="K155" s="153"/>
      <c r="L155" s="153"/>
      <c r="M155" s="153"/>
      <c r="N155" s="153"/>
      <c r="O155" s="153"/>
      <c r="P155" s="153"/>
      <c r="Q155" s="153"/>
      <c r="R155" s="153"/>
      <c r="S155" s="153"/>
      <c r="T155" s="153"/>
      <c r="U155" s="153"/>
      <c r="V155" s="153"/>
      <c r="W155" s="153"/>
      <c r="X155" s="153"/>
      <c r="Y155" s="153"/>
      <c r="Z155" s="153"/>
      <c r="AA155" s="153"/>
      <c r="AB155" s="153"/>
    </row>
    <row r="156" spans="1:28" ht="15">
      <c r="A156" s="153"/>
      <c r="B156" s="153"/>
      <c r="C156" s="153"/>
      <c r="D156" s="153"/>
      <c r="E156" s="153"/>
      <c r="F156" s="153"/>
      <c r="G156" s="153"/>
      <c r="H156" s="153"/>
      <c r="I156" s="153"/>
      <c r="J156" s="153"/>
      <c r="K156" s="153"/>
      <c r="L156" s="153"/>
      <c r="M156" s="153"/>
      <c r="N156" s="153"/>
      <c r="O156" s="153"/>
      <c r="P156" s="153"/>
      <c r="Q156" s="153"/>
      <c r="R156" s="153"/>
      <c r="S156" s="153"/>
      <c r="T156" s="153"/>
      <c r="U156" s="153"/>
      <c r="V156" s="153"/>
      <c r="W156" s="153"/>
      <c r="X156" s="153"/>
      <c r="Y156" s="153"/>
      <c r="Z156" s="153"/>
      <c r="AA156" s="153"/>
      <c r="AB156" s="153"/>
    </row>
    <row r="157" spans="1:28" ht="15">
      <c r="A157" s="153"/>
      <c r="B157" s="153"/>
      <c r="C157" s="153"/>
      <c r="D157" s="153"/>
      <c r="E157" s="153"/>
      <c r="F157" s="153"/>
      <c r="G157" s="153"/>
      <c r="H157" s="153"/>
      <c r="I157" s="153"/>
      <c r="J157" s="153"/>
      <c r="K157" s="153"/>
      <c r="L157" s="153"/>
      <c r="M157" s="153"/>
      <c r="N157" s="153"/>
      <c r="O157" s="153"/>
      <c r="P157" s="153"/>
      <c r="Q157" s="153"/>
      <c r="R157" s="153"/>
      <c r="S157" s="153"/>
      <c r="T157" s="153"/>
      <c r="U157" s="153"/>
      <c r="V157" s="153"/>
      <c r="W157" s="153"/>
      <c r="X157" s="153"/>
      <c r="Y157" s="153"/>
      <c r="Z157" s="153"/>
      <c r="AA157" s="153"/>
      <c r="AB157" s="153"/>
    </row>
    <row r="158" spans="1:28" ht="15">
      <c r="A158" s="153"/>
      <c r="B158" s="153"/>
      <c r="C158" s="153"/>
      <c r="D158" s="153"/>
      <c r="E158" s="153"/>
      <c r="F158" s="153"/>
      <c r="G158" s="153"/>
      <c r="H158" s="153"/>
      <c r="I158" s="153"/>
      <c r="J158" s="153"/>
      <c r="K158" s="153"/>
      <c r="L158" s="153"/>
      <c r="M158" s="153"/>
      <c r="N158" s="153"/>
      <c r="O158" s="153"/>
      <c r="P158" s="153"/>
      <c r="Q158" s="153"/>
      <c r="R158" s="153"/>
      <c r="S158" s="153"/>
      <c r="T158" s="153"/>
      <c r="U158" s="153"/>
      <c r="V158" s="153"/>
      <c r="W158" s="153"/>
      <c r="X158" s="153"/>
      <c r="Y158" s="153"/>
      <c r="Z158" s="153"/>
      <c r="AA158" s="153"/>
      <c r="AB158" s="153"/>
    </row>
    <row r="159" spans="1:28" ht="15">
      <c r="A159" s="153"/>
      <c r="B159" s="153"/>
      <c r="C159" s="153"/>
      <c r="D159" s="153"/>
      <c r="E159" s="153"/>
      <c r="F159" s="153"/>
      <c r="G159" s="153"/>
      <c r="H159" s="153"/>
      <c r="I159" s="153"/>
      <c r="J159" s="153"/>
      <c r="K159" s="153"/>
      <c r="L159" s="153"/>
      <c r="M159" s="153"/>
      <c r="N159" s="153"/>
      <c r="O159" s="153"/>
      <c r="P159" s="153"/>
      <c r="Q159" s="153"/>
      <c r="R159" s="153"/>
      <c r="S159" s="153"/>
      <c r="T159" s="153"/>
      <c r="U159" s="153"/>
      <c r="V159" s="153"/>
      <c r="W159" s="153"/>
      <c r="X159" s="153"/>
      <c r="Y159" s="153"/>
      <c r="Z159" s="153"/>
      <c r="AA159" s="153"/>
      <c r="AB159" s="153"/>
    </row>
    <row r="160" spans="1:28" ht="15">
      <c r="A160" s="153"/>
      <c r="B160" s="153"/>
      <c r="C160" s="153"/>
      <c r="D160" s="153"/>
      <c r="E160" s="153"/>
      <c r="F160" s="153"/>
      <c r="G160" s="153"/>
      <c r="H160" s="153"/>
      <c r="I160" s="153"/>
      <c r="J160" s="153"/>
      <c r="K160" s="153"/>
      <c r="L160" s="153"/>
      <c r="M160" s="153"/>
      <c r="N160" s="153"/>
      <c r="O160" s="153"/>
      <c r="P160" s="153"/>
      <c r="Q160" s="153"/>
      <c r="R160" s="153"/>
      <c r="S160" s="153"/>
      <c r="T160" s="153"/>
      <c r="U160" s="153"/>
      <c r="V160" s="153"/>
      <c r="W160" s="153"/>
      <c r="X160" s="153"/>
      <c r="Y160" s="153"/>
      <c r="Z160" s="153"/>
      <c r="AA160" s="153"/>
      <c r="AB160" s="153"/>
    </row>
    <row r="161" spans="1:28" ht="15">
      <c r="A161" s="153"/>
      <c r="B161" s="153"/>
      <c r="C161" s="153"/>
      <c r="D161" s="153"/>
      <c r="E161" s="153"/>
      <c r="F161" s="153"/>
      <c r="G161" s="153"/>
      <c r="H161" s="153"/>
      <c r="I161" s="153"/>
      <c r="J161" s="153"/>
      <c r="K161" s="153"/>
      <c r="L161" s="153"/>
      <c r="M161" s="153"/>
      <c r="N161" s="153"/>
      <c r="O161" s="153"/>
      <c r="P161" s="153"/>
      <c r="Q161" s="153"/>
      <c r="R161" s="153"/>
      <c r="S161" s="153"/>
      <c r="T161" s="153"/>
      <c r="U161" s="153"/>
      <c r="V161" s="153"/>
      <c r="W161" s="153"/>
      <c r="X161" s="153"/>
      <c r="Y161" s="153"/>
      <c r="Z161" s="153"/>
      <c r="AA161" s="153"/>
      <c r="AB161" s="153"/>
    </row>
    <row r="162" spans="1:28" ht="15">
      <c r="A162" s="153"/>
      <c r="B162" s="153"/>
      <c r="C162" s="153"/>
      <c r="D162" s="153"/>
      <c r="E162" s="153"/>
      <c r="F162" s="153"/>
      <c r="G162" s="153"/>
      <c r="H162" s="153"/>
      <c r="I162" s="153"/>
      <c r="J162" s="153"/>
      <c r="K162" s="153"/>
      <c r="L162" s="153"/>
      <c r="M162" s="153"/>
      <c r="N162" s="153"/>
      <c r="O162" s="153"/>
      <c r="P162" s="153"/>
      <c r="Q162" s="153"/>
      <c r="R162" s="153"/>
      <c r="S162" s="153"/>
      <c r="T162" s="153"/>
      <c r="U162" s="153"/>
      <c r="V162" s="153"/>
      <c r="W162" s="153"/>
      <c r="X162" s="153"/>
      <c r="Y162" s="153"/>
      <c r="Z162" s="153"/>
      <c r="AA162" s="153"/>
      <c r="AB162" s="153"/>
    </row>
    <row r="163" spans="1:28" ht="15">
      <c r="A163" s="153"/>
      <c r="B163" s="153"/>
      <c r="C163" s="153"/>
      <c r="D163" s="153"/>
      <c r="E163" s="153"/>
      <c r="F163" s="153"/>
      <c r="G163" s="153"/>
      <c r="H163" s="153"/>
      <c r="I163" s="153"/>
      <c r="J163" s="153"/>
      <c r="K163" s="153"/>
      <c r="L163" s="153"/>
      <c r="M163" s="153"/>
      <c r="N163" s="153"/>
      <c r="O163" s="153"/>
      <c r="P163" s="153"/>
      <c r="Q163" s="153"/>
      <c r="R163" s="153"/>
      <c r="S163" s="153"/>
      <c r="T163" s="153"/>
      <c r="U163" s="153"/>
      <c r="V163" s="153"/>
      <c r="W163" s="153"/>
      <c r="X163" s="153"/>
      <c r="Y163" s="153"/>
      <c r="Z163" s="153"/>
      <c r="AA163" s="153"/>
      <c r="AB163" s="153"/>
    </row>
    <row r="164" spans="1:28" ht="15">
      <c r="A164" s="153"/>
      <c r="B164" s="153"/>
      <c r="C164" s="153"/>
      <c r="D164" s="153"/>
      <c r="E164" s="153"/>
      <c r="F164" s="153"/>
      <c r="G164" s="153"/>
      <c r="H164" s="153"/>
      <c r="I164" s="153"/>
      <c r="J164" s="153"/>
      <c r="K164" s="153"/>
      <c r="L164" s="153"/>
      <c r="M164" s="153"/>
      <c r="N164" s="153"/>
      <c r="O164" s="153"/>
      <c r="P164" s="153"/>
      <c r="Q164" s="153"/>
      <c r="R164" s="153"/>
      <c r="S164" s="153"/>
      <c r="T164" s="153"/>
      <c r="U164" s="153"/>
      <c r="V164" s="153"/>
      <c r="W164" s="153"/>
      <c r="X164" s="153"/>
      <c r="Y164" s="153"/>
      <c r="Z164" s="153"/>
      <c r="AA164" s="153"/>
      <c r="AB164" s="153"/>
    </row>
    <row r="165" spans="1:28" ht="15">
      <c r="A165" s="153"/>
      <c r="B165" s="153"/>
      <c r="C165" s="153"/>
      <c r="D165" s="153"/>
      <c r="E165" s="153"/>
      <c r="F165" s="153"/>
      <c r="G165" s="153"/>
      <c r="H165" s="153"/>
      <c r="I165" s="153"/>
      <c r="J165" s="153"/>
      <c r="K165" s="153"/>
      <c r="L165" s="153"/>
      <c r="M165" s="153"/>
      <c r="N165" s="153"/>
      <c r="O165" s="153"/>
      <c r="P165" s="153"/>
      <c r="Q165" s="153"/>
      <c r="R165" s="153"/>
      <c r="S165" s="153"/>
      <c r="T165" s="153"/>
      <c r="U165" s="153"/>
      <c r="V165" s="153"/>
      <c r="W165" s="153"/>
      <c r="X165" s="153"/>
      <c r="Y165" s="153"/>
      <c r="Z165" s="153"/>
      <c r="AA165" s="153"/>
      <c r="AB165" s="153"/>
    </row>
    <row r="166" spans="1:28" ht="15">
      <c r="A166" s="153"/>
      <c r="B166" s="153"/>
      <c r="C166" s="153"/>
      <c r="D166" s="153"/>
      <c r="E166" s="153"/>
      <c r="F166" s="153"/>
      <c r="G166" s="153"/>
      <c r="H166" s="153"/>
      <c r="I166" s="153"/>
      <c r="J166" s="153"/>
      <c r="K166" s="153"/>
      <c r="L166" s="153"/>
      <c r="M166" s="153"/>
      <c r="N166" s="153"/>
      <c r="O166" s="153"/>
      <c r="P166" s="153"/>
      <c r="Q166" s="153"/>
      <c r="R166" s="153"/>
      <c r="S166" s="153"/>
      <c r="T166" s="153"/>
      <c r="U166" s="153"/>
      <c r="V166" s="153"/>
      <c r="W166" s="153"/>
      <c r="X166" s="153"/>
      <c r="Y166" s="153"/>
      <c r="Z166" s="153"/>
      <c r="AA166" s="153"/>
      <c r="AB166" s="153"/>
    </row>
    <row r="167" spans="1:28" ht="15">
      <c r="A167" s="153"/>
      <c r="B167" s="153"/>
      <c r="C167" s="153"/>
      <c r="D167" s="153"/>
      <c r="E167" s="153"/>
      <c r="F167" s="153"/>
      <c r="G167" s="153"/>
      <c r="H167" s="153"/>
      <c r="I167" s="153"/>
      <c r="J167" s="153"/>
      <c r="K167" s="153"/>
      <c r="L167" s="153"/>
      <c r="M167" s="153"/>
      <c r="N167" s="153"/>
      <c r="O167" s="153"/>
      <c r="P167" s="153"/>
      <c r="Q167" s="153"/>
      <c r="R167" s="153"/>
      <c r="S167" s="153"/>
      <c r="T167" s="153"/>
      <c r="U167" s="153"/>
      <c r="V167" s="153"/>
      <c r="W167" s="153"/>
      <c r="X167" s="153"/>
      <c r="Y167" s="153"/>
      <c r="Z167" s="153"/>
      <c r="AA167" s="153"/>
      <c r="AB167" s="153"/>
    </row>
    <row r="168" spans="1:28" ht="15">
      <c r="A168" s="153"/>
      <c r="B168" s="153"/>
      <c r="C168" s="153"/>
      <c r="D168" s="153"/>
      <c r="E168" s="153"/>
      <c r="F168" s="153"/>
      <c r="G168" s="153"/>
      <c r="H168" s="153"/>
      <c r="I168" s="153"/>
      <c r="J168" s="153"/>
      <c r="K168" s="153"/>
      <c r="L168" s="153"/>
      <c r="M168" s="153"/>
      <c r="N168" s="153"/>
      <c r="O168" s="153"/>
      <c r="P168" s="153"/>
      <c r="Q168" s="153"/>
      <c r="R168" s="153"/>
      <c r="S168" s="153"/>
      <c r="T168" s="153"/>
      <c r="U168" s="153"/>
      <c r="V168" s="153"/>
      <c r="W168" s="153"/>
      <c r="X168" s="153"/>
      <c r="Y168" s="153"/>
      <c r="Z168" s="153"/>
      <c r="AA168" s="153"/>
      <c r="AB168" s="153"/>
    </row>
    <row r="169" spans="1:28" ht="15">
      <c r="A169" s="153"/>
      <c r="B169" s="153"/>
      <c r="C169" s="153"/>
      <c r="D169" s="153"/>
      <c r="E169" s="153"/>
      <c r="F169" s="153"/>
      <c r="G169" s="153"/>
      <c r="H169" s="153"/>
      <c r="I169" s="153"/>
      <c r="J169" s="153"/>
      <c r="K169" s="153"/>
      <c r="L169" s="153"/>
      <c r="M169" s="153"/>
      <c r="N169" s="153"/>
      <c r="O169" s="153"/>
      <c r="P169" s="153"/>
      <c r="Q169" s="153"/>
      <c r="R169" s="153"/>
      <c r="S169" s="153"/>
      <c r="T169" s="153"/>
      <c r="U169" s="153"/>
      <c r="V169" s="153"/>
      <c r="W169" s="153"/>
      <c r="X169" s="153"/>
      <c r="Y169" s="153"/>
      <c r="Z169" s="153"/>
      <c r="AA169" s="153"/>
      <c r="AB169" s="153"/>
    </row>
    <row r="170" spans="1:28" ht="15">
      <c r="A170" s="153"/>
      <c r="B170" s="153"/>
      <c r="C170" s="153"/>
      <c r="D170" s="153"/>
      <c r="E170" s="153"/>
      <c r="F170" s="153"/>
      <c r="G170" s="153"/>
      <c r="H170" s="153"/>
      <c r="I170" s="153"/>
      <c r="J170" s="153"/>
      <c r="K170" s="153"/>
      <c r="L170" s="153"/>
      <c r="M170" s="153"/>
      <c r="N170" s="153"/>
      <c r="O170" s="153"/>
      <c r="P170" s="153"/>
      <c r="Q170" s="153"/>
      <c r="R170" s="153"/>
      <c r="S170" s="153"/>
      <c r="T170" s="153"/>
      <c r="U170" s="153"/>
      <c r="V170" s="153"/>
      <c r="W170" s="153"/>
      <c r="X170" s="153"/>
      <c r="Y170" s="153"/>
      <c r="Z170" s="153"/>
      <c r="AA170" s="153"/>
      <c r="AB170" s="153"/>
    </row>
    <row r="171" spans="1:28" ht="15">
      <c r="A171" s="153"/>
      <c r="B171" s="153"/>
      <c r="C171" s="153"/>
      <c r="D171" s="153"/>
      <c r="E171" s="153"/>
      <c r="F171" s="153"/>
      <c r="G171" s="153"/>
      <c r="H171" s="153"/>
      <c r="I171" s="153"/>
      <c r="J171" s="153"/>
      <c r="K171" s="153"/>
      <c r="L171" s="153"/>
      <c r="M171" s="153"/>
      <c r="N171" s="153"/>
      <c r="O171" s="153"/>
      <c r="P171" s="153"/>
      <c r="Q171" s="153"/>
      <c r="R171" s="153"/>
      <c r="S171" s="153"/>
      <c r="T171" s="153"/>
      <c r="U171" s="153"/>
      <c r="V171" s="153"/>
      <c r="W171" s="153"/>
      <c r="X171" s="153"/>
      <c r="Y171" s="153"/>
      <c r="Z171" s="153"/>
      <c r="AA171" s="153"/>
      <c r="AB171" s="153"/>
    </row>
    <row r="172" spans="1:28" ht="15">
      <c r="A172" s="153"/>
      <c r="B172" s="153"/>
      <c r="C172" s="153"/>
      <c r="D172" s="153"/>
      <c r="E172" s="153"/>
      <c r="F172" s="153"/>
      <c r="G172" s="153"/>
      <c r="H172" s="153"/>
      <c r="I172" s="153"/>
      <c r="J172" s="153"/>
      <c r="K172" s="153"/>
      <c r="L172" s="153"/>
      <c r="M172" s="153"/>
      <c r="N172" s="153"/>
      <c r="O172" s="153"/>
      <c r="P172" s="153"/>
      <c r="Q172" s="153"/>
      <c r="R172" s="153"/>
      <c r="S172" s="153"/>
      <c r="T172" s="153"/>
      <c r="U172" s="153"/>
      <c r="V172" s="153"/>
      <c r="W172" s="153"/>
      <c r="X172" s="153"/>
      <c r="Y172" s="153"/>
      <c r="Z172" s="153"/>
      <c r="AA172" s="153"/>
      <c r="AB172" s="153"/>
    </row>
    <row r="173" spans="1:28" ht="15">
      <c r="A173" s="153"/>
      <c r="B173" s="153"/>
      <c r="C173" s="153"/>
      <c r="D173" s="153"/>
      <c r="E173" s="153"/>
      <c r="F173" s="153"/>
      <c r="G173" s="153"/>
      <c r="H173" s="153"/>
      <c r="I173" s="153"/>
      <c r="J173" s="153"/>
      <c r="K173" s="153"/>
      <c r="L173" s="153"/>
      <c r="M173" s="153"/>
      <c r="N173" s="153"/>
      <c r="O173" s="153"/>
      <c r="P173" s="153"/>
      <c r="Q173" s="153"/>
      <c r="R173" s="153"/>
      <c r="S173" s="153"/>
      <c r="T173" s="153"/>
      <c r="U173" s="153"/>
      <c r="V173" s="153"/>
      <c r="W173" s="153"/>
      <c r="X173" s="153"/>
      <c r="Y173" s="153"/>
      <c r="Z173" s="153"/>
      <c r="AA173" s="153"/>
      <c r="AB173" s="153"/>
    </row>
    <row r="174" spans="1:28" ht="15">
      <c r="A174" s="153"/>
      <c r="B174" s="153"/>
      <c r="C174" s="153"/>
      <c r="D174" s="153"/>
      <c r="E174" s="153"/>
      <c r="F174" s="153"/>
      <c r="G174" s="153"/>
      <c r="H174" s="153"/>
      <c r="I174" s="153"/>
      <c r="J174" s="153"/>
      <c r="K174" s="153"/>
      <c r="L174" s="153"/>
      <c r="M174" s="153"/>
      <c r="N174" s="153"/>
      <c r="O174" s="153"/>
      <c r="P174" s="153"/>
      <c r="Q174" s="153"/>
      <c r="R174" s="153"/>
      <c r="S174" s="153"/>
      <c r="T174" s="153"/>
      <c r="U174" s="153"/>
      <c r="V174" s="153"/>
      <c r="W174" s="153"/>
      <c r="X174" s="153"/>
      <c r="Y174" s="153"/>
      <c r="Z174" s="153"/>
      <c r="AA174" s="153"/>
      <c r="AB174" s="153"/>
    </row>
    <row r="175" spans="1:28" ht="15">
      <c r="A175" s="153"/>
      <c r="B175" s="153"/>
      <c r="C175" s="153"/>
      <c r="D175" s="153"/>
      <c r="E175" s="153"/>
      <c r="F175" s="153"/>
      <c r="G175" s="153"/>
      <c r="H175" s="153"/>
      <c r="I175" s="153"/>
      <c r="J175" s="153"/>
      <c r="K175" s="153"/>
      <c r="L175" s="153"/>
      <c r="M175" s="153"/>
      <c r="N175" s="153"/>
      <c r="O175" s="153"/>
      <c r="P175" s="153"/>
      <c r="Q175" s="153"/>
      <c r="R175" s="153"/>
      <c r="S175" s="153"/>
      <c r="T175" s="153"/>
      <c r="U175" s="153"/>
      <c r="V175" s="153"/>
      <c r="W175" s="153"/>
      <c r="X175" s="153"/>
      <c r="Y175" s="153"/>
      <c r="Z175" s="153"/>
      <c r="AA175" s="153"/>
      <c r="AB175" s="153"/>
    </row>
    <row r="176" spans="1:28" ht="15">
      <c r="A176" s="153"/>
      <c r="B176" s="153"/>
      <c r="C176" s="153"/>
      <c r="D176" s="153"/>
      <c r="E176" s="153"/>
      <c r="F176" s="153"/>
      <c r="G176" s="153"/>
      <c r="H176" s="153"/>
      <c r="I176" s="153"/>
      <c r="J176" s="153"/>
      <c r="K176" s="153"/>
      <c r="L176" s="153"/>
      <c r="M176" s="153"/>
      <c r="N176" s="153"/>
      <c r="O176" s="153"/>
      <c r="P176" s="153"/>
      <c r="Q176" s="153"/>
      <c r="R176" s="153"/>
      <c r="S176" s="153"/>
      <c r="T176" s="153"/>
      <c r="U176" s="153"/>
      <c r="V176" s="153"/>
      <c r="W176" s="153"/>
      <c r="X176" s="153"/>
      <c r="Y176" s="153"/>
      <c r="Z176" s="153"/>
      <c r="AA176" s="153"/>
      <c r="AB176" s="153"/>
    </row>
    <row r="177" spans="1:28" ht="15">
      <c r="A177" s="153"/>
      <c r="B177" s="153"/>
      <c r="C177" s="153"/>
      <c r="D177" s="153"/>
      <c r="E177" s="153"/>
      <c r="F177" s="153"/>
      <c r="G177" s="153"/>
      <c r="H177" s="153"/>
      <c r="I177" s="153"/>
      <c r="J177" s="153"/>
      <c r="K177" s="153"/>
      <c r="L177" s="153"/>
      <c r="M177" s="153"/>
      <c r="N177" s="153"/>
      <c r="O177" s="153"/>
      <c r="P177" s="153"/>
      <c r="Q177" s="153"/>
      <c r="R177" s="153"/>
      <c r="S177" s="153"/>
      <c r="T177" s="153"/>
      <c r="U177" s="153"/>
      <c r="V177" s="153"/>
      <c r="W177" s="153"/>
      <c r="X177" s="153"/>
      <c r="Y177" s="153"/>
      <c r="Z177" s="153"/>
      <c r="AA177" s="153"/>
      <c r="AB177" s="153"/>
    </row>
    <row r="178" spans="1:28" ht="15">
      <c r="A178" s="153"/>
      <c r="B178" s="153"/>
      <c r="C178" s="153"/>
      <c r="D178" s="153"/>
      <c r="E178" s="153"/>
      <c r="F178" s="153"/>
      <c r="G178" s="153"/>
      <c r="H178" s="153"/>
      <c r="I178" s="153"/>
      <c r="J178" s="153"/>
      <c r="K178" s="153"/>
      <c r="L178" s="153"/>
      <c r="M178" s="153"/>
      <c r="N178" s="153"/>
      <c r="O178" s="153"/>
      <c r="P178" s="153"/>
      <c r="Q178" s="153"/>
      <c r="R178" s="153"/>
      <c r="S178" s="153"/>
      <c r="T178" s="153"/>
      <c r="U178" s="153"/>
      <c r="V178" s="153"/>
      <c r="W178" s="153"/>
      <c r="X178" s="153"/>
      <c r="Y178" s="153"/>
      <c r="Z178" s="153"/>
      <c r="AA178" s="153"/>
      <c r="AB178" s="153"/>
    </row>
    <row r="179" spans="1:28" ht="15">
      <c r="A179" s="153"/>
      <c r="B179" s="153"/>
      <c r="C179" s="153"/>
      <c r="D179" s="153"/>
      <c r="E179" s="153"/>
      <c r="F179" s="153"/>
      <c r="G179" s="153"/>
      <c r="H179" s="153"/>
      <c r="I179" s="153"/>
      <c r="J179" s="153"/>
      <c r="K179" s="153"/>
      <c r="L179" s="153"/>
      <c r="M179" s="153"/>
      <c r="N179" s="153"/>
      <c r="O179" s="153"/>
      <c r="P179" s="153"/>
      <c r="Q179" s="153"/>
      <c r="R179" s="153"/>
      <c r="S179" s="153"/>
      <c r="T179" s="153"/>
      <c r="U179" s="153"/>
      <c r="V179" s="153"/>
      <c r="W179" s="153"/>
      <c r="X179" s="153"/>
      <c r="Y179" s="153"/>
      <c r="Z179" s="153"/>
      <c r="AA179" s="153"/>
      <c r="AB179" s="153"/>
    </row>
    <row r="180" spans="1:28" ht="15">
      <c r="A180" s="153"/>
      <c r="B180" s="153"/>
      <c r="C180" s="153"/>
      <c r="D180" s="153"/>
      <c r="E180" s="153"/>
      <c r="F180" s="153"/>
      <c r="G180" s="153"/>
      <c r="H180" s="153"/>
      <c r="I180" s="153"/>
      <c r="J180" s="153"/>
      <c r="K180" s="153"/>
      <c r="L180" s="153"/>
      <c r="M180" s="153"/>
      <c r="N180" s="153"/>
      <c r="O180" s="153"/>
      <c r="P180" s="153"/>
      <c r="Q180" s="153"/>
      <c r="R180" s="153"/>
      <c r="S180" s="153"/>
      <c r="T180" s="153"/>
      <c r="U180" s="153"/>
      <c r="V180" s="153"/>
      <c r="W180" s="153"/>
      <c r="X180" s="153"/>
      <c r="Y180" s="153"/>
      <c r="Z180" s="153"/>
      <c r="AA180" s="153"/>
      <c r="AB180" s="153"/>
    </row>
    <row r="181" spans="1:28" ht="15">
      <c r="A181" s="153"/>
      <c r="B181" s="153"/>
      <c r="C181" s="153"/>
      <c r="D181" s="153"/>
      <c r="E181" s="153"/>
      <c r="F181" s="153"/>
      <c r="G181" s="153"/>
      <c r="H181" s="153"/>
      <c r="I181" s="153"/>
      <c r="J181" s="153"/>
      <c r="K181" s="153"/>
      <c r="L181" s="153"/>
      <c r="M181" s="153"/>
      <c r="N181" s="153"/>
      <c r="O181" s="153"/>
      <c r="P181" s="153"/>
      <c r="Q181" s="153"/>
      <c r="R181" s="153"/>
      <c r="S181" s="153"/>
      <c r="T181" s="153"/>
      <c r="U181" s="153"/>
      <c r="V181" s="153"/>
      <c r="W181" s="153"/>
      <c r="X181" s="153"/>
      <c r="Y181" s="153"/>
      <c r="Z181" s="153"/>
      <c r="AA181" s="153"/>
      <c r="AB181" s="153"/>
    </row>
    <row r="182" spans="1:28" ht="15">
      <c r="A182" s="153"/>
      <c r="B182" s="153"/>
      <c r="C182" s="153"/>
      <c r="D182" s="153"/>
      <c r="E182" s="153"/>
      <c r="F182" s="153"/>
      <c r="G182" s="153"/>
      <c r="H182" s="153"/>
      <c r="I182" s="153"/>
      <c r="J182" s="153"/>
      <c r="K182" s="153"/>
      <c r="L182" s="153"/>
      <c r="M182" s="153"/>
      <c r="N182" s="153"/>
      <c r="O182" s="153"/>
      <c r="P182" s="153"/>
      <c r="Q182" s="153"/>
      <c r="R182" s="153"/>
      <c r="S182" s="153"/>
      <c r="T182" s="153"/>
      <c r="U182" s="153"/>
      <c r="V182" s="153"/>
      <c r="W182" s="153"/>
      <c r="X182" s="153"/>
      <c r="Y182" s="153"/>
      <c r="Z182" s="153"/>
      <c r="AA182" s="153"/>
      <c r="AB182" s="153"/>
    </row>
    <row r="183" spans="1:28" ht="15">
      <c r="A183" s="153"/>
      <c r="B183" s="153"/>
      <c r="C183" s="153"/>
      <c r="D183" s="153"/>
      <c r="E183" s="153"/>
      <c r="F183" s="153"/>
      <c r="G183" s="153"/>
      <c r="H183" s="153"/>
      <c r="I183" s="153"/>
      <c r="J183" s="153"/>
      <c r="K183" s="153"/>
      <c r="L183" s="153"/>
      <c r="M183" s="153"/>
      <c r="N183" s="153"/>
      <c r="O183" s="153"/>
      <c r="P183" s="153"/>
      <c r="Q183" s="153"/>
      <c r="R183" s="153"/>
      <c r="S183" s="153"/>
      <c r="T183" s="153"/>
      <c r="U183" s="153"/>
      <c r="V183" s="153"/>
      <c r="W183" s="153"/>
      <c r="X183" s="153"/>
      <c r="Y183" s="153"/>
      <c r="Z183" s="153"/>
      <c r="AA183" s="153"/>
      <c r="AB183" s="153"/>
    </row>
    <row r="184" spans="1:28" ht="15">
      <c r="A184" s="153"/>
      <c r="B184" s="153"/>
      <c r="C184" s="153"/>
      <c r="D184" s="153"/>
      <c r="E184" s="153"/>
      <c r="F184" s="153"/>
      <c r="G184" s="153"/>
      <c r="H184" s="153"/>
      <c r="I184" s="153"/>
      <c r="J184" s="153"/>
      <c r="K184" s="153"/>
      <c r="L184" s="153"/>
      <c r="M184" s="153"/>
      <c r="N184" s="153"/>
      <c r="O184" s="153"/>
      <c r="P184" s="153"/>
      <c r="Q184" s="153"/>
      <c r="R184" s="153"/>
      <c r="S184" s="153"/>
      <c r="T184" s="153"/>
      <c r="U184" s="153"/>
      <c r="V184" s="153"/>
      <c r="W184" s="153"/>
      <c r="X184" s="153"/>
      <c r="Y184" s="153"/>
      <c r="Z184" s="153"/>
      <c r="AA184" s="153"/>
      <c r="AB184" s="153"/>
    </row>
    <row r="185" spans="1:28" ht="15">
      <c r="A185" s="153"/>
      <c r="B185" s="153"/>
      <c r="C185" s="153"/>
      <c r="D185" s="153"/>
      <c r="E185" s="153"/>
      <c r="F185" s="153"/>
      <c r="G185" s="153"/>
      <c r="H185" s="153"/>
      <c r="I185" s="153"/>
      <c r="J185" s="153"/>
      <c r="K185" s="153"/>
      <c r="L185" s="153"/>
      <c r="M185" s="153"/>
      <c r="N185" s="153"/>
      <c r="O185" s="153"/>
      <c r="P185" s="153"/>
      <c r="Q185" s="153"/>
      <c r="R185" s="153"/>
      <c r="S185" s="153"/>
      <c r="T185" s="153"/>
      <c r="U185" s="153"/>
      <c r="V185" s="153"/>
      <c r="W185" s="153"/>
      <c r="X185" s="153"/>
      <c r="Y185" s="153"/>
      <c r="Z185" s="153"/>
      <c r="AA185" s="153"/>
      <c r="AB185" s="153"/>
    </row>
    <row r="186" spans="1:28" ht="15">
      <c r="A186" s="153"/>
      <c r="B186" s="153"/>
      <c r="C186" s="153"/>
      <c r="D186" s="153"/>
      <c r="E186" s="153"/>
      <c r="F186" s="153"/>
      <c r="G186" s="153"/>
      <c r="H186" s="153"/>
      <c r="I186" s="153"/>
      <c r="J186" s="153"/>
      <c r="K186" s="153"/>
      <c r="L186" s="153"/>
      <c r="M186" s="153"/>
      <c r="N186" s="153"/>
      <c r="O186" s="153"/>
      <c r="P186" s="153"/>
      <c r="Q186" s="153"/>
      <c r="R186" s="153"/>
      <c r="S186" s="153"/>
      <c r="T186" s="153"/>
      <c r="U186" s="153"/>
      <c r="V186" s="153"/>
      <c r="W186" s="153"/>
      <c r="X186" s="153"/>
      <c r="Y186" s="153"/>
      <c r="Z186" s="153"/>
      <c r="AA186" s="153"/>
      <c r="AB186" s="153"/>
    </row>
    <row r="187" spans="1:28" ht="15">
      <c r="A187" s="153"/>
      <c r="B187" s="153"/>
      <c r="C187" s="153"/>
      <c r="D187" s="153"/>
      <c r="E187" s="153"/>
      <c r="F187" s="153"/>
      <c r="G187" s="153"/>
      <c r="H187" s="153"/>
      <c r="I187" s="153"/>
      <c r="J187" s="153"/>
      <c r="K187" s="153"/>
      <c r="L187" s="153"/>
      <c r="M187" s="153"/>
      <c r="N187" s="153"/>
      <c r="O187" s="153"/>
      <c r="P187" s="153"/>
      <c r="Q187" s="153"/>
      <c r="R187" s="153"/>
      <c r="S187" s="153"/>
      <c r="T187" s="153"/>
      <c r="U187" s="153"/>
      <c r="V187" s="153"/>
      <c r="W187" s="153"/>
      <c r="X187" s="153"/>
      <c r="Y187" s="153"/>
      <c r="Z187" s="153"/>
      <c r="AA187" s="153"/>
      <c r="AB187" s="153"/>
    </row>
    <row r="188" spans="1:28" ht="15">
      <c r="A188" s="153"/>
      <c r="B188" s="153"/>
      <c r="C188" s="153"/>
      <c r="D188" s="153"/>
      <c r="E188" s="153"/>
      <c r="F188" s="153"/>
      <c r="G188" s="153"/>
      <c r="H188" s="153"/>
      <c r="I188" s="153"/>
      <c r="J188" s="153"/>
      <c r="K188" s="153"/>
      <c r="L188" s="153"/>
      <c r="M188" s="153"/>
      <c r="N188" s="153"/>
      <c r="O188" s="153"/>
      <c r="P188" s="153"/>
      <c r="Q188" s="153"/>
      <c r="R188" s="153"/>
      <c r="S188" s="153"/>
      <c r="T188" s="153"/>
      <c r="U188" s="153"/>
      <c r="V188" s="153"/>
      <c r="W188" s="153"/>
      <c r="X188" s="153"/>
      <c r="Y188" s="153"/>
      <c r="Z188" s="153"/>
      <c r="AA188" s="153"/>
      <c r="AB188" s="153"/>
    </row>
    <row r="189" spans="1:28" ht="15">
      <c r="A189" s="153"/>
      <c r="B189" s="153"/>
      <c r="C189" s="153"/>
      <c r="D189" s="153"/>
      <c r="E189" s="153"/>
      <c r="F189" s="153"/>
      <c r="G189" s="153"/>
      <c r="H189" s="153"/>
      <c r="I189" s="153"/>
      <c r="J189" s="153"/>
      <c r="K189" s="153"/>
      <c r="L189" s="153"/>
      <c r="M189" s="153"/>
      <c r="N189" s="153"/>
      <c r="O189" s="153"/>
      <c r="P189" s="153"/>
      <c r="Q189" s="153"/>
      <c r="R189" s="153"/>
      <c r="S189" s="153"/>
      <c r="T189" s="153"/>
      <c r="U189" s="153"/>
      <c r="V189" s="153"/>
      <c r="W189" s="153"/>
      <c r="X189" s="153"/>
      <c r="Y189" s="153"/>
      <c r="Z189" s="153"/>
      <c r="AA189" s="153"/>
      <c r="AB189" s="153"/>
    </row>
    <row r="190" spans="1:28" ht="15">
      <c r="A190" s="153"/>
      <c r="B190" s="153"/>
      <c r="C190" s="153"/>
      <c r="D190" s="153"/>
      <c r="E190" s="153"/>
      <c r="F190" s="153"/>
      <c r="G190" s="153"/>
      <c r="H190" s="153"/>
      <c r="I190" s="153"/>
      <c r="J190" s="153"/>
      <c r="K190" s="153"/>
      <c r="L190" s="153"/>
      <c r="M190" s="153"/>
      <c r="N190" s="153"/>
      <c r="O190" s="153"/>
      <c r="P190" s="153"/>
      <c r="Q190" s="153"/>
      <c r="R190" s="153"/>
      <c r="S190" s="153"/>
      <c r="T190" s="153"/>
      <c r="U190" s="153"/>
      <c r="V190" s="153"/>
      <c r="W190" s="153"/>
      <c r="X190" s="153"/>
      <c r="Y190" s="153"/>
      <c r="Z190" s="153"/>
      <c r="AA190" s="153"/>
      <c r="AB190" s="153"/>
    </row>
    <row r="191" spans="1:28" ht="15">
      <c r="A191" s="153"/>
      <c r="B191" s="153"/>
      <c r="C191" s="153"/>
      <c r="D191" s="153"/>
      <c r="E191" s="153"/>
      <c r="F191" s="153"/>
      <c r="G191" s="153"/>
      <c r="H191" s="153"/>
      <c r="I191" s="153"/>
      <c r="J191" s="153"/>
      <c r="K191" s="153"/>
      <c r="L191" s="153"/>
      <c r="M191" s="153"/>
      <c r="N191" s="153"/>
      <c r="O191" s="153"/>
      <c r="P191" s="153"/>
      <c r="Q191" s="153"/>
      <c r="R191" s="153"/>
      <c r="S191" s="153"/>
      <c r="T191" s="153"/>
      <c r="U191" s="153"/>
      <c r="V191" s="153"/>
      <c r="W191" s="153"/>
      <c r="X191" s="153"/>
      <c r="Y191" s="153"/>
      <c r="Z191" s="153"/>
      <c r="AA191" s="153"/>
      <c r="AB191" s="153"/>
    </row>
    <row r="192" spans="1:28" ht="15">
      <c r="A192" s="153"/>
      <c r="B192" s="153"/>
      <c r="C192" s="153"/>
      <c r="D192" s="153"/>
      <c r="E192" s="153"/>
      <c r="F192" s="153"/>
      <c r="G192" s="153"/>
      <c r="H192" s="153"/>
      <c r="I192" s="153"/>
      <c r="J192" s="153"/>
      <c r="K192" s="153"/>
      <c r="L192" s="153"/>
      <c r="M192" s="153"/>
      <c r="N192" s="153"/>
      <c r="O192" s="153"/>
      <c r="P192" s="153"/>
      <c r="Q192" s="153"/>
      <c r="R192" s="153"/>
      <c r="S192" s="153"/>
      <c r="T192" s="153"/>
      <c r="U192" s="153"/>
      <c r="V192" s="153"/>
      <c r="W192" s="153"/>
      <c r="X192" s="153"/>
      <c r="Y192" s="153"/>
      <c r="Z192" s="153"/>
      <c r="AA192" s="153"/>
      <c r="AB192" s="153"/>
    </row>
    <row r="193" spans="1:28" ht="15">
      <c r="A193" s="153"/>
      <c r="B193" s="153"/>
      <c r="C193" s="153"/>
      <c r="D193" s="153"/>
      <c r="E193" s="153"/>
      <c r="F193" s="153"/>
      <c r="G193" s="153"/>
      <c r="H193" s="153"/>
      <c r="I193" s="153"/>
      <c r="J193" s="153"/>
      <c r="K193" s="153"/>
      <c r="L193" s="153"/>
      <c r="M193" s="153"/>
      <c r="N193" s="153"/>
      <c r="O193" s="153"/>
      <c r="P193" s="153"/>
      <c r="Q193" s="153"/>
      <c r="R193" s="153"/>
      <c r="S193" s="153"/>
      <c r="T193" s="153"/>
      <c r="U193" s="153"/>
      <c r="V193" s="153"/>
      <c r="W193" s="153"/>
      <c r="X193" s="153"/>
      <c r="Y193" s="153"/>
      <c r="Z193" s="153"/>
      <c r="AA193" s="153"/>
      <c r="AB193" s="153"/>
    </row>
    <row r="194" spans="1:28" ht="15">
      <c r="A194" s="153"/>
      <c r="B194" s="153"/>
      <c r="C194" s="153"/>
      <c r="D194" s="153"/>
      <c r="E194" s="153"/>
      <c r="F194" s="153"/>
      <c r="G194" s="153"/>
      <c r="H194" s="153"/>
      <c r="I194" s="153"/>
      <c r="J194" s="153"/>
      <c r="K194" s="153"/>
      <c r="L194" s="153"/>
      <c r="M194" s="153"/>
      <c r="N194" s="153"/>
      <c r="O194" s="153"/>
      <c r="P194" s="153"/>
      <c r="Q194" s="153"/>
      <c r="R194" s="153"/>
      <c r="S194" s="153"/>
      <c r="T194" s="153"/>
      <c r="U194" s="153"/>
      <c r="V194" s="153"/>
      <c r="W194" s="153"/>
      <c r="X194" s="153"/>
      <c r="Y194" s="153"/>
      <c r="Z194" s="153"/>
      <c r="AA194" s="153"/>
      <c r="AB194" s="153"/>
    </row>
    <row r="195" spans="1:28" ht="15">
      <c r="A195" s="153"/>
      <c r="B195" s="153"/>
      <c r="C195" s="153"/>
      <c r="D195" s="153"/>
      <c r="E195" s="153"/>
      <c r="F195" s="153"/>
      <c r="G195" s="153"/>
      <c r="H195" s="153"/>
      <c r="I195" s="153"/>
      <c r="J195" s="153"/>
      <c r="K195" s="153"/>
      <c r="L195" s="153"/>
      <c r="M195" s="153"/>
      <c r="N195" s="153"/>
      <c r="O195" s="153"/>
      <c r="P195" s="153"/>
      <c r="Q195" s="153"/>
      <c r="R195" s="153"/>
      <c r="S195" s="153"/>
      <c r="T195" s="153"/>
      <c r="U195" s="153"/>
      <c r="V195" s="153"/>
      <c r="W195" s="153"/>
      <c r="X195" s="153"/>
      <c r="Y195" s="153"/>
      <c r="Z195" s="153"/>
      <c r="AA195" s="153"/>
      <c r="AB195" s="153"/>
    </row>
    <row r="196" spans="1:28" ht="15">
      <c r="A196" s="153"/>
      <c r="B196" s="153"/>
      <c r="C196" s="153"/>
      <c r="D196" s="153"/>
      <c r="E196" s="153"/>
      <c r="F196" s="153"/>
      <c r="G196" s="153"/>
      <c r="H196" s="153"/>
      <c r="I196" s="153"/>
      <c r="J196" s="153"/>
      <c r="K196" s="153"/>
      <c r="L196" s="153"/>
      <c r="M196" s="153"/>
      <c r="N196" s="153"/>
      <c r="O196" s="153"/>
      <c r="P196" s="153"/>
      <c r="Q196" s="153"/>
      <c r="R196" s="153"/>
      <c r="S196" s="153"/>
      <c r="T196" s="153"/>
      <c r="U196" s="153"/>
      <c r="V196" s="153"/>
      <c r="W196" s="153"/>
      <c r="X196" s="153"/>
      <c r="Y196" s="153"/>
      <c r="Z196" s="153"/>
      <c r="AA196" s="153"/>
      <c r="AB196" s="153"/>
    </row>
    <row r="197" spans="1:28" ht="15">
      <c r="A197" s="153"/>
      <c r="B197" s="153"/>
      <c r="C197" s="153"/>
      <c r="D197" s="153"/>
      <c r="E197" s="153"/>
      <c r="F197" s="153"/>
      <c r="G197" s="153"/>
      <c r="H197" s="153"/>
      <c r="I197" s="153"/>
      <c r="J197" s="153"/>
      <c r="K197" s="153"/>
      <c r="L197" s="153"/>
      <c r="M197" s="153"/>
      <c r="N197" s="153"/>
      <c r="O197" s="153"/>
      <c r="P197" s="153"/>
      <c r="Q197" s="153"/>
      <c r="R197" s="153"/>
      <c r="S197" s="153"/>
      <c r="T197" s="153"/>
      <c r="U197" s="153"/>
      <c r="V197" s="153"/>
      <c r="W197" s="153"/>
      <c r="X197" s="153"/>
      <c r="Y197" s="153"/>
      <c r="Z197" s="153"/>
      <c r="AA197" s="153"/>
      <c r="AB197" s="153"/>
    </row>
    <row r="198" spans="1:28" ht="15">
      <c r="A198" s="153"/>
      <c r="B198" s="153"/>
      <c r="C198" s="153"/>
      <c r="D198" s="153"/>
      <c r="E198" s="153"/>
      <c r="F198" s="153"/>
      <c r="G198" s="153"/>
      <c r="H198" s="153"/>
      <c r="I198" s="153"/>
      <c r="J198" s="153"/>
      <c r="K198" s="153"/>
      <c r="L198" s="153"/>
      <c r="M198" s="153"/>
      <c r="N198" s="153"/>
      <c r="O198" s="153"/>
      <c r="P198" s="153"/>
      <c r="Q198" s="153"/>
      <c r="R198" s="153"/>
      <c r="S198" s="153"/>
      <c r="T198" s="153"/>
      <c r="U198" s="153"/>
      <c r="V198" s="153"/>
      <c r="W198" s="153"/>
      <c r="X198" s="153"/>
      <c r="Y198" s="153"/>
      <c r="Z198" s="153"/>
      <c r="AA198" s="153"/>
      <c r="AB198" s="153"/>
    </row>
    <row r="199" spans="1:28" ht="15">
      <c r="A199" s="153"/>
      <c r="B199" s="153"/>
      <c r="C199" s="153"/>
      <c r="D199" s="153"/>
      <c r="E199" s="153"/>
      <c r="F199" s="153"/>
      <c r="G199" s="153"/>
      <c r="H199" s="153"/>
      <c r="I199" s="153"/>
      <c r="J199" s="153"/>
      <c r="K199" s="153"/>
      <c r="L199" s="153"/>
      <c r="M199" s="153"/>
      <c r="N199" s="153"/>
      <c r="O199" s="153"/>
      <c r="P199" s="153"/>
      <c r="Q199" s="153"/>
      <c r="R199" s="153"/>
      <c r="S199" s="153"/>
      <c r="T199" s="153"/>
      <c r="U199" s="153"/>
      <c r="V199" s="153"/>
      <c r="W199" s="153"/>
      <c r="X199" s="153"/>
      <c r="Y199" s="153"/>
      <c r="Z199" s="153"/>
      <c r="AA199" s="153"/>
      <c r="AB199" s="153"/>
    </row>
    <row r="200" spans="1:28" ht="15">
      <c r="A200" s="153"/>
      <c r="B200" s="153"/>
      <c r="C200" s="153"/>
      <c r="D200" s="153"/>
      <c r="E200" s="153"/>
      <c r="F200" s="153"/>
      <c r="G200" s="153"/>
      <c r="H200" s="153"/>
      <c r="I200" s="153"/>
      <c r="J200" s="153"/>
      <c r="K200" s="153"/>
      <c r="L200" s="153"/>
      <c r="M200" s="153"/>
      <c r="N200" s="153"/>
      <c r="O200" s="153"/>
      <c r="P200" s="153"/>
      <c r="Q200" s="153"/>
      <c r="R200" s="153"/>
      <c r="S200" s="153"/>
      <c r="T200" s="153"/>
      <c r="U200" s="153"/>
      <c r="V200" s="153"/>
      <c r="W200" s="153"/>
      <c r="X200" s="153"/>
      <c r="Y200" s="153"/>
      <c r="Z200" s="153"/>
      <c r="AA200" s="153"/>
      <c r="AB200" s="153"/>
    </row>
    <row r="201" spans="1:28" ht="15">
      <c r="A201" s="153"/>
      <c r="B201" s="153"/>
      <c r="C201" s="153"/>
      <c r="D201" s="153"/>
      <c r="E201" s="153"/>
      <c r="F201" s="153"/>
      <c r="G201" s="153"/>
      <c r="H201" s="153"/>
      <c r="I201" s="153"/>
      <c r="J201" s="153"/>
      <c r="K201" s="153"/>
      <c r="L201" s="153"/>
      <c r="M201" s="153"/>
      <c r="N201" s="153"/>
      <c r="O201" s="153"/>
      <c r="P201" s="153"/>
      <c r="Q201" s="153"/>
      <c r="R201" s="153"/>
      <c r="S201" s="153"/>
      <c r="T201" s="153"/>
      <c r="U201" s="153"/>
      <c r="V201" s="153"/>
      <c r="W201" s="153"/>
      <c r="X201" s="153"/>
      <c r="Y201" s="153"/>
      <c r="Z201" s="153"/>
      <c r="AA201" s="153"/>
      <c r="AB201" s="153"/>
    </row>
    <row r="202" spans="1:28" ht="15">
      <c r="A202" s="153"/>
      <c r="B202" s="153"/>
      <c r="C202" s="153"/>
      <c r="D202" s="153"/>
      <c r="E202" s="153"/>
      <c r="F202" s="153"/>
      <c r="G202" s="153"/>
      <c r="H202" s="153"/>
      <c r="I202" s="153"/>
      <c r="J202" s="153"/>
      <c r="K202" s="153"/>
      <c r="L202" s="153"/>
      <c r="M202" s="153"/>
      <c r="N202" s="153"/>
      <c r="O202" s="153"/>
      <c r="P202" s="153"/>
      <c r="Q202" s="153"/>
      <c r="R202" s="153"/>
      <c r="S202" s="153"/>
      <c r="T202" s="153"/>
      <c r="U202" s="153"/>
      <c r="V202" s="153"/>
      <c r="W202" s="153"/>
      <c r="X202" s="153"/>
      <c r="Y202" s="153"/>
      <c r="Z202" s="153"/>
      <c r="AA202" s="153"/>
      <c r="AB202" s="153"/>
    </row>
    <row r="203" spans="1:28" ht="15">
      <c r="A203" s="153"/>
      <c r="B203" s="153"/>
      <c r="C203" s="153"/>
      <c r="D203" s="153"/>
      <c r="E203" s="153"/>
      <c r="F203" s="153"/>
      <c r="G203" s="153"/>
      <c r="H203" s="153"/>
      <c r="I203" s="153"/>
      <c r="J203" s="153"/>
      <c r="K203" s="153"/>
      <c r="L203" s="153"/>
      <c r="M203" s="153"/>
      <c r="N203" s="153"/>
      <c r="O203" s="153"/>
      <c r="P203" s="153"/>
      <c r="Q203" s="153"/>
      <c r="R203" s="153"/>
      <c r="S203" s="153"/>
      <c r="T203" s="153"/>
      <c r="U203" s="153"/>
      <c r="V203" s="153"/>
      <c r="W203" s="153"/>
      <c r="X203" s="153"/>
      <c r="Y203" s="153"/>
      <c r="Z203" s="153"/>
      <c r="AA203" s="153"/>
      <c r="AB203" s="153"/>
    </row>
    <row r="204" spans="1:28" ht="15">
      <c r="A204" s="153"/>
      <c r="B204" s="153"/>
      <c r="C204" s="153"/>
      <c r="D204" s="153"/>
      <c r="E204" s="153"/>
      <c r="F204" s="153"/>
      <c r="G204" s="153"/>
      <c r="H204" s="153"/>
      <c r="I204" s="153"/>
      <c r="J204" s="153"/>
      <c r="K204" s="153"/>
      <c r="L204" s="153"/>
      <c r="M204" s="153"/>
      <c r="N204" s="153"/>
      <c r="O204" s="153"/>
      <c r="P204" s="153"/>
      <c r="Q204" s="153"/>
      <c r="R204" s="153"/>
      <c r="S204" s="153"/>
      <c r="T204" s="153"/>
      <c r="U204" s="153"/>
      <c r="V204" s="153"/>
      <c r="W204" s="153"/>
      <c r="X204" s="153"/>
      <c r="Y204" s="153"/>
      <c r="Z204" s="153"/>
      <c r="AA204" s="153"/>
      <c r="AB204" s="153"/>
    </row>
    <row r="205" spans="1:28" ht="15">
      <c r="A205" s="153"/>
      <c r="B205" s="153"/>
      <c r="C205" s="153"/>
      <c r="D205" s="153"/>
      <c r="E205" s="153"/>
      <c r="F205" s="153"/>
      <c r="G205" s="153"/>
      <c r="H205" s="153"/>
      <c r="I205" s="153"/>
      <c r="J205" s="153"/>
      <c r="K205" s="153"/>
      <c r="L205" s="153"/>
      <c r="M205" s="153"/>
      <c r="N205" s="153"/>
      <c r="O205" s="153"/>
      <c r="P205" s="153"/>
      <c r="Q205" s="153"/>
      <c r="R205" s="153"/>
      <c r="S205" s="153"/>
      <c r="T205" s="153"/>
      <c r="U205" s="153"/>
      <c r="V205" s="153"/>
      <c r="W205" s="153"/>
      <c r="X205" s="153"/>
      <c r="Y205" s="153"/>
      <c r="Z205" s="153"/>
      <c r="AA205" s="153"/>
      <c r="AB205" s="153"/>
    </row>
    <row r="206" spans="1:28" ht="15">
      <c r="A206" s="153"/>
      <c r="B206" s="153"/>
      <c r="C206" s="153"/>
      <c r="D206" s="153"/>
      <c r="E206" s="153"/>
      <c r="F206" s="153"/>
      <c r="G206" s="153"/>
      <c r="H206" s="153"/>
      <c r="I206" s="153"/>
      <c r="J206" s="153"/>
      <c r="K206" s="153"/>
      <c r="L206" s="153"/>
      <c r="M206" s="153"/>
      <c r="N206" s="153"/>
      <c r="O206" s="153"/>
      <c r="P206" s="153"/>
      <c r="Q206" s="153"/>
      <c r="R206" s="153"/>
      <c r="S206" s="153"/>
      <c r="T206" s="153"/>
      <c r="U206" s="153"/>
      <c r="V206" s="153"/>
      <c r="W206" s="153"/>
      <c r="X206" s="153"/>
      <c r="Y206" s="153"/>
      <c r="Z206" s="153"/>
      <c r="AA206" s="153"/>
      <c r="AB206" s="153"/>
    </row>
    <row r="207" spans="1:28" ht="15">
      <c r="A207" s="153"/>
      <c r="B207" s="153"/>
      <c r="C207" s="153"/>
      <c r="D207" s="153"/>
      <c r="E207" s="153"/>
      <c r="F207" s="153"/>
      <c r="G207" s="153"/>
      <c r="H207" s="153"/>
      <c r="I207" s="153"/>
      <c r="J207" s="153"/>
      <c r="K207" s="153"/>
      <c r="L207" s="153"/>
      <c r="M207" s="153"/>
      <c r="N207" s="153"/>
      <c r="O207" s="153"/>
      <c r="P207" s="153"/>
      <c r="Q207" s="153"/>
      <c r="R207" s="153"/>
      <c r="S207" s="153"/>
      <c r="T207" s="153"/>
      <c r="U207" s="153"/>
      <c r="V207" s="153"/>
      <c r="W207" s="153"/>
      <c r="X207" s="153"/>
      <c r="Y207" s="153"/>
      <c r="Z207" s="153"/>
      <c r="AA207" s="153"/>
      <c r="AB207" s="153"/>
    </row>
    <row r="208" spans="1:28" ht="15">
      <c r="A208" s="153"/>
      <c r="B208" s="153"/>
      <c r="C208" s="153"/>
      <c r="D208" s="153"/>
      <c r="E208" s="153"/>
      <c r="F208" s="153"/>
      <c r="G208" s="153"/>
      <c r="H208" s="153"/>
      <c r="I208" s="153"/>
      <c r="J208" s="153"/>
      <c r="K208" s="153"/>
      <c r="L208" s="153"/>
      <c r="M208" s="153"/>
      <c r="N208" s="153"/>
      <c r="O208" s="153"/>
      <c r="P208" s="153"/>
      <c r="Q208" s="153"/>
      <c r="R208" s="153"/>
      <c r="S208" s="153"/>
      <c r="T208" s="153"/>
      <c r="U208" s="153"/>
      <c r="V208" s="153"/>
      <c r="W208" s="153"/>
      <c r="X208" s="153"/>
      <c r="Y208" s="153"/>
      <c r="Z208" s="153"/>
      <c r="AA208" s="153"/>
      <c r="AB208" s="153"/>
    </row>
    <row r="209" spans="1:28" ht="15">
      <c r="A209" s="153"/>
      <c r="B209" s="153"/>
      <c r="C209" s="153"/>
      <c r="D209" s="153"/>
      <c r="E209" s="153"/>
      <c r="F209" s="153"/>
      <c r="G209" s="153"/>
      <c r="H209" s="153"/>
      <c r="I209" s="153"/>
      <c r="J209" s="153"/>
      <c r="K209" s="153"/>
      <c r="L209" s="153"/>
      <c r="M209" s="153"/>
      <c r="N209" s="153"/>
      <c r="O209" s="153"/>
      <c r="P209" s="153"/>
      <c r="Q209" s="153"/>
      <c r="R209" s="153"/>
      <c r="S209" s="153"/>
      <c r="T209" s="153"/>
      <c r="U209" s="153"/>
      <c r="V209" s="153"/>
      <c r="W209" s="153"/>
      <c r="X209" s="153"/>
      <c r="Y209" s="153"/>
      <c r="Z209" s="153"/>
      <c r="AA209" s="153"/>
      <c r="AB209" s="153"/>
    </row>
    <row r="210" spans="1:28" ht="15">
      <c r="A210" s="153"/>
      <c r="B210" s="153"/>
      <c r="C210" s="153"/>
      <c r="D210" s="153"/>
      <c r="E210" s="153"/>
      <c r="F210" s="153"/>
      <c r="G210" s="153"/>
      <c r="H210" s="153"/>
      <c r="I210" s="153"/>
      <c r="J210" s="153"/>
      <c r="K210" s="153"/>
      <c r="L210" s="153"/>
      <c r="M210" s="153"/>
      <c r="N210" s="153"/>
      <c r="O210" s="153"/>
      <c r="P210" s="153"/>
      <c r="Q210" s="153"/>
      <c r="R210" s="153"/>
      <c r="S210" s="153"/>
      <c r="T210" s="153"/>
      <c r="U210" s="153"/>
      <c r="V210" s="153"/>
      <c r="W210" s="153"/>
      <c r="X210" s="153"/>
      <c r="Y210" s="153"/>
      <c r="Z210" s="153"/>
      <c r="AA210" s="153"/>
      <c r="AB210" s="153"/>
    </row>
    <row r="211" spans="1:28" ht="15">
      <c r="A211" s="153"/>
      <c r="B211" s="153"/>
      <c r="C211" s="153"/>
      <c r="D211" s="153"/>
      <c r="E211" s="153"/>
      <c r="F211" s="153"/>
      <c r="G211" s="153"/>
      <c r="H211" s="153"/>
      <c r="I211" s="153"/>
      <c r="J211" s="153"/>
      <c r="K211" s="153"/>
      <c r="L211" s="153"/>
      <c r="M211" s="153"/>
      <c r="N211" s="153"/>
      <c r="O211" s="153"/>
      <c r="P211" s="153"/>
      <c r="Q211" s="153"/>
      <c r="R211" s="153"/>
      <c r="S211" s="153"/>
      <c r="T211" s="153"/>
      <c r="U211" s="153"/>
      <c r="V211" s="153"/>
      <c r="W211" s="153"/>
      <c r="X211" s="153"/>
      <c r="Y211" s="153"/>
      <c r="Z211" s="153"/>
      <c r="AA211" s="153"/>
      <c r="AB211" s="153"/>
    </row>
    <row r="212" spans="1:28" ht="15">
      <c r="A212" s="153"/>
      <c r="B212" s="153"/>
      <c r="C212" s="153"/>
      <c r="D212" s="153"/>
      <c r="E212" s="153"/>
      <c r="F212" s="153"/>
      <c r="G212" s="153"/>
      <c r="H212" s="153"/>
      <c r="I212" s="153"/>
      <c r="J212" s="153"/>
      <c r="K212" s="153"/>
      <c r="L212" s="153"/>
      <c r="M212" s="153"/>
      <c r="N212" s="153"/>
      <c r="O212" s="153"/>
      <c r="P212" s="153"/>
      <c r="Q212" s="153"/>
      <c r="R212" s="153"/>
      <c r="S212" s="153"/>
      <c r="T212" s="153"/>
      <c r="U212" s="153"/>
      <c r="V212" s="153"/>
      <c r="W212" s="153"/>
      <c r="X212" s="153"/>
      <c r="Y212" s="153"/>
      <c r="Z212" s="153"/>
      <c r="AA212" s="153"/>
      <c r="AB212" s="153"/>
    </row>
    <row r="213" spans="1:28" ht="15">
      <c r="A213" s="153"/>
      <c r="B213" s="153"/>
      <c r="C213" s="153"/>
      <c r="D213" s="153"/>
      <c r="E213" s="153"/>
      <c r="F213" s="153"/>
      <c r="G213" s="153"/>
      <c r="H213" s="153"/>
      <c r="I213" s="153"/>
      <c r="J213" s="153"/>
      <c r="K213" s="153"/>
      <c r="L213" s="153"/>
      <c r="M213" s="153"/>
      <c r="N213" s="153"/>
      <c r="O213" s="153"/>
      <c r="P213" s="153"/>
      <c r="Q213" s="153"/>
      <c r="R213" s="153"/>
      <c r="S213" s="153"/>
      <c r="T213" s="153"/>
      <c r="U213" s="153"/>
      <c r="V213" s="153"/>
      <c r="W213" s="153"/>
      <c r="X213" s="153"/>
      <c r="Y213" s="153"/>
      <c r="Z213" s="153"/>
      <c r="AA213" s="153"/>
      <c r="AB213" s="153"/>
    </row>
    <row r="214" spans="1:28" ht="15">
      <c r="A214" s="153"/>
      <c r="B214" s="153"/>
      <c r="C214" s="153"/>
      <c r="D214" s="153"/>
      <c r="E214" s="153"/>
      <c r="F214" s="153"/>
      <c r="G214" s="153"/>
      <c r="H214" s="153"/>
      <c r="I214" s="153"/>
      <c r="J214" s="153"/>
      <c r="K214" s="153"/>
      <c r="L214" s="153"/>
      <c r="M214" s="153"/>
      <c r="N214" s="153"/>
      <c r="O214" s="153"/>
      <c r="P214" s="153"/>
      <c r="Q214" s="153"/>
      <c r="R214" s="153"/>
      <c r="S214" s="153"/>
      <c r="T214" s="153"/>
      <c r="U214" s="153"/>
      <c r="V214" s="153"/>
      <c r="W214" s="153"/>
      <c r="X214" s="153"/>
      <c r="Y214" s="153"/>
      <c r="Z214" s="153"/>
      <c r="AA214" s="153"/>
      <c r="AB214" s="153"/>
    </row>
    <row r="215" spans="1:28" ht="15">
      <c r="A215" s="153"/>
      <c r="B215" s="153"/>
      <c r="C215" s="153"/>
      <c r="D215" s="153"/>
      <c r="E215" s="153"/>
      <c r="F215" s="153"/>
      <c r="G215" s="153"/>
      <c r="H215" s="153"/>
      <c r="I215" s="153"/>
      <c r="J215" s="153"/>
      <c r="K215" s="153"/>
      <c r="L215" s="153"/>
      <c r="M215" s="153"/>
      <c r="N215" s="153"/>
      <c r="O215" s="153"/>
      <c r="P215" s="153"/>
      <c r="Q215" s="153"/>
      <c r="R215" s="153"/>
      <c r="S215" s="153"/>
      <c r="T215" s="153"/>
      <c r="U215" s="153"/>
      <c r="V215" s="153"/>
      <c r="W215" s="153"/>
      <c r="X215" s="153"/>
      <c r="Y215" s="153"/>
      <c r="Z215" s="153"/>
      <c r="AA215" s="153"/>
      <c r="AB215" s="153"/>
    </row>
    <row r="216" spans="1:28" ht="15">
      <c r="A216" s="153"/>
      <c r="B216" s="153"/>
      <c r="C216" s="153"/>
      <c r="D216" s="153"/>
      <c r="E216" s="153"/>
      <c r="F216" s="153"/>
      <c r="G216" s="153"/>
      <c r="H216" s="153"/>
      <c r="I216" s="153"/>
      <c r="J216" s="153"/>
      <c r="K216" s="153"/>
      <c r="L216" s="153"/>
      <c r="M216" s="153"/>
      <c r="N216" s="153"/>
      <c r="O216" s="153"/>
      <c r="P216" s="153"/>
      <c r="Q216" s="153"/>
      <c r="R216" s="153"/>
      <c r="S216" s="153"/>
      <c r="T216" s="153"/>
      <c r="U216" s="153"/>
      <c r="V216" s="153"/>
      <c r="W216" s="153"/>
      <c r="X216" s="153"/>
      <c r="Y216" s="153"/>
      <c r="Z216" s="153"/>
      <c r="AA216" s="153"/>
      <c r="AB216" s="153"/>
    </row>
    <row r="217" spans="1:28" ht="15">
      <c r="A217" s="153"/>
      <c r="B217" s="153"/>
      <c r="C217" s="153"/>
      <c r="D217" s="153"/>
      <c r="E217" s="153"/>
      <c r="F217" s="153"/>
      <c r="G217" s="153"/>
      <c r="H217" s="153"/>
      <c r="I217" s="153"/>
      <c r="J217" s="153"/>
      <c r="K217" s="153"/>
      <c r="L217" s="153"/>
      <c r="M217" s="153"/>
      <c r="N217" s="153"/>
      <c r="O217" s="153"/>
      <c r="P217" s="153"/>
      <c r="Q217" s="153"/>
      <c r="R217" s="153"/>
      <c r="S217" s="153"/>
      <c r="T217" s="153"/>
      <c r="U217" s="153"/>
      <c r="V217" s="153"/>
      <c r="W217" s="153"/>
      <c r="X217" s="153"/>
      <c r="Y217" s="153"/>
      <c r="Z217" s="153"/>
      <c r="AA217" s="153"/>
      <c r="AB217" s="153"/>
    </row>
    <row r="218" spans="1:28" ht="15">
      <c r="A218" s="153"/>
      <c r="B218" s="153"/>
      <c r="C218" s="153"/>
      <c r="D218" s="153"/>
      <c r="E218" s="153"/>
      <c r="F218" s="153"/>
      <c r="G218" s="153"/>
      <c r="H218" s="153"/>
      <c r="I218" s="153"/>
      <c r="J218" s="153"/>
      <c r="K218" s="153"/>
      <c r="L218" s="153"/>
      <c r="M218" s="153"/>
      <c r="N218" s="153"/>
      <c r="O218" s="153"/>
      <c r="P218" s="153"/>
      <c r="Q218" s="153"/>
      <c r="R218" s="153"/>
      <c r="S218" s="153"/>
      <c r="T218" s="153"/>
      <c r="U218" s="153"/>
      <c r="V218" s="153"/>
      <c r="W218" s="153"/>
      <c r="X218" s="153"/>
      <c r="Y218" s="153"/>
      <c r="Z218" s="153"/>
      <c r="AA218" s="153"/>
      <c r="AB218" s="153"/>
    </row>
    <row r="219" spans="1:28" ht="15">
      <c r="A219" s="153"/>
      <c r="B219" s="153"/>
      <c r="C219" s="153"/>
      <c r="D219" s="153"/>
      <c r="E219" s="153"/>
      <c r="F219" s="153"/>
      <c r="G219" s="153"/>
      <c r="H219" s="153"/>
      <c r="I219" s="153"/>
      <c r="J219" s="153"/>
      <c r="K219" s="153"/>
      <c r="L219" s="153"/>
      <c r="M219" s="153"/>
      <c r="N219" s="153"/>
      <c r="O219" s="153"/>
      <c r="P219" s="153"/>
      <c r="Q219" s="153"/>
      <c r="R219" s="153"/>
      <c r="S219" s="153"/>
      <c r="T219" s="153"/>
      <c r="U219" s="153"/>
      <c r="V219" s="153"/>
      <c r="W219" s="153"/>
      <c r="X219" s="153"/>
      <c r="Y219" s="153"/>
      <c r="Z219" s="153"/>
      <c r="AA219" s="153"/>
      <c r="AB219" s="153"/>
    </row>
    <row r="220" spans="1:28" ht="15">
      <c r="A220" s="153"/>
      <c r="B220" s="153"/>
      <c r="C220" s="153"/>
      <c r="D220" s="153"/>
      <c r="E220" s="153"/>
      <c r="F220" s="153"/>
      <c r="G220" s="153"/>
      <c r="H220" s="153"/>
      <c r="I220" s="153"/>
      <c r="J220" s="153"/>
      <c r="K220" s="153"/>
      <c r="L220" s="153"/>
      <c r="M220" s="153"/>
      <c r="N220" s="153"/>
      <c r="O220" s="153"/>
      <c r="P220" s="153"/>
      <c r="Q220" s="153"/>
      <c r="R220" s="153"/>
      <c r="S220" s="153"/>
      <c r="T220" s="153"/>
      <c r="U220" s="153"/>
      <c r="V220" s="153"/>
      <c r="W220" s="153"/>
      <c r="X220" s="153"/>
      <c r="Y220" s="153"/>
      <c r="Z220" s="153"/>
      <c r="AA220" s="153"/>
      <c r="AB220" s="153"/>
    </row>
    <row r="221" spans="1:28" ht="15">
      <c r="A221" s="153"/>
      <c r="B221" s="153"/>
      <c r="C221" s="153"/>
      <c r="D221" s="153"/>
      <c r="E221" s="153"/>
      <c r="F221" s="153"/>
      <c r="G221" s="153"/>
      <c r="H221" s="153"/>
      <c r="I221" s="153"/>
      <c r="J221" s="153"/>
      <c r="K221" s="153"/>
      <c r="L221" s="153"/>
      <c r="M221" s="153"/>
      <c r="N221" s="153"/>
      <c r="O221" s="153"/>
      <c r="P221" s="153"/>
      <c r="Q221" s="153"/>
      <c r="R221" s="153"/>
      <c r="S221" s="153"/>
      <c r="T221" s="153"/>
      <c r="U221" s="153"/>
      <c r="V221" s="153"/>
      <c r="W221" s="153"/>
      <c r="X221" s="153"/>
      <c r="Y221" s="153"/>
      <c r="Z221" s="153"/>
      <c r="AA221" s="153"/>
      <c r="AB221" s="153"/>
    </row>
    <row r="222" spans="1:28" ht="15">
      <c r="A222" s="153"/>
      <c r="B222" s="153"/>
      <c r="C222" s="153"/>
      <c r="D222" s="153"/>
      <c r="E222" s="153"/>
      <c r="F222" s="153"/>
      <c r="G222" s="153"/>
      <c r="H222" s="153"/>
      <c r="I222" s="153"/>
      <c r="J222" s="153"/>
      <c r="K222" s="153"/>
      <c r="L222" s="153"/>
      <c r="M222" s="153"/>
      <c r="N222" s="153"/>
      <c r="O222" s="153"/>
      <c r="P222" s="153"/>
      <c r="Q222" s="153"/>
      <c r="R222" s="153"/>
      <c r="S222" s="153"/>
      <c r="T222" s="153"/>
      <c r="U222" s="153"/>
      <c r="V222" s="153"/>
      <c r="W222" s="153"/>
      <c r="X222" s="153"/>
      <c r="Y222" s="153"/>
      <c r="Z222" s="153"/>
      <c r="AA222" s="153"/>
      <c r="AB222" s="153"/>
    </row>
    <row r="223" spans="1:28" ht="15">
      <c r="A223" s="153"/>
      <c r="B223" s="153"/>
      <c r="C223" s="153"/>
      <c r="D223" s="153"/>
      <c r="E223" s="153"/>
      <c r="F223" s="153"/>
      <c r="G223" s="153"/>
      <c r="H223" s="153"/>
      <c r="I223" s="153"/>
      <c r="J223" s="153"/>
      <c r="K223" s="153"/>
      <c r="L223" s="153"/>
      <c r="M223" s="153"/>
      <c r="N223" s="153"/>
      <c r="O223" s="153"/>
      <c r="P223" s="153"/>
      <c r="Q223" s="153"/>
      <c r="R223" s="153"/>
      <c r="S223" s="153"/>
      <c r="T223" s="153"/>
      <c r="U223" s="153"/>
      <c r="V223" s="153"/>
      <c r="W223" s="153"/>
      <c r="X223" s="153"/>
      <c r="Y223" s="153"/>
      <c r="Z223" s="153"/>
      <c r="AA223" s="153"/>
      <c r="AB223" s="153"/>
    </row>
    <row r="224" spans="1:28" ht="15">
      <c r="A224" s="153"/>
      <c r="B224" s="153"/>
      <c r="C224" s="153"/>
      <c r="D224" s="153"/>
      <c r="E224" s="153"/>
      <c r="F224" s="153"/>
      <c r="G224" s="153"/>
      <c r="H224" s="153"/>
      <c r="I224" s="153"/>
      <c r="J224" s="153"/>
      <c r="K224" s="153"/>
      <c r="L224" s="153"/>
      <c r="M224" s="153"/>
      <c r="N224" s="153"/>
      <c r="O224" s="153"/>
      <c r="P224" s="153"/>
      <c r="Q224" s="153"/>
      <c r="R224" s="153"/>
      <c r="S224" s="153"/>
      <c r="T224" s="153"/>
      <c r="U224" s="153"/>
      <c r="V224" s="153"/>
      <c r="W224" s="153"/>
      <c r="X224" s="153"/>
      <c r="Y224" s="153"/>
      <c r="Z224" s="153"/>
      <c r="AA224" s="153"/>
      <c r="AB224" s="153"/>
    </row>
    <row r="225" spans="1:28" ht="15">
      <c r="A225" s="153"/>
      <c r="B225" s="153"/>
      <c r="C225" s="153"/>
      <c r="D225" s="153"/>
      <c r="E225" s="153"/>
      <c r="F225" s="153"/>
      <c r="G225" s="153"/>
      <c r="H225" s="153"/>
      <c r="I225" s="153"/>
      <c r="J225" s="153"/>
      <c r="K225" s="153"/>
      <c r="L225" s="153"/>
      <c r="M225" s="153"/>
      <c r="N225" s="153"/>
      <c r="O225" s="153"/>
      <c r="P225" s="153"/>
      <c r="Q225" s="153"/>
      <c r="R225" s="153"/>
      <c r="S225" s="153"/>
      <c r="T225" s="153"/>
      <c r="U225" s="153"/>
      <c r="V225" s="153"/>
      <c r="W225" s="153"/>
      <c r="X225" s="153"/>
      <c r="Y225" s="153"/>
      <c r="Z225" s="153"/>
      <c r="AA225" s="153"/>
      <c r="AB225" s="153"/>
    </row>
    <row r="226" spans="1:28" ht="15">
      <c r="A226" s="153"/>
      <c r="B226" s="153"/>
      <c r="C226" s="153"/>
      <c r="D226" s="153"/>
      <c r="E226" s="153"/>
      <c r="F226" s="153"/>
      <c r="G226" s="153"/>
      <c r="H226" s="153"/>
      <c r="I226" s="153"/>
      <c r="J226" s="153"/>
      <c r="K226" s="153"/>
      <c r="L226" s="153"/>
      <c r="M226" s="153"/>
      <c r="N226" s="153"/>
      <c r="O226" s="153"/>
      <c r="P226" s="153"/>
      <c r="Q226" s="153"/>
      <c r="R226" s="153"/>
      <c r="S226" s="153"/>
      <c r="T226" s="153"/>
      <c r="U226" s="153"/>
      <c r="V226" s="153"/>
      <c r="W226" s="153"/>
      <c r="X226" s="153"/>
      <c r="Y226" s="153"/>
      <c r="Z226" s="153"/>
      <c r="AA226" s="153"/>
      <c r="AB226" s="153"/>
    </row>
    <row r="227" spans="1:28" ht="15">
      <c r="A227" s="153"/>
      <c r="B227" s="153"/>
      <c r="C227" s="153"/>
      <c r="D227" s="153"/>
      <c r="E227" s="153"/>
      <c r="F227" s="153"/>
      <c r="G227" s="153"/>
      <c r="H227" s="153"/>
      <c r="I227" s="153"/>
      <c r="J227" s="153"/>
      <c r="K227" s="153"/>
      <c r="L227" s="153"/>
      <c r="M227" s="153"/>
      <c r="N227" s="153"/>
      <c r="O227" s="153"/>
      <c r="P227" s="153"/>
      <c r="Q227" s="153"/>
      <c r="R227" s="153"/>
      <c r="S227" s="153"/>
      <c r="T227" s="153"/>
      <c r="U227" s="153"/>
      <c r="V227" s="153"/>
      <c r="W227" s="153"/>
      <c r="X227" s="153"/>
      <c r="Y227" s="153"/>
      <c r="Z227" s="153"/>
      <c r="AA227" s="153"/>
      <c r="AB227" s="153"/>
    </row>
    <row r="228" spans="1:28" ht="15">
      <c r="A228" s="153"/>
      <c r="B228" s="153"/>
      <c r="C228" s="153"/>
      <c r="D228" s="153"/>
      <c r="E228" s="153"/>
      <c r="F228" s="153"/>
      <c r="G228" s="153"/>
      <c r="H228" s="153"/>
      <c r="I228" s="153"/>
      <c r="J228" s="153"/>
      <c r="K228" s="153"/>
      <c r="L228" s="153"/>
      <c r="M228" s="153"/>
      <c r="N228" s="153"/>
      <c r="O228" s="153"/>
      <c r="P228" s="153"/>
      <c r="Q228" s="153"/>
      <c r="R228" s="153"/>
      <c r="S228" s="153"/>
      <c r="T228" s="153"/>
      <c r="U228" s="153"/>
      <c r="V228" s="153"/>
      <c r="W228" s="153"/>
      <c r="X228" s="153"/>
      <c r="Y228" s="153"/>
      <c r="Z228" s="153"/>
      <c r="AA228" s="153"/>
      <c r="AB228" s="153"/>
    </row>
    <row r="229" spans="1:28" ht="15">
      <c r="A229" s="153"/>
      <c r="B229" s="153"/>
      <c r="C229" s="153"/>
      <c r="D229" s="153"/>
      <c r="E229" s="153"/>
      <c r="F229" s="153"/>
      <c r="G229" s="153"/>
      <c r="H229" s="153"/>
      <c r="I229" s="153"/>
      <c r="J229" s="153"/>
      <c r="K229" s="153"/>
      <c r="L229" s="153"/>
      <c r="M229" s="153"/>
      <c r="N229" s="153"/>
      <c r="O229" s="153"/>
      <c r="P229" s="153"/>
      <c r="Q229" s="153"/>
      <c r="R229" s="153"/>
      <c r="S229" s="153"/>
      <c r="T229" s="153"/>
      <c r="U229" s="153"/>
      <c r="V229" s="153"/>
      <c r="W229" s="153"/>
      <c r="X229" s="153"/>
      <c r="Y229" s="153"/>
      <c r="Z229" s="153"/>
      <c r="AA229" s="153"/>
      <c r="AB229" s="153"/>
    </row>
    <row r="230" spans="1:28" ht="15">
      <c r="A230" s="153"/>
      <c r="B230" s="153"/>
      <c r="C230" s="153"/>
      <c r="D230" s="153"/>
      <c r="E230" s="153"/>
      <c r="F230" s="153"/>
      <c r="G230" s="153"/>
      <c r="H230" s="153"/>
      <c r="I230" s="153"/>
      <c r="J230" s="153"/>
      <c r="K230" s="153"/>
      <c r="L230" s="153"/>
      <c r="M230" s="153"/>
      <c r="N230" s="153"/>
      <c r="O230" s="153"/>
      <c r="P230" s="153"/>
      <c r="Q230" s="153"/>
      <c r="R230" s="153"/>
      <c r="S230" s="153"/>
      <c r="T230" s="153"/>
      <c r="U230" s="153"/>
      <c r="V230" s="153"/>
      <c r="W230" s="153"/>
      <c r="X230" s="153"/>
      <c r="Y230" s="153"/>
      <c r="Z230" s="153"/>
      <c r="AA230" s="153"/>
      <c r="AB230" s="153"/>
    </row>
    <row r="231" spans="1:28" ht="15">
      <c r="A231" s="153"/>
      <c r="B231" s="153"/>
      <c r="C231" s="153"/>
      <c r="D231" s="153"/>
      <c r="E231" s="153"/>
      <c r="F231" s="153"/>
      <c r="G231" s="153"/>
      <c r="H231" s="153"/>
      <c r="I231" s="153"/>
      <c r="J231" s="153"/>
      <c r="K231" s="153"/>
      <c r="L231" s="153"/>
      <c r="M231" s="153"/>
      <c r="N231" s="153"/>
      <c r="O231" s="153"/>
      <c r="P231" s="153"/>
      <c r="Q231" s="153"/>
      <c r="R231" s="153"/>
      <c r="S231" s="153"/>
      <c r="T231" s="153"/>
      <c r="U231" s="153"/>
      <c r="V231" s="153"/>
      <c r="W231" s="153"/>
      <c r="X231" s="153"/>
      <c r="Y231" s="153"/>
      <c r="Z231" s="153"/>
      <c r="AA231" s="153"/>
      <c r="AB231" s="153"/>
    </row>
    <row r="232" spans="1:28" ht="15">
      <c r="A232" s="153"/>
      <c r="B232" s="153"/>
      <c r="C232" s="153"/>
      <c r="D232" s="153"/>
      <c r="E232" s="153"/>
      <c r="F232" s="153"/>
      <c r="G232" s="153"/>
      <c r="H232" s="153"/>
      <c r="I232" s="153"/>
      <c r="J232" s="153"/>
      <c r="K232" s="153"/>
      <c r="L232" s="153"/>
      <c r="M232" s="153"/>
      <c r="N232" s="153"/>
      <c r="O232" s="153"/>
      <c r="P232" s="153"/>
      <c r="Q232" s="153"/>
      <c r="R232" s="153"/>
      <c r="S232" s="153"/>
      <c r="T232" s="153"/>
      <c r="U232" s="153"/>
      <c r="V232" s="153"/>
      <c r="W232" s="153"/>
      <c r="X232" s="153"/>
      <c r="Y232" s="153"/>
      <c r="Z232" s="153"/>
      <c r="AA232" s="153"/>
      <c r="AB232" s="153"/>
    </row>
    <row r="233" spans="1:28" ht="15">
      <c r="A233" s="153"/>
      <c r="B233" s="153"/>
      <c r="C233" s="153"/>
      <c r="D233" s="153"/>
      <c r="E233" s="153"/>
      <c r="F233" s="153"/>
      <c r="G233" s="153"/>
      <c r="H233" s="153"/>
      <c r="I233" s="153"/>
      <c r="J233" s="153"/>
      <c r="K233" s="153"/>
      <c r="L233" s="153"/>
      <c r="M233" s="153"/>
      <c r="N233" s="153"/>
      <c r="O233" s="153"/>
      <c r="P233" s="153"/>
      <c r="Q233" s="153"/>
      <c r="R233" s="153"/>
      <c r="S233" s="153"/>
      <c r="T233" s="153"/>
      <c r="U233" s="153"/>
      <c r="V233" s="153"/>
      <c r="W233" s="153"/>
      <c r="X233" s="153"/>
      <c r="Y233" s="153"/>
      <c r="Z233" s="153"/>
      <c r="AA233" s="153"/>
      <c r="AB233" s="153"/>
    </row>
    <row r="234" spans="1:28" ht="15">
      <c r="A234" s="153"/>
      <c r="B234" s="153"/>
      <c r="C234" s="153"/>
      <c r="D234" s="153"/>
      <c r="E234" s="153"/>
      <c r="F234" s="153"/>
      <c r="G234" s="153"/>
      <c r="H234" s="153"/>
      <c r="I234" s="153"/>
      <c r="J234" s="153"/>
      <c r="K234" s="153"/>
      <c r="L234" s="153"/>
      <c r="M234" s="153"/>
      <c r="N234" s="153"/>
      <c r="O234" s="153"/>
      <c r="P234" s="153"/>
      <c r="Q234" s="153"/>
      <c r="R234" s="153"/>
      <c r="S234" s="153"/>
      <c r="T234" s="153"/>
      <c r="U234" s="153"/>
      <c r="V234" s="153"/>
      <c r="W234" s="153"/>
      <c r="X234" s="153"/>
      <c r="Y234" s="153"/>
      <c r="Z234" s="153"/>
      <c r="AA234" s="153"/>
      <c r="AB234" s="153"/>
    </row>
    <row r="235" spans="1:28" ht="15">
      <c r="A235" s="153"/>
      <c r="B235" s="153"/>
      <c r="C235" s="153"/>
      <c r="D235" s="153"/>
      <c r="E235" s="153"/>
      <c r="F235" s="153"/>
      <c r="G235" s="153"/>
      <c r="H235" s="153"/>
      <c r="I235" s="153"/>
      <c r="J235" s="153"/>
      <c r="K235" s="153"/>
      <c r="L235" s="153"/>
      <c r="M235" s="153"/>
      <c r="N235" s="153"/>
      <c r="O235" s="153"/>
      <c r="P235" s="153"/>
      <c r="Q235" s="153"/>
      <c r="R235" s="153"/>
      <c r="S235" s="153"/>
      <c r="T235" s="153"/>
      <c r="U235" s="153"/>
      <c r="V235" s="153"/>
      <c r="W235" s="153"/>
      <c r="X235" s="153"/>
      <c r="Y235" s="153"/>
      <c r="Z235" s="153"/>
      <c r="AA235" s="153"/>
      <c r="AB235" s="153"/>
    </row>
    <row r="236" spans="1:28" ht="15">
      <c r="A236" s="153"/>
      <c r="B236" s="153"/>
      <c r="C236" s="153"/>
      <c r="D236" s="153"/>
      <c r="E236" s="153"/>
      <c r="F236" s="153"/>
      <c r="G236" s="153"/>
      <c r="H236" s="153"/>
      <c r="I236" s="153"/>
      <c r="J236" s="153"/>
      <c r="K236" s="153"/>
      <c r="L236" s="153"/>
      <c r="M236" s="153"/>
      <c r="N236" s="153"/>
      <c r="O236" s="153"/>
      <c r="P236" s="153"/>
      <c r="Q236" s="153"/>
      <c r="R236" s="153"/>
      <c r="S236" s="153"/>
      <c r="T236" s="153"/>
      <c r="U236" s="153"/>
      <c r="V236" s="153"/>
      <c r="W236" s="153"/>
      <c r="X236" s="153"/>
      <c r="Y236" s="153"/>
      <c r="Z236" s="153"/>
      <c r="AA236" s="153"/>
      <c r="AB236" s="153"/>
    </row>
    <row r="237" spans="1:28" ht="15">
      <c r="A237" s="153"/>
      <c r="B237" s="153"/>
      <c r="C237" s="153"/>
      <c r="D237" s="153"/>
      <c r="E237" s="153"/>
      <c r="F237" s="153"/>
      <c r="G237" s="153"/>
      <c r="H237" s="153"/>
      <c r="I237" s="153"/>
      <c r="J237" s="153"/>
      <c r="K237" s="153"/>
      <c r="L237" s="153"/>
      <c r="M237" s="153"/>
      <c r="N237" s="153"/>
      <c r="O237" s="153"/>
      <c r="P237" s="153"/>
      <c r="Q237" s="153"/>
      <c r="R237" s="153"/>
      <c r="S237" s="153"/>
      <c r="T237" s="153"/>
      <c r="U237" s="153"/>
      <c r="V237" s="153"/>
      <c r="W237" s="153"/>
      <c r="X237" s="153"/>
      <c r="Y237" s="153"/>
      <c r="Z237" s="153"/>
      <c r="AA237" s="153"/>
      <c r="AB237" s="153"/>
    </row>
    <row r="238" spans="1:28" ht="15">
      <c r="A238" s="153"/>
      <c r="B238" s="153"/>
      <c r="C238" s="153"/>
      <c r="D238" s="153"/>
      <c r="E238" s="153"/>
      <c r="F238" s="153"/>
      <c r="G238" s="153"/>
      <c r="H238" s="153"/>
      <c r="I238" s="153"/>
      <c r="J238" s="153"/>
      <c r="K238" s="153"/>
      <c r="L238" s="153"/>
      <c r="M238" s="153"/>
      <c r="N238" s="153"/>
      <c r="O238" s="153"/>
      <c r="P238" s="153"/>
      <c r="Q238" s="153"/>
      <c r="R238" s="153"/>
      <c r="S238" s="153"/>
      <c r="T238" s="153"/>
      <c r="U238" s="153"/>
      <c r="V238" s="153"/>
      <c r="W238" s="153"/>
      <c r="X238" s="153"/>
      <c r="Y238" s="153"/>
      <c r="Z238" s="153"/>
      <c r="AA238" s="153"/>
      <c r="AB238" s="153"/>
    </row>
    <row r="239" spans="1:28" ht="15">
      <c r="A239" s="153"/>
      <c r="B239" s="153"/>
      <c r="C239" s="153"/>
      <c r="D239" s="153"/>
      <c r="E239" s="153"/>
      <c r="F239" s="153"/>
      <c r="G239" s="153"/>
      <c r="H239" s="153"/>
      <c r="I239" s="153"/>
      <c r="J239" s="153"/>
      <c r="K239" s="153"/>
      <c r="L239" s="153"/>
      <c r="M239" s="153"/>
      <c r="N239" s="153"/>
      <c r="O239" s="153"/>
      <c r="P239" s="153"/>
      <c r="Q239" s="153"/>
      <c r="R239" s="153"/>
      <c r="S239" s="153"/>
      <c r="T239" s="153"/>
      <c r="U239" s="153"/>
      <c r="V239" s="153"/>
      <c r="W239" s="153"/>
      <c r="X239" s="153"/>
      <c r="Y239" s="153"/>
      <c r="Z239" s="153"/>
      <c r="AA239" s="153"/>
      <c r="AB239" s="153"/>
    </row>
    <row r="240" spans="1:28" ht="15">
      <c r="A240" s="153"/>
      <c r="B240" s="153"/>
      <c r="C240" s="153"/>
      <c r="D240" s="153"/>
      <c r="E240" s="153"/>
      <c r="F240" s="153"/>
      <c r="G240" s="153"/>
      <c r="H240" s="153"/>
      <c r="I240" s="153"/>
      <c r="J240" s="153"/>
      <c r="K240" s="153"/>
      <c r="L240" s="153"/>
      <c r="M240" s="153"/>
      <c r="N240" s="153"/>
      <c r="O240" s="153"/>
      <c r="P240" s="153"/>
      <c r="Q240" s="153"/>
      <c r="R240" s="153"/>
      <c r="S240" s="153"/>
      <c r="T240" s="153"/>
      <c r="U240" s="153"/>
      <c r="V240" s="153"/>
      <c r="W240" s="153"/>
      <c r="X240" s="153"/>
      <c r="Y240" s="153"/>
      <c r="Z240" s="153"/>
      <c r="AA240" s="153"/>
      <c r="AB240" s="153"/>
    </row>
    <row r="241" spans="1:28" ht="15">
      <c r="A241" s="153"/>
      <c r="B241" s="153"/>
      <c r="C241" s="153"/>
      <c r="D241" s="153"/>
      <c r="E241" s="153"/>
      <c r="F241" s="153"/>
      <c r="G241" s="153"/>
      <c r="H241" s="153"/>
      <c r="I241" s="153"/>
      <c r="J241" s="153"/>
      <c r="K241" s="153"/>
      <c r="L241" s="153"/>
      <c r="M241" s="153"/>
      <c r="N241" s="153"/>
      <c r="O241" s="153"/>
      <c r="P241" s="153"/>
      <c r="Q241" s="153"/>
      <c r="R241" s="153"/>
      <c r="S241" s="153"/>
      <c r="T241" s="153"/>
      <c r="U241" s="153"/>
      <c r="V241" s="153"/>
      <c r="W241" s="153"/>
      <c r="X241" s="153"/>
      <c r="Y241" s="153"/>
      <c r="Z241" s="153"/>
      <c r="AA241" s="153"/>
      <c r="AB241" s="153"/>
    </row>
    <row r="242" spans="1:28" ht="15">
      <c r="A242" s="153"/>
      <c r="B242" s="153"/>
      <c r="C242" s="153"/>
      <c r="D242" s="153"/>
      <c r="E242" s="153"/>
      <c r="F242" s="153"/>
      <c r="G242" s="153"/>
      <c r="H242" s="153"/>
      <c r="I242" s="153"/>
      <c r="J242" s="153"/>
      <c r="K242" s="153"/>
      <c r="L242" s="153"/>
      <c r="M242" s="153"/>
      <c r="N242" s="153"/>
      <c r="O242" s="153"/>
      <c r="P242" s="153"/>
      <c r="Q242" s="153"/>
      <c r="R242" s="153"/>
      <c r="S242" s="153"/>
      <c r="T242" s="153"/>
      <c r="U242" s="153"/>
      <c r="V242" s="153"/>
      <c r="W242" s="153"/>
      <c r="X242" s="153"/>
      <c r="Y242" s="153"/>
      <c r="Z242" s="153"/>
      <c r="AA242" s="153"/>
      <c r="AB242" s="153"/>
    </row>
    <row r="243" spans="1:28" ht="15">
      <c r="A243" s="153"/>
      <c r="B243" s="153"/>
      <c r="C243" s="153"/>
      <c r="D243" s="153"/>
      <c r="E243" s="153"/>
      <c r="F243" s="153"/>
      <c r="G243" s="153"/>
      <c r="H243" s="153"/>
      <c r="I243" s="153"/>
      <c r="J243" s="153"/>
      <c r="K243" s="153"/>
      <c r="L243" s="153"/>
      <c r="M243" s="153"/>
      <c r="N243" s="153"/>
      <c r="O243" s="153"/>
      <c r="P243" s="153"/>
      <c r="Q243" s="153"/>
      <c r="R243" s="153"/>
      <c r="S243" s="153"/>
      <c r="T243" s="153"/>
      <c r="U243" s="153"/>
      <c r="V243" s="153"/>
      <c r="W243" s="153"/>
      <c r="X243" s="153"/>
      <c r="Y243" s="153"/>
      <c r="Z243" s="153"/>
      <c r="AA243" s="153"/>
      <c r="AB243" s="153"/>
    </row>
    <row r="244" spans="1:28" ht="15">
      <c r="A244" s="153"/>
      <c r="B244" s="153"/>
      <c r="C244" s="153"/>
      <c r="D244" s="153"/>
      <c r="E244" s="153"/>
      <c r="F244" s="153"/>
      <c r="G244" s="153"/>
      <c r="H244" s="153"/>
      <c r="I244" s="153"/>
      <c r="J244" s="153"/>
      <c r="K244" s="153"/>
      <c r="L244" s="153"/>
      <c r="M244" s="153"/>
      <c r="N244" s="153"/>
      <c r="O244" s="153"/>
      <c r="P244" s="153"/>
      <c r="Q244" s="153"/>
      <c r="R244" s="153"/>
      <c r="S244" s="153"/>
      <c r="T244" s="153"/>
      <c r="U244" s="153"/>
      <c r="V244" s="153"/>
      <c r="W244" s="153"/>
      <c r="X244" s="153"/>
      <c r="Y244" s="153"/>
      <c r="Z244" s="153"/>
      <c r="AA244" s="153"/>
      <c r="AB244" s="153"/>
    </row>
    <row r="245" spans="1:28" ht="15">
      <c r="A245" s="153"/>
      <c r="B245" s="153"/>
      <c r="C245" s="153"/>
      <c r="D245" s="153"/>
      <c r="E245" s="153"/>
      <c r="F245" s="153"/>
      <c r="G245" s="153"/>
      <c r="H245" s="153"/>
      <c r="I245" s="153"/>
      <c r="J245" s="153"/>
      <c r="K245" s="153"/>
      <c r="L245" s="153"/>
      <c r="M245" s="153"/>
      <c r="N245" s="153"/>
      <c r="O245" s="153"/>
      <c r="P245" s="153"/>
      <c r="Q245" s="153"/>
      <c r="R245" s="153"/>
      <c r="S245" s="153"/>
      <c r="T245" s="153"/>
      <c r="U245" s="153"/>
      <c r="V245" s="153"/>
      <c r="W245" s="153"/>
      <c r="X245" s="153"/>
      <c r="Y245" s="153"/>
      <c r="Z245" s="153"/>
      <c r="AA245" s="153"/>
      <c r="AB245" s="153"/>
    </row>
    <row r="246" spans="1:28" ht="15">
      <c r="A246" s="153"/>
      <c r="B246" s="153"/>
      <c r="C246" s="153"/>
      <c r="D246" s="153"/>
      <c r="E246" s="153"/>
      <c r="F246" s="153"/>
      <c r="G246" s="153"/>
      <c r="H246" s="153"/>
      <c r="I246" s="153"/>
      <c r="J246" s="153"/>
      <c r="K246" s="153"/>
      <c r="L246" s="153"/>
      <c r="M246" s="153"/>
      <c r="N246" s="153"/>
      <c r="O246" s="153"/>
      <c r="P246" s="153"/>
      <c r="Q246" s="153"/>
      <c r="R246" s="153"/>
      <c r="S246" s="153"/>
      <c r="T246" s="153"/>
      <c r="U246" s="153"/>
      <c r="V246" s="153"/>
      <c r="W246" s="153"/>
      <c r="X246" s="153"/>
      <c r="Y246" s="153"/>
      <c r="Z246" s="153"/>
      <c r="AA246" s="153"/>
      <c r="AB246" s="153"/>
    </row>
    <row r="247" spans="1:28" ht="15">
      <c r="A247" s="153"/>
      <c r="B247" s="153"/>
      <c r="C247" s="153"/>
      <c r="D247" s="153"/>
      <c r="E247" s="153"/>
      <c r="F247" s="153"/>
      <c r="G247" s="153"/>
      <c r="H247" s="153"/>
      <c r="I247" s="153"/>
      <c r="J247" s="153"/>
      <c r="K247" s="153"/>
      <c r="L247" s="153"/>
      <c r="M247" s="153"/>
      <c r="N247" s="153"/>
      <c r="O247" s="153"/>
      <c r="P247" s="153"/>
      <c r="Q247" s="153"/>
      <c r="R247" s="153"/>
      <c r="S247" s="153"/>
      <c r="T247" s="153"/>
      <c r="U247" s="153"/>
      <c r="V247" s="153"/>
      <c r="W247" s="153"/>
      <c r="X247" s="153"/>
      <c r="Y247" s="153"/>
      <c r="Z247" s="153"/>
      <c r="AA247" s="153"/>
      <c r="AB247" s="153"/>
    </row>
    <row r="248" spans="1:28" ht="15">
      <c r="A248" s="153"/>
      <c r="B248" s="153"/>
      <c r="C248" s="153"/>
      <c r="D248" s="153"/>
      <c r="E248" s="153"/>
      <c r="F248" s="153"/>
      <c r="G248" s="153"/>
      <c r="H248" s="153"/>
      <c r="I248" s="153"/>
      <c r="J248" s="153"/>
      <c r="K248" s="153"/>
      <c r="L248" s="153"/>
      <c r="M248" s="153"/>
      <c r="N248" s="153"/>
      <c r="O248" s="153"/>
      <c r="P248" s="153"/>
      <c r="Q248" s="153"/>
      <c r="R248" s="153"/>
      <c r="S248" s="153"/>
      <c r="T248" s="153"/>
      <c r="U248" s="153"/>
      <c r="V248" s="153"/>
      <c r="W248" s="153"/>
      <c r="X248" s="153"/>
      <c r="Y248" s="153"/>
      <c r="Z248" s="153"/>
      <c r="AA248" s="153"/>
      <c r="AB248" s="153"/>
    </row>
    <row r="249" spans="1:28" ht="15">
      <c r="A249" s="153"/>
      <c r="B249" s="153"/>
      <c r="C249" s="153"/>
      <c r="D249" s="153"/>
      <c r="E249" s="153"/>
      <c r="F249" s="153"/>
      <c r="G249" s="153"/>
      <c r="H249" s="153"/>
      <c r="I249" s="153"/>
      <c r="J249" s="153"/>
      <c r="K249" s="153"/>
      <c r="L249" s="153"/>
      <c r="M249" s="153"/>
      <c r="N249" s="153"/>
      <c r="O249" s="153"/>
      <c r="P249" s="153"/>
      <c r="Q249" s="153"/>
      <c r="R249" s="153"/>
      <c r="S249" s="153"/>
      <c r="T249" s="153"/>
      <c r="U249" s="153"/>
      <c r="V249" s="153"/>
      <c r="W249" s="153"/>
      <c r="X249" s="153"/>
      <c r="Y249" s="153"/>
      <c r="Z249" s="153"/>
      <c r="AA249" s="153"/>
      <c r="AB249" s="153"/>
    </row>
    <row r="250" spans="1:28" ht="15">
      <c r="A250" s="153"/>
      <c r="B250" s="153"/>
      <c r="C250" s="153"/>
      <c r="D250" s="153"/>
      <c r="E250" s="153"/>
      <c r="F250" s="153"/>
      <c r="G250" s="153"/>
      <c r="H250" s="153"/>
      <c r="I250" s="153"/>
      <c r="J250" s="153"/>
      <c r="K250" s="153"/>
      <c r="L250" s="153"/>
      <c r="M250" s="153"/>
      <c r="N250" s="153"/>
      <c r="O250" s="153"/>
      <c r="P250" s="153"/>
      <c r="Q250" s="153"/>
      <c r="R250" s="153"/>
      <c r="S250" s="153"/>
      <c r="T250" s="153"/>
      <c r="U250" s="153"/>
      <c r="V250" s="153"/>
      <c r="W250" s="153"/>
      <c r="X250" s="153"/>
      <c r="Y250" s="153"/>
      <c r="Z250" s="153"/>
      <c r="AA250" s="153"/>
      <c r="AB250" s="153"/>
    </row>
    <row r="251" spans="1:28" ht="15">
      <c r="A251" s="153"/>
      <c r="B251" s="153"/>
      <c r="C251" s="153"/>
      <c r="D251" s="153"/>
      <c r="E251" s="153"/>
      <c r="F251" s="153"/>
      <c r="G251" s="153"/>
      <c r="H251" s="153"/>
      <c r="I251" s="153"/>
      <c r="J251" s="153"/>
      <c r="K251" s="153"/>
      <c r="L251" s="153"/>
      <c r="M251" s="153"/>
      <c r="N251" s="153"/>
      <c r="O251" s="153"/>
      <c r="P251" s="153"/>
      <c r="Q251" s="153"/>
      <c r="R251" s="153"/>
      <c r="S251" s="153"/>
      <c r="T251" s="153"/>
      <c r="U251" s="153"/>
      <c r="V251" s="153"/>
      <c r="W251" s="153"/>
      <c r="X251" s="153"/>
      <c r="Y251" s="153"/>
      <c r="Z251" s="153"/>
      <c r="AA251" s="153"/>
      <c r="AB251" s="153"/>
    </row>
    <row r="252" spans="1:28" ht="15">
      <c r="A252" s="153"/>
      <c r="B252" s="153"/>
      <c r="C252" s="153"/>
      <c r="D252" s="153"/>
      <c r="E252" s="153"/>
      <c r="F252" s="153"/>
      <c r="G252" s="153"/>
      <c r="H252" s="153"/>
      <c r="I252" s="153"/>
      <c r="J252" s="153"/>
      <c r="K252" s="153"/>
      <c r="L252" s="153"/>
      <c r="M252" s="153"/>
      <c r="N252" s="153"/>
      <c r="O252" s="153"/>
      <c r="P252" s="153"/>
      <c r="Q252" s="153"/>
      <c r="R252" s="153"/>
      <c r="S252" s="153"/>
      <c r="T252" s="153"/>
      <c r="U252" s="153"/>
      <c r="V252" s="153"/>
      <c r="W252" s="153"/>
      <c r="X252" s="153"/>
      <c r="Y252" s="153"/>
      <c r="Z252" s="153"/>
      <c r="AA252" s="153"/>
      <c r="AB252" s="153"/>
    </row>
    <row r="253" spans="1:28" ht="15">
      <c r="A253" s="153"/>
      <c r="B253" s="153"/>
      <c r="C253" s="153"/>
      <c r="D253" s="153"/>
      <c r="E253" s="153"/>
      <c r="F253" s="153"/>
      <c r="G253" s="153"/>
      <c r="H253" s="153"/>
      <c r="I253" s="153"/>
      <c r="J253" s="153"/>
      <c r="K253" s="153"/>
      <c r="L253" s="153"/>
      <c r="M253" s="153"/>
      <c r="N253" s="153"/>
      <c r="O253" s="153"/>
      <c r="P253" s="153"/>
      <c r="Q253" s="153"/>
      <c r="R253" s="153"/>
      <c r="S253" s="153"/>
      <c r="T253" s="153"/>
      <c r="U253" s="153"/>
      <c r="V253" s="153"/>
      <c r="W253" s="153"/>
      <c r="X253" s="153"/>
      <c r="Y253" s="153"/>
      <c r="Z253" s="153"/>
      <c r="AA253" s="153"/>
      <c r="AB253" s="153"/>
    </row>
    <row r="254" spans="1:28" ht="15">
      <c r="A254" s="153"/>
      <c r="B254" s="153"/>
      <c r="C254" s="153"/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  <c r="R254" s="153"/>
      <c r="S254" s="153"/>
      <c r="T254" s="153"/>
      <c r="U254" s="153"/>
      <c r="V254" s="153"/>
      <c r="W254" s="153"/>
      <c r="X254" s="153"/>
      <c r="Y254" s="153"/>
      <c r="Z254" s="153"/>
      <c r="AA254" s="153"/>
      <c r="AB254" s="153"/>
    </row>
    <row r="255" spans="1:28" ht="15">
      <c r="A255" s="153"/>
      <c r="B255" s="153"/>
      <c r="C255" s="153"/>
      <c r="D255" s="153"/>
      <c r="E255" s="153"/>
      <c r="F255" s="153"/>
      <c r="G255" s="153"/>
      <c r="H255" s="153"/>
      <c r="I255" s="153"/>
      <c r="J255" s="153"/>
      <c r="K255" s="153"/>
      <c r="L255" s="153"/>
      <c r="M255" s="153"/>
      <c r="N255" s="153"/>
      <c r="O255" s="153"/>
      <c r="P255" s="153"/>
      <c r="Q255" s="153"/>
      <c r="R255" s="153"/>
      <c r="S255" s="153"/>
      <c r="T255" s="153"/>
      <c r="U255" s="153"/>
      <c r="V255" s="153"/>
      <c r="W255" s="153"/>
      <c r="X255" s="153"/>
      <c r="Y255" s="153"/>
      <c r="Z255" s="153"/>
      <c r="AA255" s="153"/>
      <c r="AB255" s="153"/>
    </row>
    <row r="256" spans="1:28" ht="15">
      <c r="A256" s="153"/>
      <c r="B256" s="153"/>
      <c r="C256" s="153"/>
      <c r="D256" s="153"/>
      <c r="E256" s="153"/>
      <c r="F256" s="153"/>
      <c r="G256" s="153"/>
      <c r="H256" s="153"/>
      <c r="I256" s="153"/>
      <c r="J256" s="153"/>
      <c r="K256" s="153"/>
      <c r="L256" s="153"/>
      <c r="M256" s="153"/>
      <c r="N256" s="153"/>
      <c r="O256" s="153"/>
      <c r="P256" s="153"/>
      <c r="Q256" s="153"/>
      <c r="R256" s="153"/>
      <c r="S256" s="153"/>
      <c r="T256" s="153"/>
      <c r="U256" s="153"/>
      <c r="V256" s="153"/>
      <c r="W256" s="153"/>
      <c r="X256" s="153"/>
      <c r="Y256" s="153"/>
      <c r="Z256" s="153"/>
      <c r="AA256" s="153"/>
      <c r="AB256" s="153"/>
    </row>
    <row r="257" spans="1:28" ht="15">
      <c r="A257" s="153"/>
      <c r="B257" s="153"/>
      <c r="C257" s="153"/>
      <c r="D257" s="153"/>
      <c r="E257" s="153"/>
      <c r="F257" s="153"/>
      <c r="G257" s="153"/>
      <c r="H257" s="153"/>
      <c r="I257" s="153"/>
      <c r="J257" s="153"/>
      <c r="K257" s="153"/>
      <c r="L257" s="153"/>
      <c r="M257" s="153"/>
      <c r="N257" s="153"/>
      <c r="O257" s="153"/>
      <c r="P257" s="153"/>
      <c r="Q257" s="153"/>
      <c r="R257" s="153"/>
      <c r="S257" s="153"/>
      <c r="T257" s="153"/>
      <c r="U257" s="153"/>
      <c r="V257" s="153"/>
      <c r="W257" s="153"/>
      <c r="X257" s="153"/>
      <c r="Y257" s="153"/>
      <c r="Z257" s="153"/>
      <c r="AA257" s="153"/>
      <c r="AB257" s="153"/>
    </row>
    <row r="258" spans="1:28" ht="15">
      <c r="A258" s="153"/>
      <c r="B258" s="153"/>
      <c r="C258" s="153"/>
      <c r="D258" s="153"/>
      <c r="E258" s="153"/>
      <c r="F258" s="153"/>
      <c r="G258" s="153"/>
      <c r="H258" s="153"/>
      <c r="I258" s="153"/>
      <c r="J258" s="153"/>
      <c r="K258" s="153"/>
      <c r="L258" s="153"/>
      <c r="M258" s="153"/>
      <c r="N258" s="153"/>
      <c r="O258" s="153"/>
      <c r="P258" s="153"/>
      <c r="Q258" s="153"/>
      <c r="R258" s="153"/>
      <c r="S258" s="153"/>
      <c r="T258" s="153"/>
      <c r="U258" s="153"/>
      <c r="V258" s="153"/>
      <c r="W258" s="153"/>
      <c r="X258" s="153"/>
      <c r="Y258" s="153"/>
      <c r="Z258" s="153"/>
      <c r="AA258" s="153"/>
      <c r="AB258" s="153"/>
    </row>
    <row r="259" spans="1:28" ht="15">
      <c r="A259" s="153"/>
      <c r="B259" s="153"/>
      <c r="C259" s="153"/>
      <c r="D259" s="153"/>
      <c r="E259" s="153"/>
      <c r="F259" s="153"/>
      <c r="G259" s="153"/>
      <c r="H259" s="153"/>
      <c r="I259" s="153"/>
      <c r="J259" s="153"/>
      <c r="K259" s="153"/>
      <c r="L259" s="153"/>
      <c r="M259" s="153"/>
      <c r="N259" s="153"/>
      <c r="O259" s="153"/>
      <c r="P259" s="153"/>
      <c r="Q259" s="153"/>
      <c r="R259" s="153"/>
      <c r="S259" s="153"/>
      <c r="T259" s="153"/>
      <c r="U259" s="153"/>
      <c r="V259" s="153"/>
      <c r="W259" s="153"/>
      <c r="X259" s="153"/>
      <c r="Y259" s="153"/>
      <c r="Z259" s="153"/>
      <c r="AA259" s="153"/>
      <c r="AB259" s="153"/>
    </row>
    <row r="260" spans="1:28" ht="15">
      <c r="A260" s="153"/>
      <c r="B260" s="153"/>
      <c r="C260" s="153"/>
      <c r="D260" s="153"/>
      <c r="E260" s="153"/>
      <c r="F260" s="153"/>
      <c r="G260" s="153"/>
      <c r="H260" s="153"/>
      <c r="I260" s="153"/>
      <c r="J260" s="153"/>
      <c r="K260" s="153"/>
      <c r="L260" s="153"/>
      <c r="M260" s="153"/>
      <c r="N260" s="153"/>
      <c r="O260" s="153"/>
      <c r="P260" s="153"/>
      <c r="Q260" s="153"/>
      <c r="R260" s="153"/>
      <c r="S260" s="153"/>
      <c r="T260" s="153"/>
      <c r="U260" s="153"/>
      <c r="V260" s="153"/>
      <c r="W260" s="153"/>
      <c r="X260" s="153"/>
      <c r="Y260" s="153"/>
      <c r="Z260" s="153"/>
      <c r="AA260" s="153"/>
      <c r="AB260" s="153"/>
    </row>
    <row r="261" spans="1:28" ht="15">
      <c r="A261" s="153"/>
      <c r="B261" s="153"/>
      <c r="C261" s="153"/>
      <c r="D261" s="153"/>
      <c r="E261" s="153"/>
      <c r="F261" s="153"/>
      <c r="G261" s="153"/>
      <c r="H261" s="153"/>
      <c r="I261" s="153"/>
      <c r="J261" s="153"/>
      <c r="K261" s="153"/>
      <c r="L261" s="153"/>
      <c r="M261" s="153"/>
      <c r="N261" s="153"/>
      <c r="O261" s="153"/>
      <c r="P261" s="153"/>
      <c r="Q261" s="153"/>
      <c r="R261" s="153"/>
      <c r="S261" s="153"/>
      <c r="T261" s="153"/>
      <c r="U261" s="153"/>
      <c r="V261" s="153"/>
      <c r="W261" s="153"/>
      <c r="X261" s="153"/>
      <c r="Y261" s="153"/>
      <c r="Z261" s="153"/>
      <c r="AA261" s="153"/>
      <c r="AB261" s="153"/>
    </row>
    <row r="262" spans="1:28" ht="15">
      <c r="A262" s="153"/>
      <c r="B262" s="153"/>
      <c r="C262" s="153"/>
      <c r="D262" s="153"/>
      <c r="E262" s="153"/>
      <c r="F262" s="153"/>
      <c r="G262" s="153"/>
      <c r="H262" s="153"/>
      <c r="I262" s="153"/>
      <c r="J262" s="153"/>
      <c r="K262" s="153"/>
      <c r="L262" s="153"/>
      <c r="M262" s="153"/>
      <c r="N262" s="153"/>
      <c r="O262" s="153"/>
      <c r="P262" s="153"/>
      <c r="Q262" s="153"/>
      <c r="R262" s="153"/>
      <c r="S262" s="153"/>
      <c r="T262" s="153"/>
      <c r="U262" s="153"/>
      <c r="V262" s="153"/>
      <c r="W262" s="153"/>
      <c r="X262" s="153"/>
      <c r="Y262" s="153"/>
      <c r="Z262" s="153"/>
      <c r="AA262" s="153"/>
      <c r="AB262" s="153"/>
    </row>
    <row r="263" spans="1:28" ht="15">
      <c r="A263" s="153"/>
      <c r="B263" s="153"/>
      <c r="C263" s="153"/>
      <c r="D263" s="153"/>
      <c r="E263" s="153"/>
      <c r="F263" s="153"/>
      <c r="G263" s="153"/>
      <c r="H263" s="153"/>
      <c r="I263" s="153"/>
      <c r="J263" s="153"/>
      <c r="K263" s="153"/>
      <c r="L263" s="153"/>
      <c r="M263" s="153"/>
      <c r="N263" s="153"/>
      <c r="O263" s="153"/>
      <c r="P263" s="153"/>
      <c r="Q263" s="153"/>
      <c r="R263" s="153"/>
      <c r="S263" s="153"/>
      <c r="T263" s="153"/>
      <c r="U263" s="153"/>
      <c r="V263" s="153"/>
      <c r="W263" s="153"/>
      <c r="X263" s="153"/>
      <c r="Y263" s="153"/>
      <c r="Z263" s="153"/>
      <c r="AA263" s="153"/>
      <c r="AB263" s="153"/>
    </row>
    <row r="264" spans="1:28" ht="15">
      <c r="A264" s="153"/>
      <c r="B264" s="153"/>
      <c r="C264" s="153"/>
      <c r="D264" s="153"/>
      <c r="E264" s="153"/>
      <c r="F264" s="153"/>
      <c r="G264" s="153"/>
      <c r="H264" s="153"/>
      <c r="I264" s="153"/>
      <c r="J264" s="153"/>
      <c r="K264" s="153"/>
      <c r="L264" s="153"/>
      <c r="M264" s="153"/>
      <c r="N264" s="153"/>
      <c r="O264" s="153"/>
      <c r="P264" s="153"/>
      <c r="Q264" s="153"/>
      <c r="R264" s="153"/>
      <c r="S264" s="153"/>
      <c r="T264" s="153"/>
      <c r="U264" s="153"/>
      <c r="V264" s="153"/>
      <c r="W264" s="153"/>
      <c r="X264" s="153"/>
      <c r="Y264" s="153"/>
      <c r="Z264" s="153"/>
      <c r="AA264" s="153"/>
      <c r="AB264" s="153"/>
    </row>
    <row r="265" spans="1:28" ht="15">
      <c r="A265" s="153"/>
      <c r="B265" s="153"/>
      <c r="C265" s="153"/>
      <c r="D265" s="153"/>
      <c r="E265" s="153"/>
      <c r="F265" s="153"/>
      <c r="G265" s="153"/>
      <c r="H265" s="153"/>
      <c r="I265" s="153"/>
      <c r="J265" s="153"/>
      <c r="K265" s="153"/>
      <c r="L265" s="153"/>
      <c r="M265" s="153"/>
      <c r="N265" s="153"/>
      <c r="O265" s="153"/>
      <c r="P265" s="153"/>
      <c r="Q265" s="153"/>
      <c r="R265" s="153"/>
      <c r="S265" s="153"/>
      <c r="T265" s="153"/>
      <c r="U265" s="153"/>
      <c r="V265" s="153"/>
      <c r="W265" s="153"/>
      <c r="X265" s="153"/>
      <c r="Y265" s="153"/>
      <c r="Z265" s="153"/>
      <c r="AA265" s="153"/>
      <c r="AB265" s="153"/>
    </row>
    <row r="266" spans="1:28" ht="15">
      <c r="A266" s="153"/>
      <c r="B266" s="153"/>
      <c r="C266" s="153"/>
      <c r="D266" s="153"/>
      <c r="E266" s="153"/>
      <c r="F266" s="153"/>
      <c r="G266" s="153"/>
      <c r="H266" s="153"/>
      <c r="I266" s="153"/>
      <c r="J266" s="153"/>
      <c r="K266" s="153"/>
      <c r="L266" s="153"/>
      <c r="M266" s="153"/>
      <c r="N266" s="153"/>
      <c r="O266" s="153"/>
      <c r="P266" s="153"/>
      <c r="Q266" s="153"/>
      <c r="R266" s="153"/>
      <c r="S266" s="153"/>
      <c r="T266" s="153"/>
      <c r="U266" s="153"/>
      <c r="V266" s="153"/>
      <c r="W266" s="153"/>
      <c r="X266" s="153"/>
      <c r="Y266" s="153"/>
      <c r="Z266" s="153"/>
      <c r="AA266" s="153"/>
      <c r="AB266" s="153"/>
    </row>
    <row r="267" spans="1:28" ht="15">
      <c r="A267" s="153"/>
      <c r="B267" s="153"/>
      <c r="C267" s="153"/>
      <c r="D267" s="153"/>
      <c r="E267" s="153"/>
      <c r="F267" s="153"/>
      <c r="G267" s="153"/>
      <c r="H267" s="153"/>
      <c r="I267" s="153"/>
      <c r="J267" s="153"/>
      <c r="K267" s="153"/>
      <c r="L267" s="153"/>
      <c r="M267" s="153"/>
      <c r="N267" s="153"/>
      <c r="O267" s="153"/>
      <c r="P267" s="153"/>
      <c r="Q267" s="153"/>
      <c r="R267" s="153"/>
      <c r="S267" s="153"/>
      <c r="T267" s="153"/>
      <c r="U267" s="153"/>
      <c r="V267" s="153"/>
      <c r="W267" s="153"/>
      <c r="X267" s="153"/>
      <c r="Y267" s="153"/>
      <c r="Z267" s="153"/>
      <c r="AA267" s="153"/>
      <c r="AB267" s="153"/>
    </row>
    <row r="268" spans="1:28" ht="15">
      <c r="A268" s="153"/>
      <c r="B268" s="153"/>
      <c r="C268" s="153"/>
      <c r="D268" s="153"/>
      <c r="E268" s="153"/>
      <c r="F268" s="153"/>
      <c r="G268" s="153"/>
      <c r="H268" s="153"/>
      <c r="I268" s="153"/>
      <c r="J268" s="153"/>
      <c r="K268" s="153"/>
      <c r="L268" s="153"/>
      <c r="M268" s="153"/>
      <c r="N268" s="153"/>
      <c r="O268" s="153"/>
      <c r="P268" s="153"/>
      <c r="Q268" s="153"/>
      <c r="R268" s="153"/>
      <c r="S268" s="153"/>
      <c r="T268" s="153"/>
      <c r="U268" s="153"/>
      <c r="V268" s="153"/>
      <c r="W268" s="153"/>
      <c r="X268" s="153"/>
      <c r="Y268" s="153"/>
      <c r="Z268" s="153"/>
      <c r="AA268" s="153"/>
      <c r="AB268" s="153"/>
    </row>
    <row r="269" spans="1:28" ht="15">
      <c r="A269" s="153"/>
      <c r="B269" s="153"/>
      <c r="C269" s="153"/>
      <c r="D269" s="153"/>
      <c r="E269" s="153"/>
      <c r="F269" s="153"/>
      <c r="G269" s="153"/>
      <c r="H269" s="153"/>
      <c r="I269" s="153"/>
      <c r="J269" s="153"/>
      <c r="K269" s="153"/>
      <c r="L269" s="153"/>
      <c r="M269" s="153"/>
      <c r="N269" s="153"/>
      <c r="O269" s="153"/>
      <c r="P269" s="153"/>
      <c r="Q269" s="153"/>
      <c r="R269" s="153"/>
      <c r="S269" s="153"/>
      <c r="T269" s="153"/>
      <c r="U269" s="153"/>
      <c r="V269" s="153"/>
      <c r="W269" s="153"/>
      <c r="X269" s="153"/>
      <c r="Y269" s="153"/>
      <c r="Z269" s="153"/>
      <c r="AA269" s="153"/>
      <c r="AB269" s="153"/>
    </row>
    <row r="270" spans="1:28" ht="15">
      <c r="A270" s="153"/>
      <c r="B270" s="153"/>
      <c r="C270" s="153"/>
      <c r="D270" s="153"/>
      <c r="E270" s="153"/>
      <c r="F270" s="153"/>
      <c r="G270" s="153"/>
      <c r="H270" s="153"/>
      <c r="I270" s="153"/>
      <c r="J270" s="153"/>
      <c r="K270" s="153"/>
      <c r="L270" s="153"/>
      <c r="M270" s="153"/>
      <c r="N270" s="153"/>
      <c r="O270" s="153"/>
      <c r="P270" s="153"/>
      <c r="Q270" s="153"/>
      <c r="R270" s="153"/>
      <c r="S270" s="153"/>
      <c r="T270" s="153"/>
      <c r="U270" s="153"/>
      <c r="V270" s="153"/>
      <c r="W270" s="153"/>
      <c r="X270" s="153"/>
      <c r="Y270" s="153"/>
      <c r="Z270" s="153"/>
      <c r="AA270" s="153"/>
      <c r="AB270" s="153"/>
    </row>
    <row r="271" spans="1:28" ht="15">
      <c r="A271" s="153"/>
      <c r="B271" s="153"/>
      <c r="C271" s="153"/>
      <c r="D271" s="153"/>
      <c r="E271" s="153"/>
      <c r="F271" s="153"/>
      <c r="G271" s="153"/>
      <c r="H271" s="153"/>
      <c r="I271" s="153"/>
      <c r="J271" s="153"/>
      <c r="K271" s="153"/>
      <c r="L271" s="153"/>
      <c r="M271" s="153"/>
      <c r="N271" s="153"/>
      <c r="O271" s="153"/>
      <c r="P271" s="153"/>
      <c r="Q271" s="153"/>
      <c r="R271" s="153"/>
      <c r="S271" s="153"/>
      <c r="T271" s="153"/>
      <c r="U271" s="153"/>
      <c r="V271" s="153"/>
      <c r="W271" s="153"/>
      <c r="X271" s="153"/>
      <c r="Y271" s="153"/>
      <c r="Z271" s="153"/>
      <c r="AA271" s="153"/>
      <c r="AB271" s="153"/>
    </row>
    <row r="272" spans="1:28" ht="15">
      <c r="A272" s="153"/>
      <c r="B272" s="153"/>
      <c r="C272" s="153"/>
      <c r="D272" s="153"/>
      <c r="E272" s="153"/>
      <c r="F272" s="153"/>
      <c r="G272" s="153"/>
      <c r="H272" s="153"/>
      <c r="I272" s="153"/>
      <c r="J272" s="153"/>
      <c r="K272" s="153"/>
      <c r="L272" s="153"/>
      <c r="M272" s="153"/>
      <c r="N272" s="153"/>
      <c r="O272" s="153"/>
      <c r="P272" s="153"/>
      <c r="Q272" s="153"/>
      <c r="R272" s="153"/>
      <c r="S272" s="153"/>
      <c r="T272" s="153"/>
      <c r="U272" s="153"/>
      <c r="V272" s="153"/>
      <c r="W272" s="153"/>
      <c r="X272" s="153"/>
      <c r="Y272" s="153"/>
      <c r="Z272" s="153"/>
      <c r="AA272" s="153"/>
      <c r="AB272" s="153"/>
    </row>
    <row r="273" spans="1:28" ht="15">
      <c r="A273" s="153"/>
      <c r="B273" s="153"/>
      <c r="C273" s="153"/>
      <c r="D273" s="153"/>
      <c r="E273" s="153"/>
      <c r="F273" s="153"/>
      <c r="G273" s="153"/>
      <c r="H273" s="153"/>
      <c r="I273" s="153"/>
      <c r="J273" s="153"/>
      <c r="K273" s="153"/>
      <c r="L273" s="153"/>
      <c r="M273" s="153"/>
      <c r="N273" s="153"/>
      <c r="O273" s="153"/>
      <c r="P273" s="153"/>
      <c r="Q273" s="153"/>
      <c r="R273" s="153"/>
      <c r="S273" s="153"/>
      <c r="T273" s="153"/>
      <c r="U273" s="153"/>
      <c r="V273" s="153"/>
      <c r="W273" s="153"/>
      <c r="X273" s="153"/>
      <c r="Y273" s="153"/>
      <c r="Z273" s="153"/>
      <c r="AA273" s="153"/>
      <c r="AB273" s="153"/>
    </row>
    <row r="274" spans="1:28" ht="15">
      <c r="A274" s="153"/>
      <c r="B274" s="153"/>
      <c r="C274" s="153"/>
      <c r="D274" s="153"/>
      <c r="E274" s="153"/>
      <c r="F274" s="153"/>
      <c r="G274" s="153"/>
      <c r="H274" s="153"/>
      <c r="I274" s="153"/>
      <c r="J274" s="153"/>
      <c r="K274" s="153"/>
      <c r="L274" s="153"/>
      <c r="M274" s="153"/>
      <c r="N274" s="153"/>
      <c r="O274" s="153"/>
      <c r="P274" s="153"/>
      <c r="Q274" s="153"/>
      <c r="R274" s="153"/>
      <c r="S274" s="153"/>
      <c r="T274" s="153"/>
      <c r="U274" s="153"/>
      <c r="V274" s="153"/>
      <c r="W274" s="153"/>
      <c r="X274" s="153"/>
      <c r="Y274" s="153"/>
      <c r="Z274" s="153"/>
      <c r="AA274" s="153"/>
      <c r="AB274" s="153"/>
    </row>
    <row r="275" spans="1:28" ht="15">
      <c r="A275" s="153"/>
      <c r="B275" s="153"/>
      <c r="C275" s="153"/>
      <c r="D275" s="153"/>
      <c r="E275" s="153"/>
      <c r="F275" s="153"/>
      <c r="G275" s="153"/>
      <c r="H275" s="153"/>
      <c r="I275" s="153"/>
      <c r="J275" s="153"/>
      <c r="K275" s="153"/>
      <c r="L275" s="153"/>
      <c r="M275" s="153"/>
      <c r="N275" s="153"/>
      <c r="O275" s="153"/>
      <c r="P275" s="153"/>
      <c r="Q275" s="153"/>
      <c r="R275" s="153"/>
      <c r="S275" s="153"/>
      <c r="T275" s="153"/>
      <c r="U275" s="153"/>
      <c r="V275" s="153"/>
      <c r="W275" s="153"/>
      <c r="X275" s="153"/>
      <c r="Y275" s="153"/>
      <c r="Z275" s="153"/>
      <c r="AA275" s="153"/>
      <c r="AB275" s="153"/>
    </row>
    <row r="276" spans="1:28" ht="15">
      <c r="A276" s="153"/>
      <c r="B276" s="153"/>
      <c r="C276" s="153"/>
      <c r="D276" s="153"/>
      <c r="E276" s="153"/>
      <c r="F276" s="153"/>
      <c r="G276" s="153"/>
      <c r="H276" s="153"/>
      <c r="I276" s="153"/>
      <c r="J276" s="153"/>
      <c r="K276" s="153"/>
      <c r="L276" s="153"/>
      <c r="M276" s="153"/>
      <c r="N276" s="153"/>
      <c r="O276" s="153"/>
      <c r="P276" s="153"/>
      <c r="Q276" s="153"/>
      <c r="R276" s="153"/>
      <c r="S276" s="153"/>
      <c r="T276" s="153"/>
      <c r="U276" s="153"/>
      <c r="V276" s="153"/>
      <c r="W276" s="153"/>
      <c r="X276" s="153"/>
      <c r="Y276" s="153"/>
      <c r="Z276" s="153"/>
      <c r="AA276" s="153"/>
      <c r="AB276" s="153"/>
    </row>
    <row r="277" spans="1:28" ht="15">
      <c r="A277" s="153"/>
      <c r="B277" s="153"/>
      <c r="C277" s="153"/>
      <c r="D277" s="153"/>
      <c r="E277" s="153"/>
      <c r="F277" s="153"/>
      <c r="G277" s="153"/>
      <c r="H277" s="153"/>
      <c r="I277" s="153"/>
      <c r="J277" s="153"/>
      <c r="K277" s="153"/>
      <c r="L277" s="153"/>
      <c r="M277" s="153"/>
      <c r="N277" s="153"/>
      <c r="O277" s="153"/>
      <c r="P277" s="153"/>
      <c r="Q277" s="153"/>
      <c r="R277" s="153"/>
      <c r="S277" s="153"/>
      <c r="T277" s="153"/>
      <c r="U277" s="153"/>
      <c r="V277" s="153"/>
      <c r="W277" s="153"/>
      <c r="X277" s="153"/>
      <c r="Y277" s="153"/>
      <c r="Z277" s="153"/>
      <c r="AA277" s="153"/>
      <c r="AB277" s="153"/>
    </row>
    <row r="278" spans="1:28" ht="15">
      <c r="A278" s="153"/>
      <c r="B278" s="153"/>
      <c r="C278" s="153"/>
      <c r="D278" s="153"/>
      <c r="E278" s="153"/>
      <c r="F278" s="153"/>
      <c r="G278" s="153"/>
      <c r="H278" s="153"/>
      <c r="I278" s="153"/>
      <c r="J278" s="153"/>
      <c r="K278" s="153"/>
      <c r="L278" s="153"/>
      <c r="M278" s="153"/>
      <c r="N278" s="153"/>
      <c r="O278" s="153"/>
      <c r="P278" s="153"/>
      <c r="Q278" s="153"/>
      <c r="R278" s="153"/>
      <c r="S278" s="153"/>
      <c r="T278" s="153"/>
      <c r="U278" s="153"/>
      <c r="V278" s="153"/>
      <c r="W278" s="153"/>
      <c r="X278" s="153"/>
      <c r="Y278" s="153"/>
      <c r="Z278" s="153"/>
      <c r="AA278" s="153"/>
      <c r="AB278" s="153"/>
    </row>
    <row r="279" spans="1:28" ht="15">
      <c r="A279" s="153"/>
      <c r="B279" s="153"/>
      <c r="C279" s="153"/>
      <c r="D279" s="153"/>
      <c r="E279" s="153"/>
      <c r="F279" s="153"/>
      <c r="G279" s="153"/>
      <c r="H279" s="153"/>
      <c r="I279" s="153"/>
      <c r="J279" s="153"/>
      <c r="K279" s="153"/>
      <c r="L279" s="153"/>
      <c r="M279" s="153"/>
      <c r="N279" s="153"/>
      <c r="O279" s="153"/>
      <c r="P279" s="153"/>
      <c r="Q279" s="153"/>
      <c r="R279" s="153"/>
      <c r="S279" s="153"/>
      <c r="T279" s="153"/>
      <c r="U279" s="153"/>
      <c r="V279" s="153"/>
      <c r="W279" s="153"/>
      <c r="X279" s="153"/>
      <c r="Y279" s="153"/>
      <c r="Z279" s="153"/>
      <c r="AA279" s="153"/>
      <c r="AB279" s="153"/>
    </row>
    <row r="280" spans="1:28" ht="15">
      <c r="A280" s="153"/>
      <c r="B280" s="153"/>
      <c r="C280" s="153"/>
      <c r="D280" s="153"/>
      <c r="E280" s="153"/>
      <c r="F280" s="153"/>
      <c r="G280" s="153"/>
      <c r="H280" s="153"/>
      <c r="I280" s="153"/>
      <c r="J280" s="153"/>
      <c r="K280" s="153"/>
      <c r="L280" s="153"/>
      <c r="M280" s="153"/>
      <c r="N280" s="153"/>
      <c r="O280" s="153"/>
      <c r="P280" s="153"/>
      <c r="Q280" s="153"/>
      <c r="R280" s="153"/>
      <c r="S280" s="153"/>
      <c r="T280" s="153"/>
      <c r="U280" s="153"/>
      <c r="V280" s="153"/>
      <c r="W280" s="153"/>
      <c r="X280" s="153"/>
      <c r="Y280" s="153"/>
      <c r="Z280" s="153"/>
      <c r="AA280" s="153"/>
      <c r="AB280" s="153"/>
    </row>
    <row r="281" spans="1:28" ht="15">
      <c r="A281" s="153"/>
      <c r="B281" s="153"/>
      <c r="C281" s="153"/>
      <c r="D281" s="153"/>
      <c r="E281" s="153"/>
      <c r="F281" s="153"/>
      <c r="G281" s="153"/>
      <c r="H281" s="153"/>
      <c r="I281" s="153"/>
      <c r="J281" s="153"/>
      <c r="K281" s="153"/>
      <c r="L281" s="153"/>
      <c r="M281" s="153"/>
      <c r="N281" s="153"/>
      <c r="O281" s="153"/>
      <c r="P281" s="153"/>
      <c r="Q281" s="153"/>
      <c r="R281" s="153"/>
      <c r="S281" s="153"/>
      <c r="T281" s="153"/>
      <c r="U281" s="153"/>
      <c r="V281" s="153"/>
      <c r="W281" s="153"/>
      <c r="X281" s="153"/>
      <c r="Y281" s="153"/>
      <c r="Z281" s="153"/>
      <c r="AA281" s="153"/>
      <c r="AB281" s="153"/>
    </row>
    <row r="282" spans="1:28" ht="15">
      <c r="A282" s="153"/>
      <c r="B282" s="153"/>
      <c r="C282" s="153"/>
      <c r="D282" s="153"/>
      <c r="E282" s="153"/>
      <c r="F282" s="153"/>
      <c r="G282" s="153"/>
      <c r="H282" s="153"/>
      <c r="I282" s="153"/>
      <c r="J282" s="153"/>
      <c r="K282" s="153"/>
      <c r="L282" s="153"/>
      <c r="M282" s="153"/>
      <c r="N282" s="153"/>
      <c r="O282" s="153"/>
      <c r="P282" s="153"/>
      <c r="Q282" s="153"/>
      <c r="R282" s="153"/>
      <c r="S282" s="153"/>
      <c r="T282" s="153"/>
      <c r="U282" s="153"/>
      <c r="V282" s="153"/>
      <c r="W282" s="153"/>
      <c r="X282" s="153"/>
      <c r="Y282" s="153"/>
      <c r="Z282" s="153"/>
      <c r="AA282" s="153"/>
      <c r="AB282" s="153"/>
    </row>
    <row r="283" spans="1:28" ht="15">
      <c r="A283" s="153"/>
      <c r="B283" s="153"/>
      <c r="C283" s="153"/>
      <c r="D283" s="153"/>
      <c r="E283" s="153"/>
      <c r="F283" s="153"/>
      <c r="G283" s="153"/>
      <c r="H283" s="153"/>
      <c r="I283" s="153"/>
      <c r="J283" s="153"/>
      <c r="K283" s="153"/>
      <c r="L283" s="153"/>
      <c r="M283" s="153"/>
      <c r="N283" s="153"/>
      <c r="O283" s="153"/>
      <c r="P283" s="153"/>
      <c r="Q283" s="153"/>
      <c r="R283" s="153"/>
      <c r="S283" s="153"/>
      <c r="T283" s="153"/>
      <c r="U283" s="153"/>
      <c r="V283" s="153"/>
      <c r="W283" s="153"/>
      <c r="X283" s="153"/>
      <c r="Y283" s="153"/>
      <c r="Z283" s="153"/>
      <c r="AA283" s="153"/>
      <c r="AB283" s="153"/>
    </row>
    <row r="284" spans="1:28" ht="15">
      <c r="A284" s="153"/>
      <c r="B284" s="153"/>
      <c r="C284" s="153"/>
      <c r="D284" s="153"/>
      <c r="E284" s="153"/>
      <c r="F284" s="153"/>
      <c r="G284" s="153"/>
      <c r="H284" s="153"/>
      <c r="I284" s="153"/>
      <c r="J284" s="153"/>
      <c r="K284" s="153"/>
      <c r="L284" s="153"/>
      <c r="M284" s="153"/>
      <c r="N284" s="153"/>
      <c r="O284" s="153"/>
      <c r="P284" s="153"/>
      <c r="Q284" s="153"/>
      <c r="R284" s="153"/>
      <c r="S284" s="153"/>
      <c r="T284" s="153"/>
      <c r="U284" s="153"/>
      <c r="V284" s="153"/>
      <c r="W284" s="153"/>
      <c r="X284" s="153"/>
      <c r="Y284" s="153"/>
      <c r="Z284" s="153"/>
      <c r="AA284" s="153"/>
      <c r="AB284" s="153"/>
    </row>
    <row r="285" spans="1:28" ht="15">
      <c r="A285" s="153"/>
      <c r="B285" s="153"/>
      <c r="C285" s="153"/>
      <c r="D285" s="153"/>
      <c r="E285" s="153"/>
      <c r="F285" s="153"/>
      <c r="G285" s="153"/>
      <c r="H285" s="153"/>
      <c r="I285" s="153"/>
      <c r="J285" s="153"/>
      <c r="K285" s="153"/>
      <c r="L285" s="153"/>
      <c r="M285" s="153"/>
      <c r="N285" s="153"/>
      <c r="O285" s="153"/>
      <c r="P285" s="153"/>
      <c r="Q285" s="153"/>
      <c r="R285" s="153"/>
      <c r="S285" s="153"/>
      <c r="T285" s="153"/>
      <c r="U285" s="153"/>
      <c r="V285" s="153"/>
      <c r="W285" s="153"/>
      <c r="X285" s="153"/>
      <c r="Y285" s="153"/>
      <c r="Z285" s="153"/>
      <c r="AA285" s="153"/>
      <c r="AB285" s="153"/>
    </row>
    <row r="286" spans="1:28" ht="15">
      <c r="A286" s="153"/>
      <c r="B286" s="153"/>
      <c r="C286" s="153"/>
      <c r="D286" s="153"/>
      <c r="E286" s="153"/>
      <c r="F286" s="153"/>
      <c r="G286" s="153"/>
      <c r="H286" s="153"/>
      <c r="I286" s="153"/>
      <c r="J286" s="153"/>
      <c r="K286" s="153"/>
      <c r="L286" s="153"/>
      <c r="M286" s="153"/>
      <c r="N286" s="153"/>
      <c r="O286" s="153"/>
      <c r="P286" s="153"/>
      <c r="Q286" s="153"/>
      <c r="R286" s="153"/>
      <c r="S286" s="153"/>
      <c r="T286" s="153"/>
      <c r="U286" s="153"/>
      <c r="V286" s="153"/>
      <c r="W286" s="153"/>
      <c r="X286" s="153"/>
      <c r="Y286" s="153"/>
      <c r="Z286" s="153"/>
      <c r="AA286" s="153"/>
      <c r="AB286" s="153"/>
    </row>
    <row r="287" spans="1:28" ht="15">
      <c r="A287" s="153"/>
      <c r="B287" s="153"/>
      <c r="C287" s="153"/>
      <c r="D287" s="153"/>
      <c r="E287" s="153"/>
      <c r="F287" s="153"/>
      <c r="G287" s="153"/>
      <c r="H287" s="153"/>
      <c r="I287" s="153"/>
      <c r="J287" s="153"/>
      <c r="K287" s="153"/>
      <c r="L287" s="153"/>
      <c r="M287" s="153"/>
      <c r="N287" s="153"/>
      <c r="O287" s="153"/>
      <c r="P287" s="153"/>
      <c r="Q287" s="153"/>
      <c r="R287" s="153"/>
      <c r="S287" s="153"/>
      <c r="T287" s="153"/>
      <c r="U287" s="153"/>
      <c r="V287" s="153"/>
      <c r="W287" s="153"/>
      <c r="X287" s="153"/>
      <c r="Y287" s="153"/>
      <c r="Z287" s="153"/>
      <c r="AA287" s="153"/>
      <c r="AB287" s="153"/>
    </row>
    <row r="288" spans="1:28" ht="15">
      <c r="A288" s="153"/>
      <c r="B288" s="153"/>
      <c r="C288" s="153"/>
      <c r="D288" s="153"/>
      <c r="E288" s="153"/>
      <c r="F288" s="153"/>
      <c r="G288" s="153"/>
      <c r="H288" s="153"/>
      <c r="I288" s="153"/>
      <c r="J288" s="153"/>
      <c r="K288" s="153"/>
      <c r="L288" s="153"/>
      <c r="M288" s="153"/>
      <c r="N288" s="153"/>
      <c r="O288" s="153"/>
      <c r="P288" s="153"/>
      <c r="Q288" s="153"/>
      <c r="R288" s="153"/>
      <c r="S288" s="153"/>
      <c r="T288" s="153"/>
      <c r="U288" s="153"/>
      <c r="V288" s="153"/>
      <c r="W288" s="153"/>
      <c r="X288" s="153"/>
      <c r="Y288" s="153"/>
      <c r="Z288" s="153"/>
      <c r="AA288" s="153"/>
      <c r="AB288" s="153"/>
    </row>
    <row r="289" spans="1:28" ht="15">
      <c r="A289" s="153"/>
      <c r="B289" s="153"/>
      <c r="C289" s="153"/>
      <c r="D289" s="153"/>
      <c r="E289" s="153"/>
      <c r="F289" s="153"/>
      <c r="G289" s="153"/>
      <c r="H289" s="153"/>
      <c r="I289" s="153"/>
      <c r="J289" s="153"/>
      <c r="K289" s="153"/>
      <c r="L289" s="153"/>
      <c r="M289" s="153"/>
      <c r="N289" s="153"/>
      <c r="O289" s="153"/>
      <c r="P289" s="153"/>
      <c r="Q289" s="153"/>
      <c r="R289" s="153"/>
      <c r="S289" s="153"/>
      <c r="T289" s="153"/>
      <c r="U289" s="153"/>
      <c r="V289" s="153"/>
      <c r="W289" s="153"/>
      <c r="X289" s="153"/>
      <c r="Y289" s="153"/>
      <c r="Z289" s="153"/>
      <c r="AA289" s="153"/>
      <c r="AB289" s="153"/>
    </row>
    <row r="290" spans="1:28" ht="15">
      <c r="A290" s="153"/>
      <c r="B290" s="153"/>
      <c r="C290" s="153"/>
      <c r="D290" s="153"/>
      <c r="E290" s="153"/>
      <c r="F290" s="153"/>
      <c r="G290" s="153"/>
      <c r="H290" s="153"/>
      <c r="I290" s="153"/>
      <c r="J290" s="153"/>
      <c r="K290" s="153"/>
      <c r="L290" s="153"/>
      <c r="M290" s="153"/>
      <c r="N290" s="153"/>
      <c r="O290" s="153"/>
      <c r="P290" s="153"/>
      <c r="Q290" s="153"/>
      <c r="R290" s="153"/>
      <c r="S290" s="153"/>
      <c r="T290" s="153"/>
      <c r="U290" s="153"/>
      <c r="V290" s="153"/>
      <c r="W290" s="153"/>
      <c r="X290" s="153"/>
      <c r="Y290" s="153"/>
      <c r="Z290" s="153"/>
      <c r="AA290" s="153"/>
      <c r="AB290" s="153"/>
    </row>
    <row r="291" spans="1:28" ht="15">
      <c r="A291" s="153"/>
      <c r="B291" s="153"/>
      <c r="C291" s="153"/>
      <c r="D291" s="153"/>
      <c r="E291" s="153"/>
      <c r="F291" s="153"/>
      <c r="G291" s="153"/>
      <c r="H291" s="153"/>
      <c r="I291" s="153"/>
      <c r="J291" s="153"/>
      <c r="K291" s="153"/>
      <c r="L291" s="153"/>
      <c r="M291" s="153"/>
      <c r="N291" s="153"/>
      <c r="O291" s="153"/>
      <c r="P291" s="153"/>
      <c r="Q291" s="153"/>
      <c r="R291" s="153"/>
      <c r="S291" s="153"/>
      <c r="T291" s="153"/>
      <c r="U291" s="153"/>
      <c r="V291" s="153"/>
      <c r="W291" s="153"/>
      <c r="X291" s="153"/>
      <c r="Y291" s="153"/>
      <c r="Z291" s="153"/>
      <c r="AA291" s="153"/>
      <c r="AB291" s="153"/>
    </row>
    <row r="292" spans="1:28" ht="15">
      <c r="A292" s="153"/>
      <c r="B292" s="153"/>
      <c r="C292" s="153"/>
      <c r="D292" s="153"/>
      <c r="E292" s="153"/>
      <c r="F292" s="153"/>
      <c r="G292" s="153"/>
      <c r="H292" s="153"/>
      <c r="I292" s="153"/>
      <c r="J292" s="153"/>
      <c r="K292" s="153"/>
      <c r="L292" s="153"/>
      <c r="M292" s="153"/>
      <c r="N292" s="153"/>
      <c r="O292" s="153"/>
      <c r="P292" s="153"/>
      <c r="Q292" s="153"/>
      <c r="R292" s="153"/>
      <c r="S292" s="153"/>
      <c r="T292" s="153"/>
      <c r="U292" s="153"/>
      <c r="V292" s="153"/>
      <c r="W292" s="153"/>
      <c r="X292" s="153"/>
      <c r="Y292" s="153"/>
      <c r="Z292" s="153"/>
      <c r="AA292" s="153"/>
      <c r="AB292" s="153"/>
    </row>
    <row r="293" spans="1:28" ht="15">
      <c r="A293" s="153"/>
      <c r="B293" s="153"/>
      <c r="C293" s="153"/>
      <c r="D293" s="153"/>
      <c r="E293" s="153"/>
      <c r="F293" s="153"/>
      <c r="G293" s="153"/>
      <c r="H293" s="153"/>
      <c r="I293" s="153"/>
      <c r="J293" s="153"/>
      <c r="K293" s="153"/>
      <c r="L293" s="153"/>
      <c r="M293" s="153"/>
      <c r="N293" s="153"/>
      <c r="O293" s="153"/>
      <c r="P293" s="153"/>
      <c r="Q293" s="153"/>
      <c r="R293" s="153"/>
      <c r="S293" s="153"/>
      <c r="T293" s="153"/>
      <c r="U293" s="153"/>
      <c r="V293" s="153"/>
      <c r="W293" s="153"/>
      <c r="X293" s="153"/>
      <c r="Y293" s="153"/>
      <c r="Z293" s="153"/>
      <c r="AA293" s="153"/>
      <c r="AB293" s="153"/>
    </row>
    <row r="294" spans="1:28" ht="15">
      <c r="A294" s="153"/>
      <c r="B294" s="153"/>
      <c r="C294" s="153"/>
      <c r="D294" s="153"/>
      <c r="E294" s="153"/>
      <c r="F294" s="153"/>
      <c r="G294" s="153"/>
      <c r="H294" s="153"/>
      <c r="I294" s="153"/>
      <c r="J294" s="153"/>
      <c r="K294" s="153"/>
      <c r="L294" s="153"/>
      <c r="M294" s="153"/>
      <c r="N294" s="153"/>
      <c r="O294" s="153"/>
      <c r="P294" s="153"/>
      <c r="Q294" s="153"/>
      <c r="R294" s="153"/>
      <c r="S294" s="153"/>
      <c r="T294" s="153"/>
      <c r="U294" s="153"/>
      <c r="V294" s="153"/>
      <c r="W294" s="153"/>
      <c r="X294" s="153"/>
      <c r="Y294" s="153"/>
      <c r="Z294" s="153"/>
      <c r="AA294" s="153"/>
      <c r="AB294" s="153"/>
    </row>
    <row r="295" spans="1:28" ht="15">
      <c r="A295" s="153"/>
      <c r="B295" s="153"/>
      <c r="C295" s="153"/>
      <c r="D295" s="153"/>
      <c r="E295" s="153"/>
      <c r="F295" s="153"/>
      <c r="G295" s="153"/>
      <c r="H295" s="153"/>
      <c r="I295" s="153"/>
      <c r="J295" s="153"/>
      <c r="K295" s="153"/>
      <c r="L295" s="153"/>
      <c r="M295" s="153"/>
      <c r="N295" s="153"/>
      <c r="O295" s="153"/>
      <c r="P295" s="153"/>
      <c r="Q295" s="153"/>
      <c r="R295" s="153"/>
      <c r="S295" s="153"/>
      <c r="T295" s="153"/>
      <c r="U295" s="153"/>
      <c r="V295" s="153"/>
      <c r="W295" s="153"/>
      <c r="X295" s="153"/>
      <c r="Y295" s="153"/>
      <c r="Z295" s="153"/>
      <c r="AA295" s="153"/>
      <c r="AB295" s="153"/>
    </row>
    <row r="296" spans="1:28" ht="15">
      <c r="A296" s="153"/>
      <c r="B296" s="153"/>
      <c r="C296" s="153"/>
      <c r="D296" s="153"/>
      <c r="E296" s="153"/>
      <c r="F296" s="153"/>
      <c r="G296" s="153"/>
      <c r="H296" s="153"/>
      <c r="I296" s="153"/>
      <c r="J296" s="153"/>
      <c r="K296" s="153"/>
      <c r="L296" s="153"/>
      <c r="M296" s="153"/>
      <c r="N296" s="153"/>
      <c r="O296" s="153"/>
      <c r="P296" s="153"/>
      <c r="Q296" s="153"/>
      <c r="R296" s="153"/>
      <c r="S296" s="153"/>
      <c r="T296" s="153"/>
      <c r="U296" s="153"/>
      <c r="V296" s="153"/>
      <c r="W296" s="153"/>
      <c r="X296" s="153"/>
      <c r="Y296" s="153"/>
      <c r="Z296" s="153"/>
      <c r="AA296" s="153"/>
      <c r="AB296" s="153"/>
    </row>
    <row r="297" spans="1:28" ht="15">
      <c r="A297" s="153"/>
      <c r="B297" s="153"/>
      <c r="C297" s="153"/>
      <c r="D297" s="153"/>
      <c r="E297" s="153"/>
      <c r="F297" s="153"/>
      <c r="G297" s="153"/>
      <c r="H297" s="153"/>
      <c r="I297" s="153"/>
      <c r="J297" s="153"/>
      <c r="K297" s="153"/>
      <c r="L297" s="153"/>
      <c r="M297" s="153"/>
      <c r="N297" s="153"/>
      <c r="O297" s="153"/>
      <c r="P297" s="153"/>
      <c r="Q297" s="153"/>
      <c r="R297" s="153"/>
      <c r="S297" s="153"/>
      <c r="T297" s="153"/>
      <c r="U297" s="153"/>
      <c r="V297" s="153"/>
      <c r="W297" s="153"/>
      <c r="X297" s="153"/>
      <c r="Y297" s="153"/>
      <c r="Z297" s="153"/>
      <c r="AA297" s="153"/>
      <c r="AB297" s="153"/>
    </row>
    <row r="298" spans="1:28" ht="15">
      <c r="A298" s="153"/>
      <c r="B298" s="153"/>
      <c r="C298" s="153"/>
      <c r="D298" s="153"/>
      <c r="E298" s="153"/>
      <c r="F298" s="153"/>
      <c r="G298" s="153"/>
      <c r="H298" s="153"/>
      <c r="I298" s="153"/>
      <c r="J298" s="153"/>
      <c r="K298" s="153"/>
      <c r="L298" s="153"/>
      <c r="M298" s="153"/>
      <c r="N298" s="153"/>
      <c r="O298" s="153"/>
      <c r="P298" s="153"/>
      <c r="Q298" s="153"/>
      <c r="R298" s="153"/>
      <c r="S298" s="153"/>
      <c r="T298" s="153"/>
      <c r="U298" s="153"/>
      <c r="V298" s="153"/>
      <c r="W298" s="153"/>
      <c r="X298" s="153"/>
      <c r="Y298" s="153"/>
      <c r="Z298" s="153"/>
      <c r="AA298" s="153"/>
      <c r="AB298" s="153"/>
    </row>
    <row r="299" spans="1:28" ht="15">
      <c r="A299" s="153"/>
      <c r="B299" s="153"/>
      <c r="C299" s="153"/>
      <c r="D299" s="153"/>
      <c r="E299" s="153"/>
      <c r="F299" s="153"/>
      <c r="G299" s="153"/>
      <c r="H299" s="153"/>
      <c r="I299" s="153"/>
      <c r="J299" s="153"/>
      <c r="K299" s="153"/>
      <c r="L299" s="153"/>
      <c r="M299" s="153"/>
      <c r="N299" s="153"/>
      <c r="O299" s="153"/>
      <c r="P299" s="153"/>
      <c r="Q299" s="153"/>
      <c r="R299" s="153"/>
      <c r="S299" s="153"/>
      <c r="T299" s="153"/>
      <c r="U299" s="153"/>
      <c r="V299" s="153"/>
      <c r="W299" s="153"/>
      <c r="X299" s="153"/>
      <c r="Y299" s="153"/>
      <c r="Z299" s="153"/>
      <c r="AA299" s="153"/>
      <c r="AB299" s="153"/>
    </row>
    <row r="300" spans="1:28" ht="15">
      <c r="A300" s="153"/>
      <c r="B300" s="153"/>
      <c r="C300" s="153"/>
      <c r="D300" s="153"/>
      <c r="E300" s="153"/>
      <c r="F300" s="153"/>
      <c r="G300" s="153"/>
      <c r="H300" s="153"/>
      <c r="I300" s="153"/>
      <c r="J300" s="153"/>
      <c r="K300" s="153"/>
      <c r="L300" s="153"/>
      <c r="M300" s="153"/>
      <c r="N300" s="153"/>
      <c r="O300" s="153"/>
      <c r="P300" s="153"/>
      <c r="Q300" s="153"/>
      <c r="R300" s="153"/>
      <c r="S300" s="153"/>
      <c r="T300" s="153"/>
      <c r="U300" s="153"/>
      <c r="V300" s="153"/>
      <c r="W300" s="153"/>
      <c r="X300" s="153"/>
      <c r="Y300" s="153"/>
      <c r="Z300" s="153"/>
      <c r="AA300" s="153"/>
      <c r="AB300" s="153"/>
    </row>
    <row r="301" spans="1:28" ht="15">
      <c r="A301" s="153"/>
      <c r="B301" s="153"/>
      <c r="C301" s="153"/>
      <c r="D301" s="153"/>
      <c r="E301" s="153"/>
      <c r="F301" s="153"/>
      <c r="G301" s="153"/>
      <c r="H301" s="153"/>
      <c r="I301" s="153"/>
      <c r="J301" s="153"/>
      <c r="K301" s="153"/>
      <c r="L301" s="153"/>
      <c r="M301" s="153"/>
      <c r="N301" s="153"/>
      <c r="O301" s="153"/>
      <c r="P301" s="153"/>
      <c r="Q301" s="153"/>
      <c r="R301" s="153"/>
      <c r="S301" s="153"/>
      <c r="T301" s="153"/>
      <c r="U301" s="153"/>
      <c r="V301" s="153"/>
      <c r="W301" s="153"/>
      <c r="X301" s="153"/>
      <c r="Y301" s="153"/>
      <c r="Z301" s="153"/>
      <c r="AA301" s="153"/>
      <c r="AB301" s="153"/>
    </row>
    <row r="302" spans="1:28" ht="15">
      <c r="A302" s="153"/>
      <c r="B302" s="153"/>
      <c r="C302" s="153"/>
      <c r="D302" s="153"/>
      <c r="E302" s="153"/>
      <c r="F302" s="153"/>
      <c r="G302" s="153"/>
      <c r="H302" s="153"/>
      <c r="I302" s="153"/>
      <c r="J302" s="153"/>
      <c r="K302" s="153"/>
      <c r="L302" s="153"/>
      <c r="M302" s="153"/>
      <c r="N302" s="153"/>
      <c r="O302" s="153"/>
      <c r="P302" s="153"/>
      <c r="Q302" s="153"/>
      <c r="R302" s="153"/>
      <c r="S302" s="153"/>
      <c r="T302" s="153"/>
      <c r="U302" s="153"/>
      <c r="V302" s="153"/>
      <c r="W302" s="153"/>
      <c r="X302" s="153"/>
      <c r="Y302" s="153"/>
      <c r="Z302" s="153"/>
      <c r="AA302" s="153"/>
      <c r="AB302" s="153"/>
    </row>
    <row r="303" spans="1:28" ht="15">
      <c r="A303" s="153"/>
      <c r="B303" s="153"/>
      <c r="C303" s="153"/>
      <c r="D303" s="153"/>
      <c r="E303" s="153"/>
      <c r="F303" s="153"/>
      <c r="G303" s="153"/>
      <c r="H303" s="153"/>
      <c r="I303" s="153"/>
      <c r="J303" s="153"/>
      <c r="K303" s="153"/>
      <c r="L303" s="153"/>
      <c r="M303" s="153"/>
      <c r="N303" s="153"/>
      <c r="O303" s="153"/>
      <c r="P303" s="153"/>
      <c r="Q303" s="153"/>
      <c r="R303" s="153"/>
      <c r="S303" s="153"/>
      <c r="T303" s="153"/>
      <c r="U303" s="153"/>
      <c r="V303" s="153"/>
      <c r="W303" s="153"/>
      <c r="X303" s="153"/>
      <c r="Y303" s="153"/>
      <c r="Z303" s="153"/>
      <c r="AA303" s="153"/>
      <c r="AB303" s="153"/>
    </row>
    <row r="304" spans="1:28" ht="15">
      <c r="A304" s="153"/>
      <c r="B304" s="153"/>
      <c r="C304" s="153"/>
      <c r="D304" s="153"/>
      <c r="E304" s="153"/>
      <c r="F304" s="153"/>
      <c r="G304" s="153"/>
      <c r="H304" s="153"/>
      <c r="I304" s="153"/>
      <c r="J304" s="153"/>
      <c r="K304" s="153"/>
      <c r="L304" s="153"/>
      <c r="M304" s="153"/>
      <c r="N304" s="153"/>
      <c r="O304" s="153"/>
      <c r="P304" s="153"/>
      <c r="Q304" s="153"/>
      <c r="R304" s="153"/>
      <c r="S304" s="153"/>
      <c r="T304" s="153"/>
      <c r="U304" s="153"/>
      <c r="V304" s="153"/>
      <c r="W304" s="153"/>
      <c r="X304" s="153"/>
      <c r="Y304" s="153"/>
      <c r="Z304" s="153"/>
      <c r="AA304" s="153"/>
      <c r="AB304" s="153"/>
    </row>
    <row r="305" spans="1:28" ht="15">
      <c r="A305" s="153"/>
      <c r="B305" s="153"/>
      <c r="C305" s="153"/>
      <c r="D305" s="153"/>
      <c r="E305" s="153"/>
      <c r="F305" s="153"/>
      <c r="G305" s="153"/>
      <c r="H305" s="153"/>
      <c r="I305" s="153"/>
      <c r="J305" s="153"/>
      <c r="K305" s="153"/>
      <c r="L305" s="153"/>
      <c r="M305" s="153"/>
      <c r="N305" s="153"/>
      <c r="O305" s="153"/>
      <c r="P305" s="153"/>
      <c r="Q305" s="153"/>
      <c r="R305" s="153"/>
      <c r="S305" s="153"/>
      <c r="T305" s="153"/>
      <c r="U305" s="153"/>
      <c r="V305" s="153"/>
      <c r="W305" s="153"/>
      <c r="X305" s="153"/>
      <c r="Y305" s="153"/>
      <c r="Z305" s="153"/>
      <c r="AA305" s="153"/>
      <c r="AB305" s="153"/>
    </row>
    <row r="306" spans="1:28" ht="15">
      <c r="A306" s="153"/>
      <c r="B306" s="153"/>
      <c r="C306" s="153"/>
      <c r="D306" s="153"/>
      <c r="E306" s="153"/>
      <c r="F306" s="153"/>
      <c r="G306" s="153"/>
      <c r="H306" s="153"/>
      <c r="I306" s="153"/>
      <c r="J306" s="153"/>
      <c r="K306" s="153"/>
      <c r="L306" s="153"/>
      <c r="M306" s="153"/>
      <c r="N306" s="153"/>
      <c r="O306" s="153"/>
      <c r="P306" s="153"/>
      <c r="Q306" s="153"/>
      <c r="R306" s="153"/>
      <c r="S306" s="153"/>
      <c r="T306" s="153"/>
      <c r="U306" s="153"/>
      <c r="V306" s="153"/>
      <c r="W306" s="153"/>
      <c r="X306" s="153"/>
      <c r="Y306" s="153"/>
      <c r="Z306" s="153"/>
      <c r="AA306" s="153"/>
      <c r="AB306" s="153"/>
    </row>
    <row r="307" spans="1:28" ht="15">
      <c r="A307" s="153"/>
      <c r="B307" s="153"/>
      <c r="C307" s="153"/>
      <c r="D307" s="153"/>
      <c r="E307" s="153"/>
      <c r="F307" s="153"/>
      <c r="G307" s="153"/>
      <c r="H307" s="153"/>
      <c r="I307" s="153"/>
      <c r="J307" s="153"/>
      <c r="K307" s="153"/>
      <c r="L307" s="153"/>
      <c r="M307" s="153"/>
      <c r="N307" s="153"/>
      <c r="O307" s="153"/>
      <c r="P307" s="153"/>
      <c r="Q307" s="153"/>
      <c r="R307" s="153"/>
      <c r="S307" s="153"/>
      <c r="T307" s="153"/>
      <c r="U307" s="153"/>
      <c r="V307" s="153"/>
      <c r="W307" s="153"/>
      <c r="X307" s="153"/>
      <c r="Y307" s="153"/>
      <c r="Z307" s="153"/>
      <c r="AA307" s="153"/>
      <c r="AB307" s="153"/>
    </row>
    <row r="308" spans="1:28" ht="15">
      <c r="A308" s="153"/>
      <c r="B308" s="153"/>
      <c r="C308" s="153"/>
      <c r="D308" s="153"/>
      <c r="E308" s="153"/>
      <c r="F308" s="153"/>
      <c r="G308" s="153"/>
      <c r="H308" s="153"/>
      <c r="I308" s="153"/>
      <c r="J308" s="153"/>
      <c r="K308" s="153"/>
      <c r="L308" s="153"/>
      <c r="M308" s="153"/>
      <c r="N308" s="153"/>
      <c r="O308" s="153"/>
      <c r="P308" s="153"/>
      <c r="Q308" s="153"/>
      <c r="R308" s="153"/>
      <c r="S308" s="153"/>
      <c r="T308" s="153"/>
      <c r="U308" s="153"/>
      <c r="V308" s="153"/>
      <c r="W308" s="153"/>
      <c r="X308" s="153"/>
      <c r="Y308" s="153"/>
      <c r="Z308" s="153"/>
      <c r="AA308" s="153"/>
      <c r="AB308" s="153"/>
    </row>
    <row r="309" spans="1:28" ht="15">
      <c r="A309" s="153"/>
      <c r="B309" s="153"/>
      <c r="C309" s="153"/>
      <c r="D309" s="153"/>
      <c r="E309" s="153"/>
      <c r="F309" s="153"/>
      <c r="G309" s="153"/>
      <c r="H309" s="153"/>
      <c r="I309" s="153"/>
      <c r="J309" s="153"/>
      <c r="K309" s="153"/>
      <c r="L309" s="153"/>
      <c r="M309" s="153"/>
      <c r="N309" s="153"/>
      <c r="O309" s="153"/>
      <c r="P309" s="153"/>
      <c r="Q309" s="153"/>
      <c r="R309" s="153"/>
      <c r="S309" s="153"/>
      <c r="T309" s="153"/>
      <c r="U309" s="153"/>
      <c r="V309" s="153"/>
      <c r="W309" s="153"/>
      <c r="X309" s="153"/>
      <c r="Y309" s="153"/>
      <c r="Z309" s="153"/>
      <c r="AA309" s="153"/>
      <c r="AB309" s="153"/>
    </row>
    <row r="310" spans="1:28" ht="15">
      <c r="A310" s="153"/>
      <c r="B310" s="153"/>
      <c r="C310" s="153"/>
      <c r="D310" s="153"/>
      <c r="E310" s="153"/>
      <c r="F310" s="153"/>
      <c r="G310" s="153"/>
      <c r="H310" s="153"/>
      <c r="I310" s="153"/>
      <c r="J310" s="153"/>
      <c r="K310" s="153"/>
      <c r="L310" s="153"/>
      <c r="M310" s="153"/>
      <c r="N310" s="153"/>
      <c r="O310" s="153"/>
      <c r="P310" s="153"/>
      <c r="Q310" s="153"/>
      <c r="R310" s="153"/>
      <c r="S310" s="153"/>
      <c r="T310" s="153"/>
      <c r="U310" s="153"/>
      <c r="V310" s="153"/>
      <c r="W310" s="153"/>
      <c r="X310" s="153"/>
      <c r="Y310" s="153"/>
      <c r="Z310" s="153"/>
      <c r="AA310" s="153"/>
      <c r="AB310" s="153"/>
    </row>
    <row r="311" spans="1:28" ht="15">
      <c r="A311" s="153"/>
      <c r="B311" s="153"/>
      <c r="C311" s="153"/>
      <c r="D311" s="153"/>
      <c r="E311" s="153"/>
      <c r="F311" s="153"/>
      <c r="G311" s="153"/>
      <c r="H311" s="153"/>
      <c r="I311" s="153"/>
      <c r="J311" s="153"/>
      <c r="K311" s="153"/>
      <c r="L311" s="153"/>
      <c r="M311" s="153"/>
      <c r="N311" s="153"/>
      <c r="O311" s="153"/>
      <c r="P311" s="153"/>
      <c r="Q311" s="153"/>
      <c r="R311" s="153"/>
      <c r="S311" s="153"/>
      <c r="T311" s="153"/>
      <c r="U311" s="153"/>
      <c r="V311" s="153"/>
      <c r="W311" s="153"/>
      <c r="X311" s="153"/>
      <c r="Y311" s="153"/>
      <c r="Z311" s="153"/>
      <c r="AA311" s="153"/>
      <c r="AB311" s="153"/>
    </row>
    <row r="312" spans="1:28" ht="15">
      <c r="A312" s="153"/>
      <c r="B312" s="153"/>
      <c r="C312" s="153"/>
      <c r="D312" s="153"/>
      <c r="E312" s="153"/>
      <c r="F312" s="153"/>
      <c r="G312" s="153"/>
      <c r="H312" s="153"/>
      <c r="I312" s="153"/>
      <c r="J312" s="153"/>
      <c r="K312" s="153"/>
      <c r="L312" s="153"/>
      <c r="M312" s="153"/>
      <c r="N312" s="153"/>
      <c r="O312" s="153"/>
      <c r="P312" s="153"/>
      <c r="Q312" s="153"/>
      <c r="R312" s="153"/>
      <c r="S312" s="153"/>
      <c r="T312" s="153"/>
      <c r="U312" s="153"/>
      <c r="V312" s="153"/>
      <c r="W312" s="153"/>
      <c r="X312" s="153"/>
      <c r="Y312" s="153"/>
      <c r="Z312" s="153"/>
      <c r="AA312" s="153"/>
      <c r="AB312" s="153"/>
    </row>
    <row r="313" spans="1:28" ht="15">
      <c r="A313" s="153"/>
      <c r="B313" s="153"/>
      <c r="C313" s="153"/>
      <c r="D313" s="153"/>
      <c r="E313" s="153"/>
      <c r="F313" s="153"/>
      <c r="G313" s="153"/>
      <c r="H313" s="153"/>
      <c r="I313" s="153"/>
      <c r="J313" s="153"/>
      <c r="K313" s="153"/>
      <c r="L313" s="153"/>
      <c r="M313" s="153"/>
      <c r="N313" s="153"/>
      <c r="O313" s="153"/>
      <c r="P313" s="153"/>
      <c r="Q313" s="153"/>
      <c r="R313" s="153"/>
      <c r="S313" s="153"/>
      <c r="T313" s="153"/>
      <c r="U313" s="153"/>
      <c r="V313" s="153"/>
      <c r="W313" s="153"/>
      <c r="X313" s="153"/>
      <c r="Y313" s="153"/>
      <c r="Z313" s="153"/>
      <c r="AA313" s="153"/>
      <c r="AB313" s="153"/>
    </row>
    <row r="314" spans="1:28" ht="15">
      <c r="A314" s="153"/>
      <c r="B314" s="153"/>
      <c r="C314" s="153"/>
      <c r="D314" s="153"/>
      <c r="E314" s="153"/>
      <c r="F314" s="153"/>
      <c r="G314" s="153"/>
      <c r="H314" s="153"/>
      <c r="I314" s="153"/>
      <c r="J314" s="153"/>
      <c r="K314" s="153"/>
      <c r="L314" s="153"/>
      <c r="M314" s="153"/>
      <c r="N314" s="153"/>
      <c r="O314" s="153"/>
      <c r="P314" s="153"/>
      <c r="Q314" s="153"/>
      <c r="R314" s="153"/>
      <c r="S314" s="153"/>
      <c r="T314" s="153"/>
      <c r="U314" s="153"/>
      <c r="V314" s="153"/>
      <c r="W314" s="153"/>
      <c r="X314" s="153"/>
      <c r="Y314" s="153"/>
      <c r="Z314" s="153"/>
      <c r="AA314" s="153"/>
      <c r="AB314" s="153"/>
    </row>
    <row r="315" spans="1:28" ht="15">
      <c r="A315" s="153"/>
      <c r="B315" s="153"/>
      <c r="C315" s="153"/>
      <c r="D315" s="153"/>
      <c r="E315" s="153"/>
      <c r="F315" s="153"/>
      <c r="G315" s="153"/>
      <c r="H315" s="153"/>
      <c r="I315" s="153"/>
      <c r="J315" s="153"/>
      <c r="K315" s="153"/>
      <c r="L315" s="153"/>
      <c r="M315" s="153"/>
      <c r="N315" s="153"/>
      <c r="O315" s="153"/>
      <c r="P315" s="153"/>
      <c r="Q315" s="153"/>
      <c r="R315" s="153"/>
      <c r="S315" s="153"/>
      <c r="T315" s="153"/>
      <c r="U315" s="153"/>
      <c r="V315" s="153"/>
      <c r="W315" s="153"/>
      <c r="X315" s="153"/>
      <c r="Y315" s="153"/>
      <c r="Z315" s="153"/>
      <c r="AA315" s="153"/>
      <c r="AB315" s="153"/>
    </row>
    <row r="316" spans="1:28" ht="15">
      <c r="A316" s="153"/>
      <c r="B316" s="153"/>
      <c r="C316" s="153"/>
      <c r="D316" s="153"/>
      <c r="E316" s="153"/>
      <c r="F316" s="153"/>
      <c r="G316" s="153"/>
      <c r="H316" s="153"/>
      <c r="I316" s="153"/>
      <c r="J316" s="153"/>
      <c r="K316" s="153"/>
      <c r="L316" s="153"/>
      <c r="M316" s="153"/>
      <c r="N316" s="153"/>
      <c r="O316" s="153"/>
      <c r="P316" s="153"/>
      <c r="Q316" s="153"/>
      <c r="R316" s="153"/>
      <c r="S316" s="153"/>
      <c r="T316" s="153"/>
      <c r="U316" s="153"/>
      <c r="V316" s="153"/>
      <c r="W316" s="153"/>
      <c r="X316" s="153"/>
      <c r="Y316" s="153"/>
      <c r="Z316" s="153"/>
      <c r="AA316" s="153"/>
      <c r="AB316" s="153"/>
    </row>
    <row r="317" spans="1:28" ht="15">
      <c r="A317" s="153"/>
      <c r="B317" s="153"/>
      <c r="C317" s="153"/>
      <c r="D317" s="153"/>
      <c r="E317" s="153"/>
      <c r="F317" s="153"/>
      <c r="G317" s="153"/>
      <c r="H317" s="153"/>
      <c r="I317" s="153"/>
      <c r="J317" s="153"/>
      <c r="K317" s="153"/>
      <c r="L317" s="153"/>
      <c r="M317" s="153"/>
      <c r="N317" s="153"/>
      <c r="O317" s="153"/>
      <c r="P317" s="153"/>
      <c r="Q317" s="153"/>
      <c r="R317" s="153"/>
      <c r="S317" s="153"/>
      <c r="T317" s="153"/>
      <c r="U317" s="153"/>
      <c r="V317" s="153"/>
      <c r="W317" s="153"/>
      <c r="X317" s="153"/>
      <c r="Y317" s="153"/>
      <c r="Z317" s="153"/>
      <c r="AA317" s="153"/>
      <c r="AB317" s="153"/>
    </row>
    <row r="318" spans="1:28" ht="15">
      <c r="A318" s="153"/>
      <c r="B318" s="153"/>
      <c r="C318" s="153"/>
      <c r="D318" s="153"/>
      <c r="E318" s="153"/>
      <c r="F318" s="153"/>
      <c r="G318" s="153"/>
      <c r="H318" s="153"/>
      <c r="I318" s="153"/>
      <c r="J318" s="153"/>
      <c r="K318" s="153"/>
      <c r="L318" s="153"/>
      <c r="M318" s="153"/>
      <c r="N318" s="153"/>
      <c r="O318" s="153"/>
      <c r="P318" s="153"/>
      <c r="Q318" s="153"/>
      <c r="R318" s="153"/>
      <c r="S318" s="153"/>
      <c r="T318" s="153"/>
      <c r="U318" s="153"/>
      <c r="V318" s="153"/>
      <c r="W318" s="153"/>
      <c r="X318" s="153"/>
      <c r="Y318" s="153"/>
      <c r="Z318" s="153"/>
      <c r="AA318" s="153"/>
      <c r="AB318" s="153"/>
    </row>
    <row r="319" spans="1:28" ht="15">
      <c r="A319" s="153"/>
      <c r="B319" s="153"/>
      <c r="C319" s="153"/>
      <c r="D319" s="153"/>
      <c r="E319" s="153"/>
      <c r="F319" s="153"/>
      <c r="G319" s="153"/>
      <c r="H319" s="153"/>
      <c r="I319" s="153"/>
      <c r="J319" s="153"/>
      <c r="K319" s="153"/>
      <c r="L319" s="153"/>
      <c r="M319" s="153"/>
      <c r="N319" s="153"/>
      <c r="O319" s="153"/>
      <c r="P319" s="153"/>
      <c r="Q319" s="153"/>
      <c r="R319" s="153"/>
      <c r="S319" s="153"/>
      <c r="T319" s="153"/>
      <c r="U319" s="153"/>
      <c r="V319" s="153"/>
      <c r="W319" s="153"/>
      <c r="X319" s="153"/>
      <c r="Y319" s="153"/>
      <c r="Z319" s="153"/>
      <c r="AA319" s="153"/>
      <c r="AB319" s="153"/>
    </row>
    <row r="320" spans="1:28" ht="15">
      <c r="A320" s="153"/>
      <c r="B320" s="153"/>
      <c r="C320" s="153"/>
      <c r="D320" s="153"/>
      <c r="E320" s="153"/>
      <c r="F320" s="153"/>
      <c r="G320" s="153"/>
      <c r="H320" s="153"/>
      <c r="I320" s="153"/>
      <c r="J320" s="153"/>
      <c r="K320" s="153"/>
      <c r="L320" s="153"/>
      <c r="M320" s="153"/>
      <c r="N320" s="153"/>
      <c r="O320" s="153"/>
      <c r="P320" s="153"/>
      <c r="Q320" s="153"/>
      <c r="R320" s="153"/>
      <c r="S320" s="153"/>
      <c r="T320" s="153"/>
      <c r="U320" s="153"/>
      <c r="V320" s="153"/>
      <c r="W320" s="153"/>
      <c r="X320" s="153"/>
      <c r="Y320" s="153"/>
      <c r="Z320" s="153"/>
      <c r="AA320" s="153"/>
      <c r="AB320" s="153"/>
    </row>
    <row r="321" spans="1:28" ht="15">
      <c r="A321" s="153"/>
      <c r="B321" s="153"/>
      <c r="C321" s="153"/>
      <c r="D321" s="153"/>
      <c r="E321" s="153"/>
      <c r="F321" s="153"/>
      <c r="G321" s="153"/>
      <c r="H321" s="153"/>
      <c r="I321" s="153"/>
      <c r="J321" s="153"/>
      <c r="K321" s="153"/>
      <c r="L321" s="153"/>
      <c r="M321" s="153"/>
      <c r="N321" s="153"/>
      <c r="O321" s="153"/>
      <c r="P321" s="153"/>
      <c r="Q321" s="153"/>
      <c r="R321" s="153"/>
      <c r="S321" s="153"/>
      <c r="T321" s="153"/>
      <c r="U321" s="153"/>
      <c r="V321" s="153"/>
      <c r="W321" s="153"/>
      <c r="X321" s="153"/>
      <c r="Y321" s="153"/>
      <c r="Z321" s="153"/>
      <c r="AA321" s="153"/>
      <c r="AB321" s="153"/>
    </row>
    <row r="322" spans="1:28" ht="15">
      <c r="A322" s="153"/>
      <c r="B322" s="153"/>
      <c r="C322" s="153"/>
      <c r="D322" s="153"/>
      <c r="E322" s="153"/>
      <c r="F322" s="153"/>
      <c r="G322" s="153"/>
      <c r="H322" s="153"/>
      <c r="I322" s="153"/>
      <c r="J322" s="153"/>
      <c r="K322" s="153"/>
      <c r="L322" s="153"/>
      <c r="M322" s="153"/>
      <c r="N322" s="153"/>
      <c r="O322" s="153"/>
      <c r="P322" s="153"/>
      <c r="Q322" s="153"/>
      <c r="R322" s="153"/>
      <c r="S322" s="153"/>
      <c r="T322" s="153"/>
      <c r="U322" s="153"/>
      <c r="V322" s="153"/>
      <c r="W322" s="153"/>
      <c r="X322" s="153"/>
      <c r="Y322" s="153"/>
      <c r="Z322" s="153"/>
      <c r="AA322" s="153"/>
      <c r="AB322" s="153"/>
    </row>
    <row r="323" spans="1:28" ht="15">
      <c r="A323" s="153"/>
      <c r="B323" s="153"/>
      <c r="C323" s="153"/>
      <c r="D323" s="153"/>
      <c r="E323" s="153"/>
      <c r="F323" s="153"/>
      <c r="G323" s="153"/>
      <c r="H323" s="153"/>
      <c r="I323" s="153"/>
      <c r="J323" s="153"/>
      <c r="K323" s="153"/>
      <c r="L323" s="153"/>
      <c r="M323" s="153"/>
      <c r="N323" s="153"/>
      <c r="O323" s="153"/>
      <c r="P323" s="153"/>
      <c r="Q323" s="153"/>
      <c r="R323" s="153"/>
      <c r="S323" s="153"/>
      <c r="T323" s="153"/>
      <c r="U323" s="153"/>
      <c r="V323" s="153"/>
      <c r="W323" s="153"/>
      <c r="X323" s="153"/>
      <c r="Y323" s="153"/>
      <c r="Z323" s="153"/>
      <c r="AA323" s="153"/>
      <c r="AB323" s="153"/>
    </row>
    <row r="324" spans="1:28" ht="15">
      <c r="A324" s="153"/>
      <c r="B324" s="153"/>
      <c r="C324" s="153"/>
      <c r="D324" s="153"/>
      <c r="E324" s="153"/>
      <c r="F324" s="153"/>
      <c r="G324" s="153"/>
      <c r="H324" s="153"/>
      <c r="I324" s="153"/>
      <c r="J324" s="153"/>
      <c r="K324" s="153"/>
      <c r="L324" s="153"/>
      <c r="M324" s="153"/>
      <c r="N324" s="153"/>
      <c r="O324" s="153"/>
      <c r="P324" s="153"/>
      <c r="Q324" s="153"/>
      <c r="R324" s="153"/>
      <c r="S324" s="153"/>
      <c r="T324" s="153"/>
      <c r="U324" s="153"/>
      <c r="V324" s="153"/>
      <c r="W324" s="153"/>
      <c r="X324" s="153"/>
      <c r="Y324" s="153"/>
      <c r="Z324" s="153"/>
      <c r="AA324" s="153"/>
      <c r="AB324" s="153"/>
    </row>
    <row r="325" spans="1:28" ht="15">
      <c r="A325" s="153"/>
      <c r="B325" s="153"/>
      <c r="C325" s="153"/>
      <c r="D325" s="153"/>
      <c r="E325" s="153"/>
      <c r="F325" s="153"/>
      <c r="G325" s="153"/>
      <c r="H325" s="153"/>
      <c r="I325" s="153"/>
      <c r="J325" s="153"/>
      <c r="K325" s="153"/>
      <c r="L325" s="153"/>
      <c r="M325" s="153"/>
      <c r="N325" s="153"/>
      <c r="O325" s="153"/>
      <c r="P325" s="153"/>
      <c r="Q325" s="153"/>
      <c r="R325" s="153"/>
      <c r="S325" s="153"/>
      <c r="T325" s="153"/>
      <c r="U325" s="153"/>
      <c r="V325" s="153"/>
      <c r="W325" s="153"/>
      <c r="X325" s="153"/>
      <c r="Y325" s="153"/>
      <c r="Z325" s="153"/>
      <c r="AA325" s="153"/>
      <c r="AB325" s="153"/>
    </row>
    <row r="326" spans="1:28" ht="15">
      <c r="A326" s="153"/>
      <c r="B326" s="153"/>
      <c r="C326" s="153"/>
      <c r="D326" s="153"/>
      <c r="E326" s="153"/>
      <c r="F326" s="153"/>
      <c r="G326" s="153"/>
      <c r="H326" s="153"/>
      <c r="I326" s="153"/>
      <c r="J326" s="153"/>
      <c r="K326" s="153"/>
      <c r="L326" s="153"/>
      <c r="M326" s="153"/>
      <c r="N326" s="153"/>
      <c r="O326" s="153"/>
      <c r="P326" s="153"/>
      <c r="Q326" s="153"/>
      <c r="R326" s="153"/>
      <c r="S326" s="153"/>
      <c r="T326" s="153"/>
      <c r="U326" s="153"/>
      <c r="V326" s="153"/>
      <c r="W326" s="153"/>
      <c r="X326" s="153"/>
      <c r="Y326" s="153"/>
      <c r="Z326" s="153"/>
      <c r="AA326" s="153"/>
      <c r="AB326" s="153"/>
    </row>
    <row r="327" spans="1:28" ht="15">
      <c r="A327" s="153"/>
      <c r="B327" s="153"/>
      <c r="C327" s="153"/>
      <c r="D327" s="153"/>
      <c r="E327" s="153"/>
      <c r="F327" s="153"/>
      <c r="G327" s="153"/>
      <c r="H327" s="153"/>
      <c r="I327" s="153"/>
      <c r="J327" s="153"/>
      <c r="K327" s="153"/>
      <c r="L327" s="153"/>
      <c r="M327" s="153"/>
      <c r="N327" s="153"/>
      <c r="O327" s="153"/>
      <c r="P327" s="153"/>
      <c r="Q327" s="153"/>
      <c r="R327" s="153"/>
      <c r="S327" s="153"/>
      <c r="T327" s="153"/>
      <c r="U327" s="153"/>
      <c r="V327" s="153"/>
      <c r="W327" s="153"/>
      <c r="X327" s="153"/>
      <c r="Y327" s="153"/>
      <c r="Z327" s="153"/>
      <c r="AA327" s="153"/>
      <c r="AB327" s="153"/>
    </row>
    <row r="328" spans="1:28" ht="15">
      <c r="A328" s="153"/>
      <c r="B328" s="153"/>
      <c r="C328" s="153"/>
      <c r="D328" s="153"/>
      <c r="E328" s="153"/>
      <c r="F328" s="153"/>
      <c r="G328" s="153"/>
      <c r="H328" s="153"/>
      <c r="I328" s="153"/>
      <c r="J328" s="153"/>
      <c r="K328" s="153"/>
      <c r="L328" s="153"/>
      <c r="M328" s="153"/>
      <c r="N328" s="153"/>
      <c r="O328" s="153"/>
      <c r="P328" s="153"/>
      <c r="Q328" s="153"/>
      <c r="R328" s="153"/>
      <c r="S328" s="153"/>
      <c r="T328" s="153"/>
      <c r="U328" s="153"/>
      <c r="V328" s="153"/>
      <c r="W328" s="153"/>
      <c r="X328" s="153"/>
      <c r="Y328" s="153"/>
      <c r="Z328" s="153"/>
      <c r="AA328" s="153"/>
      <c r="AB328" s="153"/>
    </row>
    <row r="329" spans="1:28" ht="15">
      <c r="A329" s="153"/>
      <c r="B329" s="153"/>
      <c r="C329" s="153"/>
      <c r="D329" s="153"/>
      <c r="E329" s="153"/>
      <c r="F329" s="153"/>
      <c r="G329" s="153"/>
      <c r="H329" s="153"/>
      <c r="I329" s="153"/>
      <c r="J329" s="153"/>
      <c r="K329" s="153"/>
      <c r="L329" s="153"/>
      <c r="M329" s="153"/>
      <c r="N329" s="153"/>
      <c r="O329" s="153"/>
      <c r="P329" s="153"/>
      <c r="Q329" s="153"/>
      <c r="R329" s="153"/>
      <c r="S329" s="153"/>
      <c r="T329" s="153"/>
      <c r="U329" s="153"/>
      <c r="V329" s="153"/>
      <c r="W329" s="153"/>
      <c r="X329" s="153"/>
      <c r="Y329" s="153"/>
      <c r="Z329" s="153"/>
      <c r="AA329" s="153"/>
      <c r="AB329" s="153"/>
    </row>
    <row r="330" spans="1:28" ht="15">
      <c r="A330" s="153"/>
      <c r="B330" s="153"/>
      <c r="C330" s="153"/>
      <c r="D330" s="153"/>
      <c r="E330" s="153"/>
      <c r="F330" s="153"/>
      <c r="G330" s="153"/>
      <c r="H330" s="153"/>
      <c r="I330" s="153"/>
      <c r="J330" s="153"/>
      <c r="K330" s="153"/>
      <c r="L330" s="153"/>
      <c r="M330" s="153"/>
      <c r="N330" s="153"/>
      <c r="O330" s="153"/>
      <c r="P330" s="153"/>
      <c r="Q330" s="153"/>
      <c r="R330" s="153"/>
      <c r="S330" s="153"/>
      <c r="T330" s="153"/>
      <c r="U330" s="153"/>
      <c r="V330" s="153"/>
      <c r="W330" s="153"/>
      <c r="X330" s="153"/>
      <c r="Y330" s="153"/>
      <c r="Z330" s="153"/>
      <c r="AA330" s="153"/>
      <c r="AB330" s="153"/>
    </row>
    <row r="331" spans="1:28" ht="15">
      <c r="A331" s="153"/>
      <c r="B331" s="153"/>
      <c r="C331" s="153"/>
      <c r="D331" s="153"/>
      <c r="E331" s="153"/>
      <c r="F331" s="153"/>
      <c r="G331" s="153"/>
      <c r="H331" s="153"/>
      <c r="I331" s="153"/>
      <c r="J331" s="153"/>
      <c r="K331" s="153"/>
      <c r="L331" s="153"/>
      <c r="M331" s="153"/>
      <c r="N331" s="153"/>
      <c r="O331" s="153"/>
      <c r="P331" s="153"/>
      <c r="Q331" s="153"/>
      <c r="R331" s="153"/>
      <c r="S331" s="153"/>
      <c r="T331" s="153"/>
      <c r="U331" s="153"/>
      <c r="V331" s="153"/>
      <c r="W331" s="153"/>
      <c r="X331" s="153"/>
      <c r="Y331" s="153"/>
      <c r="Z331" s="153"/>
      <c r="AA331" s="153"/>
      <c r="AB331" s="153"/>
    </row>
    <row r="332" spans="1:28" ht="15">
      <c r="A332" s="153"/>
      <c r="B332" s="153"/>
      <c r="C332" s="153"/>
      <c r="D332" s="153"/>
      <c r="E332" s="153"/>
      <c r="F332" s="153"/>
      <c r="G332" s="153"/>
      <c r="H332" s="153"/>
      <c r="I332" s="153"/>
      <c r="J332" s="153"/>
      <c r="K332" s="153"/>
      <c r="L332" s="153"/>
      <c r="M332" s="153"/>
      <c r="N332" s="153"/>
      <c r="O332" s="153"/>
      <c r="P332" s="153"/>
      <c r="Q332" s="153"/>
      <c r="R332" s="153"/>
      <c r="S332" s="153"/>
      <c r="T332" s="153"/>
      <c r="U332" s="153"/>
      <c r="V332" s="153"/>
      <c r="W332" s="153"/>
      <c r="X332" s="153"/>
      <c r="Y332" s="153"/>
      <c r="Z332" s="153"/>
      <c r="AA332" s="153"/>
      <c r="AB332" s="153"/>
    </row>
    <row r="333" spans="1:28" ht="15">
      <c r="A333" s="153"/>
      <c r="B333" s="153"/>
      <c r="C333" s="153"/>
      <c r="D333" s="153"/>
      <c r="E333" s="153"/>
      <c r="F333" s="153"/>
      <c r="G333" s="153"/>
      <c r="H333" s="153"/>
      <c r="I333" s="153"/>
      <c r="J333" s="153"/>
      <c r="K333" s="153"/>
      <c r="L333" s="153"/>
      <c r="M333" s="153"/>
      <c r="N333" s="153"/>
      <c r="O333" s="153"/>
      <c r="P333" s="153"/>
      <c r="Q333" s="153"/>
      <c r="R333" s="153"/>
      <c r="S333" s="153"/>
      <c r="T333" s="153"/>
      <c r="U333" s="153"/>
      <c r="V333" s="153"/>
      <c r="W333" s="153"/>
      <c r="X333" s="153"/>
      <c r="Y333" s="153"/>
      <c r="Z333" s="153"/>
      <c r="AA333" s="153"/>
      <c r="AB333" s="153"/>
    </row>
    <row r="334" spans="1:28" ht="15">
      <c r="A334" s="153"/>
      <c r="B334" s="153"/>
      <c r="C334" s="153"/>
      <c r="D334" s="153"/>
      <c r="E334" s="153"/>
      <c r="F334" s="153"/>
      <c r="G334" s="153"/>
      <c r="H334" s="153"/>
      <c r="I334" s="153"/>
      <c r="J334" s="153"/>
      <c r="K334" s="153"/>
      <c r="L334" s="153"/>
      <c r="M334" s="153"/>
      <c r="N334" s="153"/>
      <c r="O334" s="153"/>
      <c r="P334" s="153"/>
      <c r="Q334" s="153"/>
      <c r="R334" s="153"/>
      <c r="S334" s="153"/>
      <c r="T334" s="153"/>
      <c r="U334" s="153"/>
      <c r="V334" s="153"/>
      <c r="W334" s="153"/>
      <c r="X334" s="153"/>
      <c r="Y334" s="153"/>
      <c r="Z334" s="153"/>
      <c r="AA334" s="153"/>
      <c r="AB334" s="153"/>
    </row>
    <row r="335" spans="1:28" ht="15">
      <c r="A335" s="153"/>
      <c r="B335" s="153"/>
      <c r="C335" s="153"/>
      <c r="D335" s="153"/>
      <c r="E335" s="153"/>
      <c r="F335" s="153"/>
      <c r="G335" s="153"/>
      <c r="H335" s="153"/>
      <c r="I335" s="153"/>
      <c r="J335" s="153"/>
      <c r="K335" s="153"/>
      <c r="L335" s="153"/>
      <c r="M335" s="153"/>
      <c r="N335" s="153"/>
      <c r="O335" s="153"/>
      <c r="P335" s="153"/>
      <c r="Q335" s="153"/>
      <c r="R335" s="153"/>
      <c r="S335" s="153"/>
      <c r="T335" s="153"/>
      <c r="U335" s="153"/>
      <c r="V335" s="153"/>
      <c r="W335" s="153"/>
      <c r="X335" s="153"/>
      <c r="Y335" s="153"/>
      <c r="Z335" s="153"/>
      <c r="AA335" s="153"/>
      <c r="AB335" s="153"/>
    </row>
    <row r="336" spans="1:28" ht="15">
      <c r="A336" s="153"/>
      <c r="B336" s="153"/>
      <c r="C336" s="153"/>
      <c r="D336" s="153"/>
      <c r="E336" s="153"/>
      <c r="F336" s="153"/>
      <c r="G336" s="153"/>
      <c r="H336" s="153"/>
      <c r="I336" s="153"/>
      <c r="J336" s="153"/>
      <c r="K336" s="153"/>
      <c r="L336" s="153"/>
      <c r="M336" s="153"/>
      <c r="N336" s="153"/>
      <c r="O336" s="153"/>
      <c r="P336" s="153"/>
      <c r="Q336" s="153"/>
      <c r="R336" s="153"/>
      <c r="S336" s="153"/>
      <c r="T336" s="153"/>
      <c r="U336" s="153"/>
      <c r="V336" s="153"/>
      <c r="W336" s="153"/>
      <c r="X336" s="153"/>
      <c r="Y336" s="153"/>
      <c r="Z336" s="153"/>
      <c r="AA336" s="153"/>
      <c r="AB336" s="153"/>
    </row>
    <row r="337" spans="1:28" ht="15">
      <c r="A337" s="153"/>
      <c r="B337" s="153"/>
      <c r="C337" s="153"/>
      <c r="D337" s="153"/>
      <c r="E337" s="153"/>
      <c r="F337" s="153"/>
      <c r="G337" s="153"/>
      <c r="H337" s="153"/>
      <c r="I337" s="153"/>
      <c r="J337" s="153"/>
      <c r="K337" s="153"/>
      <c r="L337" s="153"/>
      <c r="M337" s="153"/>
      <c r="N337" s="153"/>
      <c r="O337" s="153"/>
      <c r="P337" s="153"/>
      <c r="Q337" s="153"/>
      <c r="R337" s="153"/>
      <c r="S337" s="153"/>
      <c r="T337" s="153"/>
      <c r="U337" s="153"/>
      <c r="V337" s="153"/>
      <c r="W337" s="153"/>
      <c r="X337" s="153"/>
      <c r="Y337" s="153"/>
      <c r="Z337" s="153"/>
      <c r="AA337" s="153"/>
      <c r="AB337" s="153"/>
    </row>
    <row r="338" spans="1:28" ht="15">
      <c r="A338" s="153"/>
      <c r="B338" s="153"/>
      <c r="C338" s="153"/>
      <c r="D338" s="153"/>
      <c r="E338" s="153"/>
      <c r="F338" s="153"/>
      <c r="G338" s="153"/>
      <c r="H338" s="153"/>
      <c r="I338" s="153"/>
      <c r="J338" s="153"/>
      <c r="K338" s="153"/>
      <c r="L338" s="153"/>
      <c r="M338" s="153"/>
      <c r="N338" s="153"/>
      <c r="O338" s="153"/>
      <c r="P338" s="153"/>
      <c r="Q338" s="153"/>
      <c r="R338" s="153"/>
      <c r="S338" s="153"/>
      <c r="T338" s="153"/>
      <c r="U338" s="153"/>
      <c r="V338" s="153"/>
      <c r="W338" s="153"/>
      <c r="X338" s="153"/>
      <c r="Y338" s="153"/>
      <c r="Z338" s="153"/>
      <c r="AA338" s="153"/>
      <c r="AB338" s="153"/>
    </row>
    <row r="339" spans="1:28" ht="15">
      <c r="A339" s="153"/>
      <c r="B339" s="153"/>
      <c r="C339" s="153"/>
      <c r="D339" s="153"/>
      <c r="E339" s="153"/>
      <c r="F339" s="153"/>
      <c r="G339" s="153"/>
      <c r="H339" s="153"/>
      <c r="I339" s="153"/>
      <c r="J339" s="153"/>
      <c r="K339" s="153"/>
      <c r="L339" s="153"/>
      <c r="M339" s="153"/>
      <c r="N339" s="153"/>
      <c r="O339" s="153"/>
      <c r="P339" s="153"/>
      <c r="Q339" s="153"/>
      <c r="R339" s="153"/>
      <c r="S339" s="153"/>
      <c r="T339" s="153"/>
      <c r="U339" s="153"/>
      <c r="V339" s="153"/>
      <c r="W339" s="153"/>
      <c r="X339" s="153"/>
      <c r="Y339" s="153"/>
      <c r="Z339" s="153"/>
      <c r="AA339" s="153"/>
      <c r="AB339" s="153"/>
    </row>
    <row r="340" spans="1:28" ht="15">
      <c r="A340" s="153"/>
      <c r="B340" s="153"/>
      <c r="C340" s="153"/>
      <c r="D340" s="153"/>
      <c r="E340" s="153"/>
      <c r="F340" s="153"/>
      <c r="G340" s="153"/>
      <c r="H340" s="153"/>
      <c r="I340" s="153"/>
      <c r="J340" s="153"/>
      <c r="K340" s="153"/>
      <c r="L340" s="153"/>
      <c r="M340" s="153"/>
      <c r="N340" s="153"/>
      <c r="O340" s="153"/>
      <c r="P340" s="153"/>
      <c r="Q340" s="153"/>
      <c r="R340" s="153"/>
      <c r="S340" s="153"/>
      <c r="T340" s="153"/>
      <c r="U340" s="153"/>
      <c r="V340" s="153"/>
      <c r="W340" s="153"/>
      <c r="X340" s="153"/>
      <c r="Y340" s="153"/>
      <c r="Z340" s="153"/>
      <c r="AA340" s="153"/>
      <c r="AB340" s="153"/>
    </row>
    <row r="341" spans="1:28" ht="15">
      <c r="A341" s="153"/>
      <c r="B341" s="153"/>
      <c r="C341" s="153"/>
      <c r="D341" s="153"/>
      <c r="E341" s="153"/>
      <c r="F341" s="153"/>
      <c r="G341" s="153"/>
      <c r="H341" s="153"/>
      <c r="I341" s="153"/>
      <c r="J341" s="153"/>
      <c r="K341" s="153"/>
      <c r="L341" s="153"/>
      <c r="M341" s="153"/>
      <c r="N341" s="153"/>
      <c r="O341" s="153"/>
      <c r="P341" s="153"/>
      <c r="Q341" s="153"/>
      <c r="R341" s="153"/>
      <c r="S341" s="153"/>
      <c r="T341" s="153"/>
      <c r="U341" s="153"/>
      <c r="V341" s="153"/>
      <c r="W341" s="153"/>
      <c r="X341" s="153"/>
      <c r="Y341" s="153"/>
      <c r="Z341" s="153"/>
      <c r="AA341" s="153"/>
      <c r="AB341" s="153"/>
    </row>
    <row r="342" spans="1:28" ht="15">
      <c r="A342" s="153"/>
      <c r="B342" s="153"/>
      <c r="C342" s="153"/>
      <c r="D342" s="153"/>
      <c r="E342" s="153"/>
      <c r="F342" s="153"/>
      <c r="G342" s="153"/>
      <c r="H342" s="153"/>
      <c r="I342" s="153"/>
      <c r="J342" s="153"/>
      <c r="K342" s="153"/>
      <c r="L342" s="153"/>
      <c r="M342" s="153"/>
      <c r="N342" s="153"/>
      <c r="O342" s="153"/>
      <c r="P342" s="153"/>
      <c r="Q342" s="153"/>
      <c r="R342" s="153"/>
      <c r="S342" s="153"/>
      <c r="T342" s="153"/>
      <c r="U342" s="153"/>
      <c r="V342" s="153"/>
      <c r="W342" s="153"/>
      <c r="X342" s="153"/>
      <c r="Y342" s="153"/>
      <c r="Z342" s="153"/>
      <c r="AA342" s="153"/>
      <c r="AB342" s="153"/>
    </row>
    <row r="343" spans="1:28" ht="15">
      <c r="A343" s="153"/>
      <c r="B343" s="153"/>
      <c r="C343" s="153"/>
      <c r="D343" s="153"/>
      <c r="E343" s="153"/>
      <c r="F343" s="153"/>
      <c r="G343" s="153"/>
      <c r="H343" s="153"/>
      <c r="I343" s="153"/>
      <c r="J343" s="153"/>
      <c r="K343" s="153"/>
      <c r="L343" s="153"/>
      <c r="M343" s="153"/>
      <c r="N343" s="153"/>
      <c r="O343" s="153"/>
      <c r="P343" s="153"/>
      <c r="Q343" s="153"/>
      <c r="R343" s="153"/>
      <c r="S343" s="153"/>
      <c r="T343" s="153"/>
      <c r="U343" s="153"/>
      <c r="V343" s="153"/>
      <c r="W343" s="153"/>
      <c r="X343" s="153"/>
      <c r="Y343" s="153"/>
      <c r="Z343" s="153"/>
      <c r="AA343" s="153"/>
      <c r="AB343" s="153"/>
    </row>
    <row r="344" spans="1:28" ht="15">
      <c r="A344" s="153"/>
      <c r="B344" s="153"/>
      <c r="C344" s="153"/>
      <c r="D344" s="153"/>
      <c r="E344" s="153"/>
      <c r="F344" s="153"/>
      <c r="G344" s="153"/>
      <c r="H344" s="153"/>
      <c r="I344" s="153"/>
      <c r="J344" s="153"/>
      <c r="K344" s="153"/>
      <c r="L344" s="153"/>
      <c r="M344" s="153"/>
      <c r="N344" s="153"/>
      <c r="O344" s="153"/>
      <c r="P344" s="153"/>
      <c r="Q344" s="153"/>
      <c r="R344" s="153"/>
      <c r="S344" s="153"/>
      <c r="T344" s="153"/>
      <c r="U344" s="153"/>
      <c r="V344" s="153"/>
      <c r="W344" s="153"/>
      <c r="X344" s="153"/>
      <c r="Y344" s="153"/>
      <c r="Z344" s="153"/>
      <c r="AA344" s="153"/>
      <c r="AB344" s="153"/>
    </row>
    <row r="345" spans="1:28" ht="15">
      <c r="A345" s="153"/>
      <c r="B345" s="153"/>
      <c r="C345" s="153"/>
      <c r="D345" s="153"/>
      <c r="E345" s="153"/>
      <c r="F345" s="153"/>
      <c r="G345" s="153"/>
      <c r="H345" s="153"/>
      <c r="I345" s="153"/>
      <c r="J345" s="153"/>
      <c r="K345" s="153"/>
      <c r="L345" s="153"/>
      <c r="M345" s="153"/>
      <c r="N345" s="153"/>
      <c r="O345" s="153"/>
      <c r="P345" s="153"/>
      <c r="Q345" s="153"/>
      <c r="R345" s="153"/>
      <c r="S345" s="153"/>
      <c r="T345" s="153"/>
      <c r="U345" s="153"/>
      <c r="V345" s="153"/>
      <c r="W345" s="153"/>
      <c r="X345" s="153"/>
      <c r="Y345" s="153"/>
      <c r="Z345" s="153"/>
      <c r="AA345" s="153"/>
      <c r="AB345" s="153"/>
    </row>
    <row r="346" spans="1:28" ht="15">
      <c r="A346" s="153"/>
      <c r="B346" s="153"/>
      <c r="C346" s="153"/>
      <c r="D346" s="153"/>
      <c r="E346" s="153"/>
      <c r="F346" s="153"/>
      <c r="G346" s="153"/>
      <c r="H346" s="153"/>
      <c r="I346" s="153"/>
      <c r="J346" s="153"/>
      <c r="K346" s="153"/>
      <c r="L346" s="153"/>
      <c r="M346" s="153"/>
      <c r="N346" s="153"/>
      <c r="O346" s="153"/>
      <c r="P346" s="153"/>
      <c r="Q346" s="153"/>
      <c r="R346" s="153"/>
      <c r="S346" s="153"/>
      <c r="T346" s="153"/>
      <c r="U346" s="153"/>
      <c r="V346" s="153"/>
      <c r="W346" s="153"/>
      <c r="X346" s="153"/>
      <c r="Y346" s="153"/>
      <c r="Z346" s="153"/>
      <c r="AA346" s="153"/>
      <c r="AB346" s="153"/>
    </row>
    <row r="347" spans="1:28" ht="15">
      <c r="A347" s="153"/>
      <c r="B347" s="153"/>
      <c r="C347" s="153"/>
      <c r="D347" s="153"/>
      <c r="E347" s="153"/>
      <c r="F347" s="153"/>
      <c r="G347" s="153"/>
      <c r="H347" s="153"/>
      <c r="I347" s="153"/>
      <c r="J347" s="153"/>
      <c r="K347" s="153"/>
      <c r="L347" s="153"/>
      <c r="M347" s="153"/>
      <c r="N347" s="153"/>
      <c r="O347" s="153"/>
      <c r="P347" s="153"/>
      <c r="Q347" s="153"/>
      <c r="R347" s="153"/>
      <c r="S347" s="153"/>
      <c r="T347" s="153"/>
      <c r="U347" s="153"/>
      <c r="V347" s="153"/>
      <c r="W347" s="153"/>
      <c r="X347" s="153"/>
      <c r="Y347" s="153"/>
      <c r="Z347" s="153"/>
      <c r="AA347" s="153"/>
      <c r="AB347" s="153"/>
    </row>
    <row r="348" spans="1:28" ht="15">
      <c r="A348" s="153"/>
      <c r="B348" s="153"/>
      <c r="C348" s="153"/>
      <c r="D348" s="153"/>
      <c r="E348" s="153"/>
      <c r="F348" s="153"/>
      <c r="G348" s="153"/>
      <c r="H348" s="153"/>
      <c r="I348" s="153"/>
      <c r="J348" s="153"/>
      <c r="K348" s="153"/>
      <c r="L348" s="153"/>
      <c r="M348" s="153"/>
      <c r="N348" s="153"/>
      <c r="O348" s="153"/>
      <c r="P348" s="153"/>
      <c r="Q348" s="153"/>
      <c r="R348" s="153"/>
      <c r="S348" s="153"/>
      <c r="T348" s="153"/>
      <c r="U348" s="153"/>
      <c r="V348" s="153"/>
      <c r="W348" s="153"/>
      <c r="X348" s="153"/>
      <c r="Y348" s="153"/>
      <c r="Z348" s="153"/>
      <c r="AA348" s="153"/>
      <c r="AB348" s="153"/>
    </row>
    <row r="349" spans="1:28" ht="15">
      <c r="A349" s="153"/>
      <c r="B349" s="153"/>
      <c r="C349" s="153"/>
      <c r="D349" s="153"/>
      <c r="E349" s="153"/>
      <c r="F349" s="153"/>
      <c r="G349" s="153"/>
      <c r="H349" s="153"/>
      <c r="I349" s="153"/>
      <c r="J349" s="153"/>
      <c r="K349" s="153"/>
      <c r="L349" s="153"/>
      <c r="M349" s="153"/>
      <c r="N349" s="153"/>
      <c r="O349" s="153"/>
      <c r="P349" s="153"/>
      <c r="Q349" s="153"/>
      <c r="R349" s="153"/>
      <c r="S349" s="153"/>
      <c r="T349" s="153"/>
      <c r="U349" s="153"/>
      <c r="V349" s="153"/>
      <c r="W349" s="153"/>
      <c r="X349" s="153"/>
      <c r="Y349" s="153"/>
      <c r="Z349" s="153"/>
      <c r="AA349" s="153"/>
      <c r="AB349" s="153"/>
    </row>
    <row r="350" spans="1:28" ht="15">
      <c r="A350" s="153"/>
      <c r="B350" s="153"/>
      <c r="C350" s="153"/>
      <c r="D350" s="153"/>
      <c r="E350" s="153"/>
      <c r="F350" s="153"/>
      <c r="G350" s="153"/>
      <c r="H350" s="153"/>
      <c r="I350" s="153"/>
      <c r="J350" s="153"/>
      <c r="K350" s="153"/>
      <c r="L350" s="153"/>
      <c r="M350" s="153"/>
      <c r="N350" s="153"/>
      <c r="O350" s="153"/>
      <c r="P350" s="153"/>
      <c r="Q350" s="153"/>
      <c r="R350" s="153"/>
      <c r="S350" s="153"/>
      <c r="T350" s="153"/>
      <c r="U350" s="153"/>
      <c r="V350" s="153"/>
      <c r="W350" s="153"/>
      <c r="X350" s="153"/>
      <c r="Y350" s="153"/>
      <c r="Z350" s="153"/>
      <c r="AA350" s="153"/>
      <c r="AB350" s="153"/>
    </row>
    <row r="351" spans="1:28" ht="15">
      <c r="A351" s="153"/>
      <c r="B351" s="153"/>
      <c r="C351" s="153"/>
      <c r="D351" s="153"/>
      <c r="E351" s="153"/>
      <c r="F351" s="153"/>
      <c r="G351" s="153"/>
      <c r="H351" s="153"/>
      <c r="I351" s="153"/>
      <c r="J351" s="153"/>
      <c r="K351" s="153"/>
      <c r="L351" s="153"/>
      <c r="M351" s="153"/>
      <c r="N351" s="153"/>
      <c r="O351" s="153"/>
      <c r="P351" s="153"/>
      <c r="Q351" s="153"/>
      <c r="R351" s="153"/>
      <c r="S351" s="153"/>
      <c r="T351" s="153"/>
      <c r="U351" s="153"/>
      <c r="V351" s="153"/>
      <c r="W351" s="153"/>
      <c r="X351" s="153"/>
      <c r="Y351" s="153"/>
      <c r="Z351" s="153"/>
      <c r="AA351" s="153"/>
      <c r="AB351" s="153"/>
    </row>
    <row r="352" spans="1:28" ht="15">
      <c r="A352" s="153"/>
      <c r="B352" s="153"/>
      <c r="C352" s="153"/>
      <c r="D352" s="153"/>
      <c r="E352" s="153"/>
      <c r="F352" s="153"/>
      <c r="G352" s="153"/>
      <c r="H352" s="153"/>
      <c r="I352" s="153"/>
      <c r="J352" s="153"/>
      <c r="K352" s="153"/>
      <c r="L352" s="153"/>
      <c r="M352" s="153"/>
      <c r="N352" s="153"/>
      <c r="O352" s="153"/>
      <c r="P352" s="153"/>
      <c r="Q352" s="153"/>
      <c r="R352" s="153"/>
      <c r="S352" s="153"/>
      <c r="T352" s="153"/>
      <c r="U352" s="153"/>
      <c r="V352" s="153"/>
      <c r="W352" s="153"/>
      <c r="X352" s="153"/>
      <c r="Y352" s="153"/>
      <c r="Z352" s="153"/>
      <c r="AA352" s="153"/>
      <c r="AB352" s="153"/>
    </row>
    <row r="353" spans="1:28" ht="15">
      <c r="A353" s="153"/>
      <c r="B353" s="153"/>
      <c r="C353" s="153"/>
      <c r="D353" s="153"/>
      <c r="E353" s="153"/>
      <c r="F353" s="153"/>
      <c r="G353" s="153"/>
      <c r="H353" s="153"/>
      <c r="I353" s="153"/>
      <c r="J353" s="153"/>
      <c r="K353" s="153"/>
      <c r="L353" s="153"/>
      <c r="M353" s="153"/>
      <c r="N353" s="153"/>
      <c r="O353" s="153"/>
      <c r="P353" s="153"/>
      <c r="Q353" s="153"/>
      <c r="R353" s="153"/>
      <c r="S353" s="153"/>
      <c r="T353" s="153"/>
      <c r="U353" s="153"/>
      <c r="V353" s="153"/>
      <c r="W353" s="153"/>
      <c r="X353" s="153"/>
      <c r="Y353" s="153"/>
      <c r="Z353" s="153"/>
      <c r="AA353" s="153"/>
      <c r="AB353" s="153"/>
    </row>
    <row r="354" spans="1:28" ht="15">
      <c r="A354" s="153"/>
      <c r="B354" s="153"/>
      <c r="C354" s="153"/>
      <c r="D354" s="153"/>
      <c r="E354" s="153"/>
      <c r="F354" s="153"/>
      <c r="G354" s="153"/>
      <c r="H354" s="153"/>
      <c r="I354" s="153"/>
      <c r="J354" s="153"/>
      <c r="K354" s="153"/>
      <c r="L354" s="153"/>
      <c r="M354" s="153"/>
      <c r="N354" s="153"/>
      <c r="O354" s="153"/>
      <c r="P354" s="153"/>
      <c r="Q354" s="153"/>
      <c r="R354" s="153"/>
      <c r="S354" s="153"/>
      <c r="T354" s="153"/>
      <c r="U354" s="153"/>
      <c r="V354" s="153"/>
      <c r="W354" s="153"/>
      <c r="X354" s="153"/>
      <c r="Y354" s="153"/>
      <c r="Z354" s="153"/>
      <c r="AA354" s="153"/>
      <c r="AB354" s="153"/>
    </row>
    <row r="355" spans="1:28" ht="15">
      <c r="A355" s="153"/>
      <c r="B355" s="153"/>
      <c r="C355" s="153"/>
      <c r="D355" s="153"/>
      <c r="E355" s="153"/>
      <c r="F355" s="153"/>
      <c r="G355" s="153"/>
      <c r="H355" s="153"/>
      <c r="I355" s="153"/>
      <c r="J355" s="153"/>
      <c r="K355" s="153"/>
      <c r="L355" s="153"/>
      <c r="M355" s="153"/>
      <c r="N355" s="153"/>
      <c r="O355" s="153"/>
      <c r="P355" s="153"/>
      <c r="Q355" s="153"/>
      <c r="R355" s="153"/>
      <c r="S355" s="153"/>
      <c r="T355" s="153"/>
      <c r="U355" s="153"/>
      <c r="V355" s="153"/>
      <c r="W355" s="153"/>
      <c r="X355" s="153"/>
      <c r="Y355" s="153"/>
      <c r="Z355" s="153"/>
      <c r="AA355" s="153"/>
      <c r="AB355" s="153"/>
    </row>
    <row r="356" spans="1:28" ht="15">
      <c r="A356" s="153"/>
      <c r="B356" s="153"/>
      <c r="C356" s="153"/>
      <c r="D356" s="153"/>
      <c r="E356" s="153"/>
      <c r="F356" s="153"/>
      <c r="G356" s="153"/>
      <c r="H356" s="153"/>
      <c r="I356" s="153"/>
      <c r="J356" s="153"/>
      <c r="K356" s="153"/>
      <c r="L356" s="153"/>
      <c r="M356" s="153"/>
      <c r="N356" s="153"/>
      <c r="O356" s="153"/>
      <c r="P356" s="153"/>
      <c r="Q356" s="153"/>
      <c r="R356" s="153"/>
      <c r="S356" s="153"/>
      <c r="T356" s="153"/>
      <c r="U356" s="153"/>
      <c r="V356" s="153"/>
      <c r="W356" s="153"/>
      <c r="X356" s="153"/>
      <c r="Y356" s="153"/>
      <c r="Z356" s="153"/>
      <c r="AA356" s="153"/>
      <c r="AB356" s="153"/>
    </row>
    <row r="357" spans="1:28" ht="15">
      <c r="A357" s="153"/>
      <c r="B357" s="153"/>
      <c r="C357" s="153"/>
      <c r="D357" s="153"/>
      <c r="E357" s="153"/>
      <c r="F357" s="153"/>
      <c r="G357" s="153"/>
      <c r="H357" s="153"/>
      <c r="I357" s="153"/>
      <c r="J357" s="153"/>
      <c r="K357" s="153"/>
      <c r="L357" s="153"/>
      <c r="M357" s="153"/>
      <c r="N357" s="153"/>
      <c r="O357" s="153"/>
      <c r="P357" s="153"/>
      <c r="Q357" s="153"/>
      <c r="R357" s="153"/>
      <c r="S357" s="153"/>
      <c r="T357" s="153"/>
      <c r="U357" s="153"/>
      <c r="V357" s="153"/>
      <c r="W357" s="153"/>
      <c r="X357" s="153"/>
      <c r="Y357" s="153"/>
      <c r="Z357" s="153"/>
      <c r="AA357" s="153"/>
      <c r="AB357" s="153"/>
    </row>
    <row r="358" spans="1:28" ht="15">
      <c r="A358" s="153"/>
      <c r="B358" s="153"/>
      <c r="C358" s="153"/>
      <c r="D358" s="153"/>
      <c r="E358" s="153"/>
      <c r="F358" s="153"/>
      <c r="G358" s="153"/>
      <c r="H358" s="153"/>
      <c r="I358" s="153"/>
      <c r="J358" s="153"/>
      <c r="K358" s="153"/>
      <c r="L358" s="153"/>
      <c r="M358" s="153"/>
      <c r="N358" s="153"/>
      <c r="O358" s="153"/>
      <c r="P358" s="153"/>
      <c r="Q358" s="153"/>
      <c r="R358" s="153"/>
      <c r="S358" s="153"/>
      <c r="T358" s="153"/>
      <c r="U358" s="153"/>
      <c r="V358" s="153"/>
      <c r="W358" s="153"/>
      <c r="X358" s="153"/>
      <c r="Y358" s="153"/>
      <c r="Z358" s="153"/>
      <c r="AA358" s="153"/>
      <c r="AB358" s="153"/>
    </row>
    <row r="359" spans="1:28" ht="15">
      <c r="A359" s="153"/>
      <c r="B359" s="153"/>
      <c r="C359" s="153"/>
      <c r="D359" s="153"/>
      <c r="E359" s="153"/>
      <c r="F359" s="153"/>
      <c r="G359" s="153"/>
      <c r="H359" s="153"/>
      <c r="I359" s="153"/>
      <c r="J359" s="153"/>
      <c r="K359" s="153"/>
      <c r="L359" s="153"/>
      <c r="M359" s="153"/>
      <c r="N359" s="153"/>
      <c r="O359" s="153"/>
      <c r="P359" s="153"/>
      <c r="Q359" s="153"/>
      <c r="R359" s="153"/>
      <c r="S359" s="153"/>
      <c r="T359" s="153"/>
      <c r="U359" s="153"/>
      <c r="V359" s="153"/>
      <c r="W359" s="153"/>
      <c r="X359" s="153"/>
      <c r="Y359" s="153"/>
      <c r="Z359" s="153"/>
      <c r="AA359" s="153"/>
      <c r="AB359" s="153"/>
    </row>
    <row r="360" spans="1:28" ht="15">
      <c r="A360" s="153"/>
      <c r="B360" s="153"/>
      <c r="C360" s="153"/>
      <c r="D360" s="153"/>
      <c r="E360" s="153"/>
      <c r="F360" s="153"/>
      <c r="G360" s="153"/>
      <c r="H360" s="153"/>
      <c r="I360" s="153"/>
      <c r="J360" s="153"/>
      <c r="K360" s="153"/>
      <c r="L360" s="153"/>
      <c r="M360" s="153"/>
      <c r="N360" s="153"/>
      <c r="O360" s="153"/>
      <c r="P360" s="153"/>
      <c r="Q360" s="153"/>
      <c r="R360" s="153"/>
      <c r="S360" s="153"/>
      <c r="T360" s="153"/>
      <c r="U360" s="153"/>
      <c r="V360" s="153"/>
      <c r="W360" s="153"/>
      <c r="X360" s="153"/>
      <c r="Y360" s="153"/>
      <c r="Z360" s="153"/>
      <c r="AA360" s="153"/>
      <c r="AB360" s="153"/>
    </row>
    <row r="361" spans="1:28" ht="15">
      <c r="A361" s="153"/>
      <c r="B361" s="153"/>
      <c r="C361" s="153"/>
      <c r="D361" s="153"/>
      <c r="E361" s="153"/>
      <c r="F361" s="153"/>
      <c r="G361" s="153"/>
      <c r="H361" s="153"/>
      <c r="I361" s="153"/>
      <c r="J361" s="153"/>
      <c r="K361" s="153"/>
      <c r="L361" s="153"/>
      <c r="M361" s="153"/>
      <c r="N361" s="153"/>
      <c r="O361" s="153"/>
      <c r="P361" s="153"/>
      <c r="Q361" s="153"/>
      <c r="R361" s="153"/>
      <c r="S361" s="153"/>
      <c r="T361" s="153"/>
      <c r="U361" s="153"/>
      <c r="V361" s="153"/>
      <c r="W361" s="153"/>
      <c r="X361" s="153"/>
      <c r="Y361" s="153"/>
      <c r="Z361" s="153"/>
      <c r="AA361" s="153"/>
      <c r="AB361" s="153"/>
    </row>
    <row r="362" spans="1:28" ht="15">
      <c r="A362" s="153"/>
      <c r="B362" s="153"/>
      <c r="C362" s="153"/>
      <c r="D362" s="153"/>
      <c r="E362" s="153"/>
      <c r="F362" s="153"/>
      <c r="G362" s="153"/>
      <c r="H362" s="153"/>
      <c r="I362" s="153"/>
      <c r="J362" s="153"/>
      <c r="K362" s="153"/>
      <c r="L362" s="153"/>
      <c r="M362" s="153"/>
      <c r="N362" s="153"/>
      <c r="O362" s="153"/>
      <c r="P362" s="153"/>
      <c r="Q362" s="153"/>
      <c r="R362" s="153"/>
      <c r="S362" s="153"/>
      <c r="T362" s="153"/>
      <c r="U362" s="153"/>
      <c r="V362" s="153"/>
      <c r="W362" s="153"/>
      <c r="X362" s="153"/>
      <c r="Y362" s="153"/>
      <c r="Z362" s="153"/>
      <c r="AA362" s="153"/>
      <c r="AB362" s="153"/>
    </row>
    <row r="363" spans="1:28" ht="15">
      <c r="A363" s="153"/>
      <c r="B363" s="153"/>
      <c r="C363" s="153"/>
      <c r="D363" s="153"/>
      <c r="E363" s="153"/>
      <c r="F363" s="153"/>
      <c r="G363" s="153"/>
      <c r="H363" s="153"/>
      <c r="I363" s="153"/>
      <c r="J363" s="153"/>
      <c r="K363" s="153"/>
      <c r="L363" s="153"/>
      <c r="M363" s="153"/>
      <c r="N363" s="153"/>
      <c r="O363" s="153"/>
      <c r="P363" s="153"/>
      <c r="Q363" s="153"/>
      <c r="R363" s="153"/>
      <c r="S363" s="153"/>
      <c r="T363" s="153"/>
      <c r="U363" s="153"/>
      <c r="V363" s="153"/>
      <c r="W363" s="153"/>
      <c r="X363" s="153"/>
      <c r="Y363" s="153"/>
      <c r="Z363" s="153"/>
      <c r="AA363" s="153"/>
      <c r="AB363" s="153"/>
    </row>
    <row r="364" spans="1:28" ht="15">
      <c r="A364" s="153"/>
      <c r="B364" s="153"/>
      <c r="C364" s="153"/>
      <c r="D364" s="153"/>
      <c r="E364" s="153"/>
      <c r="F364" s="153"/>
      <c r="G364" s="153"/>
      <c r="H364" s="153"/>
      <c r="I364" s="153"/>
      <c r="J364" s="153"/>
      <c r="K364" s="153"/>
      <c r="L364" s="153"/>
      <c r="M364" s="153"/>
      <c r="N364" s="153"/>
      <c r="O364" s="153"/>
      <c r="P364" s="153"/>
      <c r="Q364" s="153"/>
      <c r="R364" s="153"/>
      <c r="S364" s="153"/>
      <c r="T364" s="153"/>
      <c r="U364" s="153"/>
      <c r="V364" s="153"/>
      <c r="W364" s="153"/>
      <c r="X364" s="153"/>
      <c r="Y364" s="153"/>
      <c r="Z364" s="153"/>
      <c r="AA364" s="153"/>
      <c r="AB364" s="153"/>
    </row>
    <row r="365" spans="1:28" ht="15">
      <c r="A365" s="153"/>
      <c r="B365" s="153"/>
      <c r="C365" s="153"/>
      <c r="D365" s="153"/>
      <c r="E365" s="153"/>
      <c r="F365" s="153"/>
      <c r="G365" s="153"/>
      <c r="H365" s="153"/>
      <c r="I365" s="153"/>
      <c r="J365" s="153"/>
      <c r="K365" s="153"/>
      <c r="L365" s="153"/>
      <c r="M365" s="153"/>
      <c r="N365" s="153"/>
      <c r="O365" s="153"/>
      <c r="P365" s="153"/>
      <c r="Q365" s="153"/>
      <c r="R365" s="153"/>
      <c r="S365" s="153"/>
      <c r="T365" s="153"/>
      <c r="U365" s="153"/>
      <c r="V365" s="153"/>
      <c r="W365" s="153"/>
      <c r="X365" s="153"/>
      <c r="Y365" s="153"/>
      <c r="Z365" s="153"/>
      <c r="AA365" s="153"/>
      <c r="AB365" s="153"/>
    </row>
    <row r="366" spans="1:28" ht="15">
      <c r="A366" s="153"/>
      <c r="B366" s="153"/>
      <c r="C366" s="153"/>
      <c r="D366" s="153"/>
      <c r="E366" s="153"/>
      <c r="F366" s="153"/>
      <c r="G366" s="153"/>
      <c r="H366" s="153"/>
      <c r="I366" s="153"/>
      <c r="J366" s="153"/>
      <c r="K366" s="153"/>
      <c r="L366" s="153"/>
      <c r="M366" s="153"/>
      <c r="N366" s="153"/>
      <c r="O366" s="153"/>
      <c r="P366" s="153"/>
      <c r="Q366" s="153"/>
      <c r="R366" s="153"/>
      <c r="S366" s="153"/>
      <c r="T366" s="153"/>
      <c r="U366" s="153"/>
      <c r="V366" s="153"/>
      <c r="W366" s="153"/>
      <c r="X366" s="153"/>
      <c r="Y366" s="153"/>
      <c r="Z366" s="153"/>
      <c r="AA366" s="153"/>
      <c r="AB366" s="153"/>
    </row>
    <row r="367" spans="1:28" ht="15">
      <c r="A367" s="153"/>
      <c r="B367" s="153"/>
      <c r="C367" s="153"/>
      <c r="D367" s="153"/>
      <c r="E367" s="153"/>
      <c r="F367" s="153"/>
      <c r="G367" s="153"/>
      <c r="H367" s="153"/>
      <c r="I367" s="153"/>
      <c r="J367" s="153"/>
      <c r="K367" s="153"/>
      <c r="L367" s="153"/>
      <c r="M367" s="153"/>
      <c r="N367" s="153"/>
      <c r="O367" s="153"/>
      <c r="P367" s="153"/>
      <c r="Q367" s="153"/>
      <c r="R367" s="153"/>
      <c r="S367" s="153"/>
      <c r="T367" s="153"/>
      <c r="U367" s="153"/>
      <c r="V367" s="153"/>
      <c r="W367" s="153"/>
      <c r="X367" s="153"/>
      <c r="Y367" s="153"/>
      <c r="Z367" s="153"/>
      <c r="AA367" s="153"/>
      <c r="AB367" s="153"/>
    </row>
    <row r="368" spans="1:28" ht="15">
      <c r="A368" s="153"/>
      <c r="B368" s="153"/>
      <c r="C368" s="153"/>
      <c r="D368" s="153"/>
      <c r="E368" s="153"/>
      <c r="F368" s="153"/>
      <c r="G368" s="153"/>
      <c r="H368" s="153"/>
      <c r="I368" s="153"/>
      <c r="J368" s="153"/>
      <c r="K368" s="153"/>
      <c r="L368" s="153"/>
      <c r="M368" s="153"/>
      <c r="N368" s="153"/>
      <c r="O368" s="153"/>
      <c r="P368" s="153"/>
      <c r="Q368" s="153"/>
      <c r="R368" s="153"/>
      <c r="S368" s="153"/>
      <c r="T368" s="153"/>
      <c r="U368" s="153"/>
      <c r="V368" s="153"/>
      <c r="W368" s="153"/>
      <c r="X368" s="153"/>
      <c r="Y368" s="153"/>
      <c r="Z368" s="153"/>
      <c r="AA368" s="153"/>
      <c r="AB368" s="153"/>
    </row>
    <row r="369" spans="1:28" ht="15">
      <c r="A369" s="153"/>
      <c r="B369" s="153"/>
      <c r="C369" s="153"/>
      <c r="D369" s="153"/>
      <c r="E369" s="153"/>
      <c r="F369" s="153"/>
      <c r="G369" s="153"/>
      <c r="H369" s="153"/>
      <c r="I369" s="153"/>
      <c r="J369" s="153"/>
      <c r="K369" s="153"/>
      <c r="L369" s="153"/>
      <c r="M369" s="153"/>
      <c r="N369" s="153"/>
      <c r="O369" s="153"/>
      <c r="P369" s="153"/>
      <c r="Q369" s="153"/>
      <c r="R369" s="153"/>
      <c r="S369" s="153"/>
      <c r="T369" s="153"/>
      <c r="U369" s="153"/>
      <c r="V369" s="153"/>
      <c r="W369" s="153"/>
      <c r="X369" s="153"/>
      <c r="Y369" s="153"/>
      <c r="Z369" s="153"/>
      <c r="AA369" s="153"/>
      <c r="AB369" s="153"/>
    </row>
    <row r="370" spans="1:28" ht="15">
      <c r="A370" s="153"/>
      <c r="B370" s="153"/>
      <c r="C370" s="153"/>
      <c r="D370" s="153"/>
      <c r="E370" s="153"/>
      <c r="F370" s="153"/>
      <c r="G370" s="153"/>
      <c r="H370" s="153"/>
      <c r="I370" s="153"/>
      <c r="J370" s="153"/>
      <c r="K370" s="153"/>
      <c r="L370" s="153"/>
      <c r="M370" s="153"/>
      <c r="N370" s="153"/>
      <c r="O370" s="153"/>
      <c r="P370" s="153"/>
      <c r="Q370" s="153"/>
      <c r="R370" s="153"/>
      <c r="S370" s="153"/>
      <c r="T370" s="153"/>
      <c r="U370" s="153"/>
      <c r="V370" s="153"/>
      <c r="W370" s="153"/>
      <c r="X370" s="153"/>
      <c r="Y370" s="153"/>
      <c r="Z370" s="153"/>
      <c r="AA370" s="153"/>
      <c r="AB370" s="153"/>
    </row>
    <row r="371" spans="1:28" ht="15">
      <c r="A371" s="153"/>
      <c r="B371" s="153"/>
      <c r="C371" s="153"/>
      <c r="D371" s="153"/>
      <c r="E371" s="153"/>
      <c r="F371" s="153"/>
      <c r="G371" s="153"/>
      <c r="H371" s="153"/>
      <c r="I371" s="153"/>
      <c r="J371" s="153"/>
      <c r="K371" s="153"/>
      <c r="L371" s="153"/>
      <c r="M371" s="153"/>
      <c r="N371" s="153"/>
      <c r="O371" s="153"/>
      <c r="P371" s="153"/>
      <c r="Q371" s="153"/>
      <c r="R371" s="153"/>
      <c r="S371" s="153"/>
      <c r="T371" s="153"/>
      <c r="U371" s="153"/>
      <c r="V371" s="153"/>
      <c r="W371" s="153"/>
      <c r="X371" s="153"/>
      <c r="Y371" s="153"/>
      <c r="Z371" s="153"/>
      <c r="AA371" s="153"/>
      <c r="AB371" s="153"/>
    </row>
    <row r="372" spans="1:28" ht="15">
      <c r="A372" s="153"/>
      <c r="B372" s="153"/>
      <c r="C372" s="153"/>
      <c r="D372" s="153"/>
      <c r="E372" s="153"/>
      <c r="F372" s="153"/>
      <c r="G372" s="153"/>
      <c r="H372" s="153"/>
      <c r="I372" s="153"/>
      <c r="J372" s="153"/>
      <c r="K372" s="153"/>
      <c r="L372" s="153"/>
      <c r="M372" s="153"/>
      <c r="N372" s="153"/>
      <c r="O372" s="153"/>
      <c r="P372" s="153"/>
      <c r="Q372" s="153"/>
      <c r="R372" s="153"/>
      <c r="S372" s="153"/>
      <c r="T372" s="153"/>
      <c r="U372" s="153"/>
      <c r="V372" s="153"/>
      <c r="W372" s="153"/>
      <c r="X372" s="153"/>
      <c r="Y372" s="153"/>
      <c r="Z372" s="153"/>
      <c r="AA372" s="153"/>
      <c r="AB372" s="153"/>
    </row>
    <row r="373" spans="1:28" ht="15">
      <c r="A373" s="153"/>
      <c r="B373" s="153"/>
      <c r="C373" s="153"/>
      <c r="D373" s="153"/>
      <c r="E373" s="153"/>
      <c r="F373" s="153"/>
      <c r="G373" s="153"/>
      <c r="H373" s="153"/>
      <c r="I373" s="153"/>
      <c r="J373" s="153"/>
      <c r="K373" s="153"/>
      <c r="L373" s="153"/>
      <c r="M373" s="153"/>
      <c r="N373" s="153"/>
      <c r="O373" s="153"/>
      <c r="P373" s="153"/>
      <c r="Q373" s="153"/>
      <c r="R373" s="153"/>
      <c r="S373" s="153"/>
      <c r="T373" s="153"/>
      <c r="U373" s="153"/>
      <c r="V373" s="153"/>
      <c r="W373" s="153"/>
      <c r="X373" s="153"/>
      <c r="Y373" s="153"/>
      <c r="Z373" s="153"/>
      <c r="AA373" s="153"/>
      <c r="AB373" s="153"/>
    </row>
    <row r="374" spans="1:28" ht="15">
      <c r="A374" s="153"/>
      <c r="B374" s="153"/>
      <c r="C374" s="153"/>
      <c r="D374" s="153"/>
      <c r="E374" s="153"/>
      <c r="F374" s="153"/>
      <c r="G374" s="153"/>
      <c r="H374" s="153"/>
      <c r="I374" s="153"/>
      <c r="J374" s="153"/>
      <c r="K374" s="153"/>
      <c r="L374" s="153"/>
      <c r="M374" s="153"/>
      <c r="N374" s="153"/>
      <c r="O374" s="153"/>
      <c r="P374" s="153"/>
      <c r="Q374" s="153"/>
      <c r="R374" s="153"/>
      <c r="S374" s="153"/>
      <c r="T374" s="153"/>
      <c r="U374" s="153"/>
      <c r="V374" s="153"/>
      <c r="W374" s="153"/>
      <c r="X374" s="153"/>
      <c r="Y374" s="153"/>
      <c r="Z374" s="153"/>
      <c r="AA374" s="153"/>
      <c r="AB374" s="153"/>
    </row>
    <row r="375" spans="1:28" ht="15">
      <c r="A375" s="153"/>
      <c r="B375" s="153"/>
      <c r="C375" s="153"/>
      <c r="D375" s="153"/>
      <c r="E375" s="153"/>
      <c r="F375" s="153"/>
      <c r="G375" s="153"/>
      <c r="H375" s="153"/>
      <c r="I375" s="153"/>
      <c r="J375" s="153"/>
      <c r="K375" s="153"/>
      <c r="L375" s="153"/>
      <c r="M375" s="153"/>
      <c r="N375" s="153"/>
      <c r="O375" s="153"/>
      <c r="P375" s="153"/>
      <c r="Q375" s="153"/>
      <c r="R375" s="153"/>
      <c r="S375" s="153"/>
      <c r="T375" s="153"/>
      <c r="U375" s="153"/>
      <c r="V375" s="153"/>
      <c r="W375" s="153"/>
      <c r="X375" s="153"/>
      <c r="Y375" s="153"/>
      <c r="Z375" s="153"/>
      <c r="AA375" s="153"/>
      <c r="AB375" s="153"/>
    </row>
    <row r="376" spans="1:28" ht="15">
      <c r="A376" s="153"/>
      <c r="B376" s="153"/>
      <c r="C376" s="153"/>
      <c r="D376" s="153"/>
      <c r="E376" s="153"/>
      <c r="F376" s="153"/>
      <c r="G376" s="153"/>
      <c r="H376" s="153"/>
      <c r="I376" s="153"/>
      <c r="J376" s="153"/>
      <c r="K376" s="153"/>
      <c r="L376" s="153"/>
      <c r="M376" s="153"/>
      <c r="N376" s="153"/>
      <c r="O376" s="153"/>
      <c r="P376" s="153"/>
      <c r="Q376" s="153"/>
      <c r="R376" s="153"/>
      <c r="S376" s="153"/>
      <c r="T376" s="153"/>
      <c r="U376" s="153"/>
      <c r="V376" s="153"/>
      <c r="W376" s="153"/>
      <c r="X376" s="153"/>
      <c r="Y376" s="153"/>
      <c r="Z376" s="153"/>
      <c r="AA376" s="153"/>
      <c r="AB376" s="153"/>
    </row>
    <row r="377" spans="1:28" ht="15">
      <c r="A377" s="153"/>
      <c r="B377" s="153"/>
      <c r="C377" s="153"/>
      <c r="D377" s="153"/>
      <c r="E377" s="153"/>
      <c r="F377" s="153"/>
      <c r="G377" s="153"/>
      <c r="H377" s="153"/>
      <c r="I377" s="153"/>
      <c r="J377" s="153"/>
      <c r="K377" s="153"/>
      <c r="L377" s="153"/>
      <c r="M377" s="153"/>
      <c r="N377" s="153"/>
      <c r="O377" s="153"/>
      <c r="P377" s="153"/>
      <c r="Q377" s="153"/>
      <c r="R377" s="153"/>
      <c r="S377" s="153"/>
      <c r="T377" s="153"/>
      <c r="U377" s="153"/>
      <c r="V377" s="153"/>
      <c r="W377" s="153"/>
      <c r="X377" s="153"/>
      <c r="Y377" s="153"/>
      <c r="Z377" s="153"/>
      <c r="AA377" s="153"/>
      <c r="AB377" s="153"/>
    </row>
    <row r="378" spans="1:28" ht="15">
      <c r="A378" s="153"/>
      <c r="B378" s="153"/>
      <c r="C378" s="153"/>
      <c r="D378" s="153"/>
      <c r="E378" s="153"/>
      <c r="F378" s="153"/>
      <c r="G378" s="153"/>
      <c r="H378" s="153"/>
      <c r="I378" s="153"/>
      <c r="J378" s="153"/>
      <c r="K378" s="153"/>
      <c r="L378" s="153"/>
      <c r="M378" s="153"/>
      <c r="N378" s="153"/>
      <c r="O378" s="153"/>
      <c r="P378" s="153"/>
      <c r="Q378" s="153"/>
      <c r="R378" s="153"/>
      <c r="S378" s="153"/>
      <c r="T378" s="153"/>
      <c r="U378" s="153"/>
      <c r="V378" s="153"/>
      <c r="W378" s="153"/>
      <c r="X378" s="153"/>
      <c r="Y378" s="153"/>
      <c r="Z378" s="153"/>
      <c r="AA378" s="153"/>
      <c r="AB378" s="153"/>
    </row>
    <row r="379" spans="1:28" ht="15">
      <c r="A379" s="153"/>
      <c r="B379" s="153"/>
      <c r="C379" s="153"/>
      <c r="D379" s="153"/>
      <c r="E379" s="153"/>
      <c r="F379" s="153"/>
      <c r="G379" s="153"/>
      <c r="H379" s="153"/>
      <c r="I379" s="153"/>
      <c r="J379" s="153"/>
      <c r="K379" s="153"/>
      <c r="L379" s="153"/>
      <c r="M379" s="153"/>
      <c r="N379" s="153"/>
      <c r="O379" s="153"/>
      <c r="P379" s="153"/>
      <c r="Q379" s="153"/>
      <c r="R379" s="153"/>
      <c r="S379" s="153"/>
      <c r="T379" s="153"/>
      <c r="U379" s="153"/>
      <c r="V379" s="153"/>
      <c r="W379" s="153"/>
      <c r="X379" s="153"/>
      <c r="Y379" s="153"/>
      <c r="Z379" s="153"/>
      <c r="AA379" s="153"/>
      <c r="AB379" s="153"/>
    </row>
    <row r="380" spans="1:28" ht="15">
      <c r="A380" s="153"/>
      <c r="B380" s="153"/>
      <c r="C380" s="153"/>
      <c r="D380" s="153"/>
      <c r="E380" s="153"/>
      <c r="F380" s="153"/>
      <c r="G380" s="153"/>
      <c r="H380" s="153"/>
      <c r="I380" s="153"/>
      <c r="J380" s="153"/>
      <c r="K380" s="153"/>
      <c r="L380" s="153"/>
      <c r="M380" s="153"/>
      <c r="N380" s="153"/>
      <c r="O380" s="153"/>
      <c r="P380" s="153"/>
      <c r="Q380" s="153"/>
      <c r="R380" s="153"/>
      <c r="S380" s="153"/>
      <c r="T380" s="153"/>
      <c r="U380" s="153"/>
      <c r="V380" s="153"/>
      <c r="W380" s="153"/>
      <c r="X380" s="153"/>
      <c r="Y380" s="153"/>
      <c r="Z380" s="153"/>
      <c r="AA380" s="153"/>
      <c r="AB380" s="153"/>
    </row>
    <row r="381" spans="1:28" ht="15">
      <c r="A381" s="153"/>
      <c r="B381" s="153"/>
      <c r="C381" s="153"/>
      <c r="D381" s="153"/>
      <c r="E381" s="153"/>
      <c r="F381" s="153"/>
      <c r="G381" s="153"/>
      <c r="H381" s="153"/>
      <c r="I381" s="153"/>
      <c r="J381" s="153"/>
      <c r="K381" s="153"/>
      <c r="L381" s="153"/>
      <c r="M381" s="153"/>
      <c r="N381" s="153"/>
      <c r="O381" s="153"/>
      <c r="P381" s="153"/>
      <c r="Q381" s="153"/>
      <c r="R381" s="153"/>
      <c r="S381" s="153"/>
      <c r="T381" s="153"/>
      <c r="U381" s="153"/>
      <c r="V381" s="153"/>
      <c r="W381" s="153"/>
      <c r="X381" s="153"/>
      <c r="Y381" s="153"/>
      <c r="Z381" s="153"/>
      <c r="AA381" s="153"/>
      <c r="AB381" s="153"/>
    </row>
    <row r="382" spans="1:28" ht="15">
      <c r="A382" s="153"/>
      <c r="B382" s="153"/>
      <c r="C382" s="153"/>
      <c r="D382" s="153"/>
      <c r="E382" s="153"/>
      <c r="F382" s="153"/>
      <c r="G382" s="153"/>
      <c r="H382" s="153"/>
      <c r="I382" s="153"/>
      <c r="J382" s="153"/>
      <c r="K382" s="153"/>
      <c r="L382" s="153"/>
      <c r="M382" s="153"/>
      <c r="N382" s="153"/>
      <c r="O382" s="153"/>
      <c r="P382" s="153"/>
      <c r="Q382" s="153"/>
      <c r="R382" s="153"/>
      <c r="S382" s="153"/>
      <c r="T382" s="153"/>
      <c r="U382" s="153"/>
      <c r="V382" s="153"/>
      <c r="W382" s="153"/>
      <c r="X382" s="153"/>
      <c r="Y382" s="153"/>
      <c r="Z382" s="153"/>
      <c r="AA382" s="153"/>
      <c r="AB382" s="153"/>
    </row>
    <row r="383" spans="1:28" ht="15">
      <c r="A383" s="153"/>
      <c r="B383" s="153"/>
      <c r="C383" s="153"/>
      <c r="D383" s="153"/>
      <c r="E383" s="153"/>
      <c r="F383" s="153"/>
      <c r="G383" s="153"/>
      <c r="H383" s="153"/>
      <c r="I383" s="153"/>
      <c r="J383" s="153"/>
      <c r="K383" s="153"/>
      <c r="L383" s="153"/>
      <c r="M383" s="153"/>
      <c r="N383" s="153"/>
      <c r="O383" s="153"/>
      <c r="P383" s="153"/>
      <c r="Q383" s="153"/>
      <c r="R383" s="153"/>
      <c r="S383" s="153"/>
      <c r="T383" s="153"/>
      <c r="U383" s="153"/>
      <c r="V383" s="153"/>
      <c r="W383" s="153"/>
      <c r="X383" s="153"/>
      <c r="Y383" s="153"/>
      <c r="Z383" s="153"/>
      <c r="AA383" s="153"/>
      <c r="AB383" s="153"/>
    </row>
    <row r="384" spans="1:28" ht="15">
      <c r="A384" s="153"/>
      <c r="B384" s="153"/>
      <c r="C384" s="153"/>
      <c r="D384" s="153"/>
      <c r="E384" s="153"/>
      <c r="F384" s="153"/>
      <c r="G384" s="153"/>
      <c r="H384" s="153"/>
      <c r="I384" s="153"/>
      <c r="J384" s="153"/>
      <c r="K384" s="153"/>
      <c r="L384" s="153"/>
      <c r="M384" s="153"/>
      <c r="N384" s="153"/>
      <c r="O384" s="153"/>
      <c r="P384" s="153"/>
      <c r="Q384" s="153"/>
      <c r="R384" s="153"/>
      <c r="S384" s="153"/>
      <c r="T384" s="153"/>
      <c r="U384" s="153"/>
      <c r="V384" s="153"/>
      <c r="W384" s="153"/>
      <c r="X384" s="153"/>
      <c r="Y384" s="153"/>
      <c r="Z384" s="153"/>
      <c r="AA384" s="153"/>
      <c r="AB384" s="153"/>
    </row>
    <row r="385" spans="1:28" ht="15">
      <c r="A385" s="153"/>
      <c r="B385" s="153"/>
      <c r="C385" s="153"/>
      <c r="D385" s="153"/>
      <c r="E385" s="153"/>
      <c r="F385" s="153"/>
      <c r="G385" s="153"/>
      <c r="H385" s="153"/>
      <c r="I385" s="153"/>
      <c r="J385" s="153"/>
      <c r="K385" s="153"/>
      <c r="L385" s="153"/>
      <c r="M385" s="153"/>
      <c r="N385" s="153"/>
      <c r="O385" s="153"/>
      <c r="P385" s="153"/>
      <c r="Q385" s="153"/>
      <c r="R385" s="153"/>
      <c r="S385" s="153"/>
      <c r="T385" s="153"/>
      <c r="U385" s="153"/>
      <c r="V385" s="153"/>
      <c r="W385" s="153"/>
      <c r="X385" s="153"/>
      <c r="Y385" s="153"/>
      <c r="Z385" s="153"/>
      <c r="AA385" s="153"/>
      <c r="AB385" s="153"/>
    </row>
    <row r="386" spans="1:28" ht="15">
      <c r="A386" s="153"/>
      <c r="B386" s="153"/>
      <c r="C386" s="153"/>
      <c r="D386" s="153"/>
      <c r="E386" s="153"/>
      <c r="F386" s="153"/>
      <c r="G386" s="153"/>
      <c r="H386" s="153"/>
      <c r="I386" s="153"/>
      <c r="J386" s="153"/>
      <c r="K386" s="153"/>
      <c r="L386" s="153"/>
      <c r="M386" s="153"/>
      <c r="N386" s="153"/>
      <c r="O386" s="153"/>
      <c r="P386" s="153"/>
      <c r="Q386" s="153"/>
      <c r="R386" s="153"/>
      <c r="S386" s="153"/>
      <c r="T386" s="153"/>
      <c r="U386" s="153"/>
      <c r="V386" s="153"/>
      <c r="W386" s="153"/>
      <c r="X386" s="153"/>
      <c r="Y386" s="153"/>
      <c r="Z386" s="153"/>
      <c r="AA386" s="153"/>
      <c r="AB386" s="153"/>
    </row>
    <row r="387" spans="1:28" ht="15">
      <c r="A387" s="153"/>
      <c r="B387" s="153"/>
      <c r="C387" s="153"/>
      <c r="D387" s="153"/>
      <c r="E387" s="153"/>
      <c r="F387" s="153"/>
      <c r="G387" s="153"/>
      <c r="H387" s="153"/>
      <c r="I387" s="153"/>
      <c r="J387" s="153"/>
      <c r="K387" s="153"/>
      <c r="L387" s="153"/>
      <c r="M387" s="153"/>
      <c r="N387" s="153"/>
      <c r="O387" s="153"/>
      <c r="P387" s="153"/>
      <c r="Q387" s="153"/>
      <c r="R387" s="153"/>
      <c r="S387" s="153"/>
      <c r="T387" s="153"/>
      <c r="U387" s="153"/>
      <c r="V387" s="153"/>
      <c r="W387" s="153"/>
      <c r="X387" s="153"/>
      <c r="Y387" s="153"/>
      <c r="Z387" s="153"/>
      <c r="AA387" s="153"/>
      <c r="AB387" s="153"/>
    </row>
    <row r="388" spans="1:28" ht="15">
      <c r="A388" s="153"/>
      <c r="B388" s="153"/>
      <c r="C388" s="153"/>
      <c r="D388" s="153"/>
      <c r="E388" s="153"/>
      <c r="F388" s="153"/>
      <c r="G388" s="153"/>
      <c r="H388" s="153"/>
      <c r="I388" s="153"/>
      <c r="J388" s="153"/>
      <c r="K388" s="153"/>
      <c r="L388" s="153"/>
      <c r="M388" s="153"/>
      <c r="N388" s="153"/>
      <c r="O388" s="153"/>
      <c r="P388" s="153"/>
      <c r="Q388" s="153"/>
      <c r="R388" s="153"/>
      <c r="S388" s="153"/>
      <c r="T388" s="153"/>
      <c r="U388" s="153"/>
      <c r="V388" s="153"/>
      <c r="W388" s="153"/>
      <c r="X388" s="153"/>
      <c r="Y388" s="153"/>
      <c r="Z388" s="153"/>
      <c r="AA388" s="153"/>
      <c r="AB388" s="153"/>
    </row>
    <row r="389" spans="1:28" ht="15">
      <c r="A389" s="153"/>
      <c r="B389" s="153"/>
      <c r="C389" s="153"/>
      <c r="D389" s="153"/>
      <c r="E389" s="153"/>
      <c r="F389" s="153"/>
      <c r="G389" s="153"/>
      <c r="H389" s="153"/>
      <c r="I389" s="153"/>
      <c r="J389" s="153"/>
      <c r="K389" s="153"/>
      <c r="L389" s="153"/>
      <c r="M389" s="153"/>
      <c r="N389" s="153"/>
      <c r="O389" s="153"/>
      <c r="P389" s="153"/>
      <c r="Q389" s="153"/>
      <c r="R389" s="153"/>
      <c r="S389" s="153"/>
      <c r="T389" s="153"/>
      <c r="U389" s="153"/>
      <c r="V389" s="153"/>
      <c r="W389" s="153"/>
      <c r="X389" s="153"/>
      <c r="Y389" s="153"/>
      <c r="Z389" s="153"/>
      <c r="AA389" s="153"/>
      <c r="AB389" s="153"/>
    </row>
    <row r="390" spans="1:28" ht="15">
      <c r="A390" s="153"/>
      <c r="B390" s="153"/>
      <c r="C390" s="153"/>
      <c r="D390" s="153"/>
      <c r="E390" s="153"/>
      <c r="F390" s="153"/>
      <c r="G390" s="153"/>
      <c r="H390" s="153"/>
      <c r="I390" s="153"/>
      <c r="J390" s="153"/>
      <c r="K390" s="153"/>
      <c r="L390" s="153"/>
      <c r="M390" s="153"/>
      <c r="N390" s="153"/>
      <c r="O390" s="153"/>
      <c r="P390" s="153"/>
      <c r="Q390" s="153"/>
      <c r="R390" s="153"/>
      <c r="S390" s="153"/>
      <c r="T390" s="153"/>
      <c r="U390" s="153"/>
      <c r="V390" s="153"/>
      <c r="W390" s="153"/>
      <c r="X390" s="153"/>
      <c r="Y390" s="153"/>
      <c r="Z390" s="153"/>
      <c r="AA390" s="153"/>
      <c r="AB390" s="153"/>
    </row>
    <row r="391" spans="1:28" ht="15">
      <c r="A391" s="153"/>
      <c r="B391" s="153"/>
      <c r="C391" s="153"/>
      <c r="D391" s="153"/>
      <c r="E391" s="153"/>
      <c r="F391" s="153"/>
      <c r="G391" s="153"/>
      <c r="H391" s="153"/>
      <c r="I391" s="153"/>
      <c r="J391" s="153"/>
      <c r="K391" s="153"/>
      <c r="L391" s="153"/>
      <c r="M391" s="153"/>
      <c r="N391" s="153"/>
      <c r="O391" s="153"/>
      <c r="P391" s="153"/>
      <c r="Q391" s="153"/>
      <c r="R391" s="153"/>
      <c r="S391" s="153"/>
      <c r="T391" s="153"/>
      <c r="U391" s="153"/>
      <c r="V391" s="153"/>
      <c r="W391" s="153"/>
      <c r="X391" s="153"/>
      <c r="Y391" s="153"/>
      <c r="Z391" s="153"/>
      <c r="AA391" s="153"/>
      <c r="AB391" s="153"/>
    </row>
    <row r="392" spans="1:28" ht="15">
      <c r="A392" s="153"/>
      <c r="B392" s="153"/>
      <c r="C392" s="153"/>
      <c r="D392" s="153"/>
      <c r="E392" s="153"/>
      <c r="F392" s="153"/>
      <c r="G392" s="153"/>
      <c r="H392" s="153"/>
      <c r="I392" s="153"/>
      <c r="J392" s="153"/>
      <c r="K392" s="153"/>
      <c r="L392" s="153"/>
      <c r="M392" s="153"/>
      <c r="N392" s="153"/>
      <c r="O392" s="153"/>
      <c r="P392" s="153"/>
      <c r="Q392" s="153"/>
      <c r="R392" s="153"/>
      <c r="S392" s="153"/>
      <c r="T392" s="153"/>
      <c r="U392" s="153"/>
      <c r="V392" s="153"/>
      <c r="W392" s="153"/>
      <c r="X392" s="153"/>
      <c r="Y392" s="153"/>
      <c r="Z392" s="153"/>
      <c r="AA392" s="153"/>
      <c r="AB392" s="153"/>
    </row>
    <row r="393" spans="1:28" ht="15">
      <c r="A393" s="153"/>
      <c r="B393" s="153"/>
      <c r="C393" s="153"/>
      <c r="D393" s="153"/>
      <c r="E393" s="153"/>
      <c r="F393" s="153"/>
      <c r="G393" s="153"/>
      <c r="H393" s="153"/>
      <c r="I393" s="153"/>
      <c r="J393" s="153"/>
      <c r="K393" s="153"/>
      <c r="L393" s="153"/>
      <c r="M393" s="153"/>
      <c r="N393" s="153"/>
      <c r="O393" s="153"/>
      <c r="P393" s="153"/>
      <c r="Q393" s="153"/>
      <c r="R393" s="153"/>
      <c r="S393" s="153"/>
      <c r="T393" s="153"/>
      <c r="U393" s="153"/>
      <c r="V393" s="153"/>
      <c r="W393" s="153"/>
      <c r="X393" s="153"/>
      <c r="Y393" s="153"/>
      <c r="Z393" s="153"/>
      <c r="AA393" s="153"/>
      <c r="AB393" s="153"/>
    </row>
    <row r="394" spans="1:28" ht="15">
      <c r="A394" s="153"/>
      <c r="B394" s="153"/>
      <c r="C394" s="153"/>
      <c r="D394" s="153"/>
      <c r="E394" s="153"/>
      <c r="F394" s="153"/>
      <c r="G394" s="153"/>
      <c r="H394" s="153"/>
      <c r="I394" s="153"/>
      <c r="J394" s="153"/>
      <c r="K394" s="153"/>
      <c r="L394" s="153"/>
      <c r="M394" s="153"/>
      <c r="N394" s="153"/>
      <c r="O394" s="153"/>
      <c r="P394" s="153"/>
      <c r="Q394" s="153"/>
      <c r="R394" s="153"/>
      <c r="S394" s="153"/>
      <c r="T394" s="153"/>
      <c r="U394" s="153"/>
      <c r="V394" s="153"/>
      <c r="W394" s="153"/>
      <c r="X394" s="153"/>
      <c r="Y394" s="153"/>
      <c r="Z394" s="153"/>
      <c r="AA394" s="153"/>
      <c r="AB394" s="153"/>
    </row>
    <row r="395" spans="1:28" ht="15">
      <c r="A395" s="153"/>
      <c r="B395" s="153"/>
      <c r="C395" s="153"/>
      <c r="D395" s="153"/>
      <c r="E395" s="153"/>
      <c r="F395" s="153"/>
      <c r="G395" s="153"/>
      <c r="H395" s="153"/>
      <c r="I395" s="153"/>
      <c r="J395" s="153"/>
      <c r="K395" s="153"/>
      <c r="L395" s="153"/>
      <c r="M395" s="153"/>
      <c r="N395" s="153"/>
      <c r="O395" s="153"/>
      <c r="P395" s="153"/>
      <c r="Q395" s="153"/>
      <c r="R395" s="153"/>
      <c r="S395" s="153"/>
      <c r="T395" s="153"/>
      <c r="U395" s="153"/>
      <c r="V395" s="153"/>
      <c r="W395" s="153"/>
      <c r="X395" s="153"/>
      <c r="Y395" s="153"/>
      <c r="Z395" s="153"/>
      <c r="AA395" s="153"/>
      <c r="AB395" s="153"/>
    </row>
    <row r="396" spans="1:28" ht="15">
      <c r="A396" s="153"/>
      <c r="B396" s="153"/>
      <c r="C396" s="153"/>
      <c r="D396" s="153"/>
      <c r="E396" s="153"/>
      <c r="F396" s="153"/>
      <c r="G396" s="153"/>
      <c r="H396" s="153"/>
      <c r="I396" s="153"/>
      <c r="J396" s="153"/>
      <c r="K396" s="153"/>
      <c r="L396" s="153"/>
      <c r="M396" s="153"/>
      <c r="N396" s="153"/>
      <c r="O396" s="153"/>
      <c r="P396" s="153"/>
      <c r="Q396" s="153"/>
      <c r="R396" s="153"/>
      <c r="S396" s="153"/>
      <c r="T396" s="153"/>
      <c r="U396" s="153"/>
      <c r="V396" s="153"/>
      <c r="W396" s="153"/>
      <c r="X396" s="153"/>
      <c r="Y396" s="153"/>
      <c r="Z396" s="153"/>
      <c r="AA396" s="153"/>
      <c r="AB396" s="153"/>
    </row>
    <row r="397" spans="1:28" ht="15">
      <c r="A397" s="153"/>
      <c r="B397" s="153"/>
      <c r="C397" s="153"/>
      <c r="D397" s="153"/>
      <c r="E397" s="153"/>
      <c r="F397" s="153"/>
      <c r="G397" s="153"/>
      <c r="H397" s="153"/>
      <c r="I397" s="153"/>
      <c r="J397" s="153"/>
      <c r="K397" s="153"/>
      <c r="L397" s="153"/>
      <c r="M397" s="153"/>
      <c r="N397" s="153"/>
      <c r="O397" s="153"/>
      <c r="P397" s="153"/>
      <c r="Q397" s="153"/>
      <c r="R397" s="153"/>
      <c r="S397" s="153"/>
      <c r="T397" s="153"/>
      <c r="U397" s="153"/>
      <c r="V397" s="153"/>
      <c r="W397" s="153"/>
      <c r="X397" s="153"/>
      <c r="Y397" s="153"/>
      <c r="Z397" s="153"/>
      <c r="AA397" s="153"/>
      <c r="AB397" s="153"/>
    </row>
    <row r="398" spans="1:28" ht="15">
      <c r="A398" s="153"/>
      <c r="B398" s="153"/>
      <c r="C398" s="153"/>
      <c r="D398" s="153"/>
      <c r="E398" s="153"/>
      <c r="F398" s="153"/>
      <c r="G398" s="153"/>
      <c r="H398" s="153"/>
      <c r="I398" s="153"/>
      <c r="J398" s="153"/>
      <c r="K398" s="153"/>
      <c r="L398" s="153"/>
      <c r="M398" s="153"/>
      <c r="N398" s="153"/>
      <c r="O398" s="153"/>
      <c r="P398" s="153"/>
      <c r="Q398" s="153"/>
      <c r="R398" s="153"/>
      <c r="S398" s="153"/>
      <c r="T398" s="153"/>
      <c r="U398" s="153"/>
      <c r="V398" s="153"/>
      <c r="W398" s="153"/>
      <c r="X398" s="153"/>
      <c r="Y398" s="153"/>
      <c r="Z398" s="153"/>
      <c r="AA398" s="153"/>
      <c r="AB398" s="153"/>
    </row>
    <row r="399" spans="1:28" ht="15">
      <c r="A399" s="153"/>
      <c r="B399" s="153"/>
      <c r="C399" s="153"/>
      <c r="D399" s="153"/>
      <c r="E399" s="153"/>
      <c r="F399" s="153"/>
      <c r="G399" s="153"/>
      <c r="H399" s="153"/>
      <c r="I399" s="153"/>
      <c r="J399" s="153"/>
      <c r="K399" s="153"/>
      <c r="L399" s="153"/>
      <c r="M399" s="153"/>
      <c r="N399" s="153"/>
      <c r="O399" s="153"/>
      <c r="P399" s="153"/>
      <c r="Q399" s="153"/>
      <c r="R399" s="153"/>
      <c r="S399" s="153"/>
      <c r="T399" s="153"/>
      <c r="U399" s="153"/>
      <c r="V399" s="153"/>
      <c r="W399" s="153"/>
      <c r="X399" s="153"/>
      <c r="Y399" s="153"/>
      <c r="Z399" s="153"/>
      <c r="AA399" s="153"/>
      <c r="AB399" s="153"/>
    </row>
    <row r="400" spans="1:28" ht="15">
      <c r="A400" s="153"/>
      <c r="B400" s="153"/>
      <c r="C400" s="153"/>
      <c r="D400" s="153"/>
      <c r="E400" s="153"/>
      <c r="F400" s="153"/>
      <c r="G400" s="153"/>
      <c r="H400" s="153"/>
      <c r="I400" s="153"/>
      <c r="J400" s="153"/>
      <c r="K400" s="153"/>
      <c r="L400" s="153"/>
      <c r="M400" s="153"/>
      <c r="N400" s="153"/>
      <c r="O400" s="153"/>
      <c r="P400" s="153"/>
      <c r="Q400" s="153"/>
      <c r="R400" s="153"/>
      <c r="S400" s="153"/>
      <c r="T400" s="153"/>
      <c r="U400" s="153"/>
      <c r="V400" s="153"/>
      <c r="W400" s="153"/>
      <c r="X400" s="153"/>
      <c r="Y400" s="153"/>
      <c r="Z400" s="153"/>
      <c r="AA400" s="153"/>
      <c r="AB400" s="153"/>
    </row>
    <row r="401" spans="1:28" ht="15">
      <c r="A401" s="153"/>
      <c r="B401" s="153"/>
      <c r="C401" s="153"/>
      <c r="D401" s="153"/>
      <c r="E401" s="153"/>
      <c r="F401" s="153"/>
      <c r="G401" s="153"/>
      <c r="H401" s="153"/>
      <c r="I401" s="153"/>
      <c r="J401" s="153"/>
      <c r="K401" s="153"/>
      <c r="L401" s="153"/>
      <c r="M401" s="153"/>
      <c r="N401" s="153"/>
      <c r="O401" s="153"/>
      <c r="P401" s="153"/>
      <c r="Q401" s="153"/>
      <c r="R401" s="153"/>
      <c r="S401" s="153"/>
      <c r="T401" s="153"/>
      <c r="U401" s="153"/>
      <c r="V401" s="153"/>
      <c r="W401" s="153"/>
      <c r="X401" s="153"/>
      <c r="Y401" s="153"/>
      <c r="Z401" s="153"/>
      <c r="AA401" s="153"/>
      <c r="AB401" s="153"/>
    </row>
    <row r="402" spans="1:28" ht="15">
      <c r="A402" s="153"/>
      <c r="B402" s="153"/>
      <c r="C402" s="153"/>
      <c r="D402" s="153"/>
      <c r="E402" s="153"/>
      <c r="F402" s="153"/>
      <c r="G402" s="153"/>
      <c r="H402" s="153"/>
      <c r="I402" s="153"/>
      <c r="J402" s="153"/>
      <c r="K402" s="153"/>
      <c r="L402" s="153"/>
      <c r="M402" s="153"/>
      <c r="N402" s="153"/>
      <c r="O402" s="153"/>
      <c r="P402" s="153"/>
      <c r="Q402" s="153"/>
      <c r="R402" s="153"/>
      <c r="S402" s="153"/>
      <c r="T402" s="153"/>
      <c r="U402" s="153"/>
      <c r="V402" s="153"/>
      <c r="W402" s="153"/>
      <c r="X402" s="153"/>
      <c r="Y402" s="153"/>
      <c r="Z402" s="153"/>
      <c r="AA402" s="153"/>
      <c r="AB402" s="153"/>
    </row>
    <row r="403" spans="1:28" ht="15">
      <c r="A403" s="153"/>
      <c r="B403" s="153"/>
      <c r="C403" s="153"/>
      <c r="D403" s="153"/>
      <c r="E403" s="153"/>
      <c r="F403" s="153"/>
      <c r="G403" s="153"/>
      <c r="H403" s="153"/>
      <c r="I403" s="153"/>
      <c r="J403" s="153"/>
      <c r="K403" s="153"/>
      <c r="L403" s="153"/>
      <c r="M403" s="153"/>
      <c r="N403" s="153"/>
      <c r="O403" s="153"/>
      <c r="P403" s="153"/>
      <c r="Q403" s="153"/>
      <c r="R403" s="153"/>
      <c r="S403" s="153"/>
      <c r="T403" s="153"/>
      <c r="U403" s="153"/>
      <c r="V403" s="153"/>
      <c r="W403" s="153"/>
      <c r="X403" s="153"/>
      <c r="Y403" s="153"/>
      <c r="Z403" s="153"/>
      <c r="AA403" s="153"/>
      <c r="AB403" s="153"/>
    </row>
    <row r="404" spans="1:28" ht="15">
      <c r="A404" s="153"/>
      <c r="B404" s="153"/>
      <c r="C404" s="153"/>
      <c r="D404" s="153"/>
      <c r="E404" s="153"/>
      <c r="F404" s="153"/>
      <c r="G404" s="153"/>
      <c r="H404" s="153"/>
      <c r="I404" s="153"/>
      <c r="J404" s="153"/>
      <c r="K404" s="153"/>
      <c r="L404" s="153"/>
      <c r="M404" s="153"/>
      <c r="N404" s="153"/>
      <c r="O404" s="153"/>
      <c r="P404" s="153"/>
      <c r="Q404" s="153"/>
      <c r="R404" s="153"/>
      <c r="S404" s="153"/>
      <c r="T404" s="153"/>
      <c r="U404" s="153"/>
      <c r="V404" s="153"/>
      <c r="W404" s="153"/>
      <c r="X404" s="153"/>
      <c r="Y404" s="153"/>
      <c r="Z404" s="153"/>
      <c r="AA404" s="153"/>
      <c r="AB404" s="153"/>
    </row>
    <row r="405" spans="1:28" ht="15">
      <c r="A405" s="153"/>
      <c r="B405" s="153"/>
      <c r="C405" s="153"/>
      <c r="D405" s="153"/>
      <c r="E405" s="153"/>
      <c r="F405" s="153"/>
      <c r="G405" s="153"/>
      <c r="H405" s="153"/>
      <c r="I405" s="153"/>
      <c r="J405" s="153"/>
      <c r="K405" s="153"/>
      <c r="L405" s="153"/>
      <c r="M405" s="153"/>
      <c r="N405" s="153"/>
      <c r="O405" s="153"/>
      <c r="P405" s="153"/>
      <c r="Q405" s="153"/>
      <c r="R405" s="153"/>
      <c r="S405" s="153"/>
      <c r="T405" s="153"/>
      <c r="U405" s="153"/>
      <c r="V405" s="153"/>
      <c r="W405" s="153"/>
      <c r="X405" s="153"/>
      <c r="Y405" s="153"/>
      <c r="Z405" s="153"/>
      <c r="AA405" s="153"/>
      <c r="AB405" s="153"/>
    </row>
    <row r="406" spans="1:28" ht="15">
      <c r="A406" s="153"/>
      <c r="B406" s="153"/>
      <c r="C406" s="153"/>
      <c r="D406" s="153"/>
      <c r="E406" s="153"/>
      <c r="F406" s="153"/>
      <c r="G406" s="153"/>
      <c r="H406" s="153"/>
      <c r="I406" s="153"/>
      <c r="J406" s="153"/>
      <c r="K406" s="153"/>
      <c r="L406" s="153"/>
      <c r="M406" s="153"/>
      <c r="N406" s="153"/>
      <c r="O406" s="153"/>
      <c r="P406" s="153"/>
      <c r="Q406" s="153"/>
      <c r="R406" s="153"/>
      <c r="S406" s="153"/>
      <c r="T406" s="153"/>
      <c r="U406" s="153"/>
      <c r="V406" s="153"/>
      <c r="W406" s="153"/>
      <c r="X406" s="153"/>
      <c r="Y406" s="153"/>
      <c r="Z406" s="153"/>
      <c r="AA406" s="153"/>
      <c r="AB406" s="153"/>
    </row>
    <row r="407" spans="1:28" ht="15">
      <c r="A407" s="153"/>
      <c r="B407" s="153"/>
      <c r="C407" s="153"/>
      <c r="D407" s="153"/>
      <c r="E407" s="153"/>
      <c r="F407" s="153"/>
      <c r="G407" s="153"/>
      <c r="H407" s="153"/>
      <c r="I407" s="153"/>
      <c r="J407" s="153"/>
      <c r="K407" s="153"/>
      <c r="L407" s="153"/>
      <c r="M407" s="153"/>
      <c r="N407" s="153"/>
      <c r="O407" s="153"/>
      <c r="P407" s="153"/>
      <c r="Q407" s="153"/>
      <c r="R407" s="153"/>
      <c r="S407" s="153"/>
      <c r="T407" s="153"/>
      <c r="U407" s="153"/>
      <c r="V407" s="153"/>
      <c r="W407" s="153"/>
      <c r="X407" s="153"/>
      <c r="Y407" s="153"/>
      <c r="Z407" s="153"/>
      <c r="AA407" s="153"/>
      <c r="AB407" s="153"/>
    </row>
    <row r="408" spans="1:28" ht="15">
      <c r="A408" s="153"/>
      <c r="B408" s="153"/>
      <c r="C408" s="153"/>
      <c r="D408" s="153"/>
      <c r="E408" s="153"/>
      <c r="F408" s="153"/>
      <c r="G408" s="153"/>
      <c r="H408" s="153"/>
      <c r="I408" s="153"/>
      <c r="J408" s="153"/>
      <c r="K408" s="153"/>
      <c r="L408" s="153"/>
      <c r="M408" s="153"/>
      <c r="N408" s="153"/>
      <c r="O408" s="153"/>
      <c r="P408" s="153"/>
      <c r="Q408" s="153"/>
      <c r="R408" s="153"/>
      <c r="S408" s="153"/>
      <c r="T408" s="153"/>
      <c r="U408" s="153"/>
      <c r="V408" s="153"/>
      <c r="W408" s="153"/>
      <c r="X408" s="153"/>
      <c r="Y408" s="153"/>
      <c r="Z408" s="153"/>
      <c r="AA408" s="153"/>
      <c r="AB408" s="153"/>
    </row>
    <row r="409" spans="1:28" ht="15">
      <c r="A409" s="153"/>
      <c r="B409" s="153"/>
      <c r="C409" s="153"/>
      <c r="D409" s="153"/>
      <c r="E409" s="153"/>
      <c r="F409" s="153"/>
      <c r="G409" s="153"/>
      <c r="H409" s="153"/>
      <c r="I409" s="153"/>
      <c r="J409" s="153"/>
      <c r="K409" s="153"/>
      <c r="L409" s="153"/>
      <c r="M409" s="153"/>
      <c r="N409" s="153"/>
      <c r="O409" s="153"/>
      <c r="P409" s="153"/>
      <c r="Q409" s="153"/>
      <c r="R409" s="153"/>
      <c r="S409" s="153"/>
      <c r="T409" s="153"/>
      <c r="U409" s="153"/>
      <c r="V409" s="153"/>
      <c r="W409" s="153"/>
      <c r="X409" s="153"/>
      <c r="Y409" s="153"/>
      <c r="Z409" s="153"/>
      <c r="AA409" s="153"/>
      <c r="AB409" s="153"/>
    </row>
    <row r="410" spans="1:28" ht="15">
      <c r="A410" s="153"/>
      <c r="B410" s="153"/>
      <c r="C410" s="153"/>
      <c r="D410" s="153"/>
      <c r="E410" s="153"/>
      <c r="F410" s="153"/>
      <c r="G410" s="153"/>
      <c r="H410" s="153"/>
      <c r="I410" s="153"/>
      <c r="J410" s="153"/>
      <c r="K410" s="153"/>
      <c r="L410" s="153"/>
      <c r="M410" s="153"/>
      <c r="N410" s="153"/>
      <c r="O410" s="153"/>
      <c r="P410" s="153"/>
      <c r="Q410" s="153"/>
      <c r="R410" s="153"/>
      <c r="S410" s="153"/>
      <c r="T410" s="153"/>
      <c r="U410" s="153"/>
      <c r="V410" s="153"/>
      <c r="W410" s="153"/>
      <c r="X410" s="153"/>
      <c r="Y410" s="153"/>
      <c r="Z410" s="153"/>
      <c r="AA410" s="153"/>
      <c r="AB410" s="153"/>
    </row>
    <row r="411" spans="1:28" ht="15">
      <c r="A411" s="153"/>
      <c r="B411" s="153"/>
      <c r="C411" s="153"/>
      <c r="D411" s="153"/>
      <c r="E411" s="153"/>
      <c r="F411" s="153"/>
      <c r="G411" s="153"/>
      <c r="H411" s="153"/>
      <c r="I411" s="153"/>
      <c r="J411" s="153"/>
      <c r="K411" s="153"/>
      <c r="L411" s="153"/>
      <c r="M411" s="153"/>
      <c r="N411" s="153"/>
      <c r="O411" s="153"/>
      <c r="P411" s="153"/>
      <c r="Q411" s="153"/>
      <c r="R411" s="153"/>
      <c r="S411" s="153"/>
      <c r="T411" s="153"/>
      <c r="U411" s="153"/>
      <c r="V411" s="153"/>
      <c r="W411" s="153"/>
      <c r="X411" s="153"/>
      <c r="Y411" s="153"/>
      <c r="Z411" s="153"/>
      <c r="AA411" s="153"/>
      <c r="AB411" s="153"/>
    </row>
    <row r="412" spans="1:28" ht="15">
      <c r="A412" s="153"/>
      <c r="B412" s="153"/>
      <c r="C412" s="153"/>
      <c r="D412" s="153"/>
      <c r="E412" s="153"/>
      <c r="F412" s="153"/>
      <c r="G412" s="153"/>
      <c r="H412" s="153"/>
      <c r="I412" s="153"/>
      <c r="J412" s="153"/>
      <c r="K412" s="153"/>
      <c r="L412" s="153"/>
      <c r="M412" s="153"/>
      <c r="N412" s="153"/>
      <c r="O412" s="153"/>
      <c r="P412" s="153"/>
      <c r="Q412" s="153"/>
      <c r="R412" s="153"/>
      <c r="S412" s="153"/>
      <c r="T412" s="153"/>
      <c r="U412" s="153"/>
      <c r="V412" s="153"/>
      <c r="W412" s="153"/>
      <c r="X412" s="153"/>
      <c r="Y412" s="153"/>
      <c r="Z412" s="153"/>
      <c r="AA412" s="153"/>
      <c r="AB412" s="153"/>
    </row>
    <row r="413" spans="1:28" ht="15">
      <c r="A413" s="153"/>
      <c r="B413" s="153"/>
      <c r="C413" s="153"/>
      <c r="D413" s="153"/>
      <c r="E413" s="153"/>
      <c r="F413" s="153"/>
      <c r="G413" s="153"/>
      <c r="H413" s="153"/>
      <c r="I413" s="153"/>
      <c r="J413" s="153"/>
      <c r="K413" s="153"/>
      <c r="L413" s="153"/>
      <c r="M413" s="153"/>
      <c r="N413" s="153"/>
      <c r="O413" s="153"/>
      <c r="P413" s="153"/>
      <c r="Q413" s="153"/>
      <c r="R413" s="153"/>
      <c r="S413" s="153"/>
      <c r="T413" s="153"/>
      <c r="U413" s="153"/>
      <c r="V413" s="153"/>
      <c r="W413" s="153"/>
      <c r="X413" s="153"/>
      <c r="Y413" s="153"/>
      <c r="Z413" s="153"/>
      <c r="AA413" s="153"/>
      <c r="AB413" s="153"/>
    </row>
    <row r="414" spans="1:28" ht="15">
      <c r="A414" s="153"/>
      <c r="B414" s="153"/>
      <c r="C414" s="153"/>
      <c r="D414" s="153"/>
      <c r="E414" s="153"/>
      <c r="F414" s="153"/>
      <c r="G414" s="153"/>
      <c r="H414" s="153"/>
      <c r="I414" s="153"/>
      <c r="J414" s="153"/>
      <c r="K414" s="153"/>
      <c r="L414" s="153"/>
      <c r="M414" s="153"/>
      <c r="N414" s="153"/>
      <c r="O414" s="153"/>
      <c r="P414" s="153"/>
      <c r="Q414" s="153"/>
      <c r="R414" s="153"/>
      <c r="S414" s="153"/>
      <c r="T414" s="153"/>
      <c r="U414" s="153"/>
      <c r="V414" s="153"/>
      <c r="W414" s="153"/>
      <c r="X414" s="153"/>
      <c r="Y414" s="153"/>
      <c r="Z414" s="153"/>
      <c r="AA414" s="153"/>
      <c r="AB414" s="153"/>
    </row>
    <row r="415" spans="1:28" ht="15">
      <c r="A415" s="153"/>
      <c r="B415" s="153"/>
      <c r="C415" s="153"/>
      <c r="D415" s="153"/>
      <c r="E415" s="153"/>
      <c r="F415" s="153"/>
      <c r="G415" s="153"/>
      <c r="H415" s="153"/>
      <c r="I415" s="153"/>
      <c r="J415" s="153"/>
      <c r="K415" s="153"/>
      <c r="L415" s="153"/>
      <c r="M415" s="153"/>
      <c r="N415" s="153"/>
      <c r="O415" s="153"/>
      <c r="P415" s="153"/>
      <c r="Q415" s="153"/>
      <c r="R415" s="153"/>
      <c r="S415" s="153"/>
      <c r="T415" s="153"/>
      <c r="U415" s="153"/>
      <c r="V415" s="153"/>
      <c r="W415" s="153"/>
      <c r="X415" s="153"/>
      <c r="Y415" s="153"/>
      <c r="Z415" s="153"/>
      <c r="AA415" s="153"/>
      <c r="AB415" s="153"/>
    </row>
    <row r="416" spans="1:28" ht="15">
      <c r="A416" s="153"/>
      <c r="B416" s="153"/>
      <c r="C416" s="153"/>
      <c r="D416" s="153"/>
      <c r="E416" s="153"/>
      <c r="F416" s="153"/>
      <c r="G416" s="153"/>
      <c r="H416" s="153"/>
      <c r="I416" s="153"/>
      <c r="J416" s="153"/>
      <c r="K416" s="153"/>
      <c r="L416" s="153"/>
      <c r="M416" s="153"/>
      <c r="N416" s="153"/>
      <c r="O416" s="153"/>
      <c r="P416" s="153"/>
      <c r="Q416" s="153"/>
      <c r="R416" s="153"/>
      <c r="S416" s="153"/>
      <c r="T416" s="153"/>
      <c r="U416" s="153"/>
      <c r="V416" s="153"/>
      <c r="W416" s="153"/>
      <c r="X416" s="153"/>
      <c r="Y416" s="153"/>
      <c r="Z416" s="153"/>
      <c r="AA416" s="153"/>
      <c r="AB416" s="153"/>
    </row>
    <row r="417" spans="1:28" ht="15">
      <c r="A417" s="153"/>
      <c r="B417" s="153"/>
      <c r="C417" s="153"/>
      <c r="D417" s="153"/>
      <c r="E417" s="153"/>
      <c r="F417" s="153"/>
      <c r="G417" s="153"/>
      <c r="H417" s="153"/>
      <c r="I417" s="153"/>
      <c r="J417" s="153"/>
      <c r="K417" s="153"/>
      <c r="L417" s="153"/>
      <c r="M417" s="153"/>
      <c r="N417" s="153"/>
      <c r="O417" s="153"/>
      <c r="P417" s="153"/>
      <c r="Q417" s="153"/>
      <c r="R417" s="153"/>
      <c r="S417" s="153"/>
      <c r="T417" s="153"/>
      <c r="U417" s="153"/>
      <c r="V417" s="153"/>
      <c r="W417" s="153"/>
      <c r="X417" s="153"/>
      <c r="Y417" s="153"/>
      <c r="Z417" s="153"/>
      <c r="AA417" s="153"/>
      <c r="AB417" s="153"/>
    </row>
    <row r="418" spans="1:28" ht="15">
      <c r="A418" s="153"/>
      <c r="B418" s="153"/>
      <c r="C418" s="153"/>
      <c r="D418" s="153"/>
      <c r="E418" s="153"/>
      <c r="F418" s="153"/>
      <c r="G418" s="153"/>
      <c r="H418" s="153"/>
      <c r="I418" s="153"/>
      <c r="J418" s="153"/>
      <c r="K418" s="153"/>
      <c r="L418" s="153"/>
      <c r="M418" s="153"/>
      <c r="N418" s="153"/>
      <c r="O418" s="153"/>
      <c r="P418" s="153"/>
      <c r="Q418" s="153"/>
      <c r="R418" s="153"/>
      <c r="S418" s="153"/>
      <c r="T418" s="153"/>
      <c r="U418" s="153"/>
      <c r="V418" s="153"/>
      <c r="W418" s="153"/>
      <c r="X418" s="153"/>
      <c r="Y418" s="153"/>
      <c r="Z418" s="153"/>
      <c r="AA418" s="153"/>
      <c r="AB418" s="153"/>
    </row>
    <row r="419" spans="1:28" ht="15">
      <c r="A419" s="153"/>
      <c r="B419" s="153"/>
      <c r="C419" s="153"/>
      <c r="D419" s="153"/>
      <c r="E419" s="153"/>
      <c r="F419" s="153"/>
      <c r="G419" s="153"/>
      <c r="H419" s="153"/>
      <c r="I419" s="153"/>
      <c r="J419" s="153"/>
      <c r="K419" s="153"/>
      <c r="L419" s="153"/>
      <c r="M419" s="153"/>
      <c r="N419" s="153"/>
      <c r="O419" s="153"/>
      <c r="P419" s="153"/>
      <c r="Q419" s="153"/>
      <c r="R419" s="153"/>
      <c r="S419" s="153"/>
      <c r="T419" s="153"/>
      <c r="U419" s="153"/>
      <c r="V419" s="153"/>
      <c r="W419" s="153"/>
      <c r="X419" s="153"/>
      <c r="Y419" s="153"/>
      <c r="Z419" s="153"/>
      <c r="AA419" s="153"/>
      <c r="AB419" s="153"/>
    </row>
    <row r="420" spans="1:28" ht="15">
      <c r="A420" s="153"/>
      <c r="B420" s="153"/>
      <c r="C420" s="153"/>
      <c r="D420" s="153"/>
      <c r="E420" s="153"/>
      <c r="F420" s="153"/>
      <c r="G420" s="153"/>
      <c r="H420" s="153"/>
      <c r="I420" s="153"/>
      <c r="J420" s="153"/>
      <c r="K420" s="153"/>
      <c r="L420" s="153"/>
      <c r="M420" s="153"/>
      <c r="N420" s="153"/>
      <c r="O420" s="153"/>
      <c r="P420" s="153"/>
      <c r="Q420" s="153"/>
      <c r="R420" s="153"/>
      <c r="S420" s="153"/>
      <c r="T420" s="153"/>
      <c r="U420" s="153"/>
      <c r="V420" s="153"/>
      <c r="W420" s="153"/>
      <c r="X420" s="153"/>
      <c r="Y420" s="153"/>
      <c r="Z420" s="153"/>
      <c r="AA420" s="153"/>
      <c r="AB420" s="153"/>
    </row>
    <row r="421" spans="1:28" ht="15">
      <c r="A421" s="153"/>
      <c r="B421" s="153"/>
      <c r="C421" s="153"/>
      <c r="D421" s="153"/>
      <c r="E421" s="153"/>
      <c r="F421" s="153"/>
      <c r="G421" s="153"/>
      <c r="H421" s="153"/>
      <c r="I421" s="153"/>
      <c r="J421" s="153"/>
      <c r="K421" s="153"/>
      <c r="L421" s="153"/>
      <c r="M421" s="153"/>
      <c r="N421" s="153"/>
      <c r="O421" s="153"/>
      <c r="P421" s="153"/>
      <c r="Q421" s="153"/>
      <c r="R421" s="153"/>
      <c r="S421" s="153"/>
      <c r="T421" s="153"/>
      <c r="U421" s="153"/>
      <c r="V421" s="153"/>
      <c r="W421" s="153"/>
      <c r="X421" s="153"/>
      <c r="Y421" s="153"/>
      <c r="Z421" s="153"/>
      <c r="AA421" s="153"/>
      <c r="AB421" s="153"/>
    </row>
    <row r="422" spans="1:28" ht="15">
      <c r="A422" s="153"/>
      <c r="B422" s="153"/>
      <c r="C422" s="153"/>
      <c r="D422" s="153"/>
      <c r="E422" s="153"/>
      <c r="F422" s="153"/>
      <c r="G422" s="153"/>
      <c r="H422" s="153"/>
      <c r="I422" s="153"/>
      <c r="J422" s="153"/>
      <c r="K422" s="153"/>
      <c r="L422" s="153"/>
      <c r="M422" s="153"/>
      <c r="N422" s="153"/>
      <c r="O422" s="153"/>
      <c r="P422" s="153"/>
      <c r="Q422" s="153"/>
      <c r="R422" s="153"/>
      <c r="S422" s="153"/>
      <c r="T422" s="153"/>
      <c r="U422" s="153"/>
      <c r="V422" s="153"/>
      <c r="W422" s="153"/>
      <c r="X422" s="153"/>
      <c r="Y422" s="153"/>
      <c r="Z422" s="153"/>
      <c r="AA422" s="153"/>
      <c r="AB422" s="153"/>
    </row>
    <row r="423" spans="1:28" ht="15">
      <c r="A423" s="153"/>
      <c r="B423" s="153"/>
      <c r="C423" s="153"/>
      <c r="D423" s="153"/>
      <c r="E423" s="153"/>
      <c r="F423" s="153"/>
      <c r="G423" s="153"/>
      <c r="H423" s="153"/>
      <c r="I423" s="153"/>
      <c r="J423" s="153"/>
      <c r="K423" s="153"/>
      <c r="L423" s="153"/>
      <c r="M423" s="153"/>
      <c r="N423" s="153"/>
      <c r="O423" s="153"/>
      <c r="P423" s="153"/>
      <c r="Q423" s="153"/>
      <c r="R423" s="153"/>
      <c r="S423" s="153"/>
      <c r="T423" s="153"/>
      <c r="U423" s="153"/>
      <c r="V423" s="153"/>
      <c r="W423" s="153"/>
      <c r="X423" s="153"/>
      <c r="Y423" s="153"/>
      <c r="Z423" s="153"/>
      <c r="AA423" s="153"/>
      <c r="AB423" s="153"/>
    </row>
    <row r="424" spans="1:28" ht="15">
      <c r="A424" s="153"/>
      <c r="B424" s="153"/>
      <c r="C424" s="153"/>
      <c r="D424" s="153"/>
      <c r="E424" s="153"/>
      <c r="F424" s="153"/>
      <c r="G424" s="153"/>
      <c r="H424" s="153"/>
      <c r="I424" s="153"/>
      <c r="J424" s="153"/>
      <c r="K424" s="153"/>
      <c r="L424" s="153"/>
      <c r="M424" s="153"/>
      <c r="N424" s="153"/>
      <c r="O424" s="153"/>
      <c r="P424" s="153"/>
      <c r="Q424" s="153"/>
      <c r="R424" s="153"/>
      <c r="S424" s="153"/>
      <c r="T424" s="153"/>
      <c r="U424" s="153"/>
      <c r="V424" s="153"/>
      <c r="W424" s="153"/>
      <c r="X424" s="153"/>
      <c r="Y424" s="153"/>
      <c r="Z424" s="153"/>
      <c r="AA424" s="153"/>
      <c r="AB424" s="153"/>
    </row>
    <row r="425" spans="1:28" ht="15">
      <c r="A425" s="153"/>
      <c r="B425" s="153"/>
      <c r="C425" s="153"/>
      <c r="D425" s="153"/>
      <c r="E425" s="153"/>
      <c r="F425" s="153"/>
      <c r="G425" s="153"/>
      <c r="H425" s="153"/>
      <c r="I425" s="153"/>
      <c r="J425" s="153"/>
      <c r="K425" s="153"/>
      <c r="L425" s="153"/>
      <c r="M425" s="153"/>
      <c r="N425" s="153"/>
      <c r="O425" s="153"/>
      <c r="P425" s="153"/>
      <c r="Q425" s="153"/>
      <c r="R425" s="153"/>
      <c r="S425" s="153"/>
      <c r="T425" s="153"/>
      <c r="U425" s="153"/>
      <c r="V425" s="153"/>
      <c r="W425" s="153"/>
      <c r="X425" s="153"/>
      <c r="Y425" s="153"/>
      <c r="Z425" s="153"/>
      <c r="AA425" s="153"/>
      <c r="AB425" s="153"/>
    </row>
    <row r="426" spans="1:28" ht="15">
      <c r="A426" s="153"/>
      <c r="B426" s="153"/>
      <c r="C426" s="153"/>
      <c r="D426" s="153"/>
      <c r="E426" s="153"/>
      <c r="F426" s="153"/>
      <c r="G426" s="153"/>
      <c r="H426" s="153"/>
      <c r="I426" s="153"/>
      <c r="J426" s="153"/>
      <c r="K426" s="153"/>
      <c r="L426" s="153"/>
      <c r="M426" s="153"/>
      <c r="N426" s="153"/>
      <c r="O426" s="153"/>
      <c r="P426" s="153"/>
      <c r="Q426" s="153"/>
      <c r="R426" s="153"/>
      <c r="S426" s="153"/>
      <c r="T426" s="153"/>
      <c r="U426" s="153"/>
      <c r="V426" s="153"/>
      <c r="W426" s="153"/>
      <c r="X426" s="153"/>
      <c r="Y426" s="153"/>
      <c r="Z426" s="153"/>
      <c r="AA426" s="153"/>
      <c r="AB426" s="153"/>
    </row>
    <row r="427" spans="1:28" ht="15">
      <c r="A427" s="153"/>
      <c r="B427" s="153"/>
      <c r="C427" s="153"/>
      <c r="D427" s="153"/>
      <c r="E427" s="153"/>
      <c r="F427" s="153"/>
      <c r="G427" s="153"/>
      <c r="H427" s="153"/>
      <c r="I427" s="153"/>
      <c r="J427" s="153"/>
      <c r="K427" s="153"/>
      <c r="L427" s="153"/>
      <c r="M427" s="153"/>
      <c r="N427" s="153"/>
      <c r="O427" s="153"/>
      <c r="P427" s="153"/>
      <c r="Q427" s="153"/>
      <c r="R427" s="153"/>
      <c r="S427" s="153"/>
      <c r="T427" s="153"/>
      <c r="U427" s="153"/>
      <c r="V427" s="153"/>
      <c r="W427" s="153"/>
      <c r="X427" s="153"/>
      <c r="Y427" s="153"/>
      <c r="Z427" s="153"/>
      <c r="AA427" s="153"/>
      <c r="AB427" s="153"/>
    </row>
    <row r="428" spans="1:28" ht="15">
      <c r="A428" s="153"/>
      <c r="B428" s="153"/>
      <c r="C428" s="153"/>
      <c r="D428" s="153"/>
      <c r="E428" s="153"/>
      <c r="F428" s="153"/>
      <c r="G428" s="153"/>
      <c r="H428" s="153"/>
      <c r="I428" s="153"/>
      <c r="J428" s="153"/>
      <c r="K428" s="153"/>
      <c r="L428" s="153"/>
      <c r="M428" s="153"/>
      <c r="N428" s="153"/>
      <c r="O428" s="153"/>
      <c r="P428" s="153"/>
      <c r="Q428" s="153"/>
      <c r="R428" s="153"/>
      <c r="S428" s="153"/>
      <c r="T428" s="153"/>
      <c r="U428" s="153"/>
      <c r="V428" s="153"/>
      <c r="W428" s="153"/>
      <c r="X428" s="153"/>
      <c r="Y428" s="153"/>
      <c r="Z428" s="153"/>
      <c r="AA428" s="153"/>
      <c r="AB428" s="153"/>
    </row>
    <row r="429" spans="1:28" ht="15">
      <c r="A429" s="153"/>
      <c r="B429" s="153"/>
      <c r="C429" s="153"/>
      <c r="D429" s="153"/>
      <c r="E429" s="153"/>
      <c r="F429" s="153"/>
      <c r="G429" s="153"/>
      <c r="H429" s="153"/>
      <c r="I429" s="153"/>
      <c r="J429" s="153"/>
      <c r="K429" s="153"/>
      <c r="L429" s="153"/>
      <c r="M429" s="153"/>
      <c r="N429" s="153"/>
      <c r="O429" s="153"/>
      <c r="P429" s="153"/>
      <c r="Q429" s="153"/>
      <c r="R429" s="153"/>
      <c r="S429" s="153"/>
      <c r="T429" s="153"/>
      <c r="U429" s="153"/>
      <c r="V429" s="153"/>
      <c r="W429" s="153"/>
      <c r="X429" s="153"/>
      <c r="Y429" s="153"/>
      <c r="Z429" s="153"/>
      <c r="AA429" s="153"/>
      <c r="AB429" s="153"/>
    </row>
    <row r="430" spans="1:28" ht="15">
      <c r="A430" s="153"/>
      <c r="B430" s="153"/>
      <c r="C430" s="153"/>
      <c r="D430" s="153"/>
      <c r="E430" s="153"/>
      <c r="F430" s="153"/>
      <c r="G430" s="153"/>
      <c r="H430" s="153"/>
      <c r="I430" s="153"/>
      <c r="J430" s="153"/>
      <c r="K430" s="153"/>
      <c r="L430" s="153"/>
      <c r="M430" s="153"/>
      <c r="N430" s="153"/>
      <c r="O430" s="153"/>
      <c r="P430" s="153"/>
      <c r="Q430" s="153"/>
      <c r="R430" s="153"/>
      <c r="S430" s="153"/>
      <c r="T430" s="153"/>
      <c r="U430" s="153"/>
      <c r="V430" s="153"/>
      <c r="W430" s="153"/>
      <c r="X430" s="153"/>
      <c r="Y430" s="153"/>
      <c r="Z430" s="153"/>
      <c r="AA430" s="153"/>
      <c r="AB430" s="153"/>
    </row>
    <row r="431" spans="1:28" ht="15">
      <c r="A431" s="153"/>
      <c r="B431" s="153"/>
      <c r="C431" s="153"/>
      <c r="D431" s="153"/>
      <c r="E431" s="153"/>
      <c r="F431" s="153"/>
      <c r="G431" s="153"/>
      <c r="H431" s="153"/>
      <c r="I431" s="153"/>
      <c r="J431" s="153"/>
      <c r="K431" s="153"/>
      <c r="L431" s="153"/>
      <c r="M431" s="153"/>
      <c r="N431" s="153"/>
      <c r="O431" s="153"/>
      <c r="P431" s="153"/>
      <c r="Q431" s="153"/>
      <c r="R431" s="153"/>
      <c r="S431" s="153"/>
      <c r="T431" s="153"/>
      <c r="U431" s="153"/>
      <c r="V431" s="153"/>
      <c r="W431" s="153"/>
      <c r="X431" s="153"/>
      <c r="Y431" s="153"/>
      <c r="Z431" s="153"/>
      <c r="AA431" s="153"/>
      <c r="AB431" s="153"/>
    </row>
    <row r="432" spans="1:28" ht="15">
      <c r="A432" s="153"/>
      <c r="B432" s="153"/>
      <c r="C432" s="153"/>
      <c r="D432" s="153"/>
      <c r="E432" s="153"/>
      <c r="F432" s="153"/>
      <c r="G432" s="153"/>
      <c r="H432" s="153"/>
      <c r="I432" s="153"/>
      <c r="J432" s="153"/>
      <c r="K432" s="153"/>
      <c r="L432" s="153"/>
      <c r="M432" s="153"/>
      <c r="N432" s="153"/>
      <c r="O432" s="153"/>
      <c r="P432" s="153"/>
      <c r="Q432" s="153"/>
      <c r="R432" s="153"/>
      <c r="S432" s="153"/>
      <c r="T432" s="153"/>
      <c r="U432" s="153"/>
      <c r="V432" s="153"/>
      <c r="W432" s="153"/>
      <c r="X432" s="153"/>
      <c r="Y432" s="153"/>
      <c r="Z432" s="153"/>
      <c r="AA432" s="153"/>
      <c r="AB432" s="153"/>
    </row>
    <row r="433" spans="1:28" ht="15">
      <c r="A433" s="153"/>
      <c r="B433" s="153"/>
      <c r="C433" s="153"/>
      <c r="D433" s="153"/>
      <c r="E433" s="153"/>
      <c r="F433" s="153"/>
      <c r="G433" s="153"/>
      <c r="H433" s="153"/>
      <c r="I433" s="153"/>
      <c r="J433" s="153"/>
      <c r="K433" s="153"/>
      <c r="L433" s="153"/>
      <c r="M433" s="153"/>
      <c r="N433" s="153"/>
      <c r="O433" s="153"/>
      <c r="P433" s="153"/>
      <c r="Q433" s="153"/>
      <c r="R433" s="153"/>
      <c r="S433" s="153"/>
      <c r="T433" s="153"/>
      <c r="U433" s="153"/>
      <c r="V433" s="153"/>
      <c r="W433" s="153"/>
      <c r="X433" s="153"/>
      <c r="Y433" s="153"/>
      <c r="Z433" s="153"/>
      <c r="AA433" s="153"/>
      <c r="AB433" s="153"/>
    </row>
    <row r="434" spans="1:28" ht="15">
      <c r="A434" s="153"/>
      <c r="B434" s="153"/>
      <c r="C434" s="153"/>
      <c r="D434" s="153"/>
      <c r="E434" s="153"/>
      <c r="F434" s="153"/>
      <c r="G434" s="153"/>
      <c r="H434" s="153"/>
      <c r="I434" s="153"/>
      <c r="J434" s="153"/>
      <c r="K434" s="153"/>
      <c r="L434" s="153"/>
      <c r="M434" s="153"/>
      <c r="N434" s="153"/>
      <c r="O434" s="153"/>
      <c r="P434" s="153"/>
      <c r="Q434" s="153"/>
      <c r="R434" s="153"/>
      <c r="S434" s="153"/>
      <c r="T434" s="153"/>
      <c r="U434" s="153"/>
      <c r="V434" s="153"/>
      <c r="W434" s="153"/>
      <c r="X434" s="153"/>
      <c r="Y434" s="153"/>
      <c r="Z434" s="153"/>
      <c r="AA434" s="153"/>
      <c r="AB434" s="153"/>
    </row>
    <row r="435" spans="1:28" ht="15">
      <c r="A435" s="153"/>
      <c r="B435" s="153"/>
      <c r="C435" s="153"/>
      <c r="D435" s="153"/>
      <c r="E435" s="153"/>
      <c r="F435" s="153"/>
      <c r="G435" s="153"/>
      <c r="H435" s="153"/>
      <c r="I435" s="153"/>
      <c r="J435" s="153"/>
      <c r="K435" s="153"/>
      <c r="L435" s="153"/>
      <c r="M435" s="153"/>
      <c r="N435" s="153"/>
      <c r="O435" s="153"/>
      <c r="P435" s="153"/>
      <c r="Q435" s="153"/>
      <c r="R435" s="153"/>
      <c r="S435" s="153"/>
      <c r="T435" s="153"/>
      <c r="U435" s="153"/>
      <c r="V435" s="153"/>
      <c r="W435" s="153"/>
      <c r="X435" s="153"/>
      <c r="Y435" s="153"/>
      <c r="Z435" s="153"/>
      <c r="AA435" s="153"/>
      <c r="AB435" s="153"/>
    </row>
    <row r="436" spans="1:28" ht="15">
      <c r="A436" s="153"/>
      <c r="B436" s="153"/>
      <c r="C436" s="153"/>
      <c r="D436" s="153"/>
      <c r="E436" s="153"/>
      <c r="F436" s="153"/>
      <c r="G436" s="153"/>
      <c r="H436" s="153"/>
      <c r="I436" s="153"/>
      <c r="J436" s="153"/>
      <c r="K436" s="153"/>
      <c r="L436" s="153"/>
      <c r="M436" s="153"/>
      <c r="N436" s="153"/>
      <c r="O436" s="153"/>
      <c r="P436" s="153"/>
      <c r="Q436" s="153"/>
      <c r="R436" s="153"/>
      <c r="S436" s="153"/>
      <c r="T436" s="153"/>
      <c r="U436" s="153"/>
      <c r="V436" s="153"/>
      <c r="W436" s="153"/>
      <c r="X436" s="153"/>
      <c r="Y436" s="153"/>
      <c r="Z436" s="153"/>
      <c r="AA436" s="153"/>
      <c r="AB436" s="153"/>
    </row>
    <row r="437" spans="1:28" ht="15">
      <c r="A437" s="153"/>
      <c r="B437" s="153"/>
      <c r="C437" s="153"/>
      <c r="D437" s="153"/>
      <c r="E437" s="153"/>
      <c r="F437" s="153"/>
      <c r="G437" s="153"/>
      <c r="H437" s="153"/>
      <c r="I437" s="153"/>
      <c r="J437" s="153"/>
      <c r="K437" s="153"/>
      <c r="L437" s="153"/>
      <c r="M437" s="153"/>
      <c r="N437" s="153"/>
      <c r="O437" s="153"/>
      <c r="P437" s="153"/>
      <c r="Q437" s="153"/>
      <c r="R437" s="153"/>
      <c r="S437" s="153"/>
      <c r="T437" s="153"/>
      <c r="U437" s="153"/>
      <c r="V437" s="153"/>
      <c r="W437" s="153"/>
      <c r="X437" s="153"/>
      <c r="Y437" s="153"/>
      <c r="Z437" s="153"/>
      <c r="AA437" s="153"/>
      <c r="AB437" s="153"/>
    </row>
    <row r="438" spans="1:28" ht="15">
      <c r="A438" s="153"/>
      <c r="B438" s="153"/>
      <c r="C438" s="153"/>
      <c r="D438" s="153"/>
      <c r="E438" s="153"/>
      <c r="F438" s="153"/>
      <c r="G438" s="153"/>
      <c r="H438" s="153"/>
      <c r="I438" s="153"/>
      <c r="J438" s="153"/>
      <c r="K438" s="153"/>
      <c r="L438" s="153"/>
      <c r="M438" s="153"/>
      <c r="N438" s="153"/>
      <c r="O438" s="153"/>
      <c r="P438" s="153"/>
      <c r="Q438" s="153"/>
      <c r="R438" s="153"/>
      <c r="S438" s="153"/>
      <c r="T438" s="153"/>
      <c r="U438" s="153"/>
      <c r="V438" s="153"/>
      <c r="W438" s="153"/>
      <c r="X438" s="153"/>
      <c r="Y438" s="153"/>
      <c r="Z438" s="153"/>
      <c r="AA438" s="153"/>
      <c r="AB438" s="153"/>
    </row>
    <row r="439" spans="1:28" ht="15">
      <c r="A439" s="153"/>
      <c r="B439" s="153"/>
      <c r="C439" s="153"/>
      <c r="D439" s="153"/>
      <c r="E439" s="153"/>
      <c r="F439" s="153"/>
      <c r="G439" s="153"/>
      <c r="H439" s="153"/>
      <c r="I439" s="153"/>
      <c r="J439" s="153"/>
      <c r="K439" s="153"/>
      <c r="L439" s="153"/>
      <c r="M439" s="153"/>
      <c r="N439" s="153"/>
      <c r="O439" s="153"/>
      <c r="P439" s="153"/>
      <c r="Q439" s="153"/>
      <c r="R439" s="153"/>
      <c r="S439" s="153"/>
      <c r="T439" s="153"/>
      <c r="U439" s="153"/>
      <c r="V439" s="153"/>
      <c r="W439" s="153"/>
      <c r="X439" s="153"/>
      <c r="Y439" s="153"/>
      <c r="Z439" s="153"/>
      <c r="AA439" s="153"/>
      <c r="AB439" s="153"/>
    </row>
    <row r="440" spans="1:28" ht="15">
      <c r="A440" s="153"/>
      <c r="B440" s="153"/>
      <c r="C440" s="153"/>
      <c r="D440" s="153"/>
      <c r="E440" s="153"/>
      <c r="F440" s="153"/>
      <c r="G440" s="153"/>
      <c r="H440" s="153"/>
      <c r="I440" s="153"/>
      <c r="J440" s="153"/>
      <c r="K440" s="153"/>
      <c r="L440" s="153"/>
      <c r="M440" s="153"/>
      <c r="N440" s="153"/>
      <c r="O440" s="153"/>
      <c r="P440" s="153"/>
      <c r="Q440" s="153"/>
      <c r="R440" s="153"/>
      <c r="S440" s="153"/>
      <c r="T440" s="153"/>
      <c r="U440" s="153"/>
      <c r="V440" s="153"/>
      <c r="W440" s="153"/>
      <c r="X440" s="153"/>
      <c r="Y440" s="153"/>
      <c r="Z440" s="153"/>
      <c r="AA440" s="153"/>
      <c r="AB440" s="153"/>
    </row>
    <row r="441" spans="1:28" ht="15">
      <c r="A441" s="153"/>
      <c r="B441" s="153"/>
      <c r="C441" s="153"/>
      <c r="D441" s="153"/>
      <c r="E441" s="153"/>
      <c r="F441" s="153"/>
      <c r="G441" s="153"/>
      <c r="H441" s="153"/>
      <c r="I441" s="153"/>
      <c r="J441" s="153"/>
      <c r="K441" s="153"/>
      <c r="L441" s="153"/>
      <c r="M441" s="153"/>
      <c r="N441" s="153"/>
      <c r="O441" s="153"/>
      <c r="P441" s="153"/>
      <c r="Q441" s="153"/>
      <c r="R441" s="153"/>
      <c r="S441" s="153"/>
      <c r="T441" s="153"/>
      <c r="U441" s="153"/>
      <c r="V441" s="153"/>
      <c r="W441" s="153"/>
      <c r="X441" s="153"/>
      <c r="Y441" s="153"/>
      <c r="Z441" s="153"/>
      <c r="AA441" s="153"/>
      <c r="AB441" s="153"/>
    </row>
    <row r="442" spans="1:28" ht="15">
      <c r="A442" s="153"/>
      <c r="B442" s="153"/>
      <c r="C442" s="153"/>
      <c r="D442" s="153"/>
      <c r="E442" s="153"/>
      <c r="F442" s="153"/>
      <c r="G442" s="153"/>
      <c r="H442" s="153"/>
      <c r="I442" s="153"/>
      <c r="J442" s="153"/>
      <c r="K442" s="153"/>
      <c r="L442" s="153"/>
      <c r="M442" s="153"/>
      <c r="N442" s="153"/>
      <c r="O442" s="153"/>
      <c r="P442" s="153"/>
      <c r="Q442" s="153"/>
      <c r="R442" s="153"/>
      <c r="S442" s="153"/>
      <c r="T442" s="153"/>
      <c r="U442" s="153"/>
      <c r="V442" s="153"/>
      <c r="W442" s="153"/>
      <c r="X442" s="153"/>
      <c r="Y442" s="153"/>
      <c r="Z442" s="153"/>
      <c r="AA442" s="153"/>
      <c r="AB442" s="153"/>
    </row>
    <row r="443" spans="1:28" ht="15">
      <c r="A443" s="153"/>
      <c r="B443" s="153"/>
      <c r="C443" s="153"/>
      <c r="D443" s="153"/>
      <c r="E443" s="153"/>
      <c r="F443" s="153"/>
      <c r="G443" s="153"/>
      <c r="H443" s="153"/>
      <c r="I443" s="153"/>
      <c r="J443" s="153"/>
      <c r="K443" s="153"/>
      <c r="L443" s="153"/>
      <c r="M443" s="153"/>
      <c r="N443" s="153"/>
      <c r="O443" s="153"/>
      <c r="P443" s="153"/>
      <c r="Q443" s="153"/>
      <c r="R443" s="153"/>
      <c r="S443" s="153"/>
      <c r="T443" s="153"/>
      <c r="U443" s="153"/>
      <c r="V443" s="153"/>
      <c r="W443" s="153"/>
      <c r="X443" s="153"/>
      <c r="Y443" s="153"/>
      <c r="Z443" s="153"/>
      <c r="AA443" s="153"/>
      <c r="AB443" s="153"/>
    </row>
    <row r="444" spans="1:28" ht="15">
      <c r="A444" s="153"/>
      <c r="B444" s="153"/>
      <c r="C444" s="153"/>
      <c r="D444" s="153"/>
      <c r="E444" s="153"/>
      <c r="F444" s="153"/>
      <c r="G444" s="153"/>
      <c r="H444" s="153"/>
      <c r="I444" s="153"/>
      <c r="J444" s="153"/>
      <c r="K444" s="153"/>
      <c r="L444" s="153"/>
      <c r="M444" s="153"/>
      <c r="N444" s="153"/>
      <c r="O444" s="153"/>
      <c r="P444" s="153"/>
      <c r="Q444" s="153"/>
      <c r="R444" s="153"/>
      <c r="S444" s="153"/>
      <c r="T444" s="153"/>
      <c r="U444" s="153"/>
      <c r="V444" s="153"/>
      <c r="W444" s="153"/>
      <c r="X444" s="153"/>
      <c r="Y444" s="153"/>
      <c r="Z444" s="153"/>
      <c r="AA444" s="153"/>
      <c r="AB444" s="153"/>
    </row>
    <row r="445" spans="1:28" ht="15">
      <c r="A445" s="153"/>
      <c r="B445" s="153"/>
      <c r="C445" s="153"/>
      <c r="D445" s="153"/>
      <c r="E445" s="153"/>
      <c r="F445" s="153"/>
      <c r="G445" s="153"/>
      <c r="H445" s="153"/>
      <c r="I445" s="153"/>
      <c r="J445" s="153"/>
      <c r="K445" s="153"/>
      <c r="L445" s="153"/>
      <c r="M445" s="153"/>
      <c r="N445" s="153"/>
      <c r="O445" s="153"/>
      <c r="P445" s="153"/>
      <c r="Q445" s="153"/>
      <c r="R445" s="153"/>
      <c r="S445" s="153"/>
      <c r="T445" s="153"/>
      <c r="U445" s="153"/>
      <c r="V445" s="153"/>
      <c r="W445" s="153"/>
      <c r="X445" s="153"/>
      <c r="Y445" s="153"/>
      <c r="Z445" s="153"/>
      <c r="AA445" s="153"/>
      <c r="AB445" s="153"/>
    </row>
    <row r="446" spans="1:28" ht="15">
      <c r="A446" s="153"/>
      <c r="B446" s="153"/>
      <c r="C446" s="153"/>
      <c r="D446" s="153"/>
      <c r="E446" s="153"/>
      <c r="F446" s="153"/>
      <c r="G446" s="153"/>
      <c r="H446" s="153"/>
      <c r="I446" s="153"/>
      <c r="J446" s="153"/>
      <c r="K446" s="153"/>
      <c r="L446" s="153"/>
      <c r="M446" s="153"/>
      <c r="N446" s="153"/>
      <c r="O446" s="153"/>
      <c r="P446" s="153"/>
      <c r="Q446" s="153"/>
      <c r="R446" s="153"/>
      <c r="S446" s="153"/>
      <c r="T446" s="153"/>
      <c r="U446" s="153"/>
      <c r="V446" s="153"/>
      <c r="W446" s="153"/>
      <c r="X446" s="153"/>
      <c r="Y446" s="153"/>
      <c r="Z446" s="153"/>
      <c r="AA446" s="153"/>
      <c r="AB446" s="153"/>
    </row>
    <row r="447" spans="1:28" ht="15">
      <c r="A447" s="153"/>
      <c r="B447" s="153"/>
      <c r="C447" s="153"/>
      <c r="D447" s="153"/>
      <c r="E447" s="153"/>
      <c r="F447" s="153"/>
      <c r="G447" s="153"/>
      <c r="H447" s="153"/>
      <c r="I447" s="153"/>
      <c r="J447" s="153"/>
      <c r="K447" s="153"/>
      <c r="L447" s="153"/>
      <c r="M447" s="153"/>
      <c r="N447" s="153"/>
      <c r="O447" s="153"/>
      <c r="P447" s="153"/>
      <c r="Q447" s="153"/>
      <c r="R447" s="153"/>
      <c r="S447" s="153"/>
      <c r="T447" s="153"/>
      <c r="U447" s="153"/>
      <c r="V447" s="153"/>
      <c r="W447" s="153"/>
      <c r="X447" s="153"/>
      <c r="Y447" s="153"/>
      <c r="Z447" s="153"/>
      <c r="AA447" s="153"/>
      <c r="AB447" s="153"/>
    </row>
    <row r="448" spans="1:28" ht="15">
      <c r="A448" s="153"/>
      <c r="B448" s="153"/>
      <c r="C448" s="153"/>
      <c r="D448" s="153"/>
      <c r="E448" s="153"/>
      <c r="F448" s="153"/>
      <c r="G448" s="153"/>
      <c r="H448" s="153"/>
      <c r="I448" s="153"/>
      <c r="J448" s="153"/>
      <c r="K448" s="153"/>
      <c r="L448" s="153"/>
      <c r="M448" s="153"/>
      <c r="N448" s="153"/>
      <c r="O448" s="153"/>
      <c r="P448" s="153"/>
      <c r="Q448" s="153"/>
      <c r="R448" s="153"/>
      <c r="S448" s="153"/>
      <c r="T448" s="153"/>
      <c r="U448" s="153"/>
      <c r="V448" s="153"/>
      <c r="W448" s="153"/>
      <c r="X448" s="153"/>
      <c r="Y448" s="153"/>
      <c r="Z448" s="153"/>
      <c r="AA448" s="153"/>
      <c r="AB448" s="153"/>
    </row>
    <row r="449" spans="1:28" ht="15">
      <c r="A449" s="153"/>
      <c r="B449" s="153"/>
      <c r="C449" s="153"/>
      <c r="D449" s="153"/>
      <c r="E449" s="153"/>
      <c r="F449" s="153"/>
      <c r="G449" s="153"/>
      <c r="H449" s="153"/>
      <c r="I449" s="153"/>
      <c r="J449" s="153"/>
      <c r="K449" s="153"/>
      <c r="L449" s="153"/>
      <c r="M449" s="153"/>
      <c r="N449" s="153"/>
      <c r="O449" s="153"/>
      <c r="P449" s="153"/>
      <c r="Q449" s="153"/>
      <c r="R449" s="153"/>
      <c r="S449" s="153"/>
      <c r="T449" s="153"/>
      <c r="U449" s="153"/>
      <c r="V449" s="153"/>
      <c r="W449" s="153"/>
      <c r="X449" s="153"/>
      <c r="Y449" s="153"/>
      <c r="Z449" s="153"/>
      <c r="AA449" s="153"/>
      <c r="AB449" s="153"/>
    </row>
    <row r="450" spans="1:28" ht="15">
      <c r="A450" s="153"/>
      <c r="B450" s="153"/>
      <c r="C450" s="153"/>
      <c r="D450" s="153"/>
      <c r="E450" s="153"/>
      <c r="F450" s="153"/>
      <c r="G450" s="153"/>
      <c r="H450" s="153"/>
      <c r="I450" s="153"/>
      <c r="J450" s="153"/>
      <c r="K450" s="153"/>
      <c r="L450" s="153"/>
      <c r="M450" s="153"/>
      <c r="N450" s="153"/>
      <c r="O450" s="153"/>
      <c r="P450" s="153"/>
      <c r="Q450" s="153"/>
      <c r="R450" s="153"/>
      <c r="S450" s="153"/>
      <c r="T450" s="153"/>
      <c r="U450" s="153"/>
      <c r="V450" s="153"/>
      <c r="W450" s="153"/>
      <c r="X450" s="153"/>
      <c r="Y450" s="153"/>
      <c r="Z450" s="153"/>
      <c r="AA450" s="153"/>
      <c r="AB450" s="153"/>
    </row>
    <row r="451" spans="1:28" ht="15">
      <c r="A451" s="153"/>
      <c r="B451" s="153"/>
      <c r="C451" s="153"/>
      <c r="D451" s="153"/>
      <c r="E451" s="153"/>
      <c r="F451" s="153"/>
      <c r="G451" s="153"/>
      <c r="H451" s="153"/>
      <c r="I451" s="153"/>
      <c r="J451" s="153"/>
      <c r="K451" s="153"/>
      <c r="L451" s="153"/>
      <c r="M451" s="153"/>
      <c r="N451" s="153"/>
      <c r="O451" s="153"/>
      <c r="P451" s="153"/>
      <c r="Q451" s="153"/>
      <c r="R451" s="153"/>
      <c r="S451" s="153"/>
      <c r="T451" s="153"/>
      <c r="U451" s="153"/>
      <c r="V451" s="153"/>
      <c r="W451" s="153"/>
      <c r="X451" s="153"/>
      <c r="Y451" s="153"/>
      <c r="Z451" s="153"/>
      <c r="AA451" s="153"/>
      <c r="AB451" s="153"/>
    </row>
    <row r="452" spans="1:28" ht="15">
      <c r="A452" s="153"/>
      <c r="B452" s="153"/>
      <c r="C452" s="153"/>
      <c r="D452" s="153"/>
      <c r="E452" s="153"/>
      <c r="F452" s="153"/>
      <c r="G452" s="153"/>
      <c r="H452" s="153"/>
      <c r="I452" s="153"/>
      <c r="J452" s="153"/>
      <c r="K452" s="153"/>
      <c r="L452" s="153"/>
      <c r="M452" s="153"/>
      <c r="N452" s="153"/>
      <c r="O452" s="153"/>
      <c r="P452" s="153"/>
      <c r="Q452" s="153"/>
      <c r="R452" s="153"/>
      <c r="S452" s="153"/>
      <c r="T452" s="153"/>
      <c r="U452" s="153"/>
      <c r="V452" s="153"/>
      <c r="W452" s="153"/>
      <c r="X452" s="153"/>
      <c r="Y452" s="153"/>
      <c r="Z452" s="153"/>
      <c r="AA452" s="153"/>
      <c r="AB452" s="153"/>
    </row>
    <row r="453" spans="1:28" ht="15">
      <c r="A453" s="153"/>
      <c r="B453" s="153"/>
      <c r="C453" s="153"/>
      <c r="D453" s="153"/>
      <c r="E453" s="153"/>
      <c r="F453" s="153"/>
      <c r="G453" s="153"/>
      <c r="H453" s="153"/>
      <c r="I453" s="153"/>
      <c r="J453" s="153"/>
      <c r="K453" s="153"/>
      <c r="L453" s="153"/>
      <c r="M453" s="153"/>
      <c r="N453" s="153"/>
      <c r="O453" s="153"/>
      <c r="P453" s="153"/>
      <c r="Q453" s="153"/>
      <c r="R453" s="153"/>
      <c r="S453" s="153"/>
      <c r="T453" s="153"/>
      <c r="U453" s="153"/>
      <c r="V453" s="153"/>
      <c r="W453" s="153"/>
      <c r="X453" s="153"/>
      <c r="Y453" s="153"/>
      <c r="Z453" s="153"/>
      <c r="AA453" s="153"/>
      <c r="AB453" s="153"/>
    </row>
    <row r="454" spans="1:28" ht="15">
      <c r="A454" s="153"/>
      <c r="B454" s="153"/>
      <c r="C454" s="153"/>
      <c r="D454" s="153"/>
      <c r="E454" s="153"/>
      <c r="F454" s="153"/>
      <c r="G454" s="153"/>
      <c r="H454" s="153"/>
      <c r="I454" s="153"/>
      <c r="J454" s="153"/>
      <c r="K454" s="153"/>
      <c r="L454" s="153"/>
      <c r="M454" s="153"/>
      <c r="N454" s="153"/>
      <c r="O454" s="153"/>
      <c r="P454" s="153"/>
      <c r="Q454" s="153"/>
      <c r="R454" s="153"/>
      <c r="S454" s="153"/>
      <c r="T454" s="153"/>
      <c r="U454" s="153"/>
      <c r="V454" s="153"/>
      <c r="W454" s="153"/>
      <c r="X454" s="153"/>
      <c r="Y454" s="153"/>
      <c r="Z454" s="153"/>
      <c r="AA454" s="153"/>
      <c r="AB454" s="153"/>
    </row>
    <row r="455" spans="1:28" ht="15">
      <c r="A455" s="153"/>
      <c r="B455" s="153"/>
      <c r="C455" s="153"/>
      <c r="D455" s="153"/>
      <c r="E455" s="153"/>
      <c r="F455" s="153"/>
      <c r="G455" s="153"/>
      <c r="H455" s="153"/>
      <c r="I455" s="153"/>
      <c r="J455" s="153"/>
      <c r="K455" s="153"/>
      <c r="L455" s="153"/>
      <c r="M455" s="153"/>
      <c r="N455" s="153"/>
      <c r="O455" s="153"/>
      <c r="P455" s="153"/>
      <c r="Q455" s="153"/>
      <c r="R455" s="153"/>
      <c r="S455" s="153"/>
      <c r="T455" s="153"/>
      <c r="U455" s="153"/>
      <c r="V455" s="153"/>
      <c r="W455" s="153"/>
      <c r="X455" s="153"/>
      <c r="Y455" s="153"/>
      <c r="Z455" s="153"/>
      <c r="AA455" s="153"/>
      <c r="AB455" s="153"/>
    </row>
    <row r="456" spans="1:28" ht="15">
      <c r="A456" s="153"/>
      <c r="B456" s="153"/>
      <c r="C456" s="153"/>
      <c r="D456" s="153"/>
      <c r="E456" s="153"/>
      <c r="F456" s="153"/>
      <c r="G456" s="153"/>
      <c r="H456" s="153"/>
      <c r="I456" s="153"/>
      <c r="J456" s="153"/>
      <c r="K456" s="153"/>
      <c r="L456" s="153"/>
      <c r="M456" s="153"/>
      <c r="N456" s="153"/>
      <c r="O456" s="153"/>
      <c r="P456" s="153"/>
      <c r="Q456" s="153"/>
      <c r="R456" s="153"/>
      <c r="S456" s="153"/>
      <c r="T456" s="153"/>
      <c r="U456" s="153"/>
      <c r="V456" s="153"/>
      <c r="W456" s="153"/>
      <c r="X456" s="153"/>
      <c r="Y456" s="153"/>
      <c r="Z456" s="153"/>
      <c r="AA456" s="153"/>
      <c r="AB456" s="153"/>
    </row>
    <row r="457" spans="1:28" ht="15">
      <c r="A457" s="153"/>
      <c r="B457" s="153"/>
      <c r="C457" s="153"/>
      <c r="D457" s="153"/>
      <c r="E457" s="153"/>
      <c r="F457" s="153"/>
      <c r="G457" s="153"/>
      <c r="H457" s="153"/>
      <c r="I457" s="153"/>
      <c r="J457" s="153"/>
      <c r="K457" s="153"/>
      <c r="L457" s="153"/>
      <c r="M457" s="153"/>
      <c r="N457" s="153"/>
      <c r="O457" s="153"/>
      <c r="P457" s="153"/>
      <c r="Q457" s="153"/>
      <c r="R457" s="153"/>
      <c r="S457" s="153"/>
      <c r="T457" s="153"/>
      <c r="U457" s="153"/>
      <c r="V457" s="153"/>
      <c r="W457" s="153"/>
      <c r="X457" s="153"/>
      <c r="Y457" s="153"/>
      <c r="Z457" s="153"/>
      <c r="AA457" s="153"/>
      <c r="AB457" s="153"/>
    </row>
    <row r="458" spans="1:28" ht="15">
      <c r="A458" s="153"/>
      <c r="B458" s="153"/>
      <c r="C458" s="153"/>
      <c r="D458" s="153"/>
      <c r="E458" s="153"/>
      <c r="F458" s="153"/>
      <c r="G458" s="153"/>
      <c r="H458" s="153"/>
      <c r="I458" s="153"/>
      <c r="J458" s="153"/>
      <c r="K458" s="153"/>
      <c r="L458" s="153"/>
      <c r="M458" s="153"/>
      <c r="N458" s="153"/>
      <c r="O458" s="153"/>
      <c r="P458" s="153"/>
      <c r="Q458" s="153"/>
      <c r="R458" s="153"/>
      <c r="S458" s="153"/>
      <c r="T458" s="153"/>
      <c r="U458" s="153"/>
      <c r="V458" s="153"/>
      <c r="W458" s="153"/>
      <c r="X458" s="153"/>
      <c r="Y458" s="153"/>
      <c r="Z458" s="153"/>
      <c r="AA458" s="153"/>
      <c r="AB458" s="153"/>
    </row>
    <row r="459" spans="1:28" ht="15">
      <c r="A459" s="153"/>
      <c r="B459" s="153"/>
      <c r="C459" s="153"/>
      <c r="D459" s="153"/>
      <c r="E459" s="153"/>
      <c r="F459" s="153"/>
      <c r="G459" s="153"/>
      <c r="H459" s="153"/>
      <c r="I459" s="153"/>
      <c r="J459" s="153"/>
      <c r="K459" s="153"/>
      <c r="L459" s="153"/>
      <c r="M459" s="153"/>
      <c r="N459" s="153"/>
      <c r="O459" s="153"/>
      <c r="P459" s="153"/>
      <c r="Q459" s="153"/>
      <c r="R459" s="153"/>
      <c r="S459" s="153"/>
      <c r="T459" s="153"/>
      <c r="U459" s="153"/>
      <c r="V459" s="153"/>
      <c r="W459" s="153"/>
      <c r="X459" s="153"/>
      <c r="Y459" s="153"/>
      <c r="Z459" s="153"/>
      <c r="AA459" s="153"/>
      <c r="AB459" s="153"/>
    </row>
    <row r="460" spans="1:28" ht="15">
      <c r="A460" s="153"/>
      <c r="B460" s="153"/>
      <c r="C460" s="153"/>
      <c r="D460" s="153"/>
      <c r="E460" s="153"/>
      <c r="F460" s="153"/>
      <c r="G460" s="153"/>
      <c r="H460" s="153"/>
      <c r="I460" s="153"/>
      <c r="J460" s="153"/>
      <c r="K460" s="153"/>
      <c r="L460" s="153"/>
      <c r="M460" s="153"/>
      <c r="N460" s="153"/>
      <c r="O460" s="153"/>
      <c r="P460" s="153"/>
      <c r="Q460" s="153"/>
      <c r="R460" s="153"/>
      <c r="S460" s="153"/>
      <c r="T460" s="153"/>
      <c r="U460" s="153"/>
      <c r="V460" s="153"/>
      <c r="W460" s="153"/>
      <c r="X460" s="153"/>
      <c r="Y460" s="153"/>
      <c r="Z460" s="153"/>
      <c r="AA460" s="153"/>
      <c r="AB460" s="153"/>
    </row>
    <row r="461" spans="1:28" ht="15">
      <c r="A461" s="153"/>
      <c r="B461" s="153"/>
      <c r="C461" s="153"/>
      <c r="D461" s="153"/>
      <c r="E461" s="153"/>
      <c r="F461" s="153"/>
      <c r="G461" s="153"/>
      <c r="H461" s="153"/>
      <c r="I461" s="153"/>
      <c r="J461" s="153"/>
      <c r="K461" s="153"/>
      <c r="L461" s="153"/>
      <c r="M461" s="153"/>
      <c r="N461" s="153"/>
      <c r="O461" s="153"/>
      <c r="P461" s="153"/>
      <c r="Q461" s="153"/>
      <c r="R461" s="153"/>
      <c r="S461" s="153"/>
      <c r="T461" s="153"/>
      <c r="U461" s="153"/>
      <c r="V461" s="153"/>
      <c r="W461" s="153"/>
      <c r="X461" s="153"/>
      <c r="Y461" s="153"/>
      <c r="Z461" s="153"/>
      <c r="AA461" s="153"/>
      <c r="AB461" s="153"/>
    </row>
    <row r="462" spans="1:28" ht="15">
      <c r="A462" s="153"/>
      <c r="B462" s="153"/>
      <c r="C462" s="153"/>
      <c r="D462" s="153"/>
      <c r="E462" s="153"/>
      <c r="F462" s="153"/>
      <c r="G462" s="153"/>
      <c r="H462" s="153"/>
      <c r="I462" s="153"/>
      <c r="J462" s="153"/>
      <c r="K462" s="153"/>
      <c r="L462" s="153"/>
      <c r="M462" s="153"/>
      <c r="N462" s="153"/>
      <c r="O462" s="153"/>
      <c r="P462" s="153"/>
      <c r="Q462" s="153"/>
      <c r="R462" s="153"/>
      <c r="S462" s="153"/>
      <c r="T462" s="153"/>
      <c r="U462" s="153"/>
      <c r="V462" s="153"/>
      <c r="W462" s="153"/>
      <c r="X462" s="153"/>
      <c r="Y462" s="153"/>
      <c r="Z462" s="153"/>
      <c r="AA462" s="153"/>
      <c r="AB462" s="153"/>
    </row>
    <row r="463" spans="1:28" ht="15">
      <c r="A463" s="153"/>
      <c r="B463" s="153"/>
      <c r="C463" s="153"/>
      <c r="D463" s="153"/>
      <c r="E463" s="153"/>
      <c r="F463" s="153"/>
      <c r="G463" s="153"/>
      <c r="H463" s="153"/>
      <c r="I463" s="153"/>
      <c r="J463" s="153"/>
      <c r="K463" s="153"/>
      <c r="L463" s="153"/>
      <c r="M463" s="153"/>
      <c r="N463" s="153"/>
      <c r="O463" s="153"/>
      <c r="P463" s="153"/>
      <c r="Q463" s="153"/>
      <c r="R463" s="153"/>
      <c r="S463" s="153"/>
      <c r="T463" s="153"/>
      <c r="U463" s="153"/>
      <c r="V463" s="153"/>
      <c r="W463" s="153"/>
      <c r="X463" s="153"/>
      <c r="Y463" s="153"/>
      <c r="Z463" s="153"/>
      <c r="AA463" s="153"/>
      <c r="AB463" s="153"/>
    </row>
    <row r="464" spans="1:28" ht="15">
      <c r="A464" s="153"/>
      <c r="B464" s="153"/>
      <c r="C464" s="153"/>
      <c r="D464" s="153"/>
      <c r="E464" s="153"/>
      <c r="F464" s="153"/>
      <c r="G464" s="153"/>
      <c r="H464" s="153"/>
      <c r="I464" s="153"/>
      <c r="J464" s="153"/>
      <c r="K464" s="153"/>
      <c r="L464" s="153"/>
      <c r="M464" s="153"/>
      <c r="N464" s="153"/>
      <c r="O464" s="153"/>
      <c r="P464" s="153"/>
      <c r="Q464" s="153"/>
      <c r="R464" s="153"/>
      <c r="S464" s="153"/>
      <c r="T464" s="153"/>
      <c r="U464" s="153"/>
      <c r="V464" s="153"/>
      <c r="W464" s="153"/>
      <c r="X464" s="153"/>
      <c r="Y464" s="153"/>
      <c r="Z464" s="153"/>
      <c r="AA464" s="153"/>
      <c r="AB464" s="153"/>
    </row>
    <row r="465" spans="1:28" ht="15">
      <c r="A465" s="153"/>
      <c r="B465" s="153"/>
      <c r="C465" s="153"/>
      <c r="D465" s="153"/>
      <c r="E465" s="153"/>
      <c r="F465" s="153"/>
      <c r="G465" s="153"/>
      <c r="H465" s="153"/>
      <c r="I465" s="153"/>
      <c r="J465" s="153"/>
      <c r="K465" s="153"/>
      <c r="L465" s="153"/>
      <c r="M465" s="153"/>
      <c r="N465" s="153"/>
      <c r="O465" s="153"/>
      <c r="P465" s="153"/>
      <c r="Q465" s="153"/>
      <c r="R465" s="153"/>
      <c r="S465" s="153"/>
      <c r="T465" s="153"/>
      <c r="U465" s="153"/>
      <c r="V465" s="153"/>
      <c r="W465" s="153"/>
      <c r="X465" s="153"/>
      <c r="Y465" s="153"/>
      <c r="Z465" s="153"/>
      <c r="AA465" s="153"/>
      <c r="AB465" s="153"/>
    </row>
    <row r="466" spans="1:28" ht="15">
      <c r="A466" s="153"/>
      <c r="B466" s="153"/>
      <c r="C466" s="153"/>
      <c r="D466" s="153"/>
      <c r="E466" s="153"/>
      <c r="F466" s="153"/>
      <c r="G466" s="153"/>
      <c r="H466" s="153"/>
      <c r="I466" s="153"/>
      <c r="J466" s="153"/>
      <c r="K466" s="153"/>
      <c r="L466" s="153"/>
      <c r="M466" s="153"/>
      <c r="N466" s="153"/>
      <c r="O466" s="153"/>
      <c r="P466" s="153"/>
      <c r="Q466" s="153"/>
      <c r="R466" s="153"/>
      <c r="S466" s="153"/>
      <c r="T466" s="153"/>
      <c r="U466" s="153"/>
      <c r="V466" s="153"/>
      <c r="W466" s="153"/>
      <c r="X466" s="153"/>
      <c r="Y466" s="153"/>
      <c r="Z466" s="153"/>
      <c r="AA466" s="153"/>
      <c r="AB466" s="153"/>
    </row>
    <row r="467" spans="1:28" ht="15">
      <c r="A467" s="153"/>
      <c r="B467" s="153"/>
      <c r="C467" s="153"/>
      <c r="D467" s="153"/>
      <c r="E467" s="153"/>
      <c r="F467" s="153"/>
      <c r="G467" s="153"/>
      <c r="H467" s="153"/>
      <c r="I467" s="153"/>
      <c r="J467" s="153"/>
      <c r="K467" s="153"/>
      <c r="L467" s="153"/>
      <c r="M467" s="153"/>
      <c r="N467" s="153"/>
      <c r="O467" s="153"/>
      <c r="P467" s="153"/>
      <c r="Q467" s="153"/>
      <c r="R467" s="153"/>
      <c r="S467" s="153"/>
      <c r="T467" s="153"/>
      <c r="U467" s="153"/>
      <c r="V467" s="153"/>
      <c r="W467" s="153"/>
      <c r="X467" s="153"/>
      <c r="Y467" s="153"/>
      <c r="Z467" s="153"/>
      <c r="AA467" s="153"/>
      <c r="AB467" s="153"/>
    </row>
    <row r="468" spans="1:28" ht="15">
      <c r="A468" s="153"/>
      <c r="B468" s="153"/>
      <c r="C468" s="153"/>
      <c r="D468" s="153"/>
      <c r="E468" s="153"/>
      <c r="F468" s="153"/>
      <c r="G468" s="153"/>
      <c r="H468" s="153"/>
      <c r="I468" s="153"/>
      <c r="J468" s="153"/>
      <c r="K468" s="153"/>
      <c r="L468" s="153"/>
      <c r="M468" s="153"/>
      <c r="N468" s="153"/>
      <c r="O468" s="153"/>
      <c r="P468" s="153"/>
      <c r="Q468" s="153"/>
      <c r="R468" s="153"/>
      <c r="S468" s="153"/>
      <c r="T468" s="153"/>
      <c r="U468" s="153"/>
      <c r="V468" s="153"/>
      <c r="W468" s="153"/>
      <c r="X468" s="153"/>
      <c r="Y468" s="153"/>
      <c r="Z468" s="153"/>
      <c r="AA468" s="153"/>
      <c r="AB468" s="153"/>
    </row>
    <row r="469" spans="1:28" ht="15">
      <c r="A469" s="153"/>
      <c r="B469" s="153"/>
      <c r="C469" s="153"/>
      <c r="D469" s="153"/>
      <c r="E469" s="153"/>
      <c r="F469" s="153"/>
      <c r="G469" s="153"/>
      <c r="H469" s="153"/>
      <c r="I469" s="153"/>
      <c r="J469" s="153"/>
      <c r="K469" s="153"/>
      <c r="L469" s="153"/>
      <c r="M469" s="153"/>
      <c r="N469" s="153"/>
      <c r="O469" s="153"/>
      <c r="P469" s="153"/>
      <c r="Q469" s="153"/>
      <c r="R469" s="153"/>
      <c r="S469" s="153"/>
      <c r="T469" s="153"/>
      <c r="U469" s="153"/>
      <c r="V469" s="153"/>
      <c r="W469" s="153"/>
      <c r="X469" s="153"/>
      <c r="Y469" s="153"/>
      <c r="Z469" s="153"/>
      <c r="AA469" s="153"/>
      <c r="AB469" s="153"/>
    </row>
    <row r="470" spans="1:28" ht="15">
      <c r="A470" s="153"/>
      <c r="B470" s="153"/>
      <c r="C470" s="153"/>
      <c r="D470" s="153"/>
      <c r="E470" s="153"/>
      <c r="F470" s="153"/>
      <c r="G470" s="153"/>
      <c r="H470" s="153"/>
      <c r="I470" s="153"/>
      <c r="J470" s="153"/>
      <c r="K470" s="153"/>
      <c r="L470" s="153"/>
      <c r="M470" s="153"/>
      <c r="N470" s="153"/>
      <c r="O470" s="153"/>
      <c r="P470" s="153"/>
      <c r="Q470" s="153"/>
      <c r="R470" s="153"/>
      <c r="S470" s="153"/>
      <c r="T470" s="153"/>
      <c r="U470" s="153"/>
      <c r="V470" s="153"/>
      <c r="W470" s="153"/>
      <c r="X470" s="153"/>
      <c r="Y470" s="153"/>
      <c r="Z470" s="153"/>
      <c r="AA470" s="153"/>
      <c r="AB470" s="153"/>
    </row>
    <row r="471" spans="1:28" ht="15">
      <c r="A471" s="153"/>
      <c r="B471" s="153"/>
      <c r="C471" s="153"/>
      <c r="D471" s="153"/>
      <c r="E471" s="153"/>
      <c r="F471" s="153"/>
      <c r="G471" s="153"/>
      <c r="H471" s="153"/>
      <c r="I471" s="153"/>
      <c r="J471" s="153"/>
      <c r="K471" s="153"/>
      <c r="L471" s="153"/>
      <c r="M471" s="153"/>
      <c r="N471" s="153"/>
      <c r="O471" s="153"/>
      <c r="P471" s="153"/>
      <c r="Q471" s="153"/>
      <c r="R471" s="153"/>
      <c r="S471" s="153"/>
      <c r="T471" s="153"/>
      <c r="U471" s="153"/>
      <c r="V471" s="153"/>
      <c r="W471" s="153"/>
      <c r="X471" s="153"/>
      <c r="Y471" s="153"/>
      <c r="Z471" s="153"/>
      <c r="AA471" s="153"/>
      <c r="AB471" s="153"/>
    </row>
    <row r="472" spans="1:28" ht="15">
      <c r="A472" s="153"/>
      <c r="B472" s="153"/>
      <c r="C472" s="153"/>
      <c r="D472" s="153"/>
      <c r="E472" s="153"/>
      <c r="F472" s="153"/>
      <c r="G472" s="153"/>
      <c r="H472" s="153"/>
      <c r="I472" s="153"/>
      <c r="J472" s="153"/>
      <c r="K472" s="153"/>
      <c r="L472" s="153"/>
      <c r="M472" s="153"/>
      <c r="N472" s="153"/>
      <c r="O472" s="153"/>
      <c r="P472" s="153"/>
      <c r="Q472" s="153"/>
      <c r="R472" s="153"/>
      <c r="S472" s="153"/>
      <c r="T472" s="153"/>
      <c r="U472" s="153"/>
      <c r="V472" s="153"/>
      <c r="W472" s="153"/>
      <c r="X472" s="153"/>
      <c r="Y472" s="153"/>
      <c r="Z472" s="153"/>
      <c r="AA472" s="153"/>
      <c r="AB472" s="153"/>
    </row>
    <row r="473" spans="1:28" ht="15">
      <c r="A473" s="153"/>
      <c r="B473" s="153"/>
      <c r="C473" s="153"/>
      <c r="D473" s="153"/>
      <c r="E473" s="153"/>
      <c r="F473" s="153"/>
      <c r="G473" s="153"/>
      <c r="H473" s="153"/>
      <c r="I473" s="153"/>
      <c r="J473" s="153"/>
      <c r="K473" s="153"/>
      <c r="L473" s="153"/>
      <c r="M473" s="153"/>
      <c r="N473" s="153"/>
      <c r="O473" s="153"/>
      <c r="P473" s="153"/>
      <c r="Q473" s="153"/>
      <c r="R473" s="153"/>
      <c r="S473" s="153"/>
      <c r="T473" s="153"/>
      <c r="U473" s="153"/>
      <c r="V473" s="153"/>
      <c r="W473" s="153"/>
      <c r="X473" s="153"/>
      <c r="Y473" s="153"/>
      <c r="Z473" s="153"/>
      <c r="AA473" s="153"/>
      <c r="AB473" s="153"/>
    </row>
    <row r="474" spans="1:28" ht="15">
      <c r="A474" s="153"/>
      <c r="B474" s="153"/>
      <c r="C474" s="153"/>
      <c r="D474" s="153"/>
      <c r="E474" s="153"/>
      <c r="F474" s="153"/>
      <c r="G474" s="153"/>
      <c r="H474" s="153"/>
      <c r="I474" s="153"/>
      <c r="J474" s="153"/>
      <c r="K474" s="153"/>
      <c r="L474" s="153"/>
      <c r="M474" s="153"/>
      <c r="N474" s="153"/>
      <c r="O474" s="153"/>
      <c r="P474" s="153"/>
      <c r="Q474" s="153"/>
      <c r="R474" s="153"/>
      <c r="S474" s="153"/>
      <c r="T474" s="153"/>
      <c r="U474" s="153"/>
      <c r="V474" s="153"/>
      <c r="W474" s="153"/>
      <c r="X474" s="153"/>
      <c r="Y474" s="153"/>
      <c r="Z474" s="153"/>
      <c r="AA474" s="153"/>
      <c r="AB474" s="153"/>
    </row>
    <row r="475" spans="1:28" ht="15">
      <c r="A475" s="153"/>
      <c r="B475" s="153"/>
      <c r="C475" s="153"/>
      <c r="D475" s="153"/>
      <c r="E475" s="153"/>
      <c r="F475" s="153"/>
      <c r="G475" s="153"/>
      <c r="H475" s="153"/>
      <c r="I475" s="153"/>
      <c r="J475" s="153"/>
      <c r="K475" s="153"/>
      <c r="L475" s="153"/>
      <c r="M475" s="153"/>
      <c r="N475" s="153"/>
      <c r="O475" s="153"/>
      <c r="P475" s="153"/>
      <c r="Q475" s="153"/>
      <c r="R475" s="153"/>
      <c r="S475" s="153"/>
      <c r="T475" s="153"/>
      <c r="U475" s="153"/>
      <c r="V475" s="153"/>
      <c r="W475" s="153"/>
      <c r="X475" s="153"/>
      <c r="Y475" s="153"/>
      <c r="Z475" s="153"/>
      <c r="AA475" s="153"/>
      <c r="AB475" s="153"/>
    </row>
    <row r="476" spans="1:28" ht="15">
      <c r="A476" s="153"/>
      <c r="B476" s="153"/>
      <c r="C476" s="153"/>
      <c r="D476" s="153"/>
      <c r="E476" s="153"/>
      <c r="F476" s="153"/>
      <c r="G476" s="153"/>
      <c r="H476" s="153"/>
      <c r="I476" s="153"/>
      <c r="J476" s="153"/>
      <c r="K476" s="153"/>
      <c r="L476" s="153"/>
      <c r="M476" s="153"/>
      <c r="N476" s="153"/>
      <c r="O476" s="153"/>
      <c r="P476" s="153"/>
      <c r="Q476" s="153"/>
      <c r="R476" s="153"/>
      <c r="S476" s="153"/>
      <c r="T476" s="153"/>
      <c r="U476" s="153"/>
      <c r="V476" s="153"/>
      <c r="W476" s="153"/>
      <c r="X476" s="153"/>
      <c r="Y476" s="153"/>
      <c r="Z476" s="153"/>
      <c r="AA476" s="153"/>
      <c r="AB476" s="153"/>
    </row>
    <row r="477" spans="1:28" ht="15">
      <c r="A477" s="153"/>
      <c r="B477" s="153"/>
      <c r="C477" s="153"/>
      <c r="D477" s="153"/>
      <c r="E477" s="153"/>
      <c r="F477" s="153"/>
      <c r="G477" s="153"/>
      <c r="H477" s="153"/>
      <c r="I477" s="153"/>
      <c r="J477" s="153"/>
      <c r="K477" s="153"/>
      <c r="L477" s="153"/>
      <c r="M477" s="153"/>
      <c r="N477" s="153"/>
      <c r="O477" s="153"/>
      <c r="P477" s="153"/>
      <c r="Q477" s="153"/>
      <c r="R477" s="153"/>
      <c r="S477" s="153"/>
      <c r="T477" s="153"/>
      <c r="U477" s="153"/>
      <c r="V477" s="153"/>
      <c r="W477" s="153"/>
      <c r="X477" s="153"/>
      <c r="Y477" s="153"/>
      <c r="Z477" s="153"/>
      <c r="AA477" s="153"/>
      <c r="AB477" s="153"/>
    </row>
    <row r="478" spans="1:28" ht="15">
      <c r="A478" s="153"/>
      <c r="B478" s="153"/>
      <c r="C478" s="153"/>
      <c r="D478" s="153"/>
      <c r="E478" s="153"/>
      <c r="F478" s="153"/>
      <c r="G478" s="153"/>
      <c r="H478" s="153"/>
      <c r="I478" s="153"/>
      <c r="J478" s="153"/>
      <c r="K478" s="153"/>
      <c r="L478" s="153"/>
      <c r="M478" s="153"/>
      <c r="N478" s="153"/>
      <c r="O478" s="153"/>
      <c r="P478" s="153"/>
      <c r="Q478" s="153"/>
      <c r="R478" s="153"/>
      <c r="S478" s="153"/>
      <c r="T478" s="153"/>
      <c r="U478" s="153"/>
      <c r="V478" s="153"/>
      <c r="W478" s="153"/>
      <c r="X478" s="153"/>
      <c r="Y478" s="153"/>
      <c r="Z478" s="153"/>
      <c r="AA478" s="153"/>
      <c r="AB478" s="153"/>
    </row>
    <row r="479" spans="1:28" ht="15">
      <c r="A479" s="153"/>
      <c r="B479" s="153"/>
      <c r="C479" s="153"/>
      <c r="D479" s="153"/>
      <c r="E479" s="153"/>
      <c r="F479" s="153"/>
      <c r="G479" s="153"/>
      <c r="H479" s="153"/>
      <c r="I479" s="153"/>
      <c r="J479" s="153"/>
      <c r="K479" s="153"/>
      <c r="L479" s="153"/>
      <c r="M479" s="153"/>
      <c r="N479" s="153"/>
      <c r="O479" s="153"/>
      <c r="P479" s="153"/>
      <c r="Q479" s="153"/>
      <c r="R479" s="153"/>
      <c r="S479" s="153"/>
      <c r="T479" s="153"/>
      <c r="U479" s="153"/>
      <c r="V479" s="153"/>
      <c r="W479" s="153"/>
      <c r="X479" s="153"/>
      <c r="Y479" s="153"/>
      <c r="Z479" s="153"/>
      <c r="AA479" s="153"/>
      <c r="AB479" s="153"/>
    </row>
    <row r="480" spans="1:28" ht="15">
      <c r="A480" s="153"/>
      <c r="B480" s="153"/>
      <c r="C480" s="153"/>
      <c r="D480" s="153"/>
      <c r="E480" s="153"/>
      <c r="F480" s="153"/>
      <c r="G480" s="153"/>
      <c r="H480" s="153"/>
      <c r="I480" s="153"/>
      <c r="J480" s="153"/>
      <c r="K480" s="153"/>
      <c r="L480" s="153"/>
      <c r="M480" s="153"/>
      <c r="N480" s="153"/>
      <c r="O480" s="153"/>
      <c r="P480" s="153"/>
      <c r="Q480" s="153"/>
      <c r="R480" s="153"/>
      <c r="S480" s="153"/>
      <c r="T480" s="153"/>
      <c r="U480" s="153"/>
      <c r="V480" s="153"/>
      <c r="W480" s="153"/>
      <c r="X480" s="153"/>
      <c r="Y480" s="153"/>
      <c r="Z480" s="153"/>
      <c r="AA480" s="153"/>
      <c r="AB480" s="153"/>
    </row>
    <row r="481" spans="1:28" ht="15">
      <c r="A481" s="153"/>
      <c r="B481" s="153"/>
      <c r="C481" s="153"/>
      <c r="D481" s="153"/>
      <c r="E481" s="153"/>
      <c r="F481" s="153"/>
      <c r="G481" s="153"/>
      <c r="H481" s="153"/>
      <c r="I481" s="153"/>
      <c r="J481" s="153"/>
      <c r="K481" s="153"/>
      <c r="L481" s="153"/>
      <c r="M481" s="153"/>
      <c r="N481" s="153"/>
      <c r="O481" s="153"/>
      <c r="P481" s="153"/>
      <c r="Q481" s="153"/>
      <c r="R481" s="153"/>
      <c r="S481" s="153"/>
      <c r="T481" s="153"/>
      <c r="U481" s="153"/>
      <c r="V481" s="153"/>
      <c r="W481" s="153"/>
      <c r="X481" s="153"/>
      <c r="Y481" s="153"/>
      <c r="Z481" s="153"/>
      <c r="AA481" s="153"/>
      <c r="AB481" s="153"/>
    </row>
    <row r="482" spans="1:28" ht="15">
      <c r="A482" s="153"/>
      <c r="B482" s="153"/>
      <c r="C482" s="153"/>
      <c r="D482" s="153"/>
      <c r="E482" s="153"/>
      <c r="F482" s="153"/>
      <c r="G482" s="153"/>
      <c r="H482" s="153"/>
      <c r="I482" s="153"/>
      <c r="J482" s="153"/>
      <c r="K482" s="153"/>
      <c r="L482" s="153"/>
      <c r="M482" s="153"/>
      <c r="N482" s="153"/>
      <c r="O482" s="153"/>
      <c r="P482" s="153"/>
      <c r="Q482" s="153"/>
      <c r="R482" s="153"/>
      <c r="S482" s="153"/>
      <c r="T482" s="153"/>
      <c r="U482" s="153"/>
      <c r="V482" s="153"/>
      <c r="W482" s="153"/>
      <c r="X482" s="153"/>
      <c r="Y482" s="153"/>
      <c r="Z482" s="153"/>
      <c r="AA482" s="153"/>
      <c r="AB482" s="153"/>
    </row>
    <row r="483" spans="1:28" ht="15">
      <c r="A483" s="153"/>
      <c r="B483" s="153"/>
      <c r="C483" s="153"/>
      <c r="D483" s="153"/>
      <c r="E483" s="153"/>
      <c r="F483" s="153"/>
      <c r="G483" s="153"/>
      <c r="H483" s="153"/>
      <c r="I483" s="153"/>
      <c r="J483" s="153"/>
      <c r="K483" s="153"/>
      <c r="L483" s="153"/>
      <c r="M483" s="153"/>
      <c r="N483" s="153"/>
      <c r="O483" s="153"/>
      <c r="P483" s="153"/>
      <c r="Q483" s="153"/>
      <c r="R483" s="153"/>
      <c r="S483" s="153"/>
      <c r="T483" s="153"/>
      <c r="U483" s="153"/>
      <c r="V483" s="153"/>
      <c r="W483" s="153"/>
      <c r="X483" s="153"/>
      <c r="Y483" s="153"/>
      <c r="Z483" s="153"/>
      <c r="AA483" s="153"/>
      <c r="AB483" s="153"/>
    </row>
    <row r="484" spans="1:28" ht="15">
      <c r="A484" s="153"/>
      <c r="B484" s="153"/>
      <c r="C484" s="153"/>
      <c r="D484" s="153"/>
      <c r="E484" s="153"/>
      <c r="F484" s="153"/>
      <c r="G484" s="153"/>
      <c r="H484" s="153"/>
      <c r="I484" s="153"/>
      <c r="J484" s="153"/>
      <c r="K484" s="153"/>
      <c r="L484" s="153"/>
      <c r="M484" s="153"/>
      <c r="N484" s="153"/>
      <c r="O484" s="153"/>
      <c r="P484" s="153"/>
      <c r="Q484" s="153"/>
      <c r="R484" s="153"/>
      <c r="S484" s="153"/>
      <c r="T484" s="153"/>
      <c r="U484" s="153"/>
      <c r="V484" s="153"/>
      <c r="W484" s="153"/>
      <c r="X484" s="153"/>
      <c r="Y484" s="153"/>
      <c r="Z484" s="153"/>
      <c r="AA484" s="153"/>
      <c r="AB484" s="153"/>
    </row>
    <row r="485" spans="1:28" ht="15">
      <c r="A485" s="153"/>
      <c r="B485" s="153"/>
      <c r="C485" s="153"/>
      <c r="D485" s="153"/>
      <c r="E485" s="153"/>
      <c r="F485" s="153"/>
      <c r="G485" s="153"/>
      <c r="H485" s="153"/>
      <c r="I485" s="153"/>
      <c r="J485" s="153"/>
      <c r="K485" s="153"/>
      <c r="L485" s="153"/>
      <c r="M485" s="153"/>
      <c r="N485" s="153"/>
      <c r="O485" s="153"/>
      <c r="P485" s="153"/>
      <c r="Q485" s="153"/>
      <c r="R485" s="153"/>
      <c r="S485" s="153"/>
      <c r="T485" s="153"/>
      <c r="U485" s="153"/>
      <c r="V485" s="153"/>
      <c r="W485" s="153"/>
      <c r="X485" s="153"/>
      <c r="Y485" s="153"/>
      <c r="Z485" s="153"/>
      <c r="AA485" s="153"/>
      <c r="AB485" s="153"/>
    </row>
    <row r="486" spans="1:28" ht="15">
      <c r="A486" s="153"/>
      <c r="B486" s="153"/>
      <c r="C486" s="153"/>
      <c r="D486" s="153"/>
      <c r="E486" s="153"/>
      <c r="F486" s="153"/>
      <c r="G486" s="153"/>
      <c r="H486" s="153"/>
      <c r="I486" s="153"/>
      <c r="J486" s="153"/>
      <c r="K486" s="153"/>
      <c r="L486" s="153"/>
      <c r="M486" s="153"/>
      <c r="N486" s="153"/>
      <c r="O486" s="153"/>
      <c r="P486" s="153"/>
      <c r="Q486" s="153"/>
      <c r="R486" s="153"/>
      <c r="S486" s="153"/>
      <c r="T486" s="153"/>
      <c r="U486" s="153"/>
      <c r="V486" s="153"/>
      <c r="W486" s="153"/>
      <c r="X486" s="153"/>
      <c r="Y486" s="153"/>
      <c r="Z486" s="153"/>
      <c r="AA486" s="153"/>
      <c r="AB486" s="153"/>
    </row>
    <row r="487" spans="1:28" ht="15">
      <c r="A487" s="153"/>
      <c r="B487" s="153"/>
      <c r="C487" s="153"/>
      <c r="D487" s="153"/>
      <c r="E487" s="153"/>
      <c r="F487" s="153"/>
      <c r="G487" s="153"/>
      <c r="H487" s="153"/>
      <c r="I487" s="153"/>
      <c r="J487" s="153"/>
      <c r="K487" s="153"/>
      <c r="L487" s="153"/>
      <c r="M487" s="153"/>
      <c r="N487" s="153"/>
      <c r="O487" s="153"/>
      <c r="P487" s="153"/>
      <c r="Q487" s="153"/>
      <c r="R487" s="153"/>
      <c r="S487" s="153"/>
      <c r="T487" s="153"/>
      <c r="U487" s="153"/>
      <c r="V487" s="153"/>
      <c r="W487" s="153"/>
      <c r="X487" s="153"/>
      <c r="Y487" s="153"/>
      <c r="Z487" s="153"/>
      <c r="AA487" s="153"/>
      <c r="AB487" s="153"/>
    </row>
    <row r="488" spans="1:28" ht="15">
      <c r="A488" s="153"/>
      <c r="B488" s="153"/>
      <c r="C488" s="153"/>
      <c r="D488" s="153"/>
      <c r="E488" s="153"/>
      <c r="F488" s="153"/>
      <c r="G488" s="153"/>
      <c r="H488" s="153"/>
      <c r="I488" s="153"/>
      <c r="J488" s="153"/>
      <c r="K488" s="153"/>
      <c r="L488" s="153"/>
      <c r="M488" s="153"/>
      <c r="N488" s="153"/>
      <c r="O488" s="153"/>
      <c r="P488" s="153"/>
      <c r="Q488" s="153"/>
      <c r="R488" s="153"/>
      <c r="S488" s="153"/>
      <c r="T488" s="153"/>
      <c r="U488" s="153"/>
      <c r="V488" s="153"/>
      <c r="W488" s="153"/>
      <c r="X488" s="153"/>
      <c r="Y488" s="153"/>
      <c r="Z488" s="153"/>
      <c r="AA488" s="153"/>
      <c r="AB488" s="153"/>
    </row>
    <row r="489" spans="1:28" ht="15">
      <c r="A489" s="153"/>
      <c r="B489" s="153"/>
      <c r="C489" s="153"/>
      <c r="D489" s="153"/>
      <c r="E489" s="153"/>
      <c r="F489" s="153"/>
      <c r="G489" s="153"/>
      <c r="H489" s="153"/>
      <c r="I489" s="153"/>
      <c r="J489" s="153"/>
      <c r="K489" s="153"/>
      <c r="L489" s="153"/>
      <c r="M489" s="153"/>
      <c r="N489" s="153"/>
      <c r="O489" s="153"/>
      <c r="P489" s="153"/>
      <c r="Q489" s="153"/>
      <c r="R489" s="153"/>
      <c r="S489" s="153"/>
      <c r="T489" s="153"/>
      <c r="U489" s="153"/>
      <c r="V489" s="153"/>
      <c r="W489" s="153"/>
      <c r="X489" s="153"/>
      <c r="Y489" s="153"/>
      <c r="Z489" s="153"/>
      <c r="AA489" s="153"/>
      <c r="AB489" s="153"/>
    </row>
    <row r="490" spans="1:28" ht="15">
      <c r="A490" s="153"/>
      <c r="B490" s="153"/>
      <c r="C490" s="153"/>
      <c r="D490" s="153"/>
      <c r="E490" s="153"/>
      <c r="F490" s="153"/>
      <c r="G490" s="153"/>
      <c r="H490" s="153"/>
      <c r="I490" s="153"/>
      <c r="J490" s="153"/>
      <c r="K490" s="153"/>
      <c r="L490" s="153"/>
      <c r="M490" s="153"/>
      <c r="N490" s="153"/>
      <c r="O490" s="153"/>
      <c r="P490" s="153"/>
      <c r="Q490" s="153"/>
      <c r="R490" s="153"/>
      <c r="S490" s="153"/>
      <c r="T490" s="153"/>
      <c r="U490" s="153"/>
      <c r="V490" s="153"/>
      <c r="W490" s="153"/>
      <c r="X490" s="153"/>
      <c r="Y490" s="153"/>
      <c r="Z490" s="153"/>
      <c r="AA490" s="153"/>
      <c r="AB490" s="153"/>
    </row>
    <row r="491" spans="1:28" ht="15">
      <c r="A491" s="153"/>
      <c r="B491" s="153"/>
      <c r="C491" s="153"/>
      <c r="D491" s="153"/>
      <c r="E491" s="153"/>
      <c r="F491" s="153"/>
      <c r="G491" s="153"/>
      <c r="H491" s="153"/>
      <c r="I491" s="153"/>
      <c r="J491" s="153"/>
      <c r="K491" s="153"/>
      <c r="L491" s="153"/>
      <c r="M491" s="153"/>
      <c r="N491" s="153"/>
      <c r="O491" s="153"/>
      <c r="P491" s="153"/>
      <c r="Q491" s="153"/>
      <c r="R491" s="153"/>
      <c r="S491" s="153"/>
      <c r="T491" s="153"/>
      <c r="U491" s="153"/>
      <c r="V491" s="153"/>
      <c r="W491" s="153"/>
      <c r="X491" s="153"/>
      <c r="Y491" s="153"/>
      <c r="Z491" s="153"/>
      <c r="AA491" s="153"/>
      <c r="AB491" s="153"/>
    </row>
    <row r="492" spans="1:28" ht="15">
      <c r="A492" s="153"/>
      <c r="B492" s="153"/>
      <c r="C492" s="153"/>
      <c r="D492" s="153"/>
      <c r="E492" s="153"/>
      <c r="F492" s="153"/>
      <c r="G492" s="153"/>
      <c r="H492" s="153"/>
      <c r="I492" s="153"/>
      <c r="J492" s="153"/>
      <c r="K492" s="153"/>
      <c r="L492" s="153"/>
      <c r="M492" s="153"/>
      <c r="N492" s="153"/>
      <c r="O492" s="153"/>
      <c r="P492" s="153"/>
      <c r="Q492" s="153"/>
      <c r="R492" s="153"/>
      <c r="S492" s="153"/>
      <c r="T492" s="153"/>
      <c r="U492" s="153"/>
      <c r="V492" s="153"/>
      <c r="W492" s="153"/>
      <c r="X492" s="153"/>
      <c r="Y492" s="153"/>
      <c r="Z492" s="153"/>
      <c r="AA492" s="153"/>
      <c r="AB492" s="153"/>
    </row>
    <row r="493" spans="1:28" ht="15">
      <c r="A493" s="153"/>
      <c r="B493" s="153"/>
      <c r="C493" s="153"/>
      <c r="D493" s="153"/>
      <c r="E493" s="153"/>
      <c r="F493" s="153"/>
      <c r="G493" s="153"/>
      <c r="H493" s="153"/>
      <c r="I493" s="153"/>
      <c r="J493" s="153"/>
      <c r="K493" s="153"/>
      <c r="L493" s="153"/>
      <c r="M493" s="153"/>
      <c r="N493" s="153"/>
      <c r="O493" s="153"/>
      <c r="P493" s="153"/>
      <c r="Q493" s="153"/>
      <c r="R493" s="153"/>
      <c r="S493" s="153"/>
      <c r="T493" s="153"/>
      <c r="U493" s="153"/>
      <c r="V493" s="153"/>
      <c r="W493" s="153"/>
      <c r="X493" s="153"/>
      <c r="Y493" s="153"/>
      <c r="Z493" s="153"/>
      <c r="AA493" s="153"/>
      <c r="AB493" s="153"/>
    </row>
    <row r="494" spans="1:28" ht="15">
      <c r="A494" s="153"/>
      <c r="B494" s="153"/>
      <c r="C494" s="153"/>
      <c r="D494" s="153"/>
      <c r="E494" s="153"/>
      <c r="F494" s="153"/>
      <c r="G494" s="153"/>
      <c r="H494" s="153"/>
      <c r="I494" s="153"/>
      <c r="J494" s="153"/>
      <c r="K494" s="153"/>
      <c r="L494" s="153"/>
      <c r="M494" s="153"/>
      <c r="N494" s="153"/>
      <c r="O494" s="153"/>
      <c r="P494" s="153"/>
      <c r="Q494" s="153"/>
      <c r="R494" s="153"/>
      <c r="S494" s="153"/>
      <c r="T494" s="153"/>
      <c r="U494" s="153"/>
      <c r="V494" s="153"/>
      <c r="W494" s="153"/>
      <c r="X494" s="153"/>
      <c r="Y494" s="153"/>
      <c r="Z494" s="153"/>
      <c r="AA494" s="153"/>
      <c r="AB494" s="153"/>
    </row>
    <row r="495" spans="1:28" ht="15">
      <c r="A495" s="153"/>
      <c r="B495" s="153"/>
      <c r="C495" s="153"/>
      <c r="D495" s="153"/>
      <c r="E495" s="153"/>
      <c r="F495" s="153"/>
      <c r="G495" s="153"/>
      <c r="H495" s="153"/>
      <c r="I495" s="153"/>
      <c r="J495" s="153"/>
      <c r="K495" s="153"/>
      <c r="L495" s="153"/>
      <c r="M495" s="153"/>
      <c r="N495" s="153"/>
      <c r="O495" s="153"/>
      <c r="P495" s="153"/>
      <c r="Q495" s="153"/>
      <c r="R495" s="153"/>
      <c r="S495" s="153"/>
      <c r="T495" s="153"/>
      <c r="U495" s="153"/>
      <c r="V495" s="153"/>
      <c r="W495" s="153"/>
      <c r="X495" s="153"/>
      <c r="Y495" s="153"/>
      <c r="Z495" s="153"/>
      <c r="AA495" s="153"/>
      <c r="AB495" s="153"/>
    </row>
    <row r="496" spans="1:28" ht="15">
      <c r="A496" s="153"/>
      <c r="B496" s="153"/>
      <c r="C496" s="153"/>
      <c r="D496" s="153"/>
      <c r="E496" s="153"/>
      <c r="F496" s="153"/>
      <c r="G496" s="153"/>
      <c r="H496" s="153"/>
      <c r="I496" s="153"/>
      <c r="J496" s="153"/>
      <c r="K496" s="153"/>
      <c r="L496" s="153"/>
      <c r="M496" s="153"/>
      <c r="N496" s="153"/>
      <c r="O496" s="153"/>
      <c r="P496" s="153"/>
      <c r="Q496" s="153"/>
      <c r="R496" s="153"/>
      <c r="S496" s="153"/>
      <c r="T496" s="153"/>
      <c r="U496" s="153"/>
      <c r="V496" s="153"/>
      <c r="W496" s="153"/>
      <c r="X496" s="153"/>
      <c r="Y496" s="153"/>
      <c r="Z496" s="153"/>
      <c r="AA496" s="153"/>
      <c r="AB496" s="153"/>
    </row>
    <row r="497" spans="1:28" ht="15">
      <c r="A497" s="153"/>
      <c r="B497" s="153"/>
      <c r="C497" s="153"/>
      <c r="D497" s="153"/>
      <c r="E497" s="153"/>
      <c r="F497" s="153"/>
      <c r="G497" s="153"/>
      <c r="H497" s="153"/>
      <c r="I497" s="153"/>
      <c r="J497" s="153"/>
      <c r="K497" s="153"/>
      <c r="L497" s="153"/>
      <c r="M497" s="153"/>
      <c r="N497" s="153"/>
      <c r="O497" s="153"/>
      <c r="P497" s="153"/>
      <c r="Q497" s="153"/>
      <c r="R497" s="153"/>
      <c r="S497" s="153"/>
      <c r="T497" s="153"/>
      <c r="U497" s="153"/>
      <c r="V497" s="153"/>
      <c r="W497" s="153"/>
      <c r="X497" s="153"/>
      <c r="Y497" s="153"/>
      <c r="Z497" s="153"/>
      <c r="AA497" s="153"/>
      <c r="AB497" s="153"/>
    </row>
    <row r="498" spans="1:28" ht="15">
      <c r="A498" s="153"/>
      <c r="B498" s="153"/>
      <c r="C498" s="153"/>
      <c r="D498" s="153"/>
      <c r="E498" s="153"/>
      <c r="F498" s="153"/>
      <c r="G498" s="153"/>
      <c r="H498" s="153"/>
      <c r="I498" s="153"/>
      <c r="J498" s="153"/>
      <c r="K498" s="153"/>
      <c r="L498" s="153"/>
      <c r="M498" s="153"/>
      <c r="N498" s="153"/>
      <c r="O498" s="153"/>
      <c r="P498" s="153"/>
      <c r="Q498" s="153"/>
      <c r="R498" s="153"/>
      <c r="S498" s="153"/>
      <c r="T498" s="153"/>
      <c r="U498" s="153"/>
      <c r="V498" s="153"/>
      <c r="W498" s="153"/>
      <c r="X498" s="153"/>
      <c r="Y498" s="153"/>
      <c r="Z498" s="153"/>
      <c r="AA498" s="153"/>
      <c r="AB498" s="153"/>
    </row>
    <row r="499" spans="1:28" ht="15">
      <c r="A499" s="153"/>
      <c r="B499" s="153"/>
      <c r="C499" s="153"/>
      <c r="D499" s="153"/>
      <c r="E499" s="153"/>
      <c r="F499" s="153"/>
      <c r="G499" s="153"/>
      <c r="H499" s="153"/>
      <c r="I499" s="153"/>
      <c r="J499" s="153"/>
      <c r="K499" s="153"/>
      <c r="L499" s="153"/>
      <c r="M499" s="153"/>
      <c r="N499" s="153"/>
      <c r="O499" s="153"/>
      <c r="P499" s="153"/>
      <c r="Q499" s="153"/>
      <c r="R499" s="153"/>
      <c r="S499" s="153"/>
      <c r="T499" s="153"/>
      <c r="U499" s="153"/>
      <c r="V499" s="153"/>
      <c r="W499" s="153"/>
      <c r="X499" s="153"/>
      <c r="Y499" s="153"/>
      <c r="Z499" s="153"/>
      <c r="AA499" s="153"/>
      <c r="AB499" s="153"/>
    </row>
    <row r="500" spans="1:28" ht="15">
      <c r="A500" s="153"/>
      <c r="B500" s="153"/>
      <c r="C500" s="153"/>
      <c r="D500" s="153"/>
      <c r="E500" s="153"/>
      <c r="F500" s="153"/>
      <c r="G500" s="153"/>
      <c r="H500" s="153"/>
      <c r="I500" s="153"/>
      <c r="J500" s="153"/>
      <c r="K500" s="153"/>
      <c r="L500" s="153"/>
      <c r="M500" s="153"/>
      <c r="N500" s="153"/>
      <c r="O500" s="153"/>
      <c r="P500" s="153"/>
      <c r="Q500" s="153"/>
      <c r="R500" s="153"/>
      <c r="S500" s="153"/>
      <c r="T500" s="153"/>
      <c r="U500" s="153"/>
      <c r="V500" s="153"/>
      <c r="W500" s="153"/>
      <c r="X500" s="153"/>
      <c r="Y500" s="153"/>
      <c r="Z500" s="153"/>
      <c r="AA500" s="153"/>
      <c r="AB500" s="153"/>
    </row>
    <row r="501" spans="1:28" ht="15">
      <c r="A501" s="153"/>
      <c r="B501" s="153"/>
      <c r="C501" s="153"/>
      <c r="D501" s="153"/>
      <c r="E501" s="153"/>
      <c r="F501" s="153"/>
      <c r="G501" s="153"/>
      <c r="H501" s="153"/>
      <c r="I501" s="153"/>
      <c r="J501" s="153"/>
      <c r="K501" s="153"/>
      <c r="L501" s="153"/>
      <c r="M501" s="153"/>
      <c r="N501" s="153"/>
      <c r="O501" s="153"/>
      <c r="P501" s="153"/>
      <c r="Q501" s="153"/>
      <c r="R501" s="153"/>
      <c r="S501" s="153"/>
      <c r="T501" s="153"/>
      <c r="U501" s="153"/>
      <c r="V501" s="153"/>
      <c r="W501" s="153"/>
      <c r="X501" s="153"/>
      <c r="Y501" s="153"/>
      <c r="Z501" s="153"/>
      <c r="AA501" s="153"/>
      <c r="AB501" s="153"/>
    </row>
    <row r="502" spans="1:28" ht="15">
      <c r="A502" s="153"/>
      <c r="B502" s="153"/>
      <c r="C502" s="153"/>
      <c r="D502" s="153"/>
      <c r="E502" s="153"/>
      <c r="F502" s="153"/>
      <c r="G502" s="153"/>
      <c r="H502" s="153"/>
      <c r="I502" s="153"/>
      <c r="J502" s="153"/>
      <c r="K502" s="153"/>
      <c r="L502" s="153"/>
      <c r="M502" s="153"/>
      <c r="N502" s="153"/>
      <c r="O502" s="153"/>
      <c r="P502" s="153"/>
      <c r="Q502" s="153"/>
      <c r="R502" s="153"/>
      <c r="S502" s="153"/>
      <c r="T502" s="153"/>
      <c r="U502" s="153"/>
      <c r="V502" s="153"/>
      <c r="W502" s="153"/>
      <c r="X502" s="153"/>
      <c r="Y502" s="153"/>
      <c r="Z502" s="153"/>
      <c r="AA502" s="153"/>
      <c r="AB502" s="153"/>
    </row>
    <row r="503" spans="1:28" ht="15">
      <c r="A503" s="153"/>
      <c r="B503" s="153"/>
      <c r="C503" s="153"/>
      <c r="D503" s="153"/>
      <c r="E503" s="153"/>
      <c r="F503" s="153"/>
      <c r="G503" s="153"/>
      <c r="H503" s="153"/>
      <c r="I503" s="153"/>
      <c r="J503" s="153"/>
      <c r="K503" s="153"/>
      <c r="L503" s="153"/>
      <c r="M503" s="153"/>
      <c r="N503" s="153"/>
      <c r="O503" s="153"/>
      <c r="P503" s="153"/>
      <c r="Q503" s="153"/>
      <c r="R503" s="153"/>
      <c r="S503" s="153"/>
      <c r="T503" s="153"/>
      <c r="U503" s="153"/>
      <c r="V503" s="153"/>
      <c r="W503" s="153"/>
      <c r="X503" s="153"/>
      <c r="Y503" s="153"/>
      <c r="Z503" s="153"/>
      <c r="AA503" s="153"/>
      <c r="AB503" s="153"/>
    </row>
    <row r="504" spans="1:28" ht="15">
      <c r="A504" s="153"/>
      <c r="B504" s="153"/>
      <c r="C504" s="153"/>
      <c r="D504" s="153"/>
      <c r="E504" s="153"/>
      <c r="F504" s="153"/>
      <c r="G504" s="153"/>
      <c r="H504" s="153"/>
      <c r="I504" s="153"/>
      <c r="J504" s="153"/>
      <c r="K504" s="153"/>
      <c r="L504" s="153"/>
      <c r="M504" s="153"/>
      <c r="N504" s="153"/>
      <c r="O504" s="153"/>
      <c r="P504" s="153"/>
      <c r="Q504" s="153"/>
      <c r="R504" s="153"/>
      <c r="S504" s="153"/>
      <c r="T504" s="153"/>
      <c r="U504" s="153"/>
      <c r="V504" s="153"/>
      <c r="W504" s="153"/>
      <c r="X504" s="153"/>
      <c r="Y504" s="153"/>
      <c r="Z504" s="153"/>
      <c r="AA504" s="153"/>
      <c r="AB504" s="153"/>
    </row>
    <row r="505" spans="1:28" ht="15">
      <c r="A505" s="153"/>
      <c r="B505" s="153"/>
      <c r="C505" s="153"/>
      <c r="D505" s="153"/>
      <c r="E505" s="153"/>
      <c r="F505" s="153"/>
      <c r="G505" s="153"/>
      <c r="H505" s="153"/>
      <c r="I505" s="153"/>
      <c r="J505" s="153"/>
      <c r="K505" s="153"/>
      <c r="L505" s="153"/>
      <c r="M505" s="153"/>
      <c r="N505" s="153"/>
      <c r="O505" s="153"/>
      <c r="P505" s="153"/>
      <c r="Q505" s="153"/>
      <c r="R505" s="153"/>
      <c r="S505" s="153"/>
      <c r="T505" s="153"/>
      <c r="U505" s="153"/>
      <c r="V505" s="153"/>
      <c r="W505" s="153"/>
      <c r="X505" s="153"/>
      <c r="Y505" s="153"/>
      <c r="Z505" s="153"/>
      <c r="AA505" s="153"/>
      <c r="AB505" s="153"/>
    </row>
    <row r="506" spans="1:28" ht="15">
      <c r="A506" s="153"/>
      <c r="B506" s="153"/>
      <c r="C506" s="153"/>
      <c r="D506" s="153"/>
      <c r="E506" s="153"/>
      <c r="F506" s="153"/>
      <c r="G506" s="153"/>
      <c r="H506" s="153"/>
      <c r="I506" s="153"/>
      <c r="J506" s="153"/>
      <c r="K506" s="153"/>
      <c r="L506" s="153"/>
      <c r="M506" s="153"/>
      <c r="N506" s="153"/>
      <c r="O506" s="153"/>
      <c r="P506" s="153"/>
      <c r="Q506" s="153"/>
      <c r="R506" s="153"/>
      <c r="S506" s="153"/>
      <c r="T506" s="153"/>
      <c r="U506" s="153"/>
      <c r="V506" s="153"/>
      <c r="W506" s="153"/>
      <c r="X506" s="153"/>
      <c r="Y506" s="153"/>
      <c r="Z506" s="153"/>
      <c r="AA506" s="153"/>
      <c r="AB506" s="153"/>
    </row>
    <row r="507" spans="1:28" ht="15">
      <c r="A507" s="153"/>
      <c r="B507" s="153"/>
      <c r="C507" s="153"/>
      <c r="D507" s="153"/>
      <c r="E507" s="153"/>
      <c r="F507" s="153"/>
      <c r="G507" s="153"/>
      <c r="H507" s="153"/>
      <c r="I507" s="153"/>
      <c r="J507" s="153"/>
      <c r="K507" s="153"/>
      <c r="L507" s="153"/>
      <c r="M507" s="153"/>
      <c r="N507" s="153"/>
      <c r="O507" s="153"/>
      <c r="P507" s="153"/>
      <c r="Q507" s="153"/>
      <c r="R507" s="153"/>
      <c r="S507" s="153"/>
      <c r="T507" s="153"/>
      <c r="U507" s="153"/>
      <c r="V507" s="153"/>
      <c r="W507" s="153"/>
      <c r="X507" s="153"/>
      <c r="Y507" s="153"/>
      <c r="Z507" s="153"/>
      <c r="AA507" s="153"/>
      <c r="AB507" s="153"/>
    </row>
    <row r="508" spans="1:28" ht="15">
      <c r="A508" s="153"/>
      <c r="B508" s="153"/>
      <c r="C508" s="153"/>
      <c r="D508" s="153"/>
      <c r="E508" s="153"/>
      <c r="F508" s="153"/>
      <c r="G508" s="153"/>
      <c r="H508" s="153"/>
      <c r="I508" s="153"/>
      <c r="J508" s="153"/>
      <c r="K508" s="153"/>
      <c r="L508" s="153"/>
      <c r="M508" s="153"/>
      <c r="N508" s="153"/>
      <c r="O508" s="153"/>
      <c r="P508" s="153"/>
      <c r="Q508" s="153"/>
      <c r="R508" s="153"/>
      <c r="S508" s="153"/>
      <c r="T508" s="153"/>
      <c r="U508" s="153"/>
      <c r="V508" s="153"/>
      <c r="W508" s="153"/>
      <c r="X508" s="153"/>
      <c r="Y508" s="153"/>
      <c r="Z508" s="153"/>
      <c r="AA508" s="153"/>
      <c r="AB508" s="153"/>
    </row>
    <row r="509" spans="1:28" ht="15">
      <c r="A509" s="153"/>
      <c r="B509" s="153"/>
      <c r="C509" s="153"/>
      <c r="D509" s="153"/>
      <c r="E509" s="153"/>
      <c r="F509" s="153"/>
      <c r="G509" s="153"/>
      <c r="H509" s="153"/>
      <c r="I509" s="153"/>
      <c r="J509" s="153"/>
      <c r="K509" s="153"/>
      <c r="L509" s="153"/>
      <c r="M509" s="153"/>
      <c r="N509" s="153"/>
      <c r="O509" s="153"/>
      <c r="P509" s="153"/>
      <c r="Q509" s="153"/>
      <c r="R509" s="153"/>
      <c r="S509" s="153"/>
      <c r="T509" s="153"/>
      <c r="U509" s="153"/>
      <c r="V509" s="153"/>
      <c r="W509" s="153"/>
      <c r="X509" s="153"/>
      <c r="Y509" s="153"/>
      <c r="Z509" s="153"/>
      <c r="AA509" s="153"/>
      <c r="AB509" s="153"/>
    </row>
    <row r="510" spans="1:28" ht="15">
      <c r="A510" s="153"/>
      <c r="B510" s="153"/>
      <c r="C510" s="153"/>
      <c r="D510" s="153"/>
      <c r="E510" s="153"/>
      <c r="F510" s="153"/>
      <c r="G510" s="153"/>
      <c r="H510" s="153"/>
      <c r="I510" s="153"/>
      <c r="J510" s="153"/>
      <c r="K510" s="153"/>
      <c r="L510" s="153"/>
      <c r="M510" s="153"/>
      <c r="N510" s="153"/>
      <c r="O510" s="153"/>
      <c r="P510" s="153"/>
      <c r="Q510" s="153"/>
      <c r="R510" s="153"/>
      <c r="S510" s="153"/>
      <c r="T510" s="153"/>
      <c r="U510" s="153"/>
      <c r="V510" s="153"/>
      <c r="W510" s="153"/>
      <c r="X510" s="153"/>
      <c r="Y510" s="153"/>
      <c r="Z510" s="153"/>
      <c r="AA510" s="153"/>
      <c r="AB510" s="153"/>
    </row>
    <row r="511" spans="1:28" ht="15">
      <c r="A511" s="153"/>
      <c r="B511" s="153"/>
      <c r="C511" s="153"/>
      <c r="D511" s="153"/>
      <c r="E511" s="153"/>
      <c r="F511" s="153"/>
      <c r="G511" s="153"/>
      <c r="H511" s="153"/>
      <c r="I511" s="153"/>
      <c r="J511" s="153"/>
      <c r="K511" s="153"/>
      <c r="L511" s="153"/>
      <c r="M511" s="153"/>
      <c r="N511" s="153"/>
      <c r="O511" s="153"/>
      <c r="P511" s="153"/>
      <c r="Q511" s="153"/>
      <c r="R511" s="153"/>
      <c r="S511" s="153"/>
      <c r="T511" s="153"/>
      <c r="U511" s="153"/>
      <c r="V511" s="153"/>
      <c r="W511" s="153"/>
      <c r="X511" s="153"/>
      <c r="Y511" s="153"/>
      <c r="Z511" s="153"/>
      <c r="AA511" s="153"/>
      <c r="AB511" s="153"/>
    </row>
    <row r="512" spans="1:28" ht="15">
      <c r="A512" s="153"/>
      <c r="B512" s="153"/>
      <c r="C512" s="153"/>
      <c r="D512" s="153"/>
      <c r="E512" s="153"/>
      <c r="F512" s="153"/>
      <c r="G512" s="153"/>
      <c r="H512" s="153"/>
      <c r="I512" s="153"/>
      <c r="J512" s="153"/>
      <c r="K512" s="153"/>
      <c r="L512" s="153"/>
      <c r="M512" s="153"/>
      <c r="N512" s="153"/>
      <c r="O512" s="153"/>
      <c r="P512" s="153"/>
      <c r="Q512" s="153"/>
      <c r="R512" s="153"/>
      <c r="S512" s="153"/>
      <c r="T512" s="153"/>
      <c r="U512" s="153"/>
      <c r="V512" s="153"/>
      <c r="W512" s="153"/>
      <c r="X512" s="153"/>
      <c r="Y512" s="153"/>
      <c r="Z512" s="153"/>
      <c r="AA512" s="153"/>
      <c r="AB512" s="153"/>
    </row>
    <row r="513" spans="1:28" ht="15">
      <c r="A513" s="153"/>
      <c r="B513" s="153"/>
      <c r="C513" s="153"/>
      <c r="D513" s="153"/>
      <c r="E513" s="153"/>
      <c r="F513" s="153"/>
      <c r="G513" s="153"/>
      <c r="H513" s="153"/>
      <c r="I513" s="153"/>
      <c r="J513" s="153"/>
      <c r="K513" s="153"/>
      <c r="L513" s="153"/>
      <c r="M513" s="153"/>
      <c r="N513" s="153"/>
      <c r="O513" s="153"/>
      <c r="P513" s="153"/>
      <c r="Q513" s="153"/>
      <c r="R513" s="153"/>
      <c r="S513" s="153"/>
      <c r="T513" s="153"/>
      <c r="U513" s="153"/>
      <c r="V513" s="153"/>
      <c r="W513" s="153"/>
      <c r="X513" s="153"/>
      <c r="Y513" s="153"/>
      <c r="Z513" s="153"/>
      <c r="AA513" s="153"/>
      <c r="AB513" s="153"/>
    </row>
    <row r="514" spans="1:28" ht="15">
      <c r="A514" s="153"/>
      <c r="B514" s="153"/>
      <c r="C514" s="153"/>
      <c r="D514" s="153"/>
      <c r="E514" s="153"/>
      <c r="F514" s="153"/>
      <c r="G514" s="153"/>
      <c r="H514" s="153"/>
      <c r="I514" s="153"/>
      <c r="J514" s="153"/>
      <c r="K514" s="153"/>
      <c r="L514" s="153"/>
      <c r="M514" s="153"/>
      <c r="N514" s="153"/>
      <c r="O514" s="153"/>
      <c r="P514" s="153"/>
      <c r="Q514" s="153"/>
      <c r="R514" s="153"/>
      <c r="S514" s="153"/>
      <c r="T514" s="153"/>
      <c r="U514" s="153"/>
      <c r="V514" s="153"/>
      <c r="W514" s="153"/>
      <c r="X514" s="153"/>
      <c r="Y514" s="153"/>
      <c r="Z514" s="153"/>
      <c r="AA514" s="153"/>
      <c r="AB514" s="153"/>
    </row>
    <row r="515" spans="1:28" ht="15">
      <c r="A515" s="153"/>
      <c r="B515" s="153"/>
      <c r="C515" s="153"/>
      <c r="D515" s="153"/>
      <c r="E515" s="153"/>
      <c r="F515" s="153"/>
      <c r="G515" s="153"/>
      <c r="H515" s="153"/>
      <c r="I515" s="153"/>
      <c r="J515" s="153"/>
      <c r="K515" s="153"/>
      <c r="L515" s="153"/>
      <c r="M515" s="153"/>
      <c r="N515" s="153"/>
      <c r="O515" s="153"/>
      <c r="P515" s="153"/>
      <c r="Q515" s="153"/>
      <c r="R515" s="153"/>
      <c r="S515" s="153"/>
      <c r="T515" s="153"/>
      <c r="U515" s="153"/>
      <c r="V515" s="153"/>
      <c r="W515" s="153"/>
      <c r="X515" s="153"/>
      <c r="Y515" s="153"/>
      <c r="Z515" s="153"/>
      <c r="AA515" s="153"/>
      <c r="AB515" s="153"/>
    </row>
    <row r="516" spans="1:28" ht="15">
      <c r="A516" s="153"/>
      <c r="B516" s="153"/>
      <c r="C516" s="153"/>
      <c r="D516" s="153"/>
      <c r="E516" s="153"/>
      <c r="F516" s="153"/>
      <c r="G516" s="153"/>
      <c r="H516" s="153"/>
      <c r="I516" s="153"/>
      <c r="J516" s="153"/>
      <c r="K516" s="153"/>
      <c r="L516" s="153"/>
      <c r="M516" s="153"/>
      <c r="N516" s="153"/>
      <c r="O516" s="153"/>
      <c r="P516" s="153"/>
      <c r="Q516" s="153"/>
      <c r="R516" s="153"/>
      <c r="S516" s="153"/>
      <c r="T516" s="153"/>
      <c r="U516" s="153"/>
      <c r="V516" s="153"/>
      <c r="W516" s="153"/>
      <c r="X516" s="153"/>
      <c r="Y516" s="153"/>
      <c r="Z516" s="153"/>
      <c r="AA516" s="153"/>
      <c r="AB516" s="153"/>
    </row>
    <row r="517" spans="1:28" ht="15">
      <c r="A517" s="153"/>
      <c r="B517" s="153"/>
      <c r="C517" s="153"/>
      <c r="D517" s="153"/>
      <c r="E517" s="153"/>
      <c r="F517" s="153"/>
      <c r="G517" s="153"/>
      <c r="H517" s="153"/>
      <c r="I517" s="153"/>
      <c r="J517" s="153"/>
      <c r="K517" s="153"/>
      <c r="L517" s="153"/>
      <c r="M517" s="153"/>
      <c r="N517" s="153"/>
      <c r="O517" s="153"/>
      <c r="P517" s="153"/>
      <c r="Q517" s="153"/>
      <c r="R517" s="153"/>
      <c r="S517" s="153"/>
      <c r="T517" s="153"/>
      <c r="U517" s="153"/>
      <c r="V517" s="153"/>
      <c r="W517" s="153"/>
      <c r="X517" s="153"/>
      <c r="Y517" s="153"/>
      <c r="Z517" s="153"/>
      <c r="AA517" s="153"/>
      <c r="AB517" s="153"/>
    </row>
    <row r="518" spans="1:28" ht="15">
      <c r="A518" s="153"/>
      <c r="B518" s="153"/>
      <c r="C518" s="153"/>
      <c r="D518" s="153"/>
      <c r="E518" s="153"/>
      <c r="F518" s="153"/>
      <c r="G518" s="153"/>
      <c r="H518" s="153"/>
      <c r="I518" s="153"/>
      <c r="J518" s="153"/>
      <c r="K518" s="153"/>
      <c r="L518" s="153"/>
      <c r="M518" s="153"/>
      <c r="N518" s="153"/>
      <c r="O518" s="153"/>
      <c r="P518" s="153"/>
      <c r="Q518" s="153"/>
      <c r="R518" s="153"/>
      <c r="S518" s="153"/>
      <c r="T518" s="153"/>
      <c r="U518" s="153"/>
      <c r="V518" s="153"/>
      <c r="W518" s="153"/>
      <c r="X518" s="153"/>
      <c r="Y518" s="153"/>
      <c r="Z518" s="153"/>
      <c r="AA518" s="153"/>
      <c r="AB518" s="153"/>
    </row>
    <row r="519" spans="1:28" ht="15">
      <c r="A519" s="153"/>
      <c r="B519" s="153"/>
      <c r="C519" s="153"/>
      <c r="D519" s="153"/>
      <c r="E519" s="153"/>
      <c r="F519" s="153"/>
      <c r="G519" s="153"/>
      <c r="H519" s="153"/>
      <c r="I519" s="153"/>
      <c r="J519" s="153"/>
      <c r="K519" s="153"/>
      <c r="L519" s="153"/>
      <c r="M519" s="153"/>
      <c r="N519" s="153"/>
      <c r="O519" s="153"/>
      <c r="P519" s="153"/>
      <c r="Q519" s="153"/>
      <c r="R519" s="153"/>
      <c r="S519" s="153"/>
      <c r="T519" s="153"/>
      <c r="U519" s="153"/>
      <c r="V519" s="153"/>
      <c r="W519" s="153"/>
      <c r="X519" s="153"/>
      <c r="Y519" s="153"/>
      <c r="Z519" s="153"/>
      <c r="AA519" s="153"/>
      <c r="AB519" s="153"/>
    </row>
    <row r="520" spans="1:28" ht="15">
      <c r="A520" s="153"/>
      <c r="B520" s="153"/>
      <c r="C520" s="153"/>
      <c r="D520" s="153"/>
      <c r="E520" s="153"/>
      <c r="F520" s="153"/>
      <c r="G520" s="153"/>
      <c r="H520" s="153"/>
      <c r="I520" s="153"/>
      <c r="J520" s="153"/>
      <c r="K520" s="153"/>
      <c r="L520" s="153"/>
      <c r="M520" s="153"/>
      <c r="N520" s="153"/>
      <c r="O520" s="153"/>
      <c r="P520" s="153"/>
      <c r="Q520" s="153"/>
      <c r="R520" s="153"/>
      <c r="S520" s="153"/>
      <c r="T520" s="153"/>
      <c r="U520" s="153"/>
      <c r="V520" s="153"/>
      <c r="W520" s="153"/>
      <c r="X520" s="153"/>
      <c r="Y520" s="153"/>
      <c r="Z520" s="153"/>
      <c r="AA520" s="153"/>
      <c r="AB520" s="153"/>
    </row>
    <row r="521" spans="1:28" ht="15">
      <c r="A521" s="153"/>
      <c r="B521" s="153"/>
      <c r="C521" s="153"/>
      <c r="D521" s="153"/>
      <c r="E521" s="153"/>
      <c r="F521" s="153"/>
      <c r="G521" s="153"/>
      <c r="H521" s="153"/>
      <c r="I521" s="153"/>
      <c r="J521" s="153"/>
      <c r="K521" s="153"/>
      <c r="L521" s="153"/>
      <c r="M521" s="153"/>
      <c r="N521" s="153"/>
      <c r="O521" s="153"/>
      <c r="P521" s="153"/>
      <c r="Q521" s="153"/>
      <c r="R521" s="153"/>
      <c r="S521" s="153"/>
      <c r="T521" s="153"/>
      <c r="U521" s="153"/>
      <c r="V521" s="153"/>
      <c r="W521" s="153"/>
      <c r="X521" s="153"/>
      <c r="Y521" s="153"/>
      <c r="Z521" s="153"/>
      <c r="AA521" s="153"/>
      <c r="AB521" s="153"/>
    </row>
    <row r="522" spans="1:28" ht="15">
      <c r="A522" s="153"/>
      <c r="B522" s="153"/>
      <c r="C522" s="153"/>
      <c r="D522" s="153"/>
      <c r="E522" s="153"/>
      <c r="F522" s="153"/>
      <c r="G522" s="153"/>
      <c r="H522" s="153"/>
      <c r="I522" s="153"/>
      <c r="J522" s="153"/>
      <c r="K522" s="153"/>
      <c r="L522" s="153"/>
      <c r="M522" s="153"/>
      <c r="N522" s="153"/>
      <c r="O522" s="153"/>
      <c r="P522" s="153"/>
      <c r="Q522" s="153"/>
      <c r="R522" s="153"/>
      <c r="S522" s="153"/>
      <c r="T522" s="153"/>
      <c r="U522" s="153"/>
      <c r="V522" s="153"/>
      <c r="W522" s="153"/>
      <c r="X522" s="153"/>
      <c r="Y522" s="153"/>
      <c r="Z522" s="153"/>
      <c r="AA522" s="153"/>
      <c r="AB522" s="153"/>
    </row>
    <row r="523" spans="1:28" ht="15">
      <c r="A523" s="153"/>
      <c r="B523" s="153"/>
      <c r="C523" s="153"/>
      <c r="D523" s="153"/>
      <c r="E523" s="153"/>
      <c r="F523" s="153"/>
      <c r="G523" s="153"/>
      <c r="H523" s="153"/>
      <c r="I523" s="153"/>
      <c r="J523" s="153"/>
      <c r="K523" s="153"/>
      <c r="L523" s="153"/>
      <c r="M523" s="153"/>
      <c r="N523" s="153"/>
      <c r="O523" s="153"/>
      <c r="P523" s="153"/>
      <c r="Q523" s="153"/>
      <c r="R523" s="153"/>
      <c r="S523" s="153"/>
      <c r="T523" s="153"/>
      <c r="U523" s="153"/>
      <c r="V523" s="153"/>
      <c r="W523" s="153"/>
      <c r="X523" s="153"/>
      <c r="Y523" s="153"/>
      <c r="Z523" s="153"/>
      <c r="AA523" s="153"/>
      <c r="AB523" s="153"/>
    </row>
    <row r="524" spans="1:28" ht="15">
      <c r="A524" s="153"/>
      <c r="B524" s="153"/>
      <c r="C524" s="153"/>
      <c r="D524" s="153"/>
      <c r="E524" s="153"/>
      <c r="F524" s="153"/>
      <c r="G524" s="153"/>
      <c r="H524" s="153"/>
      <c r="I524" s="153"/>
      <c r="J524" s="153"/>
      <c r="K524" s="153"/>
      <c r="L524" s="153"/>
      <c r="M524" s="153"/>
      <c r="N524" s="153"/>
      <c r="O524" s="153"/>
      <c r="P524" s="153"/>
      <c r="Q524" s="153"/>
      <c r="R524" s="153"/>
      <c r="S524" s="153"/>
      <c r="T524" s="153"/>
      <c r="U524" s="153"/>
      <c r="V524" s="153"/>
      <c r="W524" s="153"/>
      <c r="X524" s="153"/>
      <c r="Y524" s="153"/>
      <c r="Z524" s="153"/>
      <c r="AA524" s="153"/>
      <c r="AB524" s="153"/>
    </row>
    <row r="525" spans="1:28" ht="15">
      <c r="A525" s="153"/>
      <c r="B525" s="153"/>
      <c r="C525" s="153"/>
      <c r="D525" s="153"/>
      <c r="E525" s="153"/>
      <c r="F525" s="153"/>
      <c r="G525" s="153"/>
      <c r="H525" s="153"/>
      <c r="I525" s="153"/>
      <c r="J525" s="153"/>
      <c r="K525" s="153"/>
      <c r="L525" s="153"/>
      <c r="M525" s="153"/>
      <c r="N525" s="153"/>
      <c r="O525" s="153"/>
      <c r="P525" s="153"/>
      <c r="Q525" s="153"/>
      <c r="R525" s="153"/>
      <c r="S525" s="153"/>
      <c r="T525" s="153"/>
      <c r="U525" s="153"/>
      <c r="V525" s="153"/>
      <c r="W525" s="153"/>
      <c r="X525" s="153"/>
      <c r="Y525" s="153"/>
      <c r="Z525" s="153"/>
      <c r="AA525" s="153"/>
      <c r="AB525" s="153"/>
    </row>
    <row r="526" spans="1:28" ht="15">
      <c r="A526" s="153"/>
      <c r="B526" s="153"/>
      <c r="C526" s="153"/>
      <c r="D526" s="153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  <c r="S526" s="153"/>
      <c r="T526" s="153"/>
      <c r="U526" s="153"/>
      <c r="V526" s="153"/>
      <c r="W526" s="153"/>
      <c r="X526" s="153"/>
      <c r="Y526" s="153"/>
      <c r="Z526" s="153"/>
      <c r="AA526" s="153"/>
      <c r="AB526" s="153"/>
    </row>
    <row r="527" spans="1:28" ht="15">
      <c r="A527" s="153"/>
      <c r="B527" s="153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  <c r="Y527" s="153"/>
      <c r="Z527" s="153"/>
      <c r="AA527" s="153"/>
      <c r="AB527" s="153"/>
    </row>
    <row r="528" spans="1:28" ht="15">
      <c r="A528" s="153"/>
      <c r="B528" s="153"/>
      <c r="C528" s="153"/>
      <c r="D528" s="153"/>
      <c r="E528" s="153"/>
      <c r="F528" s="153"/>
      <c r="G528" s="153"/>
      <c r="H528" s="153"/>
      <c r="I528" s="153"/>
      <c r="J528" s="153"/>
      <c r="K528" s="153"/>
      <c r="L528" s="153"/>
      <c r="M528" s="153"/>
      <c r="N528" s="153"/>
      <c r="O528" s="153"/>
      <c r="P528" s="153"/>
      <c r="Q528" s="153"/>
      <c r="R528" s="153"/>
      <c r="S528" s="153"/>
      <c r="T528" s="153"/>
      <c r="U528" s="153"/>
      <c r="V528" s="153"/>
      <c r="W528" s="153"/>
      <c r="X528" s="153"/>
      <c r="Y528" s="153"/>
      <c r="Z528" s="153"/>
      <c r="AA528" s="153"/>
      <c r="AB528" s="153"/>
    </row>
    <row r="529" spans="1:28" ht="15">
      <c r="A529" s="153"/>
      <c r="B529" s="153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  <c r="Y529" s="153"/>
      <c r="Z529" s="153"/>
      <c r="AA529" s="153"/>
      <c r="AB529" s="153"/>
    </row>
    <row r="530" spans="1:28" ht="15">
      <c r="A530" s="153"/>
      <c r="B530" s="153"/>
      <c r="C530" s="153"/>
      <c r="D530" s="153"/>
      <c r="E530" s="153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  <c r="AB530" s="153"/>
    </row>
    <row r="531" spans="1:28" ht="15">
      <c r="A531" s="153"/>
      <c r="B531" s="153"/>
      <c r="C531" s="153"/>
      <c r="D531" s="153"/>
      <c r="E531" s="153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  <c r="AB531" s="153"/>
    </row>
    <row r="532" spans="1:28" ht="15">
      <c r="A532" s="153"/>
      <c r="B532" s="153"/>
      <c r="C532" s="153"/>
      <c r="D532" s="153"/>
      <c r="E532" s="153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  <c r="AB532" s="153"/>
    </row>
    <row r="533" spans="1:28" ht="15">
      <c r="A533" s="153"/>
      <c r="B533" s="153"/>
      <c r="C533" s="153"/>
      <c r="D533" s="153"/>
      <c r="E533" s="153"/>
      <c r="F533" s="153"/>
      <c r="G533" s="153"/>
      <c r="H533" s="153"/>
      <c r="I533" s="153"/>
      <c r="J533" s="153"/>
      <c r="K533" s="153"/>
      <c r="L533" s="153"/>
      <c r="M533" s="153"/>
      <c r="N533" s="153"/>
      <c r="O533" s="153"/>
      <c r="P533" s="153"/>
      <c r="Q533" s="153"/>
      <c r="R533" s="153"/>
      <c r="S533" s="153"/>
      <c r="T533" s="153"/>
      <c r="U533" s="153"/>
      <c r="V533" s="153"/>
      <c r="W533" s="153"/>
      <c r="X533" s="153"/>
      <c r="Y533" s="153"/>
      <c r="Z533" s="153"/>
      <c r="AA533" s="153"/>
      <c r="AB533" s="153"/>
    </row>
    <row r="534" spans="1:28" ht="15">
      <c r="A534" s="153"/>
      <c r="B534" s="153"/>
      <c r="C534" s="153"/>
      <c r="D534" s="153"/>
      <c r="E534" s="153"/>
      <c r="F534" s="153"/>
      <c r="G534" s="153"/>
      <c r="H534" s="153"/>
      <c r="I534" s="153"/>
      <c r="J534" s="153"/>
      <c r="K534" s="153"/>
      <c r="L534" s="153"/>
      <c r="M534" s="153"/>
      <c r="N534" s="153"/>
      <c r="O534" s="153"/>
      <c r="P534" s="153"/>
      <c r="Q534" s="153"/>
      <c r="R534" s="153"/>
      <c r="S534" s="153"/>
      <c r="T534" s="153"/>
      <c r="U534" s="153"/>
      <c r="V534" s="153"/>
      <c r="W534" s="153"/>
      <c r="X534" s="153"/>
      <c r="Y534" s="153"/>
      <c r="Z534" s="153"/>
      <c r="AA534" s="153"/>
      <c r="AB534" s="153"/>
    </row>
    <row r="535" spans="1:28" ht="15">
      <c r="A535" s="153"/>
      <c r="B535" s="153"/>
      <c r="C535" s="153"/>
      <c r="D535" s="153"/>
      <c r="E535" s="153"/>
      <c r="F535" s="153"/>
      <c r="G535" s="153"/>
      <c r="H535" s="153"/>
      <c r="I535" s="153"/>
      <c r="J535" s="153"/>
      <c r="K535" s="153"/>
      <c r="L535" s="153"/>
      <c r="M535" s="153"/>
      <c r="N535" s="153"/>
      <c r="O535" s="153"/>
      <c r="P535" s="153"/>
      <c r="Q535" s="153"/>
      <c r="R535" s="153"/>
      <c r="S535" s="153"/>
      <c r="T535" s="153"/>
      <c r="U535" s="153"/>
      <c r="V535" s="153"/>
      <c r="W535" s="153"/>
      <c r="X535" s="153"/>
      <c r="Y535" s="153"/>
      <c r="Z535" s="153"/>
      <c r="AA535" s="153"/>
      <c r="AB535" s="153"/>
    </row>
    <row r="536" spans="1:28" ht="15">
      <c r="A536" s="153"/>
      <c r="B536" s="153"/>
      <c r="C536" s="153"/>
      <c r="D536" s="153"/>
      <c r="E536" s="153"/>
      <c r="F536" s="153"/>
      <c r="G536" s="153"/>
      <c r="H536" s="153"/>
      <c r="I536" s="153"/>
      <c r="J536" s="153"/>
      <c r="K536" s="153"/>
      <c r="L536" s="153"/>
      <c r="M536" s="153"/>
      <c r="N536" s="153"/>
      <c r="O536" s="153"/>
      <c r="P536" s="153"/>
      <c r="Q536" s="153"/>
      <c r="R536" s="153"/>
      <c r="S536" s="153"/>
      <c r="T536" s="153"/>
      <c r="U536" s="153"/>
      <c r="V536" s="153"/>
      <c r="W536" s="153"/>
      <c r="X536" s="153"/>
      <c r="Y536" s="153"/>
      <c r="Z536" s="153"/>
      <c r="AA536" s="153"/>
      <c r="AB536" s="153"/>
    </row>
    <row r="537" spans="1:28" ht="15">
      <c r="A537" s="153"/>
      <c r="B537" s="153"/>
      <c r="C537" s="153"/>
      <c r="D537" s="153"/>
      <c r="E537" s="153"/>
      <c r="F537" s="153"/>
      <c r="G537" s="153"/>
      <c r="H537" s="153"/>
      <c r="I537" s="153"/>
      <c r="J537" s="153"/>
      <c r="K537" s="153"/>
      <c r="L537" s="153"/>
      <c r="M537" s="153"/>
      <c r="N537" s="153"/>
      <c r="O537" s="153"/>
      <c r="P537" s="153"/>
      <c r="Q537" s="153"/>
      <c r="R537" s="153"/>
      <c r="S537" s="153"/>
      <c r="T537" s="153"/>
      <c r="U537" s="153"/>
      <c r="V537" s="153"/>
      <c r="W537" s="153"/>
      <c r="X537" s="153"/>
      <c r="Y537" s="153"/>
      <c r="Z537" s="153"/>
      <c r="AA537" s="153"/>
      <c r="AB537" s="153"/>
    </row>
    <row r="538" spans="1:28" ht="15">
      <c r="A538" s="153"/>
      <c r="B538" s="153"/>
      <c r="C538" s="153"/>
      <c r="D538" s="153"/>
      <c r="E538" s="153"/>
      <c r="F538" s="153"/>
      <c r="G538" s="153"/>
      <c r="H538" s="153"/>
      <c r="I538" s="153"/>
      <c r="J538" s="153"/>
      <c r="K538" s="153"/>
      <c r="L538" s="153"/>
      <c r="M538" s="153"/>
      <c r="N538" s="153"/>
      <c r="O538" s="153"/>
      <c r="P538" s="153"/>
      <c r="Q538" s="153"/>
      <c r="R538" s="153"/>
      <c r="S538" s="153"/>
      <c r="T538" s="153"/>
      <c r="U538" s="153"/>
      <c r="V538" s="153"/>
      <c r="W538" s="153"/>
      <c r="X538" s="153"/>
      <c r="Y538" s="153"/>
      <c r="Z538" s="153"/>
      <c r="AA538" s="153"/>
      <c r="AB538" s="153"/>
    </row>
    <row r="539" spans="1:28" ht="15">
      <c r="A539" s="153"/>
      <c r="B539" s="153"/>
      <c r="C539" s="153"/>
      <c r="D539" s="153"/>
      <c r="E539" s="153"/>
      <c r="F539" s="153"/>
      <c r="G539" s="153"/>
      <c r="H539" s="153"/>
      <c r="I539" s="153"/>
      <c r="J539" s="153"/>
      <c r="K539" s="153"/>
      <c r="L539" s="153"/>
      <c r="M539" s="153"/>
      <c r="N539" s="153"/>
      <c r="O539" s="153"/>
      <c r="P539" s="153"/>
      <c r="Q539" s="153"/>
      <c r="R539" s="153"/>
      <c r="S539" s="153"/>
      <c r="T539" s="153"/>
      <c r="U539" s="153"/>
      <c r="V539" s="153"/>
      <c r="W539" s="153"/>
      <c r="X539" s="153"/>
      <c r="Y539" s="153"/>
      <c r="Z539" s="153"/>
      <c r="AA539" s="153"/>
      <c r="AB539" s="153"/>
    </row>
    <row r="540" spans="1:28" ht="15">
      <c r="A540" s="153"/>
      <c r="B540" s="153"/>
      <c r="C540" s="153"/>
      <c r="D540" s="153"/>
      <c r="E540" s="153"/>
      <c r="F540" s="153"/>
      <c r="G540" s="153"/>
      <c r="H540" s="153"/>
      <c r="I540" s="153"/>
      <c r="J540" s="153"/>
      <c r="K540" s="153"/>
      <c r="L540" s="153"/>
      <c r="M540" s="153"/>
      <c r="N540" s="153"/>
      <c r="O540" s="153"/>
      <c r="P540" s="153"/>
      <c r="Q540" s="153"/>
      <c r="R540" s="153"/>
      <c r="S540" s="153"/>
      <c r="T540" s="153"/>
      <c r="U540" s="153"/>
      <c r="V540" s="153"/>
      <c r="W540" s="153"/>
      <c r="X540" s="153"/>
      <c r="Y540" s="153"/>
      <c r="Z540" s="153"/>
      <c r="AA540" s="153"/>
      <c r="AB540" s="153"/>
    </row>
    <row r="541" spans="1:28" ht="15">
      <c r="A541" s="153"/>
      <c r="B541" s="153"/>
      <c r="C541" s="153"/>
      <c r="D541" s="153"/>
      <c r="E541" s="153"/>
      <c r="F541" s="153"/>
      <c r="G541" s="153"/>
      <c r="H541" s="153"/>
      <c r="I541" s="153"/>
      <c r="J541" s="153"/>
      <c r="K541" s="153"/>
      <c r="L541" s="153"/>
      <c r="M541" s="153"/>
      <c r="N541" s="153"/>
      <c r="O541" s="153"/>
      <c r="P541" s="153"/>
      <c r="Q541" s="153"/>
      <c r="R541" s="153"/>
      <c r="S541" s="153"/>
      <c r="T541" s="153"/>
      <c r="U541" s="153"/>
      <c r="V541" s="153"/>
      <c r="W541" s="153"/>
      <c r="X541" s="153"/>
      <c r="Y541" s="153"/>
      <c r="Z541" s="153"/>
      <c r="AA541" s="153"/>
      <c r="AB541" s="153"/>
    </row>
    <row r="542" spans="1:28" ht="15">
      <c r="A542" s="153"/>
      <c r="B542" s="153"/>
      <c r="C542" s="153"/>
      <c r="D542" s="153"/>
      <c r="E542" s="153"/>
      <c r="F542" s="153"/>
      <c r="G542" s="153"/>
      <c r="H542" s="153"/>
      <c r="I542" s="153"/>
      <c r="J542" s="153"/>
      <c r="K542" s="153"/>
      <c r="L542" s="153"/>
      <c r="M542" s="153"/>
      <c r="N542" s="153"/>
      <c r="O542" s="153"/>
      <c r="P542" s="153"/>
      <c r="Q542" s="153"/>
      <c r="R542" s="153"/>
      <c r="S542" s="153"/>
      <c r="T542" s="153"/>
      <c r="U542" s="153"/>
      <c r="V542" s="153"/>
      <c r="W542" s="153"/>
      <c r="X542" s="153"/>
      <c r="Y542" s="153"/>
      <c r="Z542" s="153"/>
      <c r="AA542" s="153"/>
      <c r="AB542" s="153"/>
    </row>
    <row r="543" spans="1:28" ht="15">
      <c r="A543" s="153"/>
      <c r="B543" s="153"/>
      <c r="C543" s="153"/>
      <c r="D543" s="153"/>
      <c r="E543" s="153"/>
      <c r="F543" s="153"/>
      <c r="G543" s="153"/>
      <c r="H543" s="153"/>
      <c r="I543" s="153"/>
      <c r="J543" s="153"/>
      <c r="K543" s="153"/>
      <c r="L543" s="153"/>
      <c r="M543" s="153"/>
      <c r="N543" s="153"/>
      <c r="O543" s="153"/>
      <c r="P543" s="153"/>
      <c r="Q543" s="153"/>
      <c r="R543" s="153"/>
      <c r="S543" s="153"/>
      <c r="T543" s="153"/>
      <c r="U543" s="153"/>
      <c r="V543" s="153"/>
      <c r="W543" s="153"/>
      <c r="X543" s="153"/>
      <c r="Y543" s="153"/>
      <c r="Z543" s="153"/>
      <c r="AA543" s="153"/>
      <c r="AB543" s="153"/>
    </row>
    <row r="544" spans="1:28" ht="15">
      <c r="A544" s="153"/>
      <c r="B544" s="153"/>
      <c r="C544" s="153"/>
      <c r="D544" s="153"/>
      <c r="E544" s="153"/>
      <c r="F544" s="153"/>
      <c r="G544" s="153"/>
      <c r="H544" s="153"/>
      <c r="I544" s="153"/>
      <c r="J544" s="153"/>
      <c r="K544" s="153"/>
      <c r="L544" s="153"/>
      <c r="M544" s="153"/>
      <c r="N544" s="153"/>
      <c r="O544" s="153"/>
      <c r="P544" s="153"/>
      <c r="Q544" s="153"/>
      <c r="R544" s="153"/>
      <c r="S544" s="153"/>
      <c r="T544" s="153"/>
      <c r="U544" s="153"/>
      <c r="V544" s="153"/>
      <c r="W544" s="153"/>
      <c r="X544" s="153"/>
      <c r="Y544" s="153"/>
      <c r="Z544" s="153"/>
      <c r="AA544" s="153"/>
      <c r="AB544" s="153"/>
    </row>
    <row r="545" spans="1:28" ht="15">
      <c r="A545" s="153"/>
      <c r="B545" s="153"/>
      <c r="C545" s="153"/>
      <c r="D545" s="153"/>
      <c r="E545" s="153"/>
      <c r="F545" s="153"/>
      <c r="G545" s="153"/>
      <c r="H545" s="153"/>
      <c r="I545" s="153"/>
      <c r="J545" s="153"/>
      <c r="K545" s="153"/>
      <c r="L545" s="153"/>
      <c r="M545" s="153"/>
      <c r="N545" s="153"/>
      <c r="O545" s="153"/>
      <c r="P545" s="153"/>
      <c r="Q545" s="153"/>
      <c r="R545" s="153"/>
      <c r="S545" s="153"/>
      <c r="T545" s="153"/>
      <c r="U545" s="153"/>
      <c r="V545" s="153"/>
      <c r="W545" s="153"/>
      <c r="X545" s="153"/>
      <c r="Y545" s="153"/>
      <c r="Z545" s="153"/>
      <c r="AA545" s="153"/>
      <c r="AB545" s="153"/>
    </row>
    <row r="546" spans="1:28" ht="15">
      <c r="A546" s="153"/>
      <c r="B546" s="153"/>
      <c r="C546" s="153"/>
      <c r="D546" s="153"/>
      <c r="E546" s="153"/>
      <c r="F546" s="153"/>
      <c r="G546" s="153"/>
      <c r="H546" s="153"/>
      <c r="I546" s="153"/>
      <c r="J546" s="153"/>
      <c r="K546" s="153"/>
      <c r="L546" s="153"/>
      <c r="M546" s="153"/>
      <c r="N546" s="153"/>
      <c r="O546" s="153"/>
      <c r="P546" s="153"/>
      <c r="Q546" s="153"/>
      <c r="R546" s="153"/>
      <c r="S546" s="153"/>
      <c r="T546" s="153"/>
      <c r="U546" s="153"/>
      <c r="V546" s="153"/>
      <c r="W546" s="153"/>
      <c r="X546" s="153"/>
      <c r="Y546" s="153"/>
      <c r="Z546" s="153"/>
      <c r="AA546" s="153"/>
      <c r="AB546" s="153"/>
    </row>
    <row r="547" spans="1:28" ht="15">
      <c r="A547" s="153"/>
      <c r="B547" s="153"/>
      <c r="C547" s="153"/>
      <c r="D547" s="153"/>
      <c r="E547" s="153"/>
      <c r="F547" s="153"/>
      <c r="G547" s="153"/>
      <c r="H547" s="153"/>
      <c r="I547" s="153"/>
      <c r="J547" s="153"/>
      <c r="K547" s="153"/>
      <c r="L547" s="153"/>
      <c r="M547" s="153"/>
      <c r="N547" s="153"/>
      <c r="O547" s="153"/>
      <c r="P547" s="153"/>
      <c r="Q547" s="153"/>
      <c r="R547" s="153"/>
      <c r="S547" s="153"/>
      <c r="T547" s="153"/>
      <c r="U547" s="153"/>
      <c r="V547" s="153"/>
      <c r="W547" s="153"/>
      <c r="X547" s="153"/>
      <c r="Y547" s="153"/>
      <c r="Z547" s="153"/>
      <c r="AA547" s="153"/>
      <c r="AB547" s="153"/>
    </row>
    <row r="548" spans="1:28" ht="15">
      <c r="A548" s="153"/>
      <c r="B548" s="153"/>
      <c r="C548" s="153"/>
      <c r="D548" s="153"/>
      <c r="E548" s="153"/>
      <c r="F548" s="153"/>
      <c r="G548" s="153"/>
      <c r="H548" s="153"/>
      <c r="I548" s="153"/>
      <c r="J548" s="153"/>
      <c r="K548" s="153"/>
      <c r="L548" s="153"/>
      <c r="M548" s="153"/>
      <c r="N548" s="153"/>
      <c r="O548" s="153"/>
      <c r="P548" s="153"/>
      <c r="Q548" s="153"/>
      <c r="R548" s="153"/>
      <c r="S548" s="153"/>
      <c r="T548" s="153"/>
      <c r="U548" s="153"/>
      <c r="V548" s="153"/>
      <c r="W548" s="153"/>
      <c r="X548" s="153"/>
      <c r="Y548" s="153"/>
      <c r="Z548" s="153"/>
      <c r="AA548" s="153"/>
      <c r="AB548" s="153"/>
    </row>
    <row r="549" spans="1:28" ht="15">
      <c r="A549" s="153"/>
      <c r="B549" s="153"/>
      <c r="C549" s="153"/>
      <c r="D549" s="153"/>
      <c r="E549" s="153"/>
      <c r="F549" s="153"/>
      <c r="G549" s="153"/>
      <c r="H549" s="153"/>
      <c r="I549" s="153"/>
      <c r="J549" s="153"/>
      <c r="K549" s="153"/>
      <c r="L549" s="153"/>
      <c r="M549" s="153"/>
      <c r="N549" s="153"/>
      <c r="O549" s="153"/>
      <c r="P549" s="153"/>
      <c r="Q549" s="153"/>
      <c r="R549" s="153"/>
      <c r="S549" s="153"/>
      <c r="T549" s="153"/>
      <c r="U549" s="153"/>
      <c r="V549" s="153"/>
      <c r="W549" s="153"/>
      <c r="X549" s="153"/>
      <c r="Y549" s="153"/>
      <c r="Z549" s="153"/>
      <c r="AA549" s="153"/>
      <c r="AB549" s="153"/>
    </row>
    <row r="550" spans="1:28" ht="15">
      <c r="A550" s="153"/>
      <c r="B550" s="153"/>
      <c r="C550" s="153"/>
      <c r="D550" s="153"/>
      <c r="E550" s="153"/>
      <c r="F550" s="153"/>
      <c r="G550" s="153"/>
      <c r="H550" s="153"/>
      <c r="I550" s="153"/>
      <c r="J550" s="153"/>
      <c r="K550" s="153"/>
      <c r="L550" s="153"/>
      <c r="M550" s="153"/>
      <c r="N550" s="153"/>
      <c r="O550" s="153"/>
      <c r="P550" s="153"/>
      <c r="Q550" s="153"/>
      <c r="R550" s="153"/>
      <c r="S550" s="153"/>
      <c r="T550" s="153"/>
      <c r="U550" s="153"/>
      <c r="V550" s="153"/>
      <c r="W550" s="153"/>
      <c r="X550" s="153"/>
      <c r="Y550" s="153"/>
      <c r="Z550" s="153"/>
      <c r="AA550" s="153"/>
      <c r="AB550" s="153"/>
    </row>
    <row r="551" spans="1:28" ht="15">
      <c r="A551" s="153"/>
      <c r="B551" s="153"/>
      <c r="C551" s="153"/>
      <c r="D551" s="153"/>
      <c r="E551" s="153"/>
      <c r="F551" s="153"/>
      <c r="G551" s="153"/>
      <c r="H551" s="153"/>
      <c r="I551" s="153"/>
      <c r="J551" s="153"/>
      <c r="K551" s="153"/>
      <c r="L551" s="153"/>
      <c r="M551" s="153"/>
      <c r="N551" s="153"/>
      <c r="O551" s="153"/>
      <c r="P551" s="153"/>
      <c r="Q551" s="153"/>
      <c r="R551" s="153"/>
      <c r="S551" s="153"/>
      <c r="T551" s="153"/>
      <c r="U551" s="153"/>
      <c r="V551" s="153"/>
      <c r="W551" s="153"/>
      <c r="X551" s="153"/>
      <c r="Y551" s="153"/>
      <c r="Z551" s="153"/>
      <c r="AA551" s="153"/>
      <c r="AB551" s="153"/>
    </row>
    <row r="552" spans="1:28" ht="15">
      <c r="A552" s="153"/>
      <c r="B552" s="153"/>
      <c r="C552" s="153"/>
      <c r="D552" s="153"/>
      <c r="E552" s="153"/>
      <c r="F552" s="153"/>
      <c r="G552" s="153"/>
      <c r="H552" s="153"/>
      <c r="I552" s="153"/>
      <c r="J552" s="153"/>
      <c r="K552" s="153"/>
      <c r="L552" s="153"/>
      <c r="M552" s="153"/>
      <c r="N552" s="153"/>
      <c r="O552" s="153"/>
      <c r="P552" s="153"/>
      <c r="Q552" s="153"/>
      <c r="R552" s="153"/>
      <c r="S552" s="153"/>
      <c r="T552" s="153"/>
      <c r="U552" s="153"/>
      <c r="V552" s="153"/>
      <c r="W552" s="153"/>
      <c r="X552" s="153"/>
      <c r="Y552" s="153"/>
      <c r="Z552" s="153"/>
      <c r="AA552" s="153"/>
      <c r="AB552" s="153"/>
    </row>
    <row r="553" spans="1:28" ht="15">
      <c r="A553" s="153"/>
      <c r="B553" s="153"/>
      <c r="C553" s="153"/>
      <c r="D553" s="153"/>
      <c r="E553" s="153"/>
      <c r="F553" s="153"/>
      <c r="G553" s="153"/>
      <c r="H553" s="153"/>
      <c r="I553" s="153"/>
      <c r="J553" s="153"/>
      <c r="K553" s="153"/>
      <c r="L553" s="153"/>
      <c r="M553" s="153"/>
      <c r="N553" s="153"/>
      <c r="O553" s="153"/>
      <c r="P553" s="153"/>
      <c r="Q553" s="153"/>
      <c r="R553" s="153"/>
      <c r="S553" s="153"/>
      <c r="T553" s="153"/>
      <c r="U553" s="153"/>
      <c r="V553" s="153"/>
      <c r="W553" s="153"/>
      <c r="X553" s="153"/>
      <c r="Y553" s="153"/>
      <c r="Z553" s="153"/>
      <c r="AA553" s="153"/>
      <c r="AB553" s="153"/>
    </row>
    <row r="554" spans="1:28" ht="15">
      <c r="A554" s="153"/>
      <c r="B554" s="153"/>
      <c r="C554" s="153"/>
      <c r="D554" s="153"/>
      <c r="E554" s="153"/>
      <c r="F554" s="153"/>
      <c r="G554" s="153"/>
      <c r="H554" s="153"/>
      <c r="I554" s="153"/>
      <c r="J554" s="153"/>
      <c r="K554" s="153"/>
      <c r="L554" s="153"/>
      <c r="M554" s="153"/>
      <c r="N554" s="153"/>
      <c r="O554" s="153"/>
      <c r="P554" s="153"/>
      <c r="Q554" s="153"/>
      <c r="R554" s="153"/>
      <c r="S554" s="153"/>
      <c r="T554" s="153"/>
      <c r="U554" s="153"/>
      <c r="V554" s="153"/>
      <c r="W554" s="153"/>
      <c r="X554" s="153"/>
      <c r="Y554" s="153"/>
      <c r="Z554" s="153"/>
      <c r="AA554" s="153"/>
      <c r="AB554" s="153"/>
    </row>
    <row r="555" spans="1:28" ht="15">
      <c r="A555" s="153"/>
      <c r="B555" s="153"/>
      <c r="C555" s="153"/>
      <c r="D555" s="153"/>
      <c r="E555" s="153"/>
      <c r="F555" s="153"/>
      <c r="G555" s="153"/>
      <c r="H555" s="153"/>
      <c r="I555" s="153"/>
      <c r="J555" s="153"/>
      <c r="K555" s="153"/>
      <c r="L555" s="153"/>
      <c r="M555" s="153"/>
      <c r="N555" s="153"/>
      <c r="O555" s="153"/>
      <c r="P555" s="153"/>
      <c r="Q555" s="153"/>
      <c r="R555" s="153"/>
      <c r="S555" s="153"/>
      <c r="T555" s="153"/>
      <c r="U555" s="153"/>
      <c r="V555" s="153"/>
      <c r="W555" s="153"/>
      <c r="X555" s="153"/>
      <c r="Y555" s="153"/>
      <c r="Z555" s="153"/>
      <c r="AA555" s="153"/>
      <c r="AB555" s="153"/>
    </row>
    <row r="556" spans="1:28" ht="15">
      <c r="A556" s="153"/>
      <c r="B556" s="153"/>
      <c r="C556" s="153"/>
      <c r="D556" s="153"/>
      <c r="E556" s="153"/>
      <c r="F556" s="153"/>
      <c r="G556" s="153"/>
      <c r="H556" s="153"/>
      <c r="I556" s="153"/>
      <c r="J556" s="153"/>
      <c r="K556" s="153"/>
      <c r="L556" s="153"/>
      <c r="M556" s="153"/>
      <c r="N556" s="153"/>
      <c r="O556" s="153"/>
      <c r="P556" s="153"/>
      <c r="Q556" s="153"/>
      <c r="R556" s="153"/>
      <c r="S556" s="153"/>
      <c r="T556" s="153"/>
      <c r="U556" s="153"/>
      <c r="V556" s="153"/>
      <c r="W556" s="153"/>
      <c r="X556" s="153"/>
      <c r="Y556" s="153"/>
      <c r="Z556" s="153"/>
      <c r="AA556" s="153"/>
      <c r="AB556" s="153"/>
    </row>
    <row r="557" spans="1:28" ht="15">
      <c r="A557" s="153"/>
      <c r="B557" s="153"/>
      <c r="C557" s="153"/>
      <c r="D557" s="153"/>
      <c r="E557" s="153"/>
      <c r="F557" s="153"/>
      <c r="G557" s="153"/>
      <c r="H557" s="153"/>
      <c r="I557" s="153"/>
      <c r="J557" s="153"/>
      <c r="K557" s="153"/>
      <c r="L557" s="153"/>
      <c r="M557" s="153"/>
      <c r="N557" s="153"/>
      <c r="O557" s="153"/>
      <c r="P557" s="153"/>
      <c r="Q557" s="153"/>
      <c r="R557" s="153"/>
      <c r="S557" s="153"/>
      <c r="T557" s="153"/>
      <c r="U557" s="153"/>
      <c r="V557" s="153"/>
      <c r="W557" s="153"/>
      <c r="X557" s="153"/>
      <c r="Y557" s="153"/>
      <c r="Z557" s="153"/>
      <c r="AA557" s="153"/>
      <c r="AB557" s="153"/>
    </row>
    <row r="558" spans="1:28" ht="15">
      <c r="A558" s="153"/>
      <c r="B558" s="153"/>
      <c r="C558" s="153"/>
      <c r="D558" s="153"/>
      <c r="E558" s="153"/>
      <c r="F558" s="153"/>
      <c r="G558" s="153"/>
      <c r="H558" s="153"/>
      <c r="I558" s="153"/>
      <c r="J558" s="153"/>
      <c r="K558" s="153"/>
      <c r="L558" s="153"/>
      <c r="M558" s="153"/>
      <c r="N558" s="153"/>
      <c r="O558" s="153"/>
      <c r="P558" s="153"/>
      <c r="Q558" s="153"/>
      <c r="R558" s="153"/>
      <c r="S558" s="153"/>
      <c r="T558" s="153"/>
      <c r="U558" s="153"/>
      <c r="V558" s="153"/>
      <c r="W558" s="153"/>
      <c r="X558" s="153"/>
      <c r="Y558" s="153"/>
      <c r="Z558" s="153"/>
      <c r="AA558" s="153"/>
      <c r="AB558" s="153"/>
    </row>
    <row r="559" spans="1:28" ht="15">
      <c r="A559" s="153"/>
      <c r="B559" s="153"/>
      <c r="C559" s="153"/>
      <c r="D559" s="153"/>
      <c r="E559" s="153"/>
      <c r="F559" s="153"/>
      <c r="G559" s="153"/>
      <c r="H559" s="153"/>
      <c r="I559" s="153"/>
      <c r="J559" s="153"/>
      <c r="K559" s="153"/>
      <c r="L559" s="153"/>
      <c r="M559" s="153"/>
      <c r="N559" s="153"/>
      <c r="O559" s="153"/>
      <c r="P559" s="153"/>
      <c r="Q559" s="153"/>
      <c r="R559" s="153"/>
      <c r="S559" s="153"/>
      <c r="T559" s="153"/>
      <c r="U559" s="153"/>
      <c r="V559" s="153"/>
      <c r="W559" s="153"/>
      <c r="X559" s="153"/>
      <c r="Y559" s="153"/>
      <c r="Z559" s="153"/>
      <c r="AA559" s="153"/>
      <c r="AB559" s="153"/>
    </row>
    <row r="560" spans="1:28" ht="15">
      <c r="A560" s="153"/>
      <c r="B560" s="153"/>
      <c r="C560" s="153"/>
      <c r="D560" s="153"/>
      <c r="E560" s="153"/>
      <c r="F560" s="153"/>
      <c r="G560" s="153"/>
      <c r="H560" s="153"/>
      <c r="I560" s="153"/>
      <c r="J560" s="153"/>
      <c r="K560" s="153"/>
      <c r="L560" s="153"/>
      <c r="M560" s="153"/>
      <c r="N560" s="153"/>
      <c r="O560" s="153"/>
      <c r="P560" s="153"/>
      <c r="Q560" s="153"/>
      <c r="R560" s="153"/>
      <c r="S560" s="153"/>
      <c r="T560" s="153"/>
      <c r="U560" s="153"/>
      <c r="V560" s="153"/>
      <c r="W560" s="153"/>
      <c r="X560" s="153"/>
      <c r="Y560" s="153"/>
      <c r="Z560" s="153"/>
      <c r="AA560" s="153"/>
      <c r="AB560" s="153"/>
    </row>
    <row r="561" spans="1:28" ht="15">
      <c r="A561" s="153"/>
      <c r="B561" s="153"/>
      <c r="C561" s="153"/>
      <c r="D561" s="153"/>
      <c r="E561" s="153"/>
      <c r="F561" s="153"/>
      <c r="G561" s="153"/>
      <c r="H561" s="153"/>
      <c r="I561" s="153"/>
      <c r="J561" s="153"/>
      <c r="K561" s="153"/>
      <c r="L561" s="153"/>
      <c r="M561" s="153"/>
      <c r="N561" s="153"/>
      <c r="O561" s="153"/>
      <c r="P561" s="153"/>
      <c r="Q561" s="153"/>
      <c r="R561" s="153"/>
      <c r="S561" s="153"/>
      <c r="T561" s="153"/>
      <c r="U561" s="153"/>
      <c r="V561" s="153"/>
      <c r="W561" s="153"/>
      <c r="X561" s="153"/>
      <c r="Y561" s="153"/>
      <c r="Z561" s="153"/>
      <c r="AA561" s="153"/>
      <c r="AB561" s="153"/>
    </row>
    <row r="562" spans="1:28" ht="15">
      <c r="A562" s="153"/>
      <c r="B562" s="153"/>
      <c r="C562" s="153"/>
      <c r="D562" s="153"/>
      <c r="E562" s="153"/>
      <c r="F562" s="153"/>
      <c r="G562" s="153"/>
      <c r="H562" s="153"/>
      <c r="I562" s="153"/>
      <c r="J562" s="153"/>
      <c r="K562" s="153"/>
      <c r="L562" s="153"/>
      <c r="M562" s="153"/>
      <c r="N562" s="153"/>
      <c r="O562" s="153"/>
      <c r="P562" s="153"/>
      <c r="Q562" s="153"/>
      <c r="R562" s="153"/>
      <c r="S562" s="153"/>
      <c r="T562" s="153"/>
      <c r="U562" s="153"/>
      <c r="V562" s="153"/>
      <c r="W562" s="153"/>
      <c r="X562" s="153"/>
      <c r="Y562" s="153"/>
      <c r="Z562" s="153"/>
      <c r="AA562" s="153"/>
      <c r="AB562" s="153"/>
    </row>
    <row r="563" spans="1:28" ht="15">
      <c r="A563" s="153"/>
      <c r="B563" s="153"/>
      <c r="C563" s="153"/>
      <c r="D563" s="153"/>
      <c r="E563" s="153"/>
      <c r="F563" s="153"/>
      <c r="G563" s="153"/>
      <c r="H563" s="153"/>
      <c r="I563" s="153"/>
      <c r="J563" s="153"/>
      <c r="K563" s="153"/>
      <c r="L563" s="153"/>
      <c r="M563" s="153"/>
      <c r="N563" s="153"/>
      <c r="O563" s="153"/>
      <c r="P563" s="153"/>
      <c r="Q563" s="153"/>
      <c r="R563" s="153"/>
      <c r="S563" s="153"/>
      <c r="T563" s="153"/>
      <c r="U563" s="153"/>
      <c r="V563" s="153"/>
      <c r="W563" s="153"/>
      <c r="X563" s="153"/>
      <c r="Y563" s="153"/>
      <c r="Z563" s="153"/>
      <c r="AA563" s="153"/>
      <c r="AB563" s="153"/>
    </row>
    <row r="564" spans="1:28" ht="15">
      <c r="A564" s="153"/>
      <c r="B564" s="153"/>
      <c r="C564" s="153"/>
      <c r="D564" s="153"/>
      <c r="E564" s="153"/>
      <c r="F564" s="153"/>
      <c r="G564" s="153"/>
      <c r="H564" s="153"/>
      <c r="I564" s="153"/>
      <c r="J564" s="153"/>
      <c r="K564" s="153"/>
      <c r="L564" s="153"/>
      <c r="M564" s="153"/>
      <c r="N564" s="153"/>
      <c r="O564" s="153"/>
      <c r="P564" s="153"/>
      <c r="Q564" s="153"/>
      <c r="R564" s="153"/>
      <c r="S564" s="153"/>
      <c r="T564" s="153"/>
      <c r="U564" s="153"/>
      <c r="V564" s="153"/>
      <c r="W564" s="153"/>
      <c r="X564" s="153"/>
      <c r="Y564" s="153"/>
      <c r="Z564" s="153"/>
      <c r="AA564" s="153"/>
      <c r="AB564" s="153"/>
    </row>
    <row r="565" spans="1:28" ht="15">
      <c r="A565" s="153"/>
      <c r="B565" s="153"/>
      <c r="C565" s="153"/>
      <c r="D565" s="153"/>
      <c r="E565" s="153"/>
      <c r="F565" s="153"/>
      <c r="G565" s="153"/>
      <c r="H565" s="153"/>
      <c r="I565" s="153"/>
      <c r="J565" s="153"/>
      <c r="K565" s="153"/>
      <c r="L565" s="153"/>
      <c r="M565" s="153"/>
      <c r="N565" s="153"/>
      <c r="O565" s="153"/>
      <c r="P565" s="153"/>
      <c r="Q565" s="153"/>
      <c r="R565" s="153"/>
      <c r="S565" s="153"/>
      <c r="T565" s="153"/>
      <c r="U565" s="153"/>
      <c r="V565" s="153"/>
      <c r="W565" s="153"/>
      <c r="X565" s="153"/>
      <c r="Y565" s="153"/>
      <c r="Z565" s="153"/>
      <c r="AA565" s="153"/>
      <c r="AB565" s="153"/>
    </row>
    <row r="566" spans="1:28" ht="15">
      <c r="A566" s="153"/>
      <c r="B566" s="153"/>
      <c r="C566" s="153"/>
      <c r="D566" s="153"/>
      <c r="E566" s="153"/>
      <c r="F566" s="153"/>
      <c r="G566" s="153"/>
      <c r="H566" s="153"/>
      <c r="I566" s="153"/>
      <c r="J566" s="153"/>
      <c r="K566" s="153"/>
      <c r="L566" s="153"/>
      <c r="M566" s="153"/>
      <c r="N566" s="153"/>
      <c r="O566" s="153"/>
      <c r="P566" s="153"/>
      <c r="Q566" s="153"/>
      <c r="R566" s="153"/>
      <c r="S566" s="153"/>
      <c r="T566" s="153"/>
      <c r="U566" s="153"/>
      <c r="V566" s="153"/>
      <c r="W566" s="153"/>
      <c r="X566" s="153"/>
      <c r="Y566" s="153"/>
      <c r="Z566" s="153"/>
      <c r="AA566" s="153"/>
      <c r="AB566" s="153"/>
    </row>
    <row r="567" spans="1:28" ht="15">
      <c r="A567" s="153"/>
      <c r="B567" s="153"/>
      <c r="C567" s="153"/>
      <c r="D567" s="153"/>
      <c r="E567" s="153"/>
      <c r="F567" s="153"/>
      <c r="G567" s="153"/>
      <c r="H567" s="153"/>
      <c r="I567" s="153"/>
      <c r="J567" s="153"/>
      <c r="K567" s="153"/>
      <c r="L567" s="153"/>
      <c r="M567" s="153"/>
      <c r="N567" s="153"/>
      <c r="O567" s="153"/>
      <c r="P567" s="153"/>
      <c r="Q567" s="153"/>
      <c r="R567" s="153"/>
      <c r="S567" s="153"/>
      <c r="T567" s="153"/>
      <c r="U567" s="153"/>
      <c r="V567" s="153"/>
      <c r="W567" s="153"/>
      <c r="X567" s="153"/>
      <c r="Y567" s="153"/>
      <c r="Z567" s="153"/>
      <c r="AA567" s="153"/>
      <c r="AB567" s="153"/>
    </row>
    <row r="568" spans="1:28" ht="15">
      <c r="A568" s="153"/>
      <c r="B568" s="153"/>
      <c r="C568" s="153"/>
      <c r="D568" s="153"/>
      <c r="E568" s="153"/>
      <c r="F568" s="153"/>
      <c r="G568" s="153"/>
      <c r="H568" s="153"/>
      <c r="I568" s="153"/>
      <c r="J568" s="153"/>
      <c r="K568" s="153"/>
      <c r="L568" s="153"/>
      <c r="M568" s="153"/>
      <c r="N568" s="153"/>
      <c r="O568" s="153"/>
      <c r="P568" s="153"/>
      <c r="Q568" s="153"/>
      <c r="R568" s="153"/>
      <c r="S568" s="153"/>
      <c r="T568" s="153"/>
      <c r="U568" s="153"/>
      <c r="V568" s="153"/>
      <c r="W568" s="153"/>
      <c r="X568" s="153"/>
      <c r="Y568" s="153"/>
      <c r="Z568" s="153"/>
      <c r="AA568" s="153"/>
      <c r="AB568" s="153"/>
    </row>
    <row r="569" spans="1:28" ht="15">
      <c r="A569" s="153"/>
      <c r="B569" s="153"/>
      <c r="C569" s="153"/>
      <c r="D569" s="153"/>
      <c r="E569" s="153"/>
      <c r="F569" s="153"/>
      <c r="G569" s="153"/>
      <c r="H569" s="153"/>
      <c r="I569" s="153"/>
      <c r="J569" s="153"/>
      <c r="K569" s="153"/>
      <c r="L569" s="153"/>
      <c r="M569" s="153"/>
      <c r="N569" s="153"/>
      <c r="O569" s="153"/>
      <c r="P569" s="153"/>
      <c r="Q569" s="153"/>
      <c r="R569" s="153"/>
      <c r="S569" s="153"/>
      <c r="T569" s="153"/>
      <c r="U569" s="153"/>
      <c r="V569" s="153"/>
      <c r="W569" s="153"/>
      <c r="X569" s="153"/>
      <c r="Y569" s="153"/>
      <c r="Z569" s="153"/>
      <c r="AA569" s="153"/>
      <c r="AB569" s="153"/>
    </row>
    <row r="570" spans="1:28" ht="15">
      <c r="A570" s="153"/>
      <c r="B570" s="153"/>
      <c r="C570" s="153"/>
      <c r="D570" s="153"/>
      <c r="E570" s="153"/>
      <c r="F570" s="153"/>
      <c r="G570" s="153"/>
      <c r="H570" s="153"/>
      <c r="I570" s="153"/>
      <c r="J570" s="153"/>
      <c r="K570" s="153"/>
      <c r="L570" s="153"/>
      <c r="M570" s="153"/>
      <c r="N570" s="153"/>
      <c r="O570" s="153"/>
      <c r="P570" s="153"/>
      <c r="Q570" s="153"/>
      <c r="R570" s="153"/>
      <c r="S570" s="153"/>
      <c r="T570" s="153"/>
      <c r="U570" s="153"/>
      <c r="V570" s="153"/>
      <c r="W570" s="153"/>
      <c r="X570" s="153"/>
      <c r="Y570" s="153"/>
      <c r="Z570" s="153"/>
      <c r="AA570" s="153"/>
      <c r="AB570" s="153"/>
    </row>
    <row r="571" spans="1:28" ht="15">
      <c r="A571" s="153"/>
      <c r="B571" s="153"/>
      <c r="C571" s="153"/>
      <c r="D571" s="153"/>
      <c r="E571" s="153"/>
      <c r="F571" s="153"/>
      <c r="G571" s="153"/>
      <c r="H571" s="153"/>
      <c r="I571" s="153"/>
      <c r="J571" s="153"/>
      <c r="K571" s="153"/>
      <c r="L571" s="153"/>
      <c r="M571" s="153"/>
      <c r="N571" s="153"/>
      <c r="O571" s="153"/>
      <c r="P571" s="153"/>
      <c r="Q571" s="153"/>
      <c r="R571" s="153"/>
      <c r="S571" s="153"/>
      <c r="T571" s="153"/>
      <c r="U571" s="153"/>
      <c r="V571" s="153"/>
      <c r="W571" s="153"/>
      <c r="X571" s="153"/>
      <c r="Y571" s="153"/>
      <c r="Z571" s="153"/>
      <c r="AA571" s="153"/>
      <c r="AB571" s="153"/>
    </row>
    <row r="572" spans="1:28" ht="15">
      <c r="A572" s="153"/>
      <c r="B572" s="153"/>
      <c r="C572" s="153"/>
      <c r="D572" s="153"/>
      <c r="E572" s="153"/>
      <c r="F572" s="153"/>
      <c r="G572" s="153"/>
      <c r="H572" s="153"/>
      <c r="I572" s="153"/>
      <c r="J572" s="153"/>
      <c r="K572" s="153"/>
      <c r="L572" s="153"/>
      <c r="M572" s="153"/>
      <c r="N572" s="153"/>
      <c r="O572" s="153"/>
      <c r="P572" s="153"/>
      <c r="Q572" s="153"/>
      <c r="R572" s="153"/>
      <c r="S572" s="153"/>
      <c r="T572" s="153"/>
      <c r="U572" s="153"/>
      <c r="V572" s="153"/>
      <c r="W572" s="153"/>
      <c r="X572" s="153"/>
      <c r="Y572" s="153"/>
      <c r="Z572" s="153"/>
      <c r="AA572" s="153"/>
      <c r="AB572" s="153"/>
    </row>
    <row r="573" spans="1:28" ht="15">
      <c r="A573" s="153"/>
      <c r="B573" s="153"/>
      <c r="C573" s="153"/>
      <c r="D573" s="153"/>
      <c r="E573" s="153"/>
      <c r="F573" s="153"/>
      <c r="G573" s="153"/>
      <c r="H573" s="153"/>
      <c r="I573" s="153"/>
      <c r="J573" s="153"/>
      <c r="K573" s="153"/>
      <c r="L573" s="153"/>
      <c r="M573" s="153"/>
      <c r="N573" s="153"/>
      <c r="O573" s="153"/>
      <c r="P573" s="153"/>
      <c r="Q573" s="153"/>
      <c r="R573" s="153"/>
      <c r="S573" s="153"/>
      <c r="T573" s="153"/>
      <c r="U573" s="153"/>
      <c r="V573" s="153"/>
      <c r="W573" s="153"/>
      <c r="X573" s="153"/>
      <c r="Y573" s="153"/>
      <c r="Z573" s="153"/>
      <c r="AA573" s="153"/>
      <c r="AB573" s="153"/>
    </row>
    <row r="574" spans="1:28" ht="15">
      <c r="A574" s="153"/>
      <c r="B574" s="153"/>
      <c r="C574" s="153"/>
      <c r="D574" s="153"/>
      <c r="E574" s="153"/>
      <c r="F574" s="153"/>
      <c r="G574" s="153"/>
      <c r="H574" s="153"/>
      <c r="I574" s="153"/>
      <c r="J574" s="153"/>
      <c r="K574" s="153"/>
      <c r="L574" s="153"/>
      <c r="M574" s="153"/>
      <c r="N574" s="153"/>
      <c r="O574" s="153"/>
      <c r="P574" s="153"/>
      <c r="Q574" s="153"/>
      <c r="R574" s="153"/>
      <c r="S574" s="153"/>
      <c r="T574" s="153"/>
      <c r="U574" s="153"/>
      <c r="V574" s="153"/>
      <c r="W574" s="153"/>
      <c r="X574" s="153"/>
      <c r="Y574" s="153"/>
      <c r="Z574" s="153"/>
      <c r="AA574" s="153"/>
      <c r="AB574" s="153"/>
    </row>
    <row r="575" spans="1:28" ht="15">
      <c r="A575" s="153"/>
      <c r="B575" s="153"/>
      <c r="C575" s="153"/>
      <c r="D575" s="153"/>
      <c r="E575" s="153"/>
      <c r="F575" s="153"/>
      <c r="G575" s="153"/>
      <c r="H575" s="153"/>
      <c r="I575" s="153"/>
      <c r="J575" s="153"/>
      <c r="K575" s="153"/>
      <c r="L575" s="153"/>
      <c r="M575" s="153"/>
      <c r="N575" s="153"/>
      <c r="O575" s="153"/>
      <c r="P575" s="153"/>
      <c r="Q575" s="153"/>
      <c r="R575" s="153"/>
      <c r="S575" s="153"/>
      <c r="T575" s="153"/>
      <c r="U575" s="153"/>
      <c r="V575" s="153"/>
      <c r="W575" s="153"/>
      <c r="X575" s="153"/>
      <c r="Y575" s="153"/>
      <c r="Z575" s="153"/>
      <c r="AA575" s="153"/>
      <c r="AB575" s="153"/>
    </row>
    <row r="576" spans="1:28" ht="15">
      <c r="A576" s="153"/>
      <c r="B576" s="153"/>
      <c r="C576" s="153"/>
      <c r="D576" s="153"/>
      <c r="E576" s="153"/>
      <c r="F576" s="153"/>
      <c r="G576" s="153"/>
      <c r="H576" s="153"/>
      <c r="I576" s="153"/>
      <c r="J576" s="153"/>
      <c r="K576" s="153"/>
      <c r="L576" s="153"/>
      <c r="M576" s="153"/>
      <c r="N576" s="153"/>
      <c r="O576" s="153"/>
      <c r="P576" s="153"/>
      <c r="Q576" s="153"/>
      <c r="R576" s="153"/>
      <c r="S576" s="153"/>
      <c r="T576" s="153"/>
      <c r="U576" s="153"/>
      <c r="V576" s="153"/>
      <c r="W576" s="153"/>
      <c r="X576" s="153"/>
      <c r="Y576" s="153"/>
      <c r="Z576" s="153"/>
      <c r="AA576" s="153"/>
      <c r="AB576" s="153"/>
    </row>
    <row r="577" spans="1:28" ht="15">
      <c r="A577" s="153"/>
      <c r="B577" s="153"/>
      <c r="C577" s="153"/>
      <c r="D577" s="153"/>
      <c r="E577" s="153"/>
      <c r="F577" s="153"/>
      <c r="G577" s="153"/>
      <c r="H577" s="153"/>
      <c r="I577" s="153"/>
      <c r="J577" s="153"/>
      <c r="K577" s="153"/>
      <c r="L577" s="153"/>
      <c r="M577" s="153"/>
      <c r="N577" s="153"/>
      <c r="O577" s="153"/>
      <c r="P577" s="153"/>
      <c r="Q577" s="153"/>
      <c r="R577" s="153"/>
      <c r="S577" s="153"/>
      <c r="T577" s="153"/>
      <c r="U577" s="153"/>
      <c r="V577" s="153"/>
      <c r="W577" s="153"/>
      <c r="X577" s="153"/>
      <c r="Y577" s="153"/>
      <c r="Z577" s="153"/>
      <c r="AA577" s="153"/>
      <c r="AB577" s="153"/>
    </row>
    <row r="578" spans="1:28" ht="15">
      <c r="A578" s="153"/>
      <c r="B578" s="153"/>
      <c r="C578" s="153"/>
      <c r="D578" s="153"/>
      <c r="E578" s="153"/>
      <c r="F578" s="153"/>
      <c r="G578" s="153"/>
      <c r="H578" s="153"/>
      <c r="I578" s="153"/>
      <c r="J578" s="153"/>
      <c r="K578" s="153"/>
      <c r="L578" s="153"/>
      <c r="M578" s="153"/>
      <c r="N578" s="153"/>
      <c r="O578" s="153"/>
      <c r="P578" s="153"/>
      <c r="Q578" s="153"/>
      <c r="R578" s="153"/>
      <c r="S578" s="153"/>
      <c r="T578" s="153"/>
      <c r="U578" s="153"/>
      <c r="V578" s="153"/>
      <c r="W578" s="153"/>
      <c r="X578" s="153"/>
      <c r="Y578" s="153"/>
      <c r="Z578" s="153"/>
      <c r="AA578" s="153"/>
      <c r="AB578" s="153"/>
    </row>
    <row r="579" spans="1:28" ht="15">
      <c r="A579" s="153"/>
      <c r="B579" s="153"/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</row>
    <row r="580" spans="1:28" ht="15">
      <c r="A580" s="153"/>
      <c r="B580" s="153"/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  <c r="S580" s="153"/>
      <c r="T580" s="153"/>
      <c r="U580" s="153"/>
      <c r="V580" s="153"/>
      <c r="W580" s="153"/>
      <c r="X580" s="153"/>
      <c r="Y580" s="153"/>
      <c r="Z580" s="153"/>
      <c r="AA580" s="153"/>
      <c r="AB580" s="153"/>
    </row>
    <row r="581" spans="1:28" ht="15">
      <c r="A581" s="153"/>
      <c r="B581" s="153"/>
      <c r="C581" s="153"/>
      <c r="D581" s="153"/>
      <c r="E581" s="153"/>
      <c r="F581" s="153"/>
      <c r="G581" s="153"/>
      <c r="H581" s="153"/>
      <c r="I581" s="153"/>
      <c r="J581" s="153"/>
      <c r="K581" s="153"/>
      <c r="L581" s="153"/>
      <c r="M581" s="153"/>
      <c r="N581" s="153"/>
      <c r="O581" s="153"/>
      <c r="P581" s="153"/>
      <c r="Q581" s="153"/>
      <c r="R581" s="153"/>
      <c r="S581" s="153"/>
      <c r="T581" s="153"/>
      <c r="U581" s="153"/>
      <c r="V581" s="153"/>
      <c r="W581" s="153"/>
      <c r="X581" s="153"/>
      <c r="Y581" s="153"/>
      <c r="Z581" s="153"/>
      <c r="AA581" s="153"/>
      <c r="AB581" s="153"/>
    </row>
    <row r="582" spans="1:28" ht="15">
      <c r="A582" s="153"/>
      <c r="B582" s="153"/>
      <c r="C582" s="153"/>
      <c r="D582" s="153"/>
      <c r="E582" s="153"/>
      <c r="F582" s="153"/>
      <c r="G582" s="153"/>
      <c r="H582" s="153"/>
      <c r="I582" s="153"/>
      <c r="J582" s="153"/>
      <c r="K582" s="153"/>
      <c r="L582" s="153"/>
      <c r="M582" s="153"/>
      <c r="N582" s="153"/>
      <c r="O582" s="153"/>
      <c r="P582" s="153"/>
      <c r="Q582" s="153"/>
      <c r="R582" s="153"/>
      <c r="S582" s="153"/>
      <c r="T582" s="153"/>
      <c r="U582" s="153"/>
      <c r="V582" s="153"/>
      <c r="W582" s="153"/>
      <c r="X582" s="153"/>
      <c r="Y582" s="153"/>
      <c r="Z582" s="153"/>
      <c r="AA582" s="153"/>
      <c r="AB582" s="153"/>
    </row>
    <row r="583" spans="1:28" ht="15">
      <c r="A583" s="153"/>
      <c r="B583" s="153"/>
      <c r="C583" s="153"/>
      <c r="D583" s="153"/>
      <c r="E583" s="153"/>
      <c r="F583" s="153"/>
      <c r="G583" s="153"/>
      <c r="H583" s="153"/>
      <c r="I583" s="153"/>
      <c r="J583" s="153"/>
      <c r="K583" s="153"/>
      <c r="L583" s="153"/>
      <c r="M583" s="153"/>
      <c r="N583" s="153"/>
      <c r="O583" s="153"/>
      <c r="P583" s="153"/>
      <c r="Q583" s="153"/>
      <c r="R583" s="153"/>
      <c r="S583" s="153"/>
      <c r="T583" s="153"/>
      <c r="U583" s="153"/>
      <c r="V583" s="153"/>
      <c r="W583" s="153"/>
      <c r="X583" s="153"/>
      <c r="Y583" s="153"/>
      <c r="Z583" s="153"/>
      <c r="AA583" s="153"/>
      <c r="AB583" s="153"/>
    </row>
    <row r="584" spans="1:28" ht="15">
      <c r="A584" s="153"/>
      <c r="B584" s="153"/>
      <c r="C584" s="153"/>
      <c r="D584" s="153"/>
      <c r="E584" s="153"/>
      <c r="F584" s="153"/>
      <c r="G584" s="153"/>
      <c r="H584" s="153"/>
      <c r="I584" s="153"/>
      <c r="J584" s="153"/>
      <c r="K584" s="153"/>
      <c r="L584" s="153"/>
      <c r="M584" s="153"/>
      <c r="N584" s="153"/>
      <c r="O584" s="153"/>
      <c r="P584" s="153"/>
      <c r="Q584" s="153"/>
      <c r="R584" s="153"/>
      <c r="S584" s="153"/>
      <c r="T584" s="153"/>
      <c r="U584" s="153"/>
      <c r="V584" s="153"/>
      <c r="W584" s="153"/>
      <c r="X584" s="153"/>
      <c r="Y584" s="153"/>
      <c r="Z584" s="153"/>
      <c r="AA584" s="153"/>
      <c r="AB584" s="153"/>
    </row>
    <row r="585" spans="1:28" ht="15">
      <c r="A585" s="153"/>
      <c r="B585" s="153"/>
      <c r="C585" s="153"/>
      <c r="D585" s="153"/>
      <c r="E585" s="153"/>
      <c r="F585" s="153"/>
      <c r="G585" s="153"/>
      <c r="H585" s="153"/>
      <c r="I585" s="153"/>
      <c r="J585" s="153"/>
      <c r="K585" s="153"/>
      <c r="L585" s="153"/>
      <c r="M585" s="153"/>
      <c r="N585" s="153"/>
      <c r="O585" s="153"/>
      <c r="P585" s="153"/>
      <c r="Q585" s="153"/>
      <c r="R585" s="153"/>
      <c r="S585" s="153"/>
      <c r="T585" s="153"/>
      <c r="U585" s="153"/>
      <c r="V585" s="153"/>
      <c r="W585" s="153"/>
      <c r="X585" s="153"/>
      <c r="Y585" s="153"/>
      <c r="Z585" s="153"/>
      <c r="AA585" s="153"/>
      <c r="AB585" s="153"/>
    </row>
    <row r="586" spans="1:28" ht="15">
      <c r="A586" s="153"/>
      <c r="B586" s="153"/>
      <c r="C586" s="153"/>
      <c r="D586" s="153"/>
      <c r="E586" s="153"/>
      <c r="F586" s="153"/>
      <c r="G586" s="153"/>
      <c r="H586" s="153"/>
      <c r="I586" s="153"/>
      <c r="J586" s="153"/>
      <c r="K586" s="153"/>
      <c r="L586" s="153"/>
      <c r="M586" s="153"/>
      <c r="N586" s="153"/>
      <c r="O586" s="153"/>
      <c r="P586" s="153"/>
      <c r="Q586" s="153"/>
      <c r="R586" s="153"/>
      <c r="S586" s="153"/>
      <c r="T586" s="153"/>
      <c r="U586" s="153"/>
      <c r="V586" s="153"/>
      <c r="W586" s="153"/>
      <c r="X586" s="153"/>
      <c r="Y586" s="153"/>
      <c r="Z586" s="153"/>
      <c r="AA586" s="153"/>
      <c r="AB586" s="153"/>
    </row>
    <row r="587" spans="1:28" ht="15">
      <c r="A587" s="153"/>
      <c r="B587" s="153"/>
      <c r="C587" s="153"/>
      <c r="D587" s="153"/>
      <c r="E587" s="153"/>
      <c r="F587" s="153"/>
      <c r="G587" s="153"/>
      <c r="H587" s="153"/>
      <c r="I587" s="153"/>
      <c r="J587" s="153"/>
      <c r="K587" s="153"/>
      <c r="L587" s="153"/>
      <c r="M587" s="153"/>
      <c r="N587" s="153"/>
      <c r="O587" s="153"/>
      <c r="P587" s="153"/>
      <c r="Q587" s="153"/>
      <c r="R587" s="153"/>
      <c r="S587" s="153"/>
      <c r="T587" s="153"/>
      <c r="U587" s="153"/>
      <c r="V587" s="153"/>
      <c r="W587" s="153"/>
      <c r="X587" s="153"/>
      <c r="Y587" s="153"/>
      <c r="Z587" s="153"/>
      <c r="AA587" s="153"/>
      <c r="AB587" s="153"/>
    </row>
    <row r="588" spans="1:28" ht="15">
      <c r="A588" s="153"/>
      <c r="B588" s="153"/>
      <c r="C588" s="153"/>
      <c r="D588" s="153"/>
      <c r="E588" s="153"/>
      <c r="F588" s="153"/>
      <c r="G588" s="153"/>
      <c r="H588" s="153"/>
      <c r="I588" s="153"/>
      <c r="J588" s="153"/>
      <c r="K588" s="153"/>
      <c r="L588" s="153"/>
      <c r="M588" s="153"/>
      <c r="N588" s="153"/>
      <c r="O588" s="153"/>
      <c r="P588" s="153"/>
      <c r="Q588" s="153"/>
      <c r="R588" s="153"/>
      <c r="S588" s="153"/>
      <c r="T588" s="153"/>
      <c r="U588" s="153"/>
      <c r="V588" s="153"/>
      <c r="W588" s="153"/>
      <c r="X588" s="153"/>
      <c r="Y588" s="153"/>
      <c r="Z588" s="153"/>
      <c r="AA588" s="153"/>
      <c r="AB588" s="153"/>
    </row>
    <row r="589" spans="1:28" ht="15">
      <c r="A589" s="153"/>
      <c r="B589" s="153"/>
      <c r="C589" s="153"/>
      <c r="D589" s="153"/>
      <c r="E589" s="153"/>
      <c r="F589" s="153"/>
      <c r="G589" s="153"/>
      <c r="H589" s="153"/>
      <c r="I589" s="153"/>
      <c r="J589" s="153"/>
      <c r="K589" s="153"/>
      <c r="L589" s="153"/>
      <c r="M589" s="153"/>
      <c r="N589" s="153"/>
      <c r="O589" s="153"/>
      <c r="P589" s="153"/>
      <c r="Q589" s="153"/>
      <c r="R589" s="153"/>
      <c r="S589" s="153"/>
      <c r="T589" s="153"/>
      <c r="U589" s="153"/>
      <c r="V589" s="153"/>
      <c r="W589" s="153"/>
      <c r="X589" s="153"/>
      <c r="Y589" s="153"/>
      <c r="Z589" s="153"/>
      <c r="AA589" s="153"/>
      <c r="AB589" s="153"/>
    </row>
    <row r="590" spans="1:28" ht="15">
      <c r="A590" s="153"/>
      <c r="B590" s="153"/>
      <c r="C590" s="153"/>
      <c r="D590" s="153"/>
      <c r="E590" s="153"/>
      <c r="F590" s="153"/>
      <c r="G590" s="153"/>
      <c r="H590" s="153"/>
      <c r="I590" s="153"/>
      <c r="J590" s="153"/>
      <c r="K590" s="153"/>
      <c r="L590" s="153"/>
      <c r="M590" s="153"/>
      <c r="N590" s="153"/>
      <c r="O590" s="153"/>
      <c r="P590" s="153"/>
      <c r="Q590" s="153"/>
      <c r="R590" s="153"/>
      <c r="S590" s="153"/>
      <c r="T590" s="153"/>
      <c r="U590" s="153"/>
      <c r="V590" s="153"/>
      <c r="W590" s="153"/>
      <c r="X590" s="153"/>
      <c r="Y590" s="153"/>
      <c r="Z590" s="153"/>
      <c r="AA590" s="153"/>
      <c r="AB590" s="153"/>
    </row>
    <row r="591" spans="1:28" ht="15">
      <c r="A591" s="153"/>
      <c r="B591" s="153"/>
      <c r="C591" s="153"/>
      <c r="D591" s="153"/>
      <c r="E591" s="153"/>
      <c r="F591" s="153"/>
      <c r="G591" s="153"/>
      <c r="H591" s="153"/>
      <c r="I591" s="153"/>
      <c r="J591" s="153"/>
      <c r="K591" s="153"/>
      <c r="L591" s="153"/>
      <c r="M591" s="153"/>
      <c r="N591" s="153"/>
      <c r="O591" s="153"/>
      <c r="P591" s="153"/>
      <c r="Q591" s="153"/>
      <c r="R591" s="153"/>
      <c r="S591" s="153"/>
      <c r="T591" s="153"/>
      <c r="U591" s="153"/>
      <c r="V591" s="153"/>
      <c r="W591" s="153"/>
      <c r="X591" s="153"/>
      <c r="Y591" s="153"/>
      <c r="Z591" s="153"/>
      <c r="AA591" s="153"/>
      <c r="AB591" s="153"/>
    </row>
    <row r="592" spans="1:28" ht="15">
      <c r="A592" s="153"/>
      <c r="B592" s="153"/>
      <c r="C592" s="153"/>
      <c r="D592" s="153"/>
      <c r="E592" s="153"/>
      <c r="F592" s="153"/>
      <c r="G592" s="153"/>
      <c r="H592" s="153"/>
      <c r="I592" s="153"/>
      <c r="J592" s="153"/>
      <c r="K592" s="153"/>
      <c r="L592" s="153"/>
      <c r="M592" s="153"/>
      <c r="N592" s="153"/>
      <c r="O592" s="153"/>
      <c r="P592" s="153"/>
      <c r="Q592" s="153"/>
      <c r="R592" s="153"/>
      <c r="S592" s="153"/>
      <c r="T592" s="153"/>
      <c r="U592" s="153"/>
      <c r="V592" s="153"/>
      <c r="W592" s="153"/>
      <c r="X592" s="153"/>
      <c r="Y592" s="153"/>
      <c r="Z592" s="153"/>
      <c r="AA592" s="153"/>
      <c r="AB592" s="153"/>
    </row>
    <row r="593" spans="1:28" ht="15">
      <c r="A593" s="153"/>
      <c r="B593" s="153"/>
      <c r="C593" s="153"/>
      <c r="D593" s="153"/>
      <c r="E593" s="153"/>
      <c r="F593" s="153"/>
      <c r="G593" s="153"/>
      <c r="H593" s="153"/>
      <c r="I593" s="153"/>
      <c r="J593" s="153"/>
      <c r="K593" s="153"/>
      <c r="L593" s="153"/>
      <c r="M593" s="153"/>
      <c r="N593" s="153"/>
      <c r="O593" s="153"/>
      <c r="P593" s="153"/>
      <c r="Q593" s="153"/>
      <c r="R593" s="153"/>
      <c r="S593" s="153"/>
      <c r="T593" s="153"/>
      <c r="U593" s="153"/>
      <c r="V593" s="153"/>
      <c r="W593" s="153"/>
      <c r="X593" s="153"/>
      <c r="Y593" s="153"/>
      <c r="Z593" s="153"/>
      <c r="AA593" s="153"/>
      <c r="AB593" s="153"/>
    </row>
    <row r="594" spans="1:28" ht="15">
      <c r="A594" s="153"/>
      <c r="B594" s="153"/>
      <c r="C594" s="153"/>
      <c r="D594" s="153"/>
      <c r="E594" s="153"/>
      <c r="F594" s="153"/>
      <c r="G594" s="153"/>
      <c r="H594" s="153"/>
      <c r="I594" s="153"/>
      <c r="J594" s="153"/>
      <c r="K594" s="153"/>
      <c r="L594" s="153"/>
      <c r="M594" s="153"/>
      <c r="N594" s="153"/>
      <c r="O594" s="153"/>
      <c r="P594" s="153"/>
      <c r="Q594" s="153"/>
      <c r="R594" s="153"/>
      <c r="S594" s="153"/>
      <c r="T594" s="153"/>
      <c r="U594" s="153"/>
      <c r="V594" s="153"/>
      <c r="W594" s="153"/>
      <c r="X594" s="153"/>
      <c r="Y594" s="153"/>
      <c r="Z594" s="153"/>
      <c r="AA594" s="153"/>
      <c r="AB594" s="153"/>
    </row>
    <row r="595" spans="1:28" ht="15">
      <c r="A595" s="153"/>
      <c r="B595" s="153"/>
      <c r="C595" s="153"/>
      <c r="D595" s="153"/>
      <c r="E595" s="153"/>
      <c r="F595" s="153"/>
      <c r="G595" s="153"/>
      <c r="H595" s="153"/>
      <c r="I595" s="153"/>
      <c r="J595" s="153"/>
      <c r="K595" s="153"/>
      <c r="L595" s="153"/>
      <c r="M595" s="153"/>
      <c r="N595" s="153"/>
      <c r="O595" s="153"/>
      <c r="P595" s="153"/>
      <c r="Q595" s="153"/>
      <c r="R595" s="153"/>
      <c r="S595" s="153"/>
      <c r="T595" s="153"/>
      <c r="U595" s="153"/>
      <c r="V595" s="153"/>
      <c r="W595" s="153"/>
      <c r="X595" s="153"/>
      <c r="Y595" s="153"/>
      <c r="Z595" s="153"/>
      <c r="AA595" s="153"/>
      <c r="AB595" s="153"/>
    </row>
    <row r="596" spans="1:28" ht="15">
      <c r="A596" s="153"/>
      <c r="B596" s="153"/>
      <c r="C596" s="153"/>
      <c r="D596" s="153"/>
      <c r="E596" s="153"/>
      <c r="F596" s="153"/>
      <c r="G596" s="153"/>
      <c r="H596" s="153"/>
      <c r="I596" s="153"/>
      <c r="J596" s="153"/>
      <c r="K596" s="153"/>
      <c r="L596" s="153"/>
      <c r="M596" s="153"/>
      <c r="N596" s="153"/>
      <c r="O596" s="153"/>
      <c r="P596" s="153"/>
      <c r="Q596" s="153"/>
      <c r="R596" s="153"/>
      <c r="S596" s="153"/>
      <c r="T596" s="153"/>
      <c r="U596" s="153"/>
      <c r="V596" s="153"/>
      <c r="W596" s="153"/>
      <c r="X596" s="153"/>
      <c r="Y596" s="153"/>
      <c r="Z596" s="153"/>
      <c r="AA596" s="153"/>
      <c r="AB596" s="153"/>
    </row>
    <row r="597" spans="1:28" ht="15">
      <c r="A597" s="153"/>
      <c r="B597" s="153"/>
      <c r="C597" s="153"/>
      <c r="D597" s="153"/>
      <c r="E597" s="153"/>
      <c r="F597" s="153"/>
      <c r="G597" s="153"/>
      <c r="H597" s="153"/>
      <c r="I597" s="153"/>
      <c r="J597" s="153"/>
      <c r="K597" s="153"/>
      <c r="L597" s="153"/>
      <c r="M597" s="153"/>
      <c r="N597" s="153"/>
      <c r="O597" s="153"/>
      <c r="P597" s="153"/>
      <c r="Q597" s="153"/>
      <c r="R597" s="153"/>
      <c r="S597" s="153"/>
      <c r="T597" s="153"/>
      <c r="U597" s="153"/>
      <c r="V597" s="153"/>
      <c r="W597" s="153"/>
      <c r="X597" s="153"/>
      <c r="Y597" s="153"/>
      <c r="Z597" s="153"/>
      <c r="AA597" s="153"/>
      <c r="AB597" s="153"/>
    </row>
    <row r="598" spans="1:28" ht="15">
      <c r="A598" s="153"/>
      <c r="B598" s="153"/>
      <c r="C598" s="153"/>
      <c r="D598" s="153"/>
      <c r="E598" s="153"/>
      <c r="F598" s="153"/>
      <c r="G598" s="153"/>
      <c r="H598" s="153"/>
      <c r="I598" s="153"/>
      <c r="J598" s="153"/>
      <c r="K598" s="153"/>
      <c r="L598" s="153"/>
      <c r="M598" s="153"/>
      <c r="N598" s="153"/>
      <c r="O598" s="153"/>
      <c r="P598" s="153"/>
      <c r="Q598" s="153"/>
      <c r="R598" s="153"/>
      <c r="S598" s="153"/>
      <c r="T598" s="153"/>
      <c r="U598" s="153"/>
      <c r="V598" s="153"/>
      <c r="W598" s="153"/>
      <c r="X598" s="153"/>
      <c r="Y598" s="153"/>
      <c r="Z598" s="153"/>
      <c r="AA598" s="153"/>
      <c r="AB598" s="153"/>
    </row>
    <row r="599" spans="1:28" ht="15">
      <c r="A599" s="153"/>
      <c r="B599" s="153"/>
      <c r="C599" s="153"/>
      <c r="D599" s="153"/>
      <c r="E599" s="153"/>
      <c r="F599" s="153"/>
      <c r="G599" s="153"/>
      <c r="H599" s="153"/>
      <c r="I599" s="153"/>
      <c r="J599" s="153"/>
      <c r="K599" s="153"/>
      <c r="L599" s="153"/>
      <c r="M599" s="153"/>
      <c r="N599" s="153"/>
      <c r="O599" s="153"/>
      <c r="P599" s="153"/>
      <c r="Q599" s="153"/>
      <c r="R599" s="153"/>
      <c r="S599" s="153"/>
      <c r="T599" s="153"/>
      <c r="U599" s="153"/>
      <c r="V599" s="153"/>
      <c r="W599" s="153"/>
      <c r="X599" s="153"/>
      <c r="Y599" s="153"/>
      <c r="Z599" s="153"/>
      <c r="AA599" s="153"/>
      <c r="AB599" s="153"/>
    </row>
    <row r="600" spans="1:28" ht="15">
      <c r="A600" s="153"/>
      <c r="B600" s="153"/>
      <c r="C600" s="153"/>
      <c r="D600" s="153"/>
      <c r="E600" s="153"/>
      <c r="F600" s="153"/>
      <c r="G600" s="153"/>
      <c r="H600" s="153"/>
      <c r="I600" s="153"/>
      <c r="J600" s="153"/>
      <c r="K600" s="153"/>
      <c r="L600" s="153"/>
      <c r="M600" s="153"/>
      <c r="N600" s="153"/>
      <c r="O600" s="153"/>
      <c r="P600" s="153"/>
      <c r="Q600" s="153"/>
      <c r="R600" s="153"/>
      <c r="S600" s="153"/>
      <c r="T600" s="153"/>
      <c r="U600" s="153"/>
      <c r="V600" s="153"/>
      <c r="W600" s="153"/>
      <c r="X600" s="153"/>
      <c r="Y600" s="153"/>
      <c r="Z600" s="153"/>
      <c r="AA600" s="153"/>
      <c r="AB600" s="153"/>
    </row>
    <row r="601" spans="1:28" ht="15">
      <c r="A601" s="153"/>
      <c r="B601" s="153"/>
      <c r="C601" s="153"/>
      <c r="D601" s="153"/>
      <c r="E601" s="153"/>
      <c r="F601" s="153"/>
      <c r="G601" s="153"/>
      <c r="H601" s="153"/>
      <c r="I601" s="153"/>
      <c r="J601" s="153"/>
      <c r="K601" s="153"/>
      <c r="L601" s="153"/>
      <c r="M601" s="153"/>
      <c r="N601" s="153"/>
      <c r="O601" s="153"/>
      <c r="P601" s="153"/>
      <c r="Q601" s="153"/>
      <c r="R601" s="153"/>
      <c r="S601" s="153"/>
      <c r="T601" s="153"/>
      <c r="U601" s="153"/>
      <c r="V601" s="153"/>
      <c r="W601" s="153"/>
      <c r="X601" s="153"/>
      <c r="Y601" s="153"/>
      <c r="Z601" s="153"/>
      <c r="AA601" s="153"/>
      <c r="AB601" s="153"/>
    </row>
    <row r="602" spans="1:28" ht="15">
      <c r="A602" s="153"/>
      <c r="B602" s="153"/>
      <c r="C602" s="153"/>
      <c r="D602" s="153"/>
      <c r="E602" s="153"/>
      <c r="F602" s="153"/>
      <c r="G602" s="153"/>
      <c r="H602" s="153"/>
      <c r="I602" s="153"/>
      <c r="J602" s="153"/>
      <c r="K602" s="153"/>
      <c r="L602" s="153"/>
      <c r="M602" s="153"/>
      <c r="N602" s="153"/>
      <c r="O602" s="153"/>
      <c r="P602" s="153"/>
      <c r="Q602" s="153"/>
      <c r="R602" s="153"/>
      <c r="S602" s="153"/>
      <c r="T602" s="153"/>
      <c r="U602" s="153"/>
      <c r="V602" s="153"/>
      <c r="W602" s="153"/>
      <c r="X602" s="153"/>
      <c r="Y602" s="153"/>
      <c r="Z602" s="153"/>
      <c r="AA602" s="153"/>
      <c r="AB602" s="153"/>
    </row>
    <row r="603" spans="1:28" ht="15">
      <c r="A603" s="153"/>
      <c r="B603" s="153"/>
      <c r="C603" s="153"/>
      <c r="D603" s="153"/>
      <c r="E603" s="153"/>
      <c r="F603" s="153"/>
      <c r="G603" s="153"/>
      <c r="H603" s="153"/>
      <c r="I603" s="153"/>
      <c r="J603" s="153"/>
      <c r="K603" s="153"/>
      <c r="L603" s="153"/>
      <c r="M603" s="153"/>
      <c r="N603" s="153"/>
      <c r="O603" s="153"/>
      <c r="P603" s="153"/>
      <c r="Q603" s="153"/>
      <c r="R603" s="153"/>
      <c r="S603" s="153"/>
      <c r="T603" s="153"/>
      <c r="U603" s="153"/>
      <c r="V603" s="153"/>
      <c r="W603" s="153"/>
      <c r="X603" s="153"/>
      <c r="Y603" s="153"/>
      <c r="Z603" s="153"/>
      <c r="AA603" s="153"/>
      <c r="AB603" s="153"/>
    </row>
    <row r="604" spans="1:28" ht="15">
      <c r="A604" s="153"/>
      <c r="B604" s="153"/>
      <c r="C604" s="153"/>
      <c r="D604" s="153"/>
      <c r="E604" s="153"/>
      <c r="F604" s="153"/>
      <c r="G604" s="153"/>
      <c r="H604" s="153"/>
      <c r="I604" s="153"/>
      <c r="J604" s="153"/>
      <c r="K604" s="153"/>
      <c r="L604" s="153"/>
      <c r="M604" s="153"/>
      <c r="N604" s="153"/>
      <c r="O604" s="153"/>
      <c r="P604" s="153"/>
      <c r="Q604" s="153"/>
      <c r="R604" s="153"/>
      <c r="S604" s="153"/>
      <c r="T604" s="153"/>
      <c r="U604" s="153"/>
      <c r="V604" s="153"/>
      <c r="W604" s="153"/>
      <c r="X604" s="153"/>
      <c r="Y604" s="153"/>
      <c r="Z604" s="153"/>
      <c r="AA604" s="153"/>
      <c r="AB604" s="153"/>
    </row>
    <row r="605" spans="1:28" ht="15">
      <c r="A605" s="153"/>
      <c r="B605" s="153"/>
      <c r="C605" s="153"/>
      <c r="D605" s="153"/>
      <c r="E605" s="153"/>
      <c r="F605" s="153"/>
      <c r="G605" s="153"/>
      <c r="H605" s="153"/>
      <c r="I605" s="153"/>
      <c r="J605" s="153"/>
      <c r="K605" s="153"/>
      <c r="L605" s="153"/>
      <c r="M605" s="153"/>
      <c r="N605" s="153"/>
      <c r="O605" s="153"/>
      <c r="P605" s="153"/>
      <c r="Q605" s="153"/>
      <c r="R605" s="153"/>
      <c r="S605" s="153"/>
      <c r="T605" s="153"/>
      <c r="U605" s="153"/>
      <c r="V605" s="153"/>
      <c r="W605" s="153"/>
      <c r="X605" s="153"/>
      <c r="Y605" s="153"/>
      <c r="Z605" s="153"/>
      <c r="AA605" s="153"/>
      <c r="AB605" s="153"/>
    </row>
    <row r="606" spans="1:28" ht="15">
      <c r="A606" s="153"/>
      <c r="B606" s="153"/>
      <c r="C606" s="153"/>
      <c r="D606" s="153"/>
      <c r="E606" s="153"/>
      <c r="F606" s="153"/>
      <c r="G606" s="153"/>
      <c r="H606" s="153"/>
      <c r="I606" s="153"/>
      <c r="J606" s="153"/>
      <c r="K606" s="153"/>
      <c r="L606" s="153"/>
      <c r="M606" s="153"/>
      <c r="N606" s="153"/>
      <c r="O606" s="153"/>
      <c r="P606" s="153"/>
      <c r="Q606" s="153"/>
      <c r="R606" s="153"/>
      <c r="S606" s="153"/>
      <c r="T606" s="153"/>
      <c r="U606" s="153"/>
      <c r="V606" s="153"/>
      <c r="W606" s="153"/>
      <c r="X606" s="153"/>
      <c r="Y606" s="153"/>
      <c r="Z606" s="153"/>
      <c r="AA606" s="153"/>
      <c r="AB606" s="153"/>
    </row>
    <row r="607" spans="1:28" ht="15">
      <c r="A607" s="153"/>
      <c r="B607" s="153"/>
      <c r="C607" s="153"/>
      <c r="D607" s="153"/>
      <c r="E607" s="153"/>
      <c r="F607" s="153"/>
      <c r="G607" s="153"/>
      <c r="H607" s="153"/>
      <c r="I607" s="153"/>
      <c r="J607" s="153"/>
      <c r="K607" s="153"/>
      <c r="L607" s="153"/>
      <c r="M607" s="153"/>
      <c r="N607" s="153"/>
      <c r="O607" s="153"/>
      <c r="P607" s="153"/>
      <c r="Q607" s="153"/>
      <c r="R607" s="153"/>
      <c r="S607" s="153"/>
      <c r="T607" s="153"/>
      <c r="U607" s="153"/>
      <c r="V607" s="153"/>
      <c r="W607" s="153"/>
      <c r="X607" s="153"/>
      <c r="Y607" s="153"/>
      <c r="Z607" s="153"/>
      <c r="AA607" s="153"/>
      <c r="AB607" s="153"/>
    </row>
    <row r="608" spans="1:28" ht="15">
      <c r="A608" s="153"/>
      <c r="B608" s="153"/>
      <c r="C608" s="153"/>
      <c r="D608" s="153"/>
      <c r="E608" s="153"/>
      <c r="F608" s="153"/>
      <c r="G608" s="153"/>
      <c r="H608" s="153"/>
      <c r="I608" s="153"/>
      <c r="J608" s="153"/>
      <c r="K608" s="153"/>
      <c r="L608" s="153"/>
      <c r="M608" s="153"/>
      <c r="N608" s="153"/>
      <c r="O608" s="153"/>
      <c r="P608" s="153"/>
      <c r="Q608" s="153"/>
      <c r="R608" s="153"/>
      <c r="S608" s="153"/>
      <c r="T608" s="153"/>
      <c r="U608" s="153"/>
      <c r="V608" s="153"/>
      <c r="W608" s="153"/>
      <c r="X608" s="153"/>
      <c r="Y608" s="153"/>
      <c r="Z608" s="153"/>
      <c r="AA608" s="153"/>
      <c r="AB608" s="153"/>
    </row>
    <row r="609" spans="1:28" ht="15">
      <c r="A609" s="153"/>
      <c r="B609" s="153"/>
      <c r="C609" s="153"/>
      <c r="D609" s="153"/>
      <c r="E609" s="153"/>
      <c r="F609" s="153"/>
      <c r="G609" s="153"/>
      <c r="H609" s="153"/>
      <c r="I609" s="153"/>
      <c r="J609" s="153"/>
      <c r="K609" s="153"/>
      <c r="L609" s="153"/>
      <c r="M609" s="153"/>
      <c r="N609" s="153"/>
      <c r="O609" s="153"/>
      <c r="P609" s="153"/>
      <c r="Q609" s="153"/>
      <c r="R609" s="153"/>
      <c r="S609" s="153"/>
      <c r="T609" s="153"/>
      <c r="U609" s="153"/>
      <c r="V609" s="153"/>
      <c r="W609" s="153"/>
      <c r="X609" s="153"/>
      <c r="Y609" s="153"/>
      <c r="Z609" s="153"/>
      <c r="AA609" s="153"/>
      <c r="AB609" s="153"/>
    </row>
    <row r="610" spans="1:28" ht="15">
      <c r="A610" s="153"/>
      <c r="B610" s="153"/>
      <c r="C610" s="153"/>
      <c r="D610" s="153"/>
      <c r="E610" s="153"/>
      <c r="F610" s="153"/>
      <c r="G610" s="153"/>
      <c r="H610" s="153"/>
      <c r="I610" s="153"/>
      <c r="J610" s="153"/>
      <c r="K610" s="153"/>
      <c r="L610" s="153"/>
      <c r="M610" s="153"/>
      <c r="N610" s="153"/>
      <c r="O610" s="153"/>
      <c r="P610" s="153"/>
      <c r="Q610" s="153"/>
      <c r="R610" s="153"/>
      <c r="S610" s="153"/>
      <c r="T610" s="153"/>
      <c r="U610" s="153"/>
      <c r="V610" s="153"/>
      <c r="W610" s="153"/>
      <c r="X610" s="153"/>
      <c r="Y610" s="153"/>
      <c r="Z610" s="153"/>
      <c r="AA610" s="153"/>
      <c r="AB610" s="153"/>
    </row>
    <row r="611" spans="1:28" ht="15">
      <c r="A611" s="153"/>
      <c r="B611" s="153"/>
      <c r="C611" s="153"/>
      <c r="D611" s="153"/>
      <c r="E611" s="153"/>
      <c r="F611" s="153"/>
      <c r="G611" s="153"/>
      <c r="H611" s="153"/>
      <c r="I611" s="153"/>
      <c r="J611" s="153"/>
      <c r="K611" s="153"/>
      <c r="L611" s="153"/>
      <c r="M611" s="153"/>
      <c r="N611" s="153"/>
      <c r="O611" s="153"/>
      <c r="P611" s="153"/>
      <c r="Q611" s="153"/>
      <c r="R611" s="153"/>
      <c r="S611" s="153"/>
      <c r="T611" s="153"/>
      <c r="U611" s="153"/>
      <c r="V611" s="153"/>
      <c r="W611" s="153"/>
      <c r="X611" s="153"/>
      <c r="Y611" s="153"/>
      <c r="Z611" s="153"/>
      <c r="AA611" s="153"/>
      <c r="AB611" s="153"/>
    </row>
    <row r="612" spans="1:28" ht="15">
      <c r="A612" s="153"/>
      <c r="B612" s="153"/>
      <c r="C612" s="153"/>
      <c r="D612" s="153"/>
      <c r="E612" s="153"/>
      <c r="F612" s="153"/>
      <c r="G612" s="153"/>
      <c r="H612" s="153"/>
      <c r="I612" s="153"/>
      <c r="J612" s="153"/>
      <c r="K612" s="153"/>
      <c r="L612" s="153"/>
      <c r="M612" s="153"/>
      <c r="N612" s="153"/>
      <c r="O612" s="153"/>
      <c r="P612" s="153"/>
      <c r="Q612" s="153"/>
      <c r="R612" s="153"/>
      <c r="S612" s="153"/>
      <c r="T612" s="153"/>
      <c r="U612" s="153"/>
      <c r="V612" s="153"/>
      <c r="W612" s="153"/>
      <c r="X612" s="153"/>
      <c r="Y612" s="153"/>
      <c r="Z612" s="153"/>
      <c r="AA612" s="153"/>
      <c r="AB612" s="153"/>
    </row>
    <row r="613" spans="1:28" ht="15">
      <c r="A613" s="153"/>
      <c r="B613" s="153"/>
      <c r="C613" s="153"/>
      <c r="D613" s="153"/>
      <c r="E613" s="153"/>
      <c r="F613" s="153"/>
      <c r="G613" s="153"/>
      <c r="H613" s="153"/>
      <c r="I613" s="153"/>
      <c r="J613" s="153"/>
      <c r="K613" s="153"/>
      <c r="L613" s="153"/>
      <c r="M613" s="153"/>
      <c r="N613" s="153"/>
      <c r="O613" s="153"/>
      <c r="P613" s="153"/>
      <c r="Q613" s="153"/>
      <c r="R613" s="153"/>
      <c r="S613" s="153"/>
      <c r="T613" s="153"/>
      <c r="U613" s="153"/>
      <c r="V613" s="153"/>
      <c r="W613" s="153"/>
      <c r="X613" s="153"/>
      <c r="Y613" s="153"/>
      <c r="Z613" s="153"/>
      <c r="AA613" s="153"/>
      <c r="AB613" s="153"/>
    </row>
    <row r="614" spans="1:28" ht="15">
      <c r="A614" s="153"/>
      <c r="B614" s="153"/>
      <c r="C614" s="153"/>
      <c r="D614" s="153"/>
      <c r="E614" s="153"/>
      <c r="F614" s="153"/>
      <c r="G614" s="153"/>
      <c r="H614" s="153"/>
      <c r="I614" s="153"/>
      <c r="J614" s="153"/>
      <c r="K614" s="153"/>
      <c r="L614" s="153"/>
      <c r="M614" s="153"/>
      <c r="N614" s="153"/>
      <c r="O614" s="153"/>
      <c r="P614" s="153"/>
      <c r="Q614" s="153"/>
      <c r="R614" s="153"/>
      <c r="S614" s="153"/>
      <c r="T614" s="153"/>
      <c r="U614" s="153"/>
      <c r="V614" s="153"/>
      <c r="W614" s="153"/>
      <c r="X614" s="153"/>
      <c r="Y614" s="153"/>
      <c r="Z614" s="153"/>
      <c r="AA614" s="153"/>
      <c r="AB614" s="153"/>
    </row>
    <row r="615" spans="1:28" ht="15">
      <c r="A615" s="153"/>
      <c r="B615" s="153"/>
      <c r="C615" s="153"/>
      <c r="D615" s="153"/>
      <c r="E615" s="153"/>
      <c r="F615" s="153"/>
      <c r="G615" s="153"/>
      <c r="H615" s="153"/>
      <c r="I615" s="153"/>
      <c r="J615" s="153"/>
      <c r="K615" s="153"/>
      <c r="L615" s="153"/>
      <c r="M615" s="153"/>
      <c r="N615" s="153"/>
      <c r="O615" s="153"/>
      <c r="P615" s="153"/>
      <c r="Q615" s="153"/>
      <c r="R615" s="153"/>
      <c r="S615" s="153"/>
      <c r="T615" s="153"/>
      <c r="U615" s="153"/>
      <c r="V615" s="153"/>
      <c r="W615" s="153"/>
      <c r="X615" s="153"/>
      <c r="Y615" s="153"/>
      <c r="Z615" s="153"/>
      <c r="AA615" s="153"/>
      <c r="AB615" s="153"/>
    </row>
    <row r="616" spans="1:28" ht="15">
      <c r="A616" s="153"/>
      <c r="B616" s="153"/>
      <c r="C616" s="153"/>
      <c r="D616" s="153"/>
      <c r="E616" s="153"/>
      <c r="F616" s="153"/>
      <c r="G616" s="153"/>
      <c r="H616" s="153"/>
      <c r="I616" s="153"/>
      <c r="J616" s="153"/>
      <c r="K616" s="153"/>
      <c r="L616" s="153"/>
      <c r="M616" s="153"/>
      <c r="N616" s="153"/>
      <c r="O616" s="153"/>
      <c r="P616" s="153"/>
      <c r="Q616" s="153"/>
      <c r="R616" s="153"/>
      <c r="S616" s="153"/>
      <c r="T616" s="153"/>
      <c r="U616" s="153"/>
      <c r="V616" s="153"/>
      <c r="W616" s="153"/>
      <c r="X616" s="153"/>
      <c r="Y616" s="153"/>
      <c r="Z616" s="153"/>
      <c r="AA616" s="153"/>
      <c r="AB616" s="153"/>
    </row>
    <row r="617" spans="1:28" ht="15">
      <c r="A617" s="153"/>
      <c r="B617" s="153"/>
      <c r="C617" s="153"/>
      <c r="D617" s="153"/>
      <c r="E617" s="153"/>
      <c r="F617" s="153"/>
      <c r="G617" s="153"/>
      <c r="H617" s="153"/>
      <c r="I617" s="153"/>
      <c r="J617" s="153"/>
      <c r="K617" s="153"/>
      <c r="L617" s="153"/>
      <c r="M617" s="153"/>
      <c r="N617" s="153"/>
      <c r="O617" s="153"/>
      <c r="P617" s="153"/>
      <c r="Q617" s="153"/>
      <c r="R617" s="153"/>
      <c r="S617" s="153"/>
      <c r="T617" s="153"/>
      <c r="U617" s="153"/>
      <c r="V617" s="153"/>
      <c r="W617" s="153"/>
      <c r="X617" s="153"/>
      <c r="Y617" s="153"/>
      <c r="Z617" s="153"/>
      <c r="AA617" s="153"/>
      <c r="AB617" s="153"/>
    </row>
    <row r="618" spans="1:28" ht="15">
      <c r="A618" s="153"/>
      <c r="B618" s="153"/>
      <c r="C618" s="153"/>
      <c r="D618" s="153"/>
      <c r="E618" s="153"/>
      <c r="F618" s="153"/>
      <c r="G618" s="153"/>
      <c r="H618" s="153"/>
      <c r="I618" s="153"/>
      <c r="J618" s="153"/>
      <c r="K618" s="153"/>
      <c r="L618" s="153"/>
      <c r="M618" s="153"/>
      <c r="N618" s="153"/>
      <c r="O618" s="153"/>
      <c r="P618" s="153"/>
      <c r="Q618" s="153"/>
      <c r="R618" s="153"/>
      <c r="S618" s="153"/>
      <c r="T618" s="153"/>
      <c r="U618" s="153"/>
      <c r="V618" s="153"/>
      <c r="W618" s="153"/>
      <c r="X618" s="153"/>
      <c r="Y618" s="153"/>
      <c r="Z618" s="153"/>
      <c r="AA618" s="153"/>
      <c r="AB618" s="153"/>
    </row>
    <row r="619" spans="1:28" ht="15">
      <c r="A619" s="153"/>
      <c r="B619" s="153"/>
      <c r="C619" s="153"/>
      <c r="D619" s="153"/>
      <c r="E619" s="153"/>
      <c r="F619" s="153"/>
      <c r="G619" s="153"/>
      <c r="H619" s="153"/>
      <c r="I619" s="153"/>
      <c r="J619" s="153"/>
      <c r="K619" s="153"/>
      <c r="L619" s="153"/>
      <c r="M619" s="153"/>
      <c r="N619" s="153"/>
      <c r="O619" s="153"/>
      <c r="P619" s="153"/>
      <c r="Q619" s="153"/>
      <c r="R619" s="153"/>
      <c r="S619" s="153"/>
      <c r="T619" s="153"/>
      <c r="U619" s="153"/>
      <c r="V619" s="153"/>
      <c r="W619" s="153"/>
      <c r="X619" s="153"/>
      <c r="Y619" s="153"/>
      <c r="Z619" s="153"/>
      <c r="AA619" s="153"/>
      <c r="AB619" s="153"/>
    </row>
    <row r="620" spans="1:28" ht="15">
      <c r="A620" s="153"/>
      <c r="B620" s="153"/>
      <c r="C620" s="153"/>
      <c r="D620" s="153"/>
      <c r="E620" s="153"/>
      <c r="F620" s="153"/>
      <c r="G620" s="153"/>
      <c r="H620" s="153"/>
      <c r="I620" s="153"/>
      <c r="J620" s="153"/>
      <c r="K620" s="153"/>
      <c r="L620" s="153"/>
      <c r="M620" s="153"/>
      <c r="N620" s="153"/>
      <c r="O620" s="153"/>
      <c r="P620" s="153"/>
      <c r="Q620" s="153"/>
      <c r="R620" s="153"/>
      <c r="S620" s="153"/>
      <c r="T620" s="153"/>
      <c r="U620" s="153"/>
      <c r="V620" s="153"/>
      <c r="W620" s="153"/>
      <c r="X620" s="153"/>
      <c r="Y620" s="153"/>
      <c r="Z620" s="153"/>
      <c r="AA620" s="153"/>
      <c r="AB620" s="153"/>
    </row>
    <row r="621" spans="1:28" ht="15">
      <c r="A621" s="153"/>
      <c r="B621" s="153"/>
      <c r="C621" s="153"/>
      <c r="D621" s="153"/>
      <c r="E621" s="153"/>
      <c r="F621" s="153"/>
      <c r="G621" s="153"/>
      <c r="H621" s="153"/>
      <c r="I621" s="153"/>
      <c r="J621" s="153"/>
      <c r="K621" s="153"/>
      <c r="L621" s="153"/>
      <c r="M621" s="153"/>
      <c r="N621" s="153"/>
      <c r="O621" s="153"/>
      <c r="P621" s="153"/>
      <c r="Q621" s="153"/>
      <c r="R621" s="153"/>
      <c r="S621" s="153"/>
      <c r="T621" s="153"/>
      <c r="U621" s="153"/>
      <c r="V621" s="153"/>
      <c r="W621" s="153"/>
      <c r="X621" s="153"/>
      <c r="Y621" s="153"/>
      <c r="Z621" s="153"/>
      <c r="AA621" s="153"/>
      <c r="AB621" s="153"/>
    </row>
    <row r="622" spans="1:28" ht="15">
      <c r="A622" s="153"/>
      <c r="B622" s="153"/>
      <c r="C622" s="153"/>
      <c r="D622" s="153"/>
      <c r="E622" s="153"/>
      <c r="F622" s="153"/>
      <c r="G622" s="153"/>
      <c r="H622" s="153"/>
      <c r="I622" s="153"/>
      <c r="J622" s="153"/>
      <c r="K622" s="153"/>
      <c r="L622" s="153"/>
      <c r="M622" s="153"/>
      <c r="N622" s="153"/>
      <c r="O622" s="153"/>
      <c r="P622" s="153"/>
      <c r="Q622" s="153"/>
      <c r="R622" s="153"/>
      <c r="S622" s="153"/>
      <c r="T622" s="153"/>
      <c r="U622" s="153"/>
      <c r="V622" s="153"/>
      <c r="W622" s="153"/>
      <c r="X622" s="153"/>
      <c r="Y622" s="153"/>
      <c r="Z622" s="153"/>
      <c r="AA622" s="153"/>
      <c r="AB622" s="153"/>
    </row>
    <row r="623" spans="1:28" ht="15">
      <c r="A623" s="153"/>
      <c r="B623" s="153"/>
      <c r="C623" s="153"/>
      <c r="D623" s="153"/>
      <c r="E623" s="153"/>
      <c r="F623" s="153"/>
      <c r="G623" s="153"/>
      <c r="H623" s="153"/>
      <c r="I623" s="153"/>
      <c r="J623" s="153"/>
      <c r="K623" s="153"/>
      <c r="L623" s="153"/>
      <c r="M623" s="153"/>
      <c r="N623" s="153"/>
      <c r="O623" s="153"/>
      <c r="P623" s="153"/>
      <c r="Q623" s="153"/>
      <c r="R623" s="153"/>
      <c r="S623" s="153"/>
      <c r="T623" s="153"/>
      <c r="U623" s="153"/>
      <c r="V623" s="153"/>
      <c r="W623" s="153"/>
      <c r="X623" s="153"/>
      <c r="Y623" s="153"/>
      <c r="Z623" s="153"/>
      <c r="AA623" s="153"/>
      <c r="AB623" s="153"/>
    </row>
    <row r="624" spans="1:28" ht="15">
      <c r="A624" s="153"/>
      <c r="B624" s="153"/>
      <c r="C624" s="153"/>
      <c r="D624" s="153"/>
      <c r="E624" s="153"/>
      <c r="F624" s="153"/>
      <c r="G624" s="153"/>
      <c r="H624" s="153"/>
      <c r="I624" s="153"/>
      <c r="J624" s="153"/>
      <c r="K624" s="153"/>
      <c r="L624" s="153"/>
      <c r="M624" s="153"/>
      <c r="N624" s="153"/>
      <c r="O624" s="153"/>
      <c r="P624" s="153"/>
      <c r="Q624" s="153"/>
      <c r="R624" s="153"/>
      <c r="S624" s="153"/>
      <c r="T624" s="153"/>
      <c r="U624" s="153"/>
      <c r="V624" s="153"/>
      <c r="W624" s="153"/>
      <c r="X624" s="153"/>
      <c r="Y624" s="153"/>
      <c r="Z624" s="153"/>
      <c r="AA624" s="153"/>
      <c r="AB624" s="153"/>
    </row>
    <row r="625" spans="1:28" ht="15">
      <c r="A625" s="153"/>
      <c r="B625" s="153"/>
      <c r="C625" s="153"/>
      <c r="D625" s="153"/>
      <c r="E625" s="153"/>
      <c r="F625" s="153"/>
      <c r="G625" s="153"/>
      <c r="H625" s="153"/>
      <c r="I625" s="153"/>
      <c r="J625" s="153"/>
      <c r="K625" s="153"/>
      <c r="L625" s="153"/>
      <c r="M625" s="153"/>
      <c r="N625" s="153"/>
      <c r="O625" s="153"/>
      <c r="P625" s="153"/>
      <c r="Q625" s="153"/>
      <c r="R625" s="153"/>
      <c r="S625" s="153"/>
      <c r="T625" s="153"/>
      <c r="U625" s="153"/>
      <c r="V625" s="153"/>
      <c r="W625" s="153"/>
      <c r="X625" s="153"/>
      <c r="Y625" s="153"/>
      <c r="Z625" s="153"/>
      <c r="AA625" s="153"/>
      <c r="AB625" s="153"/>
    </row>
    <row r="626" spans="1:28" ht="15">
      <c r="A626" s="153"/>
      <c r="B626" s="153"/>
      <c r="C626" s="153"/>
      <c r="D626" s="153"/>
      <c r="E626" s="153"/>
      <c r="F626" s="153"/>
      <c r="G626" s="153"/>
      <c r="H626" s="153"/>
      <c r="I626" s="153"/>
      <c r="J626" s="153"/>
      <c r="K626" s="153"/>
      <c r="L626" s="153"/>
      <c r="M626" s="153"/>
      <c r="N626" s="153"/>
      <c r="O626" s="153"/>
      <c r="P626" s="153"/>
      <c r="Q626" s="153"/>
      <c r="R626" s="153"/>
      <c r="S626" s="153"/>
      <c r="T626" s="153"/>
      <c r="U626" s="153"/>
      <c r="V626" s="153"/>
      <c r="W626" s="153"/>
      <c r="X626" s="153"/>
      <c r="Y626" s="153"/>
      <c r="Z626" s="153"/>
      <c r="AA626" s="153"/>
      <c r="AB626" s="153"/>
    </row>
    <row r="627" spans="1:28" ht="15">
      <c r="A627" s="153"/>
      <c r="B627" s="153"/>
      <c r="C627" s="153"/>
      <c r="D627" s="153"/>
      <c r="E627" s="153"/>
      <c r="F627" s="153"/>
      <c r="G627" s="153"/>
      <c r="H627" s="153"/>
      <c r="I627" s="153"/>
      <c r="J627" s="153"/>
      <c r="K627" s="153"/>
      <c r="L627" s="153"/>
      <c r="M627" s="153"/>
      <c r="N627" s="153"/>
      <c r="O627" s="153"/>
      <c r="P627" s="153"/>
      <c r="Q627" s="153"/>
      <c r="R627" s="153"/>
      <c r="S627" s="153"/>
      <c r="T627" s="153"/>
      <c r="U627" s="153"/>
      <c r="V627" s="153"/>
      <c r="W627" s="153"/>
      <c r="X627" s="153"/>
      <c r="Y627" s="153"/>
      <c r="Z627" s="153"/>
      <c r="AA627" s="153"/>
      <c r="AB627" s="153"/>
    </row>
    <row r="628" spans="1:28" ht="15">
      <c r="A628" s="153"/>
      <c r="B628" s="153"/>
      <c r="C628" s="153"/>
      <c r="D628" s="153"/>
      <c r="E628" s="153"/>
      <c r="F628" s="153"/>
      <c r="G628" s="153"/>
      <c r="H628" s="153"/>
      <c r="I628" s="153"/>
      <c r="J628" s="153"/>
      <c r="K628" s="153"/>
      <c r="L628" s="153"/>
      <c r="M628" s="153"/>
      <c r="N628" s="153"/>
      <c r="O628" s="153"/>
      <c r="P628" s="153"/>
      <c r="Q628" s="153"/>
      <c r="R628" s="153"/>
      <c r="S628" s="153"/>
      <c r="T628" s="153"/>
      <c r="U628" s="153"/>
      <c r="V628" s="153"/>
      <c r="W628" s="153"/>
      <c r="X628" s="153"/>
      <c r="Y628" s="153"/>
      <c r="Z628" s="153"/>
      <c r="AA628" s="153"/>
      <c r="AB628" s="153"/>
    </row>
    <row r="629" spans="1:28" ht="15">
      <c r="A629" s="153"/>
      <c r="B629" s="153"/>
      <c r="C629" s="153"/>
      <c r="D629" s="153"/>
      <c r="E629" s="153"/>
      <c r="F629" s="153"/>
      <c r="G629" s="153"/>
      <c r="H629" s="153"/>
      <c r="I629" s="153"/>
      <c r="J629" s="153"/>
      <c r="K629" s="153"/>
      <c r="L629" s="153"/>
      <c r="M629" s="153"/>
      <c r="N629" s="153"/>
      <c r="O629" s="153"/>
      <c r="P629" s="153"/>
      <c r="Q629" s="153"/>
      <c r="R629" s="153"/>
      <c r="S629" s="153"/>
      <c r="T629" s="153"/>
      <c r="U629" s="153"/>
      <c r="V629" s="153"/>
      <c r="W629" s="153"/>
      <c r="X629" s="153"/>
      <c r="Y629" s="153"/>
      <c r="Z629" s="153"/>
      <c r="AA629" s="153"/>
      <c r="AB629" s="153"/>
    </row>
    <row r="630" spans="1:28" ht="15">
      <c r="A630" s="153"/>
      <c r="B630" s="153"/>
      <c r="C630" s="153"/>
      <c r="D630" s="153"/>
      <c r="E630" s="153"/>
      <c r="F630" s="153"/>
      <c r="G630" s="153"/>
      <c r="H630" s="153"/>
      <c r="I630" s="153"/>
      <c r="J630" s="153"/>
      <c r="K630" s="153"/>
      <c r="L630" s="153"/>
      <c r="M630" s="153"/>
      <c r="N630" s="153"/>
      <c r="O630" s="153"/>
      <c r="P630" s="153"/>
      <c r="Q630" s="153"/>
      <c r="R630" s="153"/>
      <c r="S630" s="153"/>
      <c r="T630" s="153"/>
      <c r="U630" s="153"/>
      <c r="V630" s="153"/>
      <c r="W630" s="153"/>
      <c r="X630" s="153"/>
      <c r="Y630" s="153"/>
      <c r="Z630" s="153"/>
      <c r="AA630" s="153"/>
      <c r="AB630" s="153"/>
    </row>
    <row r="631" spans="1:28" ht="15">
      <c r="A631" s="153"/>
      <c r="B631" s="153"/>
      <c r="C631" s="153"/>
      <c r="D631" s="153"/>
      <c r="E631" s="153"/>
      <c r="F631" s="153"/>
      <c r="G631" s="153"/>
      <c r="H631" s="153"/>
      <c r="I631" s="153"/>
      <c r="J631" s="153"/>
      <c r="K631" s="153"/>
      <c r="L631" s="153"/>
      <c r="M631" s="153"/>
      <c r="N631" s="153"/>
      <c r="O631" s="153"/>
      <c r="P631" s="153"/>
      <c r="Q631" s="153"/>
      <c r="R631" s="153"/>
      <c r="S631" s="153"/>
      <c r="T631" s="153"/>
      <c r="U631" s="153"/>
      <c r="V631" s="153"/>
      <c r="W631" s="153"/>
      <c r="X631" s="153"/>
      <c r="Y631" s="153"/>
      <c r="Z631" s="153"/>
      <c r="AA631" s="153"/>
      <c r="AB631" s="153"/>
    </row>
    <row r="632" spans="1:28" ht="15">
      <c r="A632" s="153"/>
      <c r="B632" s="153"/>
      <c r="C632" s="153"/>
      <c r="D632" s="153"/>
      <c r="E632" s="153"/>
      <c r="F632" s="153"/>
      <c r="G632" s="153"/>
      <c r="H632" s="153"/>
      <c r="I632" s="153"/>
      <c r="J632" s="153"/>
      <c r="K632" s="153"/>
      <c r="L632" s="153"/>
      <c r="M632" s="153"/>
      <c r="N632" s="153"/>
      <c r="O632" s="153"/>
      <c r="P632" s="153"/>
      <c r="Q632" s="153"/>
      <c r="R632" s="153"/>
      <c r="S632" s="153"/>
      <c r="T632" s="153"/>
      <c r="U632" s="153"/>
      <c r="V632" s="153"/>
      <c r="W632" s="153"/>
      <c r="X632" s="153"/>
      <c r="Y632" s="153"/>
      <c r="Z632" s="153"/>
      <c r="AA632" s="153"/>
      <c r="AB632" s="153"/>
    </row>
    <row r="633" spans="1:28" ht="15">
      <c r="A633" s="153"/>
      <c r="B633" s="153"/>
      <c r="C633" s="153"/>
      <c r="D633" s="153"/>
      <c r="E633" s="153"/>
      <c r="F633" s="153"/>
      <c r="G633" s="153"/>
      <c r="H633" s="153"/>
      <c r="I633" s="153"/>
      <c r="J633" s="153"/>
      <c r="K633" s="153"/>
      <c r="L633" s="153"/>
      <c r="M633" s="153"/>
      <c r="N633" s="153"/>
      <c r="O633" s="153"/>
      <c r="P633" s="153"/>
      <c r="Q633" s="153"/>
      <c r="R633" s="153"/>
      <c r="S633" s="153"/>
      <c r="T633" s="153"/>
      <c r="U633" s="153"/>
      <c r="V633" s="153"/>
      <c r="W633" s="153"/>
      <c r="X633" s="153"/>
      <c r="Y633" s="153"/>
      <c r="Z633" s="153"/>
      <c r="AA633" s="153"/>
      <c r="AB633" s="153"/>
    </row>
    <row r="634" spans="1:28" ht="15">
      <c r="A634" s="153"/>
      <c r="B634" s="153"/>
      <c r="C634" s="153"/>
      <c r="D634" s="153"/>
      <c r="E634" s="153"/>
      <c r="F634" s="153"/>
      <c r="G634" s="153"/>
      <c r="H634" s="153"/>
      <c r="I634" s="153"/>
      <c r="J634" s="153"/>
      <c r="K634" s="153"/>
      <c r="L634" s="153"/>
      <c r="M634" s="153"/>
      <c r="N634" s="153"/>
      <c r="O634" s="153"/>
      <c r="P634" s="153"/>
      <c r="Q634" s="153"/>
      <c r="R634" s="153"/>
      <c r="S634" s="153"/>
      <c r="T634" s="153"/>
      <c r="U634" s="153"/>
      <c r="V634" s="153"/>
      <c r="W634" s="153"/>
      <c r="X634" s="153"/>
      <c r="Y634" s="153"/>
      <c r="Z634" s="153"/>
      <c r="AA634" s="153"/>
      <c r="AB634" s="153"/>
    </row>
    <row r="635" spans="1:28" ht="15">
      <c r="A635" s="153"/>
      <c r="B635" s="153"/>
      <c r="C635" s="153"/>
      <c r="D635" s="153"/>
      <c r="E635" s="153"/>
      <c r="F635" s="153"/>
      <c r="G635" s="153"/>
      <c r="H635" s="153"/>
      <c r="I635" s="153"/>
      <c r="J635" s="153"/>
      <c r="K635" s="153"/>
      <c r="L635" s="153"/>
      <c r="M635" s="153"/>
      <c r="N635" s="153"/>
      <c r="O635" s="153"/>
      <c r="P635" s="153"/>
      <c r="Q635" s="153"/>
      <c r="R635" s="153"/>
      <c r="S635" s="153"/>
      <c r="T635" s="153"/>
      <c r="U635" s="153"/>
      <c r="V635" s="153"/>
      <c r="W635" s="153"/>
      <c r="X635" s="153"/>
      <c r="Y635" s="153"/>
      <c r="Z635" s="153"/>
      <c r="AA635" s="153"/>
      <c r="AB635" s="153"/>
    </row>
    <row r="636" spans="1:28" ht="15">
      <c r="A636" s="153"/>
      <c r="B636" s="153"/>
      <c r="C636" s="153"/>
      <c r="D636" s="153"/>
      <c r="E636" s="153"/>
      <c r="F636" s="153"/>
      <c r="G636" s="153"/>
      <c r="H636" s="153"/>
      <c r="I636" s="153"/>
      <c r="J636" s="153"/>
      <c r="K636" s="153"/>
      <c r="L636" s="153"/>
      <c r="M636" s="153"/>
      <c r="N636" s="153"/>
      <c r="O636" s="153"/>
      <c r="P636" s="153"/>
      <c r="Q636" s="153"/>
      <c r="R636" s="153"/>
      <c r="S636" s="153"/>
      <c r="T636" s="153"/>
      <c r="U636" s="153"/>
      <c r="V636" s="153"/>
      <c r="W636" s="153"/>
      <c r="X636" s="153"/>
      <c r="Y636" s="153"/>
      <c r="Z636" s="153"/>
      <c r="AA636" s="153"/>
      <c r="AB636" s="153"/>
    </row>
    <row r="637" spans="1:28" ht="15">
      <c r="A637" s="153"/>
      <c r="B637" s="153"/>
      <c r="C637" s="153"/>
      <c r="D637" s="153"/>
      <c r="E637" s="153"/>
      <c r="F637" s="153"/>
      <c r="G637" s="153"/>
      <c r="H637" s="153"/>
      <c r="I637" s="153"/>
      <c r="J637" s="153"/>
      <c r="K637" s="153"/>
      <c r="L637" s="153"/>
      <c r="M637" s="153"/>
      <c r="N637" s="153"/>
      <c r="O637" s="153"/>
      <c r="P637" s="153"/>
      <c r="Q637" s="153"/>
      <c r="R637" s="153"/>
      <c r="S637" s="153"/>
      <c r="T637" s="153"/>
      <c r="U637" s="153"/>
      <c r="V637" s="153"/>
      <c r="W637" s="153"/>
      <c r="X637" s="153"/>
      <c r="Y637" s="153"/>
      <c r="Z637" s="153"/>
      <c r="AA637" s="153"/>
      <c r="AB637" s="153"/>
    </row>
    <row r="638" spans="1:28" ht="15">
      <c r="A638" s="153"/>
      <c r="B638" s="153"/>
      <c r="C638" s="153"/>
      <c r="D638" s="153"/>
      <c r="E638" s="153"/>
      <c r="F638" s="153"/>
      <c r="G638" s="153"/>
      <c r="H638" s="153"/>
      <c r="I638" s="153"/>
      <c r="J638" s="153"/>
      <c r="K638" s="153"/>
      <c r="L638" s="153"/>
      <c r="M638" s="153"/>
      <c r="N638" s="153"/>
      <c r="O638" s="153"/>
      <c r="P638" s="153"/>
      <c r="Q638" s="153"/>
      <c r="R638" s="153"/>
      <c r="S638" s="153"/>
      <c r="T638" s="153"/>
      <c r="U638" s="153"/>
      <c r="V638" s="153"/>
      <c r="W638" s="153"/>
      <c r="X638" s="153"/>
      <c r="Y638" s="153"/>
      <c r="Z638" s="153"/>
      <c r="AA638" s="153"/>
      <c r="AB638" s="153"/>
    </row>
    <row r="639" spans="1:28" ht="15">
      <c r="A639" s="153"/>
      <c r="B639" s="153"/>
      <c r="C639" s="153"/>
      <c r="D639" s="153"/>
      <c r="E639" s="153"/>
      <c r="F639" s="153"/>
      <c r="G639" s="153"/>
      <c r="H639" s="153"/>
      <c r="I639" s="153"/>
      <c r="J639" s="153"/>
      <c r="K639" s="153"/>
      <c r="L639" s="153"/>
      <c r="M639" s="153"/>
      <c r="N639" s="153"/>
      <c r="O639" s="153"/>
      <c r="P639" s="153"/>
      <c r="Q639" s="153"/>
      <c r="R639" s="153"/>
      <c r="S639" s="153"/>
      <c r="T639" s="153"/>
      <c r="U639" s="153"/>
      <c r="V639" s="153"/>
      <c r="W639" s="153"/>
      <c r="X639" s="153"/>
      <c r="Y639" s="153"/>
      <c r="Z639" s="153"/>
      <c r="AA639" s="153"/>
      <c r="AB639" s="153"/>
    </row>
    <row r="640" spans="1:28" ht="15">
      <c r="A640" s="153"/>
      <c r="B640" s="153"/>
      <c r="C640" s="153"/>
      <c r="D640" s="153"/>
      <c r="E640" s="153"/>
      <c r="F640" s="153"/>
      <c r="G640" s="153"/>
      <c r="H640" s="153"/>
      <c r="I640" s="153"/>
      <c r="J640" s="153"/>
      <c r="K640" s="153"/>
      <c r="L640" s="153"/>
      <c r="M640" s="153"/>
      <c r="N640" s="153"/>
      <c r="O640" s="153"/>
      <c r="P640" s="153"/>
      <c r="Q640" s="153"/>
      <c r="R640" s="153"/>
      <c r="S640" s="153"/>
      <c r="T640" s="153"/>
      <c r="U640" s="153"/>
      <c r="V640" s="153"/>
      <c r="W640" s="153"/>
      <c r="X640" s="153"/>
      <c r="Y640" s="153"/>
      <c r="Z640" s="153"/>
      <c r="AA640" s="153"/>
      <c r="AB640" s="153"/>
    </row>
    <row r="641" spans="1:28" ht="15">
      <c r="A641" s="153"/>
      <c r="B641" s="153"/>
      <c r="C641" s="153"/>
      <c r="D641" s="153"/>
      <c r="E641" s="153"/>
      <c r="F641" s="153"/>
      <c r="G641" s="153"/>
      <c r="H641" s="153"/>
      <c r="I641" s="153"/>
      <c r="J641" s="153"/>
      <c r="K641" s="153"/>
      <c r="L641" s="153"/>
      <c r="M641" s="153"/>
      <c r="N641" s="153"/>
      <c r="O641" s="153"/>
      <c r="P641" s="153"/>
      <c r="Q641" s="153"/>
      <c r="R641" s="153"/>
      <c r="S641" s="153"/>
      <c r="T641" s="153"/>
      <c r="U641" s="153"/>
      <c r="V641" s="153"/>
      <c r="W641" s="153"/>
      <c r="X641" s="153"/>
      <c r="Y641" s="153"/>
      <c r="Z641" s="153"/>
      <c r="AA641" s="153"/>
      <c r="AB641" s="153"/>
    </row>
    <row r="642" spans="1:28" ht="15">
      <c r="A642" s="153"/>
      <c r="B642" s="153"/>
      <c r="C642" s="153"/>
      <c r="D642" s="153"/>
      <c r="E642" s="153"/>
      <c r="F642" s="153"/>
      <c r="G642" s="153"/>
      <c r="H642" s="153"/>
      <c r="I642" s="153"/>
      <c r="J642" s="153"/>
      <c r="K642" s="153"/>
      <c r="L642" s="153"/>
      <c r="M642" s="153"/>
      <c r="N642" s="153"/>
      <c r="O642" s="153"/>
      <c r="P642" s="153"/>
      <c r="Q642" s="153"/>
      <c r="R642" s="153"/>
      <c r="S642" s="153"/>
      <c r="T642" s="153"/>
      <c r="U642" s="153"/>
      <c r="V642" s="153"/>
      <c r="W642" s="153"/>
      <c r="X642" s="153"/>
      <c r="Y642" s="153"/>
      <c r="Z642" s="153"/>
      <c r="AA642" s="153"/>
      <c r="AB642" s="153"/>
    </row>
    <row r="643" spans="1:28" ht="15">
      <c r="A643" s="153"/>
      <c r="B643" s="153"/>
      <c r="C643" s="153"/>
      <c r="D643" s="153"/>
      <c r="E643" s="153"/>
      <c r="F643" s="153"/>
      <c r="G643" s="153"/>
      <c r="H643" s="153"/>
      <c r="I643" s="153"/>
      <c r="J643" s="153"/>
      <c r="K643" s="153"/>
      <c r="L643" s="153"/>
      <c r="M643" s="153"/>
      <c r="N643" s="153"/>
      <c r="O643" s="153"/>
      <c r="P643" s="153"/>
      <c r="Q643" s="153"/>
      <c r="R643" s="153"/>
      <c r="S643" s="153"/>
      <c r="T643" s="153"/>
      <c r="U643" s="153"/>
      <c r="V643" s="153"/>
      <c r="W643" s="153"/>
      <c r="X643" s="153"/>
      <c r="Y643" s="153"/>
      <c r="Z643" s="153"/>
      <c r="AA643" s="153"/>
      <c r="AB643" s="153"/>
    </row>
    <row r="644" spans="1:28" ht="15">
      <c r="A644" s="153"/>
      <c r="B644" s="153"/>
      <c r="C644" s="153"/>
      <c r="D644" s="153"/>
      <c r="E644" s="153"/>
      <c r="F644" s="153"/>
      <c r="G644" s="153"/>
      <c r="H644" s="153"/>
      <c r="I644" s="153"/>
      <c r="J644" s="153"/>
      <c r="K644" s="153"/>
      <c r="L644" s="153"/>
      <c r="M644" s="153"/>
      <c r="N644" s="153"/>
      <c r="O644" s="153"/>
      <c r="P644" s="153"/>
      <c r="Q644" s="153"/>
      <c r="R644" s="153"/>
      <c r="S644" s="153"/>
      <c r="T644" s="153"/>
      <c r="U644" s="153"/>
      <c r="V644" s="153"/>
      <c r="W644" s="153"/>
      <c r="X644" s="153"/>
      <c r="Y644" s="153"/>
      <c r="Z644" s="153"/>
      <c r="AA644" s="153"/>
      <c r="AB644" s="153"/>
    </row>
    <row r="645" spans="1:28" ht="15">
      <c r="A645" s="153"/>
      <c r="B645" s="153"/>
      <c r="C645" s="153"/>
      <c r="D645" s="153"/>
      <c r="E645" s="153"/>
      <c r="F645" s="153"/>
      <c r="G645" s="153"/>
      <c r="H645" s="153"/>
      <c r="I645" s="153"/>
      <c r="J645" s="153"/>
      <c r="K645" s="153"/>
      <c r="L645" s="153"/>
      <c r="M645" s="153"/>
      <c r="N645" s="153"/>
      <c r="O645" s="153"/>
      <c r="P645" s="153"/>
      <c r="Q645" s="153"/>
      <c r="R645" s="153"/>
      <c r="S645" s="153"/>
      <c r="T645" s="153"/>
      <c r="U645" s="153"/>
      <c r="V645" s="153"/>
      <c r="W645" s="153"/>
      <c r="X645" s="153"/>
      <c r="Y645" s="153"/>
      <c r="Z645" s="153"/>
      <c r="AA645" s="153"/>
      <c r="AB645" s="153"/>
    </row>
    <row r="646" spans="1:28" ht="15">
      <c r="A646" s="153"/>
      <c r="B646" s="153"/>
      <c r="C646" s="153"/>
      <c r="D646" s="153"/>
      <c r="E646" s="153"/>
      <c r="F646" s="153"/>
      <c r="G646" s="153"/>
      <c r="H646" s="153"/>
      <c r="I646" s="153"/>
      <c r="J646" s="153"/>
      <c r="K646" s="153"/>
      <c r="L646" s="153"/>
      <c r="M646" s="153"/>
      <c r="N646" s="153"/>
      <c r="O646" s="153"/>
      <c r="P646" s="153"/>
      <c r="Q646" s="153"/>
      <c r="R646" s="153"/>
      <c r="S646" s="153"/>
      <c r="T646" s="153"/>
      <c r="U646" s="153"/>
      <c r="V646" s="153"/>
      <c r="W646" s="153"/>
      <c r="X646" s="153"/>
      <c r="Y646" s="153"/>
      <c r="Z646" s="153"/>
      <c r="AA646" s="153"/>
      <c r="AB646" s="153"/>
    </row>
    <row r="647" spans="1:28" ht="15">
      <c r="A647" s="153"/>
      <c r="B647" s="153"/>
      <c r="C647" s="153"/>
      <c r="D647" s="153"/>
      <c r="E647" s="153"/>
      <c r="F647" s="153"/>
      <c r="G647" s="153"/>
      <c r="H647" s="153"/>
      <c r="I647" s="153"/>
      <c r="J647" s="153"/>
      <c r="K647" s="153"/>
      <c r="L647" s="153"/>
      <c r="M647" s="153"/>
      <c r="N647" s="153"/>
      <c r="O647" s="153"/>
      <c r="P647" s="153"/>
      <c r="Q647" s="153"/>
      <c r="R647" s="153"/>
      <c r="S647" s="153"/>
      <c r="T647" s="153"/>
      <c r="U647" s="153"/>
      <c r="V647" s="153"/>
      <c r="W647" s="153"/>
      <c r="X647" s="153"/>
      <c r="Y647" s="153"/>
      <c r="Z647" s="153"/>
      <c r="AA647" s="153"/>
      <c r="AB647" s="153"/>
    </row>
    <row r="648" spans="1:28" ht="15">
      <c r="A648" s="153"/>
      <c r="B648" s="153"/>
      <c r="C648" s="153"/>
      <c r="D648" s="153"/>
      <c r="E648" s="153"/>
      <c r="F648" s="153"/>
      <c r="G648" s="153"/>
      <c r="H648" s="153"/>
      <c r="I648" s="153"/>
      <c r="J648" s="153"/>
      <c r="K648" s="153"/>
      <c r="L648" s="153"/>
      <c r="M648" s="153"/>
      <c r="N648" s="153"/>
      <c r="O648" s="153"/>
      <c r="P648" s="153"/>
      <c r="Q648" s="153"/>
      <c r="R648" s="153"/>
      <c r="S648" s="153"/>
      <c r="T648" s="153"/>
      <c r="U648" s="153"/>
      <c r="V648" s="153"/>
      <c r="W648" s="153"/>
      <c r="X648" s="153"/>
      <c r="Y648" s="153"/>
      <c r="Z648" s="153"/>
      <c r="AA648" s="153"/>
      <c r="AB648" s="153"/>
    </row>
    <row r="649" spans="1:28" ht="15">
      <c r="A649" s="153"/>
      <c r="B649" s="153"/>
      <c r="C649" s="153"/>
      <c r="D649" s="153"/>
      <c r="E649" s="153"/>
      <c r="F649" s="153"/>
      <c r="G649" s="153"/>
      <c r="H649" s="153"/>
      <c r="I649" s="153"/>
      <c r="J649" s="153"/>
      <c r="K649" s="153"/>
      <c r="L649" s="153"/>
      <c r="M649" s="153"/>
      <c r="N649" s="153"/>
      <c r="O649" s="153"/>
      <c r="P649" s="153"/>
      <c r="Q649" s="153"/>
      <c r="R649" s="153"/>
      <c r="S649" s="153"/>
      <c r="T649" s="153"/>
      <c r="U649" s="153"/>
      <c r="V649" s="153"/>
      <c r="W649" s="153"/>
      <c r="X649" s="153"/>
      <c r="Y649" s="153"/>
      <c r="Z649" s="153"/>
      <c r="AA649" s="153"/>
      <c r="AB649" s="153"/>
    </row>
    <row r="650" spans="1:28" ht="15">
      <c r="A650" s="153"/>
      <c r="B650" s="153"/>
      <c r="C650" s="153"/>
      <c r="D650" s="153"/>
      <c r="E650" s="153"/>
      <c r="F650" s="153"/>
      <c r="G650" s="153"/>
      <c r="H650" s="153"/>
      <c r="I650" s="153"/>
      <c r="J650" s="153"/>
      <c r="K650" s="153"/>
      <c r="L650" s="153"/>
      <c r="M650" s="153"/>
      <c r="N650" s="153"/>
      <c r="O650" s="153"/>
      <c r="P650" s="153"/>
      <c r="Q650" s="153"/>
      <c r="R650" s="153"/>
      <c r="S650" s="153"/>
      <c r="T650" s="153"/>
      <c r="U650" s="153"/>
      <c r="V650" s="153"/>
      <c r="W650" s="153"/>
      <c r="X650" s="153"/>
      <c r="Y650" s="153"/>
      <c r="Z650" s="153"/>
      <c r="AA650" s="153"/>
      <c r="AB650" s="153"/>
    </row>
    <row r="651" spans="1:28" ht="15">
      <c r="A651" s="153"/>
      <c r="B651" s="153"/>
      <c r="C651" s="153"/>
      <c r="D651" s="153"/>
      <c r="E651" s="153"/>
      <c r="F651" s="153"/>
      <c r="G651" s="153"/>
      <c r="H651" s="153"/>
      <c r="I651" s="153"/>
      <c r="J651" s="153"/>
      <c r="K651" s="153"/>
      <c r="L651" s="153"/>
      <c r="M651" s="153"/>
      <c r="N651" s="153"/>
      <c r="O651" s="153"/>
      <c r="P651" s="153"/>
      <c r="Q651" s="153"/>
      <c r="R651" s="153"/>
      <c r="S651" s="153"/>
      <c r="T651" s="153"/>
      <c r="U651" s="153"/>
      <c r="V651" s="153"/>
      <c r="W651" s="153"/>
      <c r="X651" s="153"/>
      <c r="Y651" s="153"/>
      <c r="Z651" s="153"/>
      <c r="AA651" s="153"/>
      <c r="AB651" s="153"/>
    </row>
    <row r="652" spans="1:28" ht="15">
      <c r="A652" s="153"/>
      <c r="B652" s="153"/>
      <c r="C652" s="153"/>
      <c r="D652" s="153"/>
      <c r="E652" s="153"/>
      <c r="F652" s="153"/>
      <c r="G652" s="153"/>
      <c r="H652" s="153"/>
      <c r="I652" s="153"/>
      <c r="J652" s="153"/>
      <c r="K652" s="153"/>
      <c r="L652" s="153"/>
      <c r="M652" s="153"/>
      <c r="N652" s="153"/>
      <c r="O652" s="153"/>
      <c r="P652" s="153"/>
      <c r="Q652" s="153"/>
      <c r="R652" s="153"/>
      <c r="S652" s="153"/>
      <c r="T652" s="153"/>
      <c r="U652" s="153"/>
      <c r="V652" s="153"/>
      <c r="W652" s="153"/>
      <c r="X652" s="153"/>
      <c r="Y652" s="153"/>
      <c r="Z652" s="153"/>
      <c r="AA652" s="153"/>
      <c r="AB652" s="153"/>
    </row>
    <row r="653" spans="1:28" ht="15">
      <c r="A653" s="153"/>
      <c r="B653" s="153"/>
      <c r="C653" s="153"/>
      <c r="D653" s="153"/>
      <c r="E653" s="153"/>
      <c r="F653" s="153"/>
      <c r="G653" s="153"/>
      <c r="H653" s="153"/>
      <c r="I653" s="153"/>
      <c r="J653" s="153"/>
      <c r="K653" s="153"/>
      <c r="L653" s="153"/>
      <c r="M653" s="153"/>
      <c r="N653" s="153"/>
      <c r="O653" s="153"/>
      <c r="P653" s="153"/>
      <c r="Q653" s="153"/>
      <c r="R653" s="153"/>
      <c r="S653" s="153"/>
      <c r="T653" s="153"/>
      <c r="U653" s="153"/>
      <c r="V653" s="153"/>
      <c r="W653" s="153"/>
      <c r="X653" s="153"/>
      <c r="Y653" s="153"/>
      <c r="Z653" s="153"/>
      <c r="AA653" s="153"/>
      <c r="AB653" s="153"/>
    </row>
    <row r="654" spans="1:28" ht="15">
      <c r="A654" s="153"/>
      <c r="B654" s="153"/>
      <c r="C654" s="153"/>
      <c r="D654" s="153"/>
      <c r="E654" s="153"/>
      <c r="F654" s="153"/>
      <c r="G654" s="153"/>
      <c r="H654" s="153"/>
      <c r="I654" s="153"/>
      <c r="J654" s="153"/>
      <c r="K654" s="153"/>
      <c r="L654" s="153"/>
      <c r="M654" s="153"/>
      <c r="N654" s="153"/>
      <c r="O654" s="153"/>
      <c r="P654" s="153"/>
      <c r="Q654" s="153"/>
      <c r="R654" s="153"/>
      <c r="S654" s="153"/>
      <c r="T654" s="153"/>
      <c r="U654" s="153"/>
      <c r="V654" s="153"/>
      <c r="W654" s="153"/>
      <c r="X654" s="153"/>
      <c r="Y654" s="153"/>
      <c r="Z654" s="153"/>
      <c r="AA654" s="153"/>
      <c r="AB654" s="153"/>
    </row>
    <row r="655" spans="1:28" ht="15">
      <c r="A655" s="153"/>
      <c r="B655" s="153"/>
      <c r="C655" s="153"/>
      <c r="D655" s="153"/>
      <c r="E655" s="153"/>
      <c r="F655" s="153"/>
      <c r="G655" s="153"/>
      <c r="H655" s="153"/>
      <c r="I655" s="153"/>
      <c r="J655" s="153"/>
      <c r="K655" s="153"/>
      <c r="L655" s="153"/>
      <c r="M655" s="153"/>
      <c r="N655" s="153"/>
      <c r="O655" s="153"/>
      <c r="P655" s="153"/>
      <c r="Q655" s="153"/>
      <c r="R655" s="153"/>
      <c r="S655" s="153"/>
      <c r="T655" s="153"/>
      <c r="U655" s="153"/>
      <c r="V655" s="153"/>
      <c r="W655" s="153"/>
      <c r="X655" s="153"/>
      <c r="Y655" s="153"/>
      <c r="Z655" s="153"/>
      <c r="AA655" s="153"/>
      <c r="AB655" s="153"/>
    </row>
    <row r="656" spans="1:28" ht="15">
      <c r="A656" s="153"/>
      <c r="B656" s="153"/>
      <c r="C656" s="153"/>
      <c r="D656" s="153"/>
      <c r="E656" s="153"/>
      <c r="F656" s="153"/>
      <c r="G656" s="153"/>
      <c r="H656" s="153"/>
      <c r="I656" s="153"/>
      <c r="J656" s="153"/>
      <c r="K656" s="153"/>
      <c r="L656" s="153"/>
      <c r="M656" s="153"/>
      <c r="N656" s="153"/>
      <c r="O656" s="153"/>
      <c r="P656" s="153"/>
      <c r="Q656" s="153"/>
      <c r="R656" s="153"/>
      <c r="S656" s="153"/>
      <c r="T656" s="153"/>
      <c r="U656" s="153"/>
      <c r="V656" s="153"/>
      <c r="W656" s="153"/>
      <c r="X656" s="153"/>
      <c r="Y656" s="153"/>
      <c r="Z656" s="153"/>
      <c r="AA656" s="153"/>
      <c r="AB656" s="153"/>
    </row>
    <row r="657" spans="1:28" ht="15">
      <c r="A657" s="153"/>
      <c r="B657" s="153"/>
      <c r="C657" s="153"/>
      <c r="D657" s="153"/>
      <c r="E657" s="153"/>
      <c r="F657" s="153"/>
      <c r="G657" s="153"/>
      <c r="H657" s="153"/>
      <c r="I657" s="153"/>
      <c r="J657" s="153"/>
      <c r="K657" s="153"/>
      <c r="L657" s="153"/>
      <c r="M657" s="153"/>
      <c r="N657" s="153"/>
      <c r="O657" s="153"/>
      <c r="P657" s="153"/>
      <c r="Q657" s="153"/>
      <c r="R657" s="153"/>
      <c r="S657" s="153"/>
      <c r="T657" s="153"/>
      <c r="U657" s="153"/>
      <c r="V657" s="153"/>
      <c r="W657" s="153"/>
      <c r="X657" s="153"/>
      <c r="Y657" s="153"/>
      <c r="Z657" s="153"/>
      <c r="AA657" s="153"/>
      <c r="AB657" s="153"/>
    </row>
    <row r="658" spans="1:28" ht="15">
      <c r="A658" s="153"/>
      <c r="B658" s="153"/>
      <c r="C658" s="153"/>
      <c r="D658" s="153"/>
      <c r="E658" s="153"/>
      <c r="F658" s="153"/>
      <c r="G658" s="153"/>
      <c r="H658" s="153"/>
      <c r="I658" s="153"/>
      <c r="J658" s="153"/>
      <c r="K658" s="153"/>
      <c r="L658" s="153"/>
      <c r="M658" s="153"/>
      <c r="N658" s="153"/>
      <c r="O658" s="153"/>
      <c r="P658" s="153"/>
      <c r="Q658" s="153"/>
      <c r="R658" s="153"/>
      <c r="S658" s="153"/>
      <c r="T658" s="153"/>
      <c r="U658" s="153"/>
      <c r="V658" s="153"/>
      <c r="W658" s="153"/>
      <c r="X658" s="153"/>
      <c r="Y658" s="153"/>
      <c r="Z658" s="153"/>
      <c r="AA658" s="153"/>
      <c r="AB658" s="153"/>
    </row>
    <row r="659" spans="1:28" ht="15">
      <c r="A659" s="153"/>
      <c r="B659" s="153"/>
      <c r="C659" s="153"/>
      <c r="D659" s="153"/>
      <c r="E659" s="153"/>
      <c r="F659" s="153"/>
      <c r="G659" s="153"/>
      <c r="H659" s="153"/>
      <c r="I659" s="153"/>
      <c r="J659" s="153"/>
      <c r="K659" s="153"/>
      <c r="L659" s="153"/>
      <c r="M659" s="153"/>
      <c r="N659" s="153"/>
      <c r="O659" s="153"/>
      <c r="P659" s="153"/>
      <c r="Q659" s="153"/>
      <c r="R659" s="153"/>
      <c r="S659" s="153"/>
      <c r="T659" s="153"/>
      <c r="U659" s="153"/>
      <c r="V659" s="153"/>
      <c r="W659" s="153"/>
      <c r="X659" s="153"/>
      <c r="Y659" s="153"/>
      <c r="Z659" s="153"/>
      <c r="AA659" s="153"/>
      <c r="AB659" s="153"/>
    </row>
    <row r="660" spans="1:28" ht="15">
      <c r="A660" s="153"/>
      <c r="B660" s="153"/>
      <c r="C660" s="153"/>
      <c r="D660" s="153"/>
      <c r="E660" s="153"/>
      <c r="F660" s="153"/>
      <c r="G660" s="153"/>
      <c r="H660" s="153"/>
      <c r="I660" s="153"/>
      <c r="J660" s="153"/>
      <c r="K660" s="153"/>
      <c r="L660" s="153"/>
      <c r="M660" s="153"/>
      <c r="N660" s="153"/>
      <c r="O660" s="153"/>
      <c r="P660" s="153"/>
      <c r="Q660" s="153"/>
      <c r="R660" s="153"/>
      <c r="S660" s="153"/>
      <c r="T660" s="153"/>
      <c r="U660" s="153"/>
      <c r="V660" s="153"/>
      <c r="W660" s="153"/>
      <c r="X660" s="153"/>
      <c r="Y660" s="153"/>
      <c r="Z660" s="153"/>
      <c r="AA660" s="153"/>
      <c r="AB660" s="153"/>
    </row>
    <row r="661" spans="1:28" ht="15">
      <c r="A661" s="153"/>
      <c r="B661" s="153"/>
      <c r="C661" s="153"/>
      <c r="D661" s="153"/>
      <c r="E661" s="153"/>
      <c r="F661" s="153"/>
      <c r="G661" s="153"/>
      <c r="H661" s="153"/>
      <c r="I661" s="153"/>
      <c r="J661" s="153"/>
      <c r="K661" s="153"/>
      <c r="L661" s="153"/>
      <c r="M661" s="153"/>
      <c r="N661" s="153"/>
      <c r="O661" s="153"/>
      <c r="P661" s="153"/>
      <c r="Q661" s="153"/>
      <c r="R661" s="153"/>
      <c r="S661" s="153"/>
      <c r="T661" s="153"/>
      <c r="U661" s="153"/>
      <c r="V661" s="153"/>
      <c r="W661" s="153"/>
      <c r="X661" s="153"/>
      <c r="Y661" s="153"/>
      <c r="Z661" s="153"/>
      <c r="AA661" s="153"/>
      <c r="AB661" s="153"/>
    </row>
    <row r="662" spans="1:28" ht="15">
      <c r="A662" s="153"/>
      <c r="B662" s="153"/>
      <c r="C662" s="153"/>
      <c r="D662" s="153"/>
      <c r="E662" s="153"/>
      <c r="F662" s="153"/>
      <c r="G662" s="153"/>
      <c r="H662" s="153"/>
      <c r="I662" s="153"/>
      <c r="J662" s="153"/>
      <c r="K662" s="153"/>
      <c r="L662" s="153"/>
      <c r="M662" s="153"/>
      <c r="N662" s="153"/>
      <c r="O662" s="153"/>
      <c r="P662" s="153"/>
      <c r="Q662" s="153"/>
      <c r="R662" s="153"/>
      <c r="S662" s="153"/>
      <c r="T662" s="153"/>
      <c r="U662" s="153"/>
      <c r="V662" s="153"/>
      <c r="W662" s="153"/>
      <c r="X662" s="153"/>
      <c r="Y662" s="153"/>
      <c r="Z662" s="153"/>
      <c r="AA662" s="153"/>
      <c r="AB662" s="153"/>
    </row>
    <row r="663" spans="1:28" ht="15">
      <c r="A663" s="153"/>
      <c r="B663" s="153"/>
      <c r="C663" s="153"/>
      <c r="D663" s="153"/>
      <c r="E663" s="153"/>
      <c r="F663" s="153"/>
      <c r="G663" s="153"/>
      <c r="H663" s="153"/>
      <c r="I663" s="153"/>
      <c r="J663" s="153"/>
      <c r="K663" s="153"/>
      <c r="L663" s="153"/>
      <c r="M663" s="153"/>
      <c r="N663" s="153"/>
      <c r="O663" s="153"/>
      <c r="P663" s="153"/>
      <c r="Q663" s="153"/>
      <c r="R663" s="153"/>
      <c r="S663" s="153"/>
      <c r="T663" s="153"/>
      <c r="U663" s="153"/>
      <c r="V663" s="153"/>
      <c r="W663" s="153"/>
      <c r="X663" s="153"/>
      <c r="Y663" s="153"/>
      <c r="Z663" s="153"/>
      <c r="AA663" s="153"/>
      <c r="AB663" s="153"/>
    </row>
    <row r="664" spans="1:28" ht="15">
      <c r="A664" s="153"/>
      <c r="B664" s="153"/>
      <c r="C664" s="153"/>
      <c r="D664" s="153"/>
      <c r="E664" s="153"/>
      <c r="F664" s="153"/>
      <c r="G664" s="153"/>
      <c r="H664" s="153"/>
      <c r="I664" s="153"/>
      <c r="J664" s="153"/>
      <c r="K664" s="153"/>
      <c r="L664" s="153"/>
      <c r="M664" s="153"/>
      <c r="N664" s="153"/>
      <c r="O664" s="153"/>
      <c r="P664" s="153"/>
      <c r="Q664" s="153"/>
      <c r="R664" s="153"/>
      <c r="S664" s="153"/>
      <c r="T664" s="153"/>
      <c r="U664" s="153"/>
      <c r="V664" s="153"/>
      <c r="W664" s="153"/>
      <c r="X664" s="153"/>
      <c r="Y664" s="153"/>
      <c r="Z664" s="153"/>
      <c r="AA664" s="153"/>
      <c r="AB664" s="153"/>
    </row>
    <row r="665" spans="1:28" ht="15">
      <c r="A665" s="153"/>
      <c r="B665" s="153"/>
      <c r="C665" s="153"/>
      <c r="D665" s="153"/>
      <c r="E665" s="153"/>
      <c r="F665" s="153"/>
      <c r="G665" s="153"/>
      <c r="H665" s="153"/>
      <c r="I665" s="153"/>
      <c r="J665" s="153"/>
      <c r="K665" s="153"/>
      <c r="L665" s="153"/>
      <c r="M665" s="153"/>
      <c r="N665" s="153"/>
      <c r="O665" s="153"/>
      <c r="P665" s="153"/>
      <c r="Q665" s="153"/>
      <c r="R665" s="153"/>
      <c r="S665" s="153"/>
      <c r="T665" s="153"/>
      <c r="U665" s="153"/>
      <c r="V665" s="153"/>
      <c r="W665" s="153"/>
      <c r="X665" s="153"/>
      <c r="Y665" s="153"/>
      <c r="Z665" s="153"/>
      <c r="AA665" s="153"/>
      <c r="AB665" s="153"/>
    </row>
    <row r="666" spans="1:28" ht="15">
      <c r="A666" s="153"/>
      <c r="B666" s="153"/>
      <c r="C666" s="153"/>
      <c r="D666" s="153"/>
      <c r="E666" s="153"/>
      <c r="F666" s="153"/>
      <c r="G666" s="153"/>
      <c r="H666" s="153"/>
      <c r="I666" s="153"/>
      <c r="J666" s="153"/>
      <c r="K666" s="153"/>
      <c r="L666" s="153"/>
      <c r="M666" s="153"/>
      <c r="N666" s="153"/>
      <c r="O666" s="153"/>
      <c r="P666" s="153"/>
      <c r="Q666" s="153"/>
      <c r="R666" s="153"/>
      <c r="S666" s="153"/>
      <c r="T666" s="153"/>
      <c r="U666" s="153"/>
      <c r="V666" s="153"/>
      <c r="W666" s="153"/>
      <c r="X666" s="153"/>
      <c r="Y666" s="153"/>
      <c r="Z666" s="153"/>
      <c r="AA666" s="153"/>
      <c r="AB666" s="153"/>
    </row>
    <row r="667" spans="1:28" ht="15">
      <c r="A667" s="153"/>
      <c r="B667" s="153"/>
      <c r="C667" s="153"/>
      <c r="D667" s="153"/>
      <c r="E667" s="153"/>
      <c r="F667" s="153"/>
      <c r="G667" s="153"/>
      <c r="H667" s="153"/>
      <c r="I667" s="153"/>
      <c r="J667" s="153"/>
      <c r="K667" s="153"/>
      <c r="L667" s="153"/>
      <c r="M667" s="153"/>
      <c r="N667" s="153"/>
      <c r="O667" s="153"/>
      <c r="P667" s="153"/>
      <c r="Q667" s="153"/>
      <c r="R667" s="153"/>
      <c r="S667" s="153"/>
      <c r="T667" s="153"/>
      <c r="U667" s="153"/>
      <c r="V667" s="153"/>
      <c r="W667" s="153"/>
      <c r="X667" s="153"/>
      <c r="Y667" s="153"/>
      <c r="Z667" s="153"/>
      <c r="AA667" s="153"/>
      <c r="AB667" s="153"/>
    </row>
    <row r="668" spans="1:28" ht="15">
      <c r="A668" s="153"/>
      <c r="B668" s="153"/>
      <c r="C668" s="153"/>
      <c r="D668" s="153"/>
      <c r="E668" s="153"/>
      <c r="F668" s="153"/>
      <c r="G668" s="153"/>
      <c r="H668" s="153"/>
      <c r="I668" s="153"/>
      <c r="J668" s="153"/>
      <c r="K668" s="153"/>
      <c r="L668" s="153"/>
      <c r="M668" s="153"/>
      <c r="N668" s="153"/>
      <c r="O668" s="153"/>
      <c r="P668" s="153"/>
      <c r="Q668" s="153"/>
      <c r="R668" s="153"/>
      <c r="S668" s="153"/>
      <c r="T668" s="153"/>
      <c r="U668" s="153"/>
      <c r="V668" s="153"/>
      <c r="W668" s="153"/>
      <c r="X668" s="153"/>
      <c r="Y668" s="153"/>
      <c r="Z668" s="153"/>
      <c r="AA668" s="153"/>
      <c r="AB668" s="153"/>
    </row>
    <row r="669" spans="1:28" ht="15">
      <c r="A669" s="153"/>
      <c r="B669" s="153"/>
      <c r="C669" s="153"/>
      <c r="D669" s="153"/>
      <c r="E669" s="153"/>
      <c r="F669" s="153"/>
      <c r="G669" s="153"/>
      <c r="H669" s="153"/>
      <c r="I669" s="153"/>
      <c r="J669" s="153"/>
      <c r="K669" s="153"/>
      <c r="L669" s="153"/>
      <c r="M669" s="153"/>
      <c r="N669" s="153"/>
      <c r="O669" s="153"/>
      <c r="P669" s="153"/>
      <c r="Q669" s="153"/>
      <c r="R669" s="153"/>
      <c r="S669" s="153"/>
      <c r="T669" s="153"/>
      <c r="U669" s="153"/>
      <c r="V669" s="153"/>
      <c r="W669" s="153"/>
      <c r="X669" s="153"/>
      <c r="Y669" s="153"/>
      <c r="Z669" s="153"/>
      <c r="AA669" s="153"/>
      <c r="AB669" s="153"/>
    </row>
    <row r="670" spans="1:28" ht="15">
      <c r="A670" s="153"/>
      <c r="B670" s="153"/>
      <c r="C670" s="153"/>
      <c r="D670" s="153"/>
      <c r="E670" s="153"/>
      <c r="F670" s="153"/>
      <c r="G670" s="153"/>
      <c r="H670" s="153"/>
      <c r="I670" s="153"/>
      <c r="J670" s="153"/>
      <c r="K670" s="153"/>
      <c r="L670" s="153"/>
      <c r="M670" s="153"/>
      <c r="N670" s="153"/>
      <c r="O670" s="153"/>
      <c r="P670" s="153"/>
      <c r="Q670" s="153"/>
      <c r="R670" s="153"/>
      <c r="S670" s="153"/>
      <c r="T670" s="153"/>
      <c r="U670" s="153"/>
      <c r="V670" s="153"/>
      <c r="W670" s="153"/>
      <c r="X670" s="153"/>
      <c r="Y670" s="153"/>
      <c r="Z670" s="153"/>
      <c r="AA670" s="153"/>
      <c r="AB670" s="153"/>
    </row>
    <row r="671" spans="1:28" ht="15">
      <c r="A671" s="153"/>
      <c r="B671" s="153"/>
      <c r="C671" s="153"/>
      <c r="D671" s="153"/>
      <c r="E671" s="153"/>
      <c r="F671" s="153"/>
      <c r="G671" s="153"/>
      <c r="H671" s="153"/>
      <c r="I671" s="153"/>
      <c r="J671" s="153"/>
      <c r="K671" s="153"/>
      <c r="L671" s="153"/>
      <c r="M671" s="153"/>
      <c r="N671" s="153"/>
      <c r="O671" s="153"/>
      <c r="P671" s="153"/>
      <c r="Q671" s="153"/>
      <c r="R671" s="153"/>
      <c r="S671" s="153"/>
      <c r="T671" s="153"/>
      <c r="U671" s="153"/>
      <c r="V671" s="153"/>
      <c r="W671" s="153"/>
      <c r="X671" s="153"/>
      <c r="Y671" s="153"/>
      <c r="Z671" s="153"/>
      <c r="AA671" s="153"/>
      <c r="AB671" s="153"/>
    </row>
    <row r="672" spans="1:28" ht="15">
      <c r="A672" s="153"/>
      <c r="B672" s="153"/>
      <c r="C672" s="153"/>
      <c r="D672" s="153"/>
      <c r="E672" s="153"/>
      <c r="F672" s="153"/>
      <c r="G672" s="153"/>
      <c r="H672" s="153"/>
      <c r="I672" s="153"/>
      <c r="J672" s="153"/>
      <c r="K672" s="153"/>
      <c r="L672" s="153"/>
      <c r="M672" s="153"/>
      <c r="N672" s="153"/>
      <c r="O672" s="153"/>
      <c r="P672" s="153"/>
      <c r="Q672" s="153"/>
      <c r="R672" s="153"/>
      <c r="S672" s="153"/>
      <c r="T672" s="153"/>
      <c r="U672" s="153"/>
      <c r="V672" s="153"/>
      <c r="W672" s="153"/>
      <c r="X672" s="153"/>
      <c r="Y672" s="153"/>
      <c r="Z672" s="153"/>
      <c r="AA672" s="153"/>
      <c r="AB672" s="153"/>
    </row>
    <row r="673" spans="1:28" ht="15">
      <c r="A673" s="153"/>
      <c r="B673" s="153"/>
      <c r="C673" s="153"/>
      <c r="D673" s="153"/>
      <c r="E673" s="153"/>
      <c r="F673" s="153"/>
      <c r="G673" s="153"/>
      <c r="H673" s="153"/>
      <c r="I673" s="153"/>
      <c r="J673" s="153"/>
      <c r="K673" s="153"/>
      <c r="L673" s="153"/>
      <c r="M673" s="153"/>
      <c r="N673" s="153"/>
      <c r="O673" s="153"/>
      <c r="P673" s="153"/>
      <c r="Q673" s="153"/>
      <c r="R673" s="153"/>
      <c r="S673" s="153"/>
      <c r="T673" s="153"/>
      <c r="U673" s="153"/>
      <c r="V673" s="153"/>
      <c r="W673" s="153"/>
      <c r="X673" s="153"/>
      <c r="Y673" s="153"/>
      <c r="Z673" s="153"/>
      <c r="AA673" s="153"/>
      <c r="AB673" s="153"/>
    </row>
    <row r="674" spans="1:28" ht="15">
      <c r="A674" s="153"/>
      <c r="B674" s="153"/>
      <c r="C674" s="153"/>
      <c r="D674" s="153"/>
      <c r="E674" s="153"/>
      <c r="F674" s="153"/>
      <c r="G674" s="153"/>
      <c r="H674" s="153"/>
      <c r="I674" s="153"/>
      <c r="J674" s="153"/>
      <c r="K674" s="153"/>
      <c r="L674" s="153"/>
      <c r="M674" s="153"/>
      <c r="N674" s="153"/>
      <c r="O674" s="153"/>
      <c r="P674" s="153"/>
      <c r="Q674" s="153"/>
      <c r="R674" s="153"/>
      <c r="S674" s="153"/>
      <c r="T674" s="153"/>
      <c r="U674" s="153"/>
      <c r="V674" s="153"/>
      <c r="W674" s="153"/>
      <c r="X674" s="153"/>
      <c r="Y674" s="153"/>
      <c r="Z674" s="153"/>
      <c r="AA674" s="153"/>
      <c r="AB674" s="153"/>
    </row>
    <row r="675" spans="1:28" ht="15">
      <c r="A675" s="153"/>
      <c r="B675" s="153"/>
      <c r="C675" s="153"/>
      <c r="D675" s="153"/>
      <c r="E675" s="153"/>
      <c r="F675" s="153"/>
      <c r="G675" s="153"/>
      <c r="H675" s="153"/>
      <c r="I675" s="153"/>
      <c r="J675" s="153"/>
      <c r="K675" s="153"/>
      <c r="L675" s="153"/>
      <c r="M675" s="153"/>
      <c r="N675" s="153"/>
      <c r="O675" s="153"/>
      <c r="P675" s="153"/>
      <c r="Q675" s="153"/>
      <c r="R675" s="153"/>
      <c r="S675" s="153"/>
      <c r="T675" s="153"/>
      <c r="U675" s="153"/>
      <c r="V675" s="153"/>
      <c r="W675" s="153"/>
      <c r="X675" s="153"/>
      <c r="Y675" s="153"/>
      <c r="Z675" s="153"/>
      <c r="AA675" s="153"/>
      <c r="AB675" s="153"/>
    </row>
    <row r="676" spans="1:28" ht="15">
      <c r="A676" s="153"/>
      <c r="B676" s="153"/>
      <c r="C676" s="153"/>
      <c r="D676" s="153"/>
      <c r="E676" s="153"/>
      <c r="F676" s="153"/>
      <c r="G676" s="153"/>
      <c r="H676" s="153"/>
      <c r="I676" s="153"/>
      <c r="J676" s="153"/>
      <c r="K676" s="153"/>
      <c r="L676" s="153"/>
      <c r="M676" s="153"/>
      <c r="N676" s="153"/>
      <c r="O676" s="153"/>
      <c r="P676" s="153"/>
      <c r="Q676" s="153"/>
      <c r="R676" s="153"/>
      <c r="S676" s="153"/>
      <c r="T676" s="153"/>
      <c r="U676" s="153"/>
      <c r="V676" s="153"/>
      <c r="W676" s="153"/>
      <c r="X676" s="153"/>
      <c r="Y676" s="153"/>
      <c r="Z676" s="153"/>
      <c r="AA676" s="153"/>
      <c r="AB676" s="153"/>
    </row>
    <row r="677" spans="1:28" ht="15">
      <c r="A677" s="153"/>
      <c r="B677" s="153"/>
      <c r="C677" s="153"/>
      <c r="D677" s="153"/>
      <c r="E677" s="153"/>
      <c r="F677" s="153"/>
      <c r="G677" s="153"/>
      <c r="H677" s="153"/>
      <c r="I677" s="153"/>
      <c r="J677" s="153"/>
      <c r="K677" s="153"/>
      <c r="L677" s="153"/>
      <c r="M677" s="153"/>
      <c r="N677" s="153"/>
      <c r="O677" s="153"/>
      <c r="P677" s="153"/>
      <c r="Q677" s="153"/>
      <c r="R677" s="153"/>
      <c r="S677" s="153"/>
      <c r="T677" s="153"/>
      <c r="U677" s="153"/>
      <c r="V677" s="153"/>
      <c r="W677" s="153"/>
      <c r="X677" s="153"/>
      <c r="Y677" s="153"/>
      <c r="Z677" s="153"/>
      <c r="AA677" s="153"/>
      <c r="AB677" s="153"/>
    </row>
    <row r="678" spans="1:28" ht="15">
      <c r="A678" s="153"/>
      <c r="B678" s="153"/>
      <c r="C678" s="153"/>
      <c r="D678" s="153"/>
      <c r="E678" s="153"/>
      <c r="F678" s="153"/>
      <c r="G678" s="153"/>
      <c r="H678" s="153"/>
      <c r="I678" s="153"/>
      <c r="J678" s="153"/>
      <c r="K678" s="153"/>
      <c r="L678" s="153"/>
      <c r="M678" s="153"/>
      <c r="N678" s="153"/>
      <c r="O678" s="153"/>
      <c r="P678" s="153"/>
      <c r="Q678" s="153"/>
      <c r="R678" s="153"/>
      <c r="S678" s="153"/>
      <c r="T678" s="153"/>
      <c r="U678" s="153"/>
      <c r="V678" s="153"/>
      <c r="W678" s="153"/>
      <c r="X678" s="153"/>
      <c r="Y678" s="153"/>
      <c r="Z678" s="153"/>
      <c r="AA678" s="153"/>
      <c r="AB678" s="153"/>
    </row>
    <row r="679" spans="1:28" ht="15">
      <c r="A679" s="153"/>
      <c r="B679" s="153"/>
      <c r="C679" s="153"/>
      <c r="D679" s="153"/>
      <c r="E679" s="153"/>
      <c r="F679" s="153"/>
      <c r="G679" s="153"/>
      <c r="H679" s="153"/>
      <c r="I679" s="153"/>
      <c r="J679" s="153"/>
      <c r="K679" s="153"/>
      <c r="L679" s="153"/>
      <c r="M679" s="153"/>
      <c r="N679" s="153"/>
      <c r="O679" s="153"/>
      <c r="P679" s="153"/>
      <c r="Q679" s="153"/>
      <c r="R679" s="153"/>
      <c r="S679" s="153"/>
      <c r="T679" s="153"/>
      <c r="U679" s="153"/>
      <c r="V679" s="153"/>
      <c r="W679" s="153"/>
      <c r="X679" s="153"/>
      <c r="Y679" s="153"/>
      <c r="Z679" s="153"/>
      <c r="AA679" s="153"/>
      <c r="AB679" s="153"/>
    </row>
    <row r="680" spans="1:28" ht="15">
      <c r="A680" s="153"/>
      <c r="B680" s="153"/>
      <c r="C680" s="153"/>
      <c r="D680" s="153"/>
      <c r="E680" s="153"/>
      <c r="F680" s="153"/>
      <c r="G680" s="153"/>
      <c r="H680" s="153"/>
      <c r="I680" s="153"/>
      <c r="J680" s="153"/>
      <c r="K680" s="153"/>
      <c r="L680" s="153"/>
      <c r="M680" s="153"/>
      <c r="N680" s="153"/>
      <c r="O680" s="153"/>
      <c r="P680" s="153"/>
      <c r="Q680" s="153"/>
      <c r="R680" s="153"/>
      <c r="S680" s="153"/>
      <c r="T680" s="153"/>
      <c r="U680" s="153"/>
      <c r="V680" s="153"/>
      <c r="W680" s="153"/>
      <c r="X680" s="153"/>
      <c r="Y680" s="153"/>
      <c r="Z680" s="153"/>
      <c r="AA680" s="153"/>
      <c r="AB680" s="153"/>
    </row>
    <row r="681" spans="1:28" ht="15">
      <c r="A681" s="153"/>
      <c r="B681" s="153"/>
      <c r="C681" s="153"/>
      <c r="D681" s="153"/>
      <c r="E681" s="153"/>
      <c r="F681" s="153"/>
      <c r="G681" s="153"/>
      <c r="H681" s="153"/>
      <c r="I681" s="153"/>
      <c r="J681" s="153"/>
      <c r="K681" s="153"/>
      <c r="L681" s="153"/>
      <c r="M681" s="153"/>
      <c r="N681" s="153"/>
      <c r="O681" s="153"/>
      <c r="P681" s="153"/>
      <c r="Q681" s="153"/>
      <c r="R681" s="153"/>
      <c r="S681" s="153"/>
      <c r="T681" s="153"/>
      <c r="U681" s="153"/>
      <c r="V681" s="153"/>
      <c r="W681" s="153"/>
      <c r="X681" s="153"/>
      <c r="Y681" s="153"/>
      <c r="Z681" s="153"/>
      <c r="AA681" s="153"/>
      <c r="AB681" s="153"/>
    </row>
    <row r="682" spans="1:28" ht="15">
      <c r="A682" s="153"/>
      <c r="B682" s="153"/>
      <c r="C682" s="153"/>
      <c r="D682" s="153"/>
      <c r="E682" s="153"/>
      <c r="F682" s="153"/>
      <c r="G682" s="153"/>
      <c r="H682" s="153"/>
      <c r="I682" s="153"/>
      <c r="J682" s="153"/>
      <c r="K682" s="153"/>
      <c r="L682" s="153"/>
      <c r="M682" s="153"/>
      <c r="N682" s="153"/>
      <c r="O682" s="153"/>
      <c r="P682" s="153"/>
      <c r="Q682" s="153"/>
      <c r="R682" s="153"/>
      <c r="S682" s="153"/>
      <c r="T682" s="153"/>
      <c r="U682" s="153"/>
      <c r="V682" s="153"/>
      <c r="W682" s="153"/>
      <c r="X682" s="153"/>
      <c r="Y682" s="153"/>
      <c r="Z682" s="153"/>
      <c r="AA682" s="153"/>
      <c r="AB682" s="153"/>
    </row>
    <row r="683" spans="1:28" ht="15">
      <c r="A683" s="153"/>
      <c r="B683" s="153"/>
      <c r="C683" s="153"/>
      <c r="D683" s="153"/>
      <c r="E683" s="153"/>
      <c r="F683" s="153"/>
      <c r="G683" s="153"/>
      <c r="H683" s="153"/>
      <c r="I683" s="153"/>
      <c r="J683" s="153"/>
      <c r="K683" s="153"/>
      <c r="L683" s="153"/>
      <c r="M683" s="153"/>
      <c r="N683" s="153"/>
      <c r="O683" s="153"/>
      <c r="P683" s="153"/>
      <c r="Q683" s="153"/>
      <c r="R683" s="153"/>
      <c r="S683" s="153"/>
      <c r="T683" s="153"/>
      <c r="U683" s="153"/>
      <c r="V683" s="153"/>
      <c r="W683" s="153"/>
      <c r="X683" s="153"/>
      <c r="Y683" s="153"/>
      <c r="Z683" s="153"/>
      <c r="AA683" s="153"/>
      <c r="AB683" s="153"/>
    </row>
    <row r="684" spans="1:28" ht="15">
      <c r="A684" s="153"/>
      <c r="B684" s="153"/>
      <c r="C684" s="153"/>
      <c r="D684" s="153"/>
      <c r="E684" s="153"/>
      <c r="F684" s="153"/>
      <c r="G684" s="153"/>
      <c r="H684" s="153"/>
      <c r="I684" s="153"/>
      <c r="J684" s="153"/>
      <c r="K684" s="153"/>
      <c r="L684" s="153"/>
      <c r="M684" s="153"/>
      <c r="N684" s="153"/>
      <c r="O684" s="153"/>
      <c r="P684" s="153"/>
      <c r="Q684" s="153"/>
      <c r="R684" s="153"/>
      <c r="S684" s="153"/>
      <c r="T684" s="153"/>
      <c r="U684" s="153"/>
      <c r="V684" s="153"/>
      <c r="W684" s="153"/>
      <c r="X684" s="153"/>
      <c r="Y684" s="153"/>
      <c r="Z684" s="153"/>
      <c r="AA684" s="153"/>
      <c r="AB684" s="153"/>
    </row>
    <row r="685" spans="1:28" ht="15">
      <c r="A685" s="153"/>
      <c r="B685" s="153"/>
      <c r="C685" s="153"/>
      <c r="D685" s="153"/>
      <c r="E685" s="153"/>
      <c r="F685" s="153"/>
      <c r="G685" s="153"/>
      <c r="H685" s="153"/>
      <c r="I685" s="153"/>
      <c r="J685" s="153"/>
      <c r="K685" s="153"/>
      <c r="L685" s="153"/>
      <c r="M685" s="153"/>
      <c r="N685" s="153"/>
      <c r="O685" s="153"/>
      <c r="P685" s="153"/>
      <c r="Q685" s="153"/>
      <c r="R685" s="153"/>
      <c r="S685" s="153"/>
      <c r="T685" s="153"/>
      <c r="U685" s="153"/>
      <c r="V685" s="153"/>
      <c r="W685" s="153"/>
      <c r="X685" s="153"/>
      <c r="Y685" s="153"/>
      <c r="Z685" s="153"/>
      <c r="AA685" s="153"/>
      <c r="AB685" s="153"/>
    </row>
    <row r="686" spans="1:28" ht="15">
      <c r="A686" s="153"/>
      <c r="B686" s="153"/>
      <c r="C686" s="153"/>
      <c r="D686" s="153"/>
      <c r="E686" s="153"/>
      <c r="F686" s="153"/>
      <c r="G686" s="153"/>
      <c r="H686" s="153"/>
      <c r="I686" s="153"/>
      <c r="J686" s="153"/>
      <c r="K686" s="153"/>
      <c r="L686" s="153"/>
      <c r="M686" s="153"/>
      <c r="N686" s="153"/>
      <c r="O686" s="153"/>
      <c r="P686" s="153"/>
      <c r="Q686" s="153"/>
      <c r="R686" s="153"/>
      <c r="S686" s="153"/>
      <c r="T686" s="153"/>
      <c r="U686" s="153"/>
      <c r="V686" s="153"/>
      <c r="W686" s="153"/>
      <c r="X686" s="153"/>
      <c r="Y686" s="153"/>
      <c r="Z686" s="153"/>
      <c r="AA686" s="153"/>
      <c r="AB686" s="153"/>
    </row>
    <row r="687" spans="1:28" ht="15">
      <c r="A687" s="153"/>
      <c r="B687" s="153"/>
      <c r="C687" s="153"/>
      <c r="D687" s="153"/>
      <c r="E687" s="153"/>
      <c r="F687" s="153"/>
      <c r="G687" s="153"/>
      <c r="H687" s="153"/>
      <c r="I687" s="153"/>
      <c r="J687" s="153"/>
      <c r="K687" s="153"/>
      <c r="L687" s="153"/>
      <c r="M687" s="153"/>
      <c r="N687" s="153"/>
      <c r="O687" s="153"/>
      <c r="P687" s="153"/>
      <c r="Q687" s="153"/>
      <c r="R687" s="153"/>
      <c r="S687" s="153"/>
      <c r="T687" s="153"/>
      <c r="U687" s="153"/>
      <c r="V687" s="153"/>
      <c r="W687" s="153"/>
      <c r="X687" s="153"/>
      <c r="Y687" s="153"/>
      <c r="Z687" s="153"/>
      <c r="AA687" s="153"/>
      <c r="AB687" s="153"/>
    </row>
    <row r="688" spans="1:28" ht="15">
      <c r="A688" s="153"/>
      <c r="B688" s="153"/>
      <c r="C688" s="153"/>
      <c r="D688" s="153"/>
      <c r="E688" s="153"/>
      <c r="F688" s="153"/>
      <c r="G688" s="153"/>
      <c r="H688" s="153"/>
      <c r="I688" s="153"/>
      <c r="J688" s="153"/>
      <c r="K688" s="153"/>
      <c r="L688" s="153"/>
      <c r="M688" s="153"/>
      <c r="N688" s="153"/>
      <c r="O688" s="153"/>
      <c r="P688" s="153"/>
      <c r="Q688" s="153"/>
      <c r="R688" s="153"/>
      <c r="S688" s="153"/>
      <c r="T688" s="153"/>
      <c r="U688" s="153"/>
      <c r="V688" s="153"/>
      <c r="W688" s="153"/>
      <c r="X688" s="153"/>
      <c r="Y688" s="153"/>
      <c r="Z688" s="153"/>
      <c r="AA688" s="153"/>
      <c r="AB688" s="153"/>
    </row>
    <row r="689" spans="1:28" ht="15">
      <c r="A689" s="153"/>
      <c r="B689" s="153"/>
      <c r="C689" s="153"/>
      <c r="D689" s="153"/>
      <c r="E689" s="153"/>
      <c r="F689" s="153"/>
      <c r="G689" s="153"/>
      <c r="H689" s="153"/>
      <c r="I689" s="153"/>
      <c r="J689" s="153"/>
      <c r="K689" s="153"/>
      <c r="L689" s="153"/>
      <c r="M689" s="153"/>
      <c r="N689" s="153"/>
      <c r="O689" s="153"/>
      <c r="P689" s="153"/>
      <c r="Q689" s="153"/>
      <c r="R689" s="153"/>
      <c r="S689" s="153"/>
      <c r="T689" s="153"/>
      <c r="U689" s="153"/>
      <c r="V689" s="153"/>
      <c r="W689" s="153"/>
      <c r="X689" s="153"/>
      <c r="Y689" s="153"/>
      <c r="Z689" s="153"/>
      <c r="AA689" s="153"/>
      <c r="AB689" s="153"/>
    </row>
    <row r="690" spans="1:28" ht="15">
      <c r="A690" s="153"/>
      <c r="B690" s="153"/>
      <c r="C690" s="153"/>
      <c r="D690" s="153"/>
      <c r="E690" s="153"/>
      <c r="F690" s="153"/>
      <c r="G690" s="153"/>
      <c r="H690" s="153"/>
      <c r="I690" s="153"/>
      <c r="J690" s="153"/>
      <c r="K690" s="153"/>
      <c r="L690" s="153"/>
      <c r="M690" s="153"/>
      <c r="N690" s="153"/>
      <c r="O690" s="153"/>
      <c r="P690" s="153"/>
      <c r="Q690" s="153"/>
      <c r="R690" s="153"/>
      <c r="S690" s="153"/>
      <c r="T690" s="153"/>
      <c r="U690" s="153"/>
      <c r="V690" s="153"/>
      <c r="W690" s="153"/>
      <c r="X690" s="153"/>
      <c r="Y690" s="153"/>
      <c r="Z690" s="153"/>
      <c r="AA690" s="153"/>
      <c r="AB690" s="153"/>
    </row>
    <row r="691" spans="1:28" ht="15">
      <c r="A691" s="153"/>
      <c r="B691" s="153"/>
      <c r="C691" s="153"/>
      <c r="D691" s="153"/>
      <c r="E691" s="153"/>
      <c r="F691" s="153"/>
      <c r="G691" s="153"/>
      <c r="H691" s="153"/>
      <c r="I691" s="153"/>
      <c r="J691" s="153"/>
      <c r="K691" s="153"/>
      <c r="L691" s="153"/>
      <c r="M691" s="153"/>
      <c r="N691" s="153"/>
      <c r="O691" s="153"/>
      <c r="P691" s="153"/>
      <c r="Q691" s="153"/>
      <c r="R691" s="153"/>
      <c r="S691" s="153"/>
      <c r="T691" s="153"/>
      <c r="U691" s="153"/>
      <c r="V691" s="153"/>
      <c r="W691" s="153"/>
      <c r="X691" s="153"/>
      <c r="Y691" s="153"/>
      <c r="Z691" s="153"/>
      <c r="AA691" s="153"/>
      <c r="AB691" s="153"/>
    </row>
    <row r="692" spans="1:28" ht="15">
      <c r="A692" s="153"/>
      <c r="B692" s="153"/>
      <c r="C692" s="153"/>
      <c r="D692" s="153"/>
      <c r="E692" s="153"/>
      <c r="F692" s="153"/>
      <c r="G692" s="153"/>
      <c r="H692" s="153"/>
      <c r="I692" s="153"/>
      <c r="J692" s="153"/>
      <c r="K692" s="153"/>
      <c r="L692" s="153"/>
      <c r="M692" s="153"/>
      <c r="N692" s="153"/>
      <c r="O692" s="153"/>
      <c r="P692" s="153"/>
      <c r="Q692" s="153"/>
      <c r="R692" s="153"/>
      <c r="S692" s="153"/>
      <c r="T692" s="153"/>
      <c r="U692" s="153"/>
      <c r="V692" s="153"/>
      <c r="W692" s="153"/>
      <c r="X692" s="153"/>
      <c r="Y692" s="153"/>
      <c r="Z692" s="153"/>
      <c r="AA692" s="153"/>
      <c r="AB692" s="153"/>
    </row>
    <row r="693" spans="1:28" ht="15">
      <c r="A693" s="153"/>
      <c r="B693" s="153"/>
      <c r="C693" s="153"/>
      <c r="D693" s="153"/>
      <c r="E693" s="153"/>
      <c r="F693" s="153"/>
      <c r="G693" s="153"/>
      <c r="H693" s="153"/>
      <c r="I693" s="153"/>
      <c r="J693" s="153"/>
      <c r="K693" s="153"/>
      <c r="L693" s="153"/>
      <c r="M693" s="153"/>
      <c r="N693" s="153"/>
      <c r="O693" s="153"/>
      <c r="P693" s="153"/>
      <c r="Q693" s="153"/>
      <c r="R693" s="153"/>
      <c r="S693" s="153"/>
      <c r="T693" s="153"/>
      <c r="U693" s="153"/>
      <c r="V693" s="153"/>
      <c r="W693" s="153"/>
      <c r="X693" s="153"/>
      <c r="Y693" s="153"/>
      <c r="Z693" s="153"/>
      <c r="AA693" s="153"/>
      <c r="AB693" s="153"/>
    </row>
    <row r="694" spans="1:28" ht="15">
      <c r="A694" s="153"/>
      <c r="B694" s="153"/>
      <c r="C694" s="153"/>
      <c r="D694" s="153"/>
      <c r="E694" s="153"/>
      <c r="F694" s="153"/>
      <c r="G694" s="153"/>
      <c r="H694" s="153"/>
      <c r="I694" s="153"/>
      <c r="J694" s="153"/>
      <c r="K694" s="153"/>
      <c r="L694" s="153"/>
      <c r="M694" s="153"/>
      <c r="N694" s="153"/>
      <c r="O694" s="153"/>
      <c r="P694" s="153"/>
      <c r="Q694" s="153"/>
      <c r="R694" s="153"/>
      <c r="S694" s="153"/>
      <c r="T694" s="153"/>
      <c r="U694" s="153"/>
      <c r="V694" s="153"/>
      <c r="W694" s="153"/>
      <c r="X694" s="153"/>
      <c r="Y694" s="153"/>
      <c r="Z694" s="153"/>
      <c r="AA694" s="153"/>
      <c r="AB694" s="153"/>
    </row>
    <row r="695" spans="1:28" ht="15">
      <c r="A695" s="153"/>
      <c r="B695" s="153"/>
      <c r="C695" s="153"/>
      <c r="D695" s="153"/>
      <c r="E695" s="153"/>
      <c r="F695" s="153"/>
      <c r="G695" s="153"/>
      <c r="H695" s="153"/>
      <c r="I695" s="153"/>
      <c r="J695" s="153"/>
      <c r="K695" s="153"/>
      <c r="L695" s="153"/>
      <c r="M695" s="153"/>
      <c r="N695" s="153"/>
      <c r="O695" s="153"/>
      <c r="P695" s="153"/>
      <c r="Q695" s="153"/>
      <c r="R695" s="153"/>
      <c r="S695" s="153"/>
      <c r="T695" s="153"/>
      <c r="U695" s="153"/>
      <c r="V695" s="153"/>
      <c r="W695" s="153"/>
      <c r="X695" s="153"/>
      <c r="Y695" s="153"/>
      <c r="Z695" s="153"/>
      <c r="AA695" s="153"/>
      <c r="AB695" s="153"/>
    </row>
    <row r="696" spans="1:28" ht="15">
      <c r="A696" s="153"/>
      <c r="B696" s="153"/>
      <c r="C696" s="153"/>
      <c r="D696" s="153"/>
      <c r="E696" s="153"/>
      <c r="F696" s="153"/>
      <c r="G696" s="153"/>
      <c r="H696" s="153"/>
      <c r="I696" s="153"/>
      <c r="J696" s="153"/>
      <c r="K696" s="153"/>
      <c r="L696" s="153"/>
      <c r="M696" s="153"/>
      <c r="N696" s="153"/>
      <c r="O696" s="153"/>
      <c r="P696" s="153"/>
      <c r="Q696" s="153"/>
      <c r="R696" s="153"/>
      <c r="S696" s="153"/>
      <c r="T696" s="153"/>
      <c r="U696" s="153"/>
      <c r="V696" s="153"/>
      <c r="W696" s="153"/>
      <c r="X696" s="153"/>
      <c r="Y696" s="153"/>
      <c r="Z696" s="153"/>
      <c r="AA696" s="153"/>
      <c r="AB696" s="153"/>
    </row>
    <row r="697" spans="1:28" ht="15">
      <c r="A697" s="153"/>
      <c r="B697" s="153"/>
      <c r="C697" s="153"/>
      <c r="D697" s="153"/>
      <c r="E697" s="153"/>
      <c r="F697" s="153"/>
      <c r="G697" s="153"/>
      <c r="H697" s="153"/>
      <c r="I697" s="153"/>
      <c r="J697" s="153"/>
      <c r="K697" s="153"/>
      <c r="L697" s="153"/>
      <c r="M697" s="153"/>
      <c r="N697" s="153"/>
      <c r="O697" s="153"/>
      <c r="P697" s="153"/>
      <c r="Q697" s="153"/>
      <c r="R697" s="153"/>
      <c r="S697" s="153"/>
      <c r="T697" s="153"/>
      <c r="U697" s="153"/>
      <c r="V697" s="153"/>
      <c r="W697" s="153"/>
      <c r="X697" s="153"/>
      <c r="Y697" s="153"/>
      <c r="Z697" s="153"/>
      <c r="AA697" s="153"/>
      <c r="AB697" s="153"/>
    </row>
    <row r="698" spans="1:28" ht="15">
      <c r="A698" s="153"/>
      <c r="B698" s="153"/>
      <c r="C698" s="153"/>
      <c r="D698" s="153"/>
      <c r="E698" s="153"/>
      <c r="F698" s="153"/>
      <c r="G698" s="153"/>
      <c r="H698" s="153"/>
      <c r="I698" s="153"/>
      <c r="J698" s="153"/>
      <c r="K698" s="153"/>
      <c r="L698" s="153"/>
      <c r="M698" s="153"/>
      <c r="N698" s="153"/>
      <c r="O698" s="153"/>
      <c r="P698" s="153"/>
      <c r="Q698" s="153"/>
      <c r="R698" s="153"/>
      <c r="S698" s="153"/>
      <c r="T698" s="153"/>
      <c r="U698" s="153"/>
      <c r="V698" s="153"/>
      <c r="W698" s="153"/>
      <c r="X698" s="153"/>
      <c r="Y698" s="153"/>
      <c r="Z698" s="153"/>
      <c r="AA698" s="153"/>
      <c r="AB698" s="153"/>
    </row>
    <row r="699" spans="1:28" ht="15">
      <c r="A699" s="153"/>
      <c r="B699" s="153"/>
      <c r="C699" s="153"/>
      <c r="D699" s="153"/>
      <c r="E699" s="153"/>
      <c r="F699" s="153"/>
      <c r="G699" s="153"/>
      <c r="H699" s="153"/>
      <c r="I699" s="153"/>
      <c r="J699" s="153"/>
      <c r="K699" s="153"/>
      <c r="L699" s="153"/>
      <c r="M699" s="153"/>
      <c r="N699" s="153"/>
      <c r="O699" s="153"/>
      <c r="P699" s="153"/>
      <c r="Q699" s="153"/>
      <c r="R699" s="153"/>
      <c r="S699" s="153"/>
      <c r="T699" s="153"/>
      <c r="U699" s="153"/>
      <c r="V699" s="153"/>
      <c r="W699" s="153"/>
      <c r="X699" s="153"/>
      <c r="Y699" s="153"/>
      <c r="Z699" s="153"/>
      <c r="AA699" s="153"/>
      <c r="AB699" s="153"/>
    </row>
    <row r="700" spans="1:28" ht="15">
      <c r="A700" s="153"/>
      <c r="B700" s="153"/>
      <c r="C700" s="153"/>
      <c r="D700" s="153"/>
      <c r="E700" s="153"/>
      <c r="F700" s="153"/>
      <c r="G700" s="153"/>
      <c r="H700" s="153"/>
      <c r="I700" s="153"/>
      <c r="J700" s="153"/>
      <c r="K700" s="153"/>
      <c r="L700" s="153"/>
      <c r="M700" s="153"/>
      <c r="N700" s="153"/>
      <c r="O700" s="153"/>
      <c r="P700" s="153"/>
      <c r="Q700" s="153"/>
      <c r="R700" s="153"/>
      <c r="S700" s="153"/>
      <c r="T700" s="153"/>
      <c r="U700" s="153"/>
      <c r="V700" s="153"/>
      <c r="W700" s="153"/>
      <c r="X700" s="153"/>
      <c r="Y700" s="153"/>
      <c r="Z700" s="153"/>
      <c r="AA700" s="153"/>
      <c r="AB700" s="153"/>
    </row>
    <row r="701" spans="1:28" ht="15">
      <c r="A701" s="153"/>
      <c r="B701" s="153"/>
      <c r="C701" s="153"/>
      <c r="D701" s="153"/>
      <c r="E701" s="153"/>
      <c r="F701" s="153"/>
      <c r="G701" s="153"/>
      <c r="H701" s="153"/>
      <c r="I701" s="153"/>
      <c r="J701" s="153"/>
      <c r="K701" s="153"/>
      <c r="L701" s="153"/>
      <c r="M701" s="153"/>
      <c r="N701" s="153"/>
      <c r="O701" s="153"/>
      <c r="P701" s="153"/>
      <c r="Q701" s="153"/>
      <c r="R701" s="153"/>
      <c r="S701" s="153"/>
      <c r="T701" s="153"/>
      <c r="U701" s="153"/>
      <c r="V701" s="153"/>
      <c r="W701" s="153"/>
      <c r="X701" s="153"/>
      <c r="Y701" s="153"/>
      <c r="Z701" s="153"/>
      <c r="AA701" s="153"/>
      <c r="AB701" s="153"/>
    </row>
    <row r="702" spans="1:28" ht="15">
      <c r="A702" s="153"/>
      <c r="B702" s="153"/>
      <c r="C702" s="153"/>
      <c r="D702" s="153"/>
      <c r="E702" s="153"/>
      <c r="F702" s="153"/>
      <c r="G702" s="153"/>
      <c r="H702" s="153"/>
      <c r="I702" s="153"/>
      <c r="J702" s="153"/>
      <c r="K702" s="153"/>
      <c r="L702" s="153"/>
      <c r="M702" s="153"/>
      <c r="N702" s="153"/>
      <c r="O702" s="153"/>
      <c r="P702" s="153"/>
      <c r="Q702" s="153"/>
      <c r="R702" s="153"/>
      <c r="S702" s="153"/>
      <c r="T702" s="153"/>
      <c r="U702" s="153"/>
      <c r="V702" s="153"/>
      <c r="W702" s="153"/>
      <c r="X702" s="153"/>
      <c r="Y702" s="153"/>
      <c r="Z702" s="153"/>
      <c r="AA702" s="153"/>
      <c r="AB702" s="153"/>
    </row>
    <row r="703" spans="1:28" ht="15">
      <c r="A703" s="153"/>
      <c r="B703" s="153"/>
      <c r="C703" s="153"/>
      <c r="D703" s="153"/>
      <c r="E703" s="153"/>
      <c r="F703" s="153"/>
      <c r="G703" s="153"/>
      <c r="H703" s="153"/>
      <c r="I703" s="153"/>
      <c r="J703" s="153"/>
      <c r="K703" s="153"/>
      <c r="L703" s="153"/>
      <c r="M703" s="153"/>
      <c r="N703" s="153"/>
      <c r="O703" s="153"/>
      <c r="P703" s="153"/>
      <c r="Q703" s="153"/>
      <c r="R703" s="153"/>
      <c r="S703" s="153"/>
      <c r="T703" s="153"/>
      <c r="U703" s="153"/>
      <c r="V703" s="153"/>
      <c r="W703" s="153"/>
      <c r="X703" s="153"/>
      <c r="Y703" s="153"/>
      <c r="Z703" s="153"/>
      <c r="AA703" s="153"/>
      <c r="AB703" s="153"/>
    </row>
    <row r="704" spans="1:28" ht="15">
      <c r="A704" s="153"/>
      <c r="B704" s="153"/>
      <c r="C704" s="153"/>
      <c r="D704" s="153"/>
      <c r="E704" s="153"/>
      <c r="F704" s="153"/>
      <c r="G704" s="153"/>
      <c r="H704" s="153"/>
      <c r="I704" s="153"/>
      <c r="J704" s="153"/>
      <c r="K704" s="153"/>
      <c r="L704" s="153"/>
      <c r="M704" s="153"/>
      <c r="N704" s="153"/>
      <c r="O704" s="153"/>
      <c r="P704" s="153"/>
      <c r="Q704" s="153"/>
      <c r="R704" s="153"/>
      <c r="S704" s="153"/>
      <c r="T704" s="153"/>
      <c r="U704" s="153"/>
      <c r="V704" s="153"/>
      <c r="W704" s="153"/>
      <c r="X704" s="153"/>
      <c r="Y704" s="153"/>
      <c r="Z704" s="153"/>
      <c r="AA704" s="153"/>
      <c r="AB704" s="153"/>
    </row>
    <row r="705" spans="1:28" ht="15">
      <c r="A705" s="153"/>
      <c r="B705" s="153"/>
      <c r="C705" s="153"/>
      <c r="D705" s="153"/>
      <c r="E705" s="153"/>
      <c r="F705" s="153"/>
      <c r="G705" s="153"/>
      <c r="H705" s="153"/>
      <c r="I705" s="153"/>
      <c r="J705" s="153"/>
      <c r="K705" s="153"/>
      <c r="L705" s="153"/>
      <c r="M705" s="153"/>
      <c r="N705" s="153"/>
      <c r="O705" s="153"/>
      <c r="P705" s="153"/>
      <c r="Q705" s="153"/>
      <c r="R705" s="153"/>
      <c r="S705" s="153"/>
      <c r="T705" s="153"/>
      <c r="U705" s="153"/>
      <c r="V705" s="153"/>
      <c r="W705" s="153"/>
      <c r="X705" s="153"/>
      <c r="Y705" s="153"/>
      <c r="Z705" s="153"/>
      <c r="AA705" s="153"/>
      <c r="AB705" s="153"/>
    </row>
    <row r="706" spans="1:28" ht="15">
      <c r="A706" s="153"/>
      <c r="B706" s="153"/>
      <c r="C706" s="153"/>
      <c r="D706" s="153"/>
      <c r="E706" s="153"/>
      <c r="F706" s="153"/>
      <c r="G706" s="153"/>
      <c r="H706" s="153"/>
      <c r="I706" s="153"/>
      <c r="J706" s="153"/>
      <c r="K706" s="153"/>
      <c r="L706" s="153"/>
      <c r="M706" s="153"/>
      <c r="N706" s="153"/>
      <c r="O706" s="153"/>
      <c r="P706" s="153"/>
      <c r="Q706" s="153"/>
      <c r="R706" s="153"/>
      <c r="S706" s="153"/>
      <c r="T706" s="153"/>
      <c r="U706" s="153"/>
      <c r="V706" s="153"/>
      <c r="W706" s="153"/>
      <c r="X706" s="153"/>
      <c r="Y706" s="153"/>
      <c r="Z706" s="153"/>
      <c r="AA706" s="153"/>
      <c r="AB706" s="153"/>
    </row>
    <row r="707" spans="1:28" ht="15">
      <c r="A707" s="153"/>
      <c r="B707" s="153"/>
      <c r="C707" s="153"/>
      <c r="D707" s="153"/>
      <c r="E707" s="153"/>
      <c r="F707" s="153"/>
      <c r="G707" s="153"/>
      <c r="H707" s="153"/>
      <c r="I707" s="153"/>
      <c r="J707" s="153"/>
      <c r="K707" s="153"/>
      <c r="L707" s="153"/>
      <c r="M707" s="153"/>
      <c r="N707" s="153"/>
      <c r="O707" s="153"/>
      <c r="P707" s="153"/>
      <c r="Q707" s="153"/>
      <c r="R707" s="153"/>
      <c r="S707" s="153"/>
      <c r="T707" s="153"/>
      <c r="U707" s="153"/>
      <c r="V707" s="153"/>
      <c r="W707" s="153"/>
      <c r="X707" s="153"/>
      <c r="Y707" s="153"/>
      <c r="Z707" s="153"/>
      <c r="AA707" s="153"/>
      <c r="AB707" s="153"/>
    </row>
    <row r="708" spans="1:28" ht="15">
      <c r="A708" s="153"/>
      <c r="B708" s="153"/>
      <c r="C708" s="153"/>
      <c r="D708" s="153"/>
      <c r="E708" s="153"/>
      <c r="F708" s="153"/>
      <c r="G708" s="153"/>
      <c r="H708" s="153"/>
      <c r="I708" s="153"/>
      <c r="J708" s="153"/>
      <c r="K708" s="153"/>
      <c r="L708" s="153"/>
      <c r="M708" s="153"/>
      <c r="N708" s="153"/>
      <c r="O708" s="153"/>
      <c r="P708" s="153"/>
      <c r="Q708" s="153"/>
      <c r="R708" s="153"/>
      <c r="S708" s="153"/>
      <c r="T708" s="153"/>
      <c r="U708" s="153"/>
      <c r="V708" s="153"/>
      <c r="W708" s="153"/>
      <c r="X708" s="153"/>
      <c r="Y708" s="153"/>
      <c r="Z708" s="153"/>
      <c r="AA708" s="153"/>
      <c r="AB708" s="153"/>
    </row>
    <row r="709" spans="1:28" ht="15">
      <c r="A709" s="153"/>
      <c r="B709" s="153"/>
      <c r="C709" s="153"/>
      <c r="D709" s="153"/>
      <c r="E709" s="153"/>
      <c r="F709" s="153"/>
      <c r="G709" s="153"/>
      <c r="H709" s="153"/>
      <c r="I709" s="153"/>
      <c r="J709" s="153"/>
      <c r="K709" s="153"/>
      <c r="L709" s="153"/>
      <c r="M709" s="153"/>
      <c r="N709" s="153"/>
      <c r="O709" s="153"/>
      <c r="P709" s="153"/>
      <c r="Q709" s="153"/>
      <c r="R709" s="153"/>
      <c r="S709" s="153"/>
      <c r="T709" s="153"/>
      <c r="U709" s="153"/>
      <c r="V709" s="153"/>
      <c r="W709" s="153"/>
      <c r="X709" s="153"/>
      <c r="Y709" s="153"/>
      <c r="Z709" s="153"/>
      <c r="AA709" s="153"/>
      <c r="AB709" s="153"/>
    </row>
    <row r="710" spans="1:28" ht="15">
      <c r="A710" s="153"/>
      <c r="B710" s="153"/>
      <c r="C710" s="153"/>
      <c r="D710" s="153"/>
      <c r="E710" s="153"/>
      <c r="F710" s="153"/>
      <c r="G710" s="153"/>
      <c r="H710" s="153"/>
      <c r="I710" s="153"/>
      <c r="J710" s="153"/>
      <c r="K710" s="153"/>
      <c r="L710" s="153"/>
      <c r="M710" s="153"/>
      <c r="N710" s="153"/>
      <c r="O710" s="153"/>
      <c r="P710" s="153"/>
      <c r="Q710" s="153"/>
      <c r="R710" s="153"/>
      <c r="S710" s="153"/>
      <c r="T710" s="153"/>
      <c r="U710" s="153"/>
      <c r="V710" s="153"/>
      <c r="W710" s="153"/>
      <c r="X710" s="153"/>
      <c r="Y710" s="153"/>
      <c r="Z710" s="153"/>
      <c r="AA710" s="153"/>
      <c r="AB710" s="153"/>
    </row>
    <row r="711" spans="1:28" ht="15">
      <c r="A711" s="153"/>
      <c r="B711" s="153"/>
      <c r="C711" s="153"/>
      <c r="D711" s="153"/>
      <c r="E711" s="153"/>
      <c r="F711" s="153"/>
      <c r="G711" s="153"/>
      <c r="H711" s="153"/>
      <c r="I711" s="153"/>
      <c r="J711" s="153"/>
      <c r="K711" s="153"/>
      <c r="L711" s="153"/>
      <c r="M711" s="153"/>
      <c r="N711" s="153"/>
      <c r="O711" s="153"/>
      <c r="P711" s="153"/>
      <c r="Q711" s="153"/>
      <c r="R711" s="153"/>
      <c r="S711" s="153"/>
      <c r="T711" s="153"/>
      <c r="U711" s="153"/>
      <c r="V711" s="153"/>
      <c r="W711" s="153"/>
      <c r="X711" s="153"/>
      <c r="Y711" s="153"/>
      <c r="Z711" s="153"/>
      <c r="AA711" s="153"/>
      <c r="AB711" s="153"/>
    </row>
    <row r="712" spans="1:28" ht="15">
      <c r="A712" s="153"/>
      <c r="B712" s="153"/>
      <c r="C712" s="153"/>
      <c r="D712" s="153"/>
      <c r="E712" s="153"/>
      <c r="F712" s="153"/>
      <c r="G712" s="153"/>
      <c r="H712" s="153"/>
      <c r="I712" s="153"/>
      <c r="J712" s="153"/>
      <c r="K712" s="153"/>
      <c r="L712" s="153"/>
      <c r="M712" s="153"/>
      <c r="N712" s="153"/>
      <c r="O712" s="153"/>
      <c r="P712" s="153"/>
      <c r="Q712" s="153"/>
      <c r="R712" s="153"/>
      <c r="S712" s="153"/>
      <c r="T712" s="153"/>
      <c r="U712" s="153"/>
      <c r="V712" s="153"/>
      <c r="W712" s="153"/>
      <c r="X712" s="153"/>
      <c r="Y712" s="153"/>
      <c r="Z712" s="153"/>
      <c r="AA712" s="153"/>
      <c r="AB712" s="153"/>
    </row>
    <row r="713" spans="1:28" ht="15">
      <c r="A713" s="153"/>
      <c r="B713" s="153"/>
      <c r="C713" s="153"/>
      <c r="D713" s="153"/>
      <c r="E713" s="153"/>
      <c r="F713" s="153"/>
      <c r="G713" s="153"/>
      <c r="H713" s="153"/>
      <c r="I713" s="153"/>
      <c r="J713" s="153"/>
      <c r="K713" s="153"/>
      <c r="L713" s="153"/>
      <c r="M713" s="153"/>
      <c r="N713" s="153"/>
      <c r="O713" s="153"/>
      <c r="P713" s="153"/>
      <c r="Q713" s="153"/>
      <c r="R713" s="153"/>
      <c r="S713" s="153"/>
      <c r="T713" s="153"/>
      <c r="U713" s="153"/>
      <c r="V713" s="153"/>
      <c r="W713" s="153"/>
      <c r="X713" s="153"/>
      <c r="Y713" s="153"/>
      <c r="Z713" s="153"/>
      <c r="AA713" s="153"/>
      <c r="AB713" s="153"/>
    </row>
    <row r="714" spans="1:28" ht="15">
      <c r="A714" s="153"/>
      <c r="B714" s="153"/>
      <c r="C714" s="153"/>
      <c r="D714" s="153"/>
      <c r="E714" s="153"/>
      <c r="F714" s="153"/>
      <c r="G714" s="153"/>
      <c r="H714" s="153"/>
      <c r="I714" s="153"/>
      <c r="J714" s="153"/>
      <c r="K714" s="153"/>
      <c r="L714" s="153"/>
      <c r="M714" s="153"/>
      <c r="N714" s="153"/>
      <c r="O714" s="153"/>
      <c r="P714" s="153"/>
      <c r="Q714" s="153"/>
      <c r="R714" s="153"/>
      <c r="S714" s="153"/>
      <c r="T714" s="153"/>
      <c r="U714" s="153"/>
      <c r="V714" s="153"/>
      <c r="W714" s="153"/>
      <c r="X714" s="153"/>
      <c r="Y714" s="153"/>
      <c r="Z714" s="153"/>
      <c r="AA714" s="153"/>
      <c r="AB714" s="153"/>
    </row>
    <row r="715" spans="1:28" ht="15">
      <c r="A715" s="153"/>
      <c r="B715" s="153"/>
      <c r="C715" s="153"/>
      <c r="D715" s="153"/>
      <c r="E715" s="153"/>
      <c r="F715" s="153"/>
      <c r="G715" s="153"/>
      <c r="H715" s="153"/>
      <c r="I715" s="153"/>
      <c r="J715" s="153"/>
      <c r="K715" s="153"/>
      <c r="L715" s="153"/>
      <c r="M715" s="153"/>
      <c r="N715" s="153"/>
      <c r="O715" s="153"/>
      <c r="P715" s="153"/>
      <c r="Q715" s="153"/>
      <c r="R715" s="153"/>
      <c r="S715" s="153"/>
      <c r="T715" s="153"/>
      <c r="U715" s="153"/>
      <c r="V715" s="153"/>
      <c r="W715" s="153"/>
      <c r="X715" s="153"/>
      <c r="Y715" s="153"/>
      <c r="Z715" s="153"/>
      <c r="AA715" s="153"/>
      <c r="AB715" s="153"/>
    </row>
    <row r="716" spans="1:28" ht="15">
      <c r="A716" s="153"/>
      <c r="B716" s="153"/>
      <c r="C716" s="153"/>
      <c r="D716" s="153"/>
      <c r="E716" s="153"/>
      <c r="F716" s="153"/>
      <c r="G716" s="153"/>
      <c r="H716" s="153"/>
      <c r="I716" s="153"/>
      <c r="J716" s="153"/>
      <c r="K716" s="153"/>
      <c r="L716" s="153"/>
      <c r="M716" s="153"/>
      <c r="N716" s="153"/>
      <c r="O716" s="153"/>
      <c r="P716" s="153"/>
      <c r="Q716" s="153"/>
      <c r="R716" s="153"/>
      <c r="S716" s="153"/>
      <c r="T716" s="153"/>
      <c r="U716" s="153"/>
      <c r="V716" s="153"/>
      <c r="W716" s="153"/>
      <c r="X716" s="153"/>
      <c r="Y716" s="153"/>
      <c r="Z716" s="153"/>
      <c r="AA716" s="153"/>
      <c r="AB716" s="153"/>
    </row>
    <row r="717" spans="1:28" ht="15">
      <c r="A717" s="153"/>
      <c r="B717" s="153"/>
      <c r="C717" s="153"/>
      <c r="D717" s="153"/>
      <c r="E717" s="153"/>
      <c r="F717" s="153"/>
      <c r="G717" s="153"/>
      <c r="H717" s="153"/>
      <c r="I717" s="153"/>
      <c r="J717" s="153"/>
      <c r="K717" s="153"/>
      <c r="L717" s="153"/>
      <c r="M717" s="153"/>
      <c r="N717" s="153"/>
      <c r="O717" s="153"/>
      <c r="P717" s="153"/>
      <c r="Q717" s="153"/>
      <c r="R717" s="153"/>
      <c r="S717" s="153"/>
      <c r="T717" s="153"/>
      <c r="U717" s="153"/>
      <c r="V717" s="153"/>
      <c r="W717" s="153"/>
      <c r="X717" s="153"/>
      <c r="Y717" s="153"/>
      <c r="Z717" s="153"/>
      <c r="AA717" s="153"/>
      <c r="AB717" s="153"/>
    </row>
    <row r="718" spans="1:28" ht="15">
      <c r="A718" s="153"/>
      <c r="B718" s="153"/>
      <c r="C718" s="153"/>
      <c r="D718" s="153"/>
      <c r="E718" s="153"/>
      <c r="F718" s="153"/>
      <c r="G718" s="153"/>
      <c r="H718" s="153"/>
      <c r="I718" s="153"/>
      <c r="J718" s="153"/>
      <c r="K718" s="153"/>
      <c r="L718" s="153"/>
      <c r="M718" s="153"/>
      <c r="N718" s="153"/>
      <c r="O718" s="153"/>
      <c r="P718" s="153"/>
      <c r="Q718" s="153"/>
      <c r="R718" s="153"/>
      <c r="S718" s="153"/>
      <c r="T718" s="153"/>
      <c r="U718" s="153"/>
      <c r="V718" s="153"/>
      <c r="W718" s="153"/>
      <c r="X718" s="153"/>
      <c r="Y718" s="153"/>
      <c r="Z718" s="153"/>
      <c r="AA718" s="153"/>
      <c r="AB718" s="153"/>
    </row>
    <row r="719" spans="1:28" ht="15">
      <c r="A719" s="153"/>
      <c r="B719" s="153"/>
      <c r="C719" s="153"/>
      <c r="D719" s="153"/>
      <c r="E719" s="153"/>
      <c r="F719" s="153"/>
      <c r="G719" s="153"/>
      <c r="H719" s="153"/>
      <c r="I719" s="153"/>
      <c r="J719" s="153"/>
      <c r="K719" s="153"/>
      <c r="L719" s="153"/>
      <c r="M719" s="153"/>
      <c r="N719" s="153"/>
      <c r="O719" s="153"/>
      <c r="P719" s="153"/>
      <c r="Q719" s="153"/>
      <c r="R719" s="153"/>
      <c r="S719" s="153"/>
      <c r="T719" s="153"/>
      <c r="U719" s="153"/>
      <c r="V719" s="153"/>
      <c r="W719" s="153"/>
      <c r="X719" s="153"/>
      <c r="Y719" s="153"/>
      <c r="Z719" s="153"/>
      <c r="AA719" s="153"/>
      <c r="AB719" s="153"/>
    </row>
    <row r="720" spans="1:28" ht="15">
      <c r="A720" s="153"/>
      <c r="B720" s="153"/>
      <c r="C720" s="153"/>
      <c r="D720" s="153"/>
      <c r="E720" s="153"/>
      <c r="F720" s="153"/>
      <c r="G720" s="153"/>
      <c r="H720" s="153"/>
      <c r="I720" s="153"/>
      <c r="J720" s="153"/>
      <c r="K720" s="153"/>
      <c r="L720" s="153"/>
      <c r="M720" s="153"/>
      <c r="N720" s="153"/>
      <c r="O720" s="153"/>
      <c r="P720" s="153"/>
      <c r="Q720" s="153"/>
      <c r="R720" s="153"/>
      <c r="S720" s="153"/>
      <c r="T720" s="153"/>
      <c r="U720" s="153"/>
      <c r="V720" s="153"/>
      <c r="W720" s="153"/>
      <c r="X720" s="153"/>
      <c r="Y720" s="153"/>
      <c r="Z720" s="153"/>
      <c r="AA720" s="153"/>
      <c r="AB720" s="153"/>
    </row>
    <row r="721" spans="1:28" ht="15">
      <c r="A721" s="153"/>
      <c r="B721" s="153"/>
      <c r="C721" s="153"/>
      <c r="D721" s="153"/>
      <c r="E721" s="153"/>
      <c r="F721" s="153"/>
      <c r="G721" s="153"/>
      <c r="H721" s="153"/>
      <c r="I721" s="153"/>
      <c r="J721" s="153"/>
      <c r="K721" s="153"/>
      <c r="L721" s="153"/>
      <c r="M721" s="153"/>
      <c r="N721" s="153"/>
      <c r="O721" s="153"/>
      <c r="P721" s="153"/>
      <c r="Q721" s="153"/>
      <c r="R721" s="153"/>
      <c r="S721" s="153"/>
      <c r="T721" s="153"/>
      <c r="U721" s="153"/>
      <c r="V721" s="153"/>
      <c r="W721" s="153"/>
      <c r="X721" s="153"/>
      <c r="Y721" s="153"/>
      <c r="Z721" s="153"/>
      <c r="AA721" s="153"/>
      <c r="AB721" s="153"/>
    </row>
    <row r="722" spans="1:28" ht="15">
      <c r="A722" s="153"/>
      <c r="B722" s="153"/>
      <c r="C722" s="153"/>
      <c r="D722" s="153"/>
      <c r="E722" s="153"/>
      <c r="F722" s="153"/>
      <c r="G722" s="153"/>
      <c r="H722" s="153"/>
      <c r="I722" s="153"/>
      <c r="J722" s="153"/>
      <c r="K722" s="153"/>
      <c r="L722" s="153"/>
      <c r="M722" s="153"/>
      <c r="N722" s="153"/>
      <c r="O722" s="153"/>
      <c r="P722" s="153"/>
      <c r="Q722" s="153"/>
      <c r="R722" s="153"/>
      <c r="S722" s="153"/>
      <c r="T722" s="153"/>
      <c r="U722" s="153"/>
      <c r="V722" s="153"/>
      <c r="W722" s="153"/>
      <c r="X722" s="153"/>
      <c r="Y722" s="153"/>
      <c r="Z722" s="153"/>
      <c r="AA722" s="153"/>
      <c r="AB722" s="153"/>
    </row>
    <row r="723" spans="1:28" ht="15">
      <c r="A723" s="153"/>
      <c r="B723" s="153"/>
      <c r="C723" s="153"/>
      <c r="D723" s="153"/>
      <c r="E723" s="153"/>
      <c r="F723" s="153"/>
      <c r="G723" s="153"/>
      <c r="H723" s="153"/>
      <c r="I723" s="153"/>
      <c r="J723" s="153"/>
      <c r="K723" s="153"/>
      <c r="L723" s="153"/>
      <c r="M723" s="153"/>
      <c r="N723" s="153"/>
      <c r="O723" s="153"/>
      <c r="P723" s="153"/>
      <c r="Q723" s="153"/>
      <c r="R723" s="153"/>
      <c r="S723" s="153"/>
      <c r="T723" s="153"/>
      <c r="U723" s="153"/>
      <c r="V723" s="153"/>
      <c r="W723" s="153"/>
      <c r="X723" s="153"/>
      <c r="Y723" s="153"/>
      <c r="Z723" s="153"/>
      <c r="AA723" s="153"/>
      <c r="AB723" s="153"/>
    </row>
    <row r="724" spans="1:28" ht="15">
      <c r="A724" s="153"/>
      <c r="B724" s="153"/>
      <c r="C724" s="153"/>
      <c r="D724" s="153"/>
      <c r="E724" s="153"/>
      <c r="F724" s="153"/>
      <c r="G724" s="153"/>
      <c r="H724" s="153"/>
      <c r="I724" s="153"/>
      <c r="J724" s="153"/>
      <c r="K724" s="153"/>
      <c r="L724" s="153"/>
      <c r="M724" s="153"/>
      <c r="N724" s="153"/>
      <c r="O724" s="153"/>
      <c r="P724" s="153"/>
      <c r="Q724" s="153"/>
      <c r="R724" s="153"/>
      <c r="S724" s="153"/>
      <c r="T724" s="153"/>
      <c r="U724" s="153"/>
      <c r="V724" s="153"/>
      <c r="W724" s="153"/>
      <c r="X724" s="153"/>
      <c r="Y724" s="153"/>
      <c r="Z724" s="153"/>
      <c r="AA724" s="153"/>
      <c r="AB724" s="153"/>
    </row>
    <row r="725" spans="1:28" ht="15">
      <c r="A725" s="153"/>
      <c r="B725" s="153"/>
      <c r="C725" s="153"/>
      <c r="D725" s="153"/>
      <c r="E725" s="153"/>
      <c r="F725" s="153"/>
      <c r="G725" s="153"/>
      <c r="H725" s="153"/>
      <c r="I725" s="153"/>
      <c r="J725" s="153"/>
      <c r="K725" s="153"/>
      <c r="L725" s="153"/>
      <c r="M725" s="153"/>
      <c r="N725" s="153"/>
      <c r="O725" s="153"/>
      <c r="P725" s="153"/>
      <c r="Q725" s="153"/>
      <c r="R725" s="153"/>
      <c r="S725" s="153"/>
      <c r="T725" s="153"/>
      <c r="U725" s="153"/>
      <c r="V725" s="153"/>
      <c r="W725" s="153"/>
      <c r="X725" s="153"/>
      <c r="Y725" s="153"/>
      <c r="Z725" s="153"/>
      <c r="AA725" s="153"/>
      <c r="AB725" s="153"/>
    </row>
    <row r="726" spans="1:28" ht="15">
      <c r="A726" s="153"/>
      <c r="B726" s="153"/>
      <c r="C726" s="153"/>
      <c r="D726" s="153"/>
      <c r="E726" s="153"/>
      <c r="F726" s="153"/>
      <c r="G726" s="153"/>
      <c r="H726" s="153"/>
      <c r="I726" s="153"/>
      <c r="J726" s="153"/>
      <c r="K726" s="153"/>
      <c r="L726" s="153"/>
      <c r="M726" s="153"/>
      <c r="N726" s="153"/>
      <c r="O726" s="153"/>
      <c r="P726" s="153"/>
      <c r="Q726" s="153"/>
      <c r="R726" s="153"/>
      <c r="S726" s="153"/>
      <c r="T726" s="153"/>
      <c r="U726" s="153"/>
      <c r="V726" s="153"/>
      <c r="W726" s="153"/>
      <c r="X726" s="153"/>
      <c r="Y726" s="153"/>
      <c r="Z726" s="153"/>
      <c r="AA726" s="153"/>
      <c r="AB726" s="153"/>
    </row>
    <row r="727" spans="1:28" ht="15">
      <c r="A727" s="153"/>
      <c r="B727" s="153"/>
      <c r="C727" s="153"/>
      <c r="D727" s="153"/>
      <c r="E727" s="153"/>
      <c r="F727" s="153"/>
      <c r="G727" s="153"/>
      <c r="H727" s="153"/>
      <c r="I727" s="153"/>
      <c r="J727" s="153"/>
      <c r="K727" s="153"/>
      <c r="L727" s="153"/>
      <c r="M727" s="153"/>
      <c r="N727" s="153"/>
      <c r="O727" s="153"/>
      <c r="P727" s="153"/>
      <c r="Q727" s="153"/>
      <c r="R727" s="153"/>
      <c r="S727" s="153"/>
      <c r="T727" s="153"/>
      <c r="U727" s="153"/>
      <c r="V727" s="153"/>
      <c r="W727" s="153"/>
      <c r="X727" s="153"/>
      <c r="Y727" s="153"/>
      <c r="Z727" s="153"/>
      <c r="AA727" s="153"/>
      <c r="AB727" s="153"/>
    </row>
    <row r="728" spans="1:28" ht="15">
      <c r="A728" s="153"/>
      <c r="B728" s="153"/>
      <c r="C728" s="153"/>
      <c r="D728" s="153"/>
      <c r="E728" s="153"/>
      <c r="F728" s="153"/>
      <c r="G728" s="153"/>
      <c r="H728" s="153"/>
      <c r="I728" s="153"/>
      <c r="J728" s="153"/>
      <c r="K728" s="153"/>
      <c r="L728" s="153"/>
      <c r="M728" s="153"/>
      <c r="N728" s="153"/>
      <c r="O728" s="153"/>
      <c r="P728" s="153"/>
      <c r="Q728" s="153"/>
      <c r="R728" s="153"/>
      <c r="S728" s="153"/>
      <c r="T728" s="153"/>
      <c r="U728" s="153"/>
      <c r="V728" s="153"/>
      <c r="W728" s="153"/>
      <c r="X728" s="153"/>
      <c r="Y728" s="153"/>
      <c r="Z728" s="153"/>
      <c r="AA728" s="153"/>
      <c r="AB728" s="153"/>
    </row>
    <row r="729" spans="1:28" ht="15">
      <c r="A729" s="153"/>
      <c r="B729" s="153"/>
      <c r="C729" s="153"/>
      <c r="D729" s="153"/>
      <c r="E729" s="153"/>
      <c r="F729" s="153"/>
      <c r="G729" s="153"/>
      <c r="H729" s="153"/>
      <c r="I729" s="153"/>
      <c r="J729" s="153"/>
      <c r="K729" s="153"/>
      <c r="L729" s="153"/>
      <c r="M729" s="153"/>
      <c r="N729" s="153"/>
      <c r="O729" s="153"/>
      <c r="P729" s="153"/>
      <c r="Q729" s="153"/>
      <c r="R729" s="153"/>
      <c r="S729" s="153"/>
      <c r="T729" s="153"/>
      <c r="U729" s="153"/>
      <c r="V729" s="153"/>
      <c r="W729" s="153"/>
      <c r="X729" s="153"/>
      <c r="Y729" s="153"/>
      <c r="Z729" s="153"/>
      <c r="AA729" s="153"/>
      <c r="AB729" s="153"/>
    </row>
    <row r="730" spans="1:28" ht="15">
      <c r="A730" s="153"/>
      <c r="B730" s="153"/>
      <c r="C730" s="153"/>
      <c r="D730" s="153"/>
      <c r="E730" s="153"/>
      <c r="F730" s="153"/>
      <c r="G730" s="153"/>
      <c r="H730" s="153"/>
      <c r="I730" s="153"/>
      <c r="J730" s="153"/>
      <c r="K730" s="153"/>
      <c r="L730" s="153"/>
      <c r="M730" s="153"/>
      <c r="N730" s="153"/>
      <c r="O730" s="153"/>
      <c r="P730" s="153"/>
      <c r="Q730" s="153"/>
      <c r="R730" s="153"/>
      <c r="S730" s="153"/>
      <c r="T730" s="153"/>
      <c r="U730" s="153"/>
      <c r="V730" s="153"/>
      <c r="W730" s="153"/>
      <c r="X730" s="153"/>
      <c r="Y730" s="153"/>
      <c r="Z730" s="153"/>
      <c r="AA730" s="153"/>
      <c r="AB730" s="153"/>
    </row>
    <row r="731" spans="1:28" ht="15">
      <c r="A731" s="153"/>
      <c r="B731" s="153"/>
      <c r="C731" s="153"/>
      <c r="D731" s="153"/>
      <c r="E731" s="153"/>
      <c r="F731" s="153"/>
      <c r="G731" s="153"/>
      <c r="H731" s="153"/>
      <c r="I731" s="153"/>
      <c r="J731" s="153"/>
      <c r="K731" s="153"/>
      <c r="L731" s="153"/>
      <c r="M731" s="153"/>
      <c r="N731" s="153"/>
      <c r="O731" s="153"/>
      <c r="P731" s="153"/>
      <c r="Q731" s="153"/>
      <c r="R731" s="153"/>
      <c r="S731" s="153"/>
      <c r="T731" s="153"/>
      <c r="U731" s="153"/>
      <c r="V731" s="153"/>
      <c r="W731" s="153"/>
      <c r="X731" s="153"/>
      <c r="Y731" s="153"/>
      <c r="Z731" s="153"/>
      <c r="AA731" s="153"/>
      <c r="AB731" s="153"/>
    </row>
    <row r="732" spans="1:28" ht="15">
      <c r="A732" s="153"/>
      <c r="B732" s="153"/>
      <c r="C732" s="153"/>
      <c r="D732" s="153"/>
      <c r="E732" s="153"/>
      <c r="F732" s="153"/>
      <c r="G732" s="153"/>
      <c r="H732" s="153"/>
      <c r="I732" s="153"/>
      <c r="J732" s="153"/>
      <c r="K732" s="153"/>
      <c r="L732" s="153"/>
      <c r="M732" s="153"/>
      <c r="N732" s="153"/>
      <c r="O732" s="153"/>
      <c r="P732" s="153"/>
      <c r="Q732" s="153"/>
      <c r="R732" s="153"/>
      <c r="S732" s="153"/>
      <c r="T732" s="153"/>
      <c r="U732" s="153"/>
      <c r="V732" s="153"/>
      <c r="W732" s="153"/>
      <c r="X732" s="153"/>
      <c r="Y732" s="153"/>
      <c r="Z732" s="153"/>
      <c r="AA732" s="153"/>
      <c r="AB732" s="153"/>
    </row>
    <row r="733" spans="1:28" ht="15">
      <c r="A733" s="153"/>
      <c r="B733" s="153"/>
      <c r="C733" s="153"/>
      <c r="D733" s="153"/>
      <c r="E733" s="153"/>
      <c r="F733" s="153"/>
      <c r="G733" s="153"/>
      <c r="H733" s="153"/>
      <c r="I733" s="153"/>
      <c r="J733" s="153"/>
      <c r="K733" s="153"/>
      <c r="L733" s="153"/>
      <c r="M733" s="153"/>
      <c r="N733" s="153"/>
      <c r="O733" s="153"/>
      <c r="P733" s="153"/>
      <c r="Q733" s="153"/>
      <c r="R733" s="153"/>
      <c r="S733" s="153"/>
      <c r="T733" s="153"/>
      <c r="U733" s="153"/>
      <c r="V733" s="153"/>
      <c r="W733" s="153"/>
      <c r="X733" s="153"/>
      <c r="Y733" s="153"/>
      <c r="Z733" s="153"/>
      <c r="AA733" s="153"/>
      <c r="AB733" s="153"/>
    </row>
    <row r="734" spans="1:28" ht="15">
      <c r="A734" s="153"/>
      <c r="B734" s="153"/>
      <c r="C734" s="153"/>
      <c r="D734" s="153"/>
      <c r="E734" s="153"/>
      <c r="F734" s="153"/>
      <c r="G734" s="153"/>
      <c r="H734" s="153"/>
      <c r="I734" s="153"/>
      <c r="J734" s="153"/>
      <c r="K734" s="153"/>
      <c r="L734" s="153"/>
      <c r="M734" s="153"/>
      <c r="N734" s="153"/>
      <c r="O734" s="153"/>
      <c r="P734" s="153"/>
      <c r="Q734" s="153"/>
      <c r="R734" s="153"/>
      <c r="S734" s="153"/>
      <c r="T734" s="153"/>
      <c r="U734" s="153"/>
      <c r="V734" s="153"/>
      <c r="W734" s="153"/>
      <c r="X734" s="153"/>
      <c r="Y734" s="153"/>
      <c r="Z734" s="153"/>
      <c r="AA734" s="153"/>
      <c r="AB734" s="153"/>
    </row>
    <row r="735" spans="1:28" ht="15">
      <c r="A735" s="153"/>
      <c r="B735" s="153"/>
      <c r="C735" s="153"/>
      <c r="D735" s="153"/>
      <c r="E735" s="153"/>
      <c r="F735" s="153"/>
      <c r="G735" s="153"/>
      <c r="H735" s="153"/>
      <c r="I735" s="153"/>
      <c r="J735" s="153"/>
      <c r="K735" s="153"/>
      <c r="L735" s="153"/>
      <c r="M735" s="153"/>
      <c r="N735" s="153"/>
      <c r="O735" s="153"/>
      <c r="P735" s="153"/>
      <c r="Q735" s="153"/>
      <c r="R735" s="153"/>
      <c r="S735" s="153"/>
      <c r="T735" s="153"/>
      <c r="U735" s="153"/>
      <c r="V735" s="153"/>
      <c r="W735" s="153"/>
      <c r="X735" s="153"/>
      <c r="Y735" s="153"/>
      <c r="Z735" s="153"/>
      <c r="AA735" s="153"/>
      <c r="AB735" s="153"/>
    </row>
    <row r="736" spans="1:28" ht="15">
      <c r="A736" s="153"/>
      <c r="B736" s="153"/>
      <c r="C736" s="153"/>
      <c r="D736" s="153"/>
      <c r="E736" s="153"/>
      <c r="F736" s="153"/>
      <c r="G736" s="153"/>
      <c r="H736" s="153"/>
      <c r="I736" s="153"/>
      <c r="J736" s="153"/>
      <c r="K736" s="153"/>
      <c r="L736" s="153"/>
      <c r="M736" s="153"/>
      <c r="N736" s="153"/>
      <c r="O736" s="153"/>
      <c r="P736" s="153"/>
      <c r="Q736" s="153"/>
      <c r="R736" s="153"/>
      <c r="S736" s="153"/>
      <c r="T736" s="153"/>
      <c r="U736" s="153"/>
      <c r="V736" s="153"/>
      <c r="W736" s="153"/>
      <c r="X736" s="153"/>
      <c r="Y736" s="153"/>
      <c r="Z736" s="153"/>
      <c r="AA736" s="153"/>
      <c r="AB736" s="153"/>
    </row>
    <row r="737" spans="1:28" ht="15">
      <c r="A737" s="153"/>
      <c r="B737" s="153"/>
      <c r="C737" s="153"/>
      <c r="D737" s="153"/>
      <c r="E737" s="153"/>
      <c r="F737" s="153"/>
      <c r="G737" s="153"/>
      <c r="H737" s="153"/>
      <c r="I737" s="153"/>
      <c r="J737" s="153"/>
      <c r="K737" s="153"/>
      <c r="L737" s="153"/>
      <c r="M737" s="153"/>
      <c r="N737" s="153"/>
      <c r="O737" s="153"/>
      <c r="P737" s="153"/>
      <c r="Q737" s="153"/>
      <c r="R737" s="153"/>
      <c r="S737" s="153"/>
      <c r="T737" s="153"/>
      <c r="U737" s="153"/>
      <c r="V737" s="153"/>
      <c r="W737" s="153"/>
      <c r="X737" s="153"/>
      <c r="Y737" s="153"/>
      <c r="Z737" s="153"/>
      <c r="AA737" s="153"/>
      <c r="AB737" s="153"/>
    </row>
    <row r="738" spans="1:28" ht="15">
      <c r="A738" s="153"/>
      <c r="B738" s="153"/>
      <c r="C738" s="153"/>
      <c r="D738" s="153"/>
      <c r="E738" s="153"/>
      <c r="F738" s="153"/>
      <c r="G738" s="153"/>
      <c r="H738" s="153"/>
      <c r="I738" s="153"/>
      <c r="J738" s="153"/>
      <c r="K738" s="153"/>
      <c r="L738" s="153"/>
      <c r="M738" s="153"/>
      <c r="N738" s="153"/>
      <c r="O738" s="153"/>
      <c r="P738" s="153"/>
      <c r="Q738" s="153"/>
      <c r="R738" s="153"/>
      <c r="S738" s="153"/>
      <c r="T738" s="153"/>
      <c r="U738" s="153"/>
      <c r="V738" s="153"/>
      <c r="W738" s="153"/>
      <c r="X738" s="153"/>
      <c r="Y738" s="153"/>
      <c r="Z738" s="153"/>
      <c r="AA738" s="153"/>
      <c r="AB738" s="153"/>
    </row>
    <row r="739" spans="1:28" ht="15">
      <c r="A739" s="153"/>
      <c r="B739" s="153"/>
      <c r="C739" s="153"/>
      <c r="D739" s="153"/>
      <c r="E739" s="153"/>
      <c r="F739" s="153"/>
      <c r="G739" s="153"/>
      <c r="H739" s="153"/>
      <c r="I739" s="153"/>
      <c r="J739" s="153"/>
      <c r="K739" s="153"/>
      <c r="L739" s="153"/>
      <c r="M739" s="153"/>
      <c r="N739" s="153"/>
      <c r="O739" s="153"/>
      <c r="P739" s="153"/>
      <c r="Q739" s="153"/>
      <c r="R739" s="153"/>
      <c r="S739" s="153"/>
      <c r="T739" s="153"/>
      <c r="U739" s="153"/>
      <c r="V739" s="153"/>
      <c r="W739" s="153"/>
      <c r="X739" s="153"/>
      <c r="Y739" s="153"/>
      <c r="Z739" s="153"/>
      <c r="AA739" s="153"/>
      <c r="AB739" s="153"/>
    </row>
    <row r="740" spans="1:28" ht="15">
      <c r="A740" s="153"/>
      <c r="B740" s="153"/>
      <c r="C740" s="153"/>
      <c r="D740" s="153"/>
      <c r="E740" s="153"/>
      <c r="F740" s="153"/>
      <c r="G740" s="153"/>
      <c r="H740" s="153"/>
      <c r="I740" s="153"/>
      <c r="J740" s="153"/>
      <c r="K740" s="153"/>
      <c r="L740" s="153"/>
      <c r="M740" s="153"/>
      <c r="N740" s="153"/>
      <c r="O740" s="153"/>
      <c r="P740" s="153"/>
      <c r="Q740" s="153"/>
      <c r="R740" s="153"/>
      <c r="S740" s="153"/>
      <c r="T740" s="153"/>
      <c r="U740" s="153"/>
      <c r="V740" s="153"/>
      <c r="W740" s="153"/>
      <c r="X740" s="153"/>
      <c r="Y740" s="153"/>
      <c r="Z740" s="153"/>
      <c r="AA740" s="153"/>
      <c r="AB740" s="153"/>
    </row>
    <row r="741" spans="1:28" ht="15">
      <c r="A741" s="153"/>
      <c r="B741" s="153"/>
      <c r="C741" s="153"/>
      <c r="D741" s="153"/>
      <c r="E741" s="153"/>
      <c r="F741" s="153"/>
      <c r="G741" s="153"/>
      <c r="H741" s="153"/>
      <c r="I741" s="153"/>
      <c r="J741" s="153"/>
      <c r="K741" s="153"/>
      <c r="L741" s="153"/>
      <c r="M741" s="153"/>
      <c r="N741" s="153"/>
      <c r="O741" s="153"/>
      <c r="P741" s="153"/>
      <c r="Q741" s="153"/>
      <c r="R741" s="153"/>
      <c r="S741" s="153"/>
      <c r="T741" s="153"/>
      <c r="U741" s="153"/>
      <c r="V741" s="153"/>
      <c r="W741" s="153"/>
      <c r="X741" s="153"/>
      <c r="Y741" s="153"/>
      <c r="Z741" s="153"/>
      <c r="AA741" s="153"/>
      <c r="AB741" s="153"/>
    </row>
    <row r="742" spans="1:28" ht="15">
      <c r="A742" s="153"/>
      <c r="B742" s="153"/>
      <c r="C742" s="153"/>
      <c r="D742" s="153"/>
      <c r="E742" s="153"/>
      <c r="F742" s="153"/>
      <c r="G742" s="153"/>
      <c r="H742" s="153"/>
      <c r="I742" s="153"/>
      <c r="J742" s="153"/>
      <c r="K742" s="153"/>
      <c r="L742" s="153"/>
      <c r="M742" s="153"/>
      <c r="N742" s="153"/>
      <c r="O742" s="153"/>
      <c r="P742" s="153"/>
      <c r="Q742" s="153"/>
      <c r="R742" s="153"/>
      <c r="S742" s="153"/>
      <c r="T742" s="153"/>
      <c r="U742" s="153"/>
      <c r="V742" s="153"/>
      <c r="W742" s="153"/>
      <c r="X742" s="153"/>
      <c r="Y742" s="153"/>
      <c r="Z742" s="153"/>
      <c r="AA742" s="153"/>
      <c r="AB742" s="153"/>
    </row>
    <row r="743" spans="1:28" ht="15">
      <c r="A743" s="153"/>
      <c r="B743" s="153"/>
      <c r="C743" s="153"/>
      <c r="D743" s="153"/>
      <c r="E743" s="153"/>
      <c r="F743" s="153"/>
      <c r="G743" s="153"/>
      <c r="H743" s="153"/>
      <c r="I743" s="153"/>
      <c r="J743" s="153"/>
      <c r="K743" s="153"/>
      <c r="L743" s="153"/>
      <c r="M743" s="153"/>
      <c r="N743" s="153"/>
      <c r="O743" s="153"/>
      <c r="P743" s="153"/>
      <c r="Q743" s="153"/>
      <c r="R743" s="153"/>
      <c r="S743" s="153"/>
      <c r="T743" s="153"/>
      <c r="U743" s="153"/>
      <c r="V743" s="153"/>
      <c r="W743" s="153"/>
      <c r="X743" s="153"/>
      <c r="Y743" s="153"/>
      <c r="Z743" s="153"/>
      <c r="AA743" s="153"/>
      <c r="AB743" s="153"/>
    </row>
    <row r="744" spans="1:28" ht="15">
      <c r="A744" s="153"/>
      <c r="B744" s="153"/>
      <c r="C744" s="153"/>
      <c r="D744" s="153"/>
      <c r="E744" s="153"/>
      <c r="F744" s="153"/>
      <c r="G744" s="153"/>
      <c r="H744" s="153"/>
      <c r="I744" s="153"/>
      <c r="J744" s="153"/>
      <c r="K744" s="153"/>
      <c r="L744" s="153"/>
      <c r="M744" s="153"/>
      <c r="N744" s="153"/>
      <c r="O744" s="153"/>
      <c r="P744" s="153"/>
      <c r="Q744" s="153"/>
      <c r="R744" s="153"/>
      <c r="S744" s="153"/>
      <c r="T744" s="153"/>
      <c r="U744" s="153"/>
      <c r="V744" s="153"/>
      <c r="W744" s="153"/>
      <c r="X744" s="153"/>
      <c r="Y744" s="153"/>
      <c r="Z744" s="153"/>
      <c r="AA744" s="153"/>
      <c r="AB744" s="153"/>
    </row>
    <row r="745" spans="1:28" ht="15">
      <c r="A745" s="153"/>
      <c r="B745" s="153"/>
      <c r="C745" s="153"/>
      <c r="D745" s="153"/>
      <c r="E745" s="153"/>
      <c r="F745" s="153"/>
      <c r="G745" s="153"/>
      <c r="H745" s="153"/>
      <c r="I745" s="153"/>
      <c r="J745" s="153"/>
      <c r="K745" s="153"/>
      <c r="L745" s="153"/>
      <c r="M745" s="153"/>
      <c r="N745" s="153"/>
      <c r="O745" s="153"/>
      <c r="P745" s="153"/>
      <c r="Q745" s="153"/>
      <c r="R745" s="153"/>
      <c r="S745" s="153"/>
      <c r="T745" s="153"/>
      <c r="U745" s="153"/>
      <c r="V745" s="153"/>
      <c r="W745" s="153"/>
      <c r="X745" s="153"/>
      <c r="Y745" s="153"/>
      <c r="Z745" s="153"/>
      <c r="AA745" s="153"/>
      <c r="AB745" s="153"/>
    </row>
    <row r="746" spans="1:28" ht="15">
      <c r="A746" s="153"/>
      <c r="B746" s="153"/>
      <c r="C746" s="153"/>
      <c r="D746" s="153"/>
      <c r="E746" s="153"/>
      <c r="F746" s="153"/>
      <c r="G746" s="153"/>
      <c r="H746" s="153"/>
      <c r="I746" s="153"/>
      <c r="J746" s="153"/>
      <c r="K746" s="153"/>
      <c r="L746" s="153"/>
      <c r="M746" s="153"/>
      <c r="N746" s="153"/>
      <c r="O746" s="153"/>
      <c r="P746" s="153"/>
      <c r="Q746" s="153"/>
      <c r="R746" s="153"/>
      <c r="S746" s="153"/>
      <c r="T746" s="153"/>
      <c r="U746" s="153"/>
      <c r="V746" s="153"/>
      <c r="W746" s="153"/>
      <c r="X746" s="153"/>
      <c r="Y746" s="153"/>
      <c r="Z746" s="153"/>
      <c r="AA746" s="153"/>
      <c r="AB746" s="153"/>
    </row>
    <row r="747" spans="1:28" ht="15">
      <c r="A747" s="153"/>
      <c r="B747" s="153"/>
      <c r="C747" s="153"/>
      <c r="D747" s="153"/>
      <c r="E747" s="153"/>
      <c r="F747" s="153"/>
      <c r="G747" s="153"/>
      <c r="H747" s="153"/>
      <c r="I747" s="153"/>
      <c r="J747" s="153"/>
      <c r="K747" s="153"/>
      <c r="L747" s="153"/>
      <c r="M747" s="153"/>
      <c r="N747" s="153"/>
      <c r="O747" s="153"/>
      <c r="P747" s="153"/>
      <c r="Q747" s="153"/>
      <c r="R747" s="153"/>
      <c r="S747" s="153"/>
      <c r="T747" s="153"/>
      <c r="U747" s="153"/>
      <c r="V747" s="153"/>
      <c r="W747" s="153"/>
      <c r="X747" s="153"/>
      <c r="Y747" s="153"/>
      <c r="Z747" s="153"/>
      <c r="AA747" s="153"/>
      <c r="AB747" s="153"/>
    </row>
    <row r="748" spans="1:28" ht="15">
      <c r="A748" s="153"/>
      <c r="B748" s="153"/>
      <c r="C748" s="153"/>
      <c r="D748" s="153"/>
      <c r="E748" s="153"/>
      <c r="F748" s="153"/>
      <c r="G748" s="153"/>
      <c r="H748" s="153"/>
      <c r="I748" s="153"/>
      <c r="J748" s="153"/>
      <c r="K748" s="153"/>
      <c r="L748" s="153"/>
      <c r="M748" s="153"/>
      <c r="N748" s="153"/>
      <c r="O748" s="153"/>
      <c r="P748" s="153"/>
      <c r="Q748" s="153"/>
      <c r="R748" s="153"/>
      <c r="S748" s="153"/>
      <c r="T748" s="153"/>
      <c r="U748" s="153"/>
      <c r="V748" s="153"/>
      <c r="W748" s="153"/>
      <c r="X748" s="153"/>
      <c r="Y748" s="153"/>
      <c r="Z748" s="153"/>
      <c r="AA748" s="153"/>
      <c r="AB748" s="153"/>
    </row>
    <row r="749" spans="1:28" ht="15">
      <c r="A749" s="153"/>
      <c r="B749" s="153"/>
      <c r="C749" s="153"/>
      <c r="D749" s="153"/>
      <c r="E749" s="153"/>
      <c r="F749" s="153"/>
      <c r="G749" s="153"/>
      <c r="H749" s="153"/>
      <c r="I749" s="153"/>
      <c r="J749" s="153"/>
      <c r="K749" s="153"/>
      <c r="L749" s="153"/>
      <c r="M749" s="153"/>
      <c r="N749" s="153"/>
      <c r="O749" s="153"/>
      <c r="P749" s="153"/>
      <c r="Q749" s="153"/>
      <c r="R749" s="153"/>
      <c r="S749" s="153"/>
      <c r="T749" s="153"/>
      <c r="U749" s="153"/>
      <c r="V749" s="153"/>
      <c r="W749" s="153"/>
      <c r="X749" s="153"/>
      <c r="Y749" s="153"/>
      <c r="Z749" s="153"/>
      <c r="AA749" s="153"/>
      <c r="AB749" s="153"/>
    </row>
    <row r="750" spans="1:28" ht="15">
      <c r="A750" s="153"/>
      <c r="B750" s="153"/>
      <c r="C750" s="153"/>
      <c r="D750" s="153"/>
      <c r="E750" s="153"/>
      <c r="F750" s="153"/>
      <c r="G750" s="153"/>
      <c r="H750" s="153"/>
      <c r="I750" s="153"/>
      <c r="J750" s="153"/>
      <c r="K750" s="153"/>
      <c r="L750" s="153"/>
      <c r="M750" s="153"/>
      <c r="N750" s="153"/>
      <c r="O750" s="153"/>
      <c r="P750" s="153"/>
      <c r="Q750" s="153"/>
      <c r="R750" s="153"/>
      <c r="S750" s="153"/>
      <c r="T750" s="153"/>
      <c r="U750" s="153"/>
      <c r="V750" s="153"/>
      <c r="W750" s="153"/>
      <c r="X750" s="153"/>
      <c r="Y750" s="153"/>
      <c r="Z750" s="153"/>
      <c r="AA750" s="153"/>
      <c r="AB750" s="153"/>
    </row>
    <row r="751" spans="1:28" ht="15">
      <c r="A751" s="153"/>
      <c r="B751" s="153"/>
      <c r="C751" s="153"/>
      <c r="D751" s="153"/>
      <c r="E751" s="153"/>
      <c r="F751" s="153"/>
      <c r="G751" s="153"/>
      <c r="H751" s="153"/>
      <c r="I751" s="153"/>
      <c r="J751" s="153"/>
      <c r="K751" s="153"/>
      <c r="L751" s="153"/>
      <c r="M751" s="153"/>
      <c r="N751" s="153"/>
      <c r="O751" s="153"/>
      <c r="P751" s="153"/>
      <c r="Q751" s="153"/>
      <c r="R751" s="153"/>
      <c r="S751" s="153"/>
      <c r="T751" s="153"/>
      <c r="U751" s="153"/>
      <c r="V751" s="153"/>
      <c r="W751" s="153"/>
      <c r="X751" s="153"/>
      <c r="Y751" s="153"/>
      <c r="Z751" s="153"/>
      <c r="AA751" s="153"/>
      <c r="AB751" s="153"/>
    </row>
    <row r="752" spans="1:28" ht="15">
      <c r="A752" s="153"/>
      <c r="B752" s="153"/>
      <c r="C752" s="153"/>
      <c r="D752" s="153"/>
      <c r="E752" s="153"/>
      <c r="F752" s="153"/>
      <c r="G752" s="153"/>
      <c r="H752" s="153"/>
      <c r="I752" s="153"/>
      <c r="J752" s="153"/>
      <c r="K752" s="153"/>
      <c r="L752" s="153"/>
      <c r="M752" s="153"/>
      <c r="N752" s="153"/>
      <c r="O752" s="153"/>
      <c r="P752" s="153"/>
      <c r="Q752" s="153"/>
      <c r="R752" s="153"/>
      <c r="S752" s="153"/>
      <c r="T752" s="153"/>
      <c r="U752" s="153"/>
      <c r="V752" s="153"/>
      <c r="W752" s="153"/>
      <c r="X752" s="153"/>
      <c r="Y752" s="153"/>
      <c r="Z752" s="153"/>
      <c r="AA752" s="153"/>
      <c r="AB752" s="153"/>
    </row>
    <row r="753" spans="1:28" ht="15">
      <c r="A753" s="153"/>
      <c r="B753" s="153"/>
      <c r="C753" s="153"/>
      <c r="D753" s="153"/>
      <c r="E753" s="153"/>
      <c r="F753" s="153"/>
      <c r="G753" s="153"/>
      <c r="H753" s="153"/>
      <c r="I753" s="153"/>
      <c r="J753" s="153"/>
      <c r="K753" s="153"/>
      <c r="L753" s="153"/>
      <c r="M753" s="153"/>
      <c r="N753" s="153"/>
      <c r="O753" s="153"/>
      <c r="P753" s="153"/>
      <c r="Q753" s="153"/>
      <c r="R753" s="153"/>
      <c r="S753" s="153"/>
      <c r="T753" s="153"/>
      <c r="U753" s="153"/>
      <c r="V753" s="153"/>
      <c r="W753" s="153"/>
      <c r="X753" s="153"/>
      <c r="Y753" s="153"/>
      <c r="Z753" s="153"/>
      <c r="AA753" s="153"/>
      <c r="AB753" s="153"/>
    </row>
    <row r="754" spans="1:28" ht="15">
      <c r="A754" s="153"/>
      <c r="B754" s="153"/>
      <c r="C754" s="153"/>
      <c r="D754" s="153"/>
      <c r="E754" s="153"/>
      <c r="F754" s="153"/>
      <c r="G754" s="153"/>
      <c r="H754" s="153"/>
      <c r="I754" s="153"/>
      <c r="J754" s="153"/>
      <c r="K754" s="153"/>
      <c r="L754" s="153"/>
      <c r="M754" s="153"/>
      <c r="N754" s="153"/>
      <c r="O754" s="153"/>
      <c r="P754" s="153"/>
      <c r="Q754" s="153"/>
      <c r="R754" s="153"/>
      <c r="S754" s="153"/>
      <c r="T754" s="153"/>
      <c r="U754" s="153"/>
      <c r="V754" s="153"/>
      <c r="W754" s="153"/>
      <c r="X754" s="153"/>
      <c r="Y754" s="153"/>
      <c r="Z754" s="153"/>
      <c r="AA754" s="153"/>
      <c r="AB754" s="153"/>
    </row>
    <row r="755" spans="1:28" ht="15">
      <c r="A755" s="153"/>
      <c r="B755" s="153"/>
      <c r="C755" s="153"/>
      <c r="D755" s="153"/>
      <c r="E755" s="153"/>
      <c r="F755" s="153"/>
      <c r="G755" s="153"/>
      <c r="H755" s="153"/>
      <c r="I755" s="153"/>
      <c r="J755" s="153"/>
      <c r="K755" s="153"/>
      <c r="L755" s="153"/>
      <c r="M755" s="153"/>
      <c r="N755" s="153"/>
      <c r="O755" s="153"/>
      <c r="P755" s="153"/>
      <c r="Q755" s="153"/>
      <c r="R755" s="153"/>
      <c r="S755" s="153"/>
      <c r="T755" s="153"/>
      <c r="U755" s="153"/>
      <c r="V755" s="153"/>
      <c r="W755" s="153"/>
      <c r="X755" s="153"/>
      <c r="Y755" s="153"/>
      <c r="Z755" s="153"/>
      <c r="AA755" s="153"/>
      <c r="AB755" s="153"/>
    </row>
    <row r="756" spans="1:28" ht="15">
      <c r="A756" s="153"/>
      <c r="B756" s="153"/>
      <c r="C756" s="153"/>
      <c r="D756" s="153"/>
      <c r="E756" s="153"/>
      <c r="F756" s="153"/>
      <c r="G756" s="153"/>
      <c r="H756" s="153"/>
      <c r="I756" s="153"/>
      <c r="J756" s="153"/>
      <c r="K756" s="153"/>
      <c r="L756" s="153"/>
      <c r="M756" s="153"/>
      <c r="N756" s="153"/>
      <c r="O756" s="153"/>
      <c r="P756" s="153"/>
      <c r="Q756" s="153"/>
      <c r="R756" s="153"/>
      <c r="S756" s="153"/>
      <c r="T756" s="153"/>
      <c r="U756" s="153"/>
      <c r="V756" s="153"/>
      <c r="W756" s="153"/>
      <c r="X756" s="153"/>
      <c r="Y756" s="153"/>
      <c r="Z756" s="153"/>
      <c r="AA756" s="153"/>
      <c r="AB756" s="153"/>
    </row>
    <row r="757" spans="1:28" ht="15">
      <c r="A757" s="153"/>
      <c r="B757" s="153"/>
      <c r="C757" s="153"/>
      <c r="D757" s="153"/>
      <c r="E757" s="153"/>
      <c r="F757" s="153"/>
      <c r="G757" s="153"/>
      <c r="H757" s="153"/>
      <c r="I757" s="153"/>
      <c r="J757" s="153"/>
      <c r="K757" s="153"/>
      <c r="L757" s="153"/>
      <c r="M757" s="153"/>
      <c r="N757" s="153"/>
      <c r="O757" s="153"/>
      <c r="P757" s="153"/>
      <c r="Q757" s="153"/>
      <c r="R757" s="153"/>
      <c r="S757" s="153"/>
      <c r="T757" s="153"/>
      <c r="U757" s="153"/>
      <c r="V757" s="153"/>
      <c r="W757" s="153"/>
      <c r="X757" s="153"/>
      <c r="Y757" s="153"/>
      <c r="Z757" s="153"/>
      <c r="AA757" s="153"/>
      <c r="AB757" s="153"/>
    </row>
    <row r="758" spans="1:28" ht="15">
      <c r="A758" s="153"/>
      <c r="B758" s="153"/>
      <c r="C758" s="153"/>
      <c r="D758" s="153"/>
      <c r="E758" s="153"/>
      <c r="F758" s="153"/>
      <c r="G758" s="153"/>
      <c r="H758" s="153"/>
      <c r="I758" s="153"/>
      <c r="J758" s="153"/>
      <c r="K758" s="153"/>
      <c r="L758" s="153"/>
      <c r="M758" s="153"/>
      <c r="N758" s="153"/>
      <c r="O758" s="153"/>
      <c r="P758" s="153"/>
      <c r="Q758" s="153"/>
      <c r="R758" s="153"/>
      <c r="S758" s="153"/>
      <c r="T758" s="153"/>
      <c r="U758" s="153"/>
      <c r="V758" s="153"/>
      <c r="W758" s="153"/>
      <c r="X758" s="153"/>
      <c r="Y758" s="153"/>
      <c r="Z758" s="153"/>
      <c r="AA758" s="153"/>
      <c r="AB758" s="153"/>
    </row>
    <row r="759" spans="1:28" ht="15">
      <c r="A759" s="153"/>
      <c r="B759" s="153"/>
      <c r="C759" s="153"/>
      <c r="D759" s="153"/>
      <c r="E759" s="153"/>
      <c r="F759" s="153"/>
      <c r="G759" s="153"/>
      <c r="H759" s="153"/>
      <c r="I759" s="153"/>
      <c r="J759" s="153"/>
      <c r="K759" s="153"/>
      <c r="L759" s="153"/>
      <c r="M759" s="153"/>
      <c r="N759" s="153"/>
      <c r="O759" s="153"/>
      <c r="P759" s="153"/>
      <c r="Q759" s="153"/>
      <c r="R759" s="153"/>
      <c r="S759" s="153"/>
      <c r="T759" s="153"/>
      <c r="U759" s="153"/>
      <c r="V759" s="153"/>
      <c r="W759" s="153"/>
      <c r="X759" s="153"/>
      <c r="Y759" s="153"/>
      <c r="Z759" s="153"/>
      <c r="AA759" s="153"/>
      <c r="AB759" s="153"/>
    </row>
    <row r="760" spans="1:28" ht="15">
      <c r="A760" s="153"/>
      <c r="B760" s="153"/>
      <c r="C760" s="153"/>
      <c r="D760" s="153"/>
      <c r="E760" s="153"/>
      <c r="F760" s="153"/>
      <c r="G760" s="153"/>
      <c r="H760" s="153"/>
      <c r="I760" s="153"/>
      <c r="J760" s="153"/>
      <c r="K760" s="153"/>
      <c r="L760" s="153"/>
      <c r="M760" s="153"/>
      <c r="N760" s="153"/>
      <c r="O760" s="153"/>
      <c r="P760" s="153"/>
      <c r="Q760" s="153"/>
      <c r="R760" s="153"/>
      <c r="S760" s="153"/>
      <c r="T760" s="153"/>
      <c r="U760" s="153"/>
      <c r="V760" s="153"/>
      <c r="W760" s="153"/>
      <c r="X760" s="153"/>
      <c r="Y760" s="153"/>
      <c r="Z760" s="153"/>
      <c r="AA760" s="153"/>
      <c r="AB760" s="153"/>
    </row>
    <row r="761" spans="1:28" ht="15">
      <c r="A761" s="153"/>
      <c r="B761" s="153"/>
      <c r="C761" s="153"/>
      <c r="D761" s="153"/>
      <c r="E761" s="153"/>
      <c r="F761" s="153"/>
      <c r="G761" s="153"/>
      <c r="H761" s="153"/>
      <c r="I761" s="153"/>
      <c r="J761" s="153"/>
      <c r="K761" s="153"/>
      <c r="L761" s="153"/>
      <c r="M761" s="153"/>
      <c r="N761" s="153"/>
      <c r="O761" s="153"/>
      <c r="P761" s="153"/>
      <c r="Q761" s="153"/>
      <c r="R761" s="153"/>
      <c r="S761" s="153"/>
      <c r="T761" s="153"/>
      <c r="U761" s="153"/>
      <c r="V761" s="153"/>
      <c r="W761" s="153"/>
      <c r="X761" s="153"/>
      <c r="Y761" s="153"/>
      <c r="Z761" s="153"/>
      <c r="AA761" s="153"/>
      <c r="AB761" s="153"/>
    </row>
    <row r="762" spans="1:28" ht="15">
      <c r="A762" s="153"/>
      <c r="B762" s="153"/>
      <c r="C762" s="153"/>
      <c r="D762" s="153"/>
      <c r="E762" s="153"/>
      <c r="F762" s="153"/>
      <c r="G762" s="153"/>
      <c r="H762" s="153"/>
      <c r="I762" s="153"/>
      <c r="J762" s="153"/>
      <c r="K762" s="153"/>
      <c r="L762" s="153"/>
      <c r="M762" s="153"/>
      <c r="N762" s="153"/>
      <c r="O762" s="153"/>
      <c r="P762" s="153"/>
      <c r="Q762" s="153"/>
      <c r="R762" s="153"/>
      <c r="S762" s="153"/>
      <c r="T762" s="153"/>
      <c r="U762" s="153"/>
      <c r="V762" s="153"/>
      <c r="W762" s="153"/>
      <c r="X762" s="153"/>
      <c r="Y762" s="153"/>
      <c r="Z762" s="153"/>
      <c r="AA762" s="153"/>
      <c r="AB762" s="153"/>
    </row>
    <row r="763" spans="1:28" ht="15">
      <c r="A763" s="153"/>
      <c r="B763" s="153"/>
      <c r="C763" s="153"/>
      <c r="D763" s="153"/>
      <c r="E763" s="153"/>
      <c r="F763" s="153"/>
      <c r="G763" s="153"/>
      <c r="H763" s="153"/>
      <c r="I763" s="153"/>
      <c r="J763" s="153"/>
      <c r="K763" s="153"/>
      <c r="L763" s="153"/>
      <c r="M763" s="153"/>
      <c r="N763" s="153"/>
      <c r="O763" s="153"/>
      <c r="P763" s="153"/>
      <c r="Q763" s="153"/>
      <c r="R763" s="153"/>
      <c r="S763" s="153"/>
      <c r="T763" s="153"/>
      <c r="U763" s="153"/>
      <c r="V763" s="153"/>
      <c r="W763" s="153"/>
      <c r="X763" s="153"/>
      <c r="Y763" s="153"/>
      <c r="Z763" s="153"/>
      <c r="AA763" s="153"/>
      <c r="AB763" s="153"/>
    </row>
    <row r="764" spans="1:28" ht="15">
      <c r="A764" s="153"/>
      <c r="B764" s="153"/>
      <c r="C764" s="153"/>
      <c r="D764" s="153"/>
      <c r="E764" s="153"/>
      <c r="F764" s="153"/>
      <c r="G764" s="153"/>
      <c r="H764" s="153"/>
      <c r="I764" s="153"/>
      <c r="J764" s="153"/>
      <c r="K764" s="153"/>
      <c r="L764" s="153"/>
      <c r="M764" s="153"/>
      <c r="N764" s="153"/>
      <c r="O764" s="153"/>
      <c r="P764" s="153"/>
      <c r="Q764" s="153"/>
      <c r="R764" s="153"/>
      <c r="S764" s="153"/>
      <c r="T764" s="153"/>
      <c r="U764" s="153"/>
      <c r="V764" s="153"/>
      <c r="W764" s="153"/>
      <c r="X764" s="153"/>
      <c r="Y764" s="153"/>
      <c r="Z764" s="153"/>
      <c r="AA764" s="153"/>
      <c r="AB764" s="153"/>
    </row>
    <row r="765" spans="1:28" ht="15">
      <c r="A765" s="153"/>
      <c r="B765" s="153"/>
      <c r="C765" s="153"/>
      <c r="D765" s="153"/>
      <c r="E765" s="153"/>
      <c r="F765" s="153"/>
      <c r="G765" s="153"/>
      <c r="H765" s="153"/>
      <c r="I765" s="153"/>
      <c r="J765" s="153"/>
      <c r="K765" s="153"/>
      <c r="L765" s="153"/>
      <c r="M765" s="153"/>
      <c r="N765" s="153"/>
      <c r="O765" s="153"/>
      <c r="P765" s="153"/>
      <c r="Q765" s="153"/>
      <c r="R765" s="153"/>
      <c r="S765" s="153"/>
      <c r="T765" s="153"/>
      <c r="U765" s="153"/>
      <c r="V765" s="153"/>
      <c r="W765" s="153"/>
      <c r="X765" s="153"/>
      <c r="Y765" s="153"/>
      <c r="Z765" s="153"/>
      <c r="AA765" s="153"/>
      <c r="AB765" s="153"/>
    </row>
    <row r="766" spans="1:28" ht="15">
      <c r="A766" s="153"/>
      <c r="B766" s="153"/>
      <c r="C766" s="153"/>
      <c r="D766" s="153"/>
      <c r="E766" s="153"/>
      <c r="F766" s="153"/>
      <c r="G766" s="153"/>
      <c r="H766" s="153"/>
      <c r="I766" s="153"/>
      <c r="J766" s="153"/>
      <c r="K766" s="153"/>
      <c r="L766" s="153"/>
      <c r="M766" s="153"/>
      <c r="N766" s="153"/>
      <c r="O766" s="153"/>
      <c r="P766" s="153"/>
      <c r="Q766" s="153"/>
      <c r="R766" s="153"/>
      <c r="S766" s="153"/>
      <c r="T766" s="153"/>
      <c r="U766" s="153"/>
      <c r="V766" s="153"/>
      <c r="W766" s="153"/>
      <c r="X766" s="153"/>
      <c r="Y766" s="153"/>
      <c r="Z766" s="153"/>
      <c r="AA766" s="153"/>
      <c r="AB766" s="153"/>
    </row>
    <row r="767" spans="1:28" ht="15">
      <c r="A767" s="153"/>
      <c r="B767" s="153"/>
      <c r="C767" s="153"/>
      <c r="D767" s="153"/>
      <c r="E767" s="153"/>
      <c r="F767" s="153"/>
      <c r="G767" s="153"/>
      <c r="H767" s="153"/>
      <c r="I767" s="153"/>
      <c r="J767" s="153"/>
      <c r="K767" s="153"/>
      <c r="L767" s="153"/>
      <c r="M767" s="153"/>
      <c r="N767" s="153"/>
      <c r="O767" s="153"/>
      <c r="P767" s="153"/>
      <c r="Q767" s="153"/>
      <c r="R767" s="153"/>
      <c r="S767" s="153"/>
      <c r="T767" s="153"/>
      <c r="U767" s="153"/>
      <c r="V767" s="153"/>
      <c r="W767" s="153"/>
      <c r="X767" s="153"/>
      <c r="Y767" s="153"/>
      <c r="Z767" s="153"/>
      <c r="AA767" s="153"/>
      <c r="AB767" s="153"/>
    </row>
    <row r="768" spans="1:28" ht="15">
      <c r="A768" s="153"/>
      <c r="B768" s="153"/>
      <c r="C768" s="153"/>
      <c r="D768" s="153"/>
      <c r="E768" s="153"/>
      <c r="F768" s="153"/>
      <c r="G768" s="153"/>
      <c r="H768" s="153"/>
      <c r="I768" s="153"/>
      <c r="J768" s="153"/>
      <c r="K768" s="153"/>
      <c r="L768" s="153"/>
      <c r="M768" s="153"/>
      <c r="N768" s="153"/>
      <c r="O768" s="153"/>
      <c r="P768" s="153"/>
      <c r="Q768" s="153"/>
      <c r="R768" s="153"/>
      <c r="S768" s="153"/>
      <c r="T768" s="153"/>
      <c r="U768" s="153"/>
      <c r="V768" s="153"/>
      <c r="W768" s="153"/>
      <c r="X768" s="153"/>
      <c r="Y768" s="153"/>
      <c r="Z768" s="153"/>
      <c r="AA768" s="153"/>
      <c r="AB768" s="153"/>
    </row>
    <row r="769" spans="1:28" ht="15">
      <c r="A769" s="153"/>
      <c r="B769" s="153"/>
      <c r="C769" s="153"/>
      <c r="D769" s="153"/>
      <c r="E769" s="153"/>
      <c r="F769" s="153"/>
      <c r="G769" s="153"/>
      <c r="H769" s="153"/>
      <c r="I769" s="153"/>
      <c r="J769" s="153"/>
      <c r="K769" s="153"/>
      <c r="L769" s="153"/>
      <c r="M769" s="153"/>
      <c r="N769" s="153"/>
      <c r="O769" s="153"/>
      <c r="P769" s="153"/>
      <c r="Q769" s="153"/>
      <c r="R769" s="153"/>
      <c r="S769" s="153"/>
      <c r="T769" s="153"/>
      <c r="U769" s="153"/>
      <c r="V769" s="153"/>
      <c r="W769" s="153"/>
      <c r="X769" s="153"/>
      <c r="Y769" s="153"/>
      <c r="Z769" s="153"/>
      <c r="AA769" s="153"/>
      <c r="AB769" s="153"/>
    </row>
    <row r="770" spans="1:28" ht="15">
      <c r="A770" s="153"/>
      <c r="B770" s="153"/>
      <c r="C770" s="153"/>
      <c r="D770" s="153"/>
      <c r="E770" s="153"/>
      <c r="F770" s="153"/>
      <c r="G770" s="153"/>
      <c r="H770" s="153"/>
      <c r="I770" s="153"/>
      <c r="J770" s="153"/>
      <c r="K770" s="153"/>
      <c r="L770" s="153"/>
      <c r="M770" s="153"/>
      <c r="N770" s="153"/>
      <c r="O770" s="153"/>
      <c r="P770" s="153"/>
      <c r="Q770" s="153"/>
      <c r="R770" s="153"/>
      <c r="S770" s="153"/>
      <c r="T770" s="153"/>
      <c r="U770" s="153"/>
      <c r="V770" s="153"/>
      <c r="W770" s="153"/>
      <c r="X770" s="153"/>
      <c r="Y770" s="153"/>
      <c r="Z770" s="153"/>
      <c r="AA770" s="153"/>
      <c r="AB770" s="153"/>
    </row>
    <row r="771" spans="1:28" ht="15">
      <c r="A771" s="153"/>
      <c r="B771" s="153"/>
      <c r="C771" s="153"/>
      <c r="D771" s="153"/>
      <c r="E771" s="153"/>
      <c r="F771" s="153"/>
      <c r="G771" s="153"/>
      <c r="H771" s="153"/>
      <c r="I771" s="153"/>
      <c r="J771" s="153"/>
      <c r="K771" s="153"/>
      <c r="L771" s="153"/>
      <c r="M771" s="153"/>
      <c r="N771" s="153"/>
      <c r="O771" s="153"/>
      <c r="P771" s="153"/>
      <c r="Q771" s="153"/>
      <c r="R771" s="153"/>
      <c r="S771" s="153"/>
      <c r="T771" s="153"/>
      <c r="U771" s="153"/>
      <c r="V771" s="153"/>
      <c r="W771" s="153"/>
      <c r="X771" s="153"/>
      <c r="Y771" s="153"/>
      <c r="Z771" s="153"/>
      <c r="AA771" s="153"/>
      <c r="AB771" s="153"/>
    </row>
    <row r="772" spans="1:28" ht="15">
      <c r="A772" s="153"/>
      <c r="B772" s="153"/>
      <c r="C772" s="153"/>
      <c r="D772" s="153"/>
      <c r="E772" s="153"/>
      <c r="F772" s="153"/>
      <c r="G772" s="153"/>
      <c r="H772" s="153"/>
      <c r="I772" s="153"/>
      <c r="J772" s="153"/>
      <c r="K772" s="153"/>
      <c r="L772" s="153"/>
      <c r="M772" s="153"/>
      <c r="N772" s="153"/>
      <c r="O772" s="153"/>
      <c r="P772" s="153"/>
      <c r="Q772" s="153"/>
      <c r="R772" s="153"/>
      <c r="S772" s="153"/>
      <c r="T772" s="153"/>
      <c r="U772" s="153"/>
      <c r="V772" s="153"/>
      <c r="W772" s="153"/>
      <c r="X772" s="153"/>
      <c r="Y772" s="153"/>
      <c r="Z772" s="153"/>
      <c r="AA772" s="153"/>
      <c r="AB772" s="153"/>
    </row>
    <row r="773" spans="1:28" ht="15">
      <c r="A773" s="153"/>
      <c r="B773" s="153"/>
      <c r="C773" s="153"/>
      <c r="D773" s="153"/>
      <c r="E773" s="153"/>
      <c r="F773" s="153"/>
      <c r="G773" s="153"/>
      <c r="H773" s="153"/>
      <c r="I773" s="153"/>
      <c r="J773" s="153"/>
      <c r="K773" s="153"/>
      <c r="L773" s="153"/>
      <c r="M773" s="153"/>
      <c r="N773" s="153"/>
      <c r="O773" s="153"/>
      <c r="P773" s="153"/>
      <c r="Q773" s="153"/>
      <c r="R773" s="153"/>
      <c r="S773" s="153"/>
      <c r="T773" s="153"/>
      <c r="U773" s="153"/>
      <c r="V773" s="153"/>
      <c r="W773" s="153"/>
      <c r="X773" s="153"/>
      <c r="Y773" s="153"/>
      <c r="Z773" s="153"/>
      <c r="AA773" s="153"/>
      <c r="AB773" s="153"/>
    </row>
    <row r="774" spans="1:28" ht="15">
      <c r="A774" s="153"/>
      <c r="B774" s="153"/>
      <c r="C774" s="153"/>
      <c r="D774" s="153"/>
      <c r="E774" s="153"/>
      <c r="F774" s="153"/>
      <c r="G774" s="153"/>
      <c r="H774" s="153"/>
      <c r="I774" s="153"/>
      <c r="J774" s="153"/>
      <c r="K774" s="153"/>
      <c r="L774" s="153"/>
      <c r="M774" s="153"/>
      <c r="N774" s="153"/>
      <c r="O774" s="153"/>
      <c r="P774" s="153"/>
      <c r="Q774" s="153"/>
      <c r="R774" s="153"/>
      <c r="S774" s="153"/>
      <c r="T774" s="153"/>
      <c r="U774" s="153"/>
      <c r="V774" s="153"/>
      <c r="W774" s="153"/>
      <c r="X774" s="153"/>
      <c r="Y774" s="153"/>
      <c r="Z774" s="153"/>
      <c r="AA774" s="153"/>
      <c r="AB774" s="153"/>
    </row>
    <row r="775" spans="1:28" ht="15">
      <c r="A775" s="153"/>
      <c r="B775" s="153"/>
      <c r="C775" s="153"/>
      <c r="D775" s="153"/>
      <c r="E775" s="153"/>
      <c r="F775" s="153"/>
      <c r="G775" s="153"/>
      <c r="H775" s="153"/>
      <c r="I775" s="153"/>
      <c r="J775" s="153"/>
      <c r="K775" s="153"/>
      <c r="L775" s="153"/>
      <c r="M775" s="153"/>
      <c r="N775" s="153"/>
      <c r="O775" s="153"/>
      <c r="P775" s="153"/>
      <c r="Q775" s="153"/>
      <c r="R775" s="153"/>
      <c r="S775" s="153"/>
      <c r="T775" s="153"/>
      <c r="U775" s="153"/>
      <c r="V775" s="153"/>
      <c r="W775" s="153"/>
      <c r="X775" s="153"/>
      <c r="Y775" s="153"/>
      <c r="Z775" s="153"/>
      <c r="AA775" s="153"/>
      <c r="AB775" s="153"/>
    </row>
    <row r="776" spans="1:28" ht="15">
      <c r="A776" s="153"/>
      <c r="B776" s="153"/>
      <c r="C776" s="153"/>
      <c r="D776" s="153"/>
      <c r="E776" s="153"/>
      <c r="F776" s="153"/>
      <c r="G776" s="153"/>
      <c r="H776" s="153"/>
      <c r="I776" s="153"/>
      <c r="J776" s="153"/>
      <c r="K776" s="153"/>
      <c r="L776" s="153"/>
      <c r="M776" s="153"/>
      <c r="N776" s="153"/>
      <c r="O776" s="153"/>
      <c r="P776" s="153"/>
      <c r="Q776" s="153"/>
      <c r="R776" s="153"/>
      <c r="S776" s="153"/>
      <c r="T776" s="153"/>
      <c r="U776" s="153"/>
      <c r="V776" s="153"/>
      <c r="W776" s="153"/>
      <c r="X776" s="153"/>
      <c r="Y776" s="153"/>
      <c r="Z776" s="153"/>
      <c r="AA776" s="153"/>
      <c r="AB776" s="153"/>
    </row>
    <row r="777" spans="1:28" ht="15">
      <c r="A777" s="153"/>
      <c r="B777" s="153"/>
      <c r="C777" s="153"/>
      <c r="D777" s="153"/>
      <c r="E777" s="153"/>
      <c r="F777" s="153"/>
      <c r="G777" s="153"/>
      <c r="H777" s="153"/>
      <c r="I777" s="153"/>
      <c r="J777" s="153"/>
      <c r="K777" s="153"/>
      <c r="L777" s="153"/>
      <c r="M777" s="153"/>
      <c r="N777" s="153"/>
      <c r="O777" s="153"/>
      <c r="P777" s="153"/>
      <c r="Q777" s="153"/>
      <c r="R777" s="153"/>
      <c r="S777" s="153"/>
      <c r="T777" s="153"/>
      <c r="U777" s="153"/>
      <c r="V777" s="153"/>
      <c r="W777" s="153"/>
      <c r="X777" s="153"/>
      <c r="Y777" s="153"/>
      <c r="Z777" s="153"/>
      <c r="AA777" s="153"/>
      <c r="AB777" s="153"/>
    </row>
    <row r="778" spans="1:28" ht="15">
      <c r="A778" s="153"/>
      <c r="B778" s="153"/>
      <c r="C778" s="153"/>
      <c r="D778" s="153"/>
      <c r="E778" s="153"/>
      <c r="F778" s="153"/>
      <c r="G778" s="153"/>
      <c r="H778" s="153"/>
      <c r="I778" s="153"/>
      <c r="J778" s="153"/>
      <c r="K778" s="153"/>
      <c r="L778" s="153"/>
      <c r="M778" s="153"/>
      <c r="N778" s="153"/>
      <c r="O778" s="153"/>
      <c r="P778" s="153"/>
      <c r="Q778" s="153"/>
      <c r="R778" s="153"/>
      <c r="S778" s="153"/>
      <c r="T778" s="153"/>
      <c r="U778" s="153"/>
      <c r="V778" s="153"/>
      <c r="W778" s="153"/>
      <c r="X778" s="153"/>
      <c r="Y778" s="153"/>
      <c r="Z778" s="153"/>
      <c r="AA778" s="153"/>
      <c r="AB778" s="153"/>
    </row>
    <row r="779" spans="1:28" ht="15">
      <c r="A779" s="153"/>
      <c r="B779" s="153"/>
      <c r="C779" s="153"/>
      <c r="D779" s="153"/>
      <c r="E779" s="153"/>
      <c r="F779" s="153"/>
      <c r="G779" s="153"/>
      <c r="H779" s="153"/>
      <c r="I779" s="153"/>
      <c r="J779" s="153"/>
      <c r="K779" s="153"/>
      <c r="L779" s="153"/>
      <c r="M779" s="153"/>
      <c r="N779" s="153"/>
      <c r="O779" s="153"/>
      <c r="P779" s="153"/>
      <c r="Q779" s="153"/>
      <c r="R779" s="153"/>
      <c r="S779" s="153"/>
      <c r="T779" s="153"/>
      <c r="U779" s="153"/>
      <c r="V779" s="153"/>
      <c r="W779" s="153"/>
      <c r="X779" s="153"/>
      <c r="Y779" s="153"/>
      <c r="Z779" s="153"/>
      <c r="AA779" s="153"/>
      <c r="AB779" s="153"/>
    </row>
    <row r="780" spans="1:28" ht="15">
      <c r="A780" s="153"/>
      <c r="B780" s="153"/>
      <c r="C780" s="153"/>
      <c r="D780" s="153"/>
      <c r="E780" s="153"/>
      <c r="F780" s="153"/>
      <c r="G780" s="153"/>
      <c r="H780" s="153"/>
      <c r="I780" s="153"/>
      <c r="J780" s="153"/>
      <c r="K780" s="153"/>
      <c r="L780" s="153"/>
      <c r="M780" s="153"/>
      <c r="N780" s="153"/>
      <c r="O780" s="153"/>
      <c r="P780" s="153"/>
      <c r="Q780" s="153"/>
      <c r="R780" s="153"/>
      <c r="S780" s="153"/>
      <c r="T780" s="153"/>
      <c r="U780" s="153"/>
      <c r="V780" s="153"/>
      <c r="W780" s="153"/>
      <c r="X780" s="153"/>
      <c r="Y780" s="153"/>
      <c r="Z780" s="153"/>
      <c r="AA780" s="153"/>
      <c r="AB780" s="153"/>
    </row>
    <row r="781" spans="1:28" ht="15">
      <c r="A781" s="153"/>
      <c r="B781" s="153"/>
      <c r="C781" s="153"/>
      <c r="D781" s="153"/>
      <c r="E781" s="153"/>
      <c r="F781" s="153"/>
      <c r="G781" s="153"/>
      <c r="H781" s="153"/>
      <c r="I781" s="153"/>
      <c r="J781" s="153"/>
      <c r="K781" s="153"/>
      <c r="L781" s="153"/>
      <c r="M781" s="153"/>
      <c r="N781" s="153"/>
      <c r="O781" s="153"/>
      <c r="P781" s="153"/>
      <c r="Q781" s="153"/>
      <c r="R781" s="153"/>
      <c r="S781" s="153"/>
      <c r="T781" s="153"/>
      <c r="U781" s="153"/>
      <c r="V781" s="153"/>
      <c r="W781" s="153"/>
      <c r="X781" s="153"/>
      <c r="Y781" s="153"/>
      <c r="Z781" s="153"/>
      <c r="AA781" s="153"/>
      <c r="AB781" s="153"/>
    </row>
    <row r="782" spans="1:28" ht="15">
      <c r="A782" s="153"/>
      <c r="B782" s="153"/>
      <c r="C782" s="153"/>
      <c r="D782" s="153"/>
      <c r="E782" s="153"/>
      <c r="F782" s="153"/>
      <c r="G782" s="153"/>
      <c r="H782" s="153"/>
      <c r="I782" s="153"/>
      <c r="J782" s="153"/>
      <c r="K782" s="153"/>
      <c r="L782" s="153"/>
      <c r="M782" s="153"/>
      <c r="N782" s="153"/>
      <c r="O782" s="153"/>
      <c r="P782" s="153"/>
      <c r="Q782" s="153"/>
      <c r="R782" s="153"/>
      <c r="S782" s="153"/>
      <c r="T782" s="153"/>
      <c r="U782" s="153"/>
      <c r="V782" s="153"/>
      <c r="W782" s="153"/>
      <c r="X782" s="153"/>
      <c r="Y782" s="153"/>
      <c r="Z782" s="153"/>
      <c r="AA782" s="153"/>
      <c r="AB782" s="153"/>
    </row>
    <row r="783" spans="1:28" ht="15">
      <c r="A783" s="153"/>
      <c r="B783" s="153"/>
      <c r="C783" s="153"/>
      <c r="D783" s="153"/>
      <c r="E783" s="153"/>
      <c r="F783" s="153"/>
      <c r="G783" s="153"/>
      <c r="H783" s="153"/>
      <c r="I783" s="153"/>
      <c r="J783" s="153"/>
      <c r="K783" s="153"/>
      <c r="L783" s="153"/>
      <c r="M783" s="153"/>
      <c r="N783" s="153"/>
      <c r="O783" s="153"/>
      <c r="P783" s="153"/>
      <c r="Q783" s="153"/>
      <c r="R783" s="153"/>
      <c r="S783" s="153"/>
      <c r="T783" s="153"/>
      <c r="U783" s="153"/>
      <c r="V783" s="153"/>
      <c r="W783" s="153"/>
      <c r="X783" s="153"/>
      <c r="Y783" s="153"/>
      <c r="Z783" s="153"/>
      <c r="AA783" s="153"/>
      <c r="AB783" s="153"/>
    </row>
    <row r="784" spans="1:28" ht="15">
      <c r="A784" s="153"/>
      <c r="B784" s="153"/>
      <c r="C784" s="153"/>
      <c r="D784" s="153"/>
      <c r="E784" s="153"/>
      <c r="F784" s="153"/>
      <c r="G784" s="153"/>
      <c r="H784" s="153"/>
      <c r="I784" s="153"/>
      <c r="J784" s="153"/>
      <c r="K784" s="153"/>
      <c r="L784" s="153"/>
      <c r="M784" s="153"/>
      <c r="N784" s="153"/>
      <c r="O784" s="153"/>
      <c r="P784" s="153"/>
      <c r="Q784" s="153"/>
      <c r="R784" s="153"/>
      <c r="S784" s="153"/>
      <c r="T784" s="153"/>
      <c r="U784" s="153"/>
      <c r="V784" s="153"/>
      <c r="W784" s="153"/>
      <c r="X784" s="153"/>
      <c r="Y784" s="153"/>
      <c r="Z784" s="153"/>
      <c r="AA784" s="153"/>
      <c r="AB784" s="153"/>
    </row>
    <row r="785" spans="1:28" ht="15">
      <c r="A785" s="153"/>
      <c r="B785" s="153"/>
      <c r="C785" s="153"/>
      <c r="D785" s="153"/>
      <c r="E785" s="153"/>
      <c r="F785" s="153"/>
      <c r="G785" s="153"/>
      <c r="H785" s="153"/>
      <c r="I785" s="153"/>
      <c r="J785" s="153"/>
      <c r="K785" s="153"/>
      <c r="L785" s="153"/>
      <c r="M785" s="153"/>
      <c r="N785" s="153"/>
      <c r="O785" s="153"/>
      <c r="P785" s="153"/>
      <c r="Q785" s="153"/>
      <c r="R785" s="153"/>
      <c r="S785" s="153"/>
      <c r="T785" s="153"/>
      <c r="U785" s="153"/>
      <c r="V785" s="153"/>
      <c r="W785" s="153"/>
      <c r="X785" s="153"/>
      <c r="Y785" s="153"/>
      <c r="Z785" s="153"/>
      <c r="AA785" s="153"/>
      <c r="AB785" s="153"/>
    </row>
    <row r="786" spans="1:28" ht="15">
      <c r="A786" s="153"/>
      <c r="B786" s="153"/>
      <c r="C786" s="153"/>
      <c r="D786" s="153"/>
      <c r="E786" s="153"/>
      <c r="F786" s="153"/>
      <c r="G786" s="153"/>
      <c r="H786" s="153"/>
      <c r="I786" s="153"/>
      <c r="J786" s="153"/>
      <c r="K786" s="153"/>
      <c r="L786" s="153"/>
      <c r="M786" s="153"/>
      <c r="N786" s="153"/>
      <c r="O786" s="153"/>
      <c r="P786" s="153"/>
      <c r="Q786" s="153"/>
      <c r="R786" s="153"/>
      <c r="S786" s="153"/>
      <c r="T786" s="153"/>
      <c r="U786" s="153"/>
      <c r="V786" s="153"/>
      <c r="W786" s="153"/>
      <c r="X786" s="153"/>
      <c r="Y786" s="153"/>
      <c r="Z786" s="153"/>
      <c r="AA786" s="153"/>
      <c r="AB786" s="153"/>
    </row>
    <row r="787" spans="1:28" ht="15">
      <c r="A787" s="153"/>
      <c r="B787" s="153"/>
      <c r="C787" s="153"/>
      <c r="D787" s="153"/>
      <c r="E787" s="153"/>
      <c r="F787" s="153"/>
      <c r="G787" s="153"/>
      <c r="H787" s="153"/>
      <c r="I787" s="153"/>
      <c r="J787" s="153"/>
      <c r="K787" s="153"/>
      <c r="L787" s="153"/>
      <c r="M787" s="153"/>
      <c r="N787" s="153"/>
      <c r="O787" s="153"/>
      <c r="P787" s="153"/>
      <c r="Q787" s="153"/>
      <c r="R787" s="153"/>
      <c r="S787" s="153"/>
      <c r="T787" s="153"/>
      <c r="U787" s="153"/>
      <c r="V787" s="153"/>
      <c r="W787" s="153"/>
      <c r="X787" s="153"/>
      <c r="Y787" s="153"/>
      <c r="Z787" s="153"/>
      <c r="AA787" s="153"/>
      <c r="AB787" s="153"/>
    </row>
    <row r="788" spans="1:28" ht="15">
      <c r="A788" s="153"/>
      <c r="B788" s="153"/>
      <c r="C788" s="153"/>
      <c r="D788" s="153"/>
      <c r="E788" s="153"/>
      <c r="F788" s="153"/>
      <c r="G788" s="153"/>
      <c r="H788" s="153"/>
      <c r="I788" s="153"/>
      <c r="J788" s="153"/>
      <c r="K788" s="153"/>
      <c r="L788" s="153"/>
      <c r="M788" s="153"/>
      <c r="N788" s="153"/>
      <c r="O788" s="153"/>
      <c r="P788" s="153"/>
      <c r="Q788" s="153"/>
      <c r="R788" s="153"/>
      <c r="S788" s="153"/>
      <c r="T788" s="153"/>
      <c r="U788" s="153"/>
      <c r="V788" s="153"/>
      <c r="W788" s="153"/>
      <c r="X788" s="153"/>
      <c r="Y788" s="153"/>
      <c r="Z788" s="153"/>
      <c r="AA788" s="153"/>
      <c r="AB788" s="153"/>
    </row>
    <row r="789" spans="1:28" ht="15">
      <c r="A789" s="153"/>
      <c r="B789" s="153"/>
      <c r="C789" s="153"/>
      <c r="D789" s="153"/>
      <c r="E789" s="153"/>
      <c r="F789" s="153"/>
      <c r="G789" s="153"/>
      <c r="H789" s="153"/>
      <c r="I789" s="153"/>
      <c r="J789" s="153"/>
      <c r="K789" s="153"/>
      <c r="L789" s="153"/>
      <c r="M789" s="153"/>
      <c r="N789" s="153"/>
      <c r="O789" s="153"/>
      <c r="P789" s="153"/>
      <c r="Q789" s="153"/>
      <c r="R789" s="153"/>
      <c r="S789" s="153"/>
      <c r="T789" s="153"/>
      <c r="U789" s="153"/>
      <c r="V789" s="153"/>
      <c r="W789" s="153"/>
      <c r="X789" s="153"/>
      <c r="Y789" s="153"/>
      <c r="Z789" s="153"/>
      <c r="AA789" s="153"/>
      <c r="AB789" s="153"/>
    </row>
    <row r="790" spans="1:28" ht="15">
      <c r="A790" s="153"/>
      <c r="B790" s="153"/>
      <c r="C790" s="153"/>
      <c r="D790" s="153"/>
      <c r="E790" s="153"/>
      <c r="F790" s="153"/>
      <c r="G790" s="153"/>
      <c r="H790" s="153"/>
      <c r="I790" s="153"/>
      <c r="J790" s="153"/>
      <c r="K790" s="153"/>
      <c r="L790" s="153"/>
      <c r="M790" s="153"/>
      <c r="N790" s="153"/>
      <c r="O790" s="153"/>
      <c r="P790" s="153"/>
      <c r="Q790" s="153"/>
      <c r="R790" s="153"/>
      <c r="S790" s="153"/>
      <c r="T790" s="153"/>
      <c r="U790" s="153"/>
      <c r="V790" s="153"/>
      <c r="W790" s="153"/>
      <c r="X790" s="153"/>
      <c r="Y790" s="153"/>
      <c r="Z790" s="153"/>
      <c r="AA790" s="153"/>
      <c r="AB790" s="153"/>
    </row>
    <row r="791" spans="1:28" ht="15">
      <c r="A791" s="153"/>
      <c r="B791" s="153"/>
      <c r="C791" s="153"/>
      <c r="D791" s="153"/>
      <c r="E791" s="153"/>
      <c r="F791" s="153"/>
      <c r="G791" s="153"/>
      <c r="H791" s="153"/>
      <c r="I791" s="153"/>
      <c r="J791" s="153"/>
      <c r="K791" s="153"/>
      <c r="L791" s="153"/>
      <c r="M791" s="153"/>
      <c r="N791" s="153"/>
      <c r="O791" s="153"/>
      <c r="P791" s="153"/>
      <c r="Q791" s="153"/>
      <c r="R791" s="153"/>
      <c r="S791" s="153"/>
      <c r="T791" s="153"/>
      <c r="U791" s="153"/>
      <c r="V791" s="153"/>
      <c r="W791" s="153"/>
      <c r="X791" s="153"/>
      <c r="Y791" s="153"/>
      <c r="Z791" s="153"/>
      <c r="AA791" s="153"/>
      <c r="AB791" s="153"/>
    </row>
    <row r="792" spans="1:28" ht="15">
      <c r="A792" s="153"/>
      <c r="B792" s="153"/>
      <c r="C792" s="153"/>
      <c r="D792" s="153"/>
      <c r="E792" s="153"/>
      <c r="F792" s="153"/>
      <c r="G792" s="153"/>
      <c r="H792" s="153"/>
      <c r="I792" s="153"/>
      <c r="J792" s="153"/>
      <c r="K792" s="153"/>
      <c r="L792" s="153"/>
      <c r="M792" s="153"/>
      <c r="N792" s="153"/>
      <c r="O792" s="153"/>
      <c r="P792" s="153"/>
      <c r="Q792" s="153"/>
      <c r="R792" s="153"/>
      <c r="S792" s="153"/>
      <c r="T792" s="153"/>
      <c r="U792" s="153"/>
      <c r="V792" s="153"/>
      <c r="W792" s="153"/>
      <c r="X792" s="153"/>
      <c r="Y792" s="153"/>
      <c r="Z792" s="153"/>
      <c r="AA792" s="153"/>
      <c r="AB792" s="153"/>
    </row>
    <row r="793" spans="1:28" ht="15">
      <c r="A793" s="153"/>
      <c r="B793" s="153"/>
      <c r="C793" s="153"/>
      <c r="D793" s="153"/>
      <c r="E793" s="153"/>
      <c r="F793" s="153"/>
      <c r="G793" s="153"/>
      <c r="H793" s="153"/>
      <c r="I793" s="153"/>
      <c r="J793" s="153"/>
      <c r="K793" s="153"/>
      <c r="L793" s="153"/>
      <c r="M793" s="153"/>
      <c r="N793" s="153"/>
      <c r="O793" s="153"/>
      <c r="P793" s="153"/>
      <c r="Q793" s="153"/>
      <c r="R793" s="153"/>
      <c r="S793" s="153"/>
      <c r="T793" s="153"/>
      <c r="U793" s="153"/>
      <c r="V793" s="153"/>
      <c r="W793" s="153"/>
      <c r="X793" s="153"/>
      <c r="Y793" s="153"/>
      <c r="Z793" s="153"/>
      <c r="AA793" s="153"/>
      <c r="AB793" s="153"/>
    </row>
    <row r="794" spans="1:28" ht="15">
      <c r="A794" s="153"/>
      <c r="B794" s="153"/>
      <c r="C794" s="153"/>
      <c r="D794" s="153"/>
      <c r="E794" s="153"/>
      <c r="F794" s="153"/>
      <c r="G794" s="153"/>
      <c r="H794" s="153"/>
      <c r="I794" s="153"/>
      <c r="J794" s="153"/>
      <c r="K794" s="153"/>
      <c r="L794" s="153"/>
      <c r="M794" s="153"/>
      <c r="N794" s="153"/>
      <c r="O794" s="153"/>
      <c r="P794" s="153"/>
      <c r="Q794" s="153"/>
      <c r="R794" s="153"/>
      <c r="S794" s="153"/>
      <c r="T794" s="153"/>
      <c r="U794" s="153"/>
      <c r="V794" s="153"/>
      <c r="W794" s="153"/>
      <c r="X794" s="153"/>
      <c r="Y794" s="153"/>
      <c r="Z794" s="153"/>
      <c r="AA794" s="153"/>
      <c r="AB794" s="153"/>
    </row>
    <row r="795" spans="1:28" ht="15">
      <c r="A795" s="153"/>
      <c r="B795" s="153"/>
      <c r="C795" s="153"/>
      <c r="D795" s="153"/>
      <c r="E795" s="153"/>
      <c r="F795" s="153"/>
      <c r="G795" s="153"/>
      <c r="H795" s="153"/>
      <c r="I795" s="153"/>
      <c r="J795" s="153"/>
      <c r="K795" s="153"/>
      <c r="L795" s="153"/>
      <c r="M795" s="153"/>
      <c r="N795" s="153"/>
      <c r="O795" s="153"/>
      <c r="P795" s="153"/>
      <c r="Q795" s="153"/>
      <c r="R795" s="153"/>
      <c r="S795" s="153"/>
      <c r="T795" s="153"/>
      <c r="U795" s="153"/>
      <c r="V795" s="153"/>
      <c r="W795" s="153"/>
      <c r="X795" s="153"/>
      <c r="Y795" s="153"/>
      <c r="Z795" s="153"/>
      <c r="AA795" s="153"/>
      <c r="AB795" s="153"/>
    </row>
    <row r="796" spans="1:28" ht="15">
      <c r="A796" s="153"/>
      <c r="B796" s="153"/>
      <c r="C796" s="153"/>
      <c r="D796" s="153"/>
      <c r="E796" s="153"/>
      <c r="F796" s="153"/>
      <c r="G796" s="153"/>
      <c r="H796" s="153"/>
      <c r="I796" s="153"/>
      <c r="J796" s="153"/>
      <c r="K796" s="153"/>
      <c r="L796" s="153"/>
      <c r="M796" s="153"/>
      <c r="N796" s="153"/>
      <c r="O796" s="153"/>
      <c r="P796" s="153"/>
      <c r="Q796" s="153"/>
      <c r="R796" s="153"/>
      <c r="S796" s="153"/>
      <c r="T796" s="153"/>
      <c r="U796" s="153"/>
      <c r="V796" s="153"/>
      <c r="W796" s="153"/>
      <c r="X796" s="153"/>
      <c r="Y796" s="153"/>
      <c r="Z796" s="153"/>
      <c r="AA796" s="153"/>
      <c r="AB796" s="153"/>
    </row>
    <row r="797" spans="1:28" ht="15">
      <c r="A797" s="153"/>
      <c r="B797" s="153"/>
      <c r="C797" s="153"/>
      <c r="D797" s="153"/>
      <c r="E797" s="153"/>
      <c r="F797" s="153"/>
      <c r="G797" s="153"/>
      <c r="H797" s="153"/>
      <c r="I797" s="153"/>
      <c r="J797" s="153"/>
      <c r="K797" s="153"/>
      <c r="L797" s="153"/>
      <c r="M797" s="153"/>
      <c r="N797" s="153"/>
      <c r="O797" s="153"/>
      <c r="P797" s="153"/>
      <c r="Q797" s="153"/>
      <c r="R797" s="153"/>
      <c r="S797" s="153"/>
      <c r="T797" s="153"/>
      <c r="U797" s="153"/>
      <c r="V797" s="153"/>
      <c r="W797" s="153"/>
      <c r="X797" s="153"/>
      <c r="Y797" s="153"/>
      <c r="Z797" s="153"/>
      <c r="AA797" s="153"/>
      <c r="AB797" s="153"/>
    </row>
    <row r="798" spans="1:28" ht="15">
      <c r="A798" s="153"/>
      <c r="B798" s="153"/>
      <c r="C798" s="153"/>
      <c r="D798" s="153"/>
      <c r="E798" s="153"/>
      <c r="F798" s="153"/>
      <c r="G798" s="153"/>
      <c r="H798" s="153"/>
      <c r="I798" s="153"/>
      <c r="J798" s="153"/>
      <c r="K798" s="153"/>
      <c r="L798" s="153"/>
      <c r="M798" s="153"/>
      <c r="N798" s="153"/>
      <c r="O798" s="153"/>
      <c r="P798" s="153"/>
      <c r="Q798" s="153"/>
      <c r="R798" s="153"/>
      <c r="S798" s="153"/>
      <c r="T798" s="153"/>
      <c r="U798" s="153"/>
      <c r="V798" s="153"/>
      <c r="W798" s="153"/>
      <c r="X798" s="153"/>
      <c r="Y798" s="153"/>
      <c r="Z798" s="153"/>
      <c r="AA798" s="153"/>
      <c r="AB798" s="153"/>
    </row>
    <row r="799" spans="1:28" ht="15">
      <c r="A799" s="153"/>
      <c r="B799" s="153"/>
      <c r="C799" s="153"/>
      <c r="D799" s="153"/>
      <c r="E799" s="153"/>
      <c r="F799" s="153"/>
      <c r="G799" s="153"/>
      <c r="H799" s="153"/>
      <c r="I799" s="153"/>
      <c r="J799" s="153"/>
      <c r="K799" s="153"/>
      <c r="L799" s="153"/>
      <c r="M799" s="153"/>
      <c r="N799" s="153"/>
      <c r="O799" s="153"/>
      <c r="P799" s="153"/>
      <c r="Q799" s="153"/>
      <c r="R799" s="153"/>
      <c r="S799" s="153"/>
      <c r="T799" s="153"/>
      <c r="U799" s="153"/>
      <c r="V799" s="153"/>
      <c r="W799" s="153"/>
      <c r="X799" s="153"/>
      <c r="Y799" s="153"/>
      <c r="Z799" s="153"/>
      <c r="AA799" s="153"/>
      <c r="AB799" s="153"/>
    </row>
    <row r="800" spans="1:28" ht="15">
      <c r="A800" s="153"/>
      <c r="B800" s="153"/>
      <c r="C800" s="153"/>
      <c r="D800" s="153"/>
      <c r="E800" s="153"/>
      <c r="F800" s="153"/>
      <c r="G800" s="153"/>
      <c r="H800" s="153"/>
      <c r="I800" s="153"/>
      <c r="J800" s="153"/>
      <c r="K800" s="153"/>
      <c r="L800" s="153"/>
      <c r="M800" s="153"/>
      <c r="N800" s="153"/>
      <c r="O800" s="153"/>
      <c r="P800" s="153"/>
      <c r="Q800" s="153"/>
      <c r="R800" s="153"/>
      <c r="S800" s="153"/>
      <c r="T800" s="153"/>
      <c r="U800" s="153"/>
      <c r="V800" s="153"/>
      <c r="W800" s="153"/>
      <c r="X800" s="153"/>
      <c r="Y800" s="153"/>
      <c r="Z800" s="153"/>
      <c r="AA800" s="153"/>
      <c r="AB800" s="153"/>
    </row>
    <row r="801" spans="1:28" ht="15">
      <c r="A801" s="153"/>
      <c r="B801" s="153"/>
      <c r="C801" s="153"/>
      <c r="D801" s="153"/>
      <c r="E801" s="153"/>
      <c r="F801" s="153"/>
      <c r="G801" s="153"/>
      <c r="H801" s="153"/>
      <c r="I801" s="153"/>
      <c r="J801" s="153"/>
      <c r="K801" s="153"/>
      <c r="L801" s="153"/>
      <c r="M801" s="153"/>
      <c r="N801" s="153"/>
      <c r="O801" s="153"/>
      <c r="P801" s="153"/>
      <c r="Q801" s="153"/>
      <c r="R801" s="153"/>
      <c r="S801" s="153"/>
      <c r="T801" s="153"/>
      <c r="U801" s="153"/>
      <c r="V801" s="153"/>
      <c r="W801" s="153"/>
      <c r="X801" s="153"/>
      <c r="Y801" s="153"/>
      <c r="Z801" s="153"/>
      <c r="AA801" s="153"/>
      <c r="AB801" s="153"/>
    </row>
    <row r="802" spans="1:28" ht="15">
      <c r="A802" s="153"/>
      <c r="B802" s="153"/>
      <c r="C802" s="153"/>
      <c r="D802" s="153"/>
      <c r="E802" s="153"/>
      <c r="F802" s="153"/>
      <c r="G802" s="153"/>
      <c r="H802" s="153"/>
      <c r="I802" s="153"/>
      <c r="J802" s="153"/>
      <c r="K802" s="153"/>
      <c r="L802" s="153"/>
      <c r="M802" s="153"/>
      <c r="N802" s="153"/>
      <c r="O802" s="153"/>
      <c r="P802" s="153"/>
      <c r="Q802" s="153"/>
      <c r="R802" s="153"/>
      <c r="S802" s="153"/>
      <c r="T802" s="153"/>
      <c r="U802" s="153"/>
      <c r="V802" s="153"/>
      <c r="W802" s="153"/>
      <c r="X802" s="153"/>
      <c r="Y802" s="153"/>
      <c r="Z802" s="153"/>
      <c r="AA802" s="153"/>
      <c r="AB802" s="153"/>
    </row>
    <row r="803" spans="1:28" ht="15">
      <c r="A803" s="153"/>
      <c r="B803" s="153"/>
      <c r="C803" s="153"/>
      <c r="D803" s="153"/>
      <c r="E803" s="153"/>
      <c r="F803" s="153"/>
      <c r="G803" s="153"/>
      <c r="H803" s="153"/>
      <c r="I803" s="153"/>
      <c r="J803" s="153"/>
      <c r="K803" s="153"/>
      <c r="L803" s="153"/>
      <c r="M803" s="153"/>
      <c r="N803" s="153"/>
      <c r="O803" s="153"/>
      <c r="P803" s="153"/>
      <c r="Q803" s="153"/>
      <c r="R803" s="153"/>
      <c r="S803" s="153"/>
      <c r="T803" s="153"/>
      <c r="U803" s="153"/>
      <c r="V803" s="153"/>
      <c r="W803" s="153"/>
      <c r="X803" s="153"/>
      <c r="Y803" s="153"/>
      <c r="Z803" s="153"/>
      <c r="AA803" s="153"/>
      <c r="AB803" s="153"/>
    </row>
    <row r="804" spans="1:28" ht="15">
      <c r="A804" s="153"/>
      <c r="B804" s="153"/>
      <c r="C804" s="153"/>
      <c r="D804" s="153"/>
      <c r="E804" s="153"/>
      <c r="F804" s="153"/>
      <c r="G804" s="153"/>
      <c r="H804" s="153"/>
      <c r="I804" s="153"/>
      <c r="J804" s="153"/>
      <c r="K804" s="153"/>
      <c r="L804" s="153"/>
      <c r="M804" s="153"/>
      <c r="N804" s="153"/>
      <c r="O804" s="153"/>
      <c r="P804" s="153"/>
      <c r="Q804" s="153"/>
      <c r="R804" s="153"/>
      <c r="S804" s="153"/>
      <c r="T804" s="153"/>
      <c r="U804" s="153"/>
      <c r="V804" s="153"/>
      <c r="W804" s="153"/>
      <c r="X804" s="153"/>
      <c r="Y804" s="153"/>
      <c r="Z804" s="153"/>
      <c r="AA804" s="153"/>
      <c r="AB804" s="153"/>
    </row>
    <row r="805" spans="1:28" ht="15">
      <c r="A805" s="153"/>
      <c r="B805" s="153"/>
      <c r="C805" s="153"/>
      <c r="D805" s="153"/>
      <c r="E805" s="153"/>
      <c r="F805" s="153"/>
      <c r="G805" s="153"/>
      <c r="H805" s="153"/>
      <c r="I805" s="153"/>
      <c r="J805" s="153"/>
      <c r="K805" s="153"/>
      <c r="L805" s="153"/>
      <c r="M805" s="153"/>
      <c r="N805" s="153"/>
      <c r="O805" s="153"/>
      <c r="P805" s="153"/>
      <c r="Q805" s="153"/>
      <c r="R805" s="153"/>
      <c r="S805" s="153"/>
      <c r="T805" s="153"/>
      <c r="U805" s="153"/>
      <c r="V805" s="153"/>
      <c r="W805" s="153"/>
      <c r="X805" s="153"/>
      <c r="Y805" s="153"/>
      <c r="Z805" s="153"/>
      <c r="AA805" s="153"/>
      <c r="AB805" s="153"/>
    </row>
    <row r="806" spans="1:28" ht="15">
      <c r="A806" s="153"/>
      <c r="B806" s="153"/>
      <c r="C806" s="153"/>
      <c r="D806" s="153"/>
      <c r="E806" s="153"/>
      <c r="F806" s="153"/>
      <c r="G806" s="153"/>
      <c r="H806" s="153"/>
      <c r="I806" s="153"/>
      <c r="J806" s="153"/>
      <c r="K806" s="153"/>
      <c r="L806" s="153"/>
      <c r="M806" s="153"/>
      <c r="N806" s="153"/>
      <c r="O806" s="153"/>
      <c r="P806" s="153"/>
      <c r="Q806" s="153"/>
      <c r="R806" s="153"/>
      <c r="S806" s="153"/>
      <c r="T806" s="153"/>
      <c r="U806" s="153"/>
      <c r="V806" s="153"/>
      <c r="W806" s="153"/>
      <c r="X806" s="153"/>
      <c r="Y806" s="153"/>
      <c r="Z806" s="153"/>
      <c r="AA806" s="153"/>
      <c r="AB806" s="153"/>
    </row>
    <row r="807" spans="1:28" ht="15">
      <c r="A807" s="153"/>
      <c r="B807" s="153"/>
      <c r="C807" s="153"/>
      <c r="D807" s="153"/>
      <c r="E807" s="153"/>
      <c r="F807" s="153"/>
      <c r="G807" s="153"/>
      <c r="H807" s="153"/>
      <c r="I807" s="153"/>
      <c r="J807" s="153"/>
      <c r="K807" s="153"/>
      <c r="L807" s="153"/>
      <c r="M807" s="153"/>
      <c r="N807" s="153"/>
      <c r="O807" s="153"/>
      <c r="P807" s="153"/>
      <c r="Q807" s="153"/>
      <c r="R807" s="153"/>
      <c r="S807" s="153"/>
      <c r="T807" s="153"/>
      <c r="U807" s="153"/>
      <c r="V807" s="153"/>
      <c r="W807" s="153"/>
      <c r="X807" s="153"/>
      <c r="Y807" s="153"/>
      <c r="Z807" s="153"/>
      <c r="AA807" s="153"/>
      <c r="AB807" s="153"/>
    </row>
    <row r="808" spans="1:28" ht="15">
      <c r="A808" s="153"/>
      <c r="B808" s="153"/>
      <c r="C808" s="153"/>
      <c r="D808" s="153"/>
      <c r="E808" s="153"/>
      <c r="F808" s="153"/>
      <c r="G808" s="153"/>
      <c r="H808" s="153"/>
      <c r="I808" s="153"/>
      <c r="J808" s="153"/>
      <c r="K808" s="153"/>
      <c r="L808" s="153"/>
      <c r="M808" s="153"/>
      <c r="N808" s="153"/>
      <c r="O808" s="153"/>
      <c r="P808" s="153"/>
      <c r="Q808" s="153"/>
      <c r="R808" s="153"/>
      <c r="S808" s="153"/>
      <c r="T808" s="153"/>
      <c r="U808" s="153"/>
      <c r="V808" s="153"/>
      <c r="W808" s="153"/>
      <c r="X808" s="153"/>
      <c r="Y808" s="153"/>
      <c r="Z808" s="153"/>
      <c r="AA808" s="153"/>
      <c r="AB808" s="153"/>
    </row>
    <row r="809" spans="1:28" ht="15">
      <c r="A809" s="153"/>
      <c r="B809" s="153"/>
      <c r="C809" s="153"/>
      <c r="D809" s="153"/>
      <c r="E809" s="153"/>
      <c r="F809" s="153"/>
      <c r="G809" s="153"/>
      <c r="H809" s="153"/>
      <c r="I809" s="153"/>
      <c r="J809" s="153"/>
      <c r="K809" s="153"/>
      <c r="L809" s="153"/>
      <c r="M809" s="153"/>
      <c r="N809" s="153"/>
      <c r="O809" s="153"/>
      <c r="P809" s="153"/>
      <c r="Q809" s="153"/>
      <c r="R809" s="153"/>
      <c r="S809" s="153"/>
      <c r="T809" s="153"/>
      <c r="U809" s="153"/>
      <c r="V809" s="153"/>
      <c r="W809" s="153"/>
      <c r="X809" s="153"/>
      <c r="Y809" s="153"/>
      <c r="Z809" s="153"/>
      <c r="AA809" s="153"/>
      <c r="AB809" s="153"/>
    </row>
    <row r="810" spans="1:28" ht="15">
      <c r="A810" s="153"/>
      <c r="B810" s="153"/>
      <c r="C810" s="153"/>
      <c r="D810" s="153"/>
      <c r="E810" s="153"/>
      <c r="F810" s="153"/>
      <c r="G810" s="153"/>
      <c r="H810" s="153"/>
      <c r="I810" s="153"/>
      <c r="J810" s="153"/>
      <c r="K810" s="153"/>
      <c r="L810" s="153"/>
      <c r="M810" s="153"/>
      <c r="N810" s="153"/>
      <c r="O810" s="153"/>
      <c r="P810" s="153"/>
      <c r="Q810" s="153"/>
      <c r="R810" s="153"/>
      <c r="S810" s="153"/>
      <c r="T810" s="153"/>
      <c r="U810" s="153"/>
      <c r="V810" s="153"/>
      <c r="W810" s="153"/>
      <c r="X810" s="153"/>
      <c r="Y810" s="153"/>
      <c r="Z810" s="153"/>
      <c r="AA810" s="153"/>
      <c r="AB810" s="153"/>
    </row>
    <row r="811" spans="1:28" ht="15">
      <c r="A811" s="153"/>
      <c r="B811" s="153"/>
      <c r="C811" s="153"/>
      <c r="D811" s="153"/>
      <c r="E811" s="153"/>
      <c r="F811" s="153"/>
      <c r="G811" s="153"/>
      <c r="H811" s="153"/>
      <c r="I811" s="153"/>
      <c r="J811" s="153"/>
      <c r="K811" s="153"/>
      <c r="L811" s="153"/>
      <c r="M811" s="153"/>
      <c r="N811" s="153"/>
      <c r="O811" s="153"/>
      <c r="P811" s="153"/>
      <c r="Q811" s="153"/>
      <c r="R811" s="153"/>
      <c r="S811" s="153"/>
      <c r="T811" s="153"/>
      <c r="U811" s="153"/>
      <c r="V811" s="153"/>
      <c r="W811" s="153"/>
      <c r="X811" s="153"/>
      <c r="Y811" s="153"/>
      <c r="Z811" s="153"/>
      <c r="AA811" s="153"/>
      <c r="AB811" s="153"/>
    </row>
    <row r="812" spans="1:28" ht="15">
      <c r="A812" s="153"/>
      <c r="B812" s="153"/>
      <c r="C812" s="153"/>
      <c r="D812" s="153"/>
      <c r="E812" s="153"/>
      <c r="F812" s="153"/>
      <c r="G812" s="153"/>
      <c r="H812" s="153"/>
      <c r="I812" s="153"/>
      <c r="J812" s="153"/>
      <c r="K812" s="153"/>
      <c r="L812" s="153"/>
      <c r="M812" s="153"/>
      <c r="N812" s="153"/>
      <c r="O812" s="153"/>
      <c r="P812" s="153"/>
      <c r="Q812" s="153"/>
      <c r="R812" s="153"/>
      <c r="S812" s="153"/>
      <c r="T812" s="153"/>
      <c r="U812" s="153"/>
      <c r="V812" s="153"/>
      <c r="W812" s="153"/>
      <c r="X812" s="153"/>
      <c r="Y812" s="153"/>
      <c r="Z812" s="153"/>
      <c r="AA812" s="153"/>
      <c r="AB812" s="153"/>
    </row>
    <row r="813" spans="1:28" ht="15">
      <c r="A813" s="153"/>
      <c r="B813" s="153"/>
      <c r="C813" s="153"/>
      <c r="D813" s="153"/>
      <c r="E813" s="153"/>
      <c r="F813" s="153"/>
      <c r="G813" s="153"/>
      <c r="H813" s="153"/>
      <c r="I813" s="153"/>
      <c r="J813" s="153"/>
      <c r="K813" s="153"/>
      <c r="L813" s="153"/>
      <c r="M813" s="153"/>
      <c r="N813" s="153"/>
      <c r="O813" s="153"/>
      <c r="P813" s="153"/>
      <c r="Q813" s="153"/>
      <c r="R813" s="153"/>
      <c r="S813" s="153"/>
      <c r="T813" s="153"/>
      <c r="U813" s="153"/>
      <c r="V813" s="153"/>
      <c r="W813" s="153"/>
      <c r="X813" s="153"/>
      <c r="Y813" s="153"/>
      <c r="Z813" s="153"/>
      <c r="AA813" s="153"/>
      <c r="AB813" s="153"/>
    </row>
    <row r="814" spans="1:28" ht="15">
      <c r="A814" s="153"/>
      <c r="B814" s="153"/>
      <c r="C814" s="153"/>
      <c r="D814" s="153"/>
      <c r="E814" s="153"/>
      <c r="F814" s="153"/>
      <c r="G814" s="153"/>
      <c r="H814" s="153"/>
      <c r="I814" s="153"/>
      <c r="J814" s="153"/>
      <c r="K814" s="153"/>
      <c r="L814" s="153"/>
      <c r="M814" s="153"/>
      <c r="N814" s="153"/>
      <c r="O814" s="153"/>
      <c r="P814" s="153"/>
      <c r="Q814" s="153"/>
      <c r="R814" s="153"/>
      <c r="S814" s="153"/>
      <c r="T814" s="153"/>
      <c r="U814" s="153"/>
      <c r="V814" s="153"/>
      <c r="W814" s="153"/>
      <c r="X814" s="153"/>
      <c r="Y814" s="153"/>
      <c r="Z814" s="153"/>
      <c r="AA814" s="153"/>
      <c r="AB814" s="153"/>
    </row>
    <row r="815" spans="1:28" ht="15">
      <c r="A815" s="153"/>
      <c r="B815" s="153"/>
      <c r="C815" s="153"/>
      <c r="D815" s="153"/>
      <c r="E815" s="153"/>
      <c r="F815" s="153"/>
      <c r="G815" s="153"/>
      <c r="H815" s="153"/>
      <c r="I815" s="153"/>
      <c r="J815" s="153"/>
      <c r="K815" s="153"/>
      <c r="L815" s="153"/>
      <c r="M815" s="153"/>
      <c r="N815" s="153"/>
      <c r="O815" s="153"/>
      <c r="P815" s="153"/>
      <c r="Q815" s="153"/>
      <c r="R815" s="153"/>
      <c r="S815" s="153"/>
      <c r="T815" s="153"/>
      <c r="U815" s="153"/>
      <c r="V815" s="153"/>
      <c r="W815" s="153"/>
      <c r="X815" s="153"/>
      <c r="Y815" s="153"/>
      <c r="Z815" s="153"/>
      <c r="AA815" s="153"/>
      <c r="AB815" s="153"/>
    </row>
    <row r="816" spans="1:28" ht="15">
      <c r="A816" s="153"/>
      <c r="B816" s="153"/>
      <c r="C816" s="153"/>
      <c r="D816" s="153"/>
      <c r="E816" s="153"/>
      <c r="F816" s="153"/>
      <c r="G816" s="153"/>
      <c r="H816" s="153"/>
      <c r="I816" s="153"/>
      <c r="J816" s="153"/>
      <c r="K816" s="153"/>
      <c r="L816" s="153"/>
      <c r="M816" s="153"/>
      <c r="N816" s="153"/>
      <c r="O816" s="153"/>
      <c r="P816" s="153"/>
      <c r="Q816" s="153"/>
      <c r="R816" s="153"/>
      <c r="S816" s="153"/>
      <c r="T816" s="153"/>
      <c r="U816" s="153"/>
      <c r="V816" s="153"/>
      <c r="W816" s="153"/>
      <c r="X816" s="153"/>
      <c r="Y816" s="153"/>
      <c r="Z816" s="153"/>
      <c r="AA816" s="153"/>
      <c r="AB816" s="153"/>
    </row>
    <row r="817" spans="1:28" ht="15">
      <c r="A817" s="153"/>
      <c r="B817" s="153"/>
      <c r="C817" s="153"/>
      <c r="D817" s="153"/>
      <c r="E817" s="153"/>
      <c r="F817" s="153"/>
      <c r="G817" s="153"/>
      <c r="H817" s="153"/>
      <c r="I817" s="153"/>
      <c r="J817" s="153"/>
      <c r="K817" s="153"/>
      <c r="L817" s="153"/>
      <c r="M817" s="153"/>
      <c r="N817" s="153"/>
      <c r="O817" s="153"/>
      <c r="P817" s="153"/>
      <c r="Q817" s="153"/>
      <c r="R817" s="153"/>
      <c r="S817" s="153"/>
      <c r="T817" s="153"/>
      <c r="U817" s="153"/>
      <c r="V817" s="153"/>
      <c r="W817" s="153"/>
      <c r="X817" s="153"/>
      <c r="Y817" s="153"/>
      <c r="Z817" s="153"/>
      <c r="AA817" s="153"/>
      <c r="AB817" s="153"/>
    </row>
    <row r="818" spans="1:28" ht="15">
      <c r="A818" s="153"/>
      <c r="B818" s="153"/>
      <c r="C818" s="153"/>
      <c r="D818" s="153"/>
      <c r="E818" s="153"/>
      <c r="F818" s="153"/>
      <c r="G818" s="153"/>
      <c r="H818" s="153"/>
      <c r="I818" s="153"/>
      <c r="J818" s="153"/>
      <c r="K818" s="153"/>
      <c r="L818" s="153"/>
      <c r="M818" s="153"/>
      <c r="N818" s="153"/>
      <c r="O818" s="153"/>
      <c r="P818" s="153"/>
      <c r="Q818" s="153"/>
      <c r="R818" s="153"/>
      <c r="S818" s="153"/>
      <c r="T818" s="153"/>
      <c r="U818" s="153"/>
      <c r="V818" s="153"/>
      <c r="W818" s="153"/>
      <c r="X818" s="153"/>
      <c r="Y818" s="153"/>
      <c r="Z818" s="153"/>
      <c r="AA818" s="153"/>
      <c r="AB818" s="153"/>
    </row>
    <row r="819" spans="1:28" ht="15">
      <c r="A819" s="153"/>
      <c r="B819" s="153"/>
      <c r="C819" s="153"/>
      <c r="D819" s="153"/>
      <c r="E819" s="153"/>
      <c r="F819" s="153"/>
      <c r="G819" s="153"/>
      <c r="H819" s="153"/>
      <c r="I819" s="153"/>
      <c r="J819" s="153"/>
      <c r="K819" s="153"/>
      <c r="L819" s="153"/>
      <c r="M819" s="153"/>
      <c r="N819" s="153"/>
      <c r="O819" s="153"/>
      <c r="P819" s="153"/>
      <c r="Q819" s="153"/>
      <c r="R819" s="153"/>
      <c r="S819" s="153"/>
      <c r="T819" s="153"/>
      <c r="U819" s="153"/>
      <c r="V819" s="153"/>
      <c r="W819" s="153"/>
      <c r="X819" s="153"/>
      <c r="Y819" s="153"/>
      <c r="Z819" s="153"/>
      <c r="AA819" s="153"/>
      <c r="AB819" s="153"/>
    </row>
    <row r="820" spans="1:28" ht="15">
      <c r="A820" s="153"/>
      <c r="B820" s="153"/>
      <c r="C820" s="153"/>
      <c r="D820" s="153"/>
      <c r="E820" s="153"/>
      <c r="F820" s="153"/>
      <c r="G820" s="153"/>
      <c r="H820" s="153"/>
      <c r="I820" s="153"/>
      <c r="J820" s="153"/>
      <c r="K820" s="153"/>
      <c r="L820" s="153"/>
      <c r="M820" s="153"/>
      <c r="N820" s="153"/>
      <c r="O820" s="153"/>
      <c r="P820" s="153"/>
      <c r="Q820" s="153"/>
      <c r="R820" s="153"/>
      <c r="S820" s="153"/>
      <c r="T820" s="153"/>
      <c r="U820" s="153"/>
      <c r="V820" s="153"/>
      <c r="W820" s="153"/>
      <c r="X820" s="153"/>
      <c r="Y820" s="153"/>
      <c r="Z820" s="153"/>
      <c r="AA820" s="153"/>
      <c r="AB820" s="153"/>
    </row>
    <row r="821" spans="1:28" ht="15">
      <c r="A821" s="153"/>
      <c r="B821" s="153"/>
      <c r="C821" s="153"/>
      <c r="D821" s="153"/>
      <c r="E821" s="153"/>
      <c r="F821" s="153"/>
      <c r="G821" s="153"/>
      <c r="H821" s="153"/>
      <c r="I821" s="153"/>
      <c r="J821" s="153"/>
      <c r="K821" s="153"/>
      <c r="L821" s="153"/>
      <c r="M821" s="153"/>
      <c r="N821" s="153"/>
      <c r="O821" s="153"/>
      <c r="P821" s="153"/>
      <c r="Q821" s="153"/>
      <c r="R821" s="153"/>
      <c r="S821" s="153"/>
      <c r="T821" s="153"/>
      <c r="U821" s="153"/>
      <c r="V821" s="153"/>
      <c r="W821" s="153"/>
      <c r="X821" s="153"/>
      <c r="Y821" s="153"/>
      <c r="Z821" s="153"/>
      <c r="AA821" s="153"/>
      <c r="AB821" s="153"/>
    </row>
    <row r="822" spans="1:28" ht="15">
      <c r="A822" s="153"/>
      <c r="B822" s="153"/>
      <c r="C822" s="153"/>
      <c r="D822" s="153"/>
      <c r="E822" s="153"/>
      <c r="F822" s="153"/>
      <c r="G822" s="153"/>
      <c r="H822" s="153"/>
      <c r="I822" s="153"/>
      <c r="J822" s="153"/>
      <c r="K822" s="153"/>
      <c r="L822" s="153"/>
      <c r="M822" s="153"/>
      <c r="N822" s="153"/>
      <c r="O822" s="153"/>
      <c r="P822" s="153"/>
      <c r="Q822" s="153"/>
      <c r="R822" s="153"/>
      <c r="S822" s="153"/>
      <c r="T822" s="153"/>
      <c r="U822" s="153"/>
      <c r="V822" s="153"/>
      <c r="W822" s="153"/>
      <c r="X822" s="153"/>
      <c r="Y822" s="153"/>
      <c r="Z822" s="153"/>
      <c r="AA822" s="153"/>
      <c r="AB822" s="153"/>
    </row>
    <row r="823" spans="1:28" ht="15">
      <c r="A823" s="153"/>
      <c r="B823" s="153"/>
      <c r="C823" s="153"/>
      <c r="D823" s="153"/>
      <c r="E823" s="153"/>
      <c r="F823" s="153"/>
      <c r="G823" s="153"/>
      <c r="H823" s="153"/>
      <c r="I823" s="153"/>
      <c r="J823" s="153"/>
      <c r="K823" s="153"/>
      <c r="L823" s="153"/>
      <c r="M823" s="153"/>
      <c r="N823" s="153"/>
      <c r="O823" s="153"/>
      <c r="P823" s="153"/>
      <c r="Q823" s="153"/>
      <c r="R823" s="153"/>
      <c r="S823" s="153"/>
      <c r="T823" s="153"/>
      <c r="U823" s="153"/>
      <c r="V823" s="153"/>
      <c r="W823" s="153"/>
      <c r="X823" s="153"/>
      <c r="Y823" s="153"/>
      <c r="Z823" s="153"/>
      <c r="AA823" s="153"/>
      <c r="AB823" s="153"/>
    </row>
    <row r="824" spans="1:28" ht="15">
      <c r="A824" s="153"/>
      <c r="B824" s="153"/>
      <c r="C824" s="153"/>
      <c r="D824" s="153"/>
      <c r="E824" s="153"/>
      <c r="F824" s="153"/>
      <c r="G824" s="153"/>
      <c r="H824" s="153"/>
      <c r="I824" s="153"/>
      <c r="J824" s="153"/>
      <c r="K824" s="153"/>
      <c r="L824" s="153"/>
      <c r="M824" s="153"/>
      <c r="N824" s="153"/>
      <c r="O824" s="153"/>
      <c r="P824" s="153"/>
      <c r="Q824" s="153"/>
      <c r="R824" s="153"/>
      <c r="S824" s="153"/>
      <c r="T824" s="153"/>
      <c r="U824" s="153"/>
      <c r="V824" s="153"/>
      <c r="W824" s="153"/>
      <c r="X824" s="153"/>
      <c r="Y824" s="153"/>
      <c r="Z824" s="153"/>
      <c r="AA824" s="153"/>
      <c r="AB824" s="153"/>
    </row>
    <row r="825" spans="1:28" ht="15">
      <c r="A825" s="153"/>
      <c r="B825" s="153"/>
      <c r="C825" s="153"/>
      <c r="D825" s="153"/>
      <c r="E825" s="153"/>
      <c r="F825" s="153"/>
      <c r="G825" s="153"/>
      <c r="H825" s="153"/>
      <c r="I825" s="153"/>
      <c r="J825" s="153"/>
      <c r="K825" s="153"/>
      <c r="L825" s="153"/>
      <c r="M825" s="153"/>
      <c r="N825" s="153"/>
      <c r="O825" s="153"/>
      <c r="P825" s="153"/>
      <c r="Q825" s="153"/>
      <c r="R825" s="153"/>
      <c r="S825" s="153"/>
      <c r="T825" s="153"/>
      <c r="U825" s="153"/>
      <c r="V825" s="153"/>
      <c r="W825" s="153"/>
      <c r="X825" s="153"/>
      <c r="Y825" s="153"/>
      <c r="Z825" s="153"/>
      <c r="AA825" s="153"/>
      <c r="AB825" s="153"/>
    </row>
    <row r="826" spans="1:28" ht="15">
      <c r="A826" s="153"/>
      <c r="B826" s="153"/>
      <c r="C826" s="153"/>
      <c r="D826" s="153"/>
      <c r="E826" s="153"/>
      <c r="F826" s="153"/>
      <c r="G826" s="153"/>
      <c r="H826" s="153"/>
      <c r="I826" s="153"/>
      <c r="J826" s="153"/>
      <c r="K826" s="153"/>
      <c r="L826" s="153"/>
      <c r="M826" s="153"/>
      <c r="N826" s="153"/>
      <c r="O826" s="153"/>
      <c r="P826" s="153"/>
      <c r="Q826" s="153"/>
      <c r="R826" s="153"/>
      <c r="S826" s="153"/>
      <c r="T826" s="153"/>
      <c r="U826" s="153"/>
      <c r="V826" s="153"/>
      <c r="W826" s="153"/>
      <c r="X826" s="153"/>
      <c r="Y826" s="153"/>
      <c r="Z826" s="153"/>
      <c r="AA826" s="153"/>
      <c r="AB826" s="153"/>
    </row>
    <row r="827" spans="1:28" ht="15">
      <c r="A827" s="153"/>
      <c r="B827" s="153"/>
      <c r="C827" s="153"/>
      <c r="D827" s="153"/>
      <c r="E827" s="153"/>
      <c r="F827" s="153"/>
      <c r="G827" s="153"/>
      <c r="H827" s="153"/>
      <c r="I827" s="153"/>
      <c r="J827" s="153"/>
      <c r="K827" s="153"/>
      <c r="L827" s="153"/>
      <c r="M827" s="153"/>
      <c r="N827" s="153"/>
      <c r="O827" s="153"/>
      <c r="P827" s="153"/>
      <c r="Q827" s="153"/>
      <c r="R827" s="153"/>
      <c r="S827" s="153"/>
      <c r="T827" s="153"/>
      <c r="U827" s="153"/>
      <c r="V827" s="153"/>
      <c r="W827" s="153"/>
      <c r="X827" s="153"/>
      <c r="Y827" s="153"/>
      <c r="Z827" s="153"/>
      <c r="AA827" s="153"/>
      <c r="AB827" s="153"/>
    </row>
    <row r="828" spans="1:28" ht="15">
      <c r="A828" s="153"/>
      <c r="B828" s="153"/>
      <c r="C828" s="153"/>
      <c r="D828" s="153"/>
      <c r="E828" s="153"/>
      <c r="F828" s="153"/>
      <c r="G828" s="153"/>
      <c r="H828" s="153"/>
      <c r="I828" s="153"/>
      <c r="J828" s="153"/>
      <c r="K828" s="153"/>
      <c r="L828" s="153"/>
      <c r="M828" s="153"/>
      <c r="N828" s="153"/>
      <c r="O828" s="153"/>
      <c r="P828" s="153"/>
      <c r="Q828" s="153"/>
      <c r="R828" s="153"/>
      <c r="S828" s="153"/>
      <c r="T828" s="153"/>
      <c r="U828" s="153"/>
      <c r="V828" s="153"/>
      <c r="W828" s="153"/>
      <c r="X828" s="153"/>
      <c r="Y828" s="153"/>
      <c r="Z828" s="153"/>
      <c r="AA828" s="153"/>
      <c r="AB828" s="153"/>
    </row>
    <row r="829" spans="1:28" ht="15">
      <c r="A829" s="153"/>
      <c r="B829" s="153"/>
      <c r="C829" s="153"/>
      <c r="D829" s="153"/>
      <c r="E829" s="153"/>
      <c r="F829" s="153"/>
      <c r="G829" s="153"/>
      <c r="H829" s="153"/>
      <c r="I829" s="153"/>
      <c r="J829" s="153"/>
      <c r="K829" s="153"/>
      <c r="L829" s="153"/>
      <c r="M829" s="153"/>
      <c r="N829" s="153"/>
      <c r="O829" s="153"/>
      <c r="P829" s="153"/>
      <c r="Q829" s="153"/>
      <c r="R829" s="153"/>
      <c r="S829" s="153"/>
      <c r="T829" s="153"/>
      <c r="U829" s="153"/>
      <c r="V829" s="153"/>
      <c r="W829" s="153"/>
      <c r="X829" s="153"/>
      <c r="Y829" s="153"/>
      <c r="Z829" s="153"/>
      <c r="AA829" s="153"/>
      <c r="AB829" s="153"/>
    </row>
    <row r="830" spans="1:28" ht="15">
      <c r="A830" s="153"/>
      <c r="B830" s="153"/>
      <c r="C830" s="153"/>
      <c r="D830" s="153"/>
      <c r="E830" s="153"/>
      <c r="F830" s="153"/>
      <c r="G830" s="153"/>
      <c r="H830" s="153"/>
      <c r="I830" s="153"/>
      <c r="J830" s="153"/>
      <c r="K830" s="153"/>
      <c r="L830" s="153"/>
      <c r="M830" s="153"/>
      <c r="N830" s="153"/>
      <c r="O830" s="153"/>
      <c r="P830" s="153"/>
      <c r="Q830" s="153"/>
      <c r="R830" s="153"/>
      <c r="S830" s="153"/>
      <c r="T830" s="153"/>
      <c r="U830" s="153"/>
      <c r="V830" s="153"/>
      <c r="W830" s="153"/>
      <c r="X830" s="153"/>
      <c r="Y830" s="153"/>
      <c r="Z830" s="153"/>
      <c r="AA830" s="153"/>
      <c r="AB830" s="153"/>
    </row>
    <row r="831" spans="1:28" ht="15">
      <c r="A831" s="153"/>
      <c r="B831" s="153"/>
      <c r="C831" s="153"/>
      <c r="D831" s="153"/>
      <c r="E831" s="153"/>
      <c r="F831" s="153"/>
      <c r="G831" s="153"/>
      <c r="H831" s="153"/>
      <c r="I831" s="153"/>
      <c r="J831" s="153"/>
      <c r="K831" s="153"/>
      <c r="L831" s="153"/>
      <c r="M831" s="153"/>
      <c r="N831" s="153"/>
      <c r="O831" s="153"/>
      <c r="P831" s="153"/>
      <c r="Q831" s="153"/>
      <c r="R831" s="153"/>
      <c r="S831" s="153"/>
      <c r="T831" s="153"/>
      <c r="U831" s="153"/>
      <c r="V831" s="153"/>
      <c r="W831" s="153"/>
      <c r="X831" s="153"/>
      <c r="Y831" s="153"/>
      <c r="Z831" s="153"/>
      <c r="AA831" s="153"/>
      <c r="AB831" s="153"/>
    </row>
    <row r="832" spans="1:28" ht="15">
      <c r="A832" s="153"/>
      <c r="B832" s="153"/>
      <c r="C832" s="153"/>
      <c r="D832" s="153"/>
      <c r="E832" s="153"/>
      <c r="F832" s="153"/>
      <c r="G832" s="153"/>
      <c r="H832" s="153"/>
      <c r="I832" s="153"/>
      <c r="J832" s="153"/>
      <c r="K832" s="153"/>
      <c r="L832" s="153"/>
      <c r="M832" s="153"/>
      <c r="N832" s="153"/>
      <c r="O832" s="153"/>
      <c r="P832" s="153"/>
      <c r="Q832" s="153"/>
      <c r="R832" s="153"/>
      <c r="S832" s="153"/>
      <c r="T832" s="153"/>
      <c r="U832" s="153"/>
      <c r="V832" s="153"/>
      <c r="W832" s="153"/>
      <c r="X832" s="153"/>
      <c r="Y832" s="153"/>
      <c r="Z832" s="153"/>
      <c r="AA832" s="153"/>
      <c r="AB832" s="153"/>
    </row>
    <row r="833" spans="1:28" ht="15">
      <c r="A833" s="153"/>
      <c r="B833" s="153"/>
      <c r="C833" s="153"/>
      <c r="D833" s="153"/>
      <c r="E833" s="153"/>
      <c r="F833" s="153"/>
      <c r="G833" s="153"/>
      <c r="H833" s="153"/>
      <c r="I833" s="153"/>
      <c r="J833" s="153"/>
      <c r="K833" s="153"/>
      <c r="L833" s="153"/>
      <c r="M833" s="153"/>
      <c r="N833" s="153"/>
      <c r="O833" s="153"/>
      <c r="P833" s="153"/>
      <c r="Q833" s="153"/>
      <c r="R833" s="153"/>
      <c r="S833" s="153"/>
      <c r="T833" s="153"/>
      <c r="U833" s="153"/>
      <c r="V833" s="153"/>
      <c r="W833" s="153"/>
      <c r="X833" s="153"/>
      <c r="Y833" s="153"/>
      <c r="Z833" s="153"/>
      <c r="AA833" s="153"/>
      <c r="AB833" s="153"/>
    </row>
    <row r="834" spans="1:28" ht="15">
      <c r="A834" s="153"/>
      <c r="B834" s="153"/>
      <c r="C834" s="153"/>
      <c r="D834" s="153"/>
      <c r="E834" s="153"/>
      <c r="F834" s="153"/>
      <c r="G834" s="153"/>
      <c r="H834" s="153"/>
      <c r="I834" s="153"/>
      <c r="J834" s="153"/>
      <c r="K834" s="153"/>
      <c r="L834" s="153"/>
      <c r="M834" s="153"/>
      <c r="N834" s="153"/>
      <c r="O834" s="153"/>
      <c r="P834" s="153"/>
      <c r="Q834" s="153"/>
      <c r="R834" s="153"/>
      <c r="S834" s="153"/>
      <c r="T834" s="153"/>
      <c r="U834" s="153"/>
      <c r="V834" s="153"/>
      <c r="W834" s="153"/>
      <c r="X834" s="153"/>
      <c r="Y834" s="153"/>
      <c r="Z834" s="153"/>
      <c r="AA834" s="153"/>
      <c r="AB834" s="153"/>
    </row>
    <row r="835" spans="1:28" ht="15">
      <c r="A835" s="153"/>
      <c r="B835" s="153"/>
      <c r="C835" s="153"/>
      <c r="D835" s="153"/>
      <c r="E835" s="153"/>
      <c r="F835" s="153"/>
      <c r="G835" s="153"/>
      <c r="H835" s="153"/>
      <c r="I835" s="153"/>
      <c r="J835" s="153"/>
      <c r="K835" s="153"/>
      <c r="L835" s="153"/>
      <c r="M835" s="153"/>
      <c r="N835" s="153"/>
      <c r="O835" s="153"/>
      <c r="P835" s="153"/>
      <c r="Q835" s="153"/>
      <c r="R835" s="153"/>
      <c r="S835" s="153"/>
      <c r="T835" s="153"/>
      <c r="U835" s="153"/>
      <c r="V835" s="153"/>
      <c r="W835" s="153"/>
      <c r="X835" s="153"/>
      <c r="Y835" s="153"/>
      <c r="Z835" s="153"/>
      <c r="AA835" s="153"/>
      <c r="AB835" s="153"/>
    </row>
    <row r="836" spans="1:28" ht="15">
      <c r="A836" s="153"/>
      <c r="B836" s="153"/>
      <c r="C836" s="153"/>
      <c r="D836" s="153"/>
      <c r="E836" s="153"/>
      <c r="F836" s="153"/>
      <c r="G836" s="153"/>
      <c r="H836" s="153"/>
      <c r="I836" s="153"/>
      <c r="J836" s="153"/>
      <c r="K836" s="153"/>
      <c r="L836" s="153"/>
      <c r="M836" s="153"/>
      <c r="N836" s="153"/>
      <c r="O836" s="153"/>
      <c r="P836" s="153"/>
      <c r="Q836" s="153"/>
      <c r="R836" s="153"/>
      <c r="S836" s="153"/>
      <c r="T836" s="153"/>
      <c r="U836" s="153"/>
      <c r="V836" s="153"/>
      <c r="W836" s="153"/>
      <c r="X836" s="153"/>
      <c r="Y836" s="153"/>
      <c r="Z836" s="153"/>
      <c r="AA836" s="153"/>
      <c r="AB836" s="153"/>
    </row>
    <row r="837" spans="1:28" ht="15">
      <c r="A837" s="153"/>
      <c r="B837" s="153"/>
      <c r="C837" s="153"/>
      <c r="D837" s="153"/>
      <c r="E837" s="153"/>
      <c r="F837" s="153"/>
      <c r="G837" s="153"/>
      <c r="H837" s="153"/>
      <c r="I837" s="153"/>
      <c r="J837" s="153"/>
      <c r="K837" s="153"/>
      <c r="L837" s="153"/>
      <c r="M837" s="153"/>
      <c r="N837" s="153"/>
      <c r="O837" s="153"/>
      <c r="P837" s="153"/>
      <c r="Q837" s="153"/>
      <c r="R837" s="153"/>
      <c r="S837" s="153"/>
      <c r="T837" s="153"/>
      <c r="U837" s="153"/>
      <c r="V837" s="153"/>
      <c r="W837" s="153"/>
      <c r="X837" s="153"/>
      <c r="Y837" s="153"/>
      <c r="Z837" s="153"/>
      <c r="AA837" s="153"/>
      <c r="AB837" s="153"/>
    </row>
    <row r="838" spans="1:28" ht="15">
      <c r="A838" s="153"/>
      <c r="B838" s="153"/>
      <c r="C838" s="153"/>
      <c r="D838" s="153"/>
      <c r="E838" s="153"/>
      <c r="F838" s="153"/>
      <c r="G838" s="153"/>
      <c r="H838" s="153"/>
      <c r="I838" s="153"/>
      <c r="J838" s="153"/>
      <c r="K838" s="153"/>
      <c r="L838" s="153"/>
      <c r="M838" s="153"/>
      <c r="N838" s="153"/>
      <c r="O838" s="153"/>
      <c r="P838" s="153"/>
      <c r="Q838" s="153"/>
      <c r="R838" s="153"/>
      <c r="S838" s="153"/>
      <c r="T838" s="153"/>
      <c r="U838" s="153"/>
      <c r="V838" s="153"/>
      <c r="W838" s="153"/>
      <c r="X838" s="153"/>
      <c r="Y838" s="153"/>
      <c r="Z838" s="153"/>
      <c r="AA838" s="153"/>
      <c r="AB838" s="153"/>
    </row>
    <row r="839" spans="1:28" ht="15">
      <c r="A839" s="153"/>
      <c r="B839" s="153"/>
      <c r="C839" s="153"/>
      <c r="D839" s="153"/>
      <c r="E839" s="153"/>
      <c r="F839" s="153"/>
      <c r="G839" s="153"/>
      <c r="H839" s="153"/>
      <c r="I839" s="153"/>
      <c r="J839" s="153"/>
      <c r="K839" s="153"/>
      <c r="L839" s="153"/>
      <c r="M839" s="153"/>
      <c r="N839" s="153"/>
      <c r="O839" s="153"/>
      <c r="P839" s="153"/>
      <c r="Q839" s="153"/>
      <c r="R839" s="153"/>
      <c r="S839" s="153"/>
      <c r="T839" s="153"/>
      <c r="U839" s="153"/>
      <c r="V839" s="153"/>
      <c r="W839" s="153"/>
      <c r="X839" s="153"/>
      <c r="Y839" s="153"/>
      <c r="Z839" s="153"/>
      <c r="AA839" s="153"/>
      <c r="AB839" s="153"/>
    </row>
    <row r="840" spans="1:28" ht="15">
      <c r="A840" s="153"/>
      <c r="B840" s="153"/>
      <c r="C840" s="153"/>
      <c r="D840" s="153"/>
      <c r="E840" s="153"/>
      <c r="F840" s="153"/>
      <c r="G840" s="153"/>
      <c r="H840" s="153"/>
      <c r="I840" s="153"/>
      <c r="J840" s="153"/>
      <c r="K840" s="153"/>
      <c r="L840" s="153"/>
      <c r="M840" s="153"/>
      <c r="N840" s="153"/>
      <c r="O840" s="153"/>
      <c r="P840" s="153"/>
      <c r="Q840" s="153"/>
      <c r="R840" s="153"/>
      <c r="S840" s="153"/>
      <c r="T840" s="153"/>
      <c r="U840" s="153"/>
      <c r="V840" s="153"/>
      <c r="W840" s="153"/>
      <c r="X840" s="153"/>
      <c r="Y840" s="153"/>
      <c r="Z840" s="153"/>
      <c r="AA840" s="153"/>
      <c r="AB840" s="153"/>
    </row>
    <row r="841" spans="1:28" ht="15">
      <c r="A841" s="153"/>
      <c r="B841" s="153"/>
      <c r="C841" s="153"/>
      <c r="D841" s="153"/>
      <c r="E841" s="153"/>
      <c r="F841" s="153"/>
      <c r="G841" s="153"/>
      <c r="H841" s="153"/>
      <c r="I841" s="153"/>
      <c r="J841" s="153"/>
      <c r="K841" s="153"/>
      <c r="L841" s="153"/>
      <c r="M841" s="153"/>
      <c r="N841" s="153"/>
      <c r="O841" s="153"/>
      <c r="P841" s="153"/>
      <c r="Q841" s="153"/>
      <c r="R841" s="153"/>
      <c r="S841" s="153"/>
      <c r="T841" s="153"/>
      <c r="U841" s="153"/>
      <c r="V841" s="153"/>
      <c r="W841" s="153"/>
      <c r="X841" s="153"/>
      <c r="Y841" s="153"/>
      <c r="Z841" s="153"/>
      <c r="AA841" s="153"/>
      <c r="AB841" s="153"/>
    </row>
    <row r="842" spans="1:28" ht="15">
      <c r="A842" s="153"/>
      <c r="B842" s="153"/>
      <c r="C842" s="153"/>
      <c r="D842" s="153"/>
      <c r="E842" s="153"/>
      <c r="F842" s="153"/>
      <c r="G842" s="153"/>
      <c r="H842" s="153"/>
      <c r="I842" s="153"/>
      <c r="J842" s="153"/>
      <c r="K842" s="153"/>
      <c r="L842" s="153"/>
      <c r="M842" s="153"/>
      <c r="N842" s="153"/>
      <c r="O842" s="153"/>
      <c r="P842" s="153"/>
      <c r="Q842" s="153"/>
      <c r="R842" s="153"/>
      <c r="S842" s="153"/>
      <c r="T842" s="153"/>
      <c r="U842" s="153"/>
      <c r="V842" s="153"/>
      <c r="W842" s="153"/>
      <c r="X842" s="153"/>
      <c r="Y842" s="153"/>
      <c r="Z842" s="153"/>
      <c r="AA842" s="153"/>
      <c r="AB842" s="153"/>
    </row>
    <row r="843" spans="1:28" ht="15">
      <c r="A843" s="153"/>
      <c r="B843" s="153"/>
      <c r="C843" s="153"/>
      <c r="D843" s="153"/>
      <c r="E843" s="153"/>
      <c r="F843" s="153"/>
      <c r="G843" s="153"/>
      <c r="H843" s="153"/>
      <c r="I843" s="153"/>
      <c r="J843" s="153"/>
      <c r="K843" s="153"/>
      <c r="L843" s="153"/>
      <c r="M843" s="153"/>
      <c r="N843" s="153"/>
      <c r="O843" s="153"/>
      <c r="P843" s="153"/>
      <c r="Q843" s="153"/>
      <c r="R843" s="153"/>
      <c r="S843" s="153"/>
      <c r="T843" s="153"/>
      <c r="U843" s="153"/>
      <c r="V843" s="153"/>
      <c r="W843" s="153"/>
      <c r="X843" s="153"/>
      <c r="Y843" s="153"/>
      <c r="Z843" s="153"/>
      <c r="AA843" s="153"/>
      <c r="AB843" s="153"/>
    </row>
    <row r="844" spans="1:28" ht="15">
      <c r="A844" s="153"/>
      <c r="B844" s="153"/>
      <c r="C844" s="153"/>
      <c r="D844" s="153"/>
      <c r="E844" s="153"/>
      <c r="F844" s="153"/>
      <c r="G844" s="153"/>
      <c r="H844" s="153"/>
      <c r="I844" s="153"/>
      <c r="J844" s="153"/>
      <c r="K844" s="153"/>
      <c r="L844" s="153"/>
      <c r="M844" s="153"/>
      <c r="N844" s="153"/>
      <c r="O844" s="153"/>
      <c r="P844" s="153"/>
      <c r="Q844" s="153"/>
      <c r="R844" s="153"/>
      <c r="S844" s="153"/>
      <c r="T844" s="153"/>
      <c r="U844" s="153"/>
      <c r="V844" s="153"/>
      <c r="W844" s="153"/>
      <c r="X844" s="153"/>
      <c r="Y844" s="153"/>
      <c r="Z844" s="153"/>
      <c r="AA844" s="153"/>
      <c r="AB844" s="153"/>
    </row>
    <row r="845" spans="1:28" ht="15">
      <c r="A845" s="153"/>
      <c r="B845" s="153"/>
      <c r="C845" s="153"/>
      <c r="D845" s="153"/>
      <c r="E845" s="153"/>
      <c r="F845" s="153"/>
      <c r="G845" s="153"/>
      <c r="H845" s="153"/>
      <c r="I845" s="153"/>
      <c r="J845" s="153"/>
      <c r="K845" s="153"/>
      <c r="L845" s="153"/>
      <c r="M845" s="153"/>
      <c r="N845" s="153"/>
      <c r="O845" s="153"/>
      <c r="P845" s="153"/>
      <c r="Q845" s="153"/>
      <c r="R845" s="153"/>
      <c r="S845" s="153"/>
      <c r="T845" s="153"/>
      <c r="U845" s="153"/>
      <c r="V845" s="153"/>
      <c r="W845" s="153"/>
      <c r="X845" s="153"/>
      <c r="Y845" s="153"/>
      <c r="Z845" s="153"/>
      <c r="AA845" s="153"/>
      <c r="AB845" s="153"/>
    </row>
    <row r="846" spans="1:28" ht="15">
      <c r="A846" s="153"/>
      <c r="B846" s="153"/>
      <c r="C846" s="153"/>
      <c r="D846" s="153"/>
      <c r="E846" s="153"/>
      <c r="F846" s="153"/>
      <c r="G846" s="153"/>
      <c r="H846" s="153"/>
      <c r="I846" s="153"/>
      <c r="J846" s="153"/>
      <c r="K846" s="153"/>
      <c r="L846" s="153"/>
      <c r="M846" s="153"/>
      <c r="N846" s="153"/>
      <c r="O846" s="153"/>
      <c r="P846" s="153"/>
      <c r="Q846" s="153"/>
      <c r="R846" s="153"/>
      <c r="S846" s="153"/>
      <c r="T846" s="153"/>
      <c r="U846" s="153"/>
      <c r="V846" s="153"/>
      <c r="W846" s="153"/>
      <c r="X846" s="153"/>
      <c r="Y846" s="153"/>
      <c r="Z846" s="153"/>
      <c r="AA846" s="153"/>
      <c r="AB846" s="153"/>
    </row>
    <row r="847" spans="1:28" ht="15">
      <c r="A847" s="153"/>
      <c r="B847" s="153"/>
      <c r="C847" s="153"/>
      <c r="D847" s="153"/>
      <c r="E847" s="153"/>
      <c r="F847" s="153"/>
      <c r="G847" s="153"/>
      <c r="H847" s="153"/>
      <c r="I847" s="153"/>
      <c r="J847" s="153"/>
      <c r="K847" s="153"/>
      <c r="L847" s="153"/>
      <c r="M847" s="153"/>
      <c r="N847" s="153"/>
      <c r="O847" s="153"/>
      <c r="P847" s="153"/>
      <c r="Q847" s="153"/>
      <c r="R847" s="153"/>
      <c r="S847" s="153"/>
      <c r="T847" s="153"/>
      <c r="U847" s="153"/>
      <c r="V847" s="153"/>
      <c r="W847" s="153"/>
      <c r="X847" s="153"/>
      <c r="Y847" s="153"/>
      <c r="Z847" s="153"/>
      <c r="AA847" s="153"/>
      <c r="AB847" s="153"/>
    </row>
    <row r="848" spans="1:28" ht="15">
      <c r="A848" s="153"/>
      <c r="B848" s="153"/>
      <c r="C848" s="153"/>
      <c r="D848" s="153"/>
      <c r="E848" s="153"/>
      <c r="F848" s="153"/>
      <c r="G848" s="153"/>
      <c r="H848" s="153"/>
      <c r="I848" s="153"/>
      <c r="J848" s="153"/>
      <c r="K848" s="153"/>
      <c r="L848" s="153"/>
      <c r="M848" s="153"/>
      <c r="N848" s="153"/>
      <c r="O848" s="153"/>
      <c r="P848" s="153"/>
      <c r="Q848" s="153"/>
      <c r="R848" s="153"/>
      <c r="S848" s="153"/>
      <c r="T848" s="153"/>
      <c r="U848" s="153"/>
      <c r="V848" s="153"/>
      <c r="W848" s="153"/>
      <c r="X848" s="153"/>
      <c r="Y848" s="153"/>
      <c r="Z848" s="153"/>
      <c r="AA848" s="153"/>
      <c r="AB848" s="153"/>
    </row>
    <row r="849" spans="1:28" ht="15">
      <c r="A849" s="153"/>
      <c r="B849" s="153"/>
      <c r="C849" s="153"/>
      <c r="D849" s="153"/>
      <c r="E849" s="153"/>
      <c r="F849" s="153"/>
      <c r="G849" s="153"/>
      <c r="H849" s="153"/>
      <c r="I849" s="153"/>
      <c r="J849" s="153"/>
      <c r="K849" s="153"/>
      <c r="L849" s="153"/>
      <c r="M849" s="153"/>
      <c r="N849" s="153"/>
      <c r="O849" s="153"/>
      <c r="P849" s="153"/>
      <c r="Q849" s="153"/>
      <c r="R849" s="153"/>
      <c r="S849" s="153"/>
      <c r="T849" s="153"/>
      <c r="U849" s="153"/>
      <c r="V849" s="153"/>
      <c r="W849" s="153"/>
      <c r="X849" s="153"/>
      <c r="Y849" s="153"/>
      <c r="Z849" s="153"/>
      <c r="AA849" s="153"/>
      <c r="AB849" s="153"/>
    </row>
    <row r="850" spans="1:28" ht="15">
      <c r="A850" s="153"/>
      <c r="B850" s="153"/>
      <c r="C850" s="153"/>
      <c r="D850" s="153"/>
      <c r="E850" s="153"/>
      <c r="F850" s="153"/>
      <c r="G850" s="153"/>
      <c r="H850" s="153"/>
      <c r="I850" s="153"/>
      <c r="J850" s="153"/>
      <c r="K850" s="153"/>
      <c r="L850" s="153"/>
      <c r="M850" s="153"/>
      <c r="N850" s="153"/>
      <c r="O850" s="153"/>
      <c r="P850" s="153"/>
      <c r="Q850" s="153"/>
      <c r="R850" s="153"/>
      <c r="S850" s="153"/>
      <c r="T850" s="153"/>
      <c r="U850" s="153"/>
      <c r="V850" s="153"/>
      <c r="W850" s="153"/>
      <c r="X850" s="153"/>
      <c r="Y850" s="153"/>
      <c r="Z850" s="153"/>
      <c r="AA850" s="153"/>
      <c r="AB850" s="153"/>
    </row>
    <row r="851" spans="1:28" ht="15">
      <c r="A851" s="153"/>
      <c r="B851" s="153"/>
      <c r="C851" s="153"/>
      <c r="D851" s="153"/>
      <c r="E851" s="153"/>
      <c r="F851" s="153"/>
      <c r="G851" s="153"/>
      <c r="H851" s="153"/>
      <c r="I851" s="153"/>
      <c r="J851" s="153"/>
      <c r="K851" s="153"/>
      <c r="L851" s="153"/>
      <c r="M851" s="153"/>
      <c r="N851" s="153"/>
      <c r="O851" s="153"/>
      <c r="P851" s="153"/>
      <c r="Q851" s="153"/>
      <c r="R851" s="153"/>
      <c r="S851" s="153"/>
      <c r="T851" s="153"/>
      <c r="U851" s="153"/>
      <c r="V851" s="153"/>
      <c r="W851" s="153"/>
      <c r="X851" s="153"/>
      <c r="Y851" s="153"/>
      <c r="Z851" s="153"/>
      <c r="AA851" s="153"/>
      <c r="AB851" s="153"/>
    </row>
    <row r="852" spans="1:28" ht="15">
      <c r="A852" s="153"/>
      <c r="B852" s="153"/>
      <c r="C852" s="153"/>
      <c r="D852" s="153"/>
      <c r="E852" s="153"/>
      <c r="F852" s="153"/>
      <c r="G852" s="153"/>
      <c r="H852" s="153"/>
      <c r="I852" s="153"/>
      <c r="J852" s="153"/>
      <c r="K852" s="153"/>
      <c r="L852" s="153"/>
      <c r="M852" s="153"/>
      <c r="N852" s="153"/>
      <c r="O852" s="153"/>
      <c r="P852" s="153"/>
      <c r="Q852" s="153"/>
      <c r="R852" s="153"/>
      <c r="S852" s="153"/>
      <c r="T852" s="153"/>
      <c r="U852" s="153"/>
      <c r="V852" s="153"/>
      <c r="W852" s="153"/>
      <c r="X852" s="153"/>
      <c r="Y852" s="153"/>
      <c r="Z852" s="153"/>
      <c r="AA852" s="153"/>
      <c r="AB852" s="153"/>
    </row>
    <row r="853" spans="1:28" ht="15">
      <c r="A853" s="153"/>
      <c r="B853" s="153"/>
      <c r="C853" s="153"/>
      <c r="D853" s="153"/>
      <c r="E853" s="153"/>
      <c r="F853" s="153"/>
      <c r="G853" s="153"/>
      <c r="H853" s="153"/>
      <c r="I853" s="153"/>
      <c r="J853" s="153"/>
      <c r="K853" s="153"/>
      <c r="L853" s="153"/>
      <c r="M853" s="153"/>
      <c r="N853" s="153"/>
      <c r="O853" s="153"/>
      <c r="P853" s="153"/>
      <c r="Q853" s="153"/>
      <c r="R853" s="153"/>
      <c r="S853" s="153"/>
      <c r="T853" s="153"/>
      <c r="U853" s="153"/>
      <c r="V853" s="153"/>
      <c r="W853" s="153"/>
      <c r="X853" s="153"/>
      <c r="Y853" s="153"/>
      <c r="Z853" s="153"/>
      <c r="AA853" s="153"/>
      <c r="AB853" s="153"/>
    </row>
    <row r="854" spans="1:28" ht="15">
      <c r="A854" s="153"/>
      <c r="B854" s="153"/>
      <c r="C854" s="153"/>
      <c r="D854" s="153"/>
      <c r="E854" s="153"/>
      <c r="F854" s="153"/>
      <c r="G854" s="153"/>
      <c r="H854" s="153"/>
      <c r="I854" s="153"/>
      <c r="J854" s="153"/>
      <c r="K854" s="153"/>
      <c r="L854" s="153"/>
      <c r="M854" s="153"/>
      <c r="N854" s="153"/>
      <c r="O854" s="153"/>
      <c r="P854" s="153"/>
      <c r="Q854" s="153"/>
      <c r="R854" s="153"/>
      <c r="S854" s="153"/>
      <c r="T854" s="153"/>
      <c r="U854" s="153"/>
      <c r="V854" s="153"/>
      <c r="W854" s="153"/>
      <c r="X854" s="153"/>
      <c r="Y854" s="153"/>
      <c r="Z854" s="153"/>
      <c r="AA854" s="153"/>
      <c r="AB854" s="153"/>
    </row>
    <row r="855" spans="1:28" ht="15">
      <c r="A855" s="153"/>
      <c r="B855" s="153"/>
      <c r="C855" s="153"/>
      <c r="D855" s="153"/>
      <c r="E855" s="153"/>
      <c r="F855" s="153"/>
      <c r="G855" s="153"/>
      <c r="H855" s="153"/>
      <c r="I855" s="153"/>
      <c r="J855" s="153"/>
      <c r="K855" s="153"/>
      <c r="L855" s="153"/>
      <c r="M855" s="153"/>
      <c r="N855" s="153"/>
      <c r="O855" s="153"/>
      <c r="P855" s="153"/>
      <c r="Q855" s="153"/>
      <c r="R855" s="153"/>
      <c r="S855" s="153"/>
      <c r="T855" s="153"/>
      <c r="U855" s="153"/>
      <c r="V855" s="153"/>
      <c r="W855" s="153"/>
      <c r="X855" s="153"/>
      <c r="Y855" s="153"/>
      <c r="Z855" s="153"/>
      <c r="AA855" s="153"/>
      <c r="AB855" s="153"/>
    </row>
    <row r="856" spans="1:28" ht="15">
      <c r="A856" s="153"/>
      <c r="B856" s="153"/>
      <c r="C856" s="153"/>
      <c r="D856" s="153"/>
      <c r="E856" s="153"/>
      <c r="F856" s="153"/>
      <c r="G856" s="153"/>
      <c r="H856" s="153"/>
      <c r="I856" s="153"/>
      <c r="J856" s="153"/>
      <c r="K856" s="153"/>
      <c r="L856" s="153"/>
      <c r="M856" s="153"/>
      <c r="N856" s="153"/>
      <c r="O856" s="153"/>
      <c r="P856" s="153"/>
      <c r="Q856" s="153"/>
      <c r="R856" s="153"/>
      <c r="S856" s="153"/>
      <c r="T856" s="153"/>
      <c r="U856" s="153"/>
      <c r="V856" s="153"/>
      <c r="W856" s="153"/>
      <c r="X856" s="153"/>
      <c r="Y856" s="153"/>
      <c r="Z856" s="153"/>
      <c r="AA856" s="153"/>
      <c r="AB856" s="153"/>
    </row>
    <row r="857" spans="1:28" ht="15">
      <c r="A857" s="153"/>
      <c r="B857" s="153"/>
      <c r="C857" s="153"/>
      <c r="D857" s="153"/>
      <c r="E857" s="153"/>
      <c r="F857" s="153"/>
      <c r="G857" s="153"/>
      <c r="H857" s="153"/>
      <c r="I857" s="153"/>
      <c r="J857" s="153"/>
      <c r="K857" s="153"/>
      <c r="L857" s="153"/>
      <c r="M857" s="153"/>
      <c r="N857" s="153"/>
      <c r="O857" s="153"/>
      <c r="P857" s="153"/>
      <c r="Q857" s="153"/>
      <c r="R857" s="153"/>
      <c r="S857" s="153"/>
      <c r="T857" s="153"/>
      <c r="U857" s="153"/>
      <c r="V857" s="153"/>
      <c r="W857" s="153"/>
      <c r="X857" s="153"/>
      <c r="Y857" s="153"/>
      <c r="Z857" s="153"/>
      <c r="AA857" s="153"/>
      <c r="AB857" s="153"/>
    </row>
    <row r="858" spans="1:28" ht="15">
      <c r="A858" s="153"/>
      <c r="B858" s="153"/>
      <c r="C858" s="153"/>
      <c r="D858" s="153"/>
      <c r="E858" s="153"/>
      <c r="F858" s="153"/>
      <c r="G858" s="153"/>
      <c r="H858" s="153"/>
      <c r="I858" s="153"/>
      <c r="J858" s="153"/>
      <c r="K858" s="153"/>
      <c r="L858" s="153"/>
      <c r="M858" s="153"/>
      <c r="N858" s="153"/>
      <c r="O858" s="153"/>
      <c r="P858" s="153"/>
      <c r="Q858" s="153"/>
      <c r="R858" s="153"/>
      <c r="S858" s="153"/>
      <c r="T858" s="153"/>
      <c r="U858" s="153"/>
      <c r="V858" s="153"/>
      <c r="W858" s="153"/>
      <c r="X858" s="153"/>
      <c r="Y858" s="153"/>
      <c r="Z858" s="153"/>
      <c r="AA858" s="153"/>
      <c r="AB858" s="153"/>
    </row>
    <row r="859" spans="1:28" ht="15">
      <c r="A859" s="153"/>
      <c r="B859" s="153"/>
      <c r="C859" s="153"/>
      <c r="D859" s="153"/>
      <c r="E859" s="153"/>
      <c r="F859" s="153"/>
      <c r="G859" s="153"/>
      <c r="H859" s="153"/>
      <c r="I859" s="153"/>
      <c r="J859" s="153"/>
      <c r="K859" s="153"/>
      <c r="L859" s="153"/>
      <c r="M859" s="153"/>
      <c r="N859" s="153"/>
      <c r="O859" s="153"/>
      <c r="P859" s="153"/>
      <c r="Q859" s="153"/>
      <c r="R859" s="153"/>
      <c r="S859" s="153"/>
      <c r="T859" s="153"/>
      <c r="U859" s="153"/>
      <c r="V859" s="153"/>
      <c r="W859" s="153"/>
      <c r="X859" s="153"/>
      <c r="Y859" s="153"/>
      <c r="Z859" s="153"/>
      <c r="AA859" s="153"/>
      <c r="AB859" s="153"/>
    </row>
    <row r="860" spans="1:28" ht="15">
      <c r="A860" s="153"/>
      <c r="B860" s="153"/>
      <c r="C860" s="153"/>
      <c r="D860" s="153"/>
      <c r="E860" s="153"/>
      <c r="F860" s="153"/>
      <c r="G860" s="153"/>
      <c r="H860" s="153"/>
      <c r="I860" s="153"/>
      <c r="J860" s="153"/>
      <c r="K860" s="153"/>
      <c r="L860" s="153"/>
      <c r="M860" s="153"/>
      <c r="N860" s="153"/>
      <c r="O860" s="153"/>
      <c r="P860" s="153"/>
      <c r="Q860" s="153"/>
      <c r="R860" s="153"/>
      <c r="S860" s="153"/>
      <c r="T860" s="153"/>
      <c r="U860" s="153"/>
      <c r="V860" s="153"/>
      <c r="W860" s="153"/>
      <c r="X860" s="153"/>
      <c r="Y860" s="153"/>
      <c r="Z860" s="153"/>
      <c r="AA860" s="153"/>
      <c r="AB860" s="153"/>
    </row>
    <row r="861" spans="1:28" ht="15">
      <c r="A861" s="153"/>
      <c r="B861" s="153"/>
      <c r="C861" s="153"/>
      <c r="D861" s="153"/>
      <c r="E861" s="153"/>
      <c r="F861" s="153"/>
      <c r="G861" s="153"/>
      <c r="H861" s="153"/>
      <c r="I861" s="153"/>
      <c r="J861" s="153"/>
      <c r="K861" s="153"/>
      <c r="L861" s="153"/>
      <c r="M861" s="153"/>
      <c r="N861" s="153"/>
      <c r="O861" s="153"/>
      <c r="P861" s="153"/>
      <c r="Q861" s="153"/>
      <c r="R861" s="153"/>
      <c r="S861" s="153"/>
      <c r="T861" s="153"/>
      <c r="U861" s="153"/>
      <c r="V861" s="153"/>
      <c r="W861" s="153"/>
      <c r="X861" s="153"/>
      <c r="Y861" s="153"/>
      <c r="Z861" s="153"/>
      <c r="AA861" s="153"/>
      <c r="AB861" s="153"/>
    </row>
    <row r="862" spans="1:28" ht="15">
      <c r="A862" s="153"/>
      <c r="B862" s="153"/>
      <c r="C862" s="153"/>
      <c r="D862" s="153"/>
      <c r="E862" s="153"/>
      <c r="F862" s="153"/>
      <c r="G862" s="153"/>
      <c r="H862" s="153"/>
      <c r="I862" s="153"/>
      <c r="J862" s="153"/>
      <c r="K862" s="153"/>
      <c r="L862" s="153"/>
      <c r="M862" s="153"/>
      <c r="N862" s="153"/>
      <c r="O862" s="153"/>
      <c r="P862" s="153"/>
      <c r="Q862" s="153"/>
      <c r="R862" s="153"/>
      <c r="S862" s="153"/>
      <c r="T862" s="153"/>
      <c r="U862" s="153"/>
      <c r="V862" s="153"/>
      <c r="W862" s="153"/>
      <c r="X862" s="153"/>
      <c r="Y862" s="153"/>
      <c r="Z862" s="153"/>
      <c r="AA862" s="153"/>
      <c r="AB862" s="153"/>
    </row>
    <row r="863" spans="1:28" ht="15">
      <c r="A863" s="153"/>
      <c r="B863" s="153"/>
      <c r="C863" s="153"/>
      <c r="D863" s="153"/>
      <c r="E863" s="153"/>
      <c r="F863" s="153"/>
      <c r="G863" s="153"/>
      <c r="H863" s="153"/>
      <c r="I863" s="153"/>
      <c r="J863" s="153"/>
      <c r="K863" s="153"/>
      <c r="L863" s="153"/>
      <c r="M863" s="153"/>
      <c r="N863" s="153"/>
      <c r="O863" s="153"/>
      <c r="P863" s="153"/>
      <c r="Q863" s="153"/>
      <c r="R863" s="153"/>
      <c r="S863" s="153"/>
      <c r="T863" s="153"/>
      <c r="U863" s="153"/>
      <c r="V863" s="153"/>
      <c r="W863" s="153"/>
      <c r="X863" s="153"/>
      <c r="Y863" s="153"/>
      <c r="Z863" s="153"/>
      <c r="AA863" s="153"/>
      <c r="AB863" s="153"/>
    </row>
    <row r="864" spans="1:28" ht="15">
      <c r="A864" s="153"/>
      <c r="B864" s="153"/>
      <c r="C864" s="153"/>
      <c r="D864" s="153"/>
      <c r="E864" s="153"/>
      <c r="F864" s="153"/>
      <c r="G864" s="153"/>
      <c r="H864" s="153"/>
      <c r="I864" s="153"/>
      <c r="J864" s="153"/>
      <c r="K864" s="153"/>
      <c r="L864" s="153"/>
      <c r="M864" s="153"/>
      <c r="N864" s="153"/>
      <c r="O864" s="153"/>
      <c r="P864" s="153"/>
      <c r="Q864" s="153"/>
      <c r="R864" s="153"/>
      <c r="S864" s="153"/>
      <c r="T864" s="153"/>
      <c r="U864" s="153"/>
      <c r="V864" s="153"/>
      <c r="W864" s="153"/>
      <c r="X864" s="153"/>
      <c r="Y864" s="153"/>
      <c r="Z864" s="153"/>
      <c r="AA864" s="153"/>
      <c r="AB864" s="153"/>
    </row>
    <row r="865" spans="1:28" ht="15">
      <c r="A865" s="153"/>
      <c r="B865" s="153"/>
      <c r="C865" s="153"/>
      <c r="D865" s="153"/>
      <c r="E865" s="153"/>
      <c r="F865" s="153"/>
      <c r="G865" s="153"/>
      <c r="H865" s="153"/>
      <c r="I865" s="153"/>
      <c r="J865" s="153"/>
      <c r="K865" s="153"/>
      <c r="L865" s="153"/>
      <c r="M865" s="153"/>
      <c r="N865" s="153"/>
      <c r="O865" s="153"/>
      <c r="P865" s="153"/>
      <c r="Q865" s="153"/>
      <c r="R865" s="153"/>
      <c r="S865" s="153"/>
      <c r="T865" s="153"/>
      <c r="U865" s="153"/>
      <c r="V865" s="153"/>
      <c r="W865" s="153"/>
      <c r="X865" s="153"/>
      <c r="Y865" s="153"/>
      <c r="Z865" s="153"/>
      <c r="AA865" s="153"/>
      <c r="AB865" s="153"/>
    </row>
    <row r="866" spans="1:28" ht="15">
      <c r="A866" s="153"/>
      <c r="B866" s="153"/>
      <c r="C866" s="153"/>
      <c r="D866" s="153"/>
      <c r="E866" s="153"/>
      <c r="F866" s="153"/>
      <c r="G866" s="153"/>
      <c r="H866" s="153"/>
      <c r="I866" s="153"/>
      <c r="J866" s="153"/>
      <c r="K866" s="153"/>
      <c r="L866" s="153"/>
      <c r="M866" s="153"/>
      <c r="N866" s="153"/>
      <c r="O866" s="153"/>
      <c r="P866" s="153"/>
      <c r="Q866" s="153"/>
      <c r="R866" s="153"/>
      <c r="S866" s="153"/>
      <c r="T866" s="153"/>
      <c r="U866" s="153"/>
      <c r="V866" s="153"/>
      <c r="W866" s="153"/>
      <c r="X866" s="153"/>
      <c r="Y866" s="153"/>
      <c r="Z866" s="153"/>
      <c r="AA866" s="153"/>
      <c r="AB866" s="153"/>
    </row>
    <row r="867" spans="1:28" ht="15">
      <c r="A867" s="153"/>
      <c r="B867" s="153"/>
      <c r="C867" s="153"/>
      <c r="D867" s="153"/>
      <c r="E867" s="153"/>
      <c r="F867" s="153"/>
      <c r="G867" s="153"/>
      <c r="H867" s="153"/>
      <c r="I867" s="153"/>
      <c r="J867" s="153"/>
      <c r="K867" s="153"/>
      <c r="L867" s="153"/>
      <c r="M867" s="153"/>
      <c r="N867" s="153"/>
      <c r="O867" s="153"/>
      <c r="P867" s="153"/>
      <c r="Q867" s="153"/>
      <c r="R867" s="153"/>
      <c r="S867" s="153"/>
      <c r="T867" s="153"/>
      <c r="U867" s="153"/>
      <c r="V867" s="153"/>
      <c r="W867" s="153"/>
      <c r="X867" s="153"/>
      <c r="Y867" s="153"/>
      <c r="Z867" s="153"/>
      <c r="AA867" s="153"/>
      <c r="AB867" s="153"/>
    </row>
    <row r="868" spans="1:28" ht="15">
      <c r="A868" s="153"/>
      <c r="B868" s="153"/>
      <c r="C868" s="153"/>
      <c r="D868" s="153"/>
      <c r="E868" s="153"/>
      <c r="F868" s="153"/>
      <c r="G868" s="153"/>
      <c r="H868" s="153"/>
      <c r="I868" s="153"/>
      <c r="J868" s="153"/>
      <c r="K868" s="153"/>
      <c r="L868" s="153"/>
      <c r="M868" s="153"/>
      <c r="N868" s="153"/>
      <c r="O868" s="153"/>
      <c r="P868" s="153"/>
      <c r="Q868" s="153"/>
      <c r="R868" s="153"/>
      <c r="S868" s="153"/>
      <c r="T868" s="153"/>
      <c r="U868" s="153"/>
      <c r="V868" s="153"/>
      <c r="W868" s="153"/>
      <c r="X868" s="153"/>
      <c r="Y868" s="153"/>
      <c r="Z868" s="153"/>
      <c r="AA868" s="153"/>
      <c r="AB868" s="153"/>
    </row>
    <row r="869" spans="1:28" ht="15">
      <c r="A869" s="153"/>
      <c r="B869" s="153"/>
      <c r="C869" s="153"/>
      <c r="D869" s="153"/>
      <c r="E869" s="153"/>
      <c r="F869" s="153"/>
      <c r="G869" s="153"/>
      <c r="H869" s="153"/>
      <c r="I869" s="153"/>
      <c r="J869" s="153"/>
      <c r="K869" s="153"/>
      <c r="L869" s="153"/>
      <c r="M869" s="153"/>
      <c r="N869" s="153"/>
      <c r="O869" s="153"/>
      <c r="P869" s="153"/>
      <c r="Q869" s="153"/>
      <c r="R869" s="153"/>
      <c r="S869" s="153"/>
      <c r="T869" s="153"/>
      <c r="U869" s="153"/>
      <c r="V869" s="153"/>
      <c r="W869" s="153"/>
      <c r="X869" s="153"/>
      <c r="Y869" s="153"/>
      <c r="Z869" s="153"/>
      <c r="AA869" s="153"/>
      <c r="AB869" s="153"/>
    </row>
    <row r="870" spans="1:28" ht="15">
      <c r="A870" s="153"/>
      <c r="B870" s="153"/>
      <c r="C870" s="153"/>
      <c r="D870" s="153"/>
      <c r="E870" s="153"/>
      <c r="F870" s="153"/>
      <c r="G870" s="153"/>
      <c r="H870" s="153"/>
      <c r="I870" s="153"/>
      <c r="J870" s="153"/>
      <c r="K870" s="153"/>
      <c r="L870" s="153"/>
      <c r="M870" s="153"/>
      <c r="N870" s="153"/>
      <c r="O870" s="153"/>
      <c r="P870" s="153"/>
      <c r="Q870" s="153"/>
      <c r="R870" s="153"/>
      <c r="S870" s="153"/>
      <c r="T870" s="153"/>
      <c r="U870" s="153"/>
      <c r="V870" s="153"/>
      <c r="W870" s="153"/>
      <c r="X870" s="153"/>
      <c r="Y870" s="153"/>
      <c r="Z870" s="153"/>
      <c r="AA870" s="153"/>
      <c r="AB870" s="153"/>
    </row>
    <row r="871" spans="1:28" ht="15">
      <c r="A871" s="153"/>
      <c r="B871" s="153"/>
      <c r="C871" s="153"/>
      <c r="D871" s="153"/>
      <c r="E871" s="153"/>
      <c r="F871" s="153"/>
      <c r="G871" s="153"/>
      <c r="H871" s="153"/>
      <c r="I871" s="153"/>
      <c r="J871" s="153"/>
      <c r="K871" s="153"/>
      <c r="L871" s="153"/>
      <c r="M871" s="153"/>
      <c r="N871" s="153"/>
      <c r="O871" s="153"/>
      <c r="P871" s="153"/>
      <c r="Q871" s="153"/>
      <c r="R871" s="153"/>
      <c r="S871" s="153"/>
      <c r="T871" s="153"/>
      <c r="U871" s="153"/>
      <c r="V871" s="153"/>
      <c r="W871" s="153"/>
      <c r="X871" s="153"/>
      <c r="Y871" s="153"/>
      <c r="Z871" s="153"/>
      <c r="AA871" s="153"/>
      <c r="AB871" s="153"/>
    </row>
    <row r="872" spans="1:28" ht="15">
      <c r="A872" s="153"/>
      <c r="B872" s="153"/>
      <c r="C872" s="153"/>
      <c r="D872" s="153"/>
      <c r="E872" s="153"/>
      <c r="F872" s="153"/>
      <c r="G872" s="153"/>
      <c r="H872" s="153"/>
      <c r="I872" s="153"/>
      <c r="J872" s="153"/>
      <c r="K872" s="153"/>
      <c r="L872" s="153"/>
      <c r="M872" s="153"/>
      <c r="N872" s="153"/>
      <c r="O872" s="153"/>
      <c r="P872" s="153"/>
      <c r="Q872" s="153"/>
      <c r="R872" s="153"/>
      <c r="S872" s="153"/>
      <c r="T872" s="153"/>
      <c r="U872" s="153"/>
      <c r="V872" s="153"/>
      <c r="W872" s="153"/>
      <c r="X872" s="153"/>
      <c r="Y872" s="153"/>
      <c r="Z872" s="153"/>
      <c r="AA872" s="153"/>
      <c r="AB872" s="153"/>
    </row>
    <row r="873" spans="1:28" ht="15">
      <c r="A873" s="153"/>
      <c r="B873" s="153"/>
      <c r="C873" s="153"/>
      <c r="D873" s="153"/>
      <c r="E873" s="153"/>
      <c r="F873" s="153"/>
      <c r="G873" s="153"/>
      <c r="H873" s="153"/>
      <c r="I873" s="153"/>
      <c r="J873" s="153"/>
      <c r="K873" s="153"/>
      <c r="L873" s="153"/>
      <c r="M873" s="153"/>
      <c r="N873" s="153"/>
      <c r="O873" s="153"/>
      <c r="P873" s="153"/>
      <c r="Q873" s="153"/>
      <c r="R873" s="153"/>
      <c r="S873" s="153"/>
      <c r="T873" s="153"/>
      <c r="U873" s="153"/>
      <c r="V873" s="153"/>
      <c r="W873" s="153"/>
      <c r="X873" s="153"/>
      <c r="Y873" s="153"/>
      <c r="Z873" s="153"/>
      <c r="AA873" s="153"/>
      <c r="AB873" s="153"/>
    </row>
    <row r="874" spans="1:28" ht="15">
      <c r="A874" s="153"/>
      <c r="B874" s="153"/>
      <c r="C874" s="153"/>
      <c r="D874" s="153"/>
      <c r="E874" s="153"/>
      <c r="F874" s="153"/>
      <c r="G874" s="153"/>
      <c r="H874" s="153"/>
      <c r="I874" s="153"/>
      <c r="J874" s="153"/>
      <c r="K874" s="153"/>
      <c r="L874" s="153"/>
      <c r="M874" s="153"/>
      <c r="N874" s="153"/>
      <c r="O874" s="153"/>
      <c r="P874" s="153"/>
      <c r="Q874" s="153"/>
      <c r="R874" s="153"/>
      <c r="S874" s="153"/>
      <c r="T874" s="153"/>
      <c r="U874" s="153"/>
      <c r="V874" s="153"/>
      <c r="W874" s="153"/>
      <c r="X874" s="153"/>
      <c r="Y874" s="153"/>
      <c r="Z874" s="153"/>
      <c r="AA874" s="153"/>
      <c r="AB874" s="153"/>
    </row>
    <row r="875" spans="1:28" ht="15">
      <c r="A875" s="153"/>
      <c r="B875" s="153"/>
      <c r="C875" s="153"/>
      <c r="D875" s="153"/>
      <c r="E875" s="153"/>
      <c r="F875" s="153"/>
      <c r="G875" s="153"/>
      <c r="H875" s="153"/>
      <c r="I875" s="153"/>
      <c r="J875" s="153"/>
      <c r="K875" s="153"/>
      <c r="L875" s="153"/>
      <c r="M875" s="153"/>
      <c r="N875" s="153"/>
      <c r="O875" s="153"/>
      <c r="P875" s="153"/>
      <c r="Q875" s="153"/>
      <c r="R875" s="153"/>
      <c r="S875" s="153"/>
      <c r="T875" s="153"/>
      <c r="U875" s="153"/>
      <c r="V875" s="153"/>
      <c r="W875" s="153"/>
      <c r="X875" s="153"/>
      <c r="Y875" s="153"/>
      <c r="Z875" s="153"/>
      <c r="AA875" s="153"/>
      <c r="AB875" s="153"/>
    </row>
    <row r="876" spans="1:28" ht="15">
      <c r="A876" s="153"/>
      <c r="B876" s="153"/>
      <c r="C876" s="153"/>
      <c r="D876" s="153"/>
      <c r="E876" s="153"/>
      <c r="F876" s="153"/>
      <c r="G876" s="153"/>
      <c r="H876" s="153"/>
      <c r="I876" s="153"/>
      <c r="J876" s="153"/>
      <c r="K876" s="153"/>
      <c r="L876" s="153"/>
      <c r="M876" s="153"/>
      <c r="N876" s="153"/>
      <c r="O876" s="153"/>
      <c r="P876" s="153"/>
      <c r="Q876" s="153"/>
      <c r="R876" s="153"/>
      <c r="S876" s="153"/>
      <c r="T876" s="153"/>
      <c r="U876" s="153"/>
      <c r="V876" s="153"/>
      <c r="W876" s="153"/>
      <c r="X876" s="153"/>
      <c r="Y876" s="153"/>
      <c r="Z876" s="153"/>
      <c r="AA876" s="153"/>
      <c r="AB876" s="153"/>
    </row>
    <row r="877" spans="1:28" ht="15">
      <c r="A877" s="153"/>
      <c r="B877" s="153"/>
      <c r="C877" s="153"/>
      <c r="D877" s="153"/>
      <c r="E877" s="153"/>
      <c r="F877" s="153"/>
      <c r="G877" s="153"/>
      <c r="H877" s="153"/>
      <c r="I877" s="153"/>
      <c r="J877" s="153"/>
      <c r="K877" s="153"/>
      <c r="L877" s="153"/>
      <c r="M877" s="153"/>
      <c r="N877" s="153"/>
      <c r="O877" s="153"/>
      <c r="P877" s="153"/>
      <c r="Q877" s="153"/>
      <c r="R877" s="153"/>
      <c r="S877" s="153"/>
      <c r="T877" s="153"/>
      <c r="U877" s="153"/>
      <c r="V877" s="153"/>
      <c r="W877" s="153"/>
      <c r="X877" s="153"/>
      <c r="Y877" s="153"/>
      <c r="Z877" s="153"/>
      <c r="AA877" s="153"/>
      <c r="AB877" s="153"/>
    </row>
    <row r="878" spans="1:28" ht="15">
      <c r="A878" s="153"/>
      <c r="B878" s="153"/>
      <c r="C878" s="153"/>
      <c r="D878" s="153"/>
      <c r="E878" s="153"/>
      <c r="F878" s="153"/>
      <c r="G878" s="153"/>
      <c r="H878" s="153"/>
      <c r="I878" s="153"/>
      <c r="J878" s="153"/>
      <c r="K878" s="153"/>
      <c r="L878" s="153"/>
      <c r="M878" s="153"/>
      <c r="N878" s="153"/>
      <c r="O878" s="153"/>
      <c r="P878" s="153"/>
      <c r="Q878" s="153"/>
      <c r="R878" s="153"/>
      <c r="S878" s="153"/>
      <c r="T878" s="153"/>
      <c r="U878" s="153"/>
      <c r="V878" s="153"/>
      <c r="W878" s="153"/>
      <c r="X878" s="153"/>
      <c r="Y878" s="153"/>
      <c r="Z878" s="153"/>
      <c r="AA878" s="153"/>
      <c r="AB878" s="153"/>
    </row>
    <row r="879" spans="1:28" ht="15">
      <c r="A879" s="153"/>
      <c r="B879" s="153"/>
      <c r="C879" s="153"/>
      <c r="D879" s="153"/>
      <c r="E879" s="153"/>
      <c r="F879" s="153"/>
      <c r="G879" s="153"/>
      <c r="H879" s="153"/>
      <c r="I879" s="153"/>
      <c r="J879" s="153"/>
      <c r="K879" s="153"/>
      <c r="L879" s="153"/>
      <c r="M879" s="153"/>
      <c r="N879" s="153"/>
      <c r="O879" s="153"/>
      <c r="P879" s="153"/>
      <c r="Q879" s="153"/>
      <c r="R879" s="153"/>
      <c r="S879" s="153"/>
      <c r="T879" s="153"/>
      <c r="U879" s="153"/>
      <c r="V879" s="153"/>
      <c r="W879" s="153"/>
      <c r="X879" s="153"/>
      <c r="Y879" s="153"/>
      <c r="Z879" s="153"/>
      <c r="AA879" s="153"/>
      <c r="AB879" s="153"/>
    </row>
    <row r="880" spans="1:28" ht="15">
      <c r="A880" s="153"/>
      <c r="B880" s="153"/>
      <c r="C880" s="153"/>
      <c r="D880" s="153"/>
      <c r="E880" s="153"/>
      <c r="F880" s="153"/>
      <c r="G880" s="153"/>
      <c r="H880" s="153"/>
      <c r="I880" s="153"/>
      <c r="J880" s="153"/>
      <c r="K880" s="153"/>
      <c r="L880" s="153"/>
      <c r="M880" s="153"/>
      <c r="N880" s="153"/>
      <c r="O880" s="153"/>
      <c r="P880" s="153"/>
      <c r="Q880" s="153"/>
      <c r="R880" s="153"/>
      <c r="S880" s="153"/>
      <c r="T880" s="153"/>
      <c r="U880" s="153"/>
      <c r="V880" s="153"/>
      <c r="W880" s="153"/>
      <c r="X880" s="153"/>
      <c r="Y880" s="153"/>
      <c r="Z880" s="153"/>
      <c r="AA880" s="153"/>
      <c r="AB880" s="153"/>
    </row>
    <row r="881" spans="1:28" ht="15">
      <c r="A881" s="153"/>
      <c r="B881" s="153"/>
      <c r="C881" s="153"/>
      <c r="D881" s="153"/>
      <c r="E881" s="153"/>
      <c r="F881" s="153"/>
      <c r="G881" s="153"/>
      <c r="H881" s="153"/>
      <c r="I881" s="153"/>
      <c r="J881" s="153"/>
      <c r="K881" s="153"/>
      <c r="L881" s="153"/>
      <c r="M881" s="153"/>
      <c r="N881" s="153"/>
      <c r="O881" s="153"/>
      <c r="P881" s="153"/>
      <c r="Q881" s="153"/>
      <c r="R881" s="153"/>
      <c r="S881" s="153"/>
      <c r="T881" s="153"/>
      <c r="U881" s="153"/>
      <c r="V881" s="153"/>
      <c r="W881" s="153"/>
      <c r="X881" s="153"/>
      <c r="Y881" s="153"/>
      <c r="Z881" s="153"/>
      <c r="AA881" s="153"/>
      <c r="AB881" s="153"/>
    </row>
    <row r="882" spans="1:28" ht="15">
      <c r="A882" s="153"/>
      <c r="B882" s="153"/>
      <c r="C882" s="153"/>
      <c r="D882" s="153"/>
      <c r="E882" s="153"/>
      <c r="F882" s="153"/>
      <c r="G882" s="153"/>
      <c r="H882" s="153"/>
      <c r="I882" s="153"/>
      <c r="J882" s="153"/>
      <c r="K882" s="153"/>
      <c r="L882" s="153"/>
      <c r="M882" s="153"/>
      <c r="N882" s="153"/>
      <c r="O882" s="153"/>
      <c r="P882" s="153"/>
      <c r="Q882" s="153"/>
      <c r="R882" s="153"/>
      <c r="S882" s="153"/>
      <c r="T882" s="153"/>
      <c r="U882" s="153"/>
      <c r="V882" s="153"/>
      <c r="W882" s="153"/>
      <c r="X882" s="153"/>
      <c r="Y882" s="153"/>
      <c r="Z882" s="153"/>
      <c r="AA882" s="153"/>
      <c r="AB882" s="153"/>
    </row>
    <row r="883" spans="1:28" ht="15">
      <c r="A883" s="153"/>
      <c r="B883" s="153"/>
      <c r="C883" s="153"/>
      <c r="D883" s="153"/>
      <c r="E883" s="153"/>
      <c r="F883" s="153"/>
      <c r="G883" s="153"/>
      <c r="H883" s="153"/>
      <c r="I883" s="153"/>
      <c r="J883" s="153"/>
      <c r="K883" s="153"/>
      <c r="L883" s="153"/>
      <c r="M883" s="153"/>
      <c r="N883" s="153"/>
      <c r="O883" s="153"/>
      <c r="P883" s="153"/>
      <c r="Q883" s="153"/>
      <c r="R883" s="153"/>
      <c r="S883" s="153"/>
      <c r="T883" s="153"/>
      <c r="U883" s="153"/>
      <c r="V883" s="153"/>
      <c r="W883" s="153"/>
      <c r="X883" s="153"/>
      <c r="Y883" s="153"/>
      <c r="Z883" s="153"/>
      <c r="AA883" s="153"/>
      <c r="AB883" s="153"/>
    </row>
    <row r="884" spans="1:28" ht="15">
      <c r="A884" s="153"/>
      <c r="B884" s="153"/>
      <c r="C884" s="153"/>
      <c r="D884" s="153"/>
      <c r="E884" s="153"/>
      <c r="F884" s="153"/>
      <c r="G884" s="153"/>
      <c r="H884" s="153"/>
      <c r="I884" s="153"/>
      <c r="J884" s="153"/>
      <c r="K884" s="153"/>
      <c r="L884" s="153"/>
      <c r="M884" s="153"/>
      <c r="N884" s="153"/>
      <c r="O884" s="153"/>
      <c r="P884" s="153"/>
      <c r="Q884" s="153"/>
      <c r="R884" s="153"/>
      <c r="S884" s="153"/>
      <c r="T884" s="153"/>
      <c r="U884" s="153"/>
      <c r="V884" s="153"/>
      <c r="W884" s="153"/>
      <c r="X884" s="153"/>
      <c r="Y884" s="153"/>
      <c r="Z884" s="153"/>
      <c r="AA884" s="153"/>
      <c r="AB884" s="153"/>
    </row>
    <row r="885" spans="1:28" ht="15">
      <c r="A885" s="153"/>
      <c r="B885" s="153"/>
      <c r="C885" s="153"/>
      <c r="D885" s="153"/>
      <c r="E885" s="153"/>
      <c r="F885" s="153"/>
      <c r="G885" s="153"/>
      <c r="H885" s="153"/>
      <c r="I885" s="153"/>
      <c r="J885" s="153"/>
      <c r="K885" s="153"/>
      <c r="L885" s="153"/>
      <c r="M885" s="153"/>
      <c r="N885" s="153"/>
      <c r="O885" s="153"/>
      <c r="P885" s="153"/>
      <c r="Q885" s="153"/>
      <c r="R885" s="153"/>
      <c r="S885" s="153"/>
      <c r="T885" s="153"/>
      <c r="U885" s="153"/>
      <c r="V885" s="153"/>
      <c r="W885" s="153"/>
      <c r="X885" s="153"/>
      <c r="Y885" s="153"/>
      <c r="Z885" s="153"/>
      <c r="AA885" s="153"/>
      <c r="AB885" s="153"/>
    </row>
    <row r="886" spans="1:28" ht="15">
      <c r="A886" s="153"/>
      <c r="B886" s="153"/>
      <c r="C886" s="153"/>
      <c r="D886" s="153"/>
      <c r="E886" s="153"/>
      <c r="F886" s="153"/>
      <c r="G886" s="153"/>
      <c r="H886" s="153"/>
      <c r="I886" s="153"/>
      <c r="J886" s="153"/>
      <c r="K886" s="153"/>
      <c r="L886" s="153"/>
      <c r="M886" s="153"/>
      <c r="N886" s="153"/>
      <c r="O886" s="153"/>
      <c r="P886" s="153"/>
      <c r="Q886" s="153"/>
      <c r="R886" s="153"/>
      <c r="S886" s="153"/>
      <c r="T886" s="153"/>
      <c r="U886" s="153"/>
      <c r="V886" s="153"/>
      <c r="W886" s="153"/>
      <c r="X886" s="153"/>
      <c r="Y886" s="153"/>
      <c r="Z886" s="153"/>
      <c r="AA886" s="153"/>
      <c r="AB886" s="153"/>
    </row>
    <row r="887" spans="1:28" ht="15">
      <c r="A887" s="153"/>
      <c r="B887" s="153"/>
      <c r="C887" s="153"/>
      <c r="D887" s="153"/>
      <c r="E887" s="153"/>
      <c r="F887" s="153"/>
      <c r="G887" s="153"/>
      <c r="H887" s="153"/>
      <c r="I887" s="153"/>
      <c r="J887" s="153"/>
      <c r="K887" s="153"/>
      <c r="L887" s="153"/>
      <c r="M887" s="153"/>
      <c r="N887" s="153"/>
      <c r="O887" s="153"/>
      <c r="P887" s="153"/>
      <c r="Q887" s="153"/>
      <c r="R887" s="153"/>
      <c r="S887" s="153"/>
      <c r="T887" s="153"/>
      <c r="U887" s="153"/>
      <c r="V887" s="153"/>
      <c r="W887" s="153"/>
      <c r="X887" s="153"/>
      <c r="Y887" s="153"/>
      <c r="Z887" s="153"/>
      <c r="AA887" s="153"/>
      <c r="AB887" s="153"/>
    </row>
    <row r="888" spans="1:28" ht="15">
      <c r="A888" s="153"/>
      <c r="B888" s="153"/>
      <c r="C888" s="153"/>
      <c r="D888" s="153"/>
      <c r="E888" s="153"/>
      <c r="F888" s="153"/>
      <c r="G888" s="153"/>
      <c r="H888" s="153"/>
      <c r="I888" s="153"/>
      <c r="J888" s="153"/>
      <c r="K888" s="153"/>
      <c r="L888" s="153"/>
      <c r="M888" s="153"/>
      <c r="N888" s="153"/>
      <c r="O888" s="153"/>
      <c r="P888" s="153"/>
      <c r="Q888" s="153"/>
      <c r="R888" s="153"/>
      <c r="S888" s="153"/>
      <c r="T888" s="153"/>
      <c r="U888" s="153"/>
      <c r="V888" s="153"/>
      <c r="W888" s="153"/>
      <c r="X888" s="153"/>
      <c r="Y888" s="153"/>
      <c r="Z888" s="153"/>
      <c r="AA888" s="153"/>
      <c r="AB888" s="153"/>
    </row>
    <row r="889" spans="1:28" ht="15">
      <c r="A889" s="153"/>
      <c r="B889" s="153"/>
      <c r="C889" s="153"/>
      <c r="D889" s="153"/>
      <c r="E889" s="153"/>
      <c r="F889" s="153"/>
      <c r="G889" s="153"/>
      <c r="H889" s="153"/>
      <c r="I889" s="153"/>
      <c r="J889" s="153"/>
      <c r="K889" s="153"/>
      <c r="L889" s="153"/>
      <c r="M889" s="153"/>
      <c r="N889" s="153"/>
      <c r="O889" s="153"/>
      <c r="P889" s="153"/>
      <c r="Q889" s="153"/>
      <c r="R889" s="153"/>
      <c r="S889" s="153"/>
      <c r="T889" s="153"/>
      <c r="U889" s="153"/>
      <c r="V889" s="153"/>
      <c r="W889" s="153"/>
      <c r="X889" s="153"/>
      <c r="Y889" s="153"/>
      <c r="Z889" s="153"/>
      <c r="AA889" s="153"/>
      <c r="AB889" s="153"/>
    </row>
    <row r="890" spans="1:28" ht="15">
      <c r="A890" s="153"/>
      <c r="B890" s="153"/>
      <c r="C890" s="153"/>
      <c r="D890" s="153"/>
      <c r="E890" s="153"/>
      <c r="F890" s="153"/>
      <c r="G890" s="153"/>
      <c r="H890" s="153"/>
      <c r="I890" s="153"/>
      <c r="J890" s="153"/>
      <c r="K890" s="153"/>
      <c r="L890" s="153"/>
      <c r="M890" s="153"/>
      <c r="N890" s="153"/>
      <c r="O890" s="153"/>
      <c r="P890" s="153"/>
      <c r="Q890" s="153"/>
      <c r="R890" s="153"/>
      <c r="S890" s="153"/>
      <c r="T890" s="153"/>
      <c r="U890" s="153"/>
      <c r="V890" s="153"/>
      <c r="W890" s="153"/>
      <c r="X890" s="153"/>
      <c r="Y890" s="153"/>
      <c r="Z890" s="153"/>
      <c r="AA890" s="153"/>
      <c r="AB890" s="153"/>
    </row>
    <row r="891" spans="1:28" ht="15">
      <c r="A891" s="153"/>
      <c r="B891" s="153"/>
      <c r="C891" s="153"/>
      <c r="D891" s="153"/>
      <c r="E891" s="153"/>
      <c r="F891" s="153"/>
      <c r="G891" s="153"/>
      <c r="H891" s="153"/>
      <c r="I891" s="153"/>
      <c r="J891" s="153"/>
      <c r="K891" s="153"/>
      <c r="L891" s="153"/>
      <c r="M891" s="153"/>
      <c r="N891" s="153"/>
      <c r="O891" s="153"/>
      <c r="P891" s="153"/>
      <c r="Q891" s="153"/>
      <c r="R891" s="153"/>
      <c r="S891" s="153"/>
      <c r="T891" s="153"/>
      <c r="U891" s="153"/>
      <c r="V891" s="153"/>
      <c r="W891" s="153"/>
      <c r="X891" s="153"/>
      <c r="Y891" s="153"/>
      <c r="Z891" s="153"/>
      <c r="AA891" s="153"/>
      <c r="AB891" s="153"/>
    </row>
    <row r="892" spans="1:28" ht="15">
      <c r="A892" s="153"/>
      <c r="B892" s="153"/>
      <c r="C892" s="153"/>
      <c r="D892" s="153"/>
      <c r="E892" s="153"/>
      <c r="F892" s="153"/>
      <c r="G892" s="153"/>
      <c r="H892" s="153"/>
      <c r="I892" s="153"/>
      <c r="J892" s="153"/>
      <c r="K892" s="153"/>
      <c r="L892" s="153"/>
      <c r="M892" s="153"/>
      <c r="N892" s="153"/>
      <c r="O892" s="153"/>
      <c r="P892" s="153"/>
      <c r="Q892" s="153"/>
      <c r="R892" s="153"/>
      <c r="S892" s="153"/>
      <c r="T892" s="153"/>
      <c r="U892" s="153"/>
      <c r="V892" s="153"/>
      <c r="W892" s="153"/>
      <c r="X892" s="153"/>
      <c r="Y892" s="153"/>
      <c r="Z892" s="153"/>
      <c r="AA892" s="153"/>
      <c r="AB892" s="153"/>
    </row>
    <row r="893" spans="1:28" ht="15">
      <c r="A893" s="153"/>
      <c r="B893" s="153"/>
      <c r="C893" s="153"/>
      <c r="D893" s="153"/>
      <c r="E893" s="153"/>
      <c r="F893" s="153"/>
      <c r="G893" s="153"/>
      <c r="H893" s="153"/>
      <c r="I893" s="153"/>
      <c r="J893" s="153"/>
      <c r="K893" s="153"/>
      <c r="L893" s="153"/>
      <c r="M893" s="153"/>
      <c r="N893" s="153"/>
      <c r="O893" s="153"/>
      <c r="P893" s="153"/>
      <c r="Q893" s="153"/>
      <c r="R893" s="153"/>
      <c r="S893" s="153"/>
      <c r="T893" s="153"/>
      <c r="U893" s="153"/>
      <c r="V893" s="153"/>
      <c r="W893" s="153"/>
      <c r="X893" s="153"/>
      <c r="Y893" s="153"/>
      <c r="Z893" s="153"/>
      <c r="AA893" s="153"/>
      <c r="AB893" s="153"/>
    </row>
    <row r="894" spans="1:28" ht="15">
      <c r="A894" s="153"/>
      <c r="B894" s="153"/>
      <c r="C894" s="153"/>
      <c r="D894" s="153"/>
      <c r="E894" s="153"/>
      <c r="F894" s="153"/>
      <c r="G894" s="153"/>
      <c r="H894" s="153"/>
      <c r="I894" s="153"/>
      <c r="J894" s="153"/>
      <c r="K894" s="153"/>
      <c r="L894" s="153"/>
      <c r="M894" s="153"/>
      <c r="N894" s="153"/>
      <c r="O894" s="153"/>
      <c r="P894" s="153"/>
      <c r="Q894" s="153"/>
      <c r="R894" s="153"/>
      <c r="S894" s="153"/>
      <c r="T894" s="153"/>
      <c r="U894" s="153"/>
      <c r="V894" s="153"/>
      <c r="W894" s="153"/>
      <c r="X894" s="153"/>
      <c r="Y894" s="153"/>
      <c r="Z894" s="153"/>
      <c r="AA894" s="153"/>
      <c r="AB894" s="153"/>
    </row>
    <row r="895" spans="1:28" ht="15">
      <c r="A895" s="153"/>
      <c r="B895" s="153"/>
      <c r="C895" s="153"/>
      <c r="D895" s="153"/>
      <c r="E895" s="153"/>
      <c r="F895" s="153"/>
      <c r="G895" s="153"/>
      <c r="H895" s="153"/>
      <c r="I895" s="153"/>
      <c r="J895" s="153"/>
      <c r="K895" s="153"/>
      <c r="L895" s="153"/>
      <c r="M895" s="153"/>
      <c r="N895" s="153"/>
      <c r="O895" s="153"/>
      <c r="P895" s="153"/>
      <c r="Q895" s="153"/>
      <c r="R895" s="153"/>
      <c r="S895" s="153"/>
      <c r="T895" s="153"/>
      <c r="U895" s="153"/>
      <c r="V895" s="153"/>
      <c r="W895" s="153"/>
      <c r="X895" s="153"/>
      <c r="Y895" s="153"/>
      <c r="Z895" s="153"/>
      <c r="AA895" s="153"/>
      <c r="AB895" s="153"/>
    </row>
    <row r="896" spans="1:28" ht="15">
      <c r="A896" s="153"/>
      <c r="B896" s="153"/>
      <c r="C896" s="153"/>
      <c r="D896" s="153"/>
      <c r="E896" s="153"/>
      <c r="F896" s="153"/>
      <c r="G896" s="153"/>
      <c r="H896" s="153"/>
      <c r="I896" s="153"/>
      <c r="J896" s="153"/>
      <c r="K896" s="153"/>
      <c r="L896" s="153"/>
      <c r="M896" s="153"/>
      <c r="N896" s="153"/>
      <c r="O896" s="153"/>
      <c r="P896" s="153"/>
      <c r="Q896" s="153"/>
      <c r="R896" s="153"/>
      <c r="S896" s="153"/>
      <c r="T896" s="153"/>
      <c r="U896" s="153"/>
      <c r="V896" s="153"/>
      <c r="W896" s="153"/>
      <c r="X896" s="153"/>
      <c r="Y896" s="153"/>
      <c r="Z896" s="153"/>
      <c r="AA896" s="153"/>
      <c r="AB896" s="153"/>
    </row>
    <row r="897" spans="1:28" ht="15">
      <c r="A897" s="153"/>
      <c r="B897" s="153"/>
      <c r="C897" s="153"/>
      <c r="D897" s="153"/>
      <c r="E897" s="153"/>
      <c r="F897" s="153"/>
      <c r="G897" s="153"/>
      <c r="H897" s="153"/>
      <c r="I897" s="153"/>
      <c r="J897" s="153"/>
      <c r="K897" s="153"/>
      <c r="L897" s="153"/>
      <c r="M897" s="153"/>
      <c r="N897" s="153"/>
      <c r="O897" s="153"/>
      <c r="P897" s="153"/>
      <c r="Q897" s="153"/>
      <c r="R897" s="153"/>
      <c r="S897" s="153"/>
      <c r="T897" s="153"/>
      <c r="U897" s="153"/>
      <c r="V897" s="153"/>
      <c r="W897" s="153"/>
      <c r="X897" s="153"/>
      <c r="Y897" s="153"/>
      <c r="Z897" s="153"/>
      <c r="AA897" s="153"/>
      <c r="AB897" s="153"/>
    </row>
    <row r="898" spans="1:28" ht="15">
      <c r="A898" s="153"/>
      <c r="B898" s="153"/>
      <c r="C898" s="153"/>
      <c r="D898" s="153"/>
      <c r="E898" s="153"/>
      <c r="F898" s="153"/>
      <c r="G898" s="153"/>
      <c r="H898" s="153"/>
      <c r="I898" s="153"/>
      <c r="J898" s="153"/>
      <c r="K898" s="153"/>
      <c r="L898" s="153"/>
      <c r="M898" s="153"/>
      <c r="N898" s="153"/>
      <c r="O898" s="153"/>
      <c r="P898" s="153"/>
      <c r="Q898" s="153"/>
      <c r="R898" s="153"/>
      <c r="S898" s="153"/>
      <c r="T898" s="153"/>
      <c r="U898" s="153"/>
      <c r="V898" s="153"/>
      <c r="W898" s="153"/>
      <c r="X898" s="153"/>
      <c r="Y898" s="153"/>
      <c r="Z898" s="153"/>
      <c r="AA898" s="153"/>
      <c r="AB898" s="153"/>
    </row>
    <row r="899" spans="1:28" ht="15">
      <c r="A899" s="153"/>
      <c r="B899" s="153"/>
      <c r="C899" s="153"/>
      <c r="D899" s="153"/>
      <c r="E899" s="153"/>
      <c r="F899" s="153"/>
      <c r="G899" s="153"/>
      <c r="H899" s="153"/>
      <c r="I899" s="153"/>
      <c r="J899" s="153"/>
      <c r="K899" s="153"/>
      <c r="L899" s="153"/>
      <c r="M899" s="153"/>
      <c r="N899" s="153"/>
      <c r="O899" s="153"/>
      <c r="P899" s="153"/>
      <c r="Q899" s="153"/>
      <c r="R899" s="153"/>
      <c r="S899" s="153"/>
      <c r="T899" s="153"/>
      <c r="U899" s="153"/>
      <c r="V899" s="153"/>
      <c r="W899" s="153"/>
      <c r="X899" s="153"/>
      <c r="Y899" s="153"/>
      <c r="Z899" s="153"/>
      <c r="AA899" s="153"/>
      <c r="AB899" s="153"/>
    </row>
    <row r="900" spans="1:28" ht="15">
      <c r="A900" s="153"/>
      <c r="B900" s="153"/>
      <c r="C900" s="153"/>
      <c r="D900" s="153"/>
      <c r="E900" s="153"/>
      <c r="F900" s="153"/>
      <c r="G900" s="153"/>
      <c r="H900" s="153"/>
      <c r="I900" s="153"/>
      <c r="J900" s="153"/>
      <c r="K900" s="153"/>
      <c r="L900" s="153"/>
      <c r="M900" s="153"/>
      <c r="N900" s="153"/>
      <c r="O900" s="153"/>
      <c r="P900" s="153"/>
      <c r="Q900" s="153"/>
      <c r="R900" s="153"/>
      <c r="S900" s="153"/>
      <c r="T900" s="153"/>
      <c r="U900" s="153"/>
      <c r="V900" s="153"/>
      <c r="W900" s="153"/>
      <c r="X900" s="153"/>
      <c r="Y900" s="153"/>
      <c r="Z900" s="153"/>
      <c r="AA900" s="153"/>
      <c r="AB900" s="153"/>
    </row>
    <row r="901" spans="1:28" ht="15">
      <c r="A901" s="153"/>
      <c r="B901" s="153"/>
      <c r="C901" s="153"/>
      <c r="D901" s="153"/>
      <c r="E901" s="153"/>
      <c r="F901" s="153"/>
      <c r="G901" s="153"/>
      <c r="H901" s="153"/>
      <c r="I901" s="153"/>
      <c r="J901" s="153"/>
      <c r="K901" s="153"/>
      <c r="L901" s="153"/>
      <c r="M901" s="153"/>
      <c r="N901" s="153"/>
      <c r="O901" s="153"/>
      <c r="P901" s="153"/>
      <c r="Q901" s="153"/>
      <c r="R901" s="153"/>
      <c r="S901" s="153"/>
      <c r="T901" s="153"/>
      <c r="U901" s="153"/>
      <c r="V901" s="153"/>
      <c r="W901" s="153"/>
      <c r="X901" s="153"/>
      <c r="Y901" s="153"/>
      <c r="Z901" s="153"/>
      <c r="AA901" s="153"/>
      <c r="AB901" s="153"/>
    </row>
    <row r="902" spans="1:28" ht="15">
      <c r="A902" s="153"/>
      <c r="B902" s="153"/>
      <c r="C902" s="153"/>
      <c r="D902" s="153"/>
      <c r="E902" s="153"/>
      <c r="F902" s="153"/>
      <c r="G902" s="153"/>
      <c r="H902" s="153"/>
      <c r="I902" s="153"/>
      <c r="J902" s="153"/>
      <c r="K902" s="153"/>
      <c r="L902" s="153"/>
      <c r="M902" s="153"/>
      <c r="N902" s="153"/>
      <c r="O902" s="153"/>
      <c r="P902" s="153"/>
      <c r="Q902" s="153"/>
      <c r="R902" s="153"/>
      <c r="S902" s="153"/>
      <c r="T902" s="153"/>
      <c r="U902" s="153"/>
      <c r="V902" s="153"/>
      <c r="W902" s="153"/>
      <c r="X902" s="153"/>
      <c r="Y902" s="153"/>
      <c r="Z902" s="153"/>
      <c r="AA902" s="153"/>
      <c r="AB902" s="153"/>
    </row>
    <row r="903" spans="1:28" ht="15">
      <c r="A903" s="153"/>
      <c r="B903" s="153"/>
      <c r="C903" s="153"/>
      <c r="D903" s="153"/>
      <c r="E903" s="153"/>
      <c r="F903" s="153"/>
      <c r="G903" s="153"/>
      <c r="H903" s="153"/>
      <c r="I903" s="153"/>
      <c r="J903" s="153"/>
      <c r="K903" s="153"/>
      <c r="L903" s="153"/>
      <c r="M903" s="153"/>
      <c r="N903" s="153"/>
      <c r="O903" s="153"/>
      <c r="P903" s="153"/>
      <c r="Q903" s="153"/>
      <c r="R903" s="153"/>
      <c r="S903" s="153"/>
      <c r="T903" s="153"/>
      <c r="U903" s="153"/>
      <c r="V903" s="153"/>
      <c r="W903" s="153"/>
      <c r="X903" s="153"/>
      <c r="Y903" s="153"/>
      <c r="Z903" s="153"/>
      <c r="AA903" s="153"/>
      <c r="AB903" s="153"/>
    </row>
    <row r="904" spans="1:28" ht="15">
      <c r="A904" s="153"/>
      <c r="B904" s="153"/>
      <c r="C904" s="153"/>
      <c r="D904" s="153"/>
      <c r="E904" s="153"/>
      <c r="F904" s="153"/>
      <c r="G904" s="153"/>
      <c r="H904" s="153"/>
      <c r="I904" s="153"/>
      <c r="J904" s="153"/>
      <c r="K904" s="153"/>
      <c r="L904" s="153"/>
      <c r="M904" s="153"/>
      <c r="N904" s="153"/>
      <c r="O904" s="153"/>
      <c r="P904" s="153"/>
      <c r="Q904" s="153"/>
      <c r="R904" s="153"/>
      <c r="S904" s="153"/>
      <c r="T904" s="153"/>
      <c r="U904" s="153"/>
      <c r="V904" s="153"/>
      <c r="W904" s="153"/>
      <c r="X904" s="153"/>
      <c r="Y904" s="153"/>
      <c r="Z904" s="153"/>
      <c r="AA904" s="153"/>
      <c r="AB904" s="153"/>
    </row>
    <row r="905" spans="1:28" ht="15">
      <c r="A905" s="153"/>
      <c r="B905" s="153"/>
      <c r="C905" s="153"/>
      <c r="D905" s="153"/>
      <c r="E905" s="153"/>
      <c r="F905" s="153"/>
      <c r="G905" s="153"/>
      <c r="H905" s="153"/>
      <c r="I905" s="153"/>
      <c r="J905" s="153"/>
      <c r="K905" s="153"/>
      <c r="L905" s="153"/>
      <c r="M905" s="153"/>
      <c r="N905" s="153"/>
      <c r="O905" s="153"/>
      <c r="P905" s="153"/>
      <c r="Q905" s="153"/>
      <c r="R905" s="153"/>
      <c r="S905" s="153"/>
      <c r="T905" s="153"/>
      <c r="U905" s="153"/>
      <c r="V905" s="153"/>
      <c r="W905" s="153"/>
      <c r="X905" s="153"/>
      <c r="Y905" s="153"/>
      <c r="Z905" s="153"/>
      <c r="AA905" s="153"/>
      <c r="AB905" s="153"/>
    </row>
    <row r="906" spans="1:28" ht="15">
      <c r="A906" s="153"/>
      <c r="B906" s="153"/>
      <c r="C906" s="153"/>
      <c r="D906" s="153"/>
      <c r="E906" s="153"/>
      <c r="F906" s="153"/>
      <c r="G906" s="153"/>
      <c r="H906" s="153"/>
      <c r="I906" s="153"/>
      <c r="J906" s="153"/>
      <c r="K906" s="153"/>
      <c r="L906" s="153"/>
      <c r="M906" s="153"/>
      <c r="N906" s="153"/>
      <c r="O906" s="153"/>
      <c r="P906" s="153"/>
      <c r="Q906" s="153"/>
      <c r="R906" s="153"/>
      <c r="S906" s="153"/>
      <c r="T906" s="153"/>
      <c r="U906" s="153"/>
      <c r="V906" s="153"/>
      <c r="W906" s="153"/>
      <c r="X906" s="153"/>
      <c r="Y906" s="153"/>
      <c r="Z906" s="153"/>
      <c r="AA906" s="153"/>
      <c r="AB906" s="153"/>
    </row>
    <row r="907" spans="1:28" ht="15">
      <c r="A907" s="153"/>
      <c r="B907" s="153"/>
      <c r="C907" s="153"/>
      <c r="D907" s="153"/>
      <c r="E907" s="153"/>
      <c r="F907" s="153"/>
      <c r="G907" s="153"/>
      <c r="H907" s="153"/>
      <c r="I907" s="153"/>
      <c r="J907" s="153"/>
      <c r="K907" s="153"/>
      <c r="L907" s="153"/>
      <c r="M907" s="153"/>
      <c r="N907" s="153"/>
      <c r="O907" s="153"/>
      <c r="P907" s="153"/>
      <c r="Q907" s="153"/>
      <c r="R907" s="153"/>
      <c r="S907" s="153"/>
      <c r="T907" s="153"/>
      <c r="U907" s="153"/>
      <c r="V907" s="153"/>
      <c r="W907" s="153"/>
      <c r="X907" s="153"/>
      <c r="Y907" s="153"/>
      <c r="Z907" s="153"/>
      <c r="AA907" s="153"/>
      <c r="AB907" s="153"/>
    </row>
    <row r="908" spans="1:28" ht="15">
      <c r="A908" s="153"/>
      <c r="B908" s="153"/>
      <c r="C908" s="153"/>
      <c r="D908" s="153"/>
      <c r="E908" s="153"/>
      <c r="F908" s="153"/>
      <c r="G908" s="153"/>
      <c r="H908" s="153"/>
      <c r="I908" s="153"/>
      <c r="J908" s="153"/>
      <c r="K908" s="153"/>
      <c r="L908" s="153"/>
      <c r="M908" s="153"/>
      <c r="N908" s="153"/>
      <c r="O908" s="153"/>
      <c r="P908" s="153"/>
      <c r="Q908" s="153"/>
      <c r="R908" s="153"/>
      <c r="S908" s="153"/>
      <c r="T908" s="153"/>
      <c r="U908" s="153"/>
      <c r="V908" s="153"/>
      <c r="W908" s="153"/>
      <c r="X908" s="153"/>
      <c r="Y908" s="153"/>
      <c r="Z908" s="153"/>
      <c r="AA908" s="153"/>
      <c r="AB908" s="153"/>
    </row>
    <row r="909" spans="1:28" ht="15">
      <c r="A909" s="153"/>
      <c r="B909" s="153"/>
      <c r="C909" s="153"/>
      <c r="D909" s="153"/>
      <c r="E909" s="153"/>
      <c r="F909" s="153"/>
      <c r="G909" s="153"/>
      <c r="H909" s="153"/>
      <c r="I909" s="153"/>
      <c r="J909" s="153"/>
      <c r="K909" s="153"/>
      <c r="L909" s="153"/>
      <c r="M909" s="153"/>
      <c r="N909" s="153"/>
      <c r="O909" s="153"/>
      <c r="P909" s="153"/>
      <c r="Q909" s="153"/>
      <c r="R909" s="153"/>
      <c r="S909" s="153"/>
      <c r="T909" s="153"/>
      <c r="U909" s="153"/>
      <c r="V909" s="153"/>
      <c r="W909" s="153"/>
      <c r="X909" s="153"/>
      <c r="Y909" s="153"/>
      <c r="Z909" s="153"/>
      <c r="AA909" s="153"/>
      <c r="AB909" s="153"/>
    </row>
    <row r="910" spans="1:28" ht="15">
      <c r="A910" s="153"/>
      <c r="B910" s="153"/>
      <c r="C910" s="153"/>
      <c r="D910" s="153"/>
      <c r="E910" s="153"/>
      <c r="F910" s="153"/>
      <c r="G910" s="153"/>
      <c r="H910" s="153"/>
      <c r="I910" s="153"/>
      <c r="J910" s="153"/>
      <c r="K910" s="153"/>
      <c r="L910" s="153"/>
      <c r="M910" s="153"/>
      <c r="N910" s="153"/>
      <c r="O910" s="153"/>
      <c r="P910" s="153"/>
      <c r="Q910" s="153"/>
      <c r="R910" s="153"/>
      <c r="S910" s="153"/>
      <c r="T910" s="153"/>
      <c r="U910" s="153"/>
      <c r="V910" s="153"/>
      <c r="W910" s="153"/>
      <c r="X910" s="153"/>
      <c r="Y910" s="153"/>
      <c r="Z910" s="153"/>
      <c r="AA910" s="153"/>
      <c r="AB910" s="153"/>
    </row>
    <row r="911" spans="1:28" ht="15">
      <c r="A911" s="153"/>
      <c r="B911" s="153"/>
      <c r="C911" s="153"/>
      <c r="D911" s="153"/>
      <c r="E911" s="153"/>
      <c r="F911" s="153"/>
      <c r="G911" s="153"/>
      <c r="H911" s="153"/>
      <c r="I911" s="153"/>
      <c r="J911" s="153"/>
      <c r="K911" s="153"/>
      <c r="L911" s="153"/>
      <c r="M911" s="153"/>
      <c r="N911" s="153"/>
      <c r="O911" s="153"/>
      <c r="P911" s="153"/>
      <c r="Q911" s="153"/>
      <c r="R911" s="153"/>
      <c r="S911" s="153"/>
      <c r="T911" s="153"/>
      <c r="U911" s="153"/>
      <c r="V911" s="153"/>
      <c r="W911" s="153"/>
      <c r="X911" s="153"/>
      <c r="Y911" s="153"/>
      <c r="Z911" s="153"/>
      <c r="AA911" s="153"/>
      <c r="AB911" s="153"/>
    </row>
    <row r="912" spans="1:28" ht="15">
      <c r="A912" s="153"/>
      <c r="B912" s="153"/>
      <c r="C912" s="153"/>
      <c r="D912" s="153"/>
      <c r="E912" s="153"/>
      <c r="F912" s="153"/>
      <c r="G912" s="153"/>
      <c r="H912" s="153"/>
      <c r="I912" s="153"/>
      <c r="J912" s="153"/>
      <c r="K912" s="153"/>
      <c r="L912" s="153"/>
      <c r="M912" s="153"/>
      <c r="N912" s="153"/>
      <c r="O912" s="153"/>
      <c r="P912" s="153"/>
      <c r="Q912" s="153"/>
      <c r="R912" s="153"/>
      <c r="S912" s="153"/>
      <c r="T912" s="153"/>
      <c r="U912" s="153"/>
      <c r="V912" s="153"/>
      <c r="W912" s="153"/>
      <c r="X912" s="153"/>
      <c r="Y912" s="153"/>
      <c r="Z912" s="153"/>
      <c r="AA912" s="153"/>
      <c r="AB912" s="153"/>
    </row>
    <row r="913" spans="1:28" ht="15">
      <c r="A913" s="153"/>
      <c r="B913" s="153"/>
      <c r="C913" s="153"/>
      <c r="D913" s="153"/>
      <c r="E913" s="153"/>
      <c r="F913" s="153"/>
      <c r="G913" s="153"/>
      <c r="H913" s="153"/>
      <c r="I913" s="153"/>
      <c r="J913" s="153"/>
      <c r="K913" s="153"/>
      <c r="L913" s="153"/>
      <c r="M913" s="153"/>
      <c r="N913" s="153"/>
      <c r="O913" s="153"/>
      <c r="P913" s="153"/>
      <c r="Q913" s="153"/>
      <c r="R913" s="153"/>
      <c r="S913" s="153"/>
      <c r="T913" s="153"/>
      <c r="U913" s="153"/>
      <c r="V913" s="153"/>
      <c r="W913" s="153"/>
      <c r="X913" s="153"/>
      <c r="Y913" s="153"/>
      <c r="Z913" s="153"/>
      <c r="AA913" s="153"/>
      <c r="AB913" s="153"/>
    </row>
    <row r="914" spans="1:28" ht="15">
      <c r="A914" s="153"/>
      <c r="B914" s="153"/>
      <c r="C914" s="153"/>
      <c r="D914" s="153"/>
      <c r="E914" s="153"/>
      <c r="F914" s="153"/>
      <c r="G914" s="153"/>
      <c r="H914" s="153"/>
      <c r="I914" s="153"/>
      <c r="J914" s="153"/>
      <c r="K914" s="153"/>
      <c r="L914" s="153"/>
      <c r="M914" s="153"/>
      <c r="N914" s="153"/>
      <c r="O914" s="153"/>
      <c r="P914" s="153"/>
      <c r="Q914" s="153"/>
      <c r="R914" s="153"/>
      <c r="S914" s="153"/>
      <c r="T914" s="153"/>
      <c r="U914" s="153"/>
      <c r="V914" s="153"/>
      <c r="W914" s="153"/>
      <c r="X914" s="153"/>
      <c r="Y914" s="153"/>
      <c r="Z914" s="153"/>
      <c r="AA914" s="153"/>
      <c r="AB914" s="153"/>
    </row>
    <row r="915" spans="1:28" ht="15">
      <c r="A915" s="153"/>
      <c r="B915" s="153"/>
      <c r="C915" s="153"/>
      <c r="D915" s="153"/>
      <c r="E915" s="153"/>
      <c r="F915" s="153"/>
      <c r="G915" s="153"/>
      <c r="H915" s="153"/>
      <c r="I915" s="153"/>
      <c r="J915" s="153"/>
      <c r="K915" s="153"/>
      <c r="L915" s="153"/>
      <c r="M915" s="153"/>
      <c r="N915" s="153"/>
      <c r="O915" s="153"/>
      <c r="P915" s="153"/>
      <c r="Q915" s="153"/>
      <c r="R915" s="153"/>
      <c r="S915" s="153"/>
      <c r="T915" s="153"/>
      <c r="U915" s="153"/>
      <c r="V915" s="153"/>
      <c r="W915" s="153"/>
      <c r="X915" s="153"/>
      <c r="Y915" s="153"/>
      <c r="Z915" s="153"/>
      <c r="AA915" s="153"/>
      <c r="AB915" s="153"/>
    </row>
    <row r="916" spans="1:28" ht="15">
      <c r="A916" s="153"/>
      <c r="B916" s="153"/>
      <c r="C916" s="153"/>
      <c r="D916" s="153"/>
      <c r="E916" s="153"/>
      <c r="F916" s="153"/>
      <c r="G916" s="153"/>
      <c r="H916" s="153"/>
      <c r="I916" s="153"/>
      <c r="J916" s="153"/>
      <c r="K916" s="153"/>
      <c r="L916" s="153"/>
      <c r="M916" s="153"/>
      <c r="N916" s="153"/>
      <c r="O916" s="153"/>
      <c r="P916" s="153"/>
      <c r="Q916" s="153"/>
      <c r="R916" s="153"/>
      <c r="S916" s="153"/>
      <c r="T916" s="153"/>
      <c r="U916" s="153"/>
      <c r="V916" s="153"/>
      <c r="W916" s="153"/>
      <c r="X916" s="153"/>
      <c r="Y916" s="153"/>
      <c r="Z916" s="153"/>
      <c r="AA916" s="153"/>
      <c r="AB916" s="153"/>
    </row>
    <row r="917" spans="1:28" ht="15">
      <c r="A917" s="153"/>
      <c r="B917" s="153"/>
      <c r="C917" s="153"/>
      <c r="D917" s="153"/>
      <c r="E917" s="153"/>
      <c r="F917" s="153"/>
      <c r="G917" s="153"/>
      <c r="H917" s="153"/>
      <c r="I917" s="153"/>
      <c r="J917" s="153"/>
      <c r="K917" s="153"/>
      <c r="L917" s="153"/>
      <c r="M917" s="153"/>
      <c r="N917" s="153"/>
      <c r="O917" s="153"/>
      <c r="P917" s="153"/>
      <c r="Q917" s="153"/>
      <c r="R917" s="153"/>
      <c r="S917" s="153"/>
      <c r="T917" s="153"/>
      <c r="U917" s="153"/>
      <c r="V917" s="153"/>
      <c r="W917" s="153"/>
      <c r="X917" s="153"/>
      <c r="Y917" s="153"/>
      <c r="Z917" s="153"/>
      <c r="AA917" s="153"/>
      <c r="AB917" s="153"/>
    </row>
    <row r="918" spans="1:28" ht="15">
      <c r="A918" s="153"/>
      <c r="B918" s="153"/>
      <c r="C918" s="153"/>
      <c r="D918" s="153"/>
      <c r="E918" s="153"/>
      <c r="F918" s="153"/>
      <c r="G918" s="153"/>
      <c r="H918" s="153"/>
      <c r="I918" s="153"/>
      <c r="J918" s="153"/>
      <c r="K918" s="153"/>
      <c r="L918" s="153"/>
      <c r="M918" s="153"/>
      <c r="N918" s="153"/>
      <c r="O918" s="153"/>
      <c r="P918" s="153"/>
      <c r="Q918" s="153"/>
      <c r="R918" s="153"/>
      <c r="S918" s="153"/>
      <c r="T918" s="153"/>
      <c r="U918" s="153"/>
      <c r="V918" s="153"/>
      <c r="W918" s="153"/>
      <c r="X918" s="153"/>
      <c r="Y918" s="153"/>
      <c r="Z918" s="153"/>
      <c r="AA918" s="153"/>
      <c r="AB918" s="153"/>
    </row>
    <row r="919" spans="1:28" ht="15">
      <c r="A919" s="153"/>
      <c r="B919" s="153"/>
      <c r="C919" s="153"/>
      <c r="D919" s="153"/>
      <c r="E919" s="153"/>
      <c r="F919" s="153"/>
      <c r="G919" s="153"/>
      <c r="H919" s="153"/>
      <c r="I919" s="153"/>
      <c r="J919" s="153"/>
      <c r="K919" s="153"/>
      <c r="L919" s="153"/>
      <c r="M919" s="153"/>
      <c r="N919" s="153"/>
      <c r="O919" s="153"/>
      <c r="P919" s="153"/>
      <c r="Q919" s="153"/>
      <c r="R919" s="153"/>
      <c r="S919" s="153"/>
      <c r="T919" s="153"/>
      <c r="U919" s="153"/>
      <c r="V919" s="153"/>
      <c r="W919" s="153"/>
      <c r="X919" s="153"/>
      <c r="Y919" s="153"/>
      <c r="Z919" s="153"/>
      <c r="AA919" s="153"/>
      <c r="AB919" s="153"/>
    </row>
    <row r="920" spans="1:28" ht="15">
      <c r="A920" s="153"/>
      <c r="B920" s="153"/>
      <c r="C920" s="153"/>
      <c r="D920" s="153"/>
      <c r="E920" s="153"/>
      <c r="F920" s="153"/>
      <c r="G920" s="153"/>
      <c r="H920" s="153"/>
      <c r="I920" s="153"/>
      <c r="J920" s="153"/>
      <c r="K920" s="153"/>
      <c r="L920" s="153"/>
      <c r="M920" s="153"/>
      <c r="N920" s="153"/>
      <c r="O920" s="153"/>
      <c r="P920" s="153"/>
      <c r="Q920" s="153"/>
      <c r="R920" s="153"/>
      <c r="S920" s="153"/>
      <c r="T920" s="153"/>
      <c r="U920" s="153"/>
      <c r="V920" s="153"/>
      <c r="W920" s="153"/>
      <c r="X920" s="153"/>
      <c r="Y920" s="153"/>
      <c r="Z920" s="153"/>
      <c r="AA920" s="153"/>
      <c r="AB920" s="153"/>
    </row>
    <row r="921" spans="1:28" ht="15">
      <c r="A921" s="153"/>
      <c r="B921" s="153"/>
      <c r="C921" s="153"/>
      <c r="D921" s="153"/>
      <c r="E921" s="153"/>
      <c r="F921" s="153"/>
      <c r="G921" s="153"/>
      <c r="H921" s="153"/>
      <c r="I921" s="153"/>
      <c r="J921" s="153"/>
      <c r="K921" s="153"/>
      <c r="L921" s="153"/>
      <c r="M921" s="153"/>
      <c r="N921" s="153"/>
      <c r="O921" s="153"/>
      <c r="P921" s="153"/>
      <c r="Q921" s="153"/>
      <c r="R921" s="153"/>
      <c r="S921" s="153"/>
      <c r="T921" s="153"/>
      <c r="U921" s="153"/>
      <c r="V921" s="153"/>
      <c r="W921" s="153"/>
      <c r="X921" s="153"/>
      <c r="Y921" s="153"/>
      <c r="Z921" s="153"/>
      <c r="AA921" s="153"/>
      <c r="AB921" s="153"/>
    </row>
    <row r="922" spans="1:28" ht="15">
      <c r="A922" s="153"/>
      <c r="B922" s="153"/>
      <c r="C922" s="153"/>
      <c r="D922" s="153"/>
      <c r="E922" s="153"/>
      <c r="F922" s="153"/>
      <c r="G922" s="153"/>
      <c r="H922" s="153"/>
      <c r="I922" s="153"/>
      <c r="J922" s="153"/>
      <c r="K922" s="153"/>
      <c r="L922" s="153"/>
      <c r="M922" s="153"/>
      <c r="N922" s="153"/>
      <c r="O922" s="153"/>
      <c r="P922" s="153"/>
      <c r="Q922" s="153"/>
      <c r="R922" s="153"/>
      <c r="S922" s="153"/>
      <c r="T922" s="153"/>
      <c r="U922" s="153"/>
      <c r="V922" s="153"/>
      <c r="W922" s="153"/>
      <c r="X922" s="153"/>
      <c r="Y922" s="153"/>
      <c r="Z922" s="153"/>
      <c r="AA922" s="153"/>
      <c r="AB922" s="153"/>
    </row>
    <row r="923" spans="1:28" ht="15">
      <c r="A923" s="153"/>
      <c r="B923" s="153"/>
      <c r="C923" s="153"/>
      <c r="D923" s="153"/>
      <c r="E923" s="153"/>
      <c r="F923" s="153"/>
      <c r="G923" s="153"/>
      <c r="H923" s="153"/>
      <c r="I923" s="153"/>
      <c r="J923" s="153"/>
      <c r="K923" s="153"/>
      <c r="L923" s="153"/>
      <c r="M923" s="153"/>
      <c r="N923" s="153"/>
      <c r="O923" s="153"/>
      <c r="P923" s="153"/>
      <c r="Q923" s="153"/>
      <c r="R923" s="153"/>
      <c r="S923" s="153"/>
      <c r="T923" s="153"/>
      <c r="U923" s="153"/>
      <c r="V923" s="153"/>
      <c r="W923" s="153"/>
      <c r="X923" s="153"/>
      <c r="Y923" s="153"/>
      <c r="Z923" s="153"/>
      <c r="AA923" s="153"/>
      <c r="AB923" s="153"/>
    </row>
    <row r="924" spans="1:28" ht="15">
      <c r="A924" s="153"/>
      <c r="B924" s="153"/>
      <c r="C924" s="153"/>
      <c r="D924" s="153"/>
      <c r="E924" s="153"/>
      <c r="F924" s="153"/>
      <c r="G924" s="153"/>
      <c r="H924" s="153"/>
      <c r="I924" s="153"/>
      <c r="J924" s="153"/>
      <c r="K924" s="153"/>
      <c r="L924" s="153"/>
      <c r="M924" s="153"/>
      <c r="N924" s="153"/>
      <c r="O924" s="153"/>
      <c r="P924" s="153"/>
      <c r="Q924" s="153"/>
      <c r="R924" s="153"/>
      <c r="S924" s="153"/>
      <c r="T924" s="153"/>
      <c r="U924" s="153"/>
      <c r="V924" s="153"/>
      <c r="W924" s="153"/>
      <c r="X924" s="153"/>
      <c r="Y924" s="153"/>
      <c r="Z924" s="153"/>
      <c r="AA924" s="153"/>
      <c r="AB924" s="153"/>
    </row>
    <row r="925" spans="1:28" ht="15">
      <c r="A925" s="153"/>
      <c r="B925" s="153"/>
      <c r="C925" s="153"/>
      <c r="D925" s="153"/>
      <c r="E925" s="153"/>
      <c r="F925" s="153"/>
      <c r="G925" s="153"/>
      <c r="H925" s="153"/>
      <c r="I925" s="153"/>
      <c r="J925" s="153"/>
      <c r="K925" s="153"/>
      <c r="L925" s="153"/>
      <c r="M925" s="153"/>
      <c r="N925" s="153"/>
      <c r="O925" s="153"/>
      <c r="P925" s="153"/>
      <c r="Q925" s="153"/>
      <c r="R925" s="153"/>
      <c r="S925" s="153"/>
      <c r="T925" s="153"/>
      <c r="U925" s="153"/>
      <c r="V925" s="153"/>
      <c r="W925" s="153"/>
      <c r="X925" s="153"/>
      <c r="Y925" s="153"/>
      <c r="Z925" s="153"/>
      <c r="AA925" s="153"/>
      <c r="AB925" s="153"/>
    </row>
    <row r="926" spans="1:28" ht="15">
      <c r="A926" s="153"/>
      <c r="B926" s="153"/>
      <c r="C926" s="153"/>
      <c r="D926" s="153"/>
      <c r="E926" s="153"/>
      <c r="F926" s="153"/>
      <c r="G926" s="153"/>
      <c r="H926" s="153"/>
      <c r="I926" s="153"/>
      <c r="J926" s="153"/>
      <c r="K926" s="153"/>
      <c r="L926" s="153"/>
      <c r="M926" s="153"/>
      <c r="N926" s="153"/>
      <c r="O926" s="153"/>
      <c r="P926" s="153"/>
      <c r="Q926" s="153"/>
      <c r="R926" s="153"/>
      <c r="S926" s="153"/>
      <c r="T926" s="153"/>
      <c r="U926" s="153"/>
      <c r="V926" s="153"/>
      <c r="W926" s="153"/>
      <c r="X926" s="153"/>
      <c r="Y926" s="153"/>
      <c r="Z926" s="153"/>
      <c r="AA926" s="153"/>
      <c r="AB926" s="153"/>
    </row>
    <row r="927" spans="1:28" ht="15">
      <c r="A927" s="153"/>
      <c r="B927" s="153"/>
      <c r="C927" s="153"/>
      <c r="D927" s="153"/>
      <c r="E927" s="153"/>
      <c r="F927" s="153"/>
      <c r="G927" s="153"/>
      <c r="H927" s="153"/>
      <c r="I927" s="153"/>
      <c r="J927" s="153"/>
      <c r="K927" s="153"/>
      <c r="L927" s="153"/>
      <c r="M927" s="153"/>
      <c r="N927" s="153"/>
      <c r="O927" s="153"/>
      <c r="P927" s="153"/>
      <c r="Q927" s="153"/>
      <c r="R927" s="153"/>
      <c r="S927" s="153"/>
      <c r="T927" s="153"/>
      <c r="U927" s="153"/>
      <c r="V927" s="153"/>
      <c r="W927" s="153"/>
      <c r="X927" s="153"/>
      <c r="Y927" s="153"/>
      <c r="Z927" s="153"/>
      <c r="AA927" s="153"/>
      <c r="AB927" s="153"/>
    </row>
    <row r="928" spans="1:28" ht="15">
      <c r="A928" s="153"/>
      <c r="B928" s="153"/>
      <c r="C928" s="153"/>
      <c r="D928" s="153"/>
      <c r="E928" s="153"/>
      <c r="F928" s="153"/>
      <c r="G928" s="153"/>
      <c r="H928" s="153"/>
      <c r="I928" s="153"/>
      <c r="J928" s="153"/>
      <c r="K928" s="153"/>
      <c r="L928" s="153"/>
      <c r="M928" s="153"/>
      <c r="N928" s="153"/>
      <c r="O928" s="153"/>
      <c r="P928" s="153"/>
      <c r="Q928" s="153"/>
      <c r="R928" s="153"/>
      <c r="S928" s="153"/>
      <c r="T928" s="153"/>
      <c r="U928" s="153"/>
      <c r="V928" s="153"/>
      <c r="W928" s="153"/>
      <c r="X928" s="153"/>
      <c r="Y928" s="153"/>
      <c r="Z928" s="153"/>
      <c r="AA928" s="153"/>
      <c r="AB928" s="153"/>
    </row>
    <row r="929" spans="1:28" ht="15">
      <c r="A929" s="153"/>
      <c r="B929" s="153"/>
      <c r="C929" s="153"/>
      <c r="D929" s="153"/>
      <c r="E929" s="153"/>
      <c r="F929" s="153"/>
      <c r="G929" s="153"/>
      <c r="H929" s="153"/>
      <c r="I929" s="153"/>
      <c r="J929" s="153"/>
      <c r="K929" s="153"/>
      <c r="L929" s="153"/>
      <c r="M929" s="153"/>
      <c r="N929" s="153"/>
      <c r="O929" s="153"/>
      <c r="P929" s="153"/>
      <c r="Q929" s="153"/>
      <c r="R929" s="153"/>
      <c r="S929" s="153"/>
      <c r="T929" s="153"/>
      <c r="U929" s="153"/>
      <c r="V929" s="153"/>
      <c r="W929" s="153"/>
      <c r="X929" s="153"/>
      <c r="Y929" s="153"/>
      <c r="Z929" s="153"/>
      <c r="AA929" s="153"/>
      <c r="AB929" s="153"/>
    </row>
    <row r="930" spans="1:28" ht="15">
      <c r="A930" s="153"/>
      <c r="B930" s="153"/>
      <c r="C930" s="153"/>
      <c r="D930" s="153"/>
      <c r="E930" s="153"/>
      <c r="F930" s="153"/>
      <c r="G930" s="153"/>
      <c r="H930" s="153"/>
      <c r="I930" s="153"/>
      <c r="J930" s="153"/>
      <c r="K930" s="153"/>
      <c r="L930" s="153"/>
      <c r="M930" s="153"/>
      <c r="N930" s="153"/>
      <c r="O930" s="153"/>
      <c r="P930" s="153"/>
      <c r="Q930" s="153"/>
      <c r="R930" s="153"/>
      <c r="S930" s="153"/>
      <c r="T930" s="153"/>
      <c r="U930" s="153"/>
      <c r="V930" s="153"/>
      <c r="W930" s="153"/>
      <c r="X930" s="153"/>
      <c r="Y930" s="153"/>
      <c r="Z930" s="153"/>
      <c r="AA930" s="153"/>
      <c r="AB930" s="153"/>
    </row>
    <row r="931" spans="1:28" ht="15">
      <c r="A931" s="153"/>
      <c r="B931" s="153"/>
      <c r="C931" s="153"/>
      <c r="D931" s="153"/>
      <c r="E931" s="153"/>
      <c r="F931" s="153"/>
      <c r="G931" s="153"/>
      <c r="H931" s="153"/>
      <c r="I931" s="153"/>
      <c r="J931" s="153"/>
      <c r="K931" s="153"/>
      <c r="L931" s="153"/>
      <c r="M931" s="153"/>
      <c r="N931" s="153"/>
      <c r="O931" s="153"/>
      <c r="P931" s="153"/>
      <c r="Q931" s="153"/>
      <c r="R931" s="153"/>
      <c r="S931" s="153"/>
      <c r="T931" s="153"/>
      <c r="U931" s="153"/>
      <c r="V931" s="153"/>
      <c r="W931" s="153"/>
      <c r="X931" s="153"/>
      <c r="Y931" s="153"/>
      <c r="Z931" s="153"/>
      <c r="AA931" s="153"/>
      <c r="AB931" s="153"/>
    </row>
    <row r="932" spans="1:28" ht="15">
      <c r="A932" s="153"/>
      <c r="B932" s="153"/>
      <c r="C932" s="153"/>
      <c r="D932" s="153"/>
      <c r="E932" s="153"/>
      <c r="F932" s="153"/>
      <c r="G932" s="153"/>
      <c r="H932" s="153"/>
      <c r="I932" s="153"/>
      <c r="J932" s="153"/>
      <c r="K932" s="153"/>
      <c r="L932" s="153"/>
      <c r="M932" s="153"/>
      <c r="N932" s="153"/>
      <c r="O932" s="153"/>
      <c r="P932" s="153"/>
      <c r="Q932" s="153"/>
      <c r="R932" s="153"/>
      <c r="S932" s="153"/>
      <c r="T932" s="153"/>
      <c r="U932" s="153"/>
      <c r="V932" s="153"/>
      <c r="W932" s="153"/>
      <c r="X932" s="153"/>
      <c r="Y932" s="153"/>
      <c r="Z932" s="153"/>
      <c r="AA932" s="153"/>
      <c r="AB932" s="153"/>
    </row>
    <row r="933" spans="1:28" ht="15">
      <c r="A933" s="153"/>
      <c r="B933" s="153"/>
      <c r="C933" s="153"/>
      <c r="D933" s="153"/>
      <c r="E933" s="153"/>
      <c r="F933" s="153"/>
      <c r="G933" s="153"/>
      <c r="H933" s="153"/>
      <c r="I933" s="153"/>
      <c r="J933" s="153"/>
      <c r="K933" s="153"/>
      <c r="L933" s="153"/>
      <c r="M933" s="153"/>
      <c r="N933" s="153"/>
      <c r="O933" s="153"/>
      <c r="P933" s="153"/>
      <c r="Q933" s="153"/>
      <c r="R933" s="153"/>
      <c r="S933" s="153"/>
      <c r="T933" s="153"/>
      <c r="U933" s="153"/>
      <c r="V933" s="153"/>
      <c r="W933" s="153"/>
      <c r="X933" s="153"/>
      <c r="Y933" s="153"/>
      <c r="Z933" s="153"/>
      <c r="AA933" s="153"/>
      <c r="AB933" s="153"/>
    </row>
    <row r="934" spans="1:28" ht="15">
      <c r="A934" s="153"/>
      <c r="B934" s="153"/>
      <c r="C934" s="153"/>
      <c r="D934" s="153"/>
      <c r="E934" s="153"/>
      <c r="F934" s="153"/>
      <c r="G934" s="153"/>
      <c r="H934" s="153"/>
      <c r="I934" s="153"/>
      <c r="J934" s="153"/>
      <c r="K934" s="153"/>
      <c r="L934" s="153"/>
      <c r="M934" s="153"/>
      <c r="N934" s="153"/>
      <c r="O934" s="153"/>
      <c r="P934" s="153"/>
      <c r="Q934" s="153"/>
      <c r="R934" s="153"/>
      <c r="S934" s="153"/>
      <c r="T934" s="153"/>
      <c r="U934" s="153"/>
      <c r="V934" s="153"/>
      <c r="W934" s="153"/>
      <c r="X934" s="153"/>
      <c r="Y934" s="153"/>
      <c r="Z934" s="153"/>
      <c r="AA934" s="153"/>
      <c r="AB934" s="153"/>
    </row>
    <row r="935" spans="1:28" ht="15">
      <c r="A935" s="153"/>
      <c r="B935" s="153"/>
      <c r="C935" s="153"/>
      <c r="D935" s="153"/>
      <c r="E935" s="153"/>
      <c r="F935" s="153"/>
      <c r="G935" s="153"/>
      <c r="H935" s="153"/>
      <c r="I935" s="153"/>
      <c r="J935" s="153"/>
      <c r="K935" s="153"/>
      <c r="L935" s="153"/>
      <c r="M935" s="153"/>
      <c r="N935" s="153"/>
      <c r="O935" s="153"/>
      <c r="P935" s="153"/>
      <c r="Q935" s="153"/>
      <c r="R935" s="153"/>
      <c r="S935" s="153"/>
      <c r="T935" s="153"/>
      <c r="U935" s="153"/>
      <c r="V935" s="153"/>
      <c r="W935" s="153"/>
      <c r="X935" s="153"/>
      <c r="Y935" s="153"/>
      <c r="Z935" s="153"/>
      <c r="AA935" s="153"/>
      <c r="AB935" s="153"/>
    </row>
    <row r="936" spans="1:28" ht="15">
      <c r="A936" s="153"/>
      <c r="B936" s="153"/>
      <c r="C936" s="153"/>
      <c r="D936" s="153"/>
      <c r="E936" s="153"/>
      <c r="F936" s="153"/>
      <c r="G936" s="153"/>
      <c r="H936" s="153"/>
      <c r="I936" s="153"/>
      <c r="J936" s="153"/>
      <c r="K936" s="153"/>
      <c r="L936" s="153"/>
      <c r="M936" s="153"/>
      <c r="N936" s="153"/>
      <c r="O936" s="153"/>
      <c r="P936" s="153"/>
      <c r="Q936" s="153"/>
      <c r="R936" s="153"/>
      <c r="S936" s="153"/>
      <c r="T936" s="153"/>
      <c r="U936" s="153"/>
      <c r="V936" s="153"/>
      <c r="W936" s="153"/>
      <c r="X936" s="153"/>
      <c r="Y936" s="153"/>
      <c r="Z936" s="153"/>
      <c r="AA936" s="153"/>
      <c r="AB936" s="153"/>
    </row>
    <row r="937" spans="1:28" ht="15">
      <c r="A937" s="153"/>
      <c r="B937" s="153"/>
      <c r="C937" s="153"/>
      <c r="D937" s="153"/>
      <c r="E937" s="153"/>
      <c r="F937" s="153"/>
      <c r="G937" s="153"/>
      <c r="H937" s="153"/>
      <c r="I937" s="153"/>
      <c r="J937" s="153"/>
      <c r="K937" s="153"/>
      <c r="L937" s="153"/>
      <c r="M937" s="153"/>
      <c r="N937" s="153"/>
      <c r="O937" s="153"/>
      <c r="P937" s="153"/>
      <c r="Q937" s="153"/>
      <c r="R937" s="153"/>
      <c r="S937" s="153"/>
      <c r="T937" s="153"/>
      <c r="U937" s="153"/>
      <c r="V937" s="153"/>
      <c r="W937" s="153"/>
      <c r="X937" s="153"/>
      <c r="Y937" s="153"/>
      <c r="Z937" s="153"/>
      <c r="AA937" s="153"/>
      <c r="AB937" s="153"/>
    </row>
    <row r="938" spans="1:28" ht="15">
      <c r="A938" s="153"/>
      <c r="B938" s="153"/>
      <c r="C938" s="153"/>
      <c r="D938" s="153"/>
      <c r="E938" s="153"/>
      <c r="F938" s="153"/>
      <c r="G938" s="153"/>
      <c r="H938" s="153"/>
      <c r="I938" s="153"/>
      <c r="J938" s="153"/>
      <c r="K938" s="153"/>
      <c r="L938" s="153"/>
      <c r="M938" s="153"/>
      <c r="N938" s="153"/>
      <c r="O938" s="153"/>
      <c r="P938" s="153"/>
      <c r="Q938" s="153"/>
      <c r="R938" s="153"/>
      <c r="S938" s="153"/>
      <c r="T938" s="153"/>
      <c r="U938" s="153"/>
      <c r="V938" s="153"/>
      <c r="W938" s="153"/>
      <c r="X938" s="153"/>
      <c r="Y938" s="153"/>
      <c r="Z938" s="153"/>
      <c r="AA938" s="153"/>
      <c r="AB938" s="153"/>
    </row>
    <row r="939" spans="1:28" ht="15">
      <c r="A939" s="153"/>
      <c r="B939" s="153"/>
      <c r="C939" s="153"/>
      <c r="D939" s="153"/>
      <c r="E939" s="153"/>
      <c r="F939" s="153"/>
      <c r="G939" s="153"/>
      <c r="H939" s="153"/>
      <c r="I939" s="153"/>
      <c r="J939" s="153"/>
      <c r="K939" s="153"/>
      <c r="L939" s="153"/>
      <c r="M939" s="153"/>
      <c r="N939" s="153"/>
      <c r="O939" s="153"/>
      <c r="P939" s="153"/>
      <c r="Q939" s="153"/>
      <c r="R939" s="153"/>
      <c r="S939" s="153"/>
      <c r="T939" s="153"/>
      <c r="U939" s="153"/>
      <c r="V939" s="153"/>
      <c r="W939" s="153"/>
      <c r="X939" s="153"/>
      <c r="Y939" s="153"/>
      <c r="Z939" s="153"/>
      <c r="AA939" s="153"/>
      <c r="AB939" s="153"/>
    </row>
    <row r="940" spans="1:28" ht="15">
      <c r="A940" s="153"/>
      <c r="B940" s="153"/>
      <c r="C940" s="153"/>
      <c r="D940" s="153"/>
      <c r="E940" s="153"/>
      <c r="F940" s="153"/>
      <c r="G940" s="153"/>
      <c r="H940" s="153"/>
      <c r="I940" s="153"/>
      <c r="J940" s="153"/>
      <c r="K940" s="153"/>
      <c r="L940" s="153"/>
      <c r="M940" s="153"/>
      <c r="N940" s="153"/>
      <c r="O940" s="153"/>
      <c r="P940" s="153"/>
      <c r="Q940" s="153"/>
      <c r="R940" s="153"/>
      <c r="S940" s="153"/>
      <c r="T940" s="153"/>
      <c r="U940" s="153"/>
      <c r="V940" s="153"/>
      <c r="W940" s="153"/>
      <c r="X940" s="153"/>
      <c r="Y940" s="153"/>
      <c r="Z940" s="153"/>
      <c r="AA940" s="153"/>
      <c r="AB940" s="153"/>
    </row>
    <row r="941" spans="1:28" ht="15">
      <c r="A941" s="153"/>
      <c r="B941" s="153"/>
      <c r="C941" s="153"/>
      <c r="D941" s="153"/>
      <c r="E941" s="153"/>
      <c r="F941" s="153"/>
      <c r="G941" s="153"/>
      <c r="H941" s="153"/>
      <c r="I941" s="153"/>
      <c r="J941" s="153"/>
      <c r="K941" s="153"/>
      <c r="L941" s="153"/>
      <c r="M941" s="153"/>
      <c r="N941" s="153"/>
      <c r="O941" s="153"/>
      <c r="P941" s="153"/>
      <c r="Q941" s="153"/>
      <c r="R941" s="153"/>
      <c r="S941" s="153"/>
      <c r="T941" s="153"/>
      <c r="U941" s="153"/>
      <c r="V941" s="153"/>
      <c r="W941" s="153"/>
      <c r="X941" s="153"/>
      <c r="Y941" s="153"/>
      <c r="Z941" s="153"/>
      <c r="AA941" s="153"/>
      <c r="AB941" s="153"/>
    </row>
    <row r="942" spans="1:28" ht="15">
      <c r="A942" s="153"/>
      <c r="B942" s="153"/>
      <c r="C942" s="153"/>
      <c r="D942" s="153"/>
      <c r="E942" s="153"/>
      <c r="F942" s="153"/>
      <c r="G942" s="153"/>
      <c r="H942" s="153"/>
      <c r="I942" s="153"/>
      <c r="J942" s="153"/>
      <c r="K942" s="153"/>
      <c r="L942" s="153"/>
      <c r="M942" s="153"/>
      <c r="N942" s="153"/>
      <c r="O942" s="153"/>
      <c r="P942" s="153"/>
      <c r="Q942" s="153"/>
      <c r="R942" s="153"/>
      <c r="S942" s="153"/>
      <c r="T942" s="153"/>
      <c r="U942" s="153"/>
      <c r="V942" s="153"/>
      <c r="W942" s="153"/>
      <c r="X942" s="153"/>
      <c r="Y942" s="153"/>
      <c r="Z942" s="153"/>
      <c r="AA942" s="153"/>
      <c r="AB942" s="153"/>
    </row>
    <row r="943" spans="1:28" ht="15">
      <c r="A943" s="153"/>
      <c r="B943" s="153"/>
      <c r="C943" s="153"/>
      <c r="D943" s="153"/>
      <c r="E943" s="153"/>
      <c r="F943" s="153"/>
      <c r="G943" s="153"/>
      <c r="H943" s="153"/>
      <c r="I943" s="153"/>
      <c r="J943" s="153"/>
      <c r="K943" s="153"/>
      <c r="L943" s="153"/>
      <c r="M943" s="153"/>
      <c r="N943" s="153"/>
      <c r="O943" s="153"/>
      <c r="P943" s="153"/>
      <c r="Q943" s="153"/>
      <c r="R943" s="153"/>
      <c r="S943" s="153"/>
      <c r="T943" s="153"/>
      <c r="U943" s="153"/>
      <c r="V943" s="153"/>
      <c r="W943" s="153"/>
      <c r="X943" s="153"/>
      <c r="Y943" s="153"/>
      <c r="Z943" s="153"/>
      <c r="AA943" s="153"/>
      <c r="AB943" s="153"/>
    </row>
    <row r="944" spans="1:28" ht="15">
      <c r="A944" s="153"/>
      <c r="B944" s="153"/>
      <c r="C944" s="153"/>
      <c r="D944" s="153"/>
      <c r="E944" s="153"/>
      <c r="F944" s="153"/>
      <c r="G944" s="153"/>
      <c r="H944" s="153"/>
      <c r="I944" s="153"/>
      <c r="J944" s="153"/>
      <c r="K944" s="153"/>
      <c r="L944" s="153"/>
      <c r="M944" s="153"/>
      <c r="N944" s="153"/>
      <c r="O944" s="153"/>
      <c r="P944" s="153"/>
      <c r="Q944" s="153"/>
      <c r="R944" s="153"/>
      <c r="S944" s="153"/>
      <c r="T944" s="153"/>
      <c r="U944" s="153"/>
      <c r="V944" s="153"/>
      <c r="W944" s="153"/>
      <c r="X944" s="153"/>
      <c r="Y944" s="153"/>
      <c r="Z944" s="153"/>
      <c r="AA944" s="153"/>
      <c r="AB944" s="153"/>
    </row>
    <row r="945" spans="1:28" ht="15">
      <c r="A945" s="153"/>
      <c r="B945" s="153"/>
      <c r="C945" s="153"/>
      <c r="D945" s="153"/>
      <c r="E945" s="153"/>
      <c r="F945" s="153"/>
      <c r="G945" s="153"/>
      <c r="H945" s="153"/>
      <c r="I945" s="153"/>
      <c r="J945" s="153"/>
      <c r="K945" s="153"/>
      <c r="L945" s="153"/>
      <c r="M945" s="153"/>
      <c r="N945" s="153"/>
      <c r="O945" s="153"/>
      <c r="P945" s="153"/>
      <c r="Q945" s="153"/>
      <c r="R945" s="153"/>
      <c r="S945" s="153"/>
      <c r="T945" s="153"/>
      <c r="U945" s="153"/>
      <c r="V945" s="153"/>
      <c r="W945" s="153"/>
      <c r="X945" s="153"/>
      <c r="Y945" s="153"/>
      <c r="Z945" s="153"/>
      <c r="AA945" s="153"/>
      <c r="AB945" s="153"/>
    </row>
    <row r="946" spans="1:28" ht="15">
      <c r="A946" s="153"/>
      <c r="B946" s="153"/>
      <c r="C946" s="153"/>
      <c r="D946" s="153"/>
      <c r="E946" s="153"/>
      <c r="F946" s="153"/>
      <c r="G946" s="153"/>
      <c r="H946" s="153"/>
      <c r="I946" s="153"/>
      <c r="J946" s="153"/>
      <c r="K946" s="153"/>
      <c r="L946" s="153"/>
      <c r="M946" s="153"/>
      <c r="N946" s="153"/>
      <c r="O946" s="153"/>
      <c r="P946" s="153"/>
      <c r="Q946" s="153"/>
      <c r="R946" s="153"/>
      <c r="S946" s="153"/>
      <c r="T946" s="153"/>
      <c r="U946" s="153"/>
      <c r="V946" s="153"/>
      <c r="W946" s="153"/>
      <c r="X946" s="153"/>
      <c r="Y946" s="153"/>
      <c r="Z946" s="153"/>
      <c r="AA946" s="153"/>
      <c r="AB946" s="153"/>
    </row>
    <row r="947" spans="1:28" ht="15">
      <c r="A947" s="153"/>
      <c r="B947" s="153"/>
      <c r="C947" s="153"/>
      <c r="D947" s="153"/>
      <c r="E947" s="153"/>
      <c r="F947" s="153"/>
      <c r="G947" s="153"/>
      <c r="H947" s="153"/>
      <c r="I947" s="153"/>
      <c r="J947" s="153"/>
      <c r="K947" s="153"/>
      <c r="L947" s="153"/>
      <c r="M947" s="153"/>
      <c r="N947" s="153"/>
      <c r="O947" s="153"/>
      <c r="P947" s="153"/>
      <c r="Q947" s="153"/>
      <c r="R947" s="153"/>
      <c r="S947" s="153"/>
      <c r="T947" s="153"/>
      <c r="U947" s="153"/>
      <c r="V947" s="153"/>
      <c r="W947" s="153"/>
      <c r="X947" s="153"/>
      <c r="Y947" s="153"/>
      <c r="Z947" s="153"/>
      <c r="AA947" s="153"/>
      <c r="AB947" s="153"/>
    </row>
    <row r="948" spans="1:28" ht="15">
      <c r="A948" s="153"/>
      <c r="B948" s="153"/>
      <c r="C948" s="153"/>
      <c r="D948" s="153"/>
      <c r="E948" s="153"/>
      <c r="F948" s="153"/>
      <c r="G948" s="153"/>
      <c r="H948" s="153"/>
      <c r="I948" s="153"/>
      <c r="J948" s="153"/>
      <c r="K948" s="153"/>
      <c r="L948" s="153"/>
      <c r="M948" s="153"/>
      <c r="N948" s="153"/>
      <c r="O948" s="153"/>
      <c r="P948" s="153"/>
      <c r="Q948" s="153"/>
      <c r="R948" s="153"/>
      <c r="S948" s="153"/>
      <c r="T948" s="153"/>
      <c r="U948" s="153"/>
      <c r="V948" s="153"/>
      <c r="W948" s="153"/>
      <c r="X948" s="153"/>
      <c r="Y948" s="153"/>
      <c r="Z948" s="153"/>
      <c r="AA948" s="153"/>
      <c r="AB948" s="153"/>
    </row>
    <row r="949" spans="1:28" ht="15">
      <c r="A949" s="153"/>
      <c r="B949" s="153"/>
      <c r="C949" s="153"/>
      <c r="D949" s="153"/>
      <c r="E949" s="153"/>
      <c r="F949" s="153"/>
      <c r="G949" s="153"/>
      <c r="H949" s="153"/>
      <c r="I949" s="153"/>
      <c r="J949" s="153"/>
      <c r="K949" s="153"/>
      <c r="L949" s="153"/>
      <c r="M949" s="153"/>
      <c r="N949" s="153"/>
      <c r="O949" s="153"/>
      <c r="P949" s="153"/>
      <c r="Q949" s="153"/>
      <c r="R949" s="153"/>
      <c r="S949" s="153"/>
      <c r="T949" s="153"/>
      <c r="U949" s="153"/>
      <c r="V949" s="153"/>
      <c r="W949" s="153"/>
      <c r="X949" s="153"/>
      <c r="Y949" s="153"/>
      <c r="Z949" s="153"/>
      <c r="AA949" s="153"/>
      <c r="AB949" s="153"/>
    </row>
    <row r="950" spans="1:28" ht="15">
      <c r="A950" s="153"/>
      <c r="B950" s="153"/>
      <c r="C950" s="153"/>
      <c r="D950" s="153"/>
      <c r="E950" s="153"/>
      <c r="F950" s="153"/>
      <c r="G950" s="153"/>
      <c r="H950" s="153"/>
      <c r="I950" s="153"/>
      <c r="J950" s="153"/>
      <c r="K950" s="153"/>
      <c r="L950" s="153"/>
      <c r="M950" s="153"/>
      <c r="N950" s="153"/>
      <c r="O950" s="153"/>
      <c r="P950" s="153"/>
      <c r="Q950" s="153"/>
      <c r="R950" s="153"/>
      <c r="S950" s="153"/>
      <c r="T950" s="153"/>
      <c r="U950" s="153"/>
      <c r="V950" s="153"/>
      <c r="W950" s="153"/>
      <c r="X950" s="153"/>
      <c r="Y950" s="153"/>
      <c r="Z950" s="153"/>
      <c r="AA950" s="153"/>
      <c r="AB950" s="153"/>
    </row>
    <row r="951" spans="1:28" ht="15">
      <c r="A951" s="153"/>
      <c r="B951" s="153"/>
      <c r="C951" s="153"/>
      <c r="D951" s="153"/>
      <c r="E951" s="153"/>
      <c r="F951" s="153"/>
      <c r="G951" s="153"/>
      <c r="H951" s="153"/>
      <c r="I951" s="153"/>
      <c r="J951" s="153"/>
      <c r="K951" s="153"/>
      <c r="L951" s="153"/>
      <c r="M951" s="153"/>
      <c r="N951" s="153"/>
      <c r="O951" s="153"/>
      <c r="P951" s="153"/>
      <c r="Q951" s="153"/>
      <c r="R951" s="153"/>
      <c r="S951" s="153"/>
      <c r="T951" s="153"/>
      <c r="U951" s="153"/>
      <c r="V951" s="153"/>
      <c r="W951" s="153"/>
      <c r="X951" s="153"/>
      <c r="Y951" s="153"/>
      <c r="Z951" s="153"/>
      <c r="AA951" s="153"/>
      <c r="AB951" s="153"/>
    </row>
    <row r="952" spans="1:28" ht="15">
      <c r="A952" s="153"/>
      <c r="B952" s="153"/>
      <c r="C952" s="153"/>
      <c r="D952" s="153"/>
      <c r="E952" s="153"/>
      <c r="F952" s="153"/>
      <c r="G952" s="153"/>
      <c r="H952" s="153"/>
      <c r="I952" s="153"/>
      <c r="J952" s="153"/>
      <c r="K952" s="153"/>
      <c r="L952" s="153"/>
      <c r="M952" s="153"/>
      <c r="N952" s="153"/>
      <c r="O952" s="153"/>
      <c r="P952" s="153"/>
      <c r="Q952" s="153"/>
      <c r="R952" s="153"/>
      <c r="S952" s="153"/>
      <c r="T952" s="153"/>
      <c r="U952" s="153"/>
      <c r="V952" s="153"/>
      <c r="W952" s="153"/>
      <c r="X952" s="153"/>
      <c r="Y952" s="153"/>
      <c r="Z952" s="153"/>
      <c r="AA952" s="153"/>
      <c r="AB952" s="153"/>
    </row>
    <row r="953" spans="1:28" ht="15">
      <c r="A953" s="153"/>
      <c r="B953" s="153"/>
      <c r="C953" s="153"/>
      <c r="D953" s="153"/>
      <c r="E953" s="153"/>
      <c r="F953" s="153"/>
      <c r="G953" s="153"/>
      <c r="H953" s="153"/>
      <c r="I953" s="153"/>
      <c r="J953" s="153"/>
      <c r="K953" s="153"/>
      <c r="L953" s="153"/>
      <c r="M953" s="153"/>
      <c r="N953" s="153"/>
      <c r="O953" s="153"/>
      <c r="P953" s="153"/>
      <c r="Q953" s="153"/>
      <c r="R953" s="153"/>
      <c r="S953" s="153"/>
      <c r="T953" s="153"/>
      <c r="U953" s="153"/>
      <c r="V953" s="153"/>
      <c r="W953" s="153"/>
      <c r="X953" s="153"/>
      <c r="Y953" s="153"/>
      <c r="Z953" s="153"/>
      <c r="AA953" s="153"/>
      <c r="AB953" s="153"/>
    </row>
    <row r="954" spans="1:28" ht="15">
      <c r="A954" s="153"/>
      <c r="B954" s="153"/>
      <c r="C954" s="153"/>
      <c r="D954" s="153"/>
      <c r="E954" s="153"/>
      <c r="F954" s="153"/>
      <c r="G954" s="153"/>
      <c r="H954" s="153"/>
      <c r="I954" s="153"/>
      <c r="J954" s="153"/>
      <c r="K954" s="153"/>
      <c r="L954" s="153"/>
      <c r="M954" s="153"/>
      <c r="N954" s="153"/>
      <c r="O954" s="153"/>
      <c r="P954" s="153"/>
      <c r="Q954" s="153"/>
      <c r="R954" s="153"/>
      <c r="S954" s="153"/>
      <c r="T954" s="153"/>
      <c r="U954" s="153"/>
      <c r="V954" s="153"/>
      <c r="W954" s="153"/>
      <c r="X954" s="153"/>
      <c r="Y954" s="153"/>
      <c r="Z954" s="153"/>
      <c r="AA954" s="153"/>
      <c r="AB954" s="153"/>
    </row>
    <row r="955" spans="1:28" ht="15">
      <c r="A955" s="153"/>
      <c r="B955" s="153"/>
      <c r="C955" s="153"/>
      <c r="D955" s="153"/>
      <c r="E955" s="153"/>
      <c r="F955" s="153"/>
      <c r="G955" s="153"/>
      <c r="H955" s="153"/>
      <c r="I955" s="153"/>
      <c r="J955" s="153"/>
      <c r="K955" s="153"/>
      <c r="L955" s="153"/>
      <c r="M955" s="153"/>
      <c r="N955" s="153"/>
      <c r="O955" s="153"/>
      <c r="P955" s="153"/>
      <c r="Q955" s="153"/>
      <c r="R955" s="153"/>
      <c r="S955" s="153"/>
      <c r="T955" s="153"/>
      <c r="U955" s="153"/>
      <c r="V955" s="153"/>
      <c r="W955" s="153"/>
      <c r="X955" s="153"/>
      <c r="Y955" s="153"/>
      <c r="Z955" s="153"/>
      <c r="AA955" s="153"/>
      <c r="AB955" s="153"/>
    </row>
    <row r="956" spans="1:28" ht="15">
      <c r="A956" s="153"/>
      <c r="B956" s="153"/>
      <c r="C956" s="153"/>
      <c r="D956" s="153"/>
      <c r="E956" s="153"/>
      <c r="F956" s="153"/>
      <c r="G956" s="153"/>
      <c r="H956" s="153"/>
      <c r="I956" s="153"/>
      <c r="J956" s="153"/>
      <c r="K956" s="153"/>
      <c r="L956" s="153"/>
      <c r="M956" s="153"/>
      <c r="N956" s="153"/>
      <c r="O956" s="153"/>
      <c r="P956" s="153"/>
      <c r="Q956" s="153"/>
      <c r="R956" s="153"/>
      <c r="S956" s="153"/>
      <c r="T956" s="153"/>
      <c r="U956" s="153"/>
      <c r="V956" s="153"/>
      <c r="W956" s="153"/>
      <c r="X956" s="153"/>
      <c r="Y956" s="153"/>
      <c r="Z956" s="153"/>
      <c r="AA956" s="153"/>
      <c r="AB956" s="153"/>
    </row>
    <row r="957" spans="1:28" ht="15">
      <c r="A957" s="153"/>
      <c r="B957" s="153"/>
      <c r="C957" s="153"/>
      <c r="D957" s="153"/>
      <c r="E957" s="153"/>
      <c r="F957" s="153"/>
      <c r="G957" s="153"/>
      <c r="H957" s="153"/>
      <c r="I957" s="153"/>
      <c r="J957" s="153"/>
      <c r="K957" s="153"/>
      <c r="L957" s="153"/>
      <c r="M957" s="153"/>
      <c r="N957" s="153"/>
      <c r="O957" s="153"/>
      <c r="P957" s="153"/>
      <c r="Q957" s="153"/>
      <c r="R957" s="153"/>
      <c r="S957" s="153"/>
      <c r="T957" s="153"/>
      <c r="U957" s="153"/>
      <c r="V957" s="153"/>
      <c r="W957" s="153"/>
      <c r="X957" s="153"/>
      <c r="Y957" s="153"/>
      <c r="Z957" s="153"/>
      <c r="AA957" s="153"/>
      <c r="AB957" s="153"/>
    </row>
    <row r="958" spans="1:28" ht="15">
      <c r="A958" s="153"/>
      <c r="B958" s="153"/>
      <c r="C958" s="153"/>
      <c r="D958" s="153"/>
      <c r="E958" s="153"/>
      <c r="F958" s="153"/>
      <c r="G958" s="153"/>
      <c r="H958" s="153"/>
      <c r="I958" s="153"/>
      <c r="J958" s="153"/>
      <c r="K958" s="153"/>
      <c r="L958" s="153"/>
      <c r="M958" s="153"/>
      <c r="N958" s="153"/>
      <c r="O958" s="153"/>
      <c r="P958" s="153"/>
      <c r="Q958" s="153"/>
      <c r="R958" s="153"/>
      <c r="S958" s="153"/>
      <c r="T958" s="153"/>
      <c r="U958" s="153"/>
      <c r="V958" s="153"/>
      <c r="W958" s="153"/>
      <c r="X958" s="153"/>
      <c r="Y958" s="153"/>
      <c r="Z958" s="153"/>
      <c r="AA958" s="153"/>
      <c r="AB958" s="153"/>
    </row>
    <row r="959" spans="1:28" ht="15">
      <c r="A959" s="153"/>
      <c r="B959" s="153"/>
      <c r="C959" s="153"/>
      <c r="D959" s="153"/>
      <c r="E959" s="153"/>
      <c r="F959" s="153"/>
      <c r="G959" s="153"/>
      <c r="H959" s="153"/>
      <c r="I959" s="153"/>
      <c r="J959" s="153"/>
      <c r="K959" s="153"/>
      <c r="L959" s="153"/>
      <c r="M959" s="153"/>
      <c r="N959" s="153"/>
      <c r="O959" s="153"/>
      <c r="P959" s="153"/>
      <c r="Q959" s="153"/>
      <c r="R959" s="153"/>
      <c r="S959" s="153"/>
      <c r="T959" s="153"/>
      <c r="U959" s="153"/>
      <c r="V959" s="153"/>
      <c r="W959" s="153"/>
      <c r="X959" s="153"/>
      <c r="Y959" s="153"/>
      <c r="Z959" s="153"/>
      <c r="AA959" s="153"/>
      <c r="AB959" s="153"/>
    </row>
    <row r="960" spans="1:28" ht="15">
      <c r="A960" s="153"/>
      <c r="B960" s="153"/>
      <c r="C960" s="153"/>
      <c r="D960" s="153"/>
      <c r="E960" s="153"/>
      <c r="F960" s="153"/>
      <c r="G960" s="153"/>
      <c r="H960" s="153"/>
      <c r="I960" s="153"/>
      <c r="J960" s="153"/>
      <c r="K960" s="153"/>
      <c r="L960" s="153"/>
      <c r="M960" s="153"/>
      <c r="N960" s="153"/>
      <c r="O960" s="153"/>
      <c r="P960" s="153"/>
      <c r="Q960" s="153"/>
      <c r="R960" s="153"/>
      <c r="S960" s="153"/>
      <c r="T960" s="153"/>
      <c r="U960" s="153"/>
      <c r="V960" s="153"/>
      <c r="W960" s="153"/>
      <c r="X960" s="153"/>
      <c r="Y960" s="153"/>
      <c r="Z960" s="153"/>
      <c r="AA960" s="153"/>
      <c r="AB960" s="153"/>
    </row>
    <row r="961" spans="1:28" ht="15">
      <c r="A961" s="153"/>
      <c r="B961" s="153"/>
      <c r="C961" s="153"/>
      <c r="D961" s="153"/>
      <c r="E961" s="153"/>
      <c r="F961" s="153"/>
      <c r="G961" s="153"/>
      <c r="H961" s="153"/>
      <c r="I961" s="153"/>
      <c r="J961" s="153"/>
      <c r="K961" s="153"/>
      <c r="L961" s="153"/>
      <c r="M961" s="153"/>
      <c r="N961" s="153"/>
      <c r="O961" s="153"/>
      <c r="P961" s="153"/>
      <c r="Q961" s="153"/>
      <c r="R961" s="153"/>
      <c r="S961" s="153"/>
      <c r="T961" s="153"/>
      <c r="U961" s="153"/>
      <c r="V961" s="153"/>
      <c r="W961" s="153"/>
      <c r="X961" s="153"/>
      <c r="Y961" s="153"/>
      <c r="Z961" s="153"/>
      <c r="AA961" s="153"/>
      <c r="AB961" s="153"/>
    </row>
    <row r="962" spans="1:28" ht="15">
      <c r="A962" s="153"/>
      <c r="B962" s="153"/>
      <c r="C962" s="153"/>
      <c r="D962" s="153"/>
      <c r="E962" s="153"/>
      <c r="F962" s="153"/>
      <c r="G962" s="153"/>
      <c r="H962" s="153"/>
      <c r="I962" s="153"/>
      <c r="J962" s="153"/>
      <c r="K962" s="153"/>
      <c r="L962" s="153"/>
      <c r="M962" s="153"/>
      <c r="N962" s="153"/>
      <c r="O962" s="153"/>
      <c r="P962" s="153"/>
      <c r="Q962" s="153"/>
      <c r="R962" s="153"/>
      <c r="S962" s="153"/>
      <c r="T962" s="153"/>
      <c r="U962" s="153"/>
      <c r="V962" s="153"/>
      <c r="W962" s="153"/>
      <c r="X962" s="153"/>
      <c r="Y962" s="153"/>
      <c r="Z962" s="153"/>
      <c r="AA962" s="153"/>
      <c r="AB962" s="153"/>
    </row>
    <row r="963" spans="1:28" ht="15">
      <c r="A963" s="153"/>
      <c r="B963" s="153"/>
      <c r="C963" s="153"/>
      <c r="D963" s="153"/>
      <c r="E963" s="153"/>
      <c r="F963" s="153"/>
      <c r="G963" s="153"/>
      <c r="H963" s="153"/>
      <c r="I963" s="153"/>
      <c r="J963" s="153"/>
      <c r="K963" s="153"/>
      <c r="L963" s="153"/>
      <c r="M963" s="153"/>
      <c r="N963" s="153"/>
      <c r="O963" s="153"/>
      <c r="P963" s="153"/>
      <c r="Q963" s="153"/>
      <c r="R963" s="153"/>
      <c r="S963" s="153"/>
      <c r="T963" s="153"/>
      <c r="U963" s="153"/>
      <c r="V963" s="153"/>
      <c r="W963" s="153"/>
      <c r="X963" s="153"/>
      <c r="Y963" s="153"/>
      <c r="Z963" s="153"/>
      <c r="AA963" s="153"/>
      <c r="AB963" s="153"/>
    </row>
    <row r="964" spans="1:28" ht="15">
      <c r="A964" s="153"/>
      <c r="B964" s="153"/>
      <c r="C964" s="153"/>
      <c r="D964" s="153"/>
      <c r="E964" s="153"/>
      <c r="F964" s="153"/>
      <c r="G964" s="153"/>
      <c r="H964" s="153"/>
      <c r="I964" s="153"/>
      <c r="J964" s="153"/>
      <c r="K964" s="153"/>
      <c r="L964" s="153"/>
      <c r="M964" s="153"/>
      <c r="N964" s="153"/>
      <c r="O964" s="153"/>
      <c r="P964" s="153"/>
      <c r="Q964" s="153"/>
      <c r="R964" s="153"/>
      <c r="S964" s="153"/>
      <c r="T964" s="153"/>
      <c r="U964" s="153"/>
      <c r="V964" s="153"/>
      <c r="W964" s="153"/>
      <c r="X964" s="153"/>
      <c r="Y964" s="153"/>
      <c r="Z964" s="153"/>
      <c r="AA964" s="153"/>
      <c r="AB964" s="153"/>
    </row>
    <row r="965" spans="1:28" ht="15">
      <c r="A965" s="153"/>
      <c r="B965" s="153"/>
      <c r="C965" s="153"/>
      <c r="D965" s="153"/>
      <c r="E965" s="153"/>
      <c r="F965" s="153"/>
      <c r="G965" s="153"/>
      <c r="H965" s="153"/>
      <c r="I965" s="153"/>
      <c r="J965" s="153"/>
      <c r="K965" s="153"/>
      <c r="L965" s="153"/>
      <c r="M965" s="153"/>
      <c r="N965" s="153"/>
      <c r="O965" s="153"/>
      <c r="P965" s="153"/>
      <c r="Q965" s="153"/>
      <c r="R965" s="153"/>
      <c r="S965" s="153"/>
      <c r="T965" s="153"/>
      <c r="U965" s="153"/>
      <c r="V965" s="153"/>
      <c r="W965" s="153"/>
      <c r="X965" s="153"/>
      <c r="Y965" s="153"/>
      <c r="Z965" s="153"/>
      <c r="AA965" s="153"/>
      <c r="AB965" s="153"/>
    </row>
    <row r="966" spans="1:28" ht="15">
      <c r="A966" s="153"/>
      <c r="B966" s="153"/>
      <c r="C966" s="153"/>
      <c r="D966" s="153"/>
      <c r="E966" s="153"/>
      <c r="F966" s="153"/>
      <c r="G966" s="153"/>
      <c r="H966" s="153"/>
      <c r="I966" s="153"/>
      <c r="J966" s="153"/>
      <c r="K966" s="153"/>
      <c r="L966" s="153"/>
      <c r="M966" s="153"/>
      <c r="N966" s="153"/>
      <c r="O966" s="153"/>
      <c r="P966" s="153"/>
      <c r="Q966" s="153"/>
      <c r="R966" s="153"/>
      <c r="S966" s="153"/>
      <c r="T966" s="153"/>
      <c r="U966" s="153"/>
      <c r="V966" s="153"/>
      <c r="W966" s="153"/>
      <c r="X966" s="153"/>
      <c r="Y966" s="153"/>
      <c r="Z966" s="153"/>
      <c r="AA966" s="153"/>
      <c r="AB966" s="153"/>
    </row>
    <row r="967" spans="1:28" ht="15">
      <c r="A967" s="153"/>
      <c r="B967" s="153"/>
      <c r="C967" s="153"/>
      <c r="D967" s="153"/>
      <c r="E967" s="153"/>
      <c r="F967" s="153"/>
      <c r="G967" s="153"/>
      <c r="H967" s="153"/>
      <c r="I967" s="153"/>
      <c r="J967" s="153"/>
      <c r="K967" s="153"/>
      <c r="L967" s="153"/>
      <c r="M967" s="153"/>
      <c r="N967" s="153"/>
      <c r="O967" s="153"/>
      <c r="P967" s="153"/>
      <c r="Q967" s="153"/>
      <c r="R967" s="153"/>
      <c r="S967" s="153"/>
      <c r="T967" s="153"/>
      <c r="U967" s="153"/>
      <c r="V967" s="153"/>
      <c r="W967" s="153"/>
      <c r="X967" s="153"/>
      <c r="Y967" s="153"/>
      <c r="Z967" s="153"/>
      <c r="AA967" s="153"/>
      <c r="AB967" s="153"/>
    </row>
    <row r="968" spans="1:28" ht="15">
      <c r="A968" s="153"/>
      <c r="B968" s="153"/>
      <c r="C968" s="153"/>
      <c r="D968" s="153"/>
      <c r="E968" s="153"/>
      <c r="F968" s="153"/>
      <c r="G968" s="153"/>
      <c r="H968" s="153"/>
      <c r="I968" s="153"/>
      <c r="J968" s="153"/>
      <c r="K968" s="153"/>
      <c r="L968" s="153"/>
      <c r="M968" s="153"/>
      <c r="N968" s="153"/>
      <c r="O968" s="153"/>
      <c r="P968" s="153"/>
      <c r="Q968" s="153"/>
      <c r="R968" s="153"/>
      <c r="S968" s="153"/>
      <c r="T968" s="153"/>
      <c r="U968" s="153"/>
      <c r="V968" s="153"/>
      <c r="W968" s="153"/>
      <c r="X968" s="153"/>
      <c r="Y968" s="153"/>
      <c r="Z968" s="153"/>
      <c r="AA968" s="153"/>
      <c r="AB968" s="153"/>
    </row>
    <row r="969" spans="1:28" ht="15">
      <c r="A969" s="153"/>
      <c r="B969" s="153"/>
      <c r="C969" s="153"/>
      <c r="D969" s="153"/>
      <c r="E969" s="153"/>
      <c r="F969" s="153"/>
      <c r="G969" s="153"/>
      <c r="H969" s="153"/>
      <c r="I969" s="153"/>
      <c r="J969" s="153"/>
      <c r="K969" s="153"/>
      <c r="L969" s="153"/>
      <c r="M969" s="153"/>
      <c r="N969" s="153"/>
      <c r="O969" s="153"/>
      <c r="P969" s="153"/>
      <c r="Q969" s="153"/>
      <c r="R969" s="153"/>
      <c r="S969" s="153"/>
      <c r="T969" s="153"/>
      <c r="U969" s="153"/>
      <c r="V969" s="153"/>
      <c r="W969" s="153"/>
      <c r="X969" s="153"/>
      <c r="Y969" s="153"/>
      <c r="Z969" s="153"/>
      <c r="AA969" s="153"/>
      <c r="AB969" s="153"/>
    </row>
    <row r="970" spans="1:28" ht="15">
      <c r="A970" s="153"/>
      <c r="B970" s="153"/>
      <c r="C970" s="153"/>
      <c r="D970" s="153"/>
      <c r="E970" s="153"/>
      <c r="F970" s="153"/>
      <c r="G970" s="153"/>
      <c r="H970" s="153"/>
      <c r="I970" s="153"/>
      <c r="J970" s="153"/>
      <c r="K970" s="153"/>
      <c r="L970" s="153"/>
      <c r="M970" s="153"/>
      <c r="N970" s="153"/>
      <c r="O970" s="153"/>
      <c r="P970" s="153"/>
      <c r="Q970" s="153"/>
      <c r="R970" s="153"/>
      <c r="S970" s="153"/>
      <c r="T970" s="153"/>
      <c r="U970" s="153"/>
      <c r="V970" s="153"/>
      <c r="W970" s="153"/>
      <c r="X970" s="153"/>
      <c r="Y970" s="153"/>
      <c r="Z970" s="153"/>
      <c r="AA970" s="153"/>
      <c r="AB970" s="153"/>
    </row>
    <row r="971" spans="1:28" ht="15">
      <c r="A971" s="153"/>
      <c r="B971" s="153"/>
      <c r="C971" s="153"/>
      <c r="D971" s="153"/>
      <c r="E971" s="153"/>
      <c r="F971" s="153"/>
      <c r="G971" s="153"/>
      <c r="H971" s="153"/>
      <c r="I971" s="153"/>
      <c r="J971" s="153"/>
      <c r="K971" s="153"/>
      <c r="L971" s="153"/>
      <c r="M971" s="153"/>
      <c r="N971" s="153"/>
      <c r="O971" s="153"/>
      <c r="P971" s="153"/>
      <c r="Q971" s="153"/>
      <c r="R971" s="153"/>
      <c r="S971" s="153"/>
      <c r="T971" s="153"/>
      <c r="U971" s="153"/>
      <c r="V971" s="153"/>
      <c r="W971" s="153"/>
      <c r="X971" s="153"/>
      <c r="Y971" s="153"/>
      <c r="Z971" s="153"/>
      <c r="AA971" s="153"/>
      <c r="AB971" s="153"/>
    </row>
    <row r="972" spans="1:28" ht="15">
      <c r="A972" s="153"/>
      <c r="B972" s="153"/>
      <c r="C972" s="153"/>
      <c r="D972" s="153"/>
      <c r="E972" s="153"/>
      <c r="F972" s="153"/>
      <c r="G972" s="153"/>
      <c r="H972" s="153"/>
      <c r="I972" s="153"/>
      <c r="J972" s="153"/>
      <c r="K972" s="153"/>
      <c r="L972" s="153"/>
      <c r="M972" s="153"/>
      <c r="N972" s="153"/>
      <c r="O972" s="153"/>
      <c r="P972" s="153"/>
      <c r="Q972" s="153"/>
      <c r="R972" s="153"/>
      <c r="S972" s="153"/>
      <c r="T972" s="153"/>
      <c r="U972" s="153"/>
      <c r="V972" s="153"/>
      <c r="W972" s="153"/>
      <c r="X972" s="153"/>
      <c r="Y972" s="153"/>
      <c r="Z972" s="153"/>
      <c r="AA972" s="153"/>
      <c r="AB972" s="153"/>
    </row>
    <row r="973" spans="1:28" ht="15">
      <c r="A973" s="153"/>
      <c r="B973" s="153"/>
      <c r="C973" s="153"/>
      <c r="D973" s="153"/>
      <c r="E973" s="153"/>
      <c r="F973" s="153"/>
      <c r="G973" s="153"/>
      <c r="H973" s="153"/>
      <c r="I973" s="153"/>
      <c r="J973" s="153"/>
      <c r="K973" s="153"/>
      <c r="L973" s="153"/>
      <c r="M973" s="153"/>
      <c r="N973" s="153"/>
      <c r="O973" s="153"/>
      <c r="P973" s="153"/>
      <c r="Q973" s="153"/>
      <c r="R973" s="153"/>
      <c r="S973" s="153"/>
      <c r="T973" s="153"/>
      <c r="U973" s="153"/>
      <c r="V973" s="153"/>
      <c r="W973" s="153"/>
      <c r="X973" s="153"/>
      <c r="Y973" s="153"/>
      <c r="Z973" s="153"/>
      <c r="AA973" s="153"/>
      <c r="AB973" s="153"/>
    </row>
    <row r="974" spans="1:28" ht="15">
      <c r="A974" s="153"/>
      <c r="B974" s="153"/>
      <c r="C974" s="153"/>
      <c r="D974" s="153"/>
      <c r="E974" s="153"/>
      <c r="F974" s="153"/>
      <c r="G974" s="153"/>
      <c r="H974" s="153"/>
      <c r="I974" s="153"/>
      <c r="J974" s="153"/>
      <c r="K974" s="153"/>
      <c r="L974" s="153"/>
      <c r="M974" s="153"/>
      <c r="N974" s="153"/>
      <c r="O974" s="153"/>
      <c r="P974" s="153"/>
      <c r="Q974" s="153"/>
      <c r="R974" s="153"/>
      <c r="S974" s="153"/>
      <c r="T974" s="153"/>
      <c r="U974" s="153"/>
      <c r="V974" s="153"/>
      <c r="W974" s="153"/>
      <c r="X974" s="153"/>
      <c r="Y974" s="153"/>
      <c r="Z974" s="153"/>
      <c r="AA974" s="153"/>
      <c r="AB974" s="153"/>
    </row>
    <row r="975" spans="1:28" ht="15">
      <c r="A975" s="153"/>
      <c r="B975" s="153"/>
      <c r="C975" s="153"/>
      <c r="D975" s="153"/>
      <c r="E975" s="153"/>
      <c r="F975" s="153"/>
      <c r="G975" s="153"/>
      <c r="H975" s="153"/>
      <c r="I975" s="153"/>
      <c r="J975" s="153"/>
      <c r="K975" s="153"/>
      <c r="L975" s="153"/>
      <c r="M975" s="153"/>
      <c r="N975" s="153"/>
      <c r="O975" s="153"/>
      <c r="P975" s="153"/>
      <c r="Q975" s="153"/>
      <c r="R975" s="153"/>
      <c r="S975" s="153"/>
      <c r="T975" s="153"/>
      <c r="U975" s="153"/>
      <c r="V975" s="153"/>
      <c r="W975" s="153"/>
      <c r="X975" s="153"/>
      <c r="Y975" s="153"/>
      <c r="Z975" s="153"/>
      <c r="AA975" s="153"/>
      <c r="AB975" s="153"/>
    </row>
    <row r="976" spans="1:28" ht="15">
      <c r="A976" s="153"/>
      <c r="B976" s="153"/>
      <c r="C976" s="153"/>
      <c r="D976" s="153"/>
      <c r="E976" s="153"/>
      <c r="F976" s="153"/>
      <c r="G976" s="153"/>
      <c r="H976" s="153"/>
      <c r="I976" s="153"/>
      <c r="J976" s="153"/>
      <c r="K976" s="153"/>
      <c r="L976" s="153"/>
      <c r="M976" s="153"/>
      <c r="N976" s="153"/>
      <c r="O976" s="153"/>
      <c r="P976" s="153"/>
      <c r="Q976" s="153"/>
      <c r="R976" s="153"/>
      <c r="S976" s="153"/>
      <c r="T976" s="153"/>
      <c r="U976" s="153"/>
      <c r="V976" s="153"/>
      <c r="W976" s="153"/>
      <c r="X976" s="153"/>
      <c r="Y976" s="153"/>
      <c r="Z976" s="153"/>
      <c r="AA976" s="153"/>
      <c r="AB976" s="153"/>
    </row>
    <row r="977" spans="1:28" ht="15">
      <c r="A977" s="153"/>
      <c r="B977" s="153"/>
      <c r="C977" s="153"/>
      <c r="D977" s="153"/>
      <c r="E977" s="153"/>
      <c r="F977" s="153"/>
      <c r="G977" s="153"/>
      <c r="H977" s="153"/>
      <c r="I977" s="153"/>
      <c r="J977" s="153"/>
      <c r="K977" s="153"/>
      <c r="L977" s="153"/>
      <c r="M977" s="153"/>
      <c r="N977" s="153"/>
      <c r="O977" s="153"/>
      <c r="P977" s="153"/>
      <c r="Q977" s="153"/>
      <c r="R977" s="153"/>
      <c r="S977" s="153"/>
      <c r="T977" s="153"/>
      <c r="U977" s="153"/>
      <c r="V977" s="153"/>
      <c r="W977" s="153"/>
      <c r="X977" s="153"/>
      <c r="Y977" s="153"/>
      <c r="Z977" s="153"/>
      <c r="AA977" s="153"/>
      <c r="AB977" s="153"/>
    </row>
    <row r="978" spans="1:28" ht="15">
      <c r="A978" s="153"/>
      <c r="B978" s="153"/>
      <c r="C978" s="153"/>
      <c r="D978" s="153"/>
      <c r="E978" s="153"/>
      <c r="F978" s="153"/>
      <c r="G978" s="153"/>
      <c r="H978" s="153"/>
      <c r="I978" s="153"/>
      <c r="J978" s="153"/>
      <c r="K978" s="153"/>
      <c r="L978" s="153"/>
      <c r="M978" s="153"/>
      <c r="N978" s="153"/>
      <c r="O978" s="153"/>
      <c r="P978" s="153"/>
      <c r="Q978" s="153"/>
      <c r="R978" s="153"/>
      <c r="S978" s="153"/>
      <c r="T978" s="153"/>
      <c r="U978" s="153"/>
      <c r="V978" s="153"/>
      <c r="W978" s="153"/>
      <c r="X978" s="153"/>
      <c r="Y978" s="153"/>
      <c r="Z978" s="153"/>
      <c r="AA978" s="153"/>
      <c r="AB978" s="153"/>
    </row>
    <row r="979" spans="1:28" ht="15">
      <c r="A979" s="153"/>
      <c r="B979" s="153"/>
      <c r="C979" s="153"/>
      <c r="D979" s="153"/>
      <c r="E979" s="153"/>
      <c r="F979" s="153"/>
      <c r="G979" s="153"/>
      <c r="H979" s="153"/>
      <c r="I979" s="153"/>
      <c r="J979" s="153"/>
      <c r="K979" s="153"/>
      <c r="L979" s="153"/>
      <c r="M979" s="153"/>
      <c r="N979" s="153"/>
      <c r="O979" s="153"/>
      <c r="P979" s="153"/>
      <c r="Q979" s="153"/>
      <c r="R979" s="153"/>
      <c r="S979" s="153"/>
      <c r="T979" s="153"/>
      <c r="U979" s="153"/>
      <c r="V979" s="153"/>
      <c r="W979" s="153"/>
      <c r="X979" s="153"/>
      <c r="Y979" s="153"/>
      <c r="Z979" s="153"/>
      <c r="AA979" s="153"/>
      <c r="AB979" s="153"/>
    </row>
    <row r="980" spans="1:28" ht="15">
      <c r="A980" s="153"/>
      <c r="B980" s="153"/>
      <c r="C980" s="153"/>
      <c r="D980" s="153"/>
      <c r="E980" s="153"/>
      <c r="F980" s="153"/>
      <c r="G980" s="153"/>
      <c r="H980" s="153"/>
      <c r="I980" s="153"/>
      <c r="J980" s="153"/>
      <c r="K980" s="153"/>
      <c r="L980" s="153"/>
      <c r="M980" s="153"/>
      <c r="N980" s="153"/>
      <c r="O980" s="153"/>
      <c r="P980" s="153"/>
      <c r="Q980" s="153"/>
      <c r="R980" s="153"/>
      <c r="S980" s="153"/>
      <c r="T980" s="153"/>
      <c r="U980" s="153"/>
      <c r="V980" s="153"/>
      <c r="W980" s="153"/>
      <c r="X980" s="153"/>
      <c r="Y980" s="153"/>
      <c r="Z980" s="153"/>
      <c r="AA980" s="153"/>
      <c r="AB980" s="153"/>
    </row>
    <row r="981" spans="1:28" ht="15">
      <c r="A981" s="153"/>
      <c r="B981" s="153"/>
      <c r="C981" s="153"/>
      <c r="D981" s="153"/>
      <c r="E981" s="153"/>
      <c r="F981" s="153"/>
      <c r="G981" s="153"/>
      <c r="H981" s="153"/>
      <c r="I981" s="153"/>
      <c r="J981" s="153"/>
      <c r="K981" s="153"/>
      <c r="L981" s="153"/>
      <c r="M981" s="153"/>
      <c r="N981" s="153"/>
      <c r="O981" s="153"/>
      <c r="P981" s="153"/>
      <c r="Q981" s="153"/>
      <c r="R981" s="153"/>
      <c r="S981" s="153"/>
      <c r="T981" s="153"/>
      <c r="U981" s="153"/>
      <c r="V981" s="153"/>
      <c r="W981" s="153"/>
      <c r="X981" s="153"/>
      <c r="Y981" s="153"/>
      <c r="Z981" s="153"/>
      <c r="AA981" s="153"/>
      <c r="AB981" s="153"/>
    </row>
    <row r="982" spans="1:28" ht="15">
      <c r="A982" s="153"/>
      <c r="B982" s="153"/>
      <c r="C982" s="153"/>
      <c r="D982" s="153"/>
      <c r="E982" s="153"/>
      <c r="F982" s="153"/>
      <c r="G982" s="153"/>
      <c r="H982" s="153"/>
      <c r="I982" s="153"/>
      <c r="J982" s="153"/>
      <c r="K982" s="153"/>
      <c r="L982" s="153"/>
      <c r="M982" s="153"/>
      <c r="N982" s="153"/>
      <c r="O982" s="153"/>
      <c r="P982" s="153"/>
      <c r="Q982" s="153"/>
      <c r="R982" s="153"/>
      <c r="S982" s="153"/>
      <c r="T982" s="153"/>
      <c r="U982" s="153"/>
      <c r="V982" s="153"/>
      <c r="W982" s="153"/>
      <c r="X982" s="153"/>
      <c r="Y982" s="153"/>
      <c r="Z982" s="153"/>
      <c r="AA982" s="153"/>
      <c r="AB982" s="153"/>
    </row>
    <row r="983" spans="1:28" ht="15">
      <c r="A983" s="153"/>
      <c r="B983" s="153"/>
      <c r="C983" s="153"/>
      <c r="D983" s="153"/>
      <c r="E983" s="153"/>
      <c r="F983" s="153"/>
      <c r="G983" s="153"/>
      <c r="H983" s="153"/>
      <c r="I983" s="153"/>
      <c r="J983" s="153"/>
      <c r="K983" s="153"/>
      <c r="L983" s="153"/>
      <c r="M983" s="153"/>
      <c r="N983" s="153"/>
      <c r="O983" s="153"/>
      <c r="P983" s="153"/>
      <c r="Q983" s="153"/>
      <c r="R983" s="153"/>
      <c r="S983" s="153"/>
      <c r="T983" s="153"/>
      <c r="U983" s="153"/>
      <c r="V983" s="153"/>
      <c r="W983" s="153"/>
      <c r="X983" s="153"/>
      <c r="Y983" s="153"/>
      <c r="Z983" s="153"/>
      <c r="AA983" s="153"/>
      <c r="AB983" s="153"/>
    </row>
    <row r="984" spans="1:28" ht="15">
      <c r="A984" s="153"/>
      <c r="B984" s="153"/>
      <c r="C984" s="153"/>
      <c r="D984" s="153"/>
      <c r="E984" s="153"/>
      <c r="F984" s="153"/>
      <c r="G984" s="153"/>
      <c r="H984" s="153"/>
      <c r="I984" s="153"/>
      <c r="J984" s="153"/>
      <c r="K984" s="153"/>
      <c r="L984" s="153"/>
      <c r="M984" s="153"/>
      <c r="N984" s="153"/>
      <c r="O984" s="153"/>
      <c r="P984" s="153"/>
      <c r="Q984" s="153"/>
      <c r="R984" s="153"/>
      <c r="S984" s="153"/>
      <c r="T984" s="153"/>
      <c r="U984" s="153"/>
      <c r="V984" s="153"/>
      <c r="W984" s="153"/>
      <c r="X984" s="153"/>
      <c r="Y984" s="153"/>
      <c r="Z984" s="153"/>
      <c r="AA984" s="153"/>
      <c r="AB984" s="153"/>
    </row>
    <row r="985" spans="1:28" ht="15">
      <c r="A985" s="153"/>
      <c r="B985" s="153"/>
      <c r="C985" s="153"/>
      <c r="D985" s="153"/>
      <c r="E985" s="153"/>
      <c r="F985" s="153"/>
      <c r="G985" s="153"/>
      <c r="H985" s="153"/>
      <c r="I985" s="153"/>
      <c r="J985" s="153"/>
      <c r="K985" s="153"/>
      <c r="L985" s="153"/>
      <c r="M985" s="153"/>
      <c r="N985" s="153"/>
      <c r="O985" s="153"/>
      <c r="P985" s="153"/>
      <c r="Q985" s="153"/>
      <c r="R985" s="153"/>
      <c r="S985" s="153"/>
      <c r="T985" s="153"/>
      <c r="U985" s="153"/>
      <c r="V985" s="153"/>
      <c r="W985" s="153"/>
      <c r="X985" s="153"/>
      <c r="Y985" s="153"/>
      <c r="Z985" s="153"/>
      <c r="AA985" s="153"/>
      <c r="AB985" s="153"/>
    </row>
    <row r="986" spans="1:28" ht="15">
      <c r="A986" s="153"/>
      <c r="B986" s="153"/>
      <c r="C986" s="153"/>
      <c r="D986" s="153"/>
      <c r="E986" s="153"/>
      <c r="F986" s="153"/>
      <c r="G986" s="153"/>
      <c r="H986" s="153"/>
      <c r="I986" s="153"/>
      <c r="J986" s="153"/>
      <c r="K986" s="153"/>
      <c r="L986" s="153"/>
      <c r="M986" s="153"/>
      <c r="N986" s="153"/>
      <c r="O986" s="153"/>
      <c r="P986" s="153"/>
      <c r="Q986" s="153"/>
      <c r="R986" s="153"/>
      <c r="S986" s="153"/>
      <c r="T986" s="153"/>
      <c r="U986" s="153"/>
      <c r="V986" s="153"/>
      <c r="W986" s="153"/>
      <c r="X986" s="153"/>
      <c r="Y986" s="153"/>
      <c r="Z986" s="153"/>
      <c r="AA986" s="153"/>
      <c r="AB986" s="153"/>
    </row>
    <row r="987" spans="1:28" ht="15">
      <c r="A987" s="153"/>
      <c r="B987" s="153"/>
      <c r="C987" s="153"/>
      <c r="D987" s="153"/>
      <c r="E987" s="153"/>
      <c r="F987" s="153"/>
      <c r="G987" s="153"/>
      <c r="H987" s="153"/>
      <c r="I987" s="153"/>
      <c r="J987" s="153"/>
      <c r="K987" s="153"/>
      <c r="L987" s="153"/>
      <c r="M987" s="153"/>
      <c r="N987" s="153"/>
      <c r="O987" s="153"/>
      <c r="P987" s="153"/>
      <c r="Q987" s="153"/>
      <c r="R987" s="153"/>
      <c r="S987" s="153"/>
      <c r="T987" s="153"/>
      <c r="U987" s="153"/>
      <c r="V987" s="153"/>
      <c r="W987" s="153"/>
      <c r="X987" s="153"/>
      <c r="Y987" s="153"/>
      <c r="Z987" s="153"/>
      <c r="AA987" s="153"/>
      <c r="AB987" s="153"/>
    </row>
    <row r="988" spans="1:28" ht="15">
      <c r="A988" s="153"/>
      <c r="B988" s="153"/>
      <c r="C988" s="153"/>
      <c r="D988" s="153"/>
      <c r="E988" s="153"/>
      <c r="F988" s="153"/>
      <c r="G988" s="153"/>
      <c r="H988" s="153"/>
      <c r="I988" s="153"/>
      <c r="J988" s="153"/>
      <c r="K988" s="153"/>
      <c r="L988" s="153"/>
      <c r="M988" s="153"/>
      <c r="N988" s="153"/>
      <c r="O988" s="153"/>
      <c r="P988" s="153"/>
      <c r="Q988" s="153"/>
      <c r="R988" s="153"/>
      <c r="S988" s="153"/>
      <c r="T988" s="153"/>
      <c r="U988" s="153"/>
      <c r="V988" s="153"/>
      <c r="W988" s="153"/>
      <c r="X988" s="153"/>
      <c r="Y988" s="153"/>
      <c r="Z988" s="153"/>
      <c r="AA988" s="153"/>
      <c r="AB988" s="153"/>
    </row>
    <row r="989" spans="1:28" ht="15">
      <c r="A989" s="153"/>
      <c r="B989" s="153"/>
      <c r="C989" s="153"/>
      <c r="D989" s="153"/>
      <c r="E989" s="153"/>
      <c r="F989" s="153"/>
      <c r="G989" s="153"/>
      <c r="H989" s="153"/>
      <c r="I989" s="153"/>
      <c r="J989" s="153"/>
      <c r="K989" s="153"/>
      <c r="L989" s="153"/>
      <c r="M989" s="153"/>
      <c r="N989" s="153"/>
      <c r="O989" s="153"/>
      <c r="P989" s="153"/>
      <c r="Q989" s="153"/>
      <c r="R989" s="153"/>
      <c r="S989" s="153"/>
      <c r="T989" s="153"/>
      <c r="U989" s="153"/>
      <c r="V989" s="153"/>
      <c r="W989" s="153"/>
      <c r="X989" s="153"/>
      <c r="Y989" s="153"/>
      <c r="Z989" s="153"/>
      <c r="AA989" s="153"/>
      <c r="AB989" s="153"/>
    </row>
    <row r="990" spans="1:28" ht="15">
      <c r="A990" s="153"/>
      <c r="B990" s="153"/>
      <c r="C990" s="153"/>
      <c r="D990" s="153"/>
      <c r="E990" s="153"/>
      <c r="F990" s="153"/>
      <c r="G990" s="153"/>
      <c r="H990" s="153"/>
      <c r="I990" s="153"/>
      <c r="J990" s="153"/>
      <c r="K990" s="153"/>
      <c r="L990" s="153"/>
      <c r="M990" s="153"/>
      <c r="N990" s="153"/>
      <c r="O990" s="153"/>
      <c r="P990" s="153"/>
      <c r="Q990" s="153"/>
      <c r="R990" s="153"/>
      <c r="S990" s="153"/>
      <c r="T990" s="153"/>
      <c r="U990" s="153"/>
      <c r="V990" s="153"/>
      <c r="W990" s="153"/>
      <c r="X990" s="153"/>
      <c r="Y990" s="153"/>
      <c r="Z990" s="153"/>
      <c r="AA990" s="153"/>
      <c r="AB990" s="153"/>
    </row>
    <row r="991" spans="1:28" ht="15">
      <c r="A991" s="153"/>
      <c r="B991" s="153"/>
      <c r="C991" s="153"/>
      <c r="D991" s="153"/>
      <c r="E991" s="153"/>
      <c r="F991" s="153"/>
      <c r="G991" s="153"/>
      <c r="H991" s="153"/>
      <c r="I991" s="153"/>
      <c r="J991" s="153"/>
      <c r="K991" s="153"/>
      <c r="L991" s="153"/>
      <c r="M991" s="153"/>
      <c r="N991" s="153"/>
      <c r="O991" s="153"/>
      <c r="P991" s="153"/>
      <c r="Q991" s="153"/>
      <c r="R991" s="153"/>
      <c r="S991" s="153"/>
      <c r="T991" s="153"/>
      <c r="U991" s="153"/>
      <c r="V991" s="153"/>
      <c r="W991" s="153"/>
      <c r="X991" s="153"/>
      <c r="Y991" s="153"/>
      <c r="Z991" s="153"/>
      <c r="AA991" s="153"/>
      <c r="AB991" s="153"/>
    </row>
    <row r="992" spans="1:28" ht="15">
      <c r="A992" s="153"/>
      <c r="B992" s="153"/>
      <c r="C992" s="153"/>
      <c r="D992" s="153"/>
      <c r="E992" s="153"/>
      <c r="F992" s="153"/>
      <c r="G992" s="153"/>
      <c r="H992" s="153"/>
      <c r="I992" s="153"/>
      <c r="J992" s="153"/>
      <c r="K992" s="153"/>
      <c r="L992" s="153"/>
      <c r="M992" s="153"/>
      <c r="N992" s="153"/>
      <c r="O992" s="153"/>
      <c r="P992" s="153"/>
      <c r="Q992" s="153"/>
      <c r="R992" s="153"/>
      <c r="S992" s="153"/>
      <c r="T992" s="153"/>
      <c r="U992" s="153"/>
      <c r="V992" s="153"/>
      <c r="W992" s="153"/>
      <c r="X992" s="153"/>
      <c r="Y992" s="153"/>
      <c r="Z992" s="153"/>
      <c r="AA992" s="153"/>
      <c r="AB992" s="153"/>
    </row>
    <row r="993" spans="1:28" ht="15">
      <c r="A993" s="153"/>
      <c r="B993" s="153"/>
      <c r="C993" s="153"/>
      <c r="D993" s="153"/>
      <c r="E993" s="153"/>
      <c r="F993" s="153"/>
      <c r="G993" s="153"/>
      <c r="H993" s="153"/>
      <c r="I993" s="153"/>
      <c r="J993" s="153"/>
      <c r="K993" s="153"/>
      <c r="L993" s="153"/>
      <c r="M993" s="153"/>
      <c r="N993" s="153"/>
      <c r="O993" s="153"/>
      <c r="P993" s="153"/>
      <c r="Q993" s="153"/>
      <c r="R993" s="153"/>
      <c r="S993" s="153"/>
      <c r="T993" s="153"/>
      <c r="U993" s="153"/>
      <c r="V993" s="153"/>
      <c r="W993" s="153"/>
      <c r="X993" s="153"/>
      <c r="Y993" s="153"/>
      <c r="Z993" s="153"/>
      <c r="AA993" s="153"/>
      <c r="AB993" s="153"/>
    </row>
    <row r="994" spans="1:28" ht="15">
      <c r="A994" s="153"/>
      <c r="B994" s="153"/>
      <c r="C994" s="153"/>
      <c r="D994" s="153"/>
      <c r="E994" s="153"/>
      <c r="F994" s="153"/>
      <c r="G994" s="153"/>
      <c r="H994" s="153"/>
      <c r="I994" s="153"/>
      <c r="J994" s="153"/>
      <c r="K994" s="153"/>
      <c r="L994" s="153"/>
      <c r="M994" s="153"/>
      <c r="N994" s="153"/>
      <c r="O994" s="153"/>
      <c r="P994" s="153"/>
      <c r="Q994" s="153"/>
      <c r="R994" s="153"/>
      <c r="S994" s="153"/>
      <c r="T994" s="153"/>
      <c r="U994" s="153"/>
      <c r="V994" s="153"/>
      <c r="W994" s="153"/>
      <c r="X994" s="153"/>
      <c r="Y994" s="153"/>
      <c r="Z994" s="153"/>
      <c r="AA994" s="153"/>
      <c r="AB994" s="153"/>
    </row>
    <row r="995" spans="1:28" ht="15">
      <c r="A995" s="153"/>
      <c r="B995" s="153"/>
      <c r="C995" s="153"/>
      <c r="D995" s="153"/>
      <c r="E995" s="153"/>
      <c r="F995" s="153"/>
      <c r="G995" s="153"/>
      <c r="H995" s="153"/>
      <c r="I995" s="153"/>
      <c r="J995" s="153"/>
      <c r="K995" s="153"/>
      <c r="L995" s="153"/>
      <c r="M995" s="153"/>
      <c r="N995" s="153"/>
      <c r="O995" s="153"/>
      <c r="P995" s="153"/>
      <c r="Q995" s="153"/>
      <c r="R995" s="153"/>
      <c r="S995" s="153"/>
      <c r="T995" s="153"/>
      <c r="U995" s="153"/>
      <c r="V995" s="153"/>
      <c r="W995" s="153"/>
      <c r="X995" s="153"/>
      <c r="Y995" s="153"/>
      <c r="Z995" s="153"/>
      <c r="AA995" s="153"/>
      <c r="AB995" s="153"/>
    </row>
    <row r="996" spans="1:28" ht="15">
      <c r="A996" s="153"/>
      <c r="B996" s="153"/>
      <c r="C996" s="153"/>
      <c r="D996" s="153"/>
      <c r="E996" s="153"/>
      <c r="F996" s="153"/>
      <c r="G996" s="153"/>
      <c r="H996" s="153"/>
      <c r="I996" s="153"/>
      <c r="J996" s="153"/>
      <c r="K996" s="153"/>
      <c r="L996" s="153"/>
      <c r="M996" s="153"/>
      <c r="N996" s="153"/>
      <c r="O996" s="153"/>
      <c r="P996" s="153"/>
      <c r="Q996" s="153"/>
      <c r="R996" s="153"/>
      <c r="S996" s="153"/>
      <c r="T996" s="153"/>
      <c r="U996" s="153"/>
      <c r="V996" s="153"/>
      <c r="W996" s="153"/>
      <c r="X996" s="153"/>
      <c r="Y996" s="153"/>
      <c r="Z996" s="153"/>
      <c r="AA996" s="153"/>
      <c r="AB996" s="153"/>
    </row>
  </sheetData>
  <sheetProtection password="DE31" sheet="1" objects="1" scenarios="1" selectLockedCells="1"/>
  <sortState ref="K7:U136">
    <sortCondition ref="U7:U136"/>
    <sortCondition ref="M7:M136"/>
  </sortState>
  <dataConsolidate/>
  <mergeCells count="11">
    <mergeCell ref="B21:E21"/>
    <mergeCell ref="B25:E25"/>
    <mergeCell ref="B30:E30"/>
    <mergeCell ref="B9:E9"/>
    <mergeCell ref="B10:E10"/>
    <mergeCell ref="C3:E3"/>
    <mergeCell ref="C4:E4"/>
    <mergeCell ref="C5:E5"/>
    <mergeCell ref="C6:E6"/>
    <mergeCell ref="B11:E11"/>
    <mergeCell ref="C7:E7"/>
  </mergeCells>
  <phoneticPr fontId="39" type="noConversion"/>
  <dataValidations count="1">
    <dataValidation type="list" allowBlank="1" showInputMessage="1" showErrorMessage="1" prompt="Molimo odabrati proračunskog korisnika iz padajućeg izbornika!" sqref="C3:E3">
      <formula1>$L$6:$L$136</formula1>
    </dataValidation>
  </dataValidations>
  <pageMargins left="0.7" right="0.7" top="0.75" bottom="0.75" header="0.3" footer="0.3"/>
  <pageSetup paperSize="9" scale="80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workbookViewId="0">
      <selection activeCell="G18" sqref="G18"/>
    </sheetView>
  </sheetViews>
  <sheetFormatPr defaultRowHeight="15"/>
  <cols>
    <col min="1" max="1" width="11.28515625" bestFit="1" customWidth="1"/>
    <col min="2" max="2" width="91.140625" customWidth="1"/>
    <col min="3" max="3" width="20.42578125" style="268" bestFit="1" customWidth="1"/>
    <col min="4" max="4" width="23.7109375" style="269" customWidth="1"/>
    <col min="5" max="5" width="12" style="268" customWidth="1"/>
    <col min="6" max="6" width="11.7109375" style="265" customWidth="1"/>
  </cols>
  <sheetData>
    <row r="1" spans="1:6" ht="20.25" thickBot="1">
      <c r="A1" s="250" t="s">
        <v>761</v>
      </c>
      <c r="B1" s="250" t="s">
        <v>203</v>
      </c>
      <c r="C1" s="251" t="s">
        <v>2319</v>
      </c>
      <c r="D1" s="250"/>
      <c r="E1" s="251"/>
      <c r="F1" s="252" t="s">
        <v>2330</v>
      </c>
    </row>
    <row r="2" spans="1:6" ht="15.75" thickTop="1">
      <c r="A2" s="254" t="s">
        <v>776</v>
      </c>
      <c r="B2" s="255" t="s">
        <v>260</v>
      </c>
      <c r="C2" s="256">
        <v>11</v>
      </c>
      <c r="D2" s="253" t="s">
        <v>53</v>
      </c>
      <c r="E2" s="256">
        <v>671</v>
      </c>
      <c r="F2" s="254" t="s">
        <v>2320</v>
      </c>
    </row>
    <row r="3" spans="1:6">
      <c r="A3" s="254" t="s">
        <v>777</v>
      </c>
      <c r="B3" s="255" t="s">
        <v>260</v>
      </c>
      <c r="C3" s="256">
        <v>12</v>
      </c>
      <c r="D3" s="253" t="s">
        <v>263</v>
      </c>
      <c r="E3" s="256">
        <v>671</v>
      </c>
      <c r="F3" s="254" t="s">
        <v>2321</v>
      </c>
    </row>
    <row r="4" spans="1:6">
      <c r="A4" s="254">
        <v>614810041</v>
      </c>
      <c r="B4" s="255" t="s">
        <v>1541</v>
      </c>
      <c r="C4" s="256">
        <v>41</v>
      </c>
      <c r="D4" s="253" t="s">
        <v>1537</v>
      </c>
      <c r="E4" s="256">
        <v>614</v>
      </c>
      <c r="F4" s="254">
        <v>614810041</v>
      </c>
    </row>
    <row r="5" spans="1:6">
      <c r="A5" s="254">
        <v>614820041</v>
      </c>
      <c r="B5" s="255" t="s">
        <v>1542</v>
      </c>
      <c r="C5" s="256">
        <v>41</v>
      </c>
      <c r="D5" s="253" t="s">
        <v>1537</v>
      </c>
      <c r="E5" s="256">
        <v>614</v>
      </c>
      <c r="F5" s="254">
        <v>614820041</v>
      </c>
    </row>
    <row r="6" spans="1:6">
      <c r="A6" s="254">
        <v>614830041</v>
      </c>
      <c r="B6" s="255" t="s">
        <v>1543</v>
      </c>
      <c r="C6" s="256">
        <v>41</v>
      </c>
      <c r="D6" s="253" t="s">
        <v>1537</v>
      </c>
      <c r="E6" s="256">
        <v>614</v>
      </c>
      <c r="F6" s="254">
        <v>614830041</v>
      </c>
    </row>
    <row r="7" spans="1:6">
      <c r="A7" s="254">
        <v>614840041</v>
      </c>
      <c r="B7" s="255" t="s">
        <v>1544</v>
      </c>
      <c r="C7" s="256">
        <v>41</v>
      </c>
      <c r="D7" s="253" t="s">
        <v>1537</v>
      </c>
      <c r="E7" s="256">
        <v>614</v>
      </c>
      <c r="F7" s="254">
        <v>614840041</v>
      </c>
    </row>
    <row r="8" spans="1:6">
      <c r="A8" s="255">
        <v>631110000</v>
      </c>
      <c r="B8" s="255" t="s">
        <v>25</v>
      </c>
      <c r="C8" s="257">
        <v>52</v>
      </c>
      <c r="D8" s="258" t="s">
        <v>2088</v>
      </c>
      <c r="E8" s="257">
        <v>631</v>
      </c>
      <c r="F8" s="255">
        <v>631110000</v>
      </c>
    </row>
    <row r="9" spans="1:6">
      <c r="A9" s="255">
        <v>631120000</v>
      </c>
      <c r="B9" s="255" t="s">
        <v>26</v>
      </c>
      <c r="C9" s="257">
        <v>52</v>
      </c>
      <c r="D9" s="258" t="s">
        <v>2088</v>
      </c>
      <c r="E9" s="257">
        <v>631</v>
      </c>
      <c r="F9" s="255">
        <v>631120000</v>
      </c>
    </row>
    <row r="10" spans="1:6">
      <c r="A10" s="255">
        <v>631210000</v>
      </c>
      <c r="B10" s="255" t="s">
        <v>27</v>
      </c>
      <c r="C10" s="257">
        <v>52</v>
      </c>
      <c r="D10" s="258" t="s">
        <v>2088</v>
      </c>
      <c r="E10" s="257">
        <v>631</v>
      </c>
      <c r="F10" s="271">
        <v>631210000</v>
      </c>
    </row>
    <row r="11" spans="1:6">
      <c r="A11" s="255">
        <v>631220000</v>
      </c>
      <c r="B11" s="255" t="s">
        <v>28</v>
      </c>
      <c r="C11" s="257">
        <v>52</v>
      </c>
      <c r="D11" s="258" t="s">
        <v>2088</v>
      </c>
      <c r="E11" s="257">
        <v>631</v>
      </c>
      <c r="F11" s="271">
        <v>631220000</v>
      </c>
    </row>
    <row r="12" spans="1:6" s="278" customFormat="1">
      <c r="A12" s="255">
        <v>632112000</v>
      </c>
      <c r="B12" s="255" t="s">
        <v>2089</v>
      </c>
      <c r="C12" s="257">
        <v>52</v>
      </c>
      <c r="D12" s="258" t="s">
        <v>2088</v>
      </c>
      <c r="E12" s="257">
        <v>632</v>
      </c>
      <c r="F12" s="271">
        <v>632112000</v>
      </c>
    </row>
    <row r="13" spans="1:6" s="278" customFormat="1">
      <c r="A13" s="255">
        <v>632212000</v>
      </c>
      <c r="B13" s="255" t="s">
        <v>2090</v>
      </c>
      <c r="C13" s="257">
        <v>52</v>
      </c>
      <c r="D13" s="258" t="s">
        <v>2088</v>
      </c>
      <c r="E13" s="257">
        <v>632</v>
      </c>
      <c r="F13" s="271">
        <v>632212000</v>
      </c>
    </row>
    <row r="14" spans="1:6" s="278" customFormat="1">
      <c r="A14" s="254">
        <v>632310552</v>
      </c>
      <c r="B14" s="255" t="s">
        <v>1546</v>
      </c>
      <c r="C14" s="256">
        <v>552</v>
      </c>
      <c r="D14" s="259" t="s">
        <v>1538</v>
      </c>
      <c r="E14" s="256">
        <v>632</v>
      </c>
      <c r="F14" s="254">
        <v>632310552</v>
      </c>
    </row>
    <row r="15" spans="1:6" s="278" customFormat="1">
      <c r="A15" s="254">
        <v>632310559</v>
      </c>
      <c r="B15" s="255" t="s">
        <v>1547</v>
      </c>
      <c r="C15" s="256">
        <v>559</v>
      </c>
      <c r="D15" s="259" t="s">
        <v>1539</v>
      </c>
      <c r="E15" s="256">
        <v>632</v>
      </c>
      <c r="F15" s="254">
        <v>632310559</v>
      </c>
    </row>
    <row r="16" spans="1:6" s="278" customFormat="1">
      <c r="A16" s="254">
        <v>632310561</v>
      </c>
      <c r="B16" s="255" t="s">
        <v>2332</v>
      </c>
      <c r="C16" s="256">
        <v>561</v>
      </c>
      <c r="D16" s="259" t="s">
        <v>118</v>
      </c>
      <c r="E16" s="256">
        <v>561</v>
      </c>
      <c r="F16" s="254">
        <v>632310561</v>
      </c>
    </row>
    <row r="17" spans="1:6" s="278" customFormat="1">
      <c r="A17" s="254">
        <v>632310563</v>
      </c>
      <c r="B17" s="255" t="s">
        <v>2333</v>
      </c>
      <c r="C17" s="256">
        <v>563</v>
      </c>
      <c r="D17" s="259" t="s">
        <v>2331</v>
      </c>
      <c r="E17" s="256">
        <v>563</v>
      </c>
      <c r="F17" s="254">
        <v>632310563</v>
      </c>
    </row>
    <row r="18" spans="1:6" s="278" customFormat="1">
      <c r="A18" s="254">
        <v>632310573</v>
      </c>
      <c r="B18" s="255" t="s">
        <v>1548</v>
      </c>
      <c r="C18" s="256">
        <v>573</v>
      </c>
      <c r="D18" s="259" t="s">
        <v>1549</v>
      </c>
      <c r="E18" s="256">
        <v>632</v>
      </c>
      <c r="F18" s="254">
        <v>632310573</v>
      </c>
    </row>
    <row r="19" spans="1:6" s="278" customFormat="1">
      <c r="A19" s="254">
        <v>632310575</v>
      </c>
      <c r="B19" s="255" t="s">
        <v>1550</v>
      </c>
      <c r="C19" s="256">
        <v>575</v>
      </c>
      <c r="D19" s="259" t="s">
        <v>1551</v>
      </c>
      <c r="E19" s="256">
        <v>632</v>
      </c>
      <c r="F19" s="254">
        <v>632310575</v>
      </c>
    </row>
    <row r="20" spans="1:6" s="278" customFormat="1">
      <c r="A20" s="254">
        <v>632310576</v>
      </c>
      <c r="B20" s="255" t="s">
        <v>2127</v>
      </c>
      <c r="C20" s="256">
        <v>576</v>
      </c>
      <c r="D20" s="259" t="s">
        <v>2128</v>
      </c>
      <c r="E20" s="256">
        <v>632</v>
      </c>
      <c r="F20" s="254">
        <v>632310576</v>
      </c>
    </row>
    <row r="21" spans="1:6" s="278" customFormat="1">
      <c r="A21" s="255">
        <v>632311700</v>
      </c>
      <c r="B21" s="255" t="s">
        <v>23</v>
      </c>
      <c r="C21" s="257">
        <v>51</v>
      </c>
      <c r="D21" s="258" t="s">
        <v>2091</v>
      </c>
      <c r="E21" s="257">
        <v>632</v>
      </c>
      <c r="F21" s="271">
        <v>632311700</v>
      </c>
    </row>
    <row r="22" spans="1:6" s="278" customFormat="1">
      <c r="A22" s="255">
        <v>632311800</v>
      </c>
      <c r="B22" s="255" t="s">
        <v>247</v>
      </c>
      <c r="C22" s="257">
        <v>51</v>
      </c>
      <c r="D22" s="258" t="s">
        <v>2091</v>
      </c>
      <c r="E22" s="257">
        <v>632</v>
      </c>
      <c r="F22" s="271">
        <v>632311800</v>
      </c>
    </row>
    <row r="23" spans="1:6" s="278" customFormat="1">
      <c r="A23" s="254">
        <v>632410552</v>
      </c>
      <c r="B23" s="255" t="s">
        <v>1552</v>
      </c>
      <c r="C23" s="256">
        <v>552</v>
      </c>
      <c r="D23" s="259" t="s">
        <v>1538</v>
      </c>
      <c r="E23" s="256">
        <v>632</v>
      </c>
      <c r="F23" s="254">
        <v>632410552</v>
      </c>
    </row>
    <row r="24" spans="1:6" s="278" customFormat="1">
      <c r="A24" s="254">
        <v>632410559</v>
      </c>
      <c r="B24" s="255" t="s">
        <v>1553</v>
      </c>
      <c r="C24" s="256">
        <v>559</v>
      </c>
      <c r="D24" s="259" t="s">
        <v>1539</v>
      </c>
      <c r="E24" s="256">
        <v>632</v>
      </c>
      <c r="F24" s="254">
        <v>632410559</v>
      </c>
    </row>
    <row r="25" spans="1:6" s="278" customFormat="1">
      <c r="A25" s="254">
        <v>632410561</v>
      </c>
      <c r="B25" s="255" t="s">
        <v>2334</v>
      </c>
      <c r="C25" s="256">
        <v>561</v>
      </c>
      <c r="D25" s="259" t="s">
        <v>118</v>
      </c>
      <c r="E25" s="256">
        <v>561</v>
      </c>
      <c r="F25" s="254">
        <v>632410561</v>
      </c>
    </row>
    <row r="26" spans="1:6" s="278" customFormat="1">
      <c r="A26" s="254">
        <v>632410563</v>
      </c>
      <c r="B26" s="255" t="s">
        <v>2335</v>
      </c>
      <c r="C26" s="256">
        <v>563</v>
      </c>
      <c r="D26" s="259" t="s">
        <v>2331</v>
      </c>
      <c r="E26" s="256">
        <v>563</v>
      </c>
      <c r="F26" s="254">
        <v>632410563</v>
      </c>
    </row>
    <row r="27" spans="1:6" s="278" customFormat="1">
      <c r="A27" s="254">
        <v>632410573</v>
      </c>
      <c r="B27" s="255" t="s">
        <v>1554</v>
      </c>
      <c r="C27" s="256">
        <v>573</v>
      </c>
      <c r="D27" s="259" t="s">
        <v>1549</v>
      </c>
      <c r="E27" s="256">
        <v>632</v>
      </c>
      <c r="F27" s="254">
        <v>632410573</v>
      </c>
    </row>
    <row r="28" spans="1:6" s="278" customFormat="1">
      <c r="A28" s="254">
        <v>632410575</v>
      </c>
      <c r="B28" s="255" t="s">
        <v>1555</v>
      </c>
      <c r="C28" s="256">
        <v>575</v>
      </c>
      <c r="D28" s="259" t="s">
        <v>1551</v>
      </c>
      <c r="E28" s="256">
        <v>632</v>
      </c>
      <c r="F28" s="254">
        <v>632410575</v>
      </c>
    </row>
    <row r="29" spans="1:6" s="278" customFormat="1">
      <c r="A29" s="254">
        <v>632410576</v>
      </c>
      <c r="B29" s="255" t="s">
        <v>2129</v>
      </c>
      <c r="C29" s="256">
        <v>576</v>
      </c>
      <c r="D29" s="259" t="s">
        <v>2128</v>
      </c>
      <c r="E29" s="256">
        <v>632</v>
      </c>
      <c r="F29" s="254">
        <v>632410576</v>
      </c>
    </row>
    <row r="30" spans="1:6" s="278" customFormat="1">
      <c r="A30" s="255">
        <v>632411700</v>
      </c>
      <c r="B30" s="255" t="s">
        <v>24</v>
      </c>
      <c r="C30" s="260">
        <v>51</v>
      </c>
      <c r="D30" s="261" t="s">
        <v>2091</v>
      </c>
      <c r="E30" s="260">
        <v>632</v>
      </c>
      <c r="F30" s="271">
        <v>632411700</v>
      </c>
    </row>
    <row r="31" spans="1:6">
      <c r="A31" s="255">
        <v>634140000</v>
      </c>
      <c r="B31" s="255" t="s">
        <v>2322</v>
      </c>
      <c r="C31" s="260">
        <v>52</v>
      </c>
      <c r="D31" s="261" t="s">
        <v>2088</v>
      </c>
      <c r="E31" s="260">
        <v>634</v>
      </c>
      <c r="F31" s="271">
        <v>6341</v>
      </c>
    </row>
    <row r="32" spans="1:6">
      <c r="A32" s="255">
        <v>634150000</v>
      </c>
      <c r="B32" s="255" t="s">
        <v>2323</v>
      </c>
      <c r="C32" s="260">
        <v>52</v>
      </c>
      <c r="D32" s="261" t="s">
        <v>2088</v>
      </c>
      <c r="E32" s="260">
        <v>634</v>
      </c>
      <c r="F32" s="271">
        <v>6341</v>
      </c>
    </row>
    <row r="33" spans="1:6">
      <c r="A33" s="255">
        <v>634160000</v>
      </c>
      <c r="B33" s="255" t="s">
        <v>2324</v>
      </c>
      <c r="C33" s="260">
        <v>52</v>
      </c>
      <c r="D33" s="261" t="s">
        <v>2088</v>
      </c>
      <c r="E33" s="260">
        <v>634</v>
      </c>
      <c r="F33" s="271">
        <v>6341</v>
      </c>
    </row>
    <row r="34" spans="1:6">
      <c r="A34" s="255">
        <v>634240000</v>
      </c>
      <c r="B34" s="255" t="s">
        <v>2325</v>
      </c>
      <c r="C34" s="260">
        <v>52</v>
      </c>
      <c r="D34" s="261" t="s">
        <v>2088</v>
      </c>
      <c r="E34" s="260">
        <v>634</v>
      </c>
      <c r="F34" s="271">
        <v>6342</v>
      </c>
    </row>
    <row r="35" spans="1:6">
      <c r="A35" s="255">
        <v>634250000</v>
      </c>
      <c r="B35" s="255" t="s">
        <v>2326</v>
      </c>
      <c r="C35" s="260">
        <v>52</v>
      </c>
      <c r="D35" s="261" t="s">
        <v>2088</v>
      </c>
      <c r="E35" s="260">
        <v>634</v>
      </c>
      <c r="F35" s="271">
        <v>6342</v>
      </c>
    </row>
    <row r="36" spans="1:6">
      <c r="A36" s="255">
        <v>634260000</v>
      </c>
      <c r="B36" s="255" t="s">
        <v>2327</v>
      </c>
      <c r="C36" s="260">
        <v>52</v>
      </c>
      <c r="D36" s="261" t="s">
        <v>2088</v>
      </c>
      <c r="E36" s="260">
        <v>634</v>
      </c>
      <c r="F36" s="271">
        <v>6342</v>
      </c>
    </row>
    <row r="37" spans="1:6">
      <c r="A37" s="255">
        <v>636130000</v>
      </c>
      <c r="B37" s="255" t="s">
        <v>2092</v>
      </c>
      <c r="C37" s="260">
        <v>52</v>
      </c>
      <c r="D37" s="261" t="s">
        <v>2088</v>
      </c>
      <c r="E37" s="260">
        <v>636</v>
      </c>
      <c r="F37" s="271">
        <v>6361</v>
      </c>
    </row>
    <row r="38" spans="1:6">
      <c r="A38" s="255">
        <v>636230000</v>
      </c>
      <c r="B38" s="255" t="s">
        <v>2093</v>
      </c>
      <c r="C38" s="260">
        <v>52</v>
      </c>
      <c r="D38" s="261" t="s">
        <v>2088</v>
      </c>
      <c r="E38" s="260">
        <v>636</v>
      </c>
      <c r="F38" s="271">
        <v>6362</v>
      </c>
    </row>
    <row r="39" spans="1:6">
      <c r="A39" s="255">
        <v>638120000</v>
      </c>
      <c r="B39" s="255" t="s">
        <v>2094</v>
      </c>
      <c r="C39" s="260">
        <v>52</v>
      </c>
      <c r="D39" s="261" t="s">
        <v>2088</v>
      </c>
      <c r="E39" s="260">
        <v>638</v>
      </c>
      <c r="F39" s="271">
        <v>6381</v>
      </c>
    </row>
    <row r="40" spans="1:6">
      <c r="A40" s="255">
        <v>638130000</v>
      </c>
      <c r="B40" s="255" t="s">
        <v>2095</v>
      </c>
      <c r="C40" s="260">
        <v>52</v>
      </c>
      <c r="D40" s="261" t="s">
        <v>2088</v>
      </c>
      <c r="E40" s="260">
        <v>638</v>
      </c>
      <c r="F40" s="271">
        <v>6381</v>
      </c>
    </row>
    <row r="41" spans="1:6">
      <c r="A41" s="255">
        <v>638140000</v>
      </c>
      <c r="B41" s="255" t="s">
        <v>2096</v>
      </c>
      <c r="C41" s="260">
        <v>52</v>
      </c>
      <c r="D41" s="261" t="s">
        <v>2088</v>
      </c>
      <c r="E41" s="260">
        <v>638</v>
      </c>
      <c r="F41" s="271">
        <v>6381</v>
      </c>
    </row>
    <row r="42" spans="1:6">
      <c r="A42" s="255">
        <v>638220000</v>
      </c>
      <c r="B42" s="255" t="s">
        <v>2097</v>
      </c>
      <c r="C42" s="260">
        <v>52</v>
      </c>
      <c r="D42" s="261" t="s">
        <v>2088</v>
      </c>
      <c r="E42" s="260">
        <v>638</v>
      </c>
      <c r="F42" s="271">
        <v>6382</v>
      </c>
    </row>
    <row r="43" spans="1:6">
      <c r="A43" s="255">
        <v>638230000</v>
      </c>
      <c r="B43" s="255" t="s">
        <v>2098</v>
      </c>
      <c r="C43" s="260">
        <v>52</v>
      </c>
      <c r="D43" s="261" t="s">
        <v>2088</v>
      </c>
      <c r="E43" s="260">
        <v>638</v>
      </c>
      <c r="F43" s="271">
        <v>6382</v>
      </c>
    </row>
    <row r="44" spans="1:6">
      <c r="A44" s="255">
        <v>638240000</v>
      </c>
      <c r="B44" s="255" t="s">
        <v>2099</v>
      </c>
      <c r="C44" s="260">
        <v>52</v>
      </c>
      <c r="D44" s="261" t="s">
        <v>2088</v>
      </c>
      <c r="E44" s="260">
        <v>638</v>
      </c>
      <c r="F44" s="271">
        <v>6382</v>
      </c>
    </row>
    <row r="45" spans="1:6">
      <c r="A45" s="255">
        <v>639110000</v>
      </c>
      <c r="B45" s="255" t="s">
        <v>31</v>
      </c>
      <c r="C45" s="260">
        <v>52</v>
      </c>
      <c r="D45" s="261" t="s">
        <v>2088</v>
      </c>
      <c r="E45" s="260">
        <v>639</v>
      </c>
      <c r="F45" s="271">
        <v>6391</v>
      </c>
    </row>
    <row r="46" spans="1:6">
      <c r="A46" s="255">
        <v>639210000</v>
      </c>
      <c r="B46" s="255" t="s">
        <v>32</v>
      </c>
      <c r="C46" s="260">
        <v>52</v>
      </c>
      <c r="D46" s="261" t="s">
        <v>2088</v>
      </c>
      <c r="E46" s="260">
        <v>639</v>
      </c>
      <c r="F46" s="271">
        <v>6392</v>
      </c>
    </row>
    <row r="47" spans="1:6">
      <c r="A47" s="255">
        <v>639310000</v>
      </c>
      <c r="B47" s="255" t="s">
        <v>33</v>
      </c>
      <c r="C47" s="260">
        <v>52</v>
      </c>
      <c r="D47" s="261" t="s">
        <v>2088</v>
      </c>
      <c r="E47" s="260">
        <v>639</v>
      </c>
      <c r="F47" s="271">
        <v>6393</v>
      </c>
    </row>
    <row r="48" spans="1:6">
      <c r="A48" s="255">
        <v>639410000</v>
      </c>
      <c r="B48" s="255" t="s">
        <v>34</v>
      </c>
      <c r="C48" s="260">
        <v>52</v>
      </c>
      <c r="D48" s="261" t="s">
        <v>2088</v>
      </c>
      <c r="E48" s="260">
        <v>639</v>
      </c>
      <c r="F48" s="271">
        <v>6394</v>
      </c>
    </row>
    <row r="49" spans="1:6">
      <c r="A49" s="255">
        <v>641290031</v>
      </c>
      <c r="B49" s="255" t="s">
        <v>236</v>
      </c>
      <c r="C49" s="260">
        <v>31</v>
      </c>
      <c r="D49" s="261" t="s">
        <v>98</v>
      </c>
      <c r="E49" s="260">
        <v>641</v>
      </c>
      <c r="F49" s="254">
        <v>641290031</v>
      </c>
    </row>
    <row r="50" spans="1:6">
      <c r="A50" s="255">
        <v>641310031</v>
      </c>
      <c r="B50" s="255" t="s">
        <v>237</v>
      </c>
      <c r="C50" s="260">
        <v>31</v>
      </c>
      <c r="D50" s="261" t="s">
        <v>98</v>
      </c>
      <c r="E50" s="260">
        <v>641</v>
      </c>
      <c r="F50" s="254">
        <v>641310031</v>
      </c>
    </row>
    <row r="51" spans="1:6">
      <c r="A51" s="255">
        <v>641320031</v>
      </c>
      <c r="B51" s="255" t="s">
        <v>238</v>
      </c>
      <c r="C51" s="260">
        <v>31</v>
      </c>
      <c r="D51" s="261" t="s">
        <v>98</v>
      </c>
      <c r="E51" s="260">
        <v>641</v>
      </c>
      <c r="F51" s="272">
        <v>641320031</v>
      </c>
    </row>
    <row r="52" spans="1:6">
      <c r="A52" s="255">
        <v>641320043</v>
      </c>
      <c r="B52" s="255" t="s">
        <v>2100</v>
      </c>
      <c r="C52" s="260">
        <v>43</v>
      </c>
      <c r="D52" s="261" t="s">
        <v>103</v>
      </c>
      <c r="E52" s="260">
        <v>641</v>
      </c>
      <c r="F52" s="272">
        <v>641320043</v>
      </c>
    </row>
    <row r="53" spans="1:6">
      <c r="A53" s="255">
        <v>641510031</v>
      </c>
      <c r="B53" s="255" t="s">
        <v>2101</v>
      </c>
      <c r="C53" s="262">
        <v>31</v>
      </c>
      <c r="D53" s="263" t="s">
        <v>98</v>
      </c>
      <c r="E53" s="262">
        <v>641</v>
      </c>
      <c r="F53" s="254">
        <v>641510031</v>
      </c>
    </row>
    <row r="54" spans="1:6">
      <c r="A54" s="255">
        <v>641510043</v>
      </c>
      <c r="B54" s="255" t="s">
        <v>2102</v>
      </c>
      <c r="C54" s="262">
        <v>43</v>
      </c>
      <c r="D54" s="263" t="s">
        <v>103</v>
      </c>
      <c r="E54" s="262">
        <v>641</v>
      </c>
      <c r="F54" s="254">
        <v>641510043</v>
      </c>
    </row>
    <row r="55" spans="1:6">
      <c r="A55" s="255">
        <v>641630031</v>
      </c>
      <c r="B55" s="255" t="s">
        <v>239</v>
      </c>
      <c r="C55" s="262">
        <v>31</v>
      </c>
      <c r="D55" s="263" t="s">
        <v>98</v>
      </c>
      <c r="E55" s="262">
        <v>641</v>
      </c>
      <c r="F55" s="254">
        <v>641630031</v>
      </c>
    </row>
    <row r="56" spans="1:6">
      <c r="A56" s="255">
        <v>641720043</v>
      </c>
      <c r="B56" s="255" t="s">
        <v>242</v>
      </c>
      <c r="C56" s="262">
        <v>43</v>
      </c>
      <c r="D56" s="263" t="s">
        <v>103</v>
      </c>
      <c r="E56" s="262">
        <v>641</v>
      </c>
      <c r="F56" s="254">
        <v>641720043</v>
      </c>
    </row>
    <row r="57" spans="1:6">
      <c r="A57" s="254">
        <v>641770041</v>
      </c>
      <c r="B57" s="264" t="s">
        <v>1545</v>
      </c>
      <c r="C57" s="256">
        <v>41</v>
      </c>
      <c r="D57" s="259" t="s">
        <v>1537</v>
      </c>
      <c r="E57" s="256">
        <v>641</v>
      </c>
      <c r="F57" s="254">
        <v>641770041</v>
      </c>
    </row>
    <row r="58" spans="1:6">
      <c r="A58" s="255">
        <v>641990043</v>
      </c>
      <c r="B58" s="255" t="s">
        <v>2103</v>
      </c>
      <c r="C58" s="262">
        <v>43</v>
      </c>
      <c r="D58" s="263" t="s">
        <v>103</v>
      </c>
      <c r="E58" s="262">
        <v>641</v>
      </c>
      <c r="F58" s="254">
        <v>641990043</v>
      </c>
    </row>
    <row r="59" spans="1:6">
      <c r="A59" s="255">
        <v>642510031</v>
      </c>
      <c r="B59" s="255" t="s">
        <v>240</v>
      </c>
      <c r="C59" s="262">
        <v>31</v>
      </c>
      <c r="D59" s="263" t="s">
        <v>98</v>
      </c>
      <c r="E59" s="262">
        <v>642</v>
      </c>
      <c r="F59" s="254">
        <v>642510031</v>
      </c>
    </row>
    <row r="60" spans="1:6">
      <c r="A60" s="255">
        <v>642990031</v>
      </c>
      <c r="B60" s="255" t="s">
        <v>241</v>
      </c>
      <c r="C60" s="262">
        <v>31</v>
      </c>
      <c r="D60" s="263" t="s">
        <v>98</v>
      </c>
      <c r="E60" s="262">
        <v>642</v>
      </c>
      <c r="F60" s="254">
        <v>642990031</v>
      </c>
    </row>
    <row r="61" spans="1:6">
      <c r="A61" s="255">
        <v>651480000</v>
      </c>
      <c r="B61" s="255" t="s">
        <v>22</v>
      </c>
      <c r="C61" s="262">
        <v>43</v>
      </c>
      <c r="D61" s="263" t="s">
        <v>103</v>
      </c>
      <c r="E61" s="262">
        <v>651</v>
      </c>
      <c r="F61" s="254">
        <v>65148</v>
      </c>
    </row>
    <row r="62" spans="1:6">
      <c r="A62" s="255">
        <v>652180000</v>
      </c>
      <c r="B62" s="255" t="s">
        <v>2104</v>
      </c>
      <c r="C62" s="262">
        <v>43</v>
      </c>
      <c r="D62" s="263" t="s">
        <v>103</v>
      </c>
      <c r="E62" s="262">
        <v>652</v>
      </c>
      <c r="F62" s="254">
        <v>65218</v>
      </c>
    </row>
    <row r="63" spans="1:6">
      <c r="A63" s="255">
        <v>652640000</v>
      </c>
      <c r="B63" s="255" t="s">
        <v>243</v>
      </c>
      <c r="C63" s="262">
        <v>43</v>
      </c>
      <c r="D63" s="263" t="s">
        <v>103</v>
      </c>
      <c r="E63" s="262">
        <v>625</v>
      </c>
      <c r="F63" s="272">
        <v>65264</v>
      </c>
    </row>
    <row r="64" spans="1:6">
      <c r="A64" s="255">
        <v>652670043</v>
      </c>
      <c r="B64" s="255" t="s">
        <v>244</v>
      </c>
      <c r="C64" s="262">
        <v>43</v>
      </c>
      <c r="D64" s="263" t="s">
        <v>103</v>
      </c>
      <c r="E64" s="262">
        <v>652</v>
      </c>
      <c r="F64" s="254">
        <v>652670043</v>
      </c>
    </row>
    <row r="65" spans="1:6">
      <c r="A65" s="255">
        <v>652680000</v>
      </c>
      <c r="B65" s="255" t="s">
        <v>2105</v>
      </c>
      <c r="C65" s="262">
        <v>43</v>
      </c>
      <c r="D65" s="263" t="s">
        <v>103</v>
      </c>
      <c r="E65" s="262">
        <v>652</v>
      </c>
      <c r="F65" s="254">
        <v>65268</v>
      </c>
    </row>
    <row r="66" spans="1:6">
      <c r="A66" s="255">
        <v>661410000</v>
      </c>
      <c r="B66" s="255" t="s">
        <v>2328</v>
      </c>
      <c r="C66" s="262">
        <v>31</v>
      </c>
      <c r="D66" s="263" t="s">
        <v>98</v>
      </c>
      <c r="E66" s="262">
        <v>661</v>
      </c>
      <c r="F66" s="254">
        <v>6614</v>
      </c>
    </row>
    <row r="67" spans="1:6">
      <c r="A67" s="255">
        <v>661420000</v>
      </c>
      <c r="B67" s="255" t="s">
        <v>2329</v>
      </c>
      <c r="C67" s="262">
        <v>31</v>
      </c>
      <c r="D67" s="263" t="s">
        <v>98</v>
      </c>
      <c r="E67" s="262">
        <v>661</v>
      </c>
      <c r="F67" s="254">
        <v>6614</v>
      </c>
    </row>
    <row r="68" spans="1:6">
      <c r="A68" s="255">
        <v>661510000</v>
      </c>
      <c r="B68" s="255" t="s">
        <v>21</v>
      </c>
      <c r="C68" s="262">
        <v>31</v>
      </c>
      <c r="D68" s="263" t="s">
        <v>98</v>
      </c>
      <c r="E68" s="262">
        <v>661</v>
      </c>
      <c r="F68" s="254">
        <v>6615</v>
      </c>
    </row>
    <row r="69" spans="1:6">
      <c r="A69" s="255">
        <v>663110000</v>
      </c>
      <c r="B69" s="255" t="s">
        <v>35</v>
      </c>
      <c r="C69" s="262">
        <v>61</v>
      </c>
      <c r="D69" s="263" t="s">
        <v>2106</v>
      </c>
      <c r="E69" s="262">
        <v>663</v>
      </c>
      <c r="F69" s="254">
        <v>663110000</v>
      </c>
    </row>
    <row r="70" spans="1:6">
      <c r="A70" s="255">
        <v>663120000</v>
      </c>
      <c r="B70" s="255" t="s">
        <v>36</v>
      </c>
      <c r="C70" s="262">
        <v>61</v>
      </c>
      <c r="D70" s="263" t="s">
        <v>2106</v>
      </c>
      <c r="E70" s="262">
        <v>663</v>
      </c>
      <c r="F70" s="254">
        <v>663120000</v>
      </c>
    </row>
    <row r="71" spans="1:6">
      <c r="A71" s="255">
        <v>663130000</v>
      </c>
      <c r="B71" s="255" t="s">
        <v>37</v>
      </c>
      <c r="C71" s="262">
        <v>61</v>
      </c>
      <c r="D71" s="263" t="s">
        <v>2106</v>
      </c>
      <c r="E71" s="262">
        <v>663</v>
      </c>
      <c r="F71" s="254">
        <v>663130000</v>
      </c>
    </row>
    <row r="72" spans="1:6">
      <c r="A72" s="255">
        <v>663140000</v>
      </c>
      <c r="B72" s="255" t="s">
        <v>2107</v>
      </c>
      <c r="C72" s="262">
        <v>61</v>
      </c>
      <c r="D72" s="263" t="s">
        <v>2106</v>
      </c>
      <c r="E72" s="262">
        <v>663</v>
      </c>
      <c r="F72" s="272">
        <v>663140000</v>
      </c>
    </row>
    <row r="73" spans="1:6">
      <c r="A73" s="255">
        <v>663210000</v>
      </c>
      <c r="B73" s="255" t="s">
        <v>2108</v>
      </c>
      <c r="C73" s="262">
        <v>61</v>
      </c>
      <c r="D73" s="263" t="s">
        <v>2106</v>
      </c>
      <c r="E73" s="262">
        <v>663</v>
      </c>
      <c r="F73" s="254">
        <v>663210000</v>
      </c>
    </row>
    <row r="74" spans="1:6">
      <c r="A74" s="255">
        <v>663220000</v>
      </c>
      <c r="B74" s="255" t="s">
        <v>38</v>
      </c>
      <c r="C74" s="262">
        <v>61</v>
      </c>
      <c r="D74" s="263" t="s">
        <v>2106</v>
      </c>
      <c r="E74" s="262">
        <v>663</v>
      </c>
      <c r="F74" s="254">
        <v>663220000</v>
      </c>
    </row>
    <row r="75" spans="1:6">
      <c r="A75" s="255">
        <v>663230000</v>
      </c>
      <c r="B75" s="255" t="s">
        <v>39</v>
      </c>
      <c r="C75" s="262">
        <v>61</v>
      </c>
      <c r="D75" s="263" t="s">
        <v>2106</v>
      </c>
      <c r="E75" s="262">
        <v>663</v>
      </c>
      <c r="F75" s="254">
        <v>663230000</v>
      </c>
    </row>
    <row r="76" spans="1:6">
      <c r="A76" s="255">
        <v>663240000</v>
      </c>
      <c r="B76" s="255" t="s">
        <v>2109</v>
      </c>
      <c r="C76" s="262">
        <v>61</v>
      </c>
      <c r="D76" s="263" t="s">
        <v>2106</v>
      </c>
      <c r="E76" s="262">
        <v>663</v>
      </c>
      <c r="F76" s="254">
        <v>663240000</v>
      </c>
    </row>
    <row r="77" spans="1:6">
      <c r="A77" s="255">
        <v>681910043</v>
      </c>
      <c r="B77" s="255" t="s">
        <v>245</v>
      </c>
      <c r="C77" s="262">
        <v>43</v>
      </c>
      <c r="D77" s="263" t="s">
        <v>103</v>
      </c>
      <c r="E77" s="262">
        <v>681</v>
      </c>
      <c r="F77" s="273">
        <v>681910043</v>
      </c>
    </row>
    <row r="78" spans="1:6">
      <c r="A78" s="255">
        <v>683110031</v>
      </c>
      <c r="B78" s="255" t="s">
        <v>2110</v>
      </c>
      <c r="C78" s="262">
        <v>31</v>
      </c>
      <c r="D78" s="263" t="s">
        <v>98</v>
      </c>
      <c r="E78" s="262">
        <v>683</v>
      </c>
      <c r="F78" s="273">
        <v>683110031</v>
      </c>
    </row>
    <row r="79" spans="1:6">
      <c r="A79" s="255">
        <v>683110043</v>
      </c>
      <c r="B79" s="255" t="s">
        <v>246</v>
      </c>
      <c r="C79" s="262">
        <v>43</v>
      </c>
      <c r="D79" s="263" t="s">
        <v>103</v>
      </c>
      <c r="E79" s="262">
        <v>683</v>
      </c>
      <c r="F79" s="274">
        <v>683110043</v>
      </c>
    </row>
    <row r="80" spans="1:6">
      <c r="A80" s="255">
        <v>711110071</v>
      </c>
      <c r="B80" s="255" t="s">
        <v>2111</v>
      </c>
      <c r="C80" s="262">
        <v>71</v>
      </c>
      <c r="D80" s="263" t="s">
        <v>2112</v>
      </c>
      <c r="E80" s="262">
        <v>711</v>
      </c>
      <c r="F80" s="275">
        <v>711110071</v>
      </c>
    </row>
    <row r="81" spans="1:6">
      <c r="A81" s="255">
        <v>711120071</v>
      </c>
      <c r="B81" s="255" t="s">
        <v>2113</v>
      </c>
      <c r="C81" s="262">
        <v>71</v>
      </c>
      <c r="D81" s="263" t="s">
        <v>2112</v>
      </c>
      <c r="E81" s="262">
        <v>711</v>
      </c>
      <c r="F81" s="275">
        <v>711120071</v>
      </c>
    </row>
    <row r="82" spans="1:6">
      <c r="A82" s="255">
        <v>712410071</v>
      </c>
      <c r="B82" s="255" t="s">
        <v>248</v>
      </c>
      <c r="C82" s="262">
        <v>71</v>
      </c>
      <c r="D82" s="263" t="s">
        <v>2112</v>
      </c>
      <c r="E82" s="262">
        <v>712</v>
      </c>
      <c r="F82" s="276">
        <v>712410071</v>
      </c>
    </row>
    <row r="83" spans="1:6">
      <c r="A83" s="255">
        <v>712490071</v>
      </c>
      <c r="B83" s="255" t="s">
        <v>249</v>
      </c>
      <c r="C83" s="262">
        <v>71</v>
      </c>
      <c r="D83" s="263" t="s">
        <v>2112</v>
      </c>
      <c r="E83" s="262">
        <v>712</v>
      </c>
      <c r="F83" s="276">
        <v>712490071</v>
      </c>
    </row>
    <row r="84" spans="1:6">
      <c r="A84" s="255">
        <v>721110071</v>
      </c>
      <c r="B84" s="255" t="s">
        <v>250</v>
      </c>
      <c r="C84" s="262">
        <v>71</v>
      </c>
      <c r="D84" s="263" t="s">
        <v>2112</v>
      </c>
      <c r="E84" s="262">
        <v>721</v>
      </c>
      <c r="F84" s="254">
        <v>721110071</v>
      </c>
    </row>
    <row r="85" spans="1:6">
      <c r="A85" s="255">
        <v>721190071</v>
      </c>
      <c r="B85" s="255" t="s">
        <v>251</v>
      </c>
      <c r="C85" s="262">
        <v>71</v>
      </c>
      <c r="D85" s="263" t="s">
        <v>2112</v>
      </c>
      <c r="E85" s="262">
        <v>721</v>
      </c>
      <c r="F85" s="272">
        <v>721190071</v>
      </c>
    </row>
    <row r="86" spans="1:6">
      <c r="A86" s="255">
        <v>721230071</v>
      </c>
      <c r="B86" s="255" t="s">
        <v>252</v>
      </c>
      <c r="C86" s="262">
        <v>71</v>
      </c>
      <c r="D86" s="263" t="s">
        <v>2112</v>
      </c>
      <c r="E86" s="262">
        <v>721</v>
      </c>
      <c r="F86" s="276">
        <v>721230071</v>
      </c>
    </row>
    <row r="87" spans="1:6">
      <c r="A87" s="255">
        <v>721290071</v>
      </c>
      <c r="B87" s="255" t="s">
        <v>253</v>
      </c>
      <c r="C87" s="262">
        <v>71</v>
      </c>
      <c r="D87" s="263" t="s">
        <v>2112</v>
      </c>
      <c r="E87" s="262">
        <v>721</v>
      </c>
      <c r="F87" s="276">
        <v>721290071</v>
      </c>
    </row>
    <row r="88" spans="1:6">
      <c r="A88" s="255">
        <v>722110071</v>
      </c>
      <c r="B88" s="255" t="s">
        <v>254</v>
      </c>
      <c r="C88" s="262">
        <v>71</v>
      </c>
      <c r="D88" s="263" t="s">
        <v>2112</v>
      </c>
      <c r="E88" s="262">
        <v>722</v>
      </c>
      <c r="F88" s="274">
        <v>722110071</v>
      </c>
    </row>
    <row r="89" spans="1:6">
      <c r="A89" s="255">
        <v>722120071</v>
      </c>
      <c r="B89" s="255" t="s">
        <v>2114</v>
      </c>
      <c r="C89" s="262">
        <v>71</v>
      </c>
      <c r="D89" s="263" t="s">
        <v>2112</v>
      </c>
      <c r="E89" s="262">
        <v>722</v>
      </c>
      <c r="F89" s="276">
        <v>722120071</v>
      </c>
    </row>
    <row r="90" spans="1:6">
      <c r="A90" s="255">
        <v>722190071</v>
      </c>
      <c r="B90" s="255" t="s">
        <v>255</v>
      </c>
      <c r="C90" s="262">
        <v>71</v>
      </c>
      <c r="D90" s="263" t="s">
        <v>2112</v>
      </c>
      <c r="E90" s="262">
        <v>722</v>
      </c>
      <c r="F90" s="276">
        <v>722190071</v>
      </c>
    </row>
    <row r="91" spans="1:6">
      <c r="A91" s="255">
        <v>722620071</v>
      </c>
      <c r="B91" s="255" t="s">
        <v>256</v>
      </c>
      <c r="C91" s="262">
        <v>71</v>
      </c>
      <c r="D91" s="263" t="s">
        <v>2112</v>
      </c>
      <c r="E91" s="262">
        <v>722</v>
      </c>
      <c r="F91" s="254">
        <v>722620071</v>
      </c>
    </row>
    <row r="92" spans="1:6">
      <c r="A92" s="255">
        <v>722730071</v>
      </c>
      <c r="B92" s="255" t="s">
        <v>257</v>
      </c>
      <c r="C92" s="262">
        <v>71</v>
      </c>
      <c r="D92" s="263" t="s">
        <v>2112</v>
      </c>
      <c r="E92" s="262">
        <v>722</v>
      </c>
      <c r="F92" s="254">
        <v>722730071</v>
      </c>
    </row>
    <row r="93" spans="1:6">
      <c r="A93" s="255">
        <v>723110071</v>
      </c>
      <c r="B93" s="255" t="s">
        <v>258</v>
      </c>
      <c r="C93" s="262">
        <v>71</v>
      </c>
      <c r="D93" s="263" t="s">
        <v>2112</v>
      </c>
      <c r="E93" s="262">
        <v>723</v>
      </c>
      <c r="F93" s="274">
        <v>723110071</v>
      </c>
    </row>
    <row r="94" spans="1:6">
      <c r="A94" s="255">
        <v>723130071</v>
      </c>
      <c r="B94" s="255" t="s">
        <v>2115</v>
      </c>
      <c r="C94" s="262">
        <v>71</v>
      </c>
      <c r="D94" s="263" t="s">
        <v>2112</v>
      </c>
      <c r="E94" s="262">
        <v>723</v>
      </c>
      <c r="F94" s="274">
        <v>723130071</v>
      </c>
    </row>
    <row r="95" spans="1:6">
      <c r="A95" s="255">
        <v>723140071</v>
      </c>
      <c r="B95" s="255" t="s">
        <v>2116</v>
      </c>
      <c r="C95" s="262">
        <v>71</v>
      </c>
      <c r="D95" s="263" t="s">
        <v>2112</v>
      </c>
      <c r="E95" s="262">
        <v>723</v>
      </c>
      <c r="F95" s="274">
        <v>723140071</v>
      </c>
    </row>
    <row r="96" spans="1:6">
      <c r="A96" s="255">
        <v>723150071</v>
      </c>
      <c r="B96" s="255" t="s">
        <v>2117</v>
      </c>
      <c r="C96" s="262">
        <v>71</v>
      </c>
      <c r="D96" s="263" t="s">
        <v>2112</v>
      </c>
      <c r="E96" s="262">
        <v>723</v>
      </c>
      <c r="F96" s="274">
        <v>723150071</v>
      </c>
    </row>
    <row r="97" spans="1:6">
      <c r="A97" s="255">
        <v>723160071</v>
      </c>
      <c r="B97" s="255" t="s">
        <v>2118</v>
      </c>
      <c r="C97" s="262">
        <v>71</v>
      </c>
      <c r="D97" s="263" t="s">
        <v>2112</v>
      </c>
      <c r="E97" s="262">
        <v>723</v>
      </c>
      <c r="F97" s="274">
        <v>723160071</v>
      </c>
    </row>
    <row r="98" spans="1:6">
      <c r="A98" s="255">
        <v>723310071</v>
      </c>
      <c r="B98" s="255" t="s">
        <v>2119</v>
      </c>
      <c r="C98" s="262">
        <v>71</v>
      </c>
      <c r="D98" s="263" t="s">
        <v>2112</v>
      </c>
      <c r="E98" s="262">
        <v>723</v>
      </c>
      <c r="F98" s="274">
        <v>723310071</v>
      </c>
    </row>
    <row r="99" spans="1:6">
      <c r="A99" s="255">
        <v>725210071</v>
      </c>
      <c r="B99" s="255" t="s">
        <v>259</v>
      </c>
      <c r="C99" s="262">
        <v>71</v>
      </c>
      <c r="D99" s="263" t="s">
        <v>2112</v>
      </c>
      <c r="E99" s="262">
        <v>725</v>
      </c>
      <c r="F99" s="274">
        <v>725210071</v>
      </c>
    </row>
    <row r="100" spans="1:6">
      <c r="A100" s="255">
        <v>812150000</v>
      </c>
      <c r="B100" s="255" t="s">
        <v>2120</v>
      </c>
      <c r="C100" s="262">
        <v>81</v>
      </c>
      <c r="D100" s="263" t="s">
        <v>2121</v>
      </c>
      <c r="E100" s="262">
        <v>812</v>
      </c>
      <c r="F100" s="274">
        <v>812150000</v>
      </c>
    </row>
    <row r="101" spans="1:6">
      <c r="A101" s="255">
        <v>818120043</v>
      </c>
      <c r="B101" s="255" t="s">
        <v>1556</v>
      </c>
      <c r="C101" s="262">
        <v>43</v>
      </c>
      <c r="D101" s="263" t="s">
        <v>103</v>
      </c>
      <c r="E101" s="262">
        <v>818</v>
      </c>
      <c r="F101" s="274">
        <v>818120043</v>
      </c>
    </row>
    <row r="102" spans="1:6">
      <c r="A102" s="255">
        <v>832120043</v>
      </c>
      <c r="B102" s="255" t="s">
        <v>1557</v>
      </c>
      <c r="C102" s="262">
        <v>43</v>
      </c>
      <c r="D102" s="263" t="s">
        <v>103</v>
      </c>
      <c r="E102" s="262">
        <v>832</v>
      </c>
      <c r="F102" s="274">
        <v>832120043</v>
      </c>
    </row>
    <row r="103" spans="1:6">
      <c r="A103" s="255">
        <v>833130043</v>
      </c>
      <c r="B103" s="255" t="s">
        <v>2122</v>
      </c>
      <c r="C103" s="262">
        <v>43</v>
      </c>
      <c r="D103" s="263" t="s">
        <v>103</v>
      </c>
      <c r="E103" s="262">
        <v>833</v>
      </c>
      <c r="F103" s="274">
        <v>833130043</v>
      </c>
    </row>
    <row r="104" spans="1:6">
      <c r="A104" s="255">
        <v>841320133</v>
      </c>
      <c r="B104" s="255" t="s">
        <v>1558</v>
      </c>
      <c r="C104" s="262">
        <v>83</v>
      </c>
      <c r="D104" s="263" t="s">
        <v>1540</v>
      </c>
      <c r="E104" s="262">
        <v>841</v>
      </c>
      <c r="F104" s="274">
        <v>841320133</v>
      </c>
    </row>
    <row r="105" spans="1:6">
      <c r="A105" s="255">
        <v>841320135</v>
      </c>
      <c r="B105" s="255" t="s">
        <v>1559</v>
      </c>
      <c r="C105" s="262">
        <v>83</v>
      </c>
      <c r="D105" s="263" t="s">
        <v>1540</v>
      </c>
      <c r="E105" s="262">
        <v>841</v>
      </c>
      <c r="F105" s="274">
        <v>841320135</v>
      </c>
    </row>
    <row r="106" spans="1:6">
      <c r="A106" s="255">
        <v>842220081</v>
      </c>
      <c r="B106" s="255" t="s">
        <v>2123</v>
      </c>
      <c r="C106" s="262">
        <v>81</v>
      </c>
      <c r="D106" s="263" t="s">
        <v>2121</v>
      </c>
      <c r="E106" s="262">
        <v>842</v>
      </c>
      <c r="F106" s="274">
        <v>842220081</v>
      </c>
    </row>
    <row r="107" spans="1:6">
      <c r="A107" s="265"/>
      <c r="B107" s="265"/>
      <c r="C107" s="266"/>
      <c r="D107" s="267"/>
      <c r="E107" s="266"/>
    </row>
    <row r="111" spans="1:6">
      <c r="A111" s="270"/>
      <c r="B111" s="270"/>
      <c r="C111" s="270"/>
      <c r="D111" s="270"/>
      <c r="E111" s="270"/>
      <c r="F111" s="270"/>
    </row>
    <row r="112" spans="1:6">
      <c r="A112" s="270"/>
      <c r="B112" s="270"/>
      <c r="C112" s="270"/>
      <c r="D112" s="270"/>
      <c r="E112" s="270"/>
      <c r="F112" s="270"/>
    </row>
    <row r="113" spans="1:6">
      <c r="A113" s="270"/>
      <c r="B113" s="270"/>
      <c r="C113" s="270"/>
      <c r="D113" s="270"/>
      <c r="E113" s="270"/>
      <c r="F113" s="270"/>
    </row>
    <row r="114" spans="1:6">
      <c r="A114" s="270"/>
      <c r="B114" s="270"/>
      <c r="C114" s="270"/>
      <c r="D114" s="270"/>
      <c r="E114" s="270"/>
      <c r="F114" s="270"/>
    </row>
    <row r="115" spans="1:6">
      <c r="A115" s="270"/>
      <c r="B115" s="270"/>
      <c r="C115" s="270"/>
      <c r="D115" s="270"/>
      <c r="E115" s="270"/>
      <c r="F115" s="270"/>
    </row>
    <row r="116" spans="1:6">
      <c r="A116" s="270"/>
      <c r="B116" s="270"/>
      <c r="C116" s="270"/>
      <c r="D116" s="270"/>
      <c r="E116" s="270"/>
      <c r="F116" s="270"/>
    </row>
    <row r="117" spans="1:6">
      <c r="A117" s="270"/>
      <c r="B117" s="270"/>
      <c r="C117" s="270"/>
      <c r="D117" s="270"/>
      <c r="E117" s="270"/>
      <c r="F117" s="270"/>
    </row>
    <row r="118" spans="1:6">
      <c r="A118" s="270"/>
      <c r="B118" s="270"/>
      <c r="C118" s="270"/>
      <c r="D118" s="270"/>
      <c r="E118" s="270"/>
      <c r="F118" s="270"/>
    </row>
    <row r="119" spans="1:6">
      <c r="A119" s="270"/>
      <c r="B119" s="270"/>
      <c r="C119" s="270"/>
      <c r="D119" s="270"/>
      <c r="E119" s="270"/>
      <c r="F119" s="270"/>
    </row>
    <row r="120" spans="1:6">
      <c r="A120" s="270"/>
      <c r="B120" s="270"/>
      <c r="C120" s="270"/>
      <c r="D120" s="270"/>
      <c r="E120" s="270"/>
      <c r="F120" s="270"/>
    </row>
    <row r="121" spans="1:6">
      <c r="A121" s="270"/>
      <c r="B121" s="270"/>
      <c r="C121" s="270"/>
      <c r="D121" s="270"/>
      <c r="E121" s="270"/>
      <c r="F121" s="270"/>
    </row>
    <row r="122" spans="1:6">
      <c r="A122" s="270"/>
      <c r="B122" s="270"/>
      <c r="C122" s="270"/>
      <c r="D122" s="270"/>
      <c r="E122" s="270"/>
      <c r="F122" s="270"/>
    </row>
    <row r="123" spans="1:6">
      <c r="A123" s="270"/>
      <c r="B123" s="270"/>
      <c r="C123" s="270"/>
      <c r="D123" s="270"/>
      <c r="E123" s="270"/>
      <c r="F123" s="27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U508"/>
  <sheetViews>
    <sheetView showGridLines="0" zoomScaleNormal="100" workbookViewId="0">
      <pane ySplit="2" topLeftCell="A3" activePane="bottomLeft" state="frozen"/>
      <selection pane="bottomLeft" activeCell="H23" sqref="H23"/>
    </sheetView>
  </sheetViews>
  <sheetFormatPr defaultColWidth="9.140625" defaultRowHeight="15" zeroHeight="1"/>
  <cols>
    <col min="1" max="1" width="7.85546875" bestFit="1" customWidth="1"/>
    <col min="2" max="2" width="33.7109375" customWidth="1"/>
    <col min="3" max="3" width="7" bestFit="1" customWidth="1"/>
    <col min="4" max="4" width="19" customWidth="1"/>
    <col min="5" max="5" width="13.140625" customWidth="1"/>
    <col min="6" max="6" width="46" customWidth="1"/>
    <col min="7" max="7" width="16.42578125" style="7" customWidth="1"/>
    <col min="8" max="8" width="17" style="7" customWidth="1"/>
    <col min="9" max="9" width="16.42578125" style="7" customWidth="1"/>
    <col min="10" max="10" width="9.140625" customWidth="1"/>
    <col min="11" max="13" width="9.140625" hidden="1" customWidth="1"/>
    <col min="14" max="14" width="26.42578125" hidden="1" customWidth="1"/>
    <col min="15" max="16" width="9.140625" hidden="1" customWidth="1"/>
    <col min="17" max="17" width="12.28515625" hidden="1" customWidth="1"/>
    <col min="18" max="18" width="23.7109375" hidden="1" customWidth="1"/>
    <col min="19" max="19" width="9.140625" hidden="1" customWidth="1"/>
    <col min="20" max="20" width="14.28515625" hidden="1" customWidth="1"/>
    <col min="21" max="21" width="9.140625" hidden="1" customWidth="1"/>
    <col min="22" max="22" width="0" hidden="1" customWidth="1"/>
  </cols>
  <sheetData>
    <row r="1" spans="1:21" ht="37.5" customHeight="1">
      <c r="A1" s="296" t="s">
        <v>758</v>
      </c>
      <c r="B1" s="296"/>
      <c r="C1" s="296"/>
      <c r="D1" s="296"/>
      <c r="E1" s="190" t="str">
        <f>IF('Opći dio'!C3="odaberite -","Molimo odaberite proračunskog korisnika na radnom listu Opći podaci!","")</f>
        <v/>
      </c>
    </row>
    <row r="2" spans="1:21" ht="36" customHeight="1">
      <c r="A2" s="67" t="s">
        <v>43</v>
      </c>
      <c r="B2" s="67" t="s">
        <v>44</v>
      </c>
      <c r="C2" s="67" t="s">
        <v>45</v>
      </c>
      <c r="D2" s="67" t="s">
        <v>46</v>
      </c>
      <c r="E2" s="148" t="s">
        <v>784</v>
      </c>
      <c r="F2" s="67" t="s">
        <v>785</v>
      </c>
      <c r="G2" s="192" t="s">
        <v>2141</v>
      </c>
      <c r="H2" s="192" t="s">
        <v>2142</v>
      </c>
      <c r="I2" s="192" t="s">
        <v>2143</v>
      </c>
      <c r="K2" s="144" t="s">
        <v>759</v>
      </c>
      <c r="L2" s="144" t="s">
        <v>760</v>
      </c>
      <c r="Q2" s="61" t="s">
        <v>776</v>
      </c>
    </row>
    <row r="3" spans="1:21">
      <c r="A3" s="139" t="str">
        <f>IF(E3="","",VLOOKUP('Opći dio'!$C$3,'Opći dio'!$L$6:$U$136,10,FALSE))</f>
        <v>08006</v>
      </c>
      <c r="B3" s="139" t="str">
        <f>IF(E3="","",VLOOKUP('Opći dio'!$C$3,'Opći dio'!$L$6:$U$136,9,FALSE))</f>
        <v>Sveučilišta i veleučilišta u Republici Hrvatskoj</v>
      </c>
      <c r="C3" s="187">
        <f t="shared" ref="C3" si="0">IFERROR(VLOOKUP(E3,$Q$6:$T$200,3,FALSE),"")</f>
        <v>11</v>
      </c>
      <c r="D3" s="138" t="str">
        <f t="shared" ref="D3" si="1">IFERROR(VLOOKUP(E3,$Q$6:$T$200,4,FALSE),"")</f>
        <v>Opći prihodi i primici</v>
      </c>
      <c r="E3" s="150" t="s">
        <v>776</v>
      </c>
      <c r="F3" s="191" t="str">
        <f t="shared" ref="F3" si="2">IFERROR(VLOOKUP(E3,$Q$6:$T$200,2,FALSE),"")</f>
        <v>Prihodi iz nadležnog proračuna za financiranje redovne djelatnosti proračunskih korisnika</v>
      </c>
      <c r="G3" s="185">
        <v>21221050</v>
      </c>
      <c r="H3" s="185">
        <v>21899110</v>
      </c>
      <c r="I3" s="185">
        <v>22008450</v>
      </c>
      <c r="K3" s="141" t="str">
        <f>LEFT(E3,3)</f>
        <v>671</v>
      </c>
      <c r="L3" s="141" t="str">
        <f>LEFT(E3,2)</f>
        <v>67</v>
      </c>
      <c r="M3" t="s">
        <v>370</v>
      </c>
      <c r="Q3" s="61" t="s">
        <v>777</v>
      </c>
    </row>
    <row r="4" spans="1:21">
      <c r="A4" s="139" t="str">
        <f>IF(E4="","",VLOOKUP('Opći dio'!$C$3,'Opći dio'!$L$6:$U$136,10,FALSE))</f>
        <v>08006</v>
      </c>
      <c r="B4" s="139" t="str">
        <f>IF(E4="","",VLOOKUP('Opći dio'!$C$3,'Opći dio'!$L$6:$U$136,9,FALSE))</f>
        <v>Sveučilišta i veleučilišta u Republici Hrvatskoj</v>
      </c>
      <c r="C4" s="187">
        <f t="shared" ref="C4:C67" si="3">IFERROR(VLOOKUP(E4,$Q$6:$T$200,3,FALSE),"")</f>
        <v>52</v>
      </c>
      <c r="D4" s="138" t="str">
        <f t="shared" ref="D4:D67" si="4">IFERROR(VLOOKUP(E4,$Q$6:$T$200,4,FALSE),"")</f>
        <v xml:space="preserve">Ostale pomoći i darovnice </v>
      </c>
      <c r="E4" s="150">
        <v>639310000</v>
      </c>
      <c r="F4" s="191" t="str">
        <f t="shared" ref="F4:F67" si="5">IFERROR(VLOOKUP(E4,$Q$6:$T$200,2,FALSE),"")</f>
        <v>Tekući prijenosi između proračunskih korisnika istog proračuna temeljem prijenosa EU sredstava</v>
      </c>
      <c r="G4" s="185">
        <v>88394</v>
      </c>
      <c r="H4" s="185">
        <v>58939</v>
      </c>
      <c r="I4" s="185">
        <v>0</v>
      </c>
      <c r="K4" s="141" t="str">
        <f t="shared" ref="K4:K67" si="6">LEFT(E4,3)</f>
        <v>639</v>
      </c>
      <c r="L4" s="141" t="str">
        <f t="shared" ref="L4:L67" si="7">LEFT(E4,2)</f>
        <v>63</v>
      </c>
    </row>
    <row r="5" spans="1:21">
      <c r="A5" s="139" t="str">
        <f>IF(E5="","",VLOOKUP('Opći dio'!$C$3,'Opći dio'!$L$6:$U$136,10,FALSE))</f>
        <v>08006</v>
      </c>
      <c r="B5" s="139" t="str">
        <f>IF(E5="","",VLOOKUP('Opći dio'!$C$3,'Opći dio'!$L$6:$U$136,9,FALSE))</f>
        <v>Sveučilišta i veleučilišta u Republici Hrvatskoj</v>
      </c>
      <c r="C5" s="187">
        <f t="shared" si="3"/>
        <v>51</v>
      </c>
      <c r="D5" s="138" t="str">
        <f t="shared" si="4"/>
        <v xml:space="preserve">Pomoći EU </v>
      </c>
      <c r="E5" s="150">
        <v>632311700</v>
      </c>
      <c r="F5" s="191" t="str">
        <f t="shared" si="5"/>
        <v>Tekuće pomoći od institucija i tijela EU - ostalo</v>
      </c>
      <c r="G5" s="185">
        <v>184500</v>
      </c>
      <c r="H5" s="185">
        <v>0</v>
      </c>
      <c r="I5" s="185">
        <v>0</v>
      </c>
      <c r="K5" s="141" t="str">
        <f t="shared" si="6"/>
        <v>632</v>
      </c>
      <c r="L5" s="141" t="str">
        <f t="shared" si="7"/>
        <v>63</v>
      </c>
      <c r="M5" s="141" t="s">
        <v>45</v>
      </c>
      <c r="N5" s="141" t="s">
        <v>46</v>
      </c>
      <c r="Q5" s="68" t="s">
        <v>761</v>
      </c>
      <c r="R5" s="67" t="s">
        <v>778</v>
      </c>
      <c r="S5" s="67" t="s">
        <v>779</v>
      </c>
      <c r="T5" s="67" t="s">
        <v>46</v>
      </c>
      <c r="U5" s="149" t="s">
        <v>780</v>
      </c>
    </row>
    <row r="6" spans="1:21">
      <c r="A6" s="139" t="str">
        <f>IF(E6="","",VLOOKUP('Opći dio'!$C$3,'Opći dio'!$L$6:$U$136,10,FALSE))</f>
        <v>08006</v>
      </c>
      <c r="B6" s="139" t="str">
        <f>IF(E6="","",VLOOKUP('Opći dio'!$C$3,'Opći dio'!$L$6:$U$136,9,FALSE))</f>
        <v>Sveučilišta i veleučilišta u Republici Hrvatskoj</v>
      </c>
      <c r="C6" s="187">
        <f t="shared" si="3"/>
        <v>51</v>
      </c>
      <c r="D6" s="138" t="str">
        <f t="shared" si="4"/>
        <v xml:space="preserve">Pomoći EU </v>
      </c>
      <c r="E6" s="150">
        <v>632311700</v>
      </c>
      <c r="F6" s="191" t="str">
        <f t="shared" si="5"/>
        <v>Tekuće pomoći od institucija i tijela EU - ostalo</v>
      </c>
      <c r="G6" s="185">
        <v>828750</v>
      </c>
      <c r="H6" s="185">
        <v>0</v>
      </c>
      <c r="I6" s="185">
        <v>0</v>
      </c>
      <c r="K6" s="141" t="str">
        <f t="shared" si="6"/>
        <v>632</v>
      </c>
      <c r="L6" s="141" t="str">
        <f t="shared" si="7"/>
        <v>63</v>
      </c>
      <c r="M6" s="141">
        <v>11</v>
      </c>
      <c r="N6" s="141" t="s">
        <v>53</v>
      </c>
      <c r="Q6" s="6" t="s">
        <v>776</v>
      </c>
      <c r="R6" s="6" t="s">
        <v>260</v>
      </c>
      <c r="S6" s="6">
        <v>11</v>
      </c>
      <c r="T6" s="6" t="s">
        <v>53</v>
      </c>
      <c r="U6">
        <v>671</v>
      </c>
    </row>
    <row r="7" spans="1:21">
      <c r="A7" s="139" t="str">
        <f>IF(E7="","",VLOOKUP('Opći dio'!$C$3,'Opći dio'!$L$6:$U$136,10,FALSE))</f>
        <v>08006</v>
      </c>
      <c r="B7" s="139" t="str">
        <f>IF(E7="","",VLOOKUP('Opći dio'!$C$3,'Opći dio'!$L$6:$U$136,9,FALSE))</f>
        <v>Sveučilišta i veleučilišta u Republici Hrvatskoj</v>
      </c>
      <c r="C7" s="187">
        <f t="shared" si="3"/>
        <v>51</v>
      </c>
      <c r="D7" s="138" t="str">
        <f t="shared" si="4"/>
        <v xml:space="preserve">Pomoći EU </v>
      </c>
      <c r="E7" s="150">
        <v>632311700</v>
      </c>
      <c r="F7" s="191" t="str">
        <f t="shared" si="5"/>
        <v>Tekuće pomoći od institucija i tijela EU - ostalo</v>
      </c>
      <c r="G7" s="185">
        <v>456525</v>
      </c>
      <c r="H7" s="185">
        <v>456525</v>
      </c>
      <c r="I7" s="185">
        <v>192885</v>
      </c>
      <c r="K7" s="141" t="str">
        <f t="shared" si="6"/>
        <v>632</v>
      </c>
      <c r="L7" s="141" t="str">
        <f t="shared" si="7"/>
        <v>63</v>
      </c>
      <c r="M7" s="141">
        <v>12</v>
      </c>
      <c r="N7" s="141" t="s">
        <v>263</v>
      </c>
      <c r="Q7" s="6" t="s">
        <v>777</v>
      </c>
      <c r="R7" s="6" t="s">
        <v>260</v>
      </c>
      <c r="S7" s="6">
        <v>12</v>
      </c>
      <c r="T7" s="6" t="s">
        <v>263</v>
      </c>
      <c r="U7">
        <v>671</v>
      </c>
    </row>
    <row r="8" spans="1:21">
      <c r="A8" s="139" t="str">
        <f>IF(E8="","",VLOOKUP('Opći dio'!$C$3,'Opći dio'!$L$6:$U$136,10,FALSE))</f>
        <v>08006</v>
      </c>
      <c r="B8" s="139" t="str">
        <f>IF(E8="","",VLOOKUP('Opći dio'!$C$3,'Opći dio'!$L$6:$U$136,9,FALSE))</f>
        <v>Sveučilišta i veleučilišta u Republici Hrvatskoj</v>
      </c>
      <c r="C8" s="187">
        <f t="shared" si="3"/>
        <v>51</v>
      </c>
      <c r="D8" s="138" t="str">
        <f t="shared" si="4"/>
        <v xml:space="preserve">Pomoći EU </v>
      </c>
      <c r="E8" s="150">
        <v>632311700</v>
      </c>
      <c r="F8" s="191" t="str">
        <f t="shared" si="5"/>
        <v>Tekuće pomoći od institucija i tijela EU - ostalo</v>
      </c>
      <c r="G8" s="185">
        <v>716250</v>
      </c>
      <c r="H8" s="185">
        <v>716250</v>
      </c>
      <c r="I8" s="185">
        <v>0</v>
      </c>
      <c r="K8" s="141" t="str">
        <f t="shared" si="6"/>
        <v>632</v>
      </c>
      <c r="L8" s="141" t="str">
        <f t="shared" si="7"/>
        <v>63</v>
      </c>
      <c r="M8" s="141">
        <v>31</v>
      </c>
      <c r="N8" s="141" t="s">
        <v>98</v>
      </c>
      <c r="Q8" s="6">
        <v>614810041</v>
      </c>
      <c r="R8" s="6" t="s">
        <v>1541</v>
      </c>
      <c r="S8" s="6">
        <v>41</v>
      </c>
      <c r="T8" s="6" t="s">
        <v>1537</v>
      </c>
      <c r="U8">
        <v>614</v>
      </c>
    </row>
    <row r="9" spans="1:21">
      <c r="A9" s="139" t="str">
        <f>IF(E9="","",VLOOKUP('Opći dio'!$C$3,'Opći dio'!$L$6:$U$136,10,FALSE))</f>
        <v>08006</v>
      </c>
      <c r="B9" s="139" t="str">
        <f>IF(E9="","",VLOOKUP('Opći dio'!$C$3,'Opći dio'!$L$6:$U$136,9,FALSE))</f>
        <v>Sveučilišta i veleučilišta u Republici Hrvatskoj</v>
      </c>
      <c r="C9" s="187">
        <f t="shared" si="3"/>
        <v>61</v>
      </c>
      <c r="D9" s="138" t="str">
        <f t="shared" si="4"/>
        <v xml:space="preserve">Donacije </v>
      </c>
      <c r="E9" s="150">
        <v>663130000</v>
      </c>
      <c r="F9" s="191" t="str">
        <f t="shared" si="5"/>
        <v>Tekuće donacije od trgovačkih društava</v>
      </c>
      <c r="G9" s="185">
        <v>40000</v>
      </c>
      <c r="H9" s="185">
        <v>40000</v>
      </c>
      <c r="I9" s="185">
        <v>30000</v>
      </c>
      <c r="K9" s="141" t="str">
        <f t="shared" si="6"/>
        <v>663</v>
      </c>
      <c r="L9" s="141" t="str">
        <f t="shared" si="7"/>
        <v>66</v>
      </c>
      <c r="M9">
        <v>41</v>
      </c>
      <c r="N9" t="s">
        <v>1537</v>
      </c>
      <c r="Q9" s="6">
        <v>614820041</v>
      </c>
      <c r="R9" s="6" t="s">
        <v>1542</v>
      </c>
      <c r="S9" s="6">
        <v>41</v>
      </c>
      <c r="T9" s="6" t="s">
        <v>1537</v>
      </c>
      <c r="U9">
        <v>614</v>
      </c>
    </row>
    <row r="10" spans="1:21">
      <c r="A10" s="139" t="str">
        <f>IF(E10="","",VLOOKUP('Opći dio'!$C$3,'Opći dio'!$L$6:$U$136,10,FALSE))</f>
        <v>08006</v>
      </c>
      <c r="B10" s="139" t="str">
        <f>IF(E10="","",VLOOKUP('Opći dio'!$C$3,'Opći dio'!$L$6:$U$136,9,FALSE))</f>
        <v>Sveučilišta i veleučilišta u Republici Hrvatskoj</v>
      </c>
      <c r="C10" s="187">
        <f t="shared" si="3"/>
        <v>52</v>
      </c>
      <c r="D10" s="138" t="str">
        <f t="shared" si="4"/>
        <v xml:space="preserve">Ostale pomoći i darovnice </v>
      </c>
      <c r="E10" s="150">
        <v>639310000</v>
      </c>
      <c r="F10" s="191" t="str">
        <f t="shared" si="5"/>
        <v>Tekući prijenosi između proračunskih korisnika istog proračuna temeljem prijenosa EU sredstava</v>
      </c>
      <c r="G10" s="185">
        <v>200000</v>
      </c>
      <c r="H10" s="185">
        <v>200000</v>
      </c>
      <c r="I10" s="185">
        <v>0</v>
      </c>
      <c r="K10" s="141" t="str">
        <f t="shared" si="6"/>
        <v>639</v>
      </c>
      <c r="L10" s="141" t="str">
        <f t="shared" si="7"/>
        <v>63</v>
      </c>
      <c r="M10" s="141">
        <v>43</v>
      </c>
      <c r="N10" s="141" t="s">
        <v>103</v>
      </c>
      <c r="Q10" s="6">
        <v>614830041</v>
      </c>
      <c r="R10" s="6" t="s">
        <v>1543</v>
      </c>
      <c r="S10" s="6">
        <v>41</v>
      </c>
      <c r="T10" s="6" t="s">
        <v>1537</v>
      </c>
      <c r="U10">
        <v>614</v>
      </c>
    </row>
    <row r="11" spans="1:21">
      <c r="A11" s="139" t="str">
        <f>IF(E11="","",VLOOKUP('Opći dio'!$C$3,'Opći dio'!$L$6:$U$136,10,FALSE))</f>
        <v>08006</v>
      </c>
      <c r="B11" s="139" t="str">
        <f>IF(E11="","",VLOOKUP('Opći dio'!$C$3,'Opći dio'!$L$6:$U$136,9,FALSE))</f>
        <v>Sveučilišta i veleučilišta u Republici Hrvatskoj</v>
      </c>
      <c r="C11" s="187">
        <f t="shared" si="3"/>
        <v>43</v>
      </c>
      <c r="D11" s="138" t="str">
        <f t="shared" si="4"/>
        <v>Ostali prihodi za posebne namjene</v>
      </c>
      <c r="E11" s="150">
        <v>652680000</v>
      </c>
      <c r="F11" s="191" t="str">
        <f t="shared" si="5"/>
        <v xml:space="preserve">Ostali prihodi za posebne namjene </v>
      </c>
      <c r="G11" s="185">
        <v>431500</v>
      </c>
      <c r="H11" s="185">
        <v>439000</v>
      </c>
      <c r="I11" s="185">
        <v>437500</v>
      </c>
      <c r="K11" s="141" t="str">
        <f t="shared" si="6"/>
        <v>652</v>
      </c>
      <c r="L11" s="141" t="str">
        <f t="shared" si="7"/>
        <v>65</v>
      </c>
      <c r="M11" s="141">
        <v>51</v>
      </c>
      <c r="N11" s="141" t="s">
        <v>93</v>
      </c>
      <c r="Q11" s="6">
        <v>614840041</v>
      </c>
      <c r="R11" s="6" t="s">
        <v>1544</v>
      </c>
      <c r="S11" s="6">
        <v>41</v>
      </c>
      <c r="T11" s="6" t="s">
        <v>1537</v>
      </c>
      <c r="U11">
        <v>614</v>
      </c>
    </row>
    <row r="12" spans="1:21">
      <c r="A12" s="139" t="str">
        <f>IF(E12="","",VLOOKUP('Opći dio'!$C$3,'Opći dio'!$L$6:$U$136,10,FALSE))</f>
        <v>08006</v>
      </c>
      <c r="B12" s="139" t="str">
        <f>IF(E12="","",VLOOKUP('Opći dio'!$C$3,'Opći dio'!$L$6:$U$136,9,FALSE))</f>
        <v>Sveučilišta i veleučilišta u Republici Hrvatskoj</v>
      </c>
      <c r="C12" s="187">
        <f t="shared" si="3"/>
        <v>43</v>
      </c>
      <c r="D12" s="138" t="str">
        <f t="shared" si="4"/>
        <v>Ostali prihodi za posebne namjene</v>
      </c>
      <c r="E12" s="150">
        <v>683110043</v>
      </c>
      <c r="F12" s="191" t="str">
        <f t="shared" si="5"/>
        <v>Ostali prihodi izvor 43</v>
      </c>
      <c r="G12" s="185">
        <v>242000</v>
      </c>
      <c r="H12" s="185">
        <v>245000</v>
      </c>
      <c r="I12" s="185">
        <v>245000</v>
      </c>
      <c r="K12" s="141" t="str">
        <f t="shared" si="6"/>
        <v>683</v>
      </c>
      <c r="L12" s="141" t="str">
        <f t="shared" si="7"/>
        <v>68</v>
      </c>
      <c r="M12" s="141">
        <v>52</v>
      </c>
      <c r="N12" s="141" t="s">
        <v>116</v>
      </c>
      <c r="Q12" s="6">
        <v>631110000</v>
      </c>
      <c r="R12" s="6" t="s">
        <v>25</v>
      </c>
      <c r="S12" s="6">
        <v>52</v>
      </c>
      <c r="T12" s="6" t="s">
        <v>2088</v>
      </c>
      <c r="U12">
        <v>631</v>
      </c>
    </row>
    <row r="13" spans="1:21">
      <c r="A13" s="139" t="str">
        <f>IF(E13="","",VLOOKUP('Opći dio'!$C$3,'Opći dio'!$L$6:$U$136,10,FALSE))</f>
        <v>08006</v>
      </c>
      <c r="B13" s="139" t="str">
        <f>IF(E13="","",VLOOKUP('Opći dio'!$C$3,'Opći dio'!$L$6:$U$136,9,FALSE))</f>
        <v>Sveučilišta i veleučilišta u Republici Hrvatskoj</v>
      </c>
      <c r="C13" s="187">
        <f t="shared" si="3"/>
        <v>561</v>
      </c>
      <c r="D13" s="138" t="str">
        <f t="shared" si="4"/>
        <v>Europski socijalni fond (ESF)</v>
      </c>
      <c r="E13" s="150">
        <v>632310561</v>
      </c>
      <c r="F13" s="191" t="str">
        <f t="shared" si="5"/>
        <v>Europski socijalni fond (ESF)</v>
      </c>
      <c r="G13" s="185">
        <v>1675728</v>
      </c>
      <c r="H13" s="185">
        <v>494041</v>
      </c>
      <c r="I13" s="185">
        <v>192653</v>
      </c>
      <c r="K13" s="141" t="str">
        <f t="shared" si="6"/>
        <v>632</v>
      </c>
      <c r="L13" s="141" t="str">
        <f t="shared" si="7"/>
        <v>63</v>
      </c>
      <c r="M13">
        <v>552</v>
      </c>
      <c r="N13" t="s">
        <v>1538</v>
      </c>
      <c r="Q13" s="6">
        <v>631120000</v>
      </c>
      <c r="R13" s="6" t="s">
        <v>26</v>
      </c>
      <c r="S13" s="6">
        <v>52</v>
      </c>
      <c r="T13" s="6" t="s">
        <v>2088</v>
      </c>
      <c r="U13">
        <v>631</v>
      </c>
    </row>
    <row r="14" spans="1:21">
      <c r="A14" s="139" t="str">
        <f>IF(E14="","",VLOOKUP('Opći dio'!$C$3,'Opći dio'!$L$6:$U$136,10,FALSE))</f>
        <v>08006</v>
      </c>
      <c r="B14" s="139" t="str">
        <f>IF(E14="","",VLOOKUP('Opći dio'!$C$3,'Opći dio'!$L$6:$U$136,9,FALSE))</f>
        <v>Sveučilišta i veleučilišta u Republici Hrvatskoj</v>
      </c>
      <c r="C14" s="187">
        <f t="shared" si="3"/>
        <v>43</v>
      </c>
      <c r="D14" s="138" t="str">
        <f t="shared" si="4"/>
        <v>Ostali prihodi za posebne namjene</v>
      </c>
      <c r="E14" s="150">
        <v>652640000</v>
      </c>
      <c r="F14" s="191" t="str">
        <f t="shared" si="5"/>
        <v>Sufinanciranje cijene usluge, participacije i slično</v>
      </c>
      <c r="G14" s="185">
        <v>6400000</v>
      </c>
      <c r="H14" s="185">
        <v>6500000</v>
      </c>
      <c r="I14" s="185">
        <v>6600000</v>
      </c>
      <c r="K14" s="141" t="str">
        <f t="shared" si="6"/>
        <v>652</v>
      </c>
      <c r="L14" s="141" t="str">
        <f t="shared" si="7"/>
        <v>65</v>
      </c>
      <c r="M14">
        <v>559</v>
      </c>
      <c r="N14" t="s">
        <v>1539</v>
      </c>
      <c r="Q14" s="6">
        <v>631210000</v>
      </c>
      <c r="R14" s="6" t="s">
        <v>27</v>
      </c>
      <c r="S14" s="6">
        <v>52</v>
      </c>
      <c r="T14" s="6" t="s">
        <v>2088</v>
      </c>
      <c r="U14">
        <v>631</v>
      </c>
    </row>
    <row r="15" spans="1:21">
      <c r="A15" s="139" t="str">
        <f>IF(E15="","",VLOOKUP('Opći dio'!$C$3,'Opći dio'!$L$6:$U$136,10,FALSE))</f>
        <v>08006</v>
      </c>
      <c r="B15" s="139" t="str">
        <f>IF(E15="","",VLOOKUP('Opći dio'!$C$3,'Opći dio'!$L$6:$U$136,9,FALSE))</f>
        <v>Sveučilišta i veleučilišta u Republici Hrvatskoj</v>
      </c>
      <c r="C15" s="187">
        <f t="shared" si="3"/>
        <v>61</v>
      </c>
      <c r="D15" s="138" t="str">
        <f t="shared" si="4"/>
        <v xml:space="preserve">Donacije </v>
      </c>
      <c r="E15" s="150">
        <v>663120000</v>
      </c>
      <c r="F15" s="191" t="str">
        <f t="shared" si="5"/>
        <v>Tekuće donacije od neprofitnih organizacija</v>
      </c>
      <c r="G15" s="185">
        <v>90000</v>
      </c>
      <c r="H15" s="185">
        <v>136000</v>
      </c>
      <c r="I15" s="185">
        <v>0</v>
      </c>
      <c r="K15" s="141" t="str">
        <f t="shared" si="6"/>
        <v>663</v>
      </c>
      <c r="L15" s="141" t="str">
        <f t="shared" si="7"/>
        <v>66</v>
      </c>
      <c r="M15" s="141">
        <v>561</v>
      </c>
      <c r="N15" s="141" t="s">
        <v>118</v>
      </c>
      <c r="Q15" s="6">
        <v>631220000</v>
      </c>
      <c r="R15" s="6" t="s">
        <v>28</v>
      </c>
      <c r="S15" s="6">
        <v>52</v>
      </c>
      <c r="T15" s="6" t="s">
        <v>2088</v>
      </c>
      <c r="U15">
        <v>631</v>
      </c>
    </row>
    <row r="16" spans="1:21">
      <c r="A16" s="139" t="str">
        <f>IF(E16="","",VLOOKUP('Opći dio'!$C$3,'Opći dio'!$L$6:$U$136,10,FALSE))</f>
        <v>08006</v>
      </c>
      <c r="B16" s="139" t="str">
        <f>IF(E16="","",VLOOKUP('Opći dio'!$C$3,'Opći dio'!$L$6:$U$136,9,FALSE))</f>
        <v>Sveučilišta i veleučilišta u Republici Hrvatskoj</v>
      </c>
      <c r="C16" s="187">
        <f t="shared" si="3"/>
        <v>31</v>
      </c>
      <c r="D16" s="138" t="str">
        <f t="shared" si="4"/>
        <v>Vlastiti prihodi</v>
      </c>
      <c r="E16" s="150">
        <v>6615</v>
      </c>
      <c r="F16" s="191" t="str">
        <f t="shared" si="5"/>
        <v>Prihodi od pruženih usluga</v>
      </c>
      <c r="G16" s="185">
        <v>3500000</v>
      </c>
      <c r="H16" s="185">
        <v>4700000</v>
      </c>
      <c r="I16" s="185">
        <v>4900000</v>
      </c>
      <c r="K16" s="141" t="str">
        <f t="shared" si="6"/>
        <v>661</v>
      </c>
      <c r="L16" s="141" t="str">
        <f t="shared" si="7"/>
        <v>66</v>
      </c>
      <c r="M16" s="141">
        <v>563</v>
      </c>
      <c r="N16" s="141" t="s">
        <v>120</v>
      </c>
      <c r="Q16" s="6">
        <v>632112000</v>
      </c>
      <c r="R16" s="6" t="s">
        <v>2089</v>
      </c>
      <c r="S16" s="6">
        <v>52</v>
      </c>
      <c r="T16" s="6" t="s">
        <v>2088</v>
      </c>
      <c r="U16">
        <v>632</v>
      </c>
    </row>
    <row r="17" spans="1:21">
      <c r="A17" s="139" t="str">
        <f>IF(E17="","",VLOOKUP('Opći dio'!$C$3,'Opći dio'!$L$6:$U$136,10,FALSE))</f>
        <v>08006</v>
      </c>
      <c r="B17" s="139" t="str">
        <f>IF(E17="","",VLOOKUP('Opći dio'!$C$3,'Opći dio'!$L$6:$U$136,9,FALSE))</f>
        <v>Sveučilišta i veleučilišta u Republici Hrvatskoj</v>
      </c>
      <c r="C17" s="187">
        <f t="shared" si="3"/>
        <v>11</v>
      </c>
      <c r="D17" s="138" t="str">
        <f t="shared" si="4"/>
        <v>Opći prihodi i primici</v>
      </c>
      <c r="E17" s="150" t="s">
        <v>776</v>
      </c>
      <c r="F17" s="191" t="str">
        <f t="shared" si="5"/>
        <v>Prihodi iz nadležnog proračuna za financiranje redovne djelatnosti proračunskih korisnika</v>
      </c>
      <c r="G17" s="185">
        <v>3262580</v>
      </c>
      <c r="H17" s="185">
        <v>3262580</v>
      </c>
      <c r="I17" s="185">
        <v>3262580</v>
      </c>
      <c r="K17" s="141" t="str">
        <f t="shared" si="6"/>
        <v>671</v>
      </c>
      <c r="L17" s="141" t="str">
        <f t="shared" si="7"/>
        <v>67</v>
      </c>
      <c r="M17" s="141">
        <v>573</v>
      </c>
      <c r="N17" t="s">
        <v>1549</v>
      </c>
      <c r="Q17" s="6">
        <v>632212000</v>
      </c>
      <c r="R17" s="6" t="s">
        <v>2090</v>
      </c>
      <c r="S17" s="6">
        <v>52</v>
      </c>
      <c r="T17" s="6" t="s">
        <v>2088</v>
      </c>
      <c r="U17">
        <v>632</v>
      </c>
    </row>
    <row r="18" spans="1:21">
      <c r="A18" s="139" t="str">
        <f>IF(E18="","",VLOOKUP('Opći dio'!$C$3,'Opći dio'!$L$6:$U$136,10,FALSE))</f>
        <v>08006</v>
      </c>
      <c r="B18" s="139" t="str">
        <f>IF(E18="","",VLOOKUP('Opći dio'!$C$3,'Opći dio'!$L$6:$U$136,9,FALSE))</f>
        <v>Sveučilišta i veleučilišta u Republici Hrvatskoj</v>
      </c>
      <c r="C18" s="187">
        <f t="shared" si="3"/>
        <v>52</v>
      </c>
      <c r="D18" s="138" t="str">
        <f t="shared" si="4"/>
        <v xml:space="preserve">Ostale pomoći i darovnice </v>
      </c>
      <c r="E18" s="150">
        <v>639110000</v>
      </c>
      <c r="F18" s="191" t="str">
        <f t="shared" si="5"/>
        <v>Tekući prijenosi između proračunskih korisnika istog proračuna</v>
      </c>
      <c r="G18" s="185">
        <v>86750</v>
      </c>
      <c r="H18" s="185">
        <v>0</v>
      </c>
      <c r="I18" s="185">
        <v>0</v>
      </c>
      <c r="K18" s="141" t="str">
        <f t="shared" si="6"/>
        <v>639</v>
      </c>
      <c r="L18" s="141" t="str">
        <f t="shared" si="7"/>
        <v>63</v>
      </c>
      <c r="M18">
        <v>575</v>
      </c>
      <c r="N18" t="s">
        <v>1551</v>
      </c>
      <c r="Q18" s="6">
        <v>632310552</v>
      </c>
      <c r="R18" s="6" t="s">
        <v>1546</v>
      </c>
      <c r="S18" s="6">
        <v>552</v>
      </c>
      <c r="T18" s="6" t="s">
        <v>1538</v>
      </c>
      <c r="U18">
        <v>632</v>
      </c>
    </row>
    <row r="19" spans="1:21">
      <c r="A19" s="139" t="str">
        <f>IF(E19="","",VLOOKUP('Opći dio'!$C$3,'Opći dio'!$L$6:$U$136,10,FALSE))</f>
        <v>08006</v>
      </c>
      <c r="B19" s="139" t="str">
        <f>IF(E19="","",VLOOKUP('Opći dio'!$C$3,'Opći dio'!$L$6:$U$136,9,FALSE))</f>
        <v>Sveučilišta i veleučilišta u Republici Hrvatskoj</v>
      </c>
      <c r="C19" s="187">
        <f t="shared" si="3"/>
        <v>31</v>
      </c>
      <c r="D19" s="138" t="str">
        <f t="shared" si="4"/>
        <v>Vlastiti prihodi</v>
      </c>
      <c r="E19" s="150">
        <v>641310031</v>
      </c>
      <c r="F19" s="191" t="str">
        <f t="shared" si="5"/>
        <v>Kamate na oročena sredstva izvor 31</v>
      </c>
      <c r="G19" s="185">
        <v>35000</v>
      </c>
      <c r="H19" s="185">
        <v>35000</v>
      </c>
      <c r="I19" s="185">
        <v>35000</v>
      </c>
      <c r="K19" s="141" t="str">
        <f t="shared" si="6"/>
        <v>641</v>
      </c>
      <c r="L19" s="141" t="str">
        <f t="shared" si="7"/>
        <v>64</v>
      </c>
      <c r="M19" s="223">
        <v>576</v>
      </c>
      <c r="N19" s="224" t="s">
        <v>2126</v>
      </c>
      <c r="Q19" s="6">
        <v>632310559</v>
      </c>
      <c r="R19" s="6" t="s">
        <v>1547</v>
      </c>
      <c r="S19" s="6">
        <v>559</v>
      </c>
      <c r="T19" s="6" t="s">
        <v>1539</v>
      </c>
      <c r="U19">
        <v>632</v>
      </c>
    </row>
    <row r="20" spans="1:21">
      <c r="A20" s="139" t="str">
        <f>IF(E20="","",VLOOKUP('Opći dio'!$C$3,'Opći dio'!$L$6:$U$136,10,FALSE))</f>
        <v/>
      </c>
      <c r="B20" s="139" t="str">
        <f>IF(E20="","",VLOOKUP('Opći dio'!$C$3,'Opći dio'!$L$6:$U$136,9,FALSE))</f>
        <v/>
      </c>
      <c r="C20" s="187" t="str">
        <f t="shared" si="3"/>
        <v/>
      </c>
      <c r="D20" s="138" t="str">
        <f t="shared" si="4"/>
        <v/>
      </c>
      <c r="E20" s="150"/>
      <c r="F20" s="191" t="str">
        <f t="shared" si="5"/>
        <v/>
      </c>
      <c r="G20" s="185"/>
      <c r="H20" s="185"/>
      <c r="I20" s="185"/>
      <c r="K20" s="141" t="str">
        <f t="shared" si="6"/>
        <v/>
      </c>
      <c r="L20" s="141" t="str">
        <f t="shared" si="7"/>
        <v/>
      </c>
      <c r="M20" s="141">
        <v>61</v>
      </c>
      <c r="N20" s="141" t="s">
        <v>122</v>
      </c>
      <c r="Q20" s="6">
        <v>632310573</v>
      </c>
      <c r="R20" s="6" t="s">
        <v>1548</v>
      </c>
      <c r="S20" s="6">
        <v>573</v>
      </c>
      <c r="T20" s="6" t="s">
        <v>1549</v>
      </c>
      <c r="U20">
        <v>632</v>
      </c>
    </row>
    <row r="21" spans="1:21">
      <c r="A21" s="139" t="str">
        <f>IF(E21="","",VLOOKUP('Opći dio'!$C$3,'Opći dio'!$L$6:$U$136,10,FALSE))</f>
        <v/>
      </c>
      <c r="B21" s="139" t="str">
        <f>IF(E21="","",VLOOKUP('Opći dio'!$C$3,'Opći dio'!$L$6:$U$136,9,FALSE))</f>
        <v/>
      </c>
      <c r="C21" s="187" t="str">
        <f t="shared" si="3"/>
        <v/>
      </c>
      <c r="D21" s="138" t="str">
        <f t="shared" si="4"/>
        <v/>
      </c>
      <c r="E21" s="150"/>
      <c r="F21" s="191" t="str">
        <f t="shared" si="5"/>
        <v/>
      </c>
      <c r="G21" s="185"/>
      <c r="H21" s="185"/>
      <c r="I21" s="185"/>
      <c r="K21" s="141" t="str">
        <f t="shared" si="6"/>
        <v/>
      </c>
      <c r="L21" s="141" t="str">
        <f t="shared" si="7"/>
        <v/>
      </c>
      <c r="M21" s="141">
        <v>71</v>
      </c>
      <c r="N21" s="141" t="s">
        <v>180</v>
      </c>
      <c r="Q21" s="6">
        <v>632310575</v>
      </c>
      <c r="R21" s="6" t="s">
        <v>1550</v>
      </c>
      <c r="S21" s="6">
        <v>575</v>
      </c>
      <c r="T21" s="6" t="s">
        <v>1551</v>
      </c>
      <c r="U21">
        <v>632</v>
      </c>
    </row>
    <row r="22" spans="1:21">
      <c r="A22" s="139" t="str">
        <f>IF(E22="","",VLOOKUP('Opći dio'!$C$3,'Opći dio'!$L$6:$U$136,10,FALSE))</f>
        <v/>
      </c>
      <c r="B22" s="139" t="str">
        <f>IF(E22="","",VLOOKUP('Opći dio'!$C$3,'Opći dio'!$L$6:$U$136,9,FALSE))</f>
        <v/>
      </c>
      <c r="C22" s="187" t="str">
        <f t="shared" si="3"/>
        <v/>
      </c>
      <c r="D22" s="138" t="str">
        <f t="shared" si="4"/>
        <v/>
      </c>
      <c r="E22" s="150"/>
      <c r="F22" s="191" t="str">
        <f t="shared" si="5"/>
        <v/>
      </c>
      <c r="G22" s="185"/>
      <c r="H22" s="185"/>
      <c r="I22" s="185"/>
      <c r="K22" s="141" t="str">
        <f t="shared" si="6"/>
        <v/>
      </c>
      <c r="L22" s="141" t="str">
        <f t="shared" si="7"/>
        <v/>
      </c>
      <c r="M22" s="141">
        <v>81</v>
      </c>
      <c r="N22" s="141" t="s">
        <v>63</v>
      </c>
      <c r="Q22" s="6">
        <v>632310576</v>
      </c>
      <c r="R22" s="6" t="s">
        <v>2127</v>
      </c>
      <c r="S22" s="6">
        <v>576</v>
      </c>
      <c r="T22" s="6" t="s">
        <v>2128</v>
      </c>
      <c r="U22">
        <v>632</v>
      </c>
    </row>
    <row r="23" spans="1:21">
      <c r="A23" s="139" t="str">
        <f>IF(E23="","",VLOOKUP('Opći dio'!$C$3,'Opći dio'!$L$6:$U$136,10,FALSE))</f>
        <v/>
      </c>
      <c r="B23" s="139" t="str">
        <f>IF(E23="","",VLOOKUP('Opći dio'!$C$3,'Opći dio'!$L$6:$U$136,9,FALSE))</f>
        <v/>
      </c>
      <c r="C23" s="187" t="str">
        <f t="shared" si="3"/>
        <v/>
      </c>
      <c r="D23" s="138" t="str">
        <f t="shared" si="4"/>
        <v/>
      </c>
      <c r="E23" s="150"/>
      <c r="F23" s="191" t="str">
        <f t="shared" si="5"/>
        <v/>
      </c>
      <c r="G23" s="185"/>
      <c r="H23" s="185"/>
      <c r="I23" s="185"/>
      <c r="K23" s="141" t="str">
        <f t="shared" si="6"/>
        <v/>
      </c>
      <c r="L23" s="141" t="str">
        <f t="shared" si="7"/>
        <v/>
      </c>
      <c r="M23">
        <v>83</v>
      </c>
      <c r="N23" t="s">
        <v>1540</v>
      </c>
      <c r="Q23" s="6">
        <v>632311700</v>
      </c>
      <c r="R23" s="6" t="s">
        <v>23</v>
      </c>
      <c r="S23" s="6">
        <v>51</v>
      </c>
      <c r="T23" s="6" t="s">
        <v>2091</v>
      </c>
      <c r="U23">
        <v>632</v>
      </c>
    </row>
    <row r="24" spans="1:21">
      <c r="A24" s="139" t="str">
        <f>IF(E24="","",VLOOKUP('Opći dio'!$C$3,'Opći dio'!$L$6:$U$136,10,FALSE))</f>
        <v/>
      </c>
      <c r="B24" s="139" t="str">
        <f>IF(E24="","",VLOOKUP('Opći dio'!$C$3,'Opći dio'!$L$6:$U$136,9,FALSE))</f>
        <v/>
      </c>
      <c r="C24" s="187" t="str">
        <f t="shared" si="3"/>
        <v/>
      </c>
      <c r="D24" s="138" t="str">
        <f t="shared" si="4"/>
        <v/>
      </c>
      <c r="E24" s="150"/>
      <c r="F24" s="191" t="str">
        <f t="shared" si="5"/>
        <v/>
      </c>
      <c r="G24" s="185"/>
      <c r="H24" s="185"/>
      <c r="I24" s="185"/>
      <c r="K24" s="141" t="str">
        <f t="shared" si="6"/>
        <v/>
      </c>
      <c r="L24" s="141" t="str">
        <f t="shared" si="7"/>
        <v/>
      </c>
      <c r="Q24" s="6">
        <v>632311800</v>
      </c>
      <c r="R24" s="6" t="s">
        <v>247</v>
      </c>
      <c r="S24" s="6">
        <v>51</v>
      </c>
      <c r="T24" s="6" t="s">
        <v>2091</v>
      </c>
      <c r="U24">
        <v>632</v>
      </c>
    </row>
    <row r="25" spans="1:21">
      <c r="A25" s="139" t="str">
        <f>IF(E25="","",VLOOKUP('Opći dio'!$C$3,'Opći dio'!$L$6:$U$136,10,FALSE))</f>
        <v/>
      </c>
      <c r="B25" s="139" t="str">
        <f>IF(E25="","",VLOOKUP('Opći dio'!$C$3,'Opći dio'!$L$6:$U$136,9,FALSE))</f>
        <v/>
      </c>
      <c r="C25" s="187" t="str">
        <f t="shared" si="3"/>
        <v/>
      </c>
      <c r="D25" s="138" t="str">
        <f t="shared" si="4"/>
        <v/>
      </c>
      <c r="E25" s="150"/>
      <c r="F25" s="191" t="str">
        <f t="shared" si="5"/>
        <v/>
      </c>
      <c r="G25" s="185"/>
      <c r="H25" s="185"/>
      <c r="I25" s="185"/>
      <c r="K25" s="141" t="str">
        <f t="shared" si="6"/>
        <v/>
      </c>
      <c r="L25" s="141" t="str">
        <f t="shared" si="7"/>
        <v/>
      </c>
      <c r="Q25" s="6">
        <v>632410552</v>
      </c>
      <c r="R25" s="6" t="s">
        <v>1552</v>
      </c>
      <c r="S25" s="6">
        <v>552</v>
      </c>
      <c r="T25" s="6" t="s">
        <v>1538</v>
      </c>
      <c r="U25">
        <v>632</v>
      </c>
    </row>
    <row r="26" spans="1:21">
      <c r="A26" s="139" t="str">
        <f>IF(E26="","",VLOOKUP('Opći dio'!$C$3,'Opći dio'!$L$6:$U$136,10,FALSE))</f>
        <v/>
      </c>
      <c r="B26" s="139" t="str">
        <f>IF(E26="","",VLOOKUP('Opći dio'!$C$3,'Opći dio'!$L$6:$U$136,9,FALSE))</f>
        <v/>
      </c>
      <c r="C26" s="187" t="str">
        <f t="shared" si="3"/>
        <v/>
      </c>
      <c r="D26" s="138" t="str">
        <f t="shared" si="4"/>
        <v/>
      </c>
      <c r="E26" s="150"/>
      <c r="F26" s="191" t="str">
        <f t="shared" si="5"/>
        <v/>
      </c>
      <c r="G26" s="185"/>
      <c r="H26" s="185"/>
      <c r="I26" s="185"/>
      <c r="K26" s="141" t="str">
        <f t="shared" si="6"/>
        <v/>
      </c>
      <c r="L26" s="141" t="str">
        <f t="shared" si="7"/>
        <v/>
      </c>
      <c r="Q26" s="6">
        <v>632410559</v>
      </c>
      <c r="R26" s="6" t="s">
        <v>1553</v>
      </c>
      <c r="S26" s="6">
        <v>559</v>
      </c>
      <c r="T26" s="6" t="s">
        <v>1539</v>
      </c>
      <c r="U26">
        <v>632</v>
      </c>
    </row>
    <row r="27" spans="1:21">
      <c r="A27" s="139" t="str">
        <f>IF(E27="","",VLOOKUP('Opći dio'!$C$3,'Opći dio'!$L$6:$U$136,10,FALSE))</f>
        <v/>
      </c>
      <c r="B27" s="139" t="str">
        <f>IF(E27="","",VLOOKUP('Opći dio'!$C$3,'Opći dio'!$L$6:$U$136,9,FALSE))</f>
        <v/>
      </c>
      <c r="C27" s="187" t="str">
        <f t="shared" si="3"/>
        <v/>
      </c>
      <c r="D27" s="138" t="str">
        <f t="shared" si="4"/>
        <v/>
      </c>
      <c r="E27" s="150"/>
      <c r="F27" s="191" t="str">
        <f t="shared" si="5"/>
        <v/>
      </c>
      <c r="G27" s="185"/>
      <c r="H27" s="185"/>
      <c r="I27" s="185"/>
      <c r="K27" s="141" t="str">
        <f t="shared" si="6"/>
        <v/>
      </c>
      <c r="L27" s="141" t="str">
        <f t="shared" si="7"/>
        <v/>
      </c>
      <c r="Q27" s="6">
        <v>632410573</v>
      </c>
      <c r="R27" s="6" t="s">
        <v>1554</v>
      </c>
      <c r="S27" s="6">
        <v>573</v>
      </c>
      <c r="T27" s="6" t="s">
        <v>1549</v>
      </c>
      <c r="U27">
        <v>632</v>
      </c>
    </row>
    <row r="28" spans="1:21">
      <c r="A28" s="139" t="str">
        <f>IF(E28="","",VLOOKUP('Opći dio'!$C$3,'Opći dio'!$L$6:$U$136,10,FALSE))</f>
        <v/>
      </c>
      <c r="B28" s="139" t="str">
        <f>IF(E28="","",VLOOKUP('Opći dio'!$C$3,'Opći dio'!$L$6:$U$136,9,FALSE))</f>
        <v/>
      </c>
      <c r="C28" s="187" t="str">
        <f t="shared" si="3"/>
        <v/>
      </c>
      <c r="D28" s="138" t="str">
        <f t="shared" si="4"/>
        <v/>
      </c>
      <c r="E28" s="150"/>
      <c r="F28" s="191" t="str">
        <f t="shared" si="5"/>
        <v/>
      </c>
      <c r="G28" s="185"/>
      <c r="H28" s="185"/>
      <c r="I28" s="185"/>
      <c r="K28" s="141" t="str">
        <f t="shared" si="6"/>
        <v/>
      </c>
      <c r="L28" s="141" t="str">
        <f t="shared" si="7"/>
        <v/>
      </c>
      <c r="Q28" s="6">
        <v>632410575</v>
      </c>
      <c r="R28" s="6" t="s">
        <v>1555</v>
      </c>
      <c r="S28" s="6">
        <v>575</v>
      </c>
      <c r="T28" s="6" t="s">
        <v>1551</v>
      </c>
      <c r="U28">
        <v>632</v>
      </c>
    </row>
    <row r="29" spans="1:21">
      <c r="A29" s="139" t="str">
        <f>IF(E29="","",VLOOKUP('Opći dio'!$C$3,'Opći dio'!$L$6:$U$136,10,FALSE))</f>
        <v/>
      </c>
      <c r="B29" s="139" t="str">
        <f>IF(E29="","",VLOOKUP('Opći dio'!$C$3,'Opći dio'!$L$6:$U$136,9,FALSE))</f>
        <v/>
      </c>
      <c r="C29" s="187" t="str">
        <f t="shared" si="3"/>
        <v/>
      </c>
      <c r="D29" s="138" t="str">
        <f t="shared" si="4"/>
        <v/>
      </c>
      <c r="E29" s="150"/>
      <c r="F29" s="191" t="str">
        <f t="shared" si="5"/>
        <v/>
      </c>
      <c r="G29" s="185"/>
      <c r="H29" s="185"/>
      <c r="I29" s="185"/>
      <c r="K29" s="141" t="str">
        <f t="shared" si="6"/>
        <v/>
      </c>
      <c r="L29" s="141" t="str">
        <f t="shared" si="7"/>
        <v/>
      </c>
      <c r="Q29" s="6">
        <v>632410576</v>
      </c>
      <c r="R29" s="6" t="s">
        <v>2129</v>
      </c>
      <c r="S29" s="6">
        <v>576</v>
      </c>
      <c r="T29" s="6" t="s">
        <v>2128</v>
      </c>
      <c r="U29">
        <v>632</v>
      </c>
    </row>
    <row r="30" spans="1:21">
      <c r="A30" s="139" t="str">
        <f>IF(E30="","",VLOOKUP('Opći dio'!$C$3,'Opći dio'!$L$6:$U$136,10,FALSE))</f>
        <v/>
      </c>
      <c r="B30" s="139" t="str">
        <f>IF(E30="","",VLOOKUP('Opći dio'!$C$3,'Opći dio'!$L$6:$U$136,9,FALSE))</f>
        <v/>
      </c>
      <c r="C30" s="187" t="str">
        <f t="shared" si="3"/>
        <v/>
      </c>
      <c r="D30" s="138" t="str">
        <f t="shared" si="4"/>
        <v/>
      </c>
      <c r="E30" s="150"/>
      <c r="F30" s="191" t="str">
        <f t="shared" si="5"/>
        <v/>
      </c>
      <c r="G30" s="185"/>
      <c r="H30" s="185"/>
      <c r="I30" s="185"/>
      <c r="K30" s="141" t="str">
        <f t="shared" si="6"/>
        <v/>
      </c>
      <c r="L30" s="141" t="str">
        <f t="shared" si="7"/>
        <v/>
      </c>
      <c r="Q30" s="6">
        <v>632411700</v>
      </c>
      <c r="R30" s="6" t="s">
        <v>24</v>
      </c>
      <c r="S30" s="6">
        <v>51</v>
      </c>
      <c r="T30" s="6" t="s">
        <v>2091</v>
      </c>
      <c r="U30">
        <v>632</v>
      </c>
    </row>
    <row r="31" spans="1:21">
      <c r="A31" s="139" t="str">
        <f>IF(E31="","",VLOOKUP('Opći dio'!$C$3,'Opći dio'!$L$6:$U$136,10,FALSE))</f>
        <v/>
      </c>
      <c r="B31" s="139" t="str">
        <f>IF(E31="","",VLOOKUP('Opći dio'!$C$3,'Opći dio'!$L$6:$U$136,9,FALSE))</f>
        <v/>
      </c>
      <c r="C31" s="187" t="str">
        <f t="shared" si="3"/>
        <v/>
      </c>
      <c r="D31" s="138" t="str">
        <f t="shared" si="4"/>
        <v/>
      </c>
      <c r="E31" s="150"/>
      <c r="F31" s="191" t="str">
        <f t="shared" si="5"/>
        <v/>
      </c>
      <c r="G31" s="185"/>
      <c r="H31" s="185"/>
      <c r="I31" s="185"/>
      <c r="K31" s="141" t="str">
        <f t="shared" si="6"/>
        <v/>
      </c>
      <c r="L31" s="141" t="str">
        <f t="shared" si="7"/>
        <v/>
      </c>
      <c r="Q31" s="6">
        <v>6341</v>
      </c>
      <c r="R31" s="6" t="s">
        <v>2131</v>
      </c>
      <c r="S31" s="6">
        <v>52</v>
      </c>
      <c r="T31" s="6" t="s">
        <v>2088</v>
      </c>
      <c r="U31">
        <v>634</v>
      </c>
    </row>
    <row r="32" spans="1:21">
      <c r="A32" s="139" t="str">
        <f>IF(E32="","",VLOOKUP('Opći dio'!$C$3,'Opći dio'!$L$6:$U$136,10,FALSE))</f>
        <v/>
      </c>
      <c r="B32" s="139" t="str">
        <f>IF(E32="","",VLOOKUP('Opći dio'!$C$3,'Opći dio'!$L$6:$U$136,9,FALSE))</f>
        <v/>
      </c>
      <c r="C32" s="187" t="str">
        <f t="shared" si="3"/>
        <v/>
      </c>
      <c r="D32" s="138" t="str">
        <f t="shared" si="4"/>
        <v/>
      </c>
      <c r="E32" s="150"/>
      <c r="F32" s="191" t="str">
        <f t="shared" si="5"/>
        <v/>
      </c>
      <c r="G32" s="185"/>
      <c r="H32" s="185"/>
      <c r="I32" s="185"/>
      <c r="K32" s="141" t="str">
        <f t="shared" si="6"/>
        <v/>
      </c>
      <c r="L32" s="141" t="str">
        <f t="shared" si="7"/>
        <v/>
      </c>
      <c r="Q32" s="6">
        <v>6342</v>
      </c>
      <c r="R32" s="6" t="s">
        <v>2132</v>
      </c>
      <c r="S32" s="6">
        <v>52</v>
      </c>
      <c r="T32" s="6" t="s">
        <v>2088</v>
      </c>
      <c r="U32">
        <v>634</v>
      </c>
    </row>
    <row r="33" spans="1:21">
      <c r="A33" s="139" t="str">
        <f>IF(E33="","",VLOOKUP('Opći dio'!$C$3,'Opći dio'!$L$6:$U$136,10,FALSE))</f>
        <v/>
      </c>
      <c r="B33" s="139" t="str">
        <f>IF(E33="","",VLOOKUP('Opći dio'!$C$3,'Opći dio'!$L$6:$U$136,9,FALSE))</f>
        <v/>
      </c>
      <c r="C33" s="187" t="str">
        <f t="shared" si="3"/>
        <v/>
      </c>
      <c r="D33" s="138" t="str">
        <f t="shared" si="4"/>
        <v/>
      </c>
      <c r="E33" s="150"/>
      <c r="F33" s="191" t="str">
        <f t="shared" si="5"/>
        <v/>
      </c>
      <c r="G33" s="185"/>
      <c r="H33" s="185"/>
      <c r="I33" s="185"/>
      <c r="K33" s="141" t="str">
        <f t="shared" si="6"/>
        <v/>
      </c>
      <c r="L33" s="141" t="str">
        <f t="shared" si="7"/>
        <v/>
      </c>
      <c r="Q33" s="6">
        <v>636130000</v>
      </c>
      <c r="R33" s="6" t="s">
        <v>2092</v>
      </c>
      <c r="S33" s="6">
        <v>52</v>
      </c>
      <c r="T33" s="6" t="s">
        <v>2088</v>
      </c>
      <c r="U33">
        <v>636</v>
      </c>
    </row>
    <row r="34" spans="1:21">
      <c r="A34" s="139" t="str">
        <f>IF(E34="","",VLOOKUP('Opći dio'!$C$3,'Opći dio'!$L$6:$U$136,10,FALSE))</f>
        <v/>
      </c>
      <c r="B34" s="139" t="str">
        <f>IF(E34="","",VLOOKUP('Opći dio'!$C$3,'Opći dio'!$L$6:$U$136,9,FALSE))</f>
        <v/>
      </c>
      <c r="C34" s="187" t="str">
        <f t="shared" si="3"/>
        <v/>
      </c>
      <c r="D34" s="138" t="str">
        <f t="shared" si="4"/>
        <v/>
      </c>
      <c r="E34" s="150"/>
      <c r="F34" s="191" t="str">
        <f t="shared" si="5"/>
        <v/>
      </c>
      <c r="G34" s="185"/>
      <c r="H34" s="185"/>
      <c r="I34" s="185"/>
      <c r="K34" s="141" t="str">
        <f t="shared" si="6"/>
        <v/>
      </c>
      <c r="L34" s="141" t="str">
        <f t="shared" si="7"/>
        <v/>
      </c>
      <c r="Q34" s="6">
        <v>636230000</v>
      </c>
      <c r="R34" s="6" t="s">
        <v>2093</v>
      </c>
      <c r="S34" s="6">
        <v>52</v>
      </c>
      <c r="T34" s="6" t="s">
        <v>2088</v>
      </c>
      <c r="U34">
        <v>636</v>
      </c>
    </row>
    <row r="35" spans="1:21">
      <c r="A35" s="139" t="str">
        <f>IF(E35="","",VLOOKUP('Opći dio'!$C$3,'Opći dio'!$L$6:$U$136,10,FALSE))</f>
        <v/>
      </c>
      <c r="B35" s="139" t="str">
        <f>IF(E35="","",VLOOKUP('Opći dio'!$C$3,'Opći dio'!$L$6:$U$136,9,FALSE))</f>
        <v/>
      </c>
      <c r="C35" s="187" t="str">
        <f t="shared" si="3"/>
        <v/>
      </c>
      <c r="D35" s="138" t="str">
        <f t="shared" si="4"/>
        <v/>
      </c>
      <c r="E35" s="150"/>
      <c r="F35" s="191" t="str">
        <f t="shared" si="5"/>
        <v/>
      </c>
      <c r="G35" s="185"/>
      <c r="H35" s="185"/>
      <c r="I35" s="185"/>
      <c r="K35" s="141" t="str">
        <f t="shared" si="6"/>
        <v/>
      </c>
      <c r="L35" s="141" t="str">
        <f t="shared" si="7"/>
        <v/>
      </c>
      <c r="Q35" s="6">
        <v>638120000</v>
      </c>
      <c r="R35" s="6" t="s">
        <v>2094</v>
      </c>
      <c r="S35" s="6">
        <v>52</v>
      </c>
      <c r="T35" s="6" t="s">
        <v>2088</v>
      </c>
      <c r="U35">
        <v>638</v>
      </c>
    </row>
    <row r="36" spans="1:21">
      <c r="A36" s="139" t="str">
        <f>IF(E36="","",VLOOKUP('Opći dio'!$C$3,'Opći dio'!$L$6:$U$136,10,FALSE))</f>
        <v/>
      </c>
      <c r="B36" s="139" t="str">
        <f>IF(E36="","",VLOOKUP('Opći dio'!$C$3,'Opći dio'!$L$6:$U$136,9,FALSE))</f>
        <v/>
      </c>
      <c r="C36" s="187" t="str">
        <f t="shared" si="3"/>
        <v/>
      </c>
      <c r="D36" s="138" t="str">
        <f t="shared" si="4"/>
        <v/>
      </c>
      <c r="E36" s="150"/>
      <c r="F36" s="191" t="str">
        <f t="shared" si="5"/>
        <v/>
      </c>
      <c r="G36" s="185"/>
      <c r="H36" s="185"/>
      <c r="I36" s="185"/>
      <c r="K36" s="141" t="str">
        <f t="shared" si="6"/>
        <v/>
      </c>
      <c r="L36" s="141" t="str">
        <f t="shared" si="7"/>
        <v/>
      </c>
      <c r="Q36" s="6">
        <v>638130000</v>
      </c>
      <c r="R36" s="6" t="s">
        <v>2095</v>
      </c>
      <c r="S36" s="6">
        <v>52</v>
      </c>
      <c r="T36" s="6" t="s">
        <v>2088</v>
      </c>
      <c r="U36">
        <v>638</v>
      </c>
    </row>
    <row r="37" spans="1:21">
      <c r="A37" s="139" t="str">
        <f>IF(E37="","",VLOOKUP('Opći dio'!$C$3,'Opći dio'!$L$6:$U$136,10,FALSE))</f>
        <v/>
      </c>
      <c r="B37" s="139" t="str">
        <f>IF(E37="","",VLOOKUP('Opći dio'!$C$3,'Opći dio'!$L$6:$U$136,9,FALSE))</f>
        <v/>
      </c>
      <c r="C37" s="187" t="str">
        <f t="shared" si="3"/>
        <v/>
      </c>
      <c r="D37" s="138" t="str">
        <f t="shared" si="4"/>
        <v/>
      </c>
      <c r="E37" s="150"/>
      <c r="F37" s="191" t="str">
        <f t="shared" si="5"/>
        <v/>
      </c>
      <c r="G37" s="185"/>
      <c r="H37" s="185"/>
      <c r="I37" s="185"/>
      <c r="K37" s="141" t="str">
        <f t="shared" si="6"/>
        <v/>
      </c>
      <c r="L37" s="141" t="str">
        <f t="shared" si="7"/>
        <v/>
      </c>
      <c r="Q37" s="6">
        <v>638140000</v>
      </c>
      <c r="R37" s="6" t="s">
        <v>2096</v>
      </c>
      <c r="S37" s="6">
        <v>52</v>
      </c>
      <c r="T37" s="6" t="s">
        <v>2088</v>
      </c>
      <c r="U37">
        <v>638</v>
      </c>
    </row>
    <row r="38" spans="1:21">
      <c r="A38" s="139" t="str">
        <f>IF(E38="","",VLOOKUP('Opći dio'!$C$3,'Opći dio'!$L$6:$U$136,10,FALSE))</f>
        <v/>
      </c>
      <c r="B38" s="139" t="str">
        <f>IF(E38="","",VLOOKUP('Opći dio'!$C$3,'Opći dio'!$L$6:$U$136,9,FALSE))</f>
        <v/>
      </c>
      <c r="C38" s="187" t="str">
        <f t="shared" si="3"/>
        <v/>
      </c>
      <c r="D38" s="138" t="str">
        <f t="shared" si="4"/>
        <v/>
      </c>
      <c r="E38" s="150"/>
      <c r="F38" s="191" t="str">
        <f t="shared" si="5"/>
        <v/>
      </c>
      <c r="G38" s="185"/>
      <c r="H38" s="185"/>
      <c r="I38" s="185"/>
      <c r="K38" s="141" t="str">
        <f t="shared" si="6"/>
        <v/>
      </c>
      <c r="L38" s="141" t="str">
        <f t="shared" si="7"/>
        <v/>
      </c>
      <c r="Q38" s="6">
        <v>638220000</v>
      </c>
      <c r="R38" s="6" t="s">
        <v>2097</v>
      </c>
      <c r="S38" s="6">
        <v>52</v>
      </c>
      <c r="T38" s="6" t="s">
        <v>2088</v>
      </c>
      <c r="U38">
        <v>638</v>
      </c>
    </row>
    <row r="39" spans="1:21">
      <c r="A39" s="139" t="str">
        <f>IF(E39="","",VLOOKUP('Opći dio'!$C$3,'Opći dio'!$L$6:$U$136,10,FALSE))</f>
        <v/>
      </c>
      <c r="B39" s="139" t="str">
        <f>IF(E39="","",VLOOKUP('Opći dio'!$C$3,'Opći dio'!$L$6:$U$136,9,FALSE))</f>
        <v/>
      </c>
      <c r="C39" s="187" t="str">
        <f t="shared" si="3"/>
        <v/>
      </c>
      <c r="D39" s="138" t="str">
        <f t="shared" si="4"/>
        <v/>
      </c>
      <c r="E39" s="150"/>
      <c r="F39" s="191" t="str">
        <f t="shared" si="5"/>
        <v/>
      </c>
      <c r="G39" s="185"/>
      <c r="H39" s="185"/>
      <c r="I39" s="185"/>
      <c r="K39" s="141" t="str">
        <f t="shared" si="6"/>
        <v/>
      </c>
      <c r="L39" s="141" t="str">
        <f t="shared" si="7"/>
        <v/>
      </c>
      <c r="Q39" s="6">
        <v>638230000</v>
      </c>
      <c r="R39" s="6" t="s">
        <v>2098</v>
      </c>
      <c r="S39" s="6">
        <v>52</v>
      </c>
      <c r="T39" s="6" t="s">
        <v>2088</v>
      </c>
      <c r="U39">
        <v>638</v>
      </c>
    </row>
    <row r="40" spans="1:21">
      <c r="A40" s="139" t="str">
        <f>IF(E40="","",VLOOKUP('Opći dio'!$C$3,'Opći dio'!$L$6:$U$136,10,FALSE))</f>
        <v/>
      </c>
      <c r="B40" s="139" t="str">
        <f>IF(E40="","",VLOOKUP('Opći dio'!$C$3,'Opći dio'!$L$6:$U$136,9,FALSE))</f>
        <v/>
      </c>
      <c r="C40" s="187" t="str">
        <f t="shared" si="3"/>
        <v/>
      </c>
      <c r="D40" s="138" t="str">
        <f t="shared" si="4"/>
        <v/>
      </c>
      <c r="E40" s="150"/>
      <c r="F40" s="191" t="str">
        <f t="shared" si="5"/>
        <v/>
      </c>
      <c r="G40" s="185"/>
      <c r="H40" s="185"/>
      <c r="I40" s="185"/>
      <c r="K40" s="141" t="str">
        <f t="shared" si="6"/>
        <v/>
      </c>
      <c r="L40" s="141" t="str">
        <f t="shared" si="7"/>
        <v/>
      </c>
      <c r="Q40" s="6">
        <v>638240000</v>
      </c>
      <c r="R40" s="6" t="s">
        <v>2099</v>
      </c>
      <c r="S40" s="6">
        <v>52</v>
      </c>
      <c r="T40" s="6" t="s">
        <v>2088</v>
      </c>
      <c r="U40">
        <v>638</v>
      </c>
    </row>
    <row r="41" spans="1:21">
      <c r="A41" s="139" t="str">
        <f>IF(E41="","",VLOOKUP('Opći dio'!$C$3,'Opći dio'!$L$6:$U$136,10,FALSE))</f>
        <v/>
      </c>
      <c r="B41" s="139" t="str">
        <f>IF(E41="","",VLOOKUP('Opći dio'!$C$3,'Opći dio'!$L$6:$U$136,9,FALSE))</f>
        <v/>
      </c>
      <c r="C41" s="187" t="str">
        <f t="shared" si="3"/>
        <v/>
      </c>
      <c r="D41" s="138" t="str">
        <f t="shared" si="4"/>
        <v/>
      </c>
      <c r="E41" s="150"/>
      <c r="F41" s="191" t="str">
        <f t="shared" si="5"/>
        <v/>
      </c>
      <c r="G41" s="185"/>
      <c r="H41" s="185"/>
      <c r="I41" s="185"/>
      <c r="K41" s="141" t="str">
        <f t="shared" si="6"/>
        <v/>
      </c>
      <c r="L41" s="141" t="str">
        <f t="shared" si="7"/>
        <v/>
      </c>
      <c r="Q41" s="6">
        <v>639110000</v>
      </c>
      <c r="R41" s="6" t="s">
        <v>31</v>
      </c>
      <c r="S41" s="6">
        <v>52</v>
      </c>
      <c r="T41" s="6" t="s">
        <v>2088</v>
      </c>
      <c r="U41">
        <v>639</v>
      </c>
    </row>
    <row r="42" spans="1:21">
      <c r="A42" s="139" t="str">
        <f>IF(E42="","",VLOOKUP('Opći dio'!$C$3,'Opći dio'!$L$6:$U$136,10,FALSE))</f>
        <v/>
      </c>
      <c r="B42" s="139" t="str">
        <f>IF(E42="","",VLOOKUP('Opći dio'!$C$3,'Opći dio'!$L$6:$U$136,9,FALSE))</f>
        <v/>
      </c>
      <c r="C42" s="187" t="str">
        <f t="shared" si="3"/>
        <v/>
      </c>
      <c r="D42" s="138" t="str">
        <f t="shared" si="4"/>
        <v/>
      </c>
      <c r="E42" s="150"/>
      <c r="F42" s="191" t="str">
        <f t="shared" si="5"/>
        <v/>
      </c>
      <c r="G42" s="185"/>
      <c r="H42" s="185"/>
      <c r="I42" s="185"/>
      <c r="K42" s="141" t="str">
        <f>LEFT(E42,3)</f>
        <v/>
      </c>
      <c r="L42" s="141" t="str">
        <f>LEFT(E42,2)</f>
        <v/>
      </c>
      <c r="Q42" s="6">
        <v>639210000</v>
      </c>
      <c r="R42" s="6" t="s">
        <v>32</v>
      </c>
      <c r="S42" s="6">
        <v>52</v>
      </c>
      <c r="T42" s="6" t="s">
        <v>2088</v>
      </c>
      <c r="U42">
        <v>639</v>
      </c>
    </row>
    <row r="43" spans="1:21">
      <c r="A43" s="139" t="str">
        <f>IF(E43="","",VLOOKUP('Opći dio'!$C$3,'Opći dio'!$L$6:$U$136,10,FALSE))</f>
        <v/>
      </c>
      <c r="B43" s="139" t="str">
        <f>IF(E43="","",VLOOKUP('Opći dio'!$C$3,'Opći dio'!$L$6:$U$136,9,FALSE))</f>
        <v/>
      </c>
      <c r="C43" s="187" t="str">
        <f t="shared" si="3"/>
        <v/>
      </c>
      <c r="D43" s="138" t="str">
        <f t="shared" si="4"/>
        <v/>
      </c>
      <c r="E43" s="150"/>
      <c r="F43" s="191" t="str">
        <f t="shared" si="5"/>
        <v/>
      </c>
      <c r="G43" s="185"/>
      <c r="H43" s="185"/>
      <c r="I43" s="185"/>
      <c r="K43" s="141" t="str">
        <f t="shared" si="6"/>
        <v/>
      </c>
      <c r="L43" s="141" t="str">
        <f t="shared" si="7"/>
        <v/>
      </c>
      <c r="Q43" s="6">
        <v>639310000</v>
      </c>
      <c r="R43" s="6" t="s">
        <v>33</v>
      </c>
      <c r="S43" s="6">
        <v>52</v>
      </c>
      <c r="T43" s="6" t="s">
        <v>2088</v>
      </c>
      <c r="U43">
        <v>639</v>
      </c>
    </row>
    <row r="44" spans="1:21">
      <c r="A44" s="139" t="str">
        <f>IF(E44="","",VLOOKUP('Opći dio'!$C$3,'Opći dio'!$L$6:$U$136,10,FALSE))</f>
        <v/>
      </c>
      <c r="B44" s="139" t="str">
        <f>IF(E44="","",VLOOKUP('Opći dio'!$C$3,'Opći dio'!$L$6:$U$136,9,FALSE))</f>
        <v/>
      </c>
      <c r="C44" s="187" t="str">
        <f t="shared" si="3"/>
        <v/>
      </c>
      <c r="D44" s="138" t="str">
        <f t="shared" si="4"/>
        <v/>
      </c>
      <c r="E44" s="150"/>
      <c r="F44" s="191" t="str">
        <f t="shared" si="5"/>
        <v/>
      </c>
      <c r="G44" s="185"/>
      <c r="H44" s="185"/>
      <c r="I44" s="185"/>
      <c r="K44" s="141" t="str">
        <f t="shared" si="6"/>
        <v/>
      </c>
      <c r="L44" s="141" t="str">
        <f t="shared" si="7"/>
        <v/>
      </c>
      <c r="Q44" s="6">
        <v>639410000</v>
      </c>
      <c r="R44" s="6" t="s">
        <v>34</v>
      </c>
      <c r="S44" s="6">
        <v>52</v>
      </c>
      <c r="T44" s="6" t="s">
        <v>2088</v>
      </c>
      <c r="U44">
        <v>639</v>
      </c>
    </row>
    <row r="45" spans="1:21">
      <c r="A45" s="139" t="str">
        <f>IF(E45="","",VLOOKUP('Opći dio'!$C$3,'Opći dio'!$L$6:$U$136,10,FALSE))</f>
        <v/>
      </c>
      <c r="B45" s="139" t="str">
        <f>IF(E45="","",VLOOKUP('Opći dio'!$C$3,'Opći dio'!$L$6:$U$136,9,FALSE))</f>
        <v/>
      </c>
      <c r="C45" s="187" t="str">
        <f t="shared" si="3"/>
        <v/>
      </c>
      <c r="D45" s="138" t="str">
        <f t="shared" si="4"/>
        <v/>
      </c>
      <c r="E45" s="150"/>
      <c r="F45" s="191" t="str">
        <f t="shared" si="5"/>
        <v/>
      </c>
      <c r="G45" s="185"/>
      <c r="H45" s="185"/>
      <c r="I45" s="185"/>
      <c r="K45" s="141" t="str">
        <f t="shared" si="6"/>
        <v/>
      </c>
      <c r="L45" s="141" t="str">
        <f t="shared" si="7"/>
        <v/>
      </c>
      <c r="Q45" s="6">
        <v>641290031</v>
      </c>
      <c r="R45" s="6" t="s">
        <v>236</v>
      </c>
      <c r="S45" s="6">
        <v>31</v>
      </c>
      <c r="T45" s="6" t="s">
        <v>98</v>
      </c>
      <c r="U45">
        <v>641</v>
      </c>
    </row>
    <row r="46" spans="1:21">
      <c r="A46" s="139" t="str">
        <f>IF(E46="","",VLOOKUP('Opći dio'!$C$3,'Opći dio'!$L$6:$U$136,10,FALSE))</f>
        <v/>
      </c>
      <c r="B46" s="139" t="str">
        <f>IF(E46="","",VLOOKUP('Opći dio'!$C$3,'Opći dio'!$L$6:$U$136,9,FALSE))</f>
        <v/>
      </c>
      <c r="C46" s="187" t="str">
        <f t="shared" si="3"/>
        <v/>
      </c>
      <c r="D46" s="138" t="str">
        <f t="shared" si="4"/>
        <v/>
      </c>
      <c r="E46" s="150"/>
      <c r="F46" s="191" t="str">
        <f t="shared" si="5"/>
        <v/>
      </c>
      <c r="G46" s="185"/>
      <c r="H46" s="185"/>
      <c r="I46" s="185"/>
      <c r="K46" s="141" t="str">
        <f t="shared" si="6"/>
        <v/>
      </c>
      <c r="L46" s="141" t="str">
        <f t="shared" si="7"/>
        <v/>
      </c>
      <c r="Q46" s="6">
        <v>641310031</v>
      </c>
      <c r="R46" s="6" t="s">
        <v>237</v>
      </c>
      <c r="S46" s="6">
        <v>31</v>
      </c>
      <c r="T46" s="6" t="s">
        <v>98</v>
      </c>
      <c r="U46">
        <v>641</v>
      </c>
    </row>
    <row r="47" spans="1:21">
      <c r="A47" s="139" t="str">
        <f>IF(E47="","",VLOOKUP('Opći dio'!$C$3,'Opći dio'!$L$6:$U$136,10,FALSE))</f>
        <v/>
      </c>
      <c r="B47" s="139" t="str">
        <f>IF(E47="","",VLOOKUP('Opći dio'!$C$3,'Opći dio'!$L$6:$U$136,9,FALSE))</f>
        <v/>
      </c>
      <c r="C47" s="187" t="str">
        <f t="shared" si="3"/>
        <v/>
      </c>
      <c r="D47" s="138" t="str">
        <f t="shared" si="4"/>
        <v/>
      </c>
      <c r="E47" s="150"/>
      <c r="F47" s="191" t="str">
        <f t="shared" si="5"/>
        <v/>
      </c>
      <c r="G47" s="185"/>
      <c r="H47" s="185"/>
      <c r="I47" s="185"/>
      <c r="K47" s="141" t="str">
        <f t="shared" si="6"/>
        <v/>
      </c>
      <c r="L47" s="141" t="str">
        <f t="shared" si="7"/>
        <v/>
      </c>
      <c r="Q47" s="6">
        <v>641320031</v>
      </c>
      <c r="R47" s="6" t="s">
        <v>238</v>
      </c>
      <c r="S47" s="6">
        <v>31</v>
      </c>
      <c r="T47" s="6" t="s">
        <v>98</v>
      </c>
      <c r="U47">
        <v>641</v>
      </c>
    </row>
    <row r="48" spans="1:21">
      <c r="A48" s="139" t="str">
        <f>IF(E48="","",VLOOKUP('Opći dio'!$C$3,'Opći dio'!$L$6:$U$136,10,FALSE))</f>
        <v/>
      </c>
      <c r="B48" s="139" t="str">
        <f>IF(E48="","",VLOOKUP('Opći dio'!$C$3,'Opći dio'!$L$6:$U$136,9,FALSE))</f>
        <v/>
      </c>
      <c r="C48" s="187" t="str">
        <f t="shared" si="3"/>
        <v/>
      </c>
      <c r="D48" s="138" t="str">
        <f t="shared" si="4"/>
        <v/>
      </c>
      <c r="E48" s="150"/>
      <c r="F48" s="191" t="str">
        <f t="shared" si="5"/>
        <v/>
      </c>
      <c r="G48" s="185"/>
      <c r="H48" s="185"/>
      <c r="I48" s="185"/>
      <c r="K48" s="141" t="str">
        <f t="shared" si="6"/>
        <v/>
      </c>
      <c r="L48" s="141" t="str">
        <f t="shared" si="7"/>
        <v/>
      </c>
      <c r="Q48" s="6">
        <v>641320043</v>
      </c>
      <c r="R48" s="6" t="s">
        <v>2100</v>
      </c>
      <c r="S48" s="6">
        <v>43</v>
      </c>
      <c r="T48" s="6" t="s">
        <v>103</v>
      </c>
      <c r="U48">
        <v>641</v>
      </c>
    </row>
    <row r="49" spans="1:21">
      <c r="A49" s="139" t="str">
        <f>IF(E49="","",VLOOKUP('Opći dio'!$C$3,'Opći dio'!$L$6:$U$136,10,FALSE))</f>
        <v/>
      </c>
      <c r="B49" s="139" t="str">
        <f>IF(E49="","",VLOOKUP('Opći dio'!$C$3,'Opći dio'!$L$6:$U$136,9,FALSE))</f>
        <v/>
      </c>
      <c r="C49" s="187" t="str">
        <f t="shared" si="3"/>
        <v/>
      </c>
      <c r="D49" s="138" t="str">
        <f t="shared" si="4"/>
        <v/>
      </c>
      <c r="E49" s="150"/>
      <c r="F49" s="191" t="str">
        <f t="shared" si="5"/>
        <v/>
      </c>
      <c r="G49" s="185"/>
      <c r="H49" s="185"/>
      <c r="I49" s="185"/>
      <c r="K49" s="141" t="str">
        <f t="shared" si="6"/>
        <v/>
      </c>
      <c r="L49" s="141" t="str">
        <f t="shared" si="7"/>
        <v/>
      </c>
      <c r="Q49" s="6">
        <v>641510031</v>
      </c>
      <c r="R49" s="6" t="s">
        <v>2101</v>
      </c>
      <c r="S49" s="6">
        <v>31</v>
      </c>
      <c r="T49" s="6" t="s">
        <v>98</v>
      </c>
      <c r="U49">
        <v>641</v>
      </c>
    </row>
    <row r="50" spans="1:21">
      <c r="A50" s="139" t="str">
        <f>IF(E50="","",VLOOKUP('Opći dio'!$C$3,'Opći dio'!$L$6:$U$136,10,FALSE))</f>
        <v/>
      </c>
      <c r="B50" s="139" t="str">
        <f>IF(E50="","",VLOOKUP('Opći dio'!$C$3,'Opći dio'!$L$6:$U$136,9,FALSE))</f>
        <v/>
      </c>
      <c r="C50" s="187" t="str">
        <f t="shared" si="3"/>
        <v/>
      </c>
      <c r="D50" s="138" t="str">
        <f t="shared" si="4"/>
        <v/>
      </c>
      <c r="E50" s="150"/>
      <c r="F50" s="191" t="str">
        <f t="shared" si="5"/>
        <v/>
      </c>
      <c r="G50" s="185"/>
      <c r="H50" s="185"/>
      <c r="I50" s="185"/>
      <c r="K50" s="141" t="str">
        <f t="shared" si="6"/>
        <v/>
      </c>
      <c r="L50" s="141" t="str">
        <f t="shared" si="7"/>
        <v/>
      </c>
      <c r="Q50" s="6">
        <v>641510043</v>
      </c>
      <c r="R50" s="6" t="s">
        <v>2102</v>
      </c>
      <c r="S50" s="6">
        <v>43</v>
      </c>
      <c r="T50" s="6" t="s">
        <v>103</v>
      </c>
      <c r="U50">
        <v>641</v>
      </c>
    </row>
    <row r="51" spans="1:21">
      <c r="A51" s="139" t="str">
        <f>IF(E51="","",VLOOKUP('Opći dio'!$C$3,'Opći dio'!$L$6:$U$136,10,FALSE))</f>
        <v/>
      </c>
      <c r="B51" s="139" t="str">
        <f>IF(E51="","",VLOOKUP('Opći dio'!$C$3,'Opći dio'!$L$6:$U$136,9,FALSE))</f>
        <v/>
      </c>
      <c r="C51" s="187" t="str">
        <f t="shared" si="3"/>
        <v/>
      </c>
      <c r="D51" s="138" t="str">
        <f t="shared" si="4"/>
        <v/>
      </c>
      <c r="E51" s="150"/>
      <c r="F51" s="191" t="str">
        <f t="shared" si="5"/>
        <v/>
      </c>
      <c r="G51" s="185"/>
      <c r="H51" s="185"/>
      <c r="I51" s="185"/>
      <c r="K51" s="141" t="str">
        <f t="shared" si="6"/>
        <v/>
      </c>
      <c r="L51" s="141" t="str">
        <f t="shared" si="7"/>
        <v/>
      </c>
      <c r="Q51" s="6">
        <v>641630031</v>
      </c>
      <c r="R51" s="6" t="s">
        <v>239</v>
      </c>
      <c r="S51" s="6">
        <v>31</v>
      </c>
      <c r="T51" s="6" t="s">
        <v>98</v>
      </c>
      <c r="U51">
        <v>641</v>
      </c>
    </row>
    <row r="52" spans="1:21">
      <c r="A52" s="139" t="str">
        <f>IF(E52="","",VLOOKUP('Opći dio'!$C$3,'Opći dio'!$L$6:$U$136,10,FALSE))</f>
        <v/>
      </c>
      <c r="B52" s="139" t="str">
        <f>IF(E52="","",VLOOKUP('Opći dio'!$C$3,'Opći dio'!$L$6:$U$136,9,FALSE))</f>
        <v/>
      </c>
      <c r="C52" s="187" t="str">
        <f t="shared" si="3"/>
        <v/>
      </c>
      <c r="D52" s="138" t="str">
        <f t="shared" si="4"/>
        <v/>
      </c>
      <c r="E52" s="150"/>
      <c r="F52" s="191" t="str">
        <f t="shared" si="5"/>
        <v/>
      </c>
      <c r="G52" s="185"/>
      <c r="H52" s="185"/>
      <c r="I52" s="185"/>
      <c r="K52" s="141" t="str">
        <f t="shared" si="6"/>
        <v/>
      </c>
      <c r="L52" s="141" t="str">
        <f t="shared" si="7"/>
        <v/>
      </c>
      <c r="Q52" s="6">
        <v>641720043</v>
      </c>
      <c r="R52" s="6" t="s">
        <v>242</v>
      </c>
      <c r="S52" s="6">
        <v>43</v>
      </c>
      <c r="T52" s="6" t="s">
        <v>103</v>
      </c>
      <c r="U52">
        <v>641</v>
      </c>
    </row>
    <row r="53" spans="1:21">
      <c r="A53" s="139" t="str">
        <f>IF(E53="","",VLOOKUP('Opći dio'!$C$3,'Opći dio'!$L$6:$U$136,10,FALSE))</f>
        <v/>
      </c>
      <c r="B53" s="139" t="str">
        <f>IF(E53="","",VLOOKUP('Opći dio'!$C$3,'Opći dio'!$L$6:$U$136,9,FALSE))</f>
        <v/>
      </c>
      <c r="C53" s="187" t="str">
        <f t="shared" si="3"/>
        <v/>
      </c>
      <c r="D53" s="138" t="str">
        <f t="shared" si="4"/>
        <v/>
      </c>
      <c r="E53" s="150"/>
      <c r="F53" s="191" t="str">
        <f t="shared" si="5"/>
        <v/>
      </c>
      <c r="G53" s="185"/>
      <c r="H53" s="185"/>
      <c r="I53" s="185"/>
      <c r="K53" s="141" t="str">
        <f t="shared" si="6"/>
        <v/>
      </c>
      <c r="L53" s="141" t="str">
        <f t="shared" si="7"/>
        <v/>
      </c>
      <c r="Q53" s="6">
        <v>641770041</v>
      </c>
      <c r="R53" s="6" t="s">
        <v>1545</v>
      </c>
      <c r="S53" s="6">
        <v>41</v>
      </c>
      <c r="T53" s="6" t="s">
        <v>1537</v>
      </c>
      <c r="U53">
        <v>641</v>
      </c>
    </row>
    <row r="54" spans="1:21">
      <c r="A54" s="139" t="str">
        <f>IF(E54="","",VLOOKUP('Opći dio'!$C$3,'Opći dio'!$L$6:$U$136,10,FALSE))</f>
        <v/>
      </c>
      <c r="B54" s="139" t="str">
        <f>IF(E54="","",VLOOKUP('Opći dio'!$C$3,'Opći dio'!$L$6:$U$136,9,FALSE))</f>
        <v/>
      </c>
      <c r="C54" s="187" t="str">
        <f t="shared" si="3"/>
        <v/>
      </c>
      <c r="D54" s="138" t="str">
        <f t="shared" si="4"/>
        <v/>
      </c>
      <c r="E54" s="150"/>
      <c r="F54" s="191" t="str">
        <f t="shared" si="5"/>
        <v/>
      </c>
      <c r="G54" s="185"/>
      <c r="H54" s="185"/>
      <c r="I54" s="185"/>
      <c r="K54" s="141" t="str">
        <f t="shared" si="6"/>
        <v/>
      </c>
      <c r="L54" s="141" t="str">
        <f t="shared" si="7"/>
        <v/>
      </c>
      <c r="Q54" s="6">
        <v>641990043</v>
      </c>
      <c r="R54" s="6" t="s">
        <v>2103</v>
      </c>
      <c r="S54" s="6">
        <v>43</v>
      </c>
      <c r="T54" s="6" t="s">
        <v>103</v>
      </c>
      <c r="U54">
        <v>641</v>
      </c>
    </row>
    <row r="55" spans="1:21">
      <c r="A55" s="139" t="str">
        <f>IF(E55="","",VLOOKUP('Opći dio'!$C$3,'Opći dio'!$L$6:$U$136,10,FALSE))</f>
        <v/>
      </c>
      <c r="B55" s="139" t="str">
        <f>IF(E55="","",VLOOKUP('Opći dio'!$C$3,'Opći dio'!$L$6:$U$136,9,FALSE))</f>
        <v/>
      </c>
      <c r="C55" s="187" t="str">
        <f t="shared" si="3"/>
        <v/>
      </c>
      <c r="D55" s="138" t="str">
        <f t="shared" si="4"/>
        <v/>
      </c>
      <c r="E55" s="150"/>
      <c r="F55" s="191" t="str">
        <f t="shared" si="5"/>
        <v/>
      </c>
      <c r="G55" s="185"/>
      <c r="H55" s="185"/>
      <c r="I55" s="185"/>
      <c r="K55" s="141" t="str">
        <f t="shared" si="6"/>
        <v/>
      </c>
      <c r="L55" s="141" t="str">
        <f t="shared" si="7"/>
        <v/>
      </c>
      <c r="Q55" s="6">
        <v>642510031</v>
      </c>
      <c r="R55" s="6" t="s">
        <v>240</v>
      </c>
      <c r="S55" s="6">
        <v>31</v>
      </c>
      <c r="T55" s="6" t="s">
        <v>98</v>
      </c>
      <c r="U55">
        <v>642</v>
      </c>
    </row>
    <row r="56" spans="1:21">
      <c r="A56" s="139" t="str">
        <f>IF(E56="","",VLOOKUP('Opći dio'!$C$3,'Opći dio'!$L$6:$U$136,10,FALSE))</f>
        <v/>
      </c>
      <c r="B56" s="139" t="str">
        <f>IF(E56="","",VLOOKUP('Opći dio'!$C$3,'Opći dio'!$L$6:$U$136,9,FALSE))</f>
        <v/>
      </c>
      <c r="C56" s="187" t="str">
        <f t="shared" si="3"/>
        <v/>
      </c>
      <c r="D56" s="138" t="str">
        <f t="shared" si="4"/>
        <v/>
      </c>
      <c r="E56" s="150"/>
      <c r="F56" s="191" t="str">
        <f t="shared" si="5"/>
        <v/>
      </c>
      <c r="G56" s="185"/>
      <c r="H56" s="185"/>
      <c r="I56" s="185"/>
      <c r="K56" s="141" t="str">
        <f t="shared" si="6"/>
        <v/>
      </c>
      <c r="L56" s="141" t="str">
        <f t="shared" si="7"/>
        <v/>
      </c>
      <c r="Q56" s="6">
        <v>642990031</v>
      </c>
      <c r="R56" s="6" t="s">
        <v>241</v>
      </c>
      <c r="S56" s="6">
        <v>31</v>
      </c>
      <c r="T56" s="6" t="s">
        <v>98</v>
      </c>
      <c r="U56">
        <v>642</v>
      </c>
    </row>
    <row r="57" spans="1:21">
      <c r="A57" s="139" t="str">
        <f>IF(E57="","",VLOOKUP('Opći dio'!$C$3,'Opći dio'!$L$6:$U$136,10,FALSE))</f>
        <v/>
      </c>
      <c r="B57" s="139" t="str">
        <f>IF(E57="","",VLOOKUP('Opći dio'!$C$3,'Opći dio'!$L$6:$U$136,9,FALSE))</f>
        <v/>
      </c>
      <c r="C57" s="187" t="str">
        <f t="shared" si="3"/>
        <v/>
      </c>
      <c r="D57" s="138" t="str">
        <f t="shared" si="4"/>
        <v/>
      </c>
      <c r="E57" s="150"/>
      <c r="F57" s="191" t="str">
        <f t="shared" si="5"/>
        <v/>
      </c>
      <c r="G57" s="185"/>
      <c r="H57" s="185"/>
      <c r="I57" s="185"/>
      <c r="K57" s="141" t="str">
        <f t="shared" si="6"/>
        <v/>
      </c>
      <c r="L57" s="141" t="str">
        <f t="shared" si="7"/>
        <v/>
      </c>
      <c r="Q57" s="6">
        <v>651480000</v>
      </c>
      <c r="R57" s="6" t="s">
        <v>22</v>
      </c>
      <c r="S57" s="6">
        <v>43</v>
      </c>
      <c r="T57" s="6" t="s">
        <v>103</v>
      </c>
      <c r="U57">
        <v>651</v>
      </c>
    </row>
    <row r="58" spans="1:21">
      <c r="A58" s="139" t="str">
        <f>IF(E58="","",VLOOKUP('Opći dio'!$C$3,'Opći dio'!$L$6:$U$136,10,FALSE))</f>
        <v/>
      </c>
      <c r="B58" s="139" t="str">
        <f>IF(E58="","",VLOOKUP('Opći dio'!$C$3,'Opći dio'!$L$6:$U$136,9,FALSE))</f>
        <v/>
      </c>
      <c r="C58" s="187" t="str">
        <f t="shared" si="3"/>
        <v/>
      </c>
      <c r="D58" s="138" t="str">
        <f t="shared" si="4"/>
        <v/>
      </c>
      <c r="E58" s="150"/>
      <c r="F58" s="191" t="str">
        <f t="shared" si="5"/>
        <v/>
      </c>
      <c r="G58" s="185"/>
      <c r="H58" s="185"/>
      <c r="I58" s="185"/>
      <c r="K58" s="141" t="str">
        <f t="shared" si="6"/>
        <v/>
      </c>
      <c r="L58" s="141" t="str">
        <f t="shared" si="7"/>
        <v/>
      </c>
      <c r="Q58" s="6">
        <v>652180000</v>
      </c>
      <c r="R58" s="6" t="s">
        <v>2104</v>
      </c>
      <c r="S58" s="6">
        <v>43</v>
      </c>
      <c r="T58" s="6" t="s">
        <v>103</v>
      </c>
      <c r="U58">
        <v>652</v>
      </c>
    </row>
    <row r="59" spans="1:21">
      <c r="A59" s="139" t="str">
        <f>IF(E59="","",VLOOKUP('Opći dio'!$C$3,'Opći dio'!$L$6:$U$136,10,FALSE))</f>
        <v/>
      </c>
      <c r="B59" s="139" t="str">
        <f>IF(E59="","",VLOOKUP('Opći dio'!$C$3,'Opći dio'!$L$6:$U$136,9,FALSE))</f>
        <v/>
      </c>
      <c r="C59" s="187" t="str">
        <f t="shared" si="3"/>
        <v/>
      </c>
      <c r="D59" s="138" t="str">
        <f t="shared" si="4"/>
        <v/>
      </c>
      <c r="E59" s="150"/>
      <c r="F59" s="191" t="str">
        <f t="shared" si="5"/>
        <v/>
      </c>
      <c r="G59" s="185"/>
      <c r="H59" s="185"/>
      <c r="I59" s="185"/>
      <c r="K59" s="141" t="str">
        <f t="shared" si="6"/>
        <v/>
      </c>
      <c r="L59" s="141" t="str">
        <f t="shared" si="7"/>
        <v/>
      </c>
      <c r="Q59" s="6">
        <v>652640000</v>
      </c>
      <c r="R59" s="6" t="s">
        <v>243</v>
      </c>
      <c r="S59" s="6">
        <v>43</v>
      </c>
      <c r="T59" s="6" t="s">
        <v>103</v>
      </c>
      <c r="U59">
        <v>625</v>
      </c>
    </row>
    <row r="60" spans="1:21">
      <c r="A60" s="139" t="str">
        <f>IF(E60="","",VLOOKUP('Opći dio'!$C$3,'Opći dio'!$L$6:$U$136,10,FALSE))</f>
        <v/>
      </c>
      <c r="B60" s="139" t="str">
        <f>IF(E60="","",VLOOKUP('Opći dio'!$C$3,'Opći dio'!$L$6:$U$136,9,FALSE))</f>
        <v/>
      </c>
      <c r="C60" s="187" t="str">
        <f t="shared" si="3"/>
        <v/>
      </c>
      <c r="D60" s="138" t="str">
        <f t="shared" si="4"/>
        <v/>
      </c>
      <c r="E60" s="150"/>
      <c r="F60" s="191" t="str">
        <f t="shared" si="5"/>
        <v/>
      </c>
      <c r="G60" s="185"/>
      <c r="H60" s="185"/>
      <c r="I60" s="185"/>
      <c r="K60" s="141" t="str">
        <f t="shared" si="6"/>
        <v/>
      </c>
      <c r="L60" s="141" t="str">
        <f t="shared" si="7"/>
        <v/>
      </c>
      <c r="Q60" s="6">
        <v>652670043</v>
      </c>
      <c r="R60" s="6" t="s">
        <v>244</v>
      </c>
      <c r="S60" s="6">
        <v>43</v>
      </c>
      <c r="T60" s="6" t="s">
        <v>103</v>
      </c>
      <c r="U60">
        <v>652</v>
      </c>
    </row>
    <row r="61" spans="1:21">
      <c r="A61" s="139" t="str">
        <f>IF(E61="","",VLOOKUP('Opći dio'!$C$3,'Opći dio'!$L$6:$U$136,10,FALSE))</f>
        <v/>
      </c>
      <c r="B61" s="139" t="str">
        <f>IF(E61="","",VLOOKUP('Opći dio'!$C$3,'Opći dio'!$L$6:$U$136,9,FALSE))</f>
        <v/>
      </c>
      <c r="C61" s="187" t="str">
        <f t="shared" si="3"/>
        <v/>
      </c>
      <c r="D61" s="138" t="str">
        <f t="shared" si="4"/>
        <v/>
      </c>
      <c r="E61" s="150"/>
      <c r="F61" s="191" t="str">
        <f t="shared" si="5"/>
        <v/>
      </c>
      <c r="G61" s="185"/>
      <c r="H61" s="185"/>
      <c r="I61" s="185"/>
      <c r="K61" s="141" t="str">
        <f t="shared" si="6"/>
        <v/>
      </c>
      <c r="L61" s="141" t="str">
        <f t="shared" si="7"/>
        <v/>
      </c>
      <c r="Q61" s="6">
        <v>652680000</v>
      </c>
      <c r="R61" s="6" t="s">
        <v>2105</v>
      </c>
      <c r="S61" s="6">
        <v>43</v>
      </c>
      <c r="T61" s="6" t="s">
        <v>103</v>
      </c>
      <c r="U61">
        <v>652</v>
      </c>
    </row>
    <row r="62" spans="1:21">
      <c r="A62" s="139" t="str">
        <f>IF(E62="","",VLOOKUP('Opći dio'!$C$3,'Opći dio'!$L$6:$U$136,10,FALSE))</f>
        <v/>
      </c>
      <c r="B62" s="139" t="str">
        <f>IF(E62="","",VLOOKUP('Opći dio'!$C$3,'Opći dio'!$L$6:$U$136,9,FALSE))</f>
        <v/>
      </c>
      <c r="C62" s="187" t="str">
        <f t="shared" si="3"/>
        <v/>
      </c>
      <c r="D62" s="138" t="str">
        <f t="shared" si="4"/>
        <v/>
      </c>
      <c r="E62" s="150"/>
      <c r="F62" s="191" t="str">
        <f t="shared" si="5"/>
        <v/>
      </c>
      <c r="G62" s="185"/>
      <c r="H62" s="185"/>
      <c r="I62" s="185"/>
      <c r="K62" s="141" t="str">
        <f t="shared" si="6"/>
        <v/>
      </c>
      <c r="L62" s="141" t="str">
        <f t="shared" si="7"/>
        <v/>
      </c>
      <c r="Q62" s="6">
        <v>6614</v>
      </c>
      <c r="R62" s="6" t="s">
        <v>2130</v>
      </c>
      <c r="S62" s="6">
        <v>31</v>
      </c>
      <c r="T62" s="6" t="s">
        <v>98</v>
      </c>
      <c r="U62">
        <v>661</v>
      </c>
    </row>
    <row r="63" spans="1:21">
      <c r="A63" s="139" t="str">
        <f>IF(E63="","",VLOOKUP('Opći dio'!$C$3,'Opći dio'!$L$6:$U$136,10,FALSE))</f>
        <v/>
      </c>
      <c r="B63" s="139" t="str">
        <f>IF(E63="","",VLOOKUP('Opći dio'!$C$3,'Opći dio'!$L$6:$U$136,9,FALSE))</f>
        <v/>
      </c>
      <c r="C63" s="187" t="str">
        <f t="shared" si="3"/>
        <v/>
      </c>
      <c r="D63" s="138" t="str">
        <f t="shared" si="4"/>
        <v/>
      </c>
      <c r="E63" s="150"/>
      <c r="F63" s="191" t="str">
        <f t="shared" si="5"/>
        <v/>
      </c>
      <c r="G63" s="185"/>
      <c r="H63" s="185"/>
      <c r="I63" s="185"/>
      <c r="K63" s="141" t="str">
        <f t="shared" si="6"/>
        <v/>
      </c>
      <c r="L63" s="141" t="str">
        <f t="shared" si="7"/>
        <v/>
      </c>
      <c r="Q63" s="6">
        <v>6615</v>
      </c>
      <c r="R63" s="6" t="s">
        <v>21</v>
      </c>
      <c r="S63" s="6">
        <v>31</v>
      </c>
      <c r="T63" s="6" t="s">
        <v>98</v>
      </c>
      <c r="U63">
        <v>661</v>
      </c>
    </row>
    <row r="64" spans="1:21">
      <c r="A64" s="139" t="str">
        <f>IF(E64="","",VLOOKUP('Opći dio'!$C$3,'Opći dio'!$L$6:$U$136,10,FALSE))</f>
        <v/>
      </c>
      <c r="B64" s="139" t="str">
        <f>IF(E64="","",VLOOKUP('Opći dio'!$C$3,'Opći dio'!$L$6:$U$136,9,FALSE))</f>
        <v/>
      </c>
      <c r="C64" s="187" t="str">
        <f t="shared" si="3"/>
        <v/>
      </c>
      <c r="D64" s="138" t="str">
        <f t="shared" si="4"/>
        <v/>
      </c>
      <c r="E64" s="150"/>
      <c r="F64" s="191" t="str">
        <f t="shared" si="5"/>
        <v/>
      </c>
      <c r="G64" s="185"/>
      <c r="H64" s="185"/>
      <c r="I64" s="185"/>
      <c r="K64" s="141" t="str">
        <f t="shared" si="6"/>
        <v/>
      </c>
      <c r="L64" s="141" t="str">
        <f t="shared" si="7"/>
        <v/>
      </c>
      <c r="Q64" s="6">
        <v>663110000</v>
      </c>
      <c r="R64" s="6" t="s">
        <v>35</v>
      </c>
      <c r="S64" s="6">
        <v>61</v>
      </c>
      <c r="T64" s="6" t="s">
        <v>2106</v>
      </c>
      <c r="U64">
        <v>663</v>
      </c>
    </row>
    <row r="65" spans="1:21">
      <c r="A65" s="139" t="str">
        <f>IF(E65="","",VLOOKUP('Opći dio'!$C$3,'Opći dio'!$L$6:$U$136,10,FALSE))</f>
        <v/>
      </c>
      <c r="B65" s="139" t="str">
        <f>IF(E65="","",VLOOKUP('Opći dio'!$C$3,'Opći dio'!$L$6:$U$136,9,FALSE))</f>
        <v/>
      </c>
      <c r="C65" s="187" t="str">
        <f t="shared" si="3"/>
        <v/>
      </c>
      <c r="D65" s="138" t="str">
        <f t="shared" si="4"/>
        <v/>
      </c>
      <c r="E65" s="150"/>
      <c r="F65" s="191" t="str">
        <f t="shared" si="5"/>
        <v/>
      </c>
      <c r="G65" s="185"/>
      <c r="H65" s="185"/>
      <c r="I65" s="185"/>
      <c r="K65" s="141" t="str">
        <f t="shared" si="6"/>
        <v/>
      </c>
      <c r="L65" s="141" t="str">
        <f t="shared" si="7"/>
        <v/>
      </c>
      <c r="Q65" s="6">
        <v>663120000</v>
      </c>
      <c r="R65" s="6" t="s">
        <v>36</v>
      </c>
      <c r="S65" s="6">
        <v>61</v>
      </c>
      <c r="T65" s="6" t="s">
        <v>2106</v>
      </c>
      <c r="U65">
        <v>663</v>
      </c>
    </row>
    <row r="66" spans="1:21">
      <c r="A66" s="139" t="str">
        <f>IF(E66="","",VLOOKUP('Opći dio'!$C$3,'Opći dio'!$L$6:$U$136,10,FALSE))</f>
        <v/>
      </c>
      <c r="B66" s="139" t="str">
        <f>IF(E66="","",VLOOKUP('Opći dio'!$C$3,'Opći dio'!$L$6:$U$136,9,FALSE))</f>
        <v/>
      </c>
      <c r="C66" s="187" t="str">
        <f t="shared" si="3"/>
        <v/>
      </c>
      <c r="D66" s="138" t="str">
        <f t="shared" si="4"/>
        <v/>
      </c>
      <c r="E66" s="150"/>
      <c r="F66" s="191" t="str">
        <f t="shared" si="5"/>
        <v/>
      </c>
      <c r="G66" s="185"/>
      <c r="H66" s="185"/>
      <c r="I66" s="185"/>
      <c r="K66" s="141" t="str">
        <f t="shared" si="6"/>
        <v/>
      </c>
      <c r="L66" s="141" t="str">
        <f t="shared" si="7"/>
        <v/>
      </c>
      <c r="Q66" s="6">
        <v>663130000</v>
      </c>
      <c r="R66" s="6" t="s">
        <v>37</v>
      </c>
      <c r="S66" s="6">
        <v>61</v>
      </c>
      <c r="T66" s="6" t="s">
        <v>2106</v>
      </c>
      <c r="U66">
        <v>663</v>
      </c>
    </row>
    <row r="67" spans="1:21">
      <c r="A67" s="139" t="str">
        <f>IF(E67="","",VLOOKUP('Opći dio'!$C$3,'Opći dio'!$L$6:$U$136,10,FALSE))</f>
        <v/>
      </c>
      <c r="B67" s="139" t="str">
        <f>IF(E67="","",VLOOKUP('Opći dio'!$C$3,'Opći dio'!$L$6:$U$136,9,FALSE))</f>
        <v/>
      </c>
      <c r="C67" s="187" t="str">
        <f t="shared" si="3"/>
        <v/>
      </c>
      <c r="D67" s="138" t="str">
        <f t="shared" si="4"/>
        <v/>
      </c>
      <c r="E67" s="150"/>
      <c r="F67" s="191" t="str">
        <f t="shared" si="5"/>
        <v/>
      </c>
      <c r="G67" s="185"/>
      <c r="H67" s="185"/>
      <c r="I67" s="185"/>
      <c r="K67" s="141" t="str">
        <f t="shared" si="6"/>
        <v/>
      </c>
      <c r="L67" s="141" t="str">
        <f t="shared" si="7"/>
        <v/>
      </c>
      <c r="Q67" s="6">
        <v>663140000</v>
      </c>
      <c r="R67" s="6" t="s">
        <v>2107</v>
      </c>
      <c r="S67" s="6">
        <v>61</v>
      </c>
      <c r="T67" s="6" t="s">
        <v>2106</v>
      </c>
      <c r="U67">
        <v>663</v>
      </c>
    </row>
    <row r="68" spans="1:21">
      <c r="A68" s="139" t="str">
        <f>IF(E68="","",VLOOKUP('Opći dio'!$C$3,'Opći dio'!$L$6:$U$136,10,FALSE))</f>
        <v/>
      </c>
      <c r="B68" s="139" t="str">
        <f>IF(E68="","",VLOOKUP('Opći dio'!$C$3,'Opći dio'!$L$6:$U$136,9,FALSE))</f>
        <v/>
      </c>
      <c r="C68" s="187" t="str">
        <f t="shared" ref="C68:C131" si="8">IFERROR(VLOOKUP(E68,$Q$6:$T$200,3,FALSE),"")</f>
        <v/>
      </c>
      <c r="D68" s="138" t="str">
        <f t="shared" ref="D68:D131" si="9">IFERROR(VLOOKUP(E68,$Q$6:$T$200,4,FALSE),"")</f>
        <v/>
      </c>
      <c r="E68" s="150"/>
      <c r="F68" s="191" t="str">
        <f t="shared" ref="F68:F131" si="10">IFERROR(VLOOKUP(E68,$Q$6:$T$200,2,FALSE),"")</f>
        <v/>
      </c>
      <c r="G68" s="185"/>
      <c r="H68" s="185"/>
      <c r="I68" s="185"/>
      <c r="K68" s="141" t="str">
        <f t="shared" ref="K68:K131" si="11">LEFT(E68,3)</f>
        <v/>
      </c>
      <c r="L68" s="141" t="str">
        <f t="shared" ref="L68:L131" si="12">LEFT(E68,2)</f>
        <v/>
      </c>
      <c r="Q68" s="6">
        <v>663210000</v>
      </c>
      <c r="R68" s="6" t="s">
        <v>2108</v>
      </c>
      <c r="S68" s="6">
        <v>61</v>
      </c>
      <c r="T68" s="6" t="s">
        <v>2106</v>
      </c>
      <c r="U68">
        <v>663</v>
      </c>
    </row>
    <row r="69" spans="1:21">
      <c r="A69" s="139" t="str">
        <f>IF(E69="","",VLOOKUP('Opći dio'!$C$3,'Opći dio'!$L$6:$U$136,10,FALSE))</f>
        <v/>
      </c>
      <c r="B69" s="139" t="str">
        <f>IF(E69="","",VLOOKUP('Opći dio'!$C$3,'Opći dio'!$L$6:$U$136,9,FALSE))</f>
        <v/>
      </c>
      <c r="C69" s="187" t="str">
        <f t="shared" si="8"/>
        <v/>
      </c>
      <c r="D69" s="138" t="str">
        <f t="shared" si="9"/>
        <v/>
      </c>
      <c r="E69" s="150"/>
      <c r="F69" s="191" t="str">
        <f t="shared" si="10"/>
        <v/>
      </c>
      <c r="G69" s="185"/>
      <c r="H69" s="185"/>
      <c r="I69" s="185"/>
      <c r="K69" s="141" t="str">
        <f t="shared" si="11"/>
        <v/>
      </c>
      <c r="L69" s="141" t="str">
        <f t="shared" si="12"/>
        <v/>
      </c>
      <c r="Q69" s="6">
        <v>663220000</v>
      </c>
      <c r="R69" s="6" t="s">
        <v>38</v>
      </c>
      <c r="S69" s="6">
        <v>61</v>
      </c>
      <c r="T69" s="6" t="s">
        <v>2106</v>
      </c>
      <c r="U69">
        <v>663</v>
      </c>
    </row>
    <row r="70" spans="1:21">
      <c r="A70" s="139" t="str">
        <f>IF(E70="","",VLOOKUP('Opći dio'!$C$3,'Opći dio'!$L$6:$U$136,10,FALSE))</f>
        <v/>
      </c>
      <c r="B70" s="139" t="str">
        <f>IF(E70="","",VLOOKUP('Opći dio'!$C$3,'Opći dio'!$L$6:$U$136,9,FALSE))</f>
        <v/>
      </c>
      <c r="C70" s="187" t="str">
        <f t="shared" si="8"/>
        <v/>
      </c>
      <c r="D70" s="138" t="str">
        <f t="shared" si="9"/>
        <v/>
      </c>
      <c r="E70" s="150"/>
      <c r="F70" s="191" t="str">
        <f t="shared" si="10"/>
        <v/>
      </c>
      <c r="G70" s="185"/>
      <c r="H70" s="185"/>
      <c r="I70" s="185"/>
      <c r="K70" s="141" t="str">
        <f t="shared" si="11"/>
        <v/>
      </c>
      <c r="L70" s="141" t="str">
        <f t="shared" si="12"/>
        <v/>
      </c>
      <c r="Q70" s="6">
        <v>663230000</v>
      </c>
      <c r="R70" s="6" t="s">
        <v>39</v>
      </c>
      <c r="S70" s="6">
        <v>61</v>
      </c>
      <c r="T70" s="6" t="s">
        <v>2106</v>
      </c>
      <c r="U70">
        <v>663</v>
      </c>
    </row>
    <row r="71" spans="1:21">
      <c r="A71" s="139" t="str">
        <f>IF(E71="","",VLOOKUP('Opći dio'!$C$3,'Opći dio'!$L$6:$U$136,10,FALSE))</f>
        <v/>
      </c>
      <c r="B71" s="139" t="str">
        <f>IF(E71="","",VLOOKUP('Opći dio'!$C$3,'Opći dio'!$L$6:$U$136,9,FALSE))</f>
        <v/>
      </c>
      <c r="C71" s="187" t="str">
        <f t="shared" si="8"/>
        <v/>
      </c>
      <c r="D71" s="138" t="str">
        <f t="shared" si="9"/>
        <v/>
      </c>
      <c r="E71" s="150"/>
      <c r="F71" s="191" t="str">
        <f t="shared" si="10"/>
        <v/>
      </c>
      <c r="G71" s="185"/>
      <c r="H71" s="185"/>
      <c r="I71" s="185"/>
      <c r="K71" s="141" t="str">
        <f t="shared" si="11"/>
        <v/>
      </c>
      <c r="L71" s="141" t="str">
        <f t="shared" si="12"/>
        <v/>
      </c>
      <c r="Q71" s="6">
        <v>663240000</v>
      </c>
      <c r="R71" s="6" t="s">
        <v>2109</v>
      </c>
      <c r="S71" s="6">
        <v>61</v>
      </c>
      <c r="T71" s="6" t="s">
        <v>2106</v>
      </c>
      <c r="U71">
        <v>663</v>
      </c>
    </row>
    <row r="72" spans="1:21">
      <c r="A72" s="139" t="str">
        <f>IF(E72="","",VLOOKUP('Opći dio'!$C$3,'Opći dio'!$L$6:$U$136,10,FALSE))</f>
        <v/>
      </c>
      <c r="B72" s="139" t="str">
        <f>IF(E72="","",VLOOKUP('Opći dio'!$C$3,'Opći dio'!$L$6:$U$136,9,FALSE))</f>
        <v/>
      </c>
      <c r="C72" s="187" t="str">
        <f t="shared" si="8"/>
        <v/>
      </c>
      <c r="D72" s="138" t="str">
        <f t="shared" si="9"/>
        <v/>
      </c>
      <c r="E72" s="150"/>
      <c r="F72" s="191" t="str">
        <f t="shared" si="10"/>
        <v/>
      </c>
      <c r="G72" s="185"/>
      <c r="H72" s="185"/>
      <c r="I72" s="185"/>
      <c r="K72" s="141" t="str">
        <f t="shared" si="11"/>
        <v/>
      </c>
      <c r="L72" s="141" t="str">
        <f t="shared" si="12"/>
        <v/>
      </c>
      <c r="Q72" s="6">
        <v>681910043</v>
      </c>
      <c r="R72" s="6" t="s">
        <v>245</v>
      </c>
      <c r="S72" s="6">
        <v>43</v>
      </c>
      <c r="T72" s="6" t="s">
        <v>103</v>
      </c>
      <c r="U72">
        <v>681</v>
      </c>
    </row>
    <row r="73" spans="1:21">
      <c r="A73" s="139" t="str">
        <f>IF(E73="","",VLOOKUP('Opći dio'!$C$3,'Opći dio'!$L$6:$U$136,10,FALSE))</f>
        <v/>
      </c>
      <c r="B73" s="139" t="str">
        <f>IF(E73="","",VLOOKUP('Opći dio'!$C$3,'Opći dio'!$L$6:$U$136,9,FALSE))</f>
        <v/>
      </c>
      <c r="C73" s="187" t="str">
        <f t="shared" si="8"/>
        <v/>
      </c>
      <c r="D73" s="138" t="str">
        <f t="shared" si="9"/>
        <v/>
      </c>
      <c r="E73" s="150"/>
      <c r="F73" s="191" t="str">
        <f t="shared" si="10"/>
        <v/>
      </c>
      <c r="G73" s="185"/>
      <c r="H73" s="185"/>
      <c r="I73" s="185"/>
      <c r="K73" s="141" t="str">
        <f t="shared" si="11"/>
        <v/>
      </c>
      <c r="L73" s="141" t="str">
        <f t="shared" si="12"/>
        <v/>
      </c>
      <c r="Q73" s="6">
        <v>683110031</v>
      </c>
      <c r="R73" s="6" t="s">
        <v>2110</v>
      </c>
      <c r="S73" s="6">
        <v>31</v>
      </c>
      <c r="T73" s="6" t="s">
        <v>98</v>
      </c>
      <c r="U73">
        <v>683</v>
      </c>
    </row>
    <row r="74" spans="1:21">
      <c r="A74" s="139" t="str">
        <f>IF(E74="","",VLOOKUP('Opći dio'!$C$3,'Opći dio'!$L$6:$U$136,10,FALSE))</f>
        <v/>
      </c>
      <c r="B74" s="139" t="str">
        <f>IF(E74="","",VLOOKUP('Opći dio'!$C$3,'Opći dio'!$L$6:$U$136,9,FALSE))</f>
        <v/>
      </c>
      <c r="C74" s="187" t="str">
        <f t="shared" si="8"/>
        <v/>
      </c>
      <c r="D74" s="138" t="str">
        <f t="shared" si="9"/>
        <v/>
      </c>
      <c r="E74" s="150"/>
      <c r="F74" s="191" t="str">
        <f t="shared" si="10"/>
        <v/>
      </c>
      <c r="G74" s="185"/>
      <c r="H74" s="185"/>
      <c r="I74" s="185"/>
      <c r="K74" s="141" t="str">
        <f t="shared" si="11"/>
        <v/>
      </c>
      <c r="L74" s="141" t="str">
        <f t="shared" si="12"/>
        <v/>
      </c>
      <c r="Q74" s="6">
        <v>683110043</v>
      </c>
      <c r="R74" s="6" t="s">
        <v>246</v>
      </c>
      <c r="S74" s="6">
        <v>43</v>
      </c>
      <c r="T74" s="6" t="s">
        <v>103</v>
      </c>
      <c r="U74">
        <v>683</v>
      </c>
    </row>
    <row r="75" spans="1:21">
      <c r="A75" s="139" t="str">
        <f>IF(E75="","",VLOOKUP('Opći dio'!$C$3,'Opći dio'!$L$6:$U$136,10,FALSE))</f>
        <v/>
      </c>
      <c r="B75" s="139" t="str">
        <f>IF(E75="","",VLOOKUP('Opći dio'!$C$3,'Opći dio'!$L$6:$U$136,9,FALSE))</f>
        <v/>
      </c>
      <c r="C75" s="187" t="str">
        <f t="shared" si="8"/>
        <v/>
      </c>
      <c r="D75" s="138" t="str">
        <f t="shared" si="9"/>
        <v/>
      </c>
      <c r="E75" s="150"/>
      <c r="F75" s="191" t="str">
        <f t="shared" si="10"/>
        <v/>
      </c>
      <c r="G75" s="185"/>
      <c r="H75" s="185"/>
      <c r="I75" s="185"/>
      <c r="K75" s="141" t="str">
        <f t="shared" si="11"/>
        <v/>
      </c>
      <c r="L75" s="141" t="str">
        <f t="shared" si="12"/>
        <v/>
      </c>
      <c r="Q75" s="6">
        <v>711110071</v>
      </c>
      <c r="R75" s="6" t="s">
        <v>2111</v>
      </c>
      <c r="S75" s="6">
        <v>71</v>
      </c>
      <c r="T75" s="6" t="s">
        <v>2112</v>
      </c>
      <c r="U75">
        <v>711</v>
      </c>
    </row>
    <row r="76" spans="1:21">
      <c r="A76" s="139" t="str">
        <f>IF(E76="","",VLOOKUP('Opći dio'!$C$3,'Opći dio'!$L$6:$U$136,10,FALSE))</f>
        <v/>
      </c>
      <c r="B76" s="139" t="str">
        <f>IF(E76="","",VLOOKUP('Opći dio'!$C$3,'Opći dio'!$L$6:$U$136,9,FALSE))</f>
        <v/>
      </c>
      <c r="C76" s="187" t="str">
        <f t="shared" si="8"/>
        <v/>
      </c>
      <c r="D76" s="138" t="str">
        <f t="shared" si="9"/>
        <v/>
      </c>
      <c r="E76" s="150"/>
      <c r="F76" s="191" t="str">
        <f t="shared" si="10"/>
        <v/>
      </c>
      <c r="G76" s="185"/>
      <c r="H76" s="185"/>
      <c r="I76" s="185"/>
      <c r="K76" s="141" t="str">
        <f t="shared" si="11"/>
        <v/>
      </c>
      <c r="L76" s="141" t="str">
        <f t="shared" si="12"/>
        <v/>
      </c>
      <c r="Q76" s="6">
        <v>711120071</v>
      </c>
      <c r="R76" s="6" t="s">
        <v>2113</v>
      </c>
      <c r="S76" s="6">
        <v>71</v>
      </c>
      <c r="T76" s="6" t="s">
        <v>2112</v>
      </c>
      <c r="U76">
        <v>711</v>
      </c>
    </row>
    <row r="77" spans="1:21">
      <c r="A77" s="139" t="str">
        <f>IF(E77="","",VLOOKUP('Opći dio'!$C$3,'Opći dio'!$L$6:$U$136,10,FALSE))</f>
        <v/>
      </c>
      <c r="B77" s="139" t="str">
        <f>IF(E77="","",VLOOKUP('Opći dio'!$C$3,'Opći dio'!$L$6:$U$136,9,FALSE))</f>
        <v/>
      </c>
      <c r="C77" s="187" t="str">
        <f t="shared" si="8"/>
        <v/>
      </c>
      <c r="D77" s="138" t="str">
        <f t="shared" si="9"/>
        <v/>
      </c>
      <c r="E77" s="150"/>
      <c r="F77" s="191" t="str">
        <f t="shared" si="10"/>
        <v/>
      </c>
      <c r="G77" s="185"/>
      <c r="H77" s="185"/>
      <c r="I77" s="185"/>
      <c r="K77" s="141" t="str">
        <f t="shared" si="11"/>
        <v/>
      </c>
      <c r="L77" s="141" t="str">
        <f t="shared" si="12"/>
        <v/>
      </c>
      <c r="Q77" s="6">
        <v>712410071</v>
      </c>
      <c r="R77" s="6" t="s">
        <v>248</v>
      </c>
      <c r="S77" s="6">
        <v>71</v>
      </c>
      <c r="T77" s="6" t="s">
        <v>2112</v>
      </c>
      <c r="U77">
        <v>712</v>
      </c>
    </row>
    <row r="78" spans="1:21">
      <c r="A78" s="139" t="str">
        <f>IF(E78="","",VLOOKUP('Opći dio'!$C$3,'Opći dio'!$L$6:$U$136,10,FALSE))</f>
        <v/>
      </c>
      <c r="B78" s="139" t="str">
        <f>IF(E78="","",VLOOKUP('Opći dio'!$C$3,'Opći dio'!$L$6:$U$136,9,FALSE))</f>
        <v/>
      </c>
      <c r="C78" s="187" t="str">
        <f t="shared" si="8"/>
        <v/>
      </c>
      <c r="D78" s="138" t="str">
        <f t="shared" si="9"/>
        <v/>
      </c>
      <c r="E78" s="150"/>
      <c r="F78" s="191" t="str">
        <f t="shared" si="10"/>
        <v/>
      </c>
      <c r="G78" s="185"/>
      <c r="H78" s="185"/>
      <c r="I78" s="185"/>
      <c r="K78" s="141" t="str">
        <f t="shared" si="11"/>
        <v/>
      </c>
      <c r="L78" s="141" t="str">
        <f t="shared" si="12"/>
        <v/>
      </c>
      <c r="Q78" s="6">
        <v>712490071</v>
      </c>
      <c r="R78" s="6" t="s">
        <v>249</v>
      </c>
      <c r="S78" s="6">
        <v>71</v>
      </c>
      <c r="T78" s="6" t="s">
        <v>2112</v>
      </c>
      <c r="U78">
        <v>712</v>
      </c>
    </row>
    <row r="79" spans="1:21">
      <c r="A79" s="139" t="str">
        <f>IF(E79="","",VLOOKUP('Opći dio'!$C$3,'Opći dio'!$L$6:$U$136,10,FALSE))</f>
        <v/>
      </c>
      <c r="B79" s="139" t="str">
        <f>IF(E79="","",VLOOKUP('Opći dio'!$C$3,'Opći dio'!$L$6:$U$136,9,FALSE))</f>
        <v/>
      </c>
      <c r="C79" s="187" t="str">
        <f t="shared" si="8"/>
        <v/>
      </c>
      <c r="D79" s="138" t="str">
        <f t="shared" si="9"/>
        <v/>
      </c>
      <c r="E79" s="150"/>
      <c r="F79" s="191" t="str">
        <f t="shared" si="10"/>
        <v/>
      </c>
      <c r="G79" s="185"/>
      <c r="H79" s="185"/>
      <c r="I79" s="185"/>
      <c r="K79" s="141" t="str">
        <f t="shared" si="11"/>
        <v/>
      </c>
      <c r="L79" s="141" t="str">
        <f t="shared" si="12"/>
        <v/>
      </c>
      <c r="Q79" s="6">
        <v>721110071</v>
      </c>
      <c r="R79" s="6" t="s">
        <v>250</v>
      </c>
      <c r="S79" s="6">
        <v>71</v>
      </c>
      <c r="T79" s="6" t="s">
        <v>2112</v>
      </c>
      <c r="U79">
        <v>721</v>
      </c>
    </row>
    <row r="80" spans="1:21">
      <c r="A80" s="139" t="str">
        <f>IF(E80="","",VLOOKUP('Opći dio'!$C$3,'Opći dio'!$L$6:$U$136,10,FALSE))</f>
        <v/>
      </c>
      <c r="B80" s="139" t="str">
        <f>IF(E80="","",VLOOKUP('Opći dio'!$C$3,'Opći dio'!$L$6:$U$136,9,FALSE))</f>
        <v/>
      </c>
      <c r="C80" s="187" t="str">
        <f t="shared" si="8"/>
        <v/>
      </c>
      <c r="D80" s="138" t="str">
        <f t="shared" si="9"/>
        <v/>
      </c>
      <c r="E80" s="150"/>
      <c r="F80" s="191" t="str">
        <f t="shared" si="10"/>
        <v/>
      </c>
      <c r="G80" s="185"/>
      <c r="H80" s="185"/>
      <c r="I80" s="185"/>
      <c r="K80" s="141" t="str">
        <f t="shared" si="11"/>
        <v/>
      </c>
      <c r="L80" s="141" t="str">
        <f t="shared" si="12"/>
        <v/>
      </c>
      <c r="Q80" s="6">
        <v>721190071</v>
      </c>
      <c r="R80" s="6" t="s">
        <v>251</v>
      </c>
      <c r="S80" s="6">
        <v>71</v>
      </c>
      <c r="T80" s="6" t="s">
        <v>2112</v>
      </c>
      <c r="U80">
        <v>721</v>
      </c>
    </row>
    <row r="81" spans="1:21">
      <c r="A81" s="139" t="str">
        <f>IF(E81="","",VLOOKUP('Opći dio'!$C$3,'Opći dio'!$L$6:$U$136,10,FALSE))</f>
        <v/>
      </c>
      <c r="B81" s="139" t="str">
        <f>IF(E81="","",VLOOKUP('Opći dio'!$C$3,'Opći dio'!$L$6:$U$136,9,FALSE))</f>
        <v/>
      </c>
      <c r="C81" s="187" t="str">
        <f t="shared" si="8"/>
        <v/>
      </c>
      <c r="D81" s="138" t="str">
        <f t="shared" si="9"/>
        <v/>
      </c>
      <c r="E81" s="150"/>
      <c r="F81" s="191" t="str">
        <f t="shared" si="10"/>
        <v/>
      </c>
      <c r="G81" s="185"/>
      <c r="H81" s="185"/>
      <c r="I81" s="185"/>
      <c r="K81" s="141" t="str">
        <f t="shared" si="11"/>
        <v/>
      </c>
      <c r="L81" s="141" t="str">
        <f t="shared" si="12"/>
        <v/>
      </c>
      <c r="Q81" s="6">
        <v>721230071</v>
      </c>
      <c r="R81" s="6" t="s">
        <v>252</v>
      </c>
      <c r="S81" s="6">
        <v>71</v>
      </c>
      <c r="T81" s="6" t="s">
        <v>2112</v>
      </c>
      <c r="U81">
        <v>721</v>
      </c>
    </row>
    <row r="82" spans="1:21">
      <c r="A82" s="139" t="str">
        <f>IF(E82="","",VLOOKUP('Opći dio'!$C$3,'Opći dio'!$L$6:$U$136,10,FALSE))</f>
        <v/>
      </c>
      <c r="B82" s="139" t="str">
        <f>IF(E82="","",VLOOKUP('Opći dio'!$C$3,'Opći dio'!$L$6:$U$136,9,FALSE))</f>
        <v/>
      </c>
      <c r="C82" s="187" t="str">
        <f t="shared" si="8"/>
        <v/>
      </c>
      <c r="D82" s="138" t="str">
        <f t="shared" si="9"/>
        <v/>
      </c>
      <c r="E82" s="150"/>
      <c r="F82" s="191" t="str">
        <f t="shared" si="10"/>
        <v/>
      </c>
      <c r="G82" s="185"/>
      <c r="H82" s="185"/>
      <c r="I82" s="185"/>
      <c r="K82" s="141" t="str">
        <f t="shared" si="11"/>
        <v/>
      </c>
      <c r="L82" s="141" t="str">
        <f t="shared" si="12"/>
        <v/>
      </c>
      <c r="Q82" s="6">
        <v>721290071</v>
      </c>
      <c r="R82" s="6" t="s">
        <v>253</v>
      </c>
      <c r="S82" s="6">
        <v>71</v>
      </c>
      <c r="T82" s="6" t="s">
        <v>2112</v>
      </c>
      <c r="U82">
        <v>721</v>
      </c>
    </row>
    <row r="83" spans="1:21">
      <c r="A83" s="139" t="str">
        <f>IF(E83="","",VLOOKUP('Opći dio'!$C$3,'Opći dio'!$L$6:$U$136,10,FALSE))</f>
        <v/>
      </c>
      <c r="B83" s="139" t="str">
        <f>IF(E83="","",VLOOKUP('Opći dio'!$C$3,'Opći dio'!$L$6:$U$136,9,FALSE))</f>
        <v/>
      </c>
      <c r="C83" s="187" t="str">
        <f t="shared" si="8"/>
        <v/>
      </c>
      <c r="D83" s="138" t="str">
        <f t="shared" si="9"/>
        <v/>
      </c>
      <c r="E83" s="150"/>
      <c r="F83" s="191" t="str">
        <f t="shared" si="10"/>
        <v/>
      </c>
      <c r="G83" s="185"/>
      <c r="H83" s="185"/>
      <c r="I83" s="185"/>
      <c r="K83" s="141" t="str">
        <f t="shared" si="11"/>
        <v/>
      </c>
      <c r="L83" s="141" t="str">
        <f t="shared" si="12"/>
        <v/>
      </c>
      <c r="Q83" s="6">
        <v>722110071</v>
      </c>
      <c r="R83" s="6" t="s">
        <v>254</v>
      </c>
      <c r="S83" s="6">
        <v>71</v>
      </c>
      <c r="T83" s="6" t="s">
        <v>2112</v>
      </c>
      <c r="U83">
        <v>722</v>
      </c>
    </row>
    <row r="84" spans="1:21">
      <c r="A84" s="139" t="str">
        <f>IF(E84="","",VLOOKUP('Opći dio'!$C$3,'Opći dio'!$L$6:$U$136,10,FALSE))</f>
        <v/>
      </c>
      <c r="B84" s="139" t="str">
        <f>IF(E84="","",VLOOKUP('Opći dio'!$C$3,'Opći dio'!$L$6:$U$136,9,FALSE))</f>
        <v/>
      </c>
      <c r="C84" s="187" t="str">
        <f t="shared" si="8"/>
        <v/>
      </c>
      <c r="D84" s="138" t="str">
        <f t="shared" si="9"/>
        <v/>
      </c>
      <c r="E84" s="150"/>
      <c r="F84" s="191" t="str">
        <f t="shared" si="10"/>
        <v/>
      </c>
      <c r="G84" s="185"/>
      <c r="H84" s="185"/>
      <c r="I84" s="185"/>
      <c r="K84" s="141" t="str">
        <f t="shared" si="11"/>
        <v/>
      </c>
      <c r="L84" s="141" t="str">
        <f t="shared" si="12"/>
        <v/>
      </c>
      <c r="Q84" s="6">
        <v>722120071</v>
      </c>
      <c r="R84" s="6" t="s">
        <v>2114</v>
      </c>
      <c r="S84" s="6">
        <v>71</v>
      </c>
      <c r="T84" s="6" t="s">
        <v>2112</v>
      </c>
      <c r="U84">
        <v>722</v>
      </c>
    </row>
    <row r="85" spans="1:21">
      <c r="A85" s="139" t="str">
        <f>IF(E85="","",VLOOKUP('Opći dio'!$C$3,'Opći dio'!$L$6:$U$136,10,FALSE))</f>
        <v/>
      </c>
      <c r="B85" s="139" t="str">
        <f>IF(E85="","",VLOOKUP('Opći dio'!$C$3,'Opći dio'!$L$6:$U$136,9,FALSE))</f>
        <v/>
      </c>
      <c r="C85" s="187" t="str">
        <f t="shared" si="8"/>
        <v/>
      </c>
      <c r="D85" s="138" t="str">
        <f t="shared" si="9"/>
        <v/>
      </c>
      <c r="E85" s="150"/>
      <c r="F85" s="191" t="str">
        <f t="shared" si="10"/>
        <v/>
      </c>
      <c r="G85" s="185"/>
      <c r="H85" s="185"/>
      <c r="I85" s="185"/>
      <c r="K85" s="141" t="str">
        <f t="shared" si="11"/>
        <v/>
      </c>
      <c r="L85" s="141" t="str">
        <f t="shared" si="12"/>
        <v/>
      </c>
      <c r="Q85" s="6">
        <v>722190071</v>
      </c>
      <c r="R85" s="6" t="s">
        <v>255</v>
      </c>
      <c r="S85" s="6">
        <v>71</v>
      </c>
      <c r="T85" s="6" t="s">
        <v>2112</v>
      </c>
      <c r="U85">
        <v>722</v>
      </c>
    </row>
    <row r="86" spans="1:21">
      <c r="A86" s="139" t="str">
        <f>IF(E86="","",VLOOKUP('Opći dio'!$C$3,'Opći dio'!$L$6:$U$136,10,FALSE))</f>
        <v/>
      </c>
      <c r="B86" s="139" t="str">
        <f>IF(E86="","",VLOOKUP('Opći dio'!$C$3,'Opći dio'!$L$6:$U$136,9,FALSE))</f>
        <v/>
      </c>
      <c r="C86" s="187" t="str">
        <f t="shared" si="8"/>
        <v/>
      </c>
      <c r="D86" s="138" t="str">
        <f t="shared" si="9"/>
        <v/>
      </c>
      <c r="E86" s="150"/>
      <c r="F86" s="191" t="str">
        <f t="shared" si="10"/>
        <v/>
      </c>
      <c r="G86" s="185"/>
      <c r="H86" s="185"/>
      <c r="I86" s="185"/>
      <c r="K86" s="141" t="str">
        <f t="shared" si="11"/>
        <v/>
      </c>
      <c r="L86" s="141" t="str">
        <f t="shared" si="12"/>
        <v/>
      </c>
      <c r="Q86" s="6">
        <v>722620071</v>
      </c>
      <c r="R86" s="6" t="s">
        <v>256</v>
      </c>
      <c r="S86" s="6">
        <v>71</v>
      </c>
      <c r="T86" s="6" t="s">
        <v>2112</v>
      </c>
      <c r="U86">
        <v>722</v>
      </c>
    </row>
    <row r="87" spans="1:21">
      <c r="A87" s="139" t="str">
        <f>IF(E87="","",VLOOKUP('Opći dio'!$C$3,'Opći dio'!$L$6:$U$136,10,FALSE))</f>
        <v/>
      </c>
      <c r="B87" s="139" t="str">
        <f>IF(E87="","",VLOOKUP('Opći dio'!$C$3,'Opći dio'!$L$6:$U$136,9,FALSE))</f>
        <v/>
      </c>
      <c r="C87" s="187" t="str">
        <f t="shared" si="8"/>
        <v/>
      </c>
      <c r="D87" s="138" t="str">
        <f t="shared" si="9"/>
        <v/>
      </c>
      <c r="E87" s="150"/>
      <c r="F87" s="191" t="str">
        <f t="shared" si="10"/>
        <v/>
      </c>
      <c r="G87" s="185"/>
      <c r="H87" s="185"/>
      <c r="I87" s="185"/>
      <c r="K87" s="141" t="str">
        <f t="shared" si="11"/>
        <v/>
      </c>
      <c r="L87" s="141" t="str">
        <f t="shared" si="12"/>
        <v/>
      </c>
      <c r="Q87" s="6">
        <v>722730071</v>
      </c>
      <c r="R87" s="6" t="s">
        <v>257</v>
      </c>
      <c r="S87" s="6">
        <v>71</v>
      </c>
      <c r="T87" s="6" t="s">
        <v>2112</v>
      </c>
      <c r="U87">
        <v>722</v>
      </c>
    </row>
    <row r="88" spans="1:21">
      <c r="A88" s="139" t="str">
        <f>IF(E88="","",VLOOKUP('Opći dio'!$C$3,'Opći dio'!$L$6:$U$136,10,FALSE))</f>
        <v/>
      </c>
      <c r="B88" s="139" t="str">
        <f>IF(E88="","",VLOOKUP('Opći dio'!$C$3,'Opći dio'!$L$6:$U$136,9,FALSE))</f>
        <v/>
      </c>
      <c r="C88" s="187" t="str">
        <f t="shared" si="8"/>
        <v/>
      </c>
      <c r="D88" s="138" t="str">
        <f t="shared" si="9"/>
        <v/>
      </c>
      <c r="E88" s="150"/>
      <c r="F88" s="191" t="str">
        <f t="shared" si="10"/>
        <v/>
      </c>
      <c r="G88" s="185"/>
      <c r="H88" s="185"/>
      <c r="I88" s="185"/>
      <c r="K88" s="141" t="str">
        <f t="shared" si="11"/>
        <v/>
      </c>
      <c r="L88" s="141" t="str">
        <f t="shared" si="12"/>
        <v/>
      </c>
      <c r="Q88" s="6">
        <v>723110071</v>
      </c>
      <c r="R88" s="6" t="s">
        <v>258</v>
      </c>
      <c r="S88" s="6">
        <v>71</v>
      </c>
      <c r="T88" s="6" t="s">
        <v>2112</v>
      </c>
      <c r="U88">
        <v>723</v>
      </c>
    </row>
    <row r="89" spans="1:21">
      <c r="A89" s="139" t="str">
        <f>IF(E89="","",VLOOKUP('Opći dio'!$C$3,'Opći dio'!$L$6:$U$136,10,FALSE))</f>
        <v/>
      </c>
      <c r="B89" s="139" t="str">
        <f>IF(E89="","",VLOOKUP('Opći dio'!$C$3,'Opći dio'!$L$6:$U$136,9,FALSE))</f>
        <v/>
      </c>
      <c r="C89" s="187" t="str">
        <f t="shared" si="8"/>
        <v/>
      </c>
      <c r="D89" s="138" t="str">
        <f t="shared" si="9"/>
        <v/>
      </c>
      <c r="E89" s="150"/>
      <c r="F89" s="191" t="str">
        <f t="shared" si="10"/>
        <v/>
      </c>
      <c r="G89" s="185"/>
      <c r="H89" s="185"/>
      <c r="I89" s="185"/>
      <c r="K89" s="141" t="str">
        <f t="shared" si="11"/>
        <v/>
      </c>
      <c r="L89" s="141" t="str">
        <f t="shared" si="12"/>
        <v/>
      </c>
      <c r="Q89" s="6">
        <v>723130071</v>
      </c>
      <c r="R89" s="6" t="s">
        <v>2115</v>
      </c>
      <c r="S89" s="6">
        <v>71</v>
      </c>
      <c r="T89" s="6" t="s">
        <v>2112</v>
      </c>
      <c r="U89">
        <v>723</v>
      </c>
    </row>
    <row r="90" spans="1:21">
      <c r="A90" s="139" t="str">
        <f>IF(E90="","",VLOOKUP('Opći dio'!$C$3,'Opći dio'!$L$6:$U$136,10,FALSE))</f>
        <v/>
      </c>
      <c r="B90" s="139" t="str">
        <f>IF(E90="","",VLOOKUP('Opći dio'!$C$3,'Opći dio'!$L$6:$U$136,9,FALSE))</f>
        <v/>
      </c>
      <c r="C90" s="187" t="str">
        <f t="shared" si="8"/>
        <v/>
      </c>
      <c r="D90" s="138" t="str">
        <f t="shared" si="9"/>
        <v/>
      </c>
      <c r="E90" s="150"/>
      <c r="F90" s="191" t="str">
        <f t="shared" si="10"/>
        <v/>
      </c>
      <c r="G90" s="185"/>
      <c r="H90" s="185"/>
      <c r="I90" s="185"/>
      <c r="K90" s="141" t="str">
        <f t="shared" si="11"/>
        <v/>
      </c>
      <c r="L90" s="141" t="str">
        <f t="shared" si="12"/>
        <v/>
      </c>
      <c r="Q90" s="6">
        <v>723140071</v>
      </c>
      <c r="R90" s="6" t="s">
        <v>2116</v>
      </c>
      <c r="S90" s="6">
        <v>71</v>
      </c>
      <c r="T90" s="6" t="s">
        <v>2112</v>
      </c>
      <c r="U90">
        <v>723</v>
      </c>
    </row>
    <row r="91" spans="1:21">
      <c r="A91" s="139" t="str">
        <f>IF(E91="","",VLOOKUP('Opći dio'!$C$3,'Opći dio'!$L$6:$U$136,10,FALSE))</f>
        <v/>
      </c>
      <c r="B91" s="139" t="str">
        <f>IF(E91="","",VLOOKUP('Opći dio'!$C$3,'Opći dio'!$L$6:$U$136,9,FALSE))</f>
        <v/>
      </c>
      <c r="C91" s="187" t="str">
        <f t="shared" si="8"/>
        <v/>
      </c>
      <c r="D91" s="138" t="str">
        <f t="shared" si="9"/>
        <v/>
      </c>
      <c r="E91" s="150"/>
      <c r="F91" s="191" t="str">
        <f t="shared" si="10"/>
        <v/>
      </c>
      <c r="G91" s="185"/>
      <c r="H91" s="185"/>
      <c r="I91" s="185"/>
      <c r="K91" s="141" t="str">
        <f t="shared" si="11"/>
        <v/>
      </c>
      <c r="L91" s="141" t="str">
        <f t="shared" si="12"/>
        <v/>
      </c>
      <c r="Q91" s="6">
        <v>723150071</v>
      </c>
      <c r="R91" s="6" t="s">
        <v>2117</v>
      </c>
      <c r="S91" s="6">
        <v>71</v>
      </c>
      <c r="T91" s="6" t="s">
        <v>2112</v>
      </c>
      <c r="U91">
        <v>723</v>
      </c>
    </row>
    <row r="92" spans="1:21">
      <c r="A92" s="139" t="str">
        <f>IF(E92="","",VLOOKUP('Opći dio'!$C$3,'Opći dio'!$L$6:$U$136,10,FALSE))</f>
        <v/>
      </c>
      <c r="B92" s="139" t="str">
        <f>IF(E92="","",VLOOKUP('Opći dio'!$C$3,'Opći dio'!$L$6:$U$136,9,FALSE))</f>
        <v/>
      </c>
      <c r="C92" s="187" t="str">
        <f t="shared" si="8"/>
        <v/>
      </c>
      <c r="D92" s="138" t="str">
        <f t="shared" si="9"/>
        <v/>
      </c>
      <c r="E92" s="150"/>
      <c r="F92" s="191" t="str">
        <f t="shared" si="10"/>
        <v/>
      </c>
      <c r="G92" s="185"/>
      <c r="H92" s="185"/>
      <c r="I92" s="185"/>
      <c r="K92" s="141" t="str">
        <f t="shared" si="11"/>
        <v/>
      </c>
      <c r="L92" s="141" t="str">
        <f t="shared" si="12"/>
        <v/>
      </c>
      <c r="Q92" s="6">
        <v>723160071</v>
      </c>
      <c r="R92" s="6" t="s">
        <v>2118</v>
      </c>
      <c r="S92" s="6">
        <v>71</v>
      </c>
      <c r="T92" s="6" t="s">
        <v>2112</v>
      </c>
      <c r="U92">
        <v>723</v>
      </c>
    </row>
    <row r="93" spans="1:21">
      <c r="A93" s="139" t="str">
        <f>IF(E93="","",VLOOKUP('Opći dio'!$C$3,'Opći dio'!$L$6:$U$136,10,FALSE))</f>
        <v/>
      </c>
      <c r="B93" s="139" t="str">
        <f>IF(E93="","",VLOOKUP('Opći dio'!$C$3,'Opći dio'!$L$6:$U$136,9,FALSE))</f>
        <v/>
      </c>
      <c r="C93" s="187" t="str">
        <f t="shared" si="8"/>
        <v/>
      </c>
      <c r="D93" s="138" t="str">
        <f t="shared" si="9"/>
        <v/>
      </c>
      <c r="E93" s="150"/>
      <c r="F93" s="191" t="str">
        <f t="shared" si="10"/>
        <v/>
      </c>
      <c r="G93" s="185"/>
      <c r="H93" s="185"/>
      <c r="I93" s="185"/>
      <c r="K93" s="141" t="str">
        <f t="shared" si="11"/>
        <v/>
      </c>
      <c r="L93" s="141" t="str">
        <f t="shared" si="12"/>
        <v/>
      </c>
      <c r="Q93" s="6">
        <v>723310071</v>
      </c>
      <c r="R93" s="6" t="s">
        <v>2119</v>
      </c>
      <c r="S93" s="6">
        <v>71</v>
      </c>
      <c r="T93" s="6" t="s">
        <v>2112</v>
      </c>
      <c r="U93">
        <v>723</v>
      </c>
    </row>
    <row r="94" spans="1:21">
      <c r="A94" s="139" t="str">
        <f>IF(E94="","",VLOOKUP('Opći dio'!$C$3,'Opći dio'!$L$6:$U$136,10,FALSE))</f>
        <v/>
      </c>
      <c r="B94" s="139" t="str">
        <f>IF(E94="","",VLOOKUP('Opći dio'!$C$3,'Opći dio'!$L$6:$U$136,9,FALSE))</f>
        <v/>
      </c>
      <c r="C94" s="187" t="str">
        <f t="shared" si="8"/>
        <v/>
      </c>
      <c r="D94" s="138" t="str">
        <f t="shared" si="9"/>
        <v/>
      </c>
      <c r="E94" s="150"/>
      <c r="F94" s="191" t="str">
        <f t="shared" si="10"/>
        <v/>
      </c>
      <c r="G94" s="185"/>
      <c r="H94" s="185"/>
      <c r="I94" s="185"/>
      <c r="K94" s="141" t="str">
        <f t="shared" si="11"/>
        <v/>
      </c>
      <c r="L94" s="141" t="str">
        <f t="shared" si="12"/>
        <v/>
      </c>
      <c r="Q94" s="6">
        <v>725210071</v>
      </c>
      <c r="R94" s="6" t="s">
        <v>259</v>
      </c>
      <c r="S94" s="6">
        <v>71</v>
      </c>
      <c r="T94" s="6" t="s">
        <v>2112</v>
      </c>
      <c r="U94">
        <v>725</v>
      </c>
    </row>
    <row r="95" spans="1:21">
      <c r="A95" s="139" t="str">
        <f>IF(E95="","",VLOOKUP('Opći dio'!$C$3,'Opći dio'!$L$6:$U$136,10,FALSE))</f>
        <v/>
      </c>
      <c r="B95" s="139" t="str">
        <f>IF(E95="","",VLOOKUP('Opći dio'!$C$3,'Opći dio'!$L$6:$U$136,9,FALSE))</f>
        <v/>
      </c>
      <c r="C95" s="187" t="str">
        <f t="shared" si="8"/>
        <v/>
      </c>
      <c r="D95" s="138" t="str">
        <f t="shared" si="9"/>
        <v/>
      </c>
      <c r="E95" s="150"/>
      <c r="F95" s="191" t="str">
        <f t="shared" si="10"/>
        <v/>
      </c>
      <c r="G95" s="185"/>
      <c r="H95" s="185"/>
      <c r="I95" s="185"/>
      <c r="K95" s="141" t="str">
        <f t="shared" si="11"/>
        <v/>
      </c>
      <c r="L95" s="141" t="str">
        <f t="shared" si="12"/>
        <v/>
      </c>
      <c r="Q95" s="6">
        <v>812150000</v>
      </c>
      <c r="R95" s="6" t="s">
        <v>2120</v>
      </c>
      <c r="S95" s="6">
        <v>81</v>
      </c>
      <c r="T95" s="6" t="s">
        <v>2121</v>
      </c>
      <c r="U95">
        <v>812</v>
      </c>
    </row>
    <row r="96" spans="1:21">
      <c r="A96" s="139" t="str">
        <f>IF(E96="","",VLOOKUP('Opći dio'!$C$3,'Opći dio'!$L$6:$U$136,10,FALSE))</f>
        <v/>
      </c>
      <c r="B96" s="139" t="str">
        <f>IF(E96="","",VLOOKUP('Opći dio'!$C$3,'Opći dio'!$L$6:$U$136,9,FALSE))</f>
        <v/>
      </c>
      <c r="C96" s="187" t="str">
        <f t="shared" si="8"/>
        <v/>
      </c>
      <c r="D96" s="138" t="str">
        <f t="shared" si="9"/>
        <v/>
      </c>
      <c r="E96" s="150"/>
      <c r="F96" s="191" t="str">
        <f t="shared" si="10"/>
        <v/>
      </c>
      <c r="G96" s="185"/>
      <c r="H96" s="185"/>
      <c r="I96" s="185"/>
      <c r="K96" s="141" t="str">
        <f t="shared" si="11"/>
        <v/>
      </c>
      <c r="L96" s="141" t="str">
        <f t="shared" si="12"/>
        <v/>
      </c>
      <c r="Q96" s="6">
        <v>818120043</v>
      </c>
      <c r="R96" s="6" t="s">
        <v>1556</v>
      </c>
      <c r="S96" s="6">
        <v>43</v>
      </c>
      <c r="T96" s="6" t="s">
        <v>103</v>
      </c>
      <c r="U96">
        <v>818</v>
      </c>
    </row>
    <row r="97" spans="1:21">
      <c r="A97" s="139" t="str">
        <f>IF(E97="","",VLOOKUP('Opći dio'!$C$3,'Opći dio'!$L$6:$U$136,10,FALSE))</f>
        <v/>
      </c>
      <c r="B97" s="139" t="str">
        <f>IF(E97="","",VLOOKUP('Opći dio'!$C$3,'Opći dio'!$L$6:$U$136,9,FALSE))</f>
        <v/>
      </c>
      <c r="C97" s="187" t="str">
        <f t="shared" si="8"/>
        <v/>
      </c>
      <c r="D97" s="138" t="str">
        <f t="shared" si="9"/>
        <v/>
      </c>
      <c r="E97" s="150"/>
      <c r="F97" s="191" t="str">
        <f t="shared" si="10"/>
        <v/>
      </c>
      <c r="G97" s="185"/>
      <c r="H97" s="185"/>
      <c r="I97" s="185"/>
      <c r="K97" s="141" t="str">
        <f t="shared" si="11"/>
        <v/>
      </c>
      <c r="L97" s="141" t="str">
        <f t="shared" si="12"/>
        <v/>
      </c>
      <c r="Q97" s="6">
        <v>832120043</v>
      </c>
      <c r="R97" s="6" t="s">
        <v>1557</v>
      </c>
      <c r="S97" s="6">
        <v>43</v>
      </c>
      <c r="T97" s="6" t="s">
        <v>103</v>
      </c>
      <c r="U97">
        <v>832</v>
      </c>
    </row>
    <row r="98" spans="1:21">
      <c r="A98" s="139" t="str">
        <f>IF(E98="","",VLOOKUP('Opći dio'!$C$3,'Opći dio'!$L$6:$U$136,10,FALSE))</f>
        <v/>
      </c>
      <c r="B98" s="139" t="str">
        <f>IF(E98="","",VLOOKUP('Opći dio'!$C$3,'Opći dio'!$L$6:$U$136,9,FALSE))</f>
        <v/>
      </c>
      <c r="C98" s="187" t="str">
        <f t="shared" si="8"/>
        <v/>
      </c>
      <c r="D98" s="138" t="str">
        <f t="shared" si="9"/>
        <v/>
      </c>
      <c r="E98" s="150"/>
      <c r="F98" s="191" t="str">
        <f t="shared" si="10"/>
        <v/>
      </c>
      <c r="G98" s="185"/>
      <c r="H98" s="185"/>
      <c r="I98" s="185"/>
      <c r="K98" s="141" t="str">
        <f t="shared" si="11"/>
        <v/>
      </c>
      <c r="L98" s="141" t="str">
        <f t="shared" si="12"/>
        <v/>
      </c>
      <c r="Q98" s="6">
        <v>833130043</v>
      </c>
      <c r="R98" s="6" t="s">
        <v>2122</v>
      </c>
      <c r="S98" s="6">
        <v>43</v>
      </c>
      <c r="T98" s="6" t="s">
        <v>103</v>
      </c>
      <c r="U98">
        <v>833</v>
      </c>
    </row>
    <row r="99" spans="1:21">
      <c r="A99" s="139" t="str">
        <f>IF(E99="","",VLOOKUP('Opći dio'!$C$3,'Opći dio'!$L$6:$U$136,10,FALSE))</f>
        <v/>
      </c>
      <c r="B99" s="139" t="str">
        <f>IF(E99="","",VLOOKUP('Opći dio'!$C$3,'Opći dio'!$L$6:$U$136,9,FALSE))</f>
        <v/>
      </c>
      <c r="C99" s="187" t="str">
        <f t="shared" si="8"/>
        <v/>
      </c>
      <c r="D99" s="138" t="str">
        <f t="shared" si="9"/>
        <v/>
      </c>
      <c r="E99" s="150"/>
      <c r="F99" s="191" t="str">
        <f t="shared" si="10"/>
        <v/>
      </c>
      <c r="G99" s="185"/>
      <c r="H99" s="185"/>
      <c r="I99" s="185"/>
      <c r="K99" s="141" t="str">
        <f t="shared" si="11"/>
        <v/>
      </c>
      <c r="L99" s="141" t="str">
        <f t="shared" si="12"/>
        <v/>
      </c>
      <c r="Q99" s="6">
        <v>841320133</v>
      </c>
      <c r="R99" s="6" t="s">
        <v>1558</v>
      </c>
      <c r="S99" s="6">
        <v>83</v>
      </c>
      <c r="T99" s="6" t="s">
        <v>1540</v>
      </c>
      <c r="U99">
        <v>841</v>
      </c>
    </row>
    <row r="100" spans="1:21">
      <c r="A100" s="139" t="str">
        <f>IF(E100="","",VLOOKUP('Opći dio'!$C$3,'Opći dio'!$L$6:$U$136,10,FALSE))</f>
        <v/>
      </c>
      <c r="B100" s="139" t="str">
        <f>IF(E100="","",VLOOKUP('Opći dio'!$C$3,'Opći dio'!$L$6:$U$136,9,FALSE))</f>
        <v/>
      </c>
      <c r="C100" s="187" t="str">
        <f t="shared" si="8"/>
        <v/>
      </c>
      <c r="D100" s="138" t="str">
        <f t="shared" si="9"/>
        <v/>
      </c>
      <c r="E100" s="150"/>
      <c r="F100" s="191" t="str">
        <f t="shared" si="10"/>
        <v/>
      </c>
      <c r="G100" s="185"/>
      <c r="H100" s="185"/>
      <c r="I100" s="185"/>
      <c r="K100" s="141" t="str">
        <f t="shared" si="11"/>
        <v/>
      </c>
      <c r="L100" s="141" t="str">
        <f t="shared" si="12"/>
        <v/>
      </c>
      <c r="Q100" s="6">
        <v>841320135</v>
      </c>
      <c r="R100" s="6" t="s">
        <v>1559</v>
      </c>
      <c r="S100" s="6">
        <v>83</v>
      </c>
      <c r="T100" s="6" t="s">
        <v>1540</v>
      </c>
      <c r="U100">
        <v>841</v>
      </c>
    </row>
    <row r="101" spans="1:21">
      <c r="A101" s="139" t="str">
        <f>IF(E101="","",VLOOKUP('Opći dio'!$C$3,'Opći dio'!$L$6:$U$136,10,FALSE))</f>
        <v/>
      </c>
      <c r="B101" s="139" t="str">
        <f>IF(E101="","",VLOOKUP('Opći dio'!$C$3,'Opći dio'!$L$6:$U$136,9,FALSE))</f>
        <v/>
      </c>
      <c r="C101" s="187" t="str">
        <f t="shared" si="8"/>
        <v/>
      </c>
      <c r="D101" s="138" t="str">
        <f t="shared" si="9"/>
        <v/>
      </c>
      <c r="E101" s="150"/>
      <c r="F101" s="191" t="str">
        <f t="shared" si="10"/>
        <v/>
      </c>
      <c r="G101" s="185"/>
      <c r="H101" s="185"/>
      <c r="I101" s="185"/>
      <c r="K101" s="141" t="str">
        <f t="shared" si="11"/>
        <v/>
      </c>
      <c r="L101" s="141" t="str">
        <f t="shared" si="12"/>
        <v/>
      </c>
      <c r="Q101" s="6">
        <v>842220081</v>
      </c>
      <c r="R101" s="6" t="s">
        <v>2123</v>
      </c>
      <c r="S101" s="6">
        <v>81</v>
      </c>
      <c r="T101" s="6" t="s">
        <v>2121</v>
      </c>
      <c r="U101">
        <v>842</v>
      </c>
    </row>
    <row r="102" spans="1:21">
      <c r="A102" s="139" t="str">
        <f>IF(E102="","",VLOOKUP('Opći dio'!$C$3,'Opći dio'!$L$6:$U$136,10,FALSE))</f>
        <v/>
      </c>
      <c r="B102" s="139" t="str">
        <f>IF(E102="","",VLOOKUP('Opći dio'!$C$3,'Opći dio'!$L$6:$U$136,9,FALSE))</f>
        <v/>
      </c>
      <c r="C102" s="187" t="str">
        <f t="shared" si="8"/>
        <v/>
      </c>
      <c r="D102" s="138" t="str">
        <f t="shared" si="9"/>
        <v/>
      </c>
      <c r="E102" s="150"/>
      <c r="F102" s="191" t="str">
        <f t="shared" si="10"/>
        <v/>
      </c>
      <c r="G102" s="185"/>
      <c r="H102" s="185"/>
      <c r="I102" s="185"/>
      <c r="K102" s="141" t="str">
        <f t="shared" si="11"/>
        <v/>
      </c>
      <c r="L102" s="141" t="str">
        <f t="shared" si="12"/>
        <v/>
      </c>
      <c r="Q102" s="6">
        <v>632310561</v>
      </c>
      <c r="R102" s="6" t="s">
        <v>118</v>
      </c>
      <c r="S102" s="6">
        <v>561</v>
      </c>
      <c r="T102" s="6" t="s">
        <v>118</v>
      </c>
      <c r="U102">
        <v>632</v>
      </c>
    </row>
    <row r="103" spans="1:21">
      <c r="A103" s="139" t="str">
        <f>IF(E103="","",VLOOKUP('Opći dio'!$C$3,'Opći dio'!$L$6:$U$136,10,FALSE))</f>
        <v/>
      </c>
      <c r="B103" s="139" t="str">
        <f>IF(E103="","",VLOOKUP('Opći dio'!$C$3,'Opći dio'!$L$6:$U$136,9,FALSE))</f>
        <v/>
      </c>
      <c r="C103" s="187" t="str">
        <f t="shared" si="8"/>
        <v/>
      </c>
      <c r="D103" s="138" t="str">
        <f t="shared" si="9"/>
        <v/>
      </c>
      <c r="E103" s="150"/>
      <c r="F103" s="191" t="str">
        <f t="shared" si="10"/>
        <v/>
      </c>
      <c r="G103" s="185"/>
      <c r="H103" s="185"/>
      <c r="I103" s="185"/>
      <c r="K103" s="141" t="str">
        <f t="shared" si="11"/>
        <v/>
      </c>
      <c r="L103" s="141" t="str">
        <f t="shared" si="12"/>
        <v/>
      </c>
      <c r="Q103" s="6">
        <v>632310563</v>
      </c>
      <c r="R103" s="6" t="s">
        <v>2331</v>
      </c>
      <c r="S103" s="6">
        <v>563</v>
      </c>
      <c r="T103" s="6" t="s">
        <v>120</v>
      </c>
      <c r="U103">
        <v>632</v>
      </c>
    </row>
    <row r="104" spans="1:21">
      <c r="A104" s="139" t="str">
        <f>IF(E104="","",VLOOKUP('Opći dio'!$C$3,'Opći dio'!$L$6:$U$136,10,FALSE))</f>
        <v/>
      </c>
      <c r="B104" s="139" t="str">
        <f>IF(E104="","",VLOOKUP('Opći dio'!$C$3,'Opći dio'!$L$6:$U$136,9,FALSE))</f>
        <v/>
      </c>
      <c r="C104" s="187" t="str">
        <f t="shared" si="8"/>
        <v/>
      </c>
      <c r="D104" s="138" t="str">
        <f t="shared" si="9"/>
        <v/>
      </c>
      <c r="E104" s="150"/>
      <c r="F104" s="191" t="str">
        <f t="shared" si="10"/>
        <v/>
      </c>
      <c r="G104" s="185"/>
      <c r="H104" s="185"/>
      <c r="I104" s="185"/>
      <c r="K104" s="141" t="str">
        <f t="shared" si="11"/>
        <v/>
      </c>
      <c r="L104" s="141" t="str">
        <f t="shared" si="12"/>
        <v/>
      </c>
      <c r="Q104" s="6">
        <v>632410561</v>
      </c>
      <c r="R104" s="6" t="s">
        <v>118</v>
      </c>
      <c r="S104" s="6">
        <v>561</v>
      </c>
      <c r="T104" s="6" t="s">
        <v>118</v>
      </c>
      <c r="U104">
        <v>632</v>
      </c>
    </row>
    <row r="105" spans="1:21">
      <c r="A105" s="139" t="str">
        <f>IF(E105="","",VLOOKUP('Opći dio'!$C$3,'Opći dio'!$L$6:$U$136,10,FALSE))</f>
        <v/>
      </c>
      <c r="B105" s="139" t="str">
        <f>IF(E105="","",VLOOKUP('Opći dio'!$C$3,'Opći dio'!$L$6:$U$136,9,FALSE))</f>
        <v/>
      </c>
      <c r="C105" s="187" t="str">
        <f t="shared" si="8"/>
        <v/>
      </c>
      <c r="D105" s="138" t="str">
        <f t="shared" si="9"/>
        <v/>
      </c>
      <c r="E105" s="150"/>
      <c r="F105" s="191" t="str">
        <f t="shared" si="10"/>
        <v/>
      </c>
      <c r="G105" s="185"/>
      <c r="H105" s="185"/>
      <c r="I105" s="185"/>
      <c r="K105" s="141" t="str">
        <f t="shared" si="11"/>
        <v/>
      </c>
      <c r="L105" s="141" t="str">
        <f t="shared" si="12"/>
        <v/>
      </c>
      <c r="Q105" s="6">
        <v>632410563</v>
      </c>
      <c r="R105" s="6" t="s">
        <v>2331</v>
      </c>
      <c r="S105" s="6">
        <v>563</v>
      </c>
      <c r="T105" s="6" t="s">
        <v>120</v>
      </c>
      <c r="U105">
        <v>632</v>
      </c>
    </row>
    <row r="106" spans="1:21">
      <c r="A106" s="139" t="str">
        <f>IF(E106="","",VLOOKUP('Opći dio'!$C$3,'Opći dio'!$L$6:$U$136,10,FALSE))</f>
        <v/>
      </c>
      <c r="B106" s="139" t="str">
        <f>IF(E106="","",VLOOKUP('Opći dio'!$C$3,'Opći dio'!$L$6:$U$136,9,FALSE))</f>
        <v/>
      </c>
      <c r="C106" s="187" t="str">
        <f t="shared" si="8"/>
        <v/>
      </c>
      <c r="D106" s="138" t="str">
        <f t="shared" si="9"/>
        <v/>
      </c>
      <c r="E106" s="150"/>
      <c r="F106" s="191" t="str">
        <f t="shared" si="10"/>
        <v/>
      </c>
      <c r="G106" s="185"/>
      <c r="H106" s="185"/>
      <c r="I106" s="185"/>
      <c r="K106" s="141" t="str">
        <f t="shared" si="11"/>
        <v/>
      </c>
      <c r="L106" s="141" t="str">
        <f t="shared" si="12"/>
        <v/>
      </c>
    </row>
    <row r="107" spans="1:21">
      <c r="A107" s="139" t="str">
        <f>IF(E107="","",VLOOKUP('Opći dio'!$C$3,'Opći dio'!$L$6:$U$136,10,FALSE))</f>
        <v/>
      </c>
      <c r="B107" s="139" t="str">
        <f>IF(E107="","",VLOOKUP('Opći dio'!$C$3,'Opći dio'!$L$6:$U$136,9,FALSE))</f>
        <v/>
      </c>
      <c r="C107" s="187" t="str">
        <f t="shared" si="8"/>
        <v/>
      </c>
      <c r="D107" s="138" t="str">
        <f t="shared" si="9"/>
        <v/>
      </c>
      <c r="E107" s="150"/>
      <c r="F107" s="191" t="str">
        <f t="shared" si="10"/>
        <v/>
      </c>
      <c r="G107" s="185"/>
      <c r="H107" s="185"/>
      <c r="I107" s="185"/>
      <c r="K107" s="141" t="str">
        <f t="shared" si="11"/>
        <v/>
      </c>
      <c r="L107" s="141" t="str">
        <f t="shared" si="12"/>
        <v/>
      </c>
    </row>
    <row r="108" spans="1:21">
      <c r="A108" s="139" t="str">
        <f>IF(E108="","",VLOOKUP('Opći dio'!$C$3,'Opći dio'!$L$6:$U$136,10,FALSE))</f>
        <v/>
      </c>
      <c r="B108" s="139" t="str">
        <f>IF(E108="","",VLOOKUP('Opći dio'!$C$3,'Opći dio'!$L$6:$U$136,9,FALSE))</f>
        <v/>
      </c>
      <c r="C108" s="187" t="str">
        <f t="shared" si="8"/>
        <v/>
      </c>
      <c r="D108" s="138" t="str">
        <f t="shared" si="9"/>
        <v/>
      </c>
      <c r="E108" s="150"/>
      <c r="F108" s="191" t="str">
        <f t="shared" si="10"/>
        <v/>
      </c>
      <c r="G108" s="185"/>
      <c r="H108" s="185"/>
      <c r="I108" s="185"/>
      <c r="K108" s="141" t="str">
        <f t="shared" si="11"/>
        <v/>
      </c>
      <c r="L108" s="141" t="str">
        <f t="shared" si="12"/>
        <v/>
      </c>
    </row>
    <row r="109" spans="1:21">
      <c r="A109" s="139" t="str">
        <f>IF(E109="","",VLOOKUP('Opći dio'!$C$3,'Opći dio'!$L$6:$U$136,10,FALSE))</f>
        <v/>
      </c>
      <c r="B109" s="139" t="str">
        <f>IF(E109="","",VLOOKUP('Opći dio'!$C$3,'Opći dio'!$L$6:$U$136,9,FALSE))</f>
        <v/>
      </c>
      <c r="C109" s="187" t="str">
        <f t="shared" si="8"/>
        <v/>
      </c>
      <c r="D109" s="138" t="str">
        <f t="shared" si="9"/>
        <v/>
      </c>
      <c r="E109" s="150"/>
      <c r="F109" s="191" t="str">
        <f t="shared" si="10"/>
        <v/>
      </c>
      <c r="G109" s="185"/>
      <c r="H109" s="185"/>
      <c r="I109" s="185"/>
      <c r="K109" s="141" t="str">
        <f t="shared" si="11"/>
        <v/>
      </c>
      <c r="L109" s="141" t="str">
        <f t="shared" si="12"/>
        <v/>
      </c>
    </row>
    <row r="110" spans="1:21">
      <c r="A110" s="139" t="str">
        <f>IF(E110="","",VLOOKUP('Opći dio'!$C$3,'Opći dio'!$L$6:$U$136,10,FALSE))</f>
        <v/>
      </c>
      <c r="B110" s="139" t="str">
        <f>IF(E110="","",VLOOKUP('Opći dio'!$C$3,'Opći dio'!$L$6:$U$136,9,FALSE))</f>
        <v/>
      </c>
      <c r="C110" s="187" t="str">
        <f t="shared" si="8"/>
        <v/>
      </c>
      <c r="D110" s="138" t="str">
        <f t="shared" si="9"/>
        <v/>
      </c>
      <c r="E110" s="150"/>
      <c r="F110" s="191" t="str">
        <f t="shared" si="10"/>
        <v/>
      </c>
      <c r="G110" s="185"/>
      <c r="H110" s="185"/>
      <c r="I110" s="185"/>
      <c r="K110" s="141" t="str">
        <f t="shared" si="11"/>
        <v/>
      </c>
      <c r="L110" s="141" t="str">
        <f t="shared" si="12"/>
        <v/>
      </c>
    </row>
    <row r="111" spans="1:21">
      <c r="A111" s="139" t="str">
        <f>IF(E111="","",VLOOKUP('Opći dio'!$C$3,'Opći dio'!$L$6:$U$136,10,FALSE))</f>
        <v/>
      </c>
      <c r="B111" s="139" t="str">
        <f>IF(E111="","",VLOOKUP('Opći dio'!$C$3,'Opći dio'!$L$6:$U$136,9,FALSE))</f>
        <v/>
      </c>
      <c r="C111" s="187" t="str">
        <f t="shared" si="8"/>
        <v/>
      </c>
      <c r="D111" s="138" t="str">
        <f t="shared" si="9"/>
        <v/>
      </c>
      <c r="E111" s="150"/>
      <c r="F111" s="191" t="str">
        <f t="shared" si="10"/>
        <v/>
      </c>
      <c r="G111" s="185"/>
      <c r="H111" s="185"/>
      <c r="I111" s="185"/>
      <c r="K111" s="141" t="str">
        <f t="shared" si="11"/>
        <v/>
      </c>
      <c r="L111" s="141" t="str">
        <f t="shared" si="12"/>
        <v/>
      </c>
    </row>
    <row r="112" spans="1:21">
      <c r="A112" s="139" t="str">
        <f>IF(E112="","",VLOOKUP('Opći dio'!$C$3,'Opći dio'!$L$6:$U$136,10,FALSE))</f>
        <v/>
      </c>
      <c r="B112" s="139" t="str">
        <f>IF(E112="","",VLOOKUP('Opći dio'!$C$3,'Opći dio'!$L$6:$U$136,9,FALSE))</f>
        <v/>
      </c>
      <c r="C112" s="187" t="str">
        <f t="shared" si="8"/>
        <v/>
      </c>
      <c r="D112" s="138" t="str">
        <f t="shared" si="9"/>
        <v/>
      </c>
      <c r="E112" s="150"/>
      <c r="F112" s="191" t="str">
        <f t="shared" si="10"/>
        <v/>
      </c>
      <c r="G112" s="185"/>
      <c r="H112" s="185"/>
      <c r="I112" s="185"/>
      <c r="K112" s="141" t="str">
        <f t="shared" si="11"/>
        <v/>
      </c>
      <c r="L112" s="141" t="str">
        <f t="shared" si="12"/>
        <v/>
      </c>
    </row>
    <row r="113" spans="1:12">
      <c r="A113" s="139" t="str">
        <f>IF(E113="","",VLOOKUP('Opći dio'!$C$3,'Opći dio'!$L$6:$U$136,10,FALSE))</f>
        <v/>
      </c>
      <c r="B113" s="139" t="str">
        <f>IF(E113="","",VLOOKUP('Opći dio'!$C$3,'Opći dio'!$L$6:$U$136,9,FALSE))</f>
        <v/>
      </c>
      <c r="C113" s="187" t="str">
        <f t="shared" si="8"/>
        <v/>
      </c>
      <c r="D113" s="138" t="str">
        <f t="shared" si="9"/>
        <v/>
      </c>
      <c r="E113" s="150"/>
      <c r="F113" s="191" t="str">
        <f t="shared" si="10"/>
        <v/>
      </c>
      <c r="G113" s="185"/>
      <c r="H113" s="185"/>
      <c r="I113" s="185"/>
      <c r="K113" s="141" t="str">
        <f t="shared" si="11"/>
        <v/>
      </c>
      <c r="L113" s="141" t="str">
        <f t="shared" si="12"/>
        <v/>
      </c>
    </row>
    <row r="114" spans="1:12">
      <c r="A114" s="139" t="str">
        <f>IF(E114="","",VLOOKUP('Opći dio'!$C$3,'Opći dio'!$L$6:$U$136,10,FALSE))</f>
        <v/>
      </c>
      <c r="B114" s="139" t="str">
        <f>IF(E114="","",VLOOKUP('Opći dio'!$C$3,'Opći dio'!$L$6:$U$136,9,FALSE))</f>
        <v/>
      </c>
      <c r="C114" s="187" t="str">
        <f t="shared" si="8"/>
        <v/>
      </c>
      <c r="D114" s="138" t="str">
        <f t="shared" si="9"/>
        <v/>
      </c>
      <c r="E114" s="150"/>
      <c r="F114" s="191" t="str">
        <f t="shared" si="10"/>
        <v/>
      </c>
      <c r="G114" s="185"/>
      <c r="H114" s="185"/>
      <c r="I114" s="185"/>
      <c r="K114" s="141" t="str">
        <f t="shared" si="11"/>
        <v/>
      </c>
      <c r="L114" s="141" t="str">
        <f t="shared" si="12"/>
        <v/>
      </c>
    </row>
    <row r="115" spans="1:12">
      <c r="A115" s="139" t="str">
        <f>IF(E115="","",VLOOKUP('Opći dio'!$C$3,'Opći dio'!$L$6:$U$136,10,FALSE))</f>
        <v/>
      </c>
      <c r="B115" s="139" t="str">
        <f>IF(E115="","",VLOOKUP('Opći dio'!$C$3,'Opći dio'!$L$6:$U$136,9,FALSE))</f>
        <v/>
      </c>
      <c r="C115" s="187" t="str">
        <f t="shared" si="8"/>
        <v/>
      </c>
      <c r="D115" s="138" t="str">
        <f t="shared" si="9"/>
        <v/>
      </c>
      <c r="E115" s="150"/>
      <c r="F115" s="191" t="str">
        <f t="shared" si="10"/>
        <v/>
      </c>
      <c r="G115" s="185"/>
      <c r="H115" s="185"/>
      <c r="I115" s="185"/>
      <c r="K115" s="141" t="str">
        <f t="shared" si="11"/>
        <v/>
      </c>
      <c r="L115" s="141" t="str">
        <f t="shared" si="12"/>
        <v/>
      </c>
    </row>
    <row r="116" spans="1:12">
      <c r="A116" s="139" t="str">
        <f>IF(E116="","",VLOOKUP('Opći dio'!$C$3,'Opći dio'!$L$6:$U$136,10,FALSE))</f>
        <v/>
      </c>
      <c r="B116" s="139" t="str">
        <f>IF(E116="","",VLOOKUP('Opći dio'!$C$3,'Opći dio'!$L$6:$U$136,9,FALSE))</f>
        <v/>
      </c>
      <c r="C116" s="187" t="str">
        <f t="shared" si="8"/>
        <v/>
      </c>
      <c r="D116" s="138" t="str">
        <f t="shared" si="9"/>
        <v/>
      </c>
      <c r="E116" s="150"/>
      <c r="F116" s="191" t="str">
        <f t="shared" si="10"/>
        <v/>
      </c>
      <c r="G116" s="185"/>
      <c r="H116" s="185"/>
      <c r="I116" s="185"/>
      <c r="K116" s="141" t="str">
        <f t="shared" si="11"/>
        <v/>
      </c>
      <c r="L116" s="141" t="str">
        <f t="shared" si="12"/>
        <v/>
      </c>
    </row>
    <row r="117" spans="1:12">
      <c r="A117" s="139" t="str">
        <f>IF(E117="","",VLOOKUP('Opći dio'!$C$3,'Opći dio'!$L$6:$U$136,10,FALSE))</f>
        <v/>
      </c>
      <c r="B117" s="139" t="str">
        <f>IF(E117="","",VLOOKUP('Opći dio'!$C$3,'Opći dio'!$L$6:$U$136,9,FALSE))</f>
        <v/>
      </c>
      <c r="C117" s="187" t="str">
        <f t="shared" si="8"/>
        <v/>
      </c>
      <c r="D117" s="138" t="str">
        <f t="shared" si="9"/>
        <v/>
      </c>
      <c r="E117" s="150"/>
      <c r="F117" s="191" t="str">
        <f t="shared" si="10"/>
        <v/>
      </c>
      <c r="G117" s="185"/>
      <c r="H117" s="185"/>
      <c r="I117" s="185"/>
      <c r="K117" s="141" t="str">
        <f t="shared" si="11"/>
        <v/>
      </c>
      <c r="L117" s="141" t="str">
        <f t="shared" si="12"/>
        <v/>
      </c>
    </row>
    <row r="118" spans="1:12">
      <c r="A118" s="139" t="str">
        <f>IF(E118="","",VLOOKUP('Opći dio'!$C$3,'Opći dio'!$L$6:$U$136,10,FALSE))</f>
        <v/>
      </c>
      <c r="B118" s="139" t="str">
        <f>IF(E118="","",VLOOKUP('Opći dio'!$C$3,'Opći dio'!$L$6:$U$136,9,FALSE))</f>
        <v/>
      </c>
      <c r="C118" s="187" t="str">
        <f t="shared" si="8"/>
        <v/>
      </c>
      <c r="D118" s="138" t="str">
        <f t="shared" si="9"/>
        <v/>
      </c>
      <c r="E118" s="150"/>
      <c r="F118" s="191" t="str">
        <f t="shared" si="10"/>
        <v/>
      </c>
      <c r="G118" s="185"/>
      <c r="H118" s="185"/>
      <c r="I118" s="185"/>
      <c r="K118" s="141" t="str">
        <f t="shared" si="11"/>
        <v/>
      </c>
      <c r="L118" s="141" t="str">
        <f t="shared" si="12"/>
        <v/>
      </c>
    </row>
    <row r="119" spans="1:12">
      <c r="A119" s="139" t="str">
        <f>IF(E119="","",VLOOKUP('Opći dio'!$C$3,'Opći dio'!$L$6:$U$136,10,FALSE))</f>
        <v/>
      </c>
      <c r="B119" s="139" t="str">
        <f>IF(E119="","",VLOOKUP('Opći dio'!$C$3,'Opći dio'!$L$6:$U$136,9,FALSE))</f>
        <v/>
      </c>
      <c r="C119" s="187" t="str">
        <f t="shared" si="8"/>
        <v/>
      </c>
      <c r="D119" s="138" t="str">
        <f t="shared" si="9"/>
        <v/>
      </c>
      <c r="E119" s="150"/>
      <c r="F119" s="191" t="str">
        <f t="shared" si="10"/>
        <v/>
      </c>
      <c r="G119" s="185"/>
      <c r="H119" s="185"/>
      <c r="I119" s="185"/>
      <c r="K119" s="141" t="str">
        <f t="shared" si="11"/>
        <v/>
      </c>
      <c r="L119" s="141" t="str">
        <f t="shared" si="12"/>
        <v/>
      </c>
    </row>
    <row r="120" spans="1:12">
      <c r="A120" s="139" t="str">
        <f>IF(E120="","",VLOOKUP('Opći dio'!$C$3,'Opći dio'!$L$6:$U$136,10,FALSE))</f>
        <v/>
      </c>
      <c r="B120" s="139" t="str">
        <f>IF(E120="","",VLOOKUP('Opći dio'!$C$3,'Opći dio'!$L$6:$U$136,9,FALSE))</f>
        <v/>
      </c>
      <c r="C120" s="187" t="str">
        <f t="shared" si="8"/>
        <v/>
      </c>
      <c r="D120" s="138" t="str">
        <f t="shared" si="9"/>
        <v/>
      </c>
      <c r="E120" s="150"/>
      <c r="F120" s="191" t="str">
        <f t="shared" si="10"/>
        <v/>
      </c>
      <c r="G120" s="185"/>
      <c r="H120" s="185"/>
      <c r="I120" s="185"/>
      <c r="K120" s="141" t="str">
        <f t="shared" si="11"/>
        <v/>
      </c>
      <c r="L120" s="141" t="str">
        <f t="shared" si="12"/>
        <v/>
      </c>
    </row>
    <row r="121" spans="1:12">
      <c r="A121" s="139" t="str">
        <f>IF(E121="","",VLOOKUP('Opći dio'!$C$3,'Opći dio'!$L$6:$U$136,10,FALSE))</f>
        <v/>
      </c>
      <c r="B121" s="139" t="str">
        <f>IF(E121="","",VLOOKUP('Opći dio'!$C$3,'Opći dio'!$L$6:$U$136,9,FALSE))</f>
        <v/>
      </c>
      <c r="C121" s="187" t="str">
        <f t="shared" si="8"/>
        <v/>
      </c>
      <c r="D121" s="138" t="str">
        <f t="shared" si="9"/>
        <v/>
      </c>
      <c r="E121" s="150"/>
      <c r="F121" s="191" t="str">
        <f t="shared" si="10"/>
        <v/>
      </c>
      <c r="G121" s="185"/>
      <c r="H121" s="185"/>
      <c r="I121" s="185"/>
      <c r="K121" s="141" t="str">
        <f t="shared" si="11"/>
        <v/>
      </c>
      <c r="L121" s="141" t="str">
        <f t="shared" si="12"/>
        <v/>
      </c>
    </row>
    <row r="122" spans="1:12">
      <c r="A122" s="139" t="str">
        <f>IF(E122="","",VLOOKUP('Opći dio'!$C$3,'Opći dio'!$L$6:$U$136,10,FALSE))</f>
        <v/>
      </c>
      <c r="B122" s="139" t="str">
        <f>IF(E122="","",VLOOKUP('Opći dio'!$C$3,'Opći dio'!$L$6:$U$136,9,FALSE))</f>
        <v/>
      </c>
      <c r="C122" s="187" t="str">
        <f t="shared" si="8"/>
        <v/>
      </c>
      <c r="D122" s="138" t="str">
        <f t="shared" si="9"/>
        <v/>
      </c>
      <c r="E122" s="150"/>
      <c r="F122" s="191" t="str">
        <f t="shared" si="10"/>
        <v/>
      </c>
      <c r="G122" s="185"/>
      <c r="H122" s="185"/>
      <c r="I122" s="185"/>
      <c r="K122" s="141" t="str">
        <f t="shared" si="11"/>
        <v/>
      </c>
      <c r="L122" s="141" t="str">
        <f t="shared" si="12"/>
        <v/>
      </c>
    </row>
    <row r="123" spans="1:12">
      <c r="A123" s="139" t="str">
        <f>IF(E123="","",VLOOKUP('Opći dio'!$C$3,'Opći dio'!$L$6:$U$136,10,FALSE))</f>
        <v/>
      </c>
      <c r="B123" s="139" t="str">
        <f>IF(E123="","",VLOOKUP('Opći dio'!$C$3,'Opći dio'!$L$6:$U$136,9,FALSE))</f>
        <v/>
      </c>
      <c r="C123" s="187" t="str">
        <f t="shared" si="8"/>
        <v/>
      </c>
      <c r="D123" s="138" t="str">
        <f t="shared" si="9"/>
        <v/>
      </c>
      <c r="E123" s="150"/>
      <c r="F123" s="191" t="str">
        <f t="shared" si="10"/>
        <v/>
      </c>
      <c r="G123" s="185"/>
      <c r="H123" s="185"/>
      <c r="I123" s="185"/>
      <c r="K123" s="141" t="str">
        <f t="shared" si="11"/>
        <v/>
      </c>
      <c r="L123" s="141" t="str">
        <f t="shared" si="12"/>
        <v/>
      </c>
    </row>
    <row r="124" spans="1:12">
      <c r="A124" s="139" t="str">
        <f>IF(E124="","",VLOOKUP('Opći dio'!$C$3,'Opći dio'!$L$6:$U$136,10,FALSE))</f>
        <v/>
      </c>
      <c r="B124" s="139" t="str">
        <f>IF(E124="","",VLOOKUP('Opći dio'!$C$3,'Opći dio'!$L$6:$U$136,9,FALSE))</f>
        <v/>
      </c>
      <c r="C124" s="187" t="str">
        <f t="shared" si="8"/>
        <v/>
      </c>
      <c r="D124" s="138" t="str">
        <f t="shared" si="9"/>
        <v/>
      </c>
      <c r="E124" s="150"/>
      <c r="F124" s="191" t="str">
        <f t="shared" si="10"/>
        <v/>
      </c>
      <c r="G124" s="185"/>
      <c r="H124" s="185"/>
      <c r="I124" s="185"/>
      <c r="K124" s="141" t="str">
        <f t="shared" si="11"/>
        <v/>
      </c>
      <c r="L124" s="141" t="str">
        <f t="shared" si="12"/>
        <v/>
      </c>
    </row>
    <row r="125" spans="1:12">
      <c r="A125" s="139" t="str">
        <f>IF(E125="","",VLOOKUP('Opći dio'!$C$3,'Opći dio'!$L$6:$U$136,10,FALSE))</f>
        <v/>
      </c>
      <c r="B125" s="139" t="str">
        <f>IF(E125="","",VLOOKUP('Opći dio'!$C$3,'Opći dio'!$L$6:$U$136,9,FALSE))</f>
        <v/>
      </c>
      <c r="C125" s="187" t="str">
        <f t="shared" si="8"/>
        <v/>
      </c>
      <c r="D125" s="138" t="str">
        <f t="shared" si="9"/>
        <v/>
      </c>
      <c r="E125" s="150"/>
      <c r="F125" s="191" t="str">
        <f t="shared" si="10"/>
        <v/>
      </c>
      <c r="G125" s="185"/>
      <c r="H125" s="185"/>
      <c r="I125" s="185"/>
      <c r="K125" s="141" t="str">
        <f t="shared" si="11"/>
        <v/>
      </c>
      <c r="L125" s="141" t="str">
        <f t="shared" si="12"/>
        <v/>
      </c>
    </row>
    <row r="126" spans="1:12">
      <c r="A126" s="139" t="str">
        <f>IF(E126="","",VLOOKUP('Opći dio'!$C$3,'Opći dio'!$L$6:$U$136,10,FALSE))</f>
        <v/>
      </c>
      <c r="B126" s="139" t="str">
        <f>IF(E126="","",VLOOKUP('Opći dio'!$C$3,'Opći dio'!$L$6:$U$136,9,FALSE))</f>
        <v/>
      </c>
      <c r="C126" s="187" t="str">
        <f t="shared" si="8"/>
        <v/>
      </c>
      <c r="D126" s="138" t="str">
        <f t="shared" si="9"/>
        <v/>
      </c>
      <c r="E126" s="150"/>
      <c r="F126" s="191" t="str">
        <f t="shared" si="10"/>
        <v/>
      </c>
      <c r="G126" s="185"/>
      <c r="H126" s="185"/>
      <c r="I126" s="185"/>
      <c r="K126" s="141" t="str">
        <f t="shared" si="11"/>
        <v/>
      </c>
      <c r="L126" s="141" t="str">
        <f t="shared" si="12"/>
        <v/>
      </c>
    </row>
    <row r="127" spans="1:12">
      <c r="A127" s="139" t="str">
        <f>IF(E127="","",VLOOKUP('Opći dio'!$C$3,'Opći dio'!$L$6:$U$136,10,FALSE))</f>
        <v/>
      </c>
      <c r="B127" s="139" t="str">
        <f>IF(E127="","",VLOOKUP('Opći dio'!$C$3,'Opći dio'!$L$6:$U$136,9,FALSE))</f>
        <v/>
      </c>
      <c r="C127" s="187" t="str">
        <f t="shared" si="8"/>
        <v/>
      </c>
      <c r="D127" s="138" t="str">
        <f t="shared" si="9"/>
        <v/>
      </c>
      <c r="E127" s="150"/>
      <c r="F127" s="191" t="str">
        <f t="shared" si="10"/>
        <v/>
      </c>
      <c r="G127" s="185"/>
      <c r="H127" s="185"/>
      <c r="I127" s="185"/>
      <c r="K127" s="141" t="str">
        <f t="shared" si="11"/>
        <v/>
      </c>
      <c r="L127" s="141" t="str">
        <f t="shared" si="12"/>
        <v/>
      </c>
    </row>
    <row r="128" spans="1:12">
      <c r="A128" s="139" t="str">
        <f>IF(E128="","",VLOOKUP('Opći dio'!$C$3,'Opći dio'!$L$6:$U$136,10,FALSE))</f>
        <v/>
      </c>
      <c r="B128" s="139" t="str">
        <f>IF(E128="","",VLOOKUP('Opći dio'!$C$3,'Opći dio'!$L$6:$U$136,9,FALSE))</f>
        <v/>
      </c>
      <c r="C128" s="187" t="str">
        <f t="shared" si="8"/>
        <v/>
      </c>
      <c r="D128" s="138" t="str">
        <f t="shared" si="9"/>
        <v/>
      </c>
      <c r="E128" s="150"/>
      <c r="F128" s="191" t="str">
        <f t="shared" si="10"/>
        <v/>
      </c>
      <c r="G128" s="185"/>
      <c r="H128" s="185"/>
      <c r="I128" s="185"/>
      <c r="K128" s="141" t="str">
        <f t="shared" si="11"/>
        <v/>
      </c>
      <c r="L128" s="141" t="str">
        <f t="shared" si="12"/>
        <v/>
      </c>
    </row>
    <row r="129" spans="1:12">
      <c r="A129" s="139" t="str">
        <f>IF(E129="","",VLOOKUP('Opći dio'!$C$3,'Opći dio'!$L$6:$U$136,10,FALSE))</f>
        <v/>
      </c>
      <c r="B129" s="139" t="str">
        <f>IF(E129="","",VLOOKUP('Opći dio'!$C$3,'Opći dio'!$L$6:$U$136,9,FALSE))</f>
        <v/>
      </c>
      <c r="C129" s="187" t="str">
        <f t="shared" si="8"/>
        <v/>
      </c>
      <c r="D129" s="138" t="str">
        <f t="shared" si="9"/>
        <v/>
      </c>
      <c r="E129" s="150"/>
      <c r="F129" s="191" t="str">
        <f t="shared" si="10"/>
        <v/>
      </c>
      <c r="G129" s="185"/>
      <c r="H129" s="185"/>
      <c r="I129" s="185"/>
      <c r="K129" s="141" t="str">
        <f t="shared" si="11"/>
        <v/>
      </c>
      <c r="L129" s="141" t="str">
        <f t="shared" si="12"/>
        <v/>
      </c>
    </row>
    <row r="130" spans="1:12">
      <c r="A130" s="139" t="str">
        <f>IF(E130="","",VLOOKUP('Opći dio'!$C$3,'Opći dio'!$L$6:$U$136,10,FALSE))</f>
        <v/>
      </c>
      <c r="B130" s="139" t="str">
        <f>IF(E130="","",VLOOKUP('Opći dio'!$C$3,'Opći dio'!$L$6:$U$136,9,FALSE))</f>
        <v/>
      </c>
      <c r="C130" s="187" t="str">
        <f t="shared" si="8"/>
        <v/>
      </c>
      <c r="D130" s="138" t="str">
        <f t="shared" si="9"/>
        <v/>
      </c>
      <c r="E130" s="150"/>
      <c r="F130" s="191" t="str">
        <f t="shared" si="10"/>
        <v/>
      </c>
      <c r="G130" s="185"/>
      <c r="H130" s="185"/>
      <c r="I130" s="185"/>
      <c r="K130" s="141" t="str">
        <f t="shared" si="11"/>
        <v/>
      </c>
      <c r="L130" s="141" t="str">
        <f t="shared" si="12"/>
        <v/>
      </c>
    </row>
    <row r="131" spans="1:12">
      <c r="A131" s="139" t="str">
        <f>IF(E131="","",VLOOKUP('Opći dio'!$C$3,'Opći dio'!$L$6:$U$136,10,FALSE))</f>
        <v/>
      </c>
      <c r="B131" s="139" t="str">
        <f>IF(E131="","",VLOOKUP('Opći dio'!$C$3,'Opći dio'!$L$6:$U$136,9,FALSE))</f>
        <v/>
      </c>
      <c r="C131" s="187" t="str">
        <f t="shared" si="8"/>
        <v/>
      </c>
      <c r="D131" s="138" t="str">
        <f t="shared" si="9"/>
        <v/>
      </c>
      <c r="E131" s="150"/>
      <c r="F131" s="191" t="str">
        <f t="shared" si="10"/>
        <v/>
      </c>
      <c r="G131" s="185"/>
      <c r="H131" s="185"/>
      <c r="I131" s="185"/>
      <c r="K131" s="141" t="str">
        <f t="shared" si="11"/>
        <v/>
      </c>
      <c r="L131" s="141" t="str">
        <f t="shared" si="12"/>
        <v/>
      </c>
    </row>
    <row r="132" spans="1:12">
      <c r="A132" s="139" t="str">
        <f>IF(E132="","",VLOOKUP('Opći dio'!$C$3,'Opći dio'!$L$6:$U$136,10,FALSE))</f>
        <v/>
      </c>
      <c r="B132" s="139" t="str">
        <f>IF(E132="","",VLOOKUP('Opći dio'!$C$3,'Opći dio'!$L$6:$U$136,9,FALSE))</f>
        <v/>
      </c>
      <c r="C132" s="187" t="str">
        <f t="shared" ref="C132:C195" si="13">IFERROR(VLOOKUP(E132,$Q$6:$T$200,3,FALSE),"")</f>
        <v/>
      </c>
      <c r="D132" s="138" t="str">
        <f t="shared" ref="D132:D195" si="14">IFERROR(VLOOKUP(E132,$Q$6:$T$200,4,FALSE),"")</f>
        <v/>
      </c>
      <c r="E132" s="150"/>
      <c r="F132" s="191" t="str">
        <f t="shared" ref="F132:F195" si="15">IFERROR(VLOOKUP(E132,$Q$6:$T$200,2,FALSE),"")</f>
        <v/>
      </c>
      <c r="G132" s="185"/>
      <c r="H132" s="185"/>
      <c r="I132" s="185"/>
      <c r="K132" s="141" t="str">
        <f t="shared" ref="K132:K195" si="16">LEFT(E132,3)</f>
        <v/>
      </c>
      <c r="L132" s="141" t="str">
        <f t="shared" ref="L132:L195" si="17">LEFT(E132,2)</f>
        <v/>
      </c>
    </row>
    <row r="133" spans="1:12">
      <c r="A133" s="139" t="str">
        <f>IF(E133="","",VLOOKUP('Opći dio'!$C$3,'Opći dio'!$L$6:$U$136,10,FALSE))</f>
        <v/>
      </c>
      <c r="B133" s="139" t="str">
        <f>IF(E133="","",VLOOKUP('Opći dio'!$C$3,'Opći dio'!$L$6:$U$136,9,FALSE))</f>
        <v/>
      </c>
      <c r="C133" s="187" t="str">
        <f t="shared" si="13"/>
        <v/>
      </c>
      <c r="D133" s="138" t="str">
        <f t="shared" si="14"/>
        <v/>
      </c>
      <c r="E133" s="150"/>
      <c r="F133" s="191" t="str">
        <f t="shared" si="15"/>
        <v/>
      </c>
      <c r="G133" s="185"/>
      <c r="H133" s="185"/>
      <c r="I133" s="185"/>
      <c r="K133" s="141" t="str">
        <f t="shared" si="16"/>
        <v/>
      </c>
      <c r="L133" s="141" t="str">
        <f t="shared" si="17"/>
        <v/>
      </c>
    </row>
    <row r="134" spans="1:12">
      <c r="A134" s="139" t="str">
        <f>IF(E134="","",VLOOKUP('Opći dio'!$C$3,'Opći dio'!$L$6:$U$136,10,FALSE))</f>
        <v/>
      </c>
      <c r="B134" s="139" t="str">
        <f>IF(E134="","",VLOOKUP('Opći dio'!$C$3,'Opći dio'!$L$6:$U$136,9,FALSE))</f>
        <v/>
      </c>
      <c r="C134" s="187" t="str">
        <f t="shared" si="13"/>
        <v/>
      </c>
      <c r="D134" s="138" t="str">
        <f t="shared" si="14"/>
        <v/>
      </c>
      <c r="E134" s="150"/>
      <c r="F134" s="191" t="str">
        <f t="shared" si="15"/>
        <v/>
      </c>
      <c r="G134" s="185"/>
      <c r="H134" s="185"/>
      <c r="I134" s="185"/>
      <c r="K134" s="141" t="str">
        <f t="shared" si="16"/>
        <v/>
      </c>
      <c r="L134" s="141" t="str">
        <f t="shared" si="17"/>
        <v/>
      </c>
    </row>
    <row r="135" spans="1:12">
      <c r="A135" s="139" t="str">
        <f>IF(E135="","",VLOOKUP('Opći dio'!$C$3,'Opći dio'!$L$6:$U$136,10,FALSE))</f>
        <v/>
      </c>
      <c r="B135" s="139" t="str">
        <f>IF(E135="","",VLOOKUP('Opći dio'!$C$3,'Opći dio'!$L$6:$U$136,9,FALSE))</f>
        <v/>
      </c>
      <c r="C135" s="187" t="str">
        <f t="shared" si="13"/>
        <v/>
      </c>
      <c r="D135" s="138" t="str">
        <f t="shared" si="14"/>
        <v/>
      </c>
      <c r="E135" s="150"/>
      <c r="F135" s="191" t="str">
        <f t="shared" si="15"/>
        <v/>
      </c>
      <c r="G135" s="185"/>
      <c r="H135" s="185"/>
      <c r="I135" s="185"/>
      <c r="K135" s="141" t="str">
        <f t="shared" si="16"/>
        <v/>
      </c>
      <c r="L135" s="141" t="str">
        <f t="shared" si="17"/>
        <v/>
      </c>
    </row>
    <row r="136" spans="1:12">
      <c r="A136" s="139" t="str">
        <f>IF(E136="","",VLOOKUP('Opći dio'!$C$3,'Opći dio'!$L$6:$U$136,10,FALSE))</f>
        <v/>
      </c>
      <c r="B136" s="139" t="str">
        <f>IF(E136="","",VLOOKUP('Opći dio'!$C$3,'Opći dio'!$L$6:$U$136,9,FALSE))</f>
        <v/>
      </c>
      <c r="C136" s="187" t="str">
        <f t="shared" si="13"/>
        <v/>
      </c>
      <c r="D136" s="138" t="str">
        <f t="shared" si="14"/>
        <v/>
      </c>
      <c r="E136" s="150"/>
      <c r="F136" s="191" t="str">
        <f t="shared" si="15"/>
        <v/>
      </c>
      <c r="G136" s="185"/>
      <c r="H136" s="185"/>
      <c r="I136" s="185"/>
      <c r="K136" s="141" t="str">
        <f t="shared" si="16"/>
        <v/>
      </c>
      <c r="L136" s="141" t="str">
        <f t="shared" si="17"/>
        <v/>
      </c>
    </row>
    <row r="137" spans="1:12">
      <c r="A137" s="139" t="str">
        <f>IF(E137="","",VLOOKUP('Opći dio'!$C$3,'Opći dio'!$L$6:$U$136,10,FALSE))</f>
        <v/>
      </c>
      <c r="B137" s="139" t="str">
        <f>IF(E137="","",VLOOKUP('Opći dio'!$C$3,'Opći dio'!$L$6:$U$136,9,FALSE))</f>
        <v/>
      </c>
      <c r="C137" s="187" t="str">
        <f t="shared" si="13"/>
        <v/>
      </c>
      <c r="D137" s="138" t="str">
        <f t="shared" si="14"/>
        <v/>
      </c>
      <c r="E137" s="150"/>
      <c r="F137" s="191" t="str">
        <f t="shared" si="15"/>
        <v/>
      </c>
      <c r="G137" s="185"/>
      <c r="H137" s="185"/>
      <c r="I137" s="185"/>
      <c r="K137" s="141" t="str">
        <f t="shared" si="16"/>
        <v/>
      </c>
      <c r="L137" s="141" t="str">
        <f t="shared" si="17"/>
        <v/>
      </c>
    </row>
    <row r="138" spans="1:12">
      <c r="A138" s="139" t="str">
        <f>IF(E138="","",VLOOKUP('Opći dio'!$C$3,'Opći dio'!$L$6:$U$136,10,FALSE))</f>
        <v/>
      </c>
      <c r="B138" s="139" t="str">
        <f>IF(E138="","",VLOOKUP('Opći dio'!$C$3,'Opći dio'!$L$6:$U$136,9,FALSE))</f>
        <v/>
      </c>
      <c r="C138" s="187" t="str">
        <f t="shared" si="13"/>
        <v/>
      </c>
      <c r="D138" s="138" t="str">
        <f t="shared" si="14"/>
        <v/>
      </c>
      <c r="E138" s="150"/>
      <c r="F138" s="191" t="str">
        <f t="shared" si="15"/>
        <v/>
      </c>
      <c r="G138" s="185"/>
      <c r="H138" s="185"/>
      <c r="I138" s="185"/>
      <c r="K138" s="141" t="str">
        <f t="shared" si="16"/>
        <v/>
      </c>
      <c r="L138" s="141" t="str">
        <f t="shared" si="17"/>
        <v/>
      </c>
    </row>
    <row r="139" spans="1:12">
      <c r="A139" s="139" t="str">
        <f>IF(E139="","",VLOOKUP('Opći dio'!$C$3,'Opći dio'!$L$6:$U$136,10,FALSE))</f>
        <v/>
      </c>
      <c r="B139" s="139" t="str">
        <f>IF(E139="","",VLOOKUP('Opći dio'!$C$3,'Opći dio'!$L$6:$U$136,9,FALSE))</f>
        <v/>
      </c>
      <c r="C139" s="187" t="str">
        <f t="shared" si="13"/>
        <v/>
      </c>
      <c r="D139" s="138" t="str">
        <f t="shared" si="14"/>
        <v/>
      </c>
      <c r="E139" s="150"/>
      <c r="F139" s="191" t="str">
        <f t="shared" si="15"/>
        <v/>
      </c>
      <c r="G139" s="185"/>
      <c r="H139" s="185"/>
      <c r="I139" s="185"/>
      <c r="K139" s="141" t="str">
        <f t="shared" si="16"/>
        <v/>
      </c>
      <c r="L139" s="141" t="str">
        <f t="shared" si="17"/>
        <v/>
      </c>
    </row>
    <row r="140" spans="1:12">
      <c r="A140" s="139" t="str">
        <f>IF(E140="","",VLOOKUP('Opći dio'!$C$3,'Opći dio'!$L$6:$U$136,10,FALSE))</f>
        <v/>
      </c>
      <c r="B140" s="139" t="str">
        <f>IF(E140="","",VLOOKUP('Opći dio'!$C$3,'Opći dio'!$L$6:$U$136,9,FALSE))</f>
        <v/>
      </c>
      <c r="C140" s="187" t="str">
        <f t="shared" si="13"/>
        <v/>
      </c>
      <c r="D140" s="138" t="str">
        <f t="shared" si="14"/>
        <v/>
      </c>
      <c r="E140" s="150"/>
      <c r="F140" s="191" t="str">
        <f t="shared" si="15"/>
        <v/>
      </c>
      <c r="G140" s="185"/>
      <c r="H140" s="185"/>
      <c r="I140" s="185"/>
      <c r="K140" s="141" t="str">
        <f t="shared" si="16"/>
        <v/>
      </c>
      <c r="L140" s="141" t="str">
        <f t="shared" si="17"/>
        <v/>
      </c>
    </row>
    <row r="141" spans="1:12">
      <c r="A141" s="139" t="str">
        <f>IF(E141="","",VLOOKUP('Opći dio'!$C$3,'Opći dio'!$L$6:$U$136,10,FALSE))</f>
        <v/>
      </c>
      <c r="B141" s="139" t="str">
        <f>IF(E141="","",VLOOKUP('Opći dio'!$C$3,'Opći dio'!$L$6:$U$136,9,FALSE))</f>
        <v/>
      </c>
      <c r="C141" s="187" t="str">
        <f t="shared" si="13"/>
        <v/>
      </c>
      <c r="D141" s="138" t="str">
        <f t="shared" si="14"/>
        <v/>
      </c>
      <c r="E141" s="150"/>
      <c r="F141" s="191" t="str">
        <f t="shared" si="15"/>
        <v/>
      </c>
      <c r="G141" s="185"/>
      <c r="H141" s="185"/>
      <c r="I141" s="185"/>
      <c r="K141" s="141" t="str">
        <f t="shared" si="16"/>
        <v/>
      </c>
      <c r="L141" s="141" t="str">
        <f t="shared" si="17"/>
        <v/>
      </c>
    </row>
    <row r="142" spans="1:12">
      <c r="A142" s="139" t="str">
        <f>IF(E142="","",VLOOKUP('Opći dio'!$C$3,'Opći dio'!$L$6:$U$136,10,FALSE))</f>
        <v/>
      </c>
      <c r="B142" s="139" t="str">
        <f>IF(E142="","",VLOOKUP('Opći dio'!$C$3,'Opći dio'!$L$6:$U$136,9,FALSE))</f>
        <v/>
      </c>
      <c r="C142" s="187" t="str">
        <f t="shared" si="13"/>
        <v/>
      </c>
      <c r="D142" s="138" t="str">
        <f t="shared" si="14"/>
        <v/>
      </c>
      <c r="E142" s="150"/>
      <c r="F142" s="191" t="str">
        <f t="shared" si="15"/>
        <v/>
      </c>
      <c r="G142" s="185"/>
      <c r="H142" s="185"/>
      <c r="I142" s="185"/>
      <c r="K142" s="141" t="str">
        <f t="shared" si="16"/>
        <v/>
      </c>
      <c r="L142" s="141" t="str">
        <f t="shared" si="17"/>
        <v/>
      </c>
    </row>
    <row r="143" spans="1:12">
      <c r="A143" s="139" t="str">
        <f>IF(E143="","",VLOOKUP('Opći dio'!$C$3,'Opći dio'!$L$6:$U$136,10,FALSE))</f>
        <v/>
      </c>
      <c r="B143" s="139" t="str">
        <f>IF(E143="","",VLOOKUP('Opći dio'!$C$3,'Opći dio'!$L$6:$U$136,9,FALSE))</f>
        <v/>
      </c>
      <c r="C143" s="187" t="str">
        <f t="shared" si="13"/>
        <v/>
      </c>
      <c r="D143" s="138" t="str">
        <f t="shared" si="14"/>
        <v/>
      </c>
      <c r="E143" s="150"/>
      <c r="F143" s="191" t="str">
        <f t="shared" si="15"/>
        <v/>
      </c>
      <c r="G143" s="185"/>
      <c r="H143" s="185"/>
      <c r="I143" s="185"/>
      <c r="K143" s="141" t="str">
        <f t="shared" si="16"/>
        <v/>
      </c>
      <c r="L143" s="141" t="str">
        <f t="shared" si="17"/>
        <v/>
      </c>
    </row>
    <row r="144" spans="1:12">
      <c r="A144" s="139" t="str">
        <f>IF(E144="","",VLOOKUP('Opći dio'!$C$3,'Opći dio'!$L$6:$U$136,10,FALSE))</f>
        <v/>
      </c>
      <c r="B144" s="139" t="str">
        <f>IF(E144="","",VLOOKUP('Opći dio'!$C$3,'Opći dio'!$L$6:$U$136,9,FALSE))</f>
        <v/>
      </c>
      <c r="C144" s="187" t="str">
        <f t="shared" si="13"/>
        <v/>
      </c>
      <c r="D144" s="138" t="str">
        <f t="shared" si="14"/>
        <v/>
      </c>
      <c r="E144" s="150"/>
      <c r="F144" s="191" t="str">
        <f t="shared" si="15"/>
        <v/>
      </c>
      <c r="G144" s="185"/>
      <c r="H144" s="185"/>
      <c r="I144" s="185"/>
      <c r="K144" s="141" t="str">
        <f t="shared" si="16"/>
        <v/>
      </c>
      <c r="L144" s="141" t="str">
        <f t="shared" si="17"/>
        <v/>
      </c>
    </row>
    <row r="145" spans="1:12">
      <c r="A145" s="139" t="str">
        <f>IF(E145="","",VLOOKUP('Opći dio'!$C$3,'Opći dio'!$L$6:$U$136,10,FALSE))</f>
        <v/>
      </c>
      <c r="B145" s="139" t="str">
        <f>IF(E145="","",VLOOKUP('Opći dio'!$C$3,'Opći dio'!$L$6:$U$136,9,FALSE))</f>
        <v/>
      </c>
      <c r="C145" s="187" t="str">
        <f t="shared" si="13"/>
        <v/>
      </c>
      <c r="D145" s="138" t="str">
        <f t="shared" si="14"/>
        <v/>
      </c>
      <c r="E145" s="150"/>
      <c r="F145" s="191" t="str">
        <f t="shared" si="15"/>
        <v/>
      </c>
      <c r="G145" s="185"/>
      <c r="H145" s="185"/>
      <c r="I145" s="185"/>
      <c r="K145" s="141" t="str">
        <f t="shared" si="16"/>
        <v/>
      </c>
      <c r="L145" s="141" t="str">
        <f t="shared" si="17"/>
        <v/>
      </c>
    </row>
    <row r="146" spans="1:12">
      <c r="A146" s="139" t="str">
        <f>IF(E146="","",VLOOKUP('Opći dio'!$C$3,'Opći dio'!$L$6:$U$136,10,FALSE))</f>
        <v/>
      </c>
      <c r="B146" s="139" t="str">
        <f>IF(E146="","",VLOOKUP('Opći dio'!$C$3,'Opći dio'!$L$6:$U$136,9,FALSE))</f>
        <v/>
      </c>
      <c r="C146" s="187" t="str">
        <f t="shared" si="13"/>
        <v/>
      </c>
      <c r="D146" s="138" t="str">
        <f t="shared" si="14"/>
        <v/>
      </c>
      <c r="E146" s="150"/>
      <c r="F146" s="191" t="str">
        <f t="shared" si="15"/>
        <v/>
      </c>
      <c r="G146" s="185"/>
      <c r="H146" s="185"/>
      <c r="I146" s="185"/>
      <c r="K146" s="141" t="str">
        <f t="shared" si="16"/>
        <v/>
      </c>
      <c r="L146" s="141" t="str">
        <f t="shared" si="17"/>
        <v/>
      </c>
    </row>
    <row r="147" spans="1:12">
      <c r="A147" s="139" t="str">
        <f>IF(E147="","",VLOOKUP('Opći dio'!$C$3,'Opći dio'!$L$6:$U$136,10,FALSE))</f>
        <v/>
      </c>
      <c r="B147" s="139" t="str">
        <f>IF(E147="","",VLOOKUP('Opći dio'!$C$3,'Opći dio'!$L$6:$U$136,9,FALSE))</f>
        <v/>
      </c>
      <c r="C147" s="187" t="str">
        <f t="shared" si="13"/>
        <v/>
      </c>
      <c r="D147" s="138" t="str">
        <f t="shared" si="14"/>
        <v/>
      </c>
      <c r="E147" s="150"/>
      <c r="F147" s="191" t="str">
        <f t="shared" si="15"/>
        <v/>
      </c>
      <c r="G147" s="185"/>
      <c r="H147" s="185"/>
      <c r="I147" s="185"/>
      <c r="K147" s="141" t="str">
        <f t="shared" si="16"/>
        <v/>
      </c>
      <c r="L147" s="141" t="str">
        <f t="shared" si="17"/>
        <v/>
      </c>
    </row>
    <row r="148" spans="1:12">
      <c r="A148" s="139" t="str">
        <f>IF(E148="","",VLOOKUP('Opći dio'!$C$3,'Opći dio'!$L$6:$U$136,10,FALSE))</f>
        <v/>
      </c>
      <c r="B148" s="139" t="str">
        <f>IF(E148="","",VLOOKUP('Opći dio'!$C$3,'Opći dio'!$L$6:$U$136,9,FALSE))</f>
        <v/>
      </c>
      <c r="C148" s="187" t="str">
        <f t="shared" si="13"/>
        <v/>
      </c>
      <c r="D148" s="138" t="str">
        <f t="shared" si="14"/>
        <v/>
      </c>
      <c r="E148" s="150"/>
      <c r="F148" s="191" t="str">
        <f t="shared" si="15"/>
        <v/>
      </c>
      <c r="G148" s="185"/>
      <c r="H148" s="185"/>
      <c r="I148" s="185"/>
      <c r="K148" s="141" t="str">
        <f t="shared" si="16"/>
        <v/>
      </c>
      <c r="L148" s="141" t="str">
        <f t="shared" si="17"/>
        <v/>
      </c>
    </row>
    <row r="149" spans="1:12">
      <c r="A149" s="139" t="str">
        <f>IF(E149="","",VLOOKUP('Opći dio'!$C$3,'Opći dio'!$L$6:$U$136,10,FALSE))</f>
        <v/>
      </c>
      <c r="B149" s="139" t="str">
        <f>IF(E149="","",VLOOKUP('Opći dio'!$C$3,'Opći dio'!$L$6:$U$136,9,FALSE))</f>
        <v/>
      </c>
      <c r="C149" s="187" t="str">
        <f t="shared" si="13"/>
        <v/>
      </c>
      <c r="D149" s="138" t="str">
        <f t="shared" si="14"/>
        <v/>
      </c>
      <c r="E149" s="150"/>
      <c r="F149" s="191" t="str">
        <f t="shared" si="15"/>
        <v/>
      </c>
      <c r="G149" s="185"/>
      <c r="H149" s="185"/>
      <c r="I149" s="185"/>
      <c r="K149" s="141" t="str">
        <f t="shared" si="16"/>
        <v/>
      </c>
      <c r="L149" s="141" t="str">
        <f t="shared" si="17"/>
        <v/>
      </c>
    </row>
    <row r="150" spans="1:12">
      <c r="A150" s="139" t="str">
        <f>IF(E150="","",VLOOKUP('Opći dio'!$C$3,'Opći dio'!$L$6:$U$136,10,FALSE))</f>
        <v/>
      </c>
      <c r="B150" s="139" t="str">
        <f>IF(E150="","",VLOOKUP('Opći dio'!$C$3,'Opći dio'!$L$6:$U$136,9,FALSE))</f>
        <v/>
      </c>
      <c r="C150" s="187" t="str">
        <f t="shared" si="13"/>
        <v/>
      </c>
      <c r="D150" s="138" t="str">
        <f t="shared" si="14"/>
        <v/>
      </c>
      <c r="E150" s="150"/>
      <c r="F150" s="191" t="str">
        <f t="shared" si="15"/>
        <v/>
      </c>
      <c r="G150" s="185"/>
      <c r="H150" s="185"/>
      <c r="I150" s="185"/>
      <c r="K150" s="141" t="str">
        <f t="shared" si="16"/>
        <v/>
      </c>
      <c r="L150" s="141" t="str">
        <f t="shared" si="17"/>
        <v/>
      </c>
    </row>
    <row r="151" spans="1:12">
      <c r="A151" s="139" t="str">
        <f>IF(E151="","",VLOOKUP('Opći dio'!$C$3,'Opći dio'!$L$6:$U$136,10,FALSE))</f>
        <v/>
      </c>
      <c r="B151" s="139" t="str">
        <f>IF(E151="","",VLOOKUP('Opći dio'!$C$3,'Opći dio'!$L$6:$U$136,9,FALSE))</f>
        <v/>
      </c>
      <c r="C151" s="187" t="str">
        <f t="shared" si="13"/>
        <v/>
      </c>
      <c r="D151" s="138" t="str">
        <f t="shared" si="14"/>
        <v/>
      </c>
      <c r="E151" s="150"/>
      <c r="F151" s="191" t="str">
        <f t="shared" si="15"/>
        <v/>
      </c>
      <c r="G151" s="185"/>
      <c r="H151" s="185"/>
      <c r="I151" s="185"/>
      <c r="K151" s="141" t="str">
        <f t="shared" si="16"/>
        <v/>
      </c>
      <c r="L151" s="141" t="str">
        <f t="shared" si="17"/>
        <v/>
      </c>
    </row>
    <row r="152" spans="1:12">
      <c r="A152" s="139" t="str">
        <f>IF(E152="","",VLOOKUP('Opći dio'!$C$3,'Opći dio'!$L$6:$U$136,10,FALSE))</f>
        <v/>
      </c>
      <c r="B152" s="139" t="str">
        <f>IF(E152="","",VLOOKUP('Opći dio'!$C$3,'Opći dio'!$L$6:$U$136,9,FALSE))</f>
        <v/>
      </c>
      <c r="C152" s="187" t="str">
        <f t="shared" si="13"/>
        <v/>
      </c>
      <c r="D152" s="138" t="str">
        <f t="shared" si="14"/>
        <v/>
      </c>
      <c r="E152" s="150"/>
      <c r="F152" s="191" t="str">
        <f t="shared" si="15"/>
        <v/>
      </c>
      <c r="G152" s="185"/>
      <c r="H152" s="185"/>
      <c r="I152" s="185"/>
      <c r="K152" s="141" t="str">
        <f t="shared" si="16"/>
        <v/>
      </c>
      <c r="L152" s="141" t="str">
        <f t="shared" si="17"/>
        <v/>
      </c>
    </row>
    <row r="153" spans="1:12">
      <c r="A153" s="139" t="str">
        <f>IF(E153="","",VLOOKUP('Opći dio'!$C$3,'Opći dio'!$L$6:$U$136,10,FALSE))</f>
        <v/>
      </c>
      <c r="B153" s="139" t="str">
        <f>IF(E153="","",VLOOKUP('Opći dio'!$C$3,'Opći dio'!$L$6:$U$136,9,FALSE))</f>
        <v/>
      </c>
      <c r="C153" s="187" t="str">
        <f t="shared" si="13"/>
        <v/>
      </c>
      <c r="D153" s="138" t="str">
        <f t="shared" si="14"/>
        <v/>
      </c>
      <c r="E153" s="150"/>
      <c r="F153" s="191" t="str">
        <f t="shared" si="15"/>
        <v/>
      </c>
      <c r="G153" s="185"/>
      <c r="H153" s="185"/>
      <c r="I153" s="185"/>
      <c r="K153" s="141" t="str">
        <f t="shared" si="16"/>
        <v/>
      </c>
      <c r="L153" s="141" t="str">
        <f t="shared" si="17"/>
        <v/>
      </c>
    </row>
    <row r="154" spans="1:12">
      <c r="A154" s="139" t="str">
        <f>IF(E154="","",VLOOKUP('Opći dio'!$C$3,'Opći dio'!$L$6:$U$136,10,FALSE))</f>
        <v/>
      </c>
      <c r="B154" s="139" t="str">
        <f>IF(E154="","",VLOOKUP('Opći dio'!$C$3,'Opći dio'!$L$6:$U$136,9,FALSE))</f>
        <v/>
      </c>
      <c r="C154" s="187" t="str">
        <f t="shared" si="13"/>
        <v/>
      </c>
      <c r="D154" s="138" t="str">
        <f t="shared" si="14"/>
        <v/>
      </c>
      <c r="E154" s="150"/>
      <c r="F154" s="191" t="str">
        <f t="shared" si="15"/>
        <v/>
      </c>
      <c r="G154" s="185"/>
      <c r="H154" s="185"/>
      <c r="I154" s="185"/>
      <c r="K154" s="141" t="str">
        <f t="shared" si="16"/>
        <v/>
      </c>
      <c r="L154" s="141" t="str">
        <f t="shared" si="17"/>
        <v/>
      </c>
    </row>
    <row r="155" spans="1:12">
      <c r="A155" s="139" t="str">
        <f>IF(E155="","",VLOOKUP('Opći dio'!$C$3,'Opći dio'!$L$6:$U$136,10,FALSE))</f>
        <v/>
      </c>
      <c r="B155" s="139" t="str">
        <f>IF(E155="","",VLOOKUP('Opći dio'!$C$3,'Opći dio'!$L$6:$U$136,9,FALSE))</f>
        <v/>
      </c>
      <c r="C155" s="187" t="str">
        <f t="shared" si="13"/>
        <v/>
      </c>
      <c r="D155" s="138" t="str">
        <f t="shared" si="14"/>
        <v/>
      </c>
      <c r="E155" s="150"/>
      <c r="F155" s="191" t="str">
        <f t="shared" si="15"/>
        <v/>
      </c>
      <c r="G155" s="185"/>
      <c r="H155" s="185"/>
      <c r="I155" s="185"/>
      <c r="K155" s="141" t="str">
        <f t="shared" si="16"/>
        <v/>
      </c>
      <c r="L155" s="141" t="str">
        <f t="shared" si="17"/>
        <v/>
      </c>
    </row>
    <row r="156" spans="1:12">
      <c r="A156" s="139" t="str">
        <f>IF(E156="","",VLOOKUP('Opći dio'!$C$3,'Opći dio'!$L$6:$U$136,10,FALSE))</f>
        <v/>
      </c>
      <c r="B156" s="139" t="str">
        <f>IF(E156="","",VLOOKUP('Opći dio'!$C$3,'Opći dio'!$L$6:$U$136,9,FALSE))</f>
        <v/>
      </c>
      <c r="C156" s="187" t="str">
        <f t="shared" si="13"/>
        <v/>
      </c>
      <c r="D156" s="138" t="str">
        <f t="shared" si="14"/>
        <v/>
      </c>
      <c r="E156" s="150"/>
      <c r="F156" s="191" t="str">
        <f t="shared" si="15"/>
        <v/>
      </c>
      <c r="G156" s="185"/>
      <c r="H156" s="185"/>
      <c r="I156" s="185"/>
      <c r="K156" s="141" t="str">
        <f t="shared" si="16"/>
        <v/>
      </c>
      <c r="L156" s="141" t="str">
        <f t="shared" si="17"/>
        <v/>
      </c>
    </row>
    <row r="157" spans="1:12">
      <c r="A157" s="139" t="str">
        <f>IF(E157="","",VLOOKUP('Opći dio'!$C$3,'Opći dio'!$L$6:$U$136,10,FALSE))</f>
        <v/>
      </c>
      <c r="B157" s="139" t="str">
        <f>IF(E157="","",VLOOKUP('Opći dio'!$C$3,'Opći dio'!$L$6:$U$136,9,FALSE))</f>
        <v/>
      </c>
      <c r="C157" s="187" t="str">
        <f t="shared" si="13"/>
        <v/>
      </c>
      <c r="D157" s="138" t="str">
        <f t="shared" si="14"/>
        <v/>
      </c>
      <c r="E157" s="150"/>
      <c r="F157" s="191" t="str">
        <f t="shared" si="15"/>
        <v/>
      </c>
      <c r="G157" s="185"/>
      <c r="H157" s="185"/>
      <c r="I157" s="185"/>
      <c r="K157" s="141" t="str">
        <f t="shared" si="16"/>
        <v/>
      </c>
      <c r="L157" s="141" t="str">
        <f t="shared" si="17"/>
        <v/>
      </c>
    </row>
    <row r="158" spans="1:12">
      <c r="A158" s="139" t="str">
        <f>IF(E158="","",VLOOKUP('Opći dio'!$C$3,'Opći dio'!$L$6:$U$136,10,FALSE))</f>
        <v/>
      </c>
      <c r="B158" s="139" t="str">
        <f>IF(E158="","",VLOOKUP('Opći dio'!$C$3,'Opći dio'!$L$6:$U$136,9,FALSE))</f>
        <v/>
      </c>
      <c r="C158" s="187" t="str">
        <f t="shared" si="13"/>
        <v/>
      </c>
      <c r="D158" s="138" t="str">
        <f t="shared" si="14"/>
        <v/>
      </c>
      <c r="E158" s="150"/>
      <c r="F158" s="191" t="str">
        <f t="shared" si="15"/>
        <v/>
      </c>
      <c r="G158" s="185"/>
      <c r="H158" s="185"/>
      <c r="I158" s="185"/>
      <c r="K158" s="141" t="str">
        <f t="shared" si="16"/>
        <v/>
      </c>
      <c r="L158" s="141" t="str">
        <f t="shared" si="17"/>
        <v/>
      </c>
    </row>
    <row r="159" spans="1:12">
      <c r="A159" s="139" t="str">
        <f>IF(E159="","",VLOOKUP('Opći dio'!$C$3,'Opći dio'!$L$6:$U$136,10,FALSE))</f>
        <v/>
      </c>
      <c r="B159" s="139" t="str">
        <f>IF(E159="","",VLOOKUP('Opći dio'!$C$3,'Opći dio'!$L$6:$U$136,9,FALSE))</f>
        <v/>
      </c>
      <c r="C159" s="187" t="str">
        <f t="shared" si="13"/>
        <v/>
      </c>
      <c r="D159" s="138" t="str">
        <f t="shared" si="14"/>
        <v/>
      </c>
      <c r="E159" s="150"/>
      <c r="F159" s="191" t="str">
        <f t="shared" si="15"/>
        <v/>
      </c>
      <c r="G159" s="185"/>
      <c r="H159" s="185"/>
      <c r="I159" s="185"/>
      <c r="K159" s="141" t="str">
        <f t="shared" si="16"/>
        <v/>
      </c>
      <c r="L159" s="141" t="str">
        <f t="shared" si="17"/>
        <v/>
      </c>
    </row>
    <row r="160" spans="1:12">
      <c r="A160" s="139" t="str">
        <f>IF(E160="","",VLOOKUP('Opći dio'!$C$3,'Opći dio'!$L$6:$U$136,10,FALSE))</f>
        <v/>
      </c>
      <c r="B160" s="139" t="str">
        <f>IF(E160="","",VLOOKUP('Opći dio'!$C$3,'Opći dio'!$L$6:$U$136,9,FALSE))</f>
        <v/>
      </c>
      <c r="C160" s="187" t="str">
        <f t="shared" si="13"/>
        <v/>
      </c>
      <c r="D160" s="138" t="str">
        <f t="shared" si="14"/>
        <v/>
      </c>
      <c r="E160" s="150"/>
      <c r="F160" s="191" t="str">
        <f t="shared" si="15"/>
        <v/>
      </c>
      <c r="G160" s="185"/>
      <c r="H160" s="185"/>
      <c r="I160" s="185"/>
      <c r="K160" s="141" t="str">
        <f t="shared" si="16"/>
        <v/>
      </c>
      <c r="L160" s="141" t="str">
        <f t="shared" si="17"/>
        <v/>
      </c>
    </row>
    <row r="161" spans="1:12">
      <c r="A161" s="139" t="str">
        <f>IF(E161="","",VLOOKUP('Opći dio'!$C$3,'Opći dio'!$L$6:$U$136,10,FALSE))</f>
        <v/>
      </c>
      <c r="B161" s="139" t="str">
        <f>IF(E161="","",VLOOKUP('Opći dio'!$C$3,'Opći dio'!$L$6:$U$136,9,FALSE))</f>
        <v/>
      </c>
      <c r="C161" s="187" t="str">
        <f t="shared" si="13"/>
        <v/>
      </c>
      <c r="D161" s="138" t="str">
        <f t="shared" si="14"/>
        <v/>
      </c>
      <c r="E161" s="150"/>
      <c r="F161" s="191" t="str">
        <f t="shared" si="15"/>
        <v/>
      </c>
      <c r="G161" s="185"/>
      <c r="H161" s="185"/>
      <c r="I161" s="185"/>
      <c r="K161" s="141" t="str">
        <f t="shared" si="16"/>
        <v/>
      </c>
      <c r="L161" s="141" t="str">
        <f t="shared" si="17"/>
        <v/>
      </c>
    </row>
    <row r="162" spans="1:12">
      <c r="A162" s="139" t="str">
        <f>IF(E162="","",VLOOKUP('Opći dio'!$C$3,'Opći dio'!$L$6:$U$136,10,FALSE))</f>
        <v/>
      </c>
      <c r="B162" s="139" t="str">
        <f>IF(E162="","",VLOOKUP('Opći dio'!$C$3,'Opći dio'!$L$6:$U$136,9,FALSE))</f>
        <v/>
      </c>
      <c r="C162" s="187" t="str">
        <f t="shared" si="13"/>
        <v/>
      </c>
      <c r="D162" s="138" t="str">
        <f t="shared" si="14"/>
        <v/>
      </c>
      <c r="E162" s="150"/>
      <c r="F162" s="191" t="str">
        <f t="shared" si="15"/>
        <v/>
      </c>
      <c r="G162" s="185"/>
      <c r="H162" s="185"/>
      <c r="I162" s="185"/>
      <c r="K162" s="141" t="str">
        <f t="shared" si="16"/>
        <v/>
      </c>
      <c r="L162" s="141" t="str">
        <f t="shared" si="17"/>
        <v/>
      </c>
    </row>
    <row r="163" spans="1:12">
      <c r="A163" s="139" t="str">
        <f>IF(E163="","",VLOOKUP('Opći dio'!$C$3,'Opći dio'!$L$6:$U$136,10,FALSE))</f>
        <v/>
      </c>
      <c r="B163" s="139" t="str">
        <f>IF(E163="","",VLOOKUP('Opći dio'!$C$3,'Opći dio'!$L$6:$U$136,9,FALSE))</f>
        <v/>
      </c>
      <c r="C163" s="187" t="str">
        <f t="shared" si="13"/>
        <v/>
      </c>
      <c r="D163" s="138" t="str">
        <f t="shared" si="14"/>
        <v/>
      </c>
      <c r="E163" s="150"/>
      <c r="F163" s="191" t="str">
        <f t="shared" si="15"/>
        <v/>
      </c>
      <c r="G163" s="185"/>
      <c r="H163" s="185"/>
      <c r="I163" s="185"/>
      <c r="K163" s="141" t="str">
        <f t="shared" si="16"/>
        <v/>
      </c>
      <c r="L163" s="141" t="str">
        <f t="shared" si="17"/>
        <v/>
      </c>
    </row>
    <row r="164" spans="1:12">
      <c r="A164" s="139" t="str">
        <f>IF(E164="","",VLOOKUP('Opći dio'!$C$3,'Opći dio'!$L$6:$U$136,10,FALSE))</f>
        <v/>
      </c>
      <c r="B164" s="139" t="str">
        <f>IF(E164="","",VLOOKUP('Opći dio'!$C$3,'Opći dio'!$L$6:$U$136,9,FALSE))</f>
        <v/>
      </c>
      <c r="C164" s="187" t="str">
        <f t="shared" si="13"/>
        <v/>
      </c>
      <c r="D164" s="138" t="str">
        <f t="shared" si="14"/>
        <v/>
      </c>
      <c r="E164" s="150"/>
      <c r="F164" s="191" t="str">
        <f t="shared" si="15"/>
        <v/>
      </c>
      <c r="G164" s="185"/>
      <c r="H164" s="185"/>
      <c r="I164" s="185"/>
      <c r="K164" s="141" t="str">
        <f t="shared" si="16"/>
        <v/>
      </c>
      <c r="L164" s="141" t="str">
        <f t="shared" si="17"/>
        <v/>
      </c>
    </row>
    <row r="165" spans="1:12">
      <c r="A165" s="139" t="str">
        <f>IF(E165="","",VLOOKUP('Opći dio'!$C$3,'Opći dio'!$L$6:$U$136,10,FALSE))</f>
        <v/>
      </c>
      <c r="B165" s="139" t="str">
        <f>IF(E165="","",VLOOKUP('Opći dio'!$C$3,'Opći dio'!$L$6:$U$136,9,FALSE))</f>
        <v/>
      </c>
      <c r="C165" s="187" t="str">
        <f t="shared" si="13"/>
        <v/>
      </c>
      <c r="D165" s="138" t="str">
        <f t="shared" si="14"/>
        <v/>
      </c>
      <c r="E165" s="150"/>
      <c r="F165" s="191" t="str">
        <f t="shared" si="15"/>
        <v/>
      </c>
      <c r="G165" s="185"/>
      <c r="H165" s="185"/>
      <c r="I165" s="185"/>
      <c r="K165" s="141" t="str">
        <f t="shared" si="16"/>
        <v/>
      </c>
      <c r="L165" s="141" t="str">
        <f t="shared" si="17"/>
        <v/>
      </c>
    </row>
    <row r="166" spans="1:12">
      <c r="A166" s="139" t="str">
        <f>IF(E166="","",VLOOKUP('Opći dio'!$C$3,'Opći dio'!$L$6:$U$136,10,FALSE))</f>
        <v/>
      </c>
      <c r="B166" s="139" t="str">
        <f>IF(E166="","",VLOOKUP('Opći dio'!$C$3,'Opći dio'!$L$6:$U$136,9,FALSE))</f>
        <v/>
      </c>
      <c r="C166" s="187" t="str">
        <f t="shared" si="13"/>
        <v/>
      </c>
      <c r="D166" s="138" t="str">
        <f t="shared" si="14"/>
        <v/>
      </c>
      <c r="E166" s="150"/>
      <c r="F166" s="191" t="str">
        <f t="shared" si="15"/>
        <v/>
      </c>
      <c r="G166" s="185"/>
      <c r="H166" s="185"/>
      <c r="I166" s="185"/>
      <c r="K166" s="141" t="str">
        <f t="shared" si="16"/>
        <v/>
      </c>
      <c r="L166" s="141" t="str">
        <f t="shared" si="17"/>
        <v/>
      </c>
    </row>
    <row r="167" spans="1:12">
      <c r="A167" s="139" t="str">
        <f>IF(E167="","",VLOOKUP('Opći dio'!$C$3,'Opći dio'!$L$6:$U$136,10,FALSE))</f>
        <v/>
      </c>
      <c r="B167" s="139" t="str">
        <f>IF(E167="","",VLOOKUP('Opći dio'!$C$3,'Opći dio'!$L$6:$U$136,9,FALSE))</f>
        <v/>
      </c>
      <c r="C167" s="187" t="str">
        <f t="shared" si="13"/>
        <v/>
      </c>
      <c r="D167" s="138" t="str">
        <f t="shared" si="14"/>
        <v/>
      </c>
      <c r="E167" s="150"/>
      <c r="F167" s="191" t="str">
        <f t="shared" si="15"/>
        <v/>
      </c>
      <c r="G167" s="185"/>
      <c r="H167" s="185"/>
      <c r="I167" s="185"/>
      <c r="K167" s="141" t="str">
        <f t="shared" si="16"/>
        <v/>
      </c>
      <c r="L167" s="141" t="str">
        <f t="shared" si="17"/>
        <v/>
      </c>
    </row>
    <row r="168" spans="1:12">
      <c r="A168" s="139" t="str">
        <f>IF(E168="","",VLOOKUP('Opći dio'!$C$3,'Opći dio'!$L$6:$U$136,10,FALSE))</f>
        <v/>
      </c>
      <c r="B168" s="139" t="str">
        <f>IF(E168="","",VLOOKUP('Opći dio'!$C$3,'Opći dio'!$L$6:$U$136,9,FALSE))</f>
        <v/>
      </c>
      <c r="C168" s="187" t="str">
        <f t="shared" si="13"/>
        <v/>
      </c>
      <c r="D168" s="138" t="str">
        <f t="shared" si="14"/>
        <v/>
      </c>
      <c r="E168" s="150"/>
      <c r="F168" s="191" t="str">
        <f t="shared" si="15"/>
        <v/>
      </c>
      <c r="G168" s="185"/>
      <c r="H168" s="185"/>
      <c r="I168" s="185"/>
      <c r="K168" s="141" t="str">
        <f t="shared" si="16"/>
        <v/>
      </c>
      <c r="L168" s="141" t="str">
        <f t="shared" si="17"/>
        <v/>
      </c>
    </row>
    <row r="169" spans="1:12">
      <c r="A169" s="139" t="str">
        <f>IF(E169="","",VLOOKUP('Opći dio'!$C$3,'Opći dio'!$L$6:$U$136,10,FALSE))</f>
        <v/>
      </c>
      <c r="B169" s="139" t="str">
        <f>IF(E169="","",VLOOKUP('Opći dio'!$C$3,'Opći dio'!$L$6:$U$136,9,FALSE))</f>
        <v/>
      </c>
      <c r="C169" s="187" t="str">
        <f t="shared" si="13"/>
        <v/>
      </c>
      <c r="D169" s="138" t="str">
        <f t="shared" si="14"/>
        <v/>
      </c>
      <c r="E169" s="150"/>
      <c r="F169" s="191" t="str">
        <f t="shared" si="15"/>
        <v/>
      </c>
      <c r="G169" s="185"/>
      <c r="H169" s="185"/>
      <c r="I169" s="185"/>
      <c r="K169" s="141" t="str">
        <f t="shared" si="16"/>
        <v/>
      </c>
      <c r="L169" s="141" t="str">
        <f t="shared" si="17"/>
        <v/>
      </c>
    </row>
    <row r="170" spans="1:12">
      <c r="A170" s="139" t="str">
        <f>IF(E170="","",VLOOKUP('Opći dio'!$C$3,'Opći dio'!$L$6:$U$136,10,FALSE))</f>
        <v/>
      </c>
      <c r="B170" s="139" t="str">
        <f>IF(E170="","",VLOOKUP('Opći dio'!$C$3,'Opći dio'!$L$6:$U$136,9,FALSE))</f>
        <v/>
      </c>
      <c r="C170" s="187" t="str">
        <f t="shared" si="13"/>
        <v/>
      </c>
      <c r="D170" s="138" t="str">
        <f t="shared" si="14"/>
        <v/>
      </c>
      <c r="E170" s="150"/>
      <c r="F170" s="191" t="str">
        <f t="shared" si="15"/>
        <v/>
      </c>
      <c r="G170" s="185"/>
      <c r="H170" s="185"/>
      <c r="I170" s="185"/>
      <c r="K170" s="141" t="str">
        <f t="shared" si="16"/>
        <v/>
      </c>
      <c r="L170" s="141" t="str">
        <f t="shared" si="17"/>
        <v/>
      </c>
    </row>
    <row r="171" spans="1:12">
      <c r="A171" s="139" t="str">
        <f>IF(E171="","",VLOOKUP('Opći dio'!$C$3,'Opći dio'!$L$6:$U$136,10,FALSE))</f>
        <v/>
      </c>
      <c r="B171" s="139" t="str">
        <f>IF(E171="","",VLOOKUP('Opći dio'!$C$3,'Opći dio'!$L$6:$U$136,9,FALSE))</f>
        <v/>
      </c>
      <c r="C171" s="187" t="str">
        <f t="shared" si="13"/>
        <v/>
      </c>
      <c r="D171" s="138" t="str">
        <f t="shared" si="14"/>
        <v/>
      </c>
      <c r="E171" s="150"/>
      <c r="F171" s="191" t="str">
        <f t="shared" si="15"/>
        <v/>
      </c>
      <c r="G171" s="185"/>
      <c r="H171" s="185"/>
      <c r="I171" s="185"/>
      <c r="K171" s="141" t="str">
        <f t="shared" si="16"/>
        <v/>
      </c>
      <c r="L171" s="141" t="str">
        <f t="shared" si="17"/>
        <v/>
      </c>
    </row>
    <row r="172" spans="1:12">
      <c r="A172" s="139" t="str">
        <f>IF(E172="","",VLOOKUP('Opći dio'!$C$3,'Opći dio'!$L$6:$U$136,10,FALSE))</f>
        <v/>
      </c>
      <c r="B172" s="139" t="str">
        <f>IF(E172="","",VLOOKUP('Opći dio'!$C$3,'Opći dio'!$L$6:$U$136,9,FALSE))</f>
        <v/>
      </c>
      <c r="C172" s="187" t="str">
        <f t="shared" si="13"/>
        <v/>
      </c>
      <c r="D172" s="138" t="str">
        <f t="shared" si="14"/>
        <v/>
      </c>
      <c r="E172" s="150"/>
      <c r="F172" s="191" t="str">
        <f t="shared" si="15"/>
        <v/>
      </c>
      <c r="G172" s="185"/>
      <c r="H172" s="185"/>
      <c r="I172" s="185"/>
      <c r="K172" s="141" t="str">
        <f t="shared" si="16"/>
        <v/>
      </c>
      <c r="L172" s="141" t="str">
        <f t="shared" si="17"/>
        <v/>
      </c>
    </row>
    <row r="173" spans="1:12">
      <c r="A173" s="139" t="str">
        <f>IF(E173="","",VLOOKUP('Opći dio'!$C$3,'Opći dio'!$L$6:$U$136,10,FALSE))</f>
        <v/>
      </c>
      <c r="B173" s="139" t="str">
        <f>IF(E173="","",VLOOKUP('Opći dio'!$C$3,'Opći dio'!$L$6:$U$136,9,FALSE))</f>
        <v/>
      </c>
      <c r="C173" s="187" t="str">
        <f t="shared" si="13"/>
        <v/>
      </c>
      <c r="D173" s="138" t="str">
        <f t="shared" si="14"/>
        <v/>
      </c>
      <c r="E173" s="150"/>
      <c r="F173" s="191" t="str">
        <f t="shared" si="15"/>
        <v/>
      </c>
      <c r="G173" s="185"/>
      <c r="H173" s="185"/>
      <c r="I173" s="185"/>
      <c r="K173" s="141" t="str">
        <f t="shared" si="16"/>
        <v/>
      </c>
      <c r="L173" s="141" t="str">
        <f t="shared" si="17"/>
        <v/>
      </c>
    </row>
    <row r="174" spans="1:12">
      <c r="A174" s="139" t="str">
        <f>IF(E174="","",VLOOKUP('Opći dio'!$C$3,'Opći dio'!$L$6:$U$136,10,FALSE))</f>
        <v/>
      </c>
      <c r="B174" s="139" t="str">
        <f>IF(E174="","",VLOOKUP('Opći dio'!$C$3,'Opći dio'!$L$6:$U$136,9,FALSE))</f>
        <v/>
      </c>
      <c r="C174" s="187" t="str">
        <f t="shared" si="13"/>
        <v/>
      </c>
      <c r="D174" s="138" t="str">
        <f t="shared" si="14"/>
        <v/>
      </c>
      <c r="E174" s="150"/>
      <c r="F174" s="191" t="str">
        <f t="shared" si="15"/>
        <v/>
      </c>
      <c r="G174" s="185"/>
      <c r="H174" s="185"/>
      <c r="I174" s="185"/>
      <c r="K174" s="141" t="str">
        <f t="shared" si="16"/>
        <v/>
      </c>
      <c r="L174" s="141" t="str">
        <f t="shared" si="17"/>
        <v/>
      </c>
    </row>
    <row r="175" spans="1:12">
      <c r="A175" s="139" t="str">
        <f>IF(E175="","",VLOOKUP('Opći dio'!$C$3,'Opći dio'!$L$6:$U$136,10,FALSE))</f>
        <v/>
      </c>
      <c r="B175" s="139" t="str">
        <f>IF(E175="","",VLOOKUP('Opći dio'!$C$3,'Opći dio'!$L$6:$U$136,9,FALSE))</f>
        <v/>
      </c>
      <c r="C175" s="187" t="str">
        <f t="shared" si="13"/>
        <v/>
      </c>
      <c r="D175" s="138" t="str">
        <f t="shared" si="14"/>
        <v/>
      </c>
      <c r="E175" s="150"/>
      <c r="F175" s="191" t="str">
        <f t="shared" si="15"/>
        <v/>
      </c>
      <c r="G175" s="185"/>
      <c r="H175" s="185"/>
      <c r="I175" s="185"/>
      <c r="K175" s="141" t="str">
        <f t="shared" si="16"/>
        <v/>
      </c>
      <c r="L175" s="141" t="str">
        <f t="shared" si="17"/>
        <v/>
      </c>
    </row>
    <row r="176" spans="1:12">
      <c r="A176" s="139" t="str">
        <f>IF(E176="","",VLOOKUP('Opći dio'!$C$3,'Opći dio'!$L$6:$U$136,10,FALSE))</f>
        <v/>
      </c>
      <c r="B176" s="139" t="str">
        <f>IF(E176="","",VLOOKUP('Opći dio'!$C$3,'Opći dio'!$L$6:$U$136,9,FALSE))</f>
        <v/>
      </c>
      <c r="C176" s="187" t="str">
        <f t="shared" si="13"/>
        <v/>
      </c>
      <c r="D176" s="138" t="str">
        <f t="shared" si="14"/>
        <v/>
      </c>
      <c r="E176" s="150"/>
      <c r="F176" s="191" t="str">
        <f t="shared" si="15"/>
        <v/>
      </c>
      <c r="G176" s="185"/>
      <c r="H176" s="185"/>
      <c r="I176" s="185"/>
      <c r="K176" s="141" t="str">
        <f t="shared" si="16"/>
        <v/>
      </c>
      <c r="L176" s="141" t="str">
        <f t="shared" si="17"/>
        <v/>
      </c>
    </row>
    <row r="177" spans="1:12">
      <c r="A177" s="139" t="str">
        <f>IF(E177="","",VLOOKUP('Opći dio'!$C$3,'Opći dio'!$L$6:$U$136,10,FALSE))</f>
        <v/>
      </c>
      <c r="B177" s="139" t="str">
        <f>IF(E177="","",VLOOKUP('Opći dio'!$C$3,'Opći dio'!$L$6:$U$136,9,FALSE))</f>
        <v/>
      </c>
      <c r="C177" s="187" t="str">
        <f t="shared" si="13"/>
        <v/>
      </c>
      <c r="D177" s="138" t="str">
        <f t="shared" si="14"/>
        <v/>
      </c>
      <c r="E177" s="150"/>
      <c r="F177" s="191" t="str">
        <f t="shared" si="15"/>
        <v/>
      </c>
      <c r="G177" s="185"/>
      <c r="H177" s="185"/>
      <c r="I177" s="185"/>
      <c r="K177" s="141" t="str">
        <f t="shared" si="16"/>
        <v/>
      </c>
      <c r="L177" s="141" t="str">
        <f t="shared" si="17"/>
        <v/>
      </c>
    </row>
    <row r="178" spans="1:12">
      <c r="A178" s="139" t="str">
        <f>IF(E178="","",VLOOKUP('Opći dio'!$C$3,'Opći dio'!$L$6:$U$136,10,FALSE))</f>
        <v/>
      </c>
      <c r="B178" s="139" t="str">
        <f>IF(E178="","",VLOOKUP('Opći dio'!$C$3,'Opći dio'!$L$6:$U$136,9,FALSE))</f>
        <v/>
      </c>
      <c r="C178" s="187" t="str">
        <f t="shared" si="13"/>
        <v/>
      </c>
      <c r="D178" s="138" t="str">
        <f t="shared" si="14"/>
        <v/>
      </c>
      <c r="E178" s="150"/>
      <c r="F178" s="191" t="str">
        <f t="shared" si="15"/>
        <v/>
      </c>
      <c r="G178" s="185"/>
      <c r="H178" s="185"/>
      <c r="I178" s="185"/>
      <c r="K178" s="141" t="str">
        <f t="shared" si="16"/>
        <v/>
      </c>
      <c r="L178" s="141" t="str">
        <f t="shared" si="17"/>
        <v/>
      </c>
    </row>
    <row r="179" spans="1:12">
      <c r="A179" s="139" t="str">
        <f>IF(E179="","",VLOOKUP('Opći dio'!$C$3,'Opći dio'!$L$6:$U$136,10,FALSE))</f>
        <v/>
      </c>
      <c r="B179" s="139" t="str">
        <f>IF(E179="","",VLOOKUP('Opći dio'!$C$3,'Opći dio'!$L$6:$U$136,9,FALSE))</f>
        <v/>
      </c>
      <c r="C179" s="187" t="str">
        <f t="shared" si="13"/>
        <v/>
      </c>
      <c r="D179" s="138" t="str">
        <f t="shared" si="14"/>
        <v/>
      </c>
      <c r="E179" s="150"/>
      <c r="F179" s="191" t="str">
        <f t="shared" si="15"/>
        <v/>
      </c>
      <c r="G179" s="185"/>
      <c r="H179" s="185"/>
      <c r="I179" s="185"/>
      <c r="K179" s="141" t="str">
        <f t="shared" si="16"/>
        <v/>
      </c>
      <c r="L179" s="141" t="str">
        <f t="shared" si="17"/>
        <v/>
      </c>
    </row>
    <row r="180" spans="1:12">
      <c r="A180" s="139" t="str">
        <f>IF(E180="","",VLOOKUP('Opći dio'!$C$3,'Opći dio'!$L$6:$U$136,10,FALSE))</f>
        <v/>
      </c>
      <c r="B180" s="139" t="str">
        <f>IF(E180="","",VLOOKUP('Opći dio'!$C$3,'Opći dio'!$L$6:$U$136,9,FALSE))</f>
        <v/>
      </c>
      <c r="C180" s="187" t="str">
        <f t="shared" si="13"/>
        <v/>
      </c>
      <c r="D180" s="138" t="str">
        <f t="shared" si="14"/>
        <v/>
      </c>
      <c r="E180" s="150"/>
      <c r="F180" s="191" t="str">
        <f t="shared" si="15"/>
        <v/>
      </c>
      <c r="G180" s="185"/>
      <c r="H180" s="185"/>
      <c r="I180" s="185"/>
      <c r="K180" s="141" t="str">
        <f t="shared" si="16"/>
        <v/>
      </c>
      <c r="L180" s="141" t="str">
        <f t="shared" si="17"/>
        <v/>
      </c>
    </row>
    <row r="181" spans="1:12">
      <c r="A181" s="139" t="str">
        <f>IF(E181="","",VLOOKUP('Opći dio'!$C$3,'Opći dio'!$L$6:$U$136,10,FALSE))</f>
        <v/>
      </c>
      <c r="B181" s="139" t="str">
        <f>IF(E181="","",VLOOKUP('Opći dio'!$C$3,'Opći dio'!$L$6:$U$136,9,FALSE))</f>
        <v/>
      </c>
      <c r="C181" s="187" t="str">
        <f t="shared" si="13"/>
        <v/>
      </c>
      <c r="D181" s="138" t="str">
        <f t="shared" si="14"/>
        <v/>
      </c>
      <c r="E181" s="150"/>
      <c r="F181" s="191" t="str">
        <f t="shared" si="15"/>
        <v/>
      </c>
      <c r="G181" s="185"/>
      <c r="H181" s="185"/>
      <c r="I181" s="185"/>
      <c r="K181" s="141" t="str">
        <f t="shared" si="16"/>
        <v/>
      </c>
      <c r="L181" s="141" t="str">
        <f t="shared" si="17"/>
        <v/>
      </c>
    </row>
    <row r="182" spans="1:12">
      <c r="A182" s="139" t="str">
        <f>IF(E182="","",VLOOKUP('Opći dio'!$C$3,'Opći dio'!$L$6:$U$136,10,FALSE))</f>
        <v/>
      </c>
      <c r="B182" s="139" t="str">
        <f>IF(E182="","",VLOOKUP('Opći dio'!$C$3,'Opći dio'!$L$6:$U$136,9,FALSE))</f>
        <v/>
      </c>
      <c r="C182" s="187" t="str">
        <f t="shared" si="13"/>
        <v/>
      </c>
      <c r="D182" s="138" t="str">
        <f t="shared" si="14"/>
        <v/>
      </c>
      <c r="E182" s="150"/>
      <c r="F182" s="191" t="str">
        <f t="shared" si="15"/>
        <v/>
      </c>
      <c r="G182" s="185"/>
      <c r="H182" s="185"/>
      <c r="I182" s="185"/>
      <c r="K182" s="141" t="str">
        <f t="shared" si="16"/>
        <v/>
      </c>
      <c r="L182" s="141" t="str">
        <f t="shared" si="17"/>
        <v/>
      </c>
    </row>
    <row r="183" spans="1:12">
      <c r="A183" s="139" t="str">
        <f>IF(E183="","",VLOOKUP('Opći dio'!$C$3,'Opći dio'!$L$6:$U$136,10,FALSE))</f>
        <v/>
      </c>
      <c r="B183" s="139" t="str">
        <f>IF(E183="","",VLOOKUP('Opći dio'!$C$3,'Opći dio'!$L$6:$U$136,9,FALSE))</f>
        <v/>
      </c>
      <c r="C183" s="187" t="str">
        <f t="shared" si="13"/>
        <v/>
      </c>
      <c r="D183" s="138" t="str">
        <f t="shared" si="14"/>
        <v/>
      </c>
      <c r="E183" s="150"/>
      <c r="F183" s="191" t="str">
        <f t="shared" si="15"/>
        <v/>
      </c>
      <c r="G183" s="185"/>
      <c r="H183" s="185"/>
      <c r="I183" s="185"/>
      <c r="K183" s="141" t="str">
        <f t="shared" si="16"/>
        <v/>
      </c>
      <c r="L183" s="141" t="str">
        <f t="shared" si="17"/>
        <v/>
      </c>
    </row>
    <row r="184" spans="1:12">
      <c r="A184" s="139" t="str">
        <f>IF(E184="","",VLOOKUP('Opći dio'!$C$3,'Opći dio'!$L$6:$U$136,10,FALSE))</f>
        <v/>
      </c>
      <c r="B184" s="139" t="str">
        <f>IF(E184="","",VLOOKUP('Opći dio'!$C$3,'Opći dio'!$L$6:$U$136,9,FALSE))</f>
        <v/>
      </c>
      <c r="C184" s="187" t="str">
        <f t="shared" si="13"/>
        <v/>
      </c>
      <c r="D184" s="138" t="str">
        <f t="shared" si="14"/>
        <v/>
      </c>
      <c r="E184" s="150"/>
      <c r="F184" s="191" t="str">
        <f t="shared" si="15"/>
        <v/>
      </c>
      <c r="G184" s="185"/>
      <c r="H184" s="185"/>
      <c r="I184" s="185"/>
      <c r="K184" s="141" t="str">
        <f t="shared" si="16"/>
        <v/>
      </c>
      <c r="L184" s="141" t="str">
        <f t="shared" si="17"/>
        <v/>
      </c>
    </row>
    <row r="185" spans="1:12">
      <c r="A185" s="139" t="str">
        <f>IF(E185="","",VLOOKUP('Opći dio'!$C$3,'Opći dio'!$L$6:$U$136,10,FALSE))</f>
        <v/>
      </c>
      <c r="B185" s="139" t="str">
        <f>IF(E185="","",VLOOKUP('Opći dio'!$C$3,'Opći dio'!$L$6:$U$136,9,FALSE))</f>
        <v/>
      </c>
      <c r="C185" s="187" t="str">
        <f t="shared" si="13"/>
        <v/>
      </c>
      <c r="D185" s="138" t="str">
        <f t="shared" si="14"/>
        <v/>
      </c>
      <c r="E185" s="150"/>
      <c r="F185" s="191" t="str">
        <f t="shared" si="15"/>
        <v/>
      </c>
      <c r="G185" s="185"/>
      <c r="H185" s="185"/>
      <c r="I185" s="185"/>
      <c r="K185" s="141" t="str">
        <f t="shared" si="16"/>
        <v/>
      </c>
      <c r="L185" s="141" t="str">
        <f t="shared" si="17"/>
        <v/>
      </c>
    </row>
    <row r="186" spans="1:12">
      <c r="A186" s="139" t="str">
        <f>IF(E186="","",VLOOKUP('Opći dio'!$C$3,'Opći dio'!$L$6:$U$136,10,FALSE))</f>
        <v/>
      </c>
      <c r="B186" s="139" t="str">
        <f>IF(E186="","",VLOOKUP('Opći dio'!$C$3,'Opći dio'!$L$6:$U$136,9,FALSE))</f>
        <v/>
      </c>
      <c r="C186" s="187" t="str">
        <f t="shared" si="13"/>
        <v/>
      </c>
      <c r="D186" s="138" t="str">
        <f t="shared" si="14"/>
        <v/>
      </c>
      <c r="E186" s="150"/>
      <c r="F186" s="191" t="str">
        <f t="shared" si="15"/>
        <v/>
      </c>
      <c r="G186" s="185"/>
      <c r="H186" s="185"/>
      <c r="I186" s="185"/>
      <c r="K186" s="141" t="str">
        <f t="shared" si="16"/>
        <v/>
      </c>
      <c r="L186" s="141" t="str">
        <f t="shared" si="17"/>
        <v/>
      </c>
    </row>
    <row r="187" spans="1:12">
      <c r="A187" s="139" t="str">
        <f>IF(E187="","",VLOOKUP('Opći dio'!$C$3,'Opći dio'!$L$6:$U$136,10,FALSE))</f>
        <v/>
      </c>
      <c r="B187" s="139" t="str">
        <f>IF(E187="","",VLOOKUP('Opći dio'!$C$3,'Opći dio'!$L$6:$U$136,9,FALSE))</f>
        <v/>
      </c>
      <c r="C187" s="187" t="str">
        <f t="shared" si="13"/>
        <v/>
      </c>
      <c r="D187" s="138" t="str">
        <f t="shared" si="14"/>
        <v/>
      </c>
      <c r="E187" s="150"/>
      <c r="F187" s="191" t="str">
        <f t="shared" si="15"/>
        <v/>
      </c>
      <c r="G187" s="185"/>
      <c r="H187" s="185"/>
      <c r="I187" s="185"/>
      <c r="K187" s="141" t="str">
        <f t="shared" si="16"/>
        <v/>
      </c>
      <c r="L187" s="141" t="str">
        <f t="shared" si="17"/>
        <v/>
      </c>
    </row>
    <row r="188" spans="1:12">
      <c r="A188" s="139" t="str">
        <f>IF(E188="","",VLOOKUP('Opći dio'!$C$3,'Opći dio'!$L$6:$U$136,10,FALSE))</f>
        <v/>
      </c>
      <c r="B188" s="139" t="str">
        <f>IF(E188="","",VLOOKUP('Opći dio'!$C$3,'Opći dio'!$L$6:$U$136,9,FALSE))</f>
        <v/>
      </c>
      <c r="C188" s="187" t="str">
        <f t="shared" si="13"/>
        <v/>
      </c>
      <c r="D188" s="138" t="str">
        <f t="shared" si="14"/>
        <v/>
      </c>
      <c r="E188" s="150"/>
      <c r="F188" s="191" t="str">
        <f t="shared" si="15"/>
        <v/>
      </c>
      <c r="G188" s="185"/>
      <c r="H188" s="185"/>
      <c r="I188" s="185"/>
      <c r="K188" s="141" t="str">
        <f t="shared" si="16"/>
        <v/>
      </c>
      <c r="L188" s="141" t="str">
        <f t="shared" si="17"/>
        <v/>
      </c>
    </row>
    <row r="189" spans="1:12">
      <c r="A189" s="139" t="str">
        <f>IF(E189="","",VLOOKUP('Opći dio'!$C$3,'Opći dio'!$L$6:$U$136,10,FALSE))</f>
        <v/>
      </c>
      <c r="B189" s="139" t="str">
        <f>IF(E189="","",VLOOKUP('Opći dio'!$C$3,'Opći dio'!$L$6:$U$136,9,FALSE))</f>
        <v/>
      </c>
      <c r="C189" s="187" t="str">
        <f t="shared" si="13"/>
        <v/>
      </c>
      <c r="D189" s="138" t="str">
        <f t="shared" si="14"/>
        <v/>
      </c>
      <c r="E189" s="150"/>
      <c r="F189" s="191" t="str">
        <f t="shared" si="15"/>
        <v/>
      </c>
      <c r="G189" s="185"/>
      <c r="H189" s="185"/>
      <c r="I189" s="185"/>
      <c r="K189" s="141" t="str">
        <f t="shared" si="16"/>
        <v/>
      </c>
      <c r="L189" s="141" t="str">
        <f t="shared" si="17"/>
        <v/>
      </c>
    </row>
    <row r="190" spans="1:12">
      <c r="A190" s="139" t="str">
        <f>IF(E190="","",VLOOKUP('Opći dio'!$C$3,'Opći dio'!$L$6:$U$136,10,FALSE))</f>
        <v/>
      </c>
      <c r="B190" s="139" t="str">
        <f>IF(E190="","",VLOOKUP('Opći dio'!$C$3,'Opći dio'!$L$6:$U$136,9,FALSE))</f>
        <v/>
      </c>
      <c r="C190" s="187" t="str">
        <f t="shared" si="13"/>
        <v/>
      </c>
      <c r="D190" s="138" t="str">
        <f t="shared" si="14"/>
        <v/>
      </c>
      <c r="E190" s="150"/>
      <c r="F190" s="191" t="str">
        <f t="shared" si="15"/>
        <v/>
      </c>
      <c r="G190" s="185"/>
      <c r="H190" s="185"/>
      <c r="I190" s="185"/>
      <c r="K190" s="141" t="str">
        <f t="shared" si="16"/>
        <v/>
      </c>
      <c r="L190" s="141" t="str">
        <f t="shared" si="17"/>
        <v/>
      </c>
    </row>
    <row r="191" spans="1:12">
      <c r="A191" s="139" t="str">
        <f>IF(E191="","",VLOOKUP('Opći dio'!$C$3,'Opći dio'!$L$6:$U$136,10,FALSE))</f>
        <v/>
      </c>
      <c r="B191" s="139" t="str">
        <f>IF(E191="","",VLOOKUP('Opći dio'!$C$3,'Opći dio'!$L$6:$U$136,9,FALSE))</f>
        <v/>
      </c>
      <c r="C191" s="187" t="str">
        <f t="shared" si="13"/>
        <v/>
      </c>
      <c r="D191" s="138" t="str">
        <f t="shared" si="14"/>
        <v/>
      </c>
      <c r="E191" s="150"/>
      <c r="F191" s="191" t="str">
        <f t="shared" si="15"/>
        <v/>
      </c>
      <c r="G191" s="185"/>
      <c r="H191" s="185"/>
      <c r="I191" s="185"/>
      <c r="K191" s="141" t="str">
        <f t="shared" si="16"/>
        <v/>
      </c>
      <c r="L191" s="141" t="str">
        <f t="shared" si="17"/>
        <v/>
      </c>
    </row>
    <row r="192" spans="1:12">
      <c r="A192" s="139" t="str">
        <f>IF(E192="","",VLOOKUP('Opći dio'!$C$3,'Opći dio'!$L$6:$U$136,10,FALSE))</f>
        <v/>
      </c>
      <c r="B192" s="139" t="str">
        <f>IF(E192="","",VLOOKUP('Opći dio'!$C$3,'Opći dio'!$L$6:$U$136,9,FALSE))</f>
        <v/>
      </c>
      <c r="C192" s="187" t="str">
        <f t="shared" si="13"/>
        <v/>
      </c>
      <c r="D192" s="138" t="str">
        <f t="shared" si="14"/>
        <v/>
      </c>
      <c r="E192" s="150"/>
      <c r="F192" s="191" t="str">
        <f t="shared" si="15"/>
        <v/>
      </c>
      <c r="G192" s="185"/>
      <c r="H192" s="185"/>
      <c r="I192" s="185"/>
      <c r="K192" s="141" t="str">
        <f t="shared" si="16"/>
        <v/>
      </c>
      <c r="L192" s="141" t="str">
        <f t="shared" si="17"/>
        <v/>
      </c>
    </row>
    <row r="193" spans="1:12">
      <c r="A193" s="139" t="str">
        <f>IF(E193="","",VLOOKUP('Opći dio'!$C$3,'Opći dio'!$L$6:$U$136,10,FALSE))</f>
        <v/>
      </c>
      <c r="B193" s="139" t="str">
        <f>IF(E193="","",VLOOKUP('Opći dio'!$C$3,'Opći dio'!$L$6:$U$136,9,FALSE))</f>
        <v/>
      </c>
      <c r="C193" s="187" t="str">
        <f t="shared" si="13"/>
        <v/>
      </c>
      <c r="D193" s="138" t="str">
        <f t="shared" si="14"/>
        <v/>
      </c>
      <c r="E193" s="150"/>
      <c r="F193" s="191" t="str">
        <f t="shared" si="15"/>
        <v/>
      </c>
      <c r="G193" s="185"/>
      <c r="H193" s="185"/>
      <c r="I193" s="185"/>
      <c r="K193" s="141" t="str">
        <f t="shared" si="16"/>
        <v/>
      </c>
      <c r="L193" s="141" t="str">
        <f t="shared" si="17"/>
        <v/>
      </c>
    </row>
    <row r="194" spans="1:12">
      <c r="A194" s="139" t="str">
        <f>IF(E194="","",VLOOKUP('Opći dio'!$C$3,'Opći dio'!$L$6:$U$136,10,FALSE))</f>
        <v/>
      </c>
      <c r="B194" s="139" t="str">
        <f>IF(E194="","",VLOOKUP('Opći dio'!$C$3,'Opći dio'!$L$6:$U$136,9,FALSE))</f>
        <v/>
      </c>
      <c r="C194" s="187" t="str">
        <f t="shared" si="13"/>
        <v/>
      </c>
      <c r="D194" s="138" t="str">
        <f t="shared" si="14"/>
        <v/>
      </c>
      <c r="E194" s="150"/>
      <c r="F194" s="191" t="str">
        <f t="shared" si="15"/>
        <v/>
      </c>
      <c r="G194" s="185"/>
      <c r="H194" s="185"/>
      <c r="I194" s="185"/>
      <c r="K194" s="141" t="str">
        <f t="shared" si="16"/>
        <v/>
      </c>
      <c r="L194" s="141" t="str">
        <f t="shared" si="17"/>
        <v/>
      </c>
    </row>
    <row r="195" spans="1:12">
      <c r="A195" s="139" t="str">
        <f>IF(E195="","",VLOOKUP('Opći dio'!$C$3,'Opći dio'!$L$6:$U$136,10,FALSE))</f>
        <v/>
      </c>
      <c r="B195" s="139" t="str">
        <f>IF(E195="","",VLOOKUP('Opći dio'!$C$3,'Opći dio'!$L$6:$U$136,9,FALSE))</f>
        <v/>
      </c>
      <c r="C195" s="187" t="str">
        <f t="shared" si="13"/>
        <v/>
      </c>
      <c r="D195" s="138" t="str">
        <f t="shared" si="14"/>
        <v/>
      </c>
      <c r="E195" s="150"/>
      <c r="F195" s="191" t="str">
        <f t="shared" si="15"/>
        <v/>
      </c>
      <c r="G195" s="185"/>
      <c r="H195" s="185"/>
      <c r="I195" s="185"/>
      <c r="K195" s="141" t="str">
        <f t="shared" si="16"/>
        <v/>
      </c>
      <c r="L195" s="141" t="str">
        <f t="shared" si="17"/>
        <v/>
      </c>
    </row>
    <row r="196" spans="1:12">
      <c r="A196" s="139" t="str">
        <f>IF(E196="","",VLOOKUP('Opći dio'!$C$3,'Opći dio'!$L$6:$U$136,10,FALSE))</f>
        <v/>
      </c>
      <c r="B196" s="139" t="str">
        <f>IF(E196="","",VLOOKUP('Opći dio'!$C$3,'Opći dio'!$L$6:$U$136,9,FALSE))</f>
        <v/>
      </c>
      <c r="C196" s="187" t="str">
        <f t="shared" ref="C196:C259" si="18">IFERROR(VLOOKUP(E196,$Q$6:$T$200,3,FALSE),"")</f>
        <v/>
      </c>
      <c r="D196" s="138" t="str">
        <f t="shared" ref="D196:D259" si="19">IFERROR(VLOOKUP(E196,$Q$6:$T$200,4,FALSE),"")</f>
        <v/>
      </c>
      <c r="E196" s="150"/>
      <c r="F196" s="191" t="str">
        <f t="shared" ref="F196:F259" si="20">IFERROR(VLOOKUP(E196,$Q$6:$T$200,2,FALSE),"")</f>
        <v/>
      </c>
      <c r="G196" s="185"/>
      <c r="H196" s="185"/>
      <c r="I196" s="185"/>
      <c r="K196" s="141" t="str">
        <f t="shared" ref="K196:K259" si="21">LEFT(E196,3)</f>
        <v/>
      </c>
      <c r="L196" s="141" t="str">
        <f t="shared" ref="L196:L259" si="22">LEFT(E196,2)</f>
        <v/>
      </c>
    </row>
    <row r="197" spans="1:12">
      <c r="A197" s="139" t="str">
        <f>IF(E197="","",VLOOKUP('Opći dio'!$C$3,'Opći dio'!$L$6:$U$136,10,FALSE))</f>
        <v/>
      </c>
      <c r="B197" s="139" t="str">
        <f>IF(E197="","",VLOOKUP('Opći dio'!$C$3,'Opći dio'!$L$6:$U$136,9,FALSE))</f>
        <v/>
      </c>
      <c r="C197" s="187" t="str">
        <f t="shared" si="18"/>
        <v/>
      </c>
      <c r="D197" s="138" t="str">
        <f t="shared" si="19"/>
        <v/>
      </c>
      <c r="E197" s="150"/>
      <c r="F197" s="191" t="str">
        <f t="shared" si="20"/>
        <v/>
      </c>
      <c r="G197" s="185"/>
      <c r="H197" s="185"/>
      <c r="I197" s="185"/>
      <c r="K197" s="141" t="str">
        <f t="shared" si="21"/>
        <v/>
      </c>
      <c r="L197" s="141" t="str">
        <f t="shared" si="22"/>
        <v/>
      </c>
    </row>
    <row r="198" spans="1:12">
      <c r="A198" s="139" t="str">
        <f>IF(E198="","",VLOOKUP('Opći dio'!$C$3,'Opći dio'!$L$6:$U$136,10,FALSE))</f>
        <v/>
      </c>
      <c r="B198" s="139" t="str">
        <f>IF(E198="","",VLOOKUP('Opći dio'!$C$3,'Opći dio'!$L$6:$U$136,9,FALSE))</f>
        <v/>
      </c>
      <c r="C198" s="187" t="str">
        <f t="shared" si="18"/>
        <v/>
      </c>
      <c r="D198" s="138" t="str">
        <f t="shared" si="19"/>
        <v/>
      </c>
      <c r="E198" s="150"/>
      <c r="F198" s="191" t="str">
        <f t="shared" si="20"/>
        <v/>
      </c>
      <c r="G198" s="185"/>
      <c r="H198" s="185"/>
      <c r="I198" s="185"/>
      <c r="K198" s="141" t="str">
        <f t="shared" si="21"/>
        <v/>
      </c>
      <c r="L198" s="141" t="str">
        <f t="shared" si="22"/>
        <v/>
      </c>
    </row>
    <row r="199" spans="1:12">
      <c r="A199" s="139" t="str">
        <f>IF(E199="","",VLOOKUP('Opći dio'!$C$3,'Opći dio'!$L$6:$U$136,10,FALSE))</f>
        <v/>
      </c>
      <c r="B199" s="139" t="str">
        <f>IF(E199="","",VLOOKUP('Opći dio'!$C$3,'Opći dio'!$L$6:$U$136,9,FALSE))</f>
        <v/>
      </c>
      <c r="C199" s="187" t="str">
        <f t="shared" si="18"/>
        <v/>
      </c>
      <c r="D199" s="138" t="str">
        <f t="shared" si="19"/>
        <v/>
      </c>
      <c r="E199" s="150"/>
      <c r="F199" s="191" t="str">
        <f t="shared" si="20"/>
        <v/>
      </c>
      <c r="G199" s="185"/>
      <c r="H199" s="185"/>
      <c r="I199" s="185"/>
      <c r="K199" s="141" t="str">
        <f t="shared" si="21"/>
        <v/>
      </c>
      <c r="L199" s="141" t="str">
        <f t="shared" si="22"/>
        <v/>
      </c>
    </row>
    <row r="200" spans="1:12">
      <c r="A200" s="139" t="str">
        <f>IF(E200="","",VLOOKUP('Opći dio'!$C$3,'Opći dio'!$L$6:$U$136,10,FALSE))</f>
        <v/>
      </c>
      <c r="B200" s="139" t="str">
        <f>IF(E200="","",VLOOKUP('Opći dio'!$C$3,'Opći dio'!$L$6:$U$136,9,FALSE))</f>
        <v/>
      </c>
      <c r="C200" s="187" t="str">
        <f t="shared" si="18"/>
        <v/>
      </c>
      <c r="D200" s="138" t="str">
        <f t="shared" si="19"/>
        <v/>
      </c>
      <c r="E200" s="150"/>
      <c r="F200" s="191" t="str">
        <f t="shared" si="20"/>
        <v/>
      </c>
      <c r="G200" s="185"/>
      <c r="H200" s="185"/>
      <c r="I200" s="185"/>
      <c r="K200" s="141" t="str">
        <f t="shared" si="21"/>
        <v/>
      </c>
      <c r="L200" s="141" t="str">
        <f t="shared" si="22"/>
        <v/>
      </c>
    </row>
    <row r="201" spans="1:12">
      <c r="A201" s="139" t="str">
        <f>IF(E201="","",VLOOKUP('Opći dio'!$C$3,'Opći dio'!$L$6:$U$136,10,FALSE))</f>
        <v/>
      </c>
      <c r="B201" s="139" t="str">
        <f>IF(E201="","",VLOOKUP('Opći dio'!$C$3,'Opći dio'!$L$6:$U$136,9,FALSE))</f>
        <v/>
      </c>
      <c r="C201" s="187" t="str">
        <f t="shared" si="18"/>
        <v/>
      </c>
      <c r="D201" s="138" t="str">
        <f t="shared" si="19"/>
        <v/>
      </c>
      <c r="E201" s="150"/>
      <c r="F201" s="191" t="str">
        <f t="shared" si="20"/>
        <v/>
      </c>
      <c r="G201" s="185"/>
      <c r="H201" s="185"/>
      <c r="I201" s="185"/>
      <c r="K201" s="141" t="str">
        <f t="shared" si="21"/>
        <v/>
      </c>
      <c r="L201" s="141" t="str">
        <f t="shared" si="22"/>
        <v/>
      </c>
    </row>
    <row r="202" spans="1:12">
      <c r="A202" s="139" t="str">
        <f>IF(E202="","",VLOOKUP('Opći dio'!$C$3,'Opći dio'!$L$6:$U$136,10,FALSE))</f>
        <v/>
      </c>
      <c r="B202" s="139" t="str">
        <f>IF(E202="","",VLOOKUP('Opći dio'!$C$3,'Opći dio'!$L$6:$U$136,9,FALSE))</f>
        <v/>
      </c>
      <c r="C202" s="187" t="str">
        <f t="shared" si="18"/>
        <v/>
      </c>
      <c r="D202" s="138" t="str">
        <f t="shared" si="19"/>
        <v/>
      </c>
      <c r="E202" s="150"/>
      <c r="F202" s="191" t="str">
        <f t="shared" si="20"/>
        <v/>
      </c>
      <c r="G202" s="185"/>
      <c r="H202" s="185"/>
      <c r="I202" s="185"/>
      <c r="K202" s="141" t="str">
        <f t="shared" si="21"/>
        <v/>
      </c>
      <c r="L202" s="141" t="str">
        <f t="shared" si="22"/>
        <v/>
      </c>
    </row>
    <row r="203" spans="1:12">
      <c r="A203" s="139" t="str">
        <f>IF(E203="","",VLOOKUP('Opći dio'!$C$3,'Opći dio'!$L$6:$U$136,10,FALSE))</f>
        <v/>
      </c>
      <c r="B203" s="139" t="str">
        <f>IF(E203="","",VLOOKUP('Opći dio'!$C$3,'Opći dio'!$L$6:$U$136,9,FALSE))</f>
        <v/>
      </c>
      <c r="C203" s="187" t="str">
        <f t="shared" si="18"/>
        <v/>
      </c>
      <c r="D203" s="138" t="str">
        <f t="shared" si="19"/>
        <v/>
      </c>
      <c r="E203" s="150"/>
      <c r="F203" s="191" t="str">
        <f t="shared" si="20"/>
        <v/>
      </c>
      <c r="G203" s="185"/>
      <c r="H203" s="185"/>
      <c r="I203" s="185"/>
      <c r="K203" s="141" t="str">
        <f t="shared" si="21"/>
        <v/>
      </c>
      <c r="L203" s="141" t="str">
        <f t="shared" si="22"/>
        <v/>
      </c>
    </row>
    <row r="204" spans="1:12">
      <c r="A204" s="139" t="str">
        <f>IF(E204="","",VLOOKUP('Opći dio'!$C$3,'Opći dio'!$L$6:$U$136,10,FALSE))</f>
        <v/>
      </c>
      <c r="B204" s="139" t="str">
        <f>IF(E204="","",VLOOKUP('Opći dio'!$C$3,'Opći dio'!$L$6:$U$136,9,FALSE))</f>
        <v/>
      </c>
      <c r="C204" s="187" t="str">
        <f t="shared" si="18"/>
        <v/>
      </c>
      <c r="D204" s="138" t="str">
        <f t="shared" si="19"/>
        <v/>
      </c>
      <c r="E204" s="150"/>
      <c r="F204" s="191" t="str">
        <f t="shared" si="20"/>
        <v/>
      </c>
      <c r="G204" s="185"/>
      <c r="H204" s="185"/>
      <c r="I204" s="185"/>
      <c r="K204" s="141" t="str">
        <f t="shared" si="21"/>
        <v/>
      </c>
      <c r="L204" s="141" t="str">
        <f t="shared" si="22"/>
        <v/>
      </c>
    </row>
    <row r="205" spans="1:12">
      <c r="A205" s="139" t="str">
        <f>IF(E205="","",VLOOKUP('Opći dio'!$C$3,'Opći dio'!$L$6:$U$136,10,FALSE))</f>
        <v/>
      </c>
      <c r="B205" s="139" t="str">
        <f>IF(E205="","",VLOOKUP('Opći dio'!$C$3,'Opći dio'!$L$6:$U$136,9,FALSE))</f>
        <v/>
      </c>
      <c r="C205" s="187" t="str">
        <f t="shared" si="18"/>
        <v/>
      </c>
      <c r="D205" s="138" t="str">
        <f t="shared" si="19"/>
        <v/>
      </c>
      <c r="E205" s="150"/>
      <c r="F205" s="191" t="str">
        <f t="shared" si="20"/>
        <v/>
      </c>
      <c r="G205" s="185"/>
      <c r="H205" s="185"/>
      <c r="I205" s="185"/>
      <c r="K205" s="141" t="str">
        <f t="shared" si="21"/>
        <v/>
      </c>
      <c r="L205" s="141" t="str">
        <f t="shared" si="22"/>
        <v/>
      </c>
    </row>
    <row r="206" spans="1:12">
      <c r="A206" s="139" t="str">
        <f>IF(E206="","",VLOOKUP('Opći dio'!$C$3,'Opći dio'!$L$6:$U$136,10,FALSE))</f>
        <v/>
      </c>
      <c r="B206" s="139" t="str">
        <f>IF(E206="","",VLOOKUP('Opći dio'!$C$3,'Opći dio'!$L$6:$U$136,9,FALSE))</f>
        <v/>
      </c>
      <c r="C206" s="187" t="str">
        <f t="shared" si="18"/>
        <v/>
      </c>
      <c r="D206" s="138" t="str">
        <f t="shared" si="19"/>
        <v/>
      </c>
      <c r="E206" s="150"/>
      <c r="F206" s="191" t="str">
        <f t="shared" si="20"/>
        <v/>
      </c>
      <c r="G206" s="185"/>
      <c r="H206" s="185"/>
      <c r="I206" s="185"/>
      <c r="K206" s="141" t="str">
        <f t="shared" si="21"/>
        <v/>
      </c>
      <c r="L206" s="141" t="str">
        <f t="shared" si="22"/>
        <v/>
      </c>
    </row>
    <row r="207" spans="1:12">
      <c r="A207" s="139" t="str">
        <f>IF(E207="","",VLOOKUP('Opći dio'!$C$3,'Opći dio'!$L$6:$U$136,10,FALSE))</f>
        <v/>
      </c>
      <c r="B207" s="139" t="str">
        <f>IF(E207="","",VLOOKUP('Opći dio'!$C$3,'Opći dio'!$L$6:$U$136,9,FALSE))</f>
        <v/>
      </c>
      <c r="C207" s="187" t="str">
        <f t="shared" si="18"/>
        <v/>
      </c>
      <c r="D207" s="138" t="str">
        <f t="shared" si="19"/>
        <v/>
      </c>
      <c r="E207" s="150"/>
      <c r="F207" s="191" t="str">
        <f t="shared" si="20"/>
        <v/>
      </c>
      <c r="G207" s="185"/>
      <c r="H207" s="185"/>
      <c r="I207" s="185"/>
      <c r="K207" s="141" t="str">
        <f t="shared" si="21"/>
        <v/>
      </c>
      <c r="L207" s="141" t="str">
        <f t="shared" si="22"/>
        <v/>
      </c>
    </row>
    <row r="208" spans="1:12">
      <c r="A208" s="139" t="str">
        <f>IF(E208="","",VLOOKUP('Opći dio'!$C$3,'Opći dio'!$L$6:$U$136,10,FALSE))</f>
        <v/>
      </c>
      <c r="B208" s="139" t="str">
        <f>IF(E208="","",VLOOKUP('Opći dio'!$C$3,'Opći dio'!$L$6:$U$136,9,FALSE))</f>
        <v/>
      </c>
      <c r="C208" s="187" t="str">
        <f t="shared" si="18"/>
        <v/>
      </c>
      <c r="D208" s="138" t="str">
        <f t="shared" si="19"/>
        <v/>
      </c>
      <c r="E208" s="150"/>
      <c r="F208" s="191" t="str">
        <f t="shared" si="20"/>
        <v/>
      </c>
      <c r="G208" s="185"/>
      <c r="H208" s="185"/>
      <c r="I208" s="185"/>
      <c r="K208" s="141" t="str">
        <f t="shared" si="21"/>
        <v/>
      </c>
      <c r="L208" s="141" t="str">
        <f t="shared" si="22"/>
        <v/>
      </c>
    </row>
    <row r="209" spans="1:12">
      <c r="A209" s="139" t="str">
        <f>IF(E209="","",VLOOKUP('Opći dio'!$C$3,'Opći dio'!$L$6:$U$136,10,FALSE))</f>
        <v/>
      </c>
      <c r="B209" s="139" t="str">
        <f>IF(E209="","",VLOOKUP('Opći dio'!$C$3,'Opći dio'!$L$6:$U$136,9,FALSE))</f>
        <v/>
      </c>
      <c r="C209" s="187" t="str">
        <f t="shared" si="18"/>
        <v/>
      </c>
      <c r="D209" s="138" t="str">
        <f t="shared" si="19"/>
        <v/>
      </c>
      <c r="E209" s="150"/>
      <c r="F209" s="191" t="str">
        <f t="shared" si="20"/>
        <v/>
      </c>
      <c r="G209" s="185"/>
      <c r="H209" s="185"/>
      <c r="I209" s="185"/>
      <c r="K209" s="141" t="str">
        <f t="shared" si="21"/>
        <v/>
      </c>
      <c r="L209" s="141" t="str">
        <f t="shared" si="22"/>
        <v/>
      </c>
    </row>
    <row r="210" spans="1:12">
      <c r="A210" s="139" t="str">
        <f>IF(E210="","",VLOOKUP('Opći dio'!$C$3,'Opći dio'!$L$6:$U$136,10,FALSE))</f>
        <v/>
      </c>
      <c r="B210" s="139" t="str">
        <f>IF(E210="","",VLOOKUP('Opći dio'!$C$3,'Opći dio'!$L$6:$U$136,9,FALSE))</f>
        <v/>
      </c>
      <c r="C210" s="187" t="str">
        <f t="shared" si="18"/>
        <v/>
      </c>
      <c r="D210" s="138" t="str">
        <f t="shared" si="19"/>
        <v/>
      </c>
      <c r="E210" s="150"/>
      <c r="F210" s="191" t="str">
        <f t="shared" si="20"/>
        <v/>
      </c>
      <c r="G210" s="185"/>
      <c r="H210" s="185"/>
      <c r="I210" s="185"/>
      <c r="K210" s="141" t="str">
        <f t="shared" si="21"/>
        <v/>
      </c>
      <c r="L210" s="141" t="str">
        <f t="shared" si="22"/>
        <v/>
      </c>
    </row>
    <row r="211" spans="1:12">
      <c r="A211" s="139" t="str">
        <f>IF(E211="","",VLOOKUP('Opći dio'!$C$3,'Opći dio'!$L$6:$U$136,10,FALSE))</f>
        <v/>
      </c>
      <c r="B211" s="139" t="str">
        <f>IF(E211="","",VLOOKUP('Opći dio'!$C$3,'Opći dio'!$L$6:$U$136,9,FALSE))</f>
        <v/>
      </c>
      <c r="C211" s="187" t="str">
        <f t="shared" si="18"/>
        <v/>
      </c>
      <c r="D211" s="138" t="str">
        <f t="shared" si="19"/>
        <v/>
      </c>
      <c r="E211" s="150"/>
      <c r="F211" s="191" t="str">
        <f t="shared" si="20"/>
        <v/>
      </c>
      <c r="G211" s="185"/>
      <c r="H211" s="185"/>
      <c r="I211" s="185"/>
      <c r="K211" s="141" t="str">
        <f t="shared" si="21"/>
        <v/>
      </c>
      <c r="L211" s="141" t="str">
        <f t="shared" si="22"/>
        <v/>
      </c>
    </row>
    <row r="212" spans="1:12">
      <c r="A212" s="139" t="str">
        <f>IF(E212="","",VLOOKUP('Opći dio'!$C$3,'Opći dio'!$L$6:$U$136,10,FALSE))</f>
        <v/>
      </c>
      <c r="B212" s="139" t="str">
        <f>IF(E212="","",VLOOKUP('Opći dio'!$C$3,'Opći dio'!$L$6:$U$136,9,FALSE))</f>
        <v/>
      </c>
      <c r="C212" s="187" t="str">
        <f t="shared" si="18"/>
        <v/>
      </c>
      <c r="D212" s="138" t="str">
        <f t="shared" si="19"/>
        <v/>
      </c>
      <c r="E212" s="150"/>
      <c r="F212" s="191" t="str">
        <f t="shared" si="20"/>
        <v/>
      </c>
      <c r="G212" s="185"/>
      <c r="H212" s="185"/>
      <c r="I212" s="185"/>
      <c r="K212" s="141" t="str">
        <f t="shared" si="21"/>
        <v/>
      </c>
      <c r="L212" s="141" t="str">
        <f t="shared" si="22"/>
        <v/>
      </c>
    </row>
    <row r="213" spans="1:12">
      <c r="A213" s="139" t="str">
        <f>IF(E213="","",VLOOKUP('Opći dio'!$C$3,'Opći dio'!$L$6:$U$136,10,FALSE))</f>
        <v/>
      </c>
      <c r="B213" s="139" t="str">
        <f>IF(E213="","",VLOOKUP('Opći dio'!$C$3,'Opći dio'!$L$6:$U$136,9,FALSE))</f>
        <v/>
      </c>
      <c r="C213" s="187" t="str">
        <f t="shared" si="18"/>
        <v/>
      </c>
      <c r="D213" s="138" t="str">
        <f t="shared" si="19"/>
        <v/>
      </c>
      <c r="E213" s="150"/>
      <c r="F213" s="191" t="str">
        <f t="shared" si="20"/>
        <v/>
      </c>
      <c r="G213" s="185"/>
      <c r="H213" s="185"/>
      <c r="I213" s="185"/>
      <c r="K213" s="141" t="str">
        <f t="shared" si="21"/>
        <v/>
      </c>
      <c r="L213" s="141" t="str">
        <f t="shared" si="22"/>
        <v/>
      </c>
    </row>
    <row r="214" spans="1:12">
      <c r="A214" s="139" t="str">
        <f>IF(E214="","",VLOOKUP('Opći dio'!$C$3,'Opći dio'!$L$6:$U$136,10,FALSE))</f>
        <v/>
      </c>
      <c r="B214" s="139" t="str">
        <f>IF(E214="","",VLOOKUP('Opći dio'!$C$3,'Opći dio'!$L$6:$U$136,9,FALSE))</f>
        <v/>
      </c>
      <c r="C214" s="187" t="str">
        <f t="shared" si="18"/>
        <v/>
      </c>
      <c r="D214" s="138" t="str">
        <f t="shared" si="19"/>
        <v/>
      </c>
      <c r="E214" s="150"/>
      <c r="F214" s="191" t="str">
        <f t="shared" si="20"/>
        <v/>
      </c>
      <c r="G214" s="185"/>
      <c r="H214" s="185"/>
      <c r="I214" s="185"/>
      <c r="K214" s="141" t="str">
        <f t="shared" si="21"/>
        <v/>
      </c>
      <c r="L214" s="141" t="str">
        <f t="shared" si="22"/>
        <v/>
      </c>
    </row>
    <row r="215" spans="1:12">
      <c r="A215" s="139" t="str">
        <f>IF(E215="","",VLOOKUP('Opći dio'!$C$3,'Opći dio'!$L$6:$U$136,10,FALSE))</f>
        <v/>
      </c>
      <c r="B215" s="139" t="str">
        <f>IF(E215="","",VLOOKUP('Opći dio'!$C$3,'Opći dio'!$L$6:$U$136,9,FALSE))</f>
        <v/>
      </c>
      <c r="C215" s="187" t="str">
        <f t="shared" si="18"/>
        <v/>
      </c>
      <c r="D215" s="138" t="str">
        <f t="shared" si="19"/>
        <v/>
      </c>
      <c r="E215" s="150"/>
      <c r="F215" s="191" t="str">
        <f t="shared" si="20"/>
        <v/>
      </c>
      <c r="G215" s="185"/>
      <c r="H215" s="185"/>
      <c r="I215" s="185"/>
      <c r="K215" s="141" t="str">
        <f t="shared" si="21"/>
        <v/>
      </c>
      <c r="L215" s="141" t="str">
        <f t="shared" si="22"/>
        <v/>
      </c>
    </row>
    <row r="216" spans="1:12">
      <c r="A216" s="139" t="str">
        <f>IF(E216="","",VLOOKUP('Opći dio'!$C$3,'Opći dio'!$L$6:$U$136,10,FALSE))</f>
        <v/>
      </c>
      <c r="B216" s="139" t="str">
        <f>IF(E216="","",VLOOKUP('Opći dio'!$C$3,'Opći dio'!$L$6:$U$136,9,FALSE))</f>
        <v/>
      </c>
      <c r="C216" s="187" t="str">
        <f t="shared" si="18"/>
        <v/>
      </c>
      <c r="D216" s="138" t="str">
        <f t="shared" si="19"/>
        <v/>
      </c>
      <c r="E216" s="150"/>
      <c r="F216" s="191" t="str">
        <f t="shared" si="20"/>
        <v/>
      </c>
      <c r="G216" s="185"/>
      <c r="H216" s="185"/>
      <c r="I216" s="185"/>
      <c r="K216" s="141" t="str">
        <f t="shared" si="21"/>
        <v/>
      </c>
      <c r="L216" s="141" t="str">
        <f t="shared" si="22"/>
        <v/>
      </c>
    </row>
    <row r="217" spans="1:12">
      <c r="A217" s="139" t="str">
        <f>IF(E217="","",VLOOKUP('Opći dio'!$C$3,'Opći dio'!$L$6:$U$136,10,FALSE))</f>
        <v/>
      </c>
      <c r="B217" s="139" t="str">
        <f>IF(E217="","",VLOOKUP('Opći dio'!$C$3,'Opći dio'!$L$6:$U$136,9,FALSE))</f>
        <v/>
      </c>
      <c r="C217" s="187" t="str">
        <f t="shared" si="18"/>
        <v/>
      </c>
      <c r="D217" s="138" t="str">
        <f t="shared" si="19"/>
        <v/>
      </c>
      <c r="E217" s="150"/>
      <c r="F217" s="191" t="str">
        <f t="shared" si="20"/>
        <v/>
      </c>
      <c r="G217" s="185"/>
      <c r="H217" s="185"/>
      <c r="I217" s="185"/>
      <c r="K217" s="141" t="str">
        <f t="shared" si="21"/>
        <v/>
      </c>
      <c r="L217" s="141" t="str">
        <f t="shared" si="22"/>
        <v/>
      </c>
    </row>
    <row r="218" spans="1:12">
      <c r="A218" s="139" t="str">
        <f>IF(E218="","",VLOOKUP('Opći dio'!$C$3,'Opći dio'!$L$6:$U$136,10,FALSE))</f>
        <v/>
      </c>
      <c r="B218" s="139" t="str">
        <f>IF(E218="","",VLOOKUP('Opći dio'!$C$3,'Opći dio'!$L$6:$U$136,9,FALSE))</f>
        <v/>
      </c>
      <c r="C218" s="187" t="str">
        <f t="shared" si="18"/>
        <v/>
      </c>
      <c r="D218" s="138" t="str">
        <f t="shared" si="19"/>
        <v/>
      </c>
      <c r="E218" s="150"/>
      <c r="F218" s="191" t="str">
        <f t="shared" si="20"/>
        <v/>
      </c>
      <c r="G218" s="185"/>
      <c r="H218" s="185"/>
      <c r="I218" s="185"/>
      <c r="K218" s="141" t="str">
        <f t="shared" si="21"/>
        <v/>
      </c>
      <c r="L218" s="141" t="str">
        <f t="shared" si="22"/>
        <v/>
      </c>
    </row>
    <row r="219" spans="1:12">
      <c r="A219" s="139" t="str">
        <f>IF(E219="","",VLOOKUP('Opći dio'!$C$3,'Opći dio'!$L$6:$U$136,10,FALSE))</f>
        <v/>
      </c>
      <c r="B219" s="139" t="str">
        <f>IF(E219="","",VLOOKUP('Opći dio'!$C$3,'Opći dio'!$L$6:$U$136,9,FALSE))</f>
        <v/>
      </c>
      <c r="C219" s="187" t="str">
        <f t="shared" si="18"/>
        <v/>
      </c>
      <c r="D219" s="138" t="str">
        <f t="shared" si="19"/>
        <v/>
      </c>
      <c r="E219" s="150"/>
      <c r="F219" s="191" t="str">
        <f t="shared" si="20"/>
        <v/>
      </c>
      <c r="G219" s="185"/>
      <c r="H219" s="185"/>
      <c r="I219" s="185"/>
      <c r="K219" s="141" t="str">
        <f t="shared" si="21"/>
        <v/>
      </c>
      <c r="L219" s="141" t="str">
        <f t="shared" si="22"/>
        <v/>
      </c>
    </row>
    <row r="220" spans="1:12">
      <c r="A220" s="139" t="str">
        <f>IF(E220="","",VLOOKUP('Opći dio'!$C$3,'Opći dio'!$L$6:$U$136,10,FALSE))</f>
        <v/>
      </c>
      <c r="B220" s="139" t="str">
        <f>IF(E220="","",VLOOKUP('Opći dio'!$C$3,'Opći dio'!$L$6:$U$136,9,FALSE))</f>
        <v/>
      </c>
      <c r="C220" s="187" t="str">
        <f t="shared" si="18"/>
        <v/>
      </c>
      <c r="D220" s="138" t="str">
        <f t="shared" si="19"/>
        <v/>
      </c>
      <c r="E220" s="150"/>
      <c r="F220" s="191" t="str">
        <f t="shared" si="20"/>
        <v/>
      </c>
      <c r="G220" s="185"/>
      <c r="H220" s="185"/>
      <c r="I220" s="185"/>
      <c r="K220" s="141" t="str">
        <f t="shared" si="21"/>
        <v/>
      </c>
      <c r="L220" s="141" t="str">
        <f t="shared" si="22"/>
        <v/>
      </c>
    </row>
    <row r="221" spans="1:12">
      <c r="A221" s="139" t="str">
        <f>IF(E221="","",VLOOKUP('Opći dio'!$C$3,'Opći dio'!$L$6:$U$136,10,FALSE))</f>
        <v/>
      </c>
      <c r="B221" s="139" t="str">
        <f>IF(E221="","",VLOOKUP('Opći dio'!$C$3,'Opći dio'!$L$6:$U$136,9,FALSE))</f>
        <v/>
      </c>
      <c r="C221" s="187" t="str">
        <f t="shared" si="18"/>
        <v/>
      </c>
      <c r="D221" s="138" t="str">
        <f t="shared" si="19"/>
        <v/>
      </c>
      <c r="E221" s="150"/>
      <c r="F221" s="191" t="str">
        <f t="shared" si="20"/>
        <v/>
      </c>
      <c r="G221" s="185"/>
      <c r="H221" s="185"/>
      <c r="I221" s="185"/>
      <c r="K221" s="141" t="str">
        <f t="shared" si="21"/>
        <v/>
      </c>
      <c r="L221" s="141" t="str">
        <f t="shared" si="22"/>
        <v/>
      </c>
    </row>
    <row r="222" spans="1:12">
      <c r="A222" s="139" t="str">
        <f>IF(E222="","",VLOOKUP('Opći dio'!$C$3,'Opći dio'!$L$6:$U$136,10,FALSE))</f>
        <v/>
      </c>
      <c r="B222" s="139" t="str">
        <f>IF(E222="","",VLOOKUP('Opći dio'!$C$3,'Opći dio'!$L$6:$U$136,9,FALSE))</f>
        <v/>
      </c>
      <c r="C222" s="187" t="str">
        <f t="shared" si="18"/>
        <v/>
      </c>
      <c r="D222" s="138" t="str">
        <f t="shared" si="19"/>
        <v/>
      </c>
      <c r="E222" s="150"/>
      <c r="F222" s="191" t="str">
        <f t="shared" si="20"/>
        <v/>
      </c>
      <c r="G222" s="185"/>
      <c r="H222" s="185"/>
      <c r="I222" s="185"/>
      <c r="K222" s="141" t="str">
        <f t="shared" si="21"/>
        <v/>
      </c>
      <c r="L222" s="141" t="str">
        <f t="shared" si="22"/>
        <v/>
      </c>
    </row>
    <row r="223" spans="1:12">
      <c r="A223" s="139" t="str">
        <f>IF(E223="","",VLOOKUP('Opći dio'!$C$3,'Opći dio'!$L$6:$U$136,10,FALSE))</f>
        <v/>
      </c>
      <c r="B223" s="139" t="str">
        <f>IF(E223="","",VLOOKUP('Opći dio'!$C$3,'Opći dio'!$L$6:$U$136,9,FALSE))</f>
        <v/>
      </c>
      <c r="C223" s="187" t="str">
        <f t="shared" si="18"/>
        <v/>
      </c>
      <c r="D223" s="138" t="str">
        <f t="shared" si="19"/>
        <v/>
      </c>
      <c r="E223" s="150"/>
      <c r="F223" s="191" t="str">
        <f t="shared" si="20"/>
        <v/>
      </c>
      <c r="G223" s="185"/>
      <c r="H223" s="185"/>
      <c r="I223" s="185"/>
      <c r="K223" s="141" t="str">
        <f t="shared" si="21"/>
        <v/>
      </c>
      <c r="L223" s="141" t="str">
        <f t="shared" si="22"/>
        <v/>
      </c>
    </row>
    <row r="224" spans="1:12">
      <c r="A224" s="139" t="str">
        <f>IF(E224="","",VLOOKUP('Opći dio'!$C$3,'Opći dio'!$L$6:$U$136,10,FALSE))</f>
        <v/>
      </c>
      <c r="B224" s="139" t="str">
        <f>IF(E224="","",VLOOKUP('Opći dio'!$C$3,'Opći dio'!$L$6:$U$136,9,FALSE))</f>
        <v/>
      </c>
      <c r="C224" s="187" t="str">
        <f t="shared" si="18"/>
        <v/>
      </c>
      <c r="D224" s="138" t="str">
        <f t="shared" si="19"/>
        <v/>
      </c>
      <c r="E224" s="150"/>
      <c r="F224" s="191" t="str">
        <f t="shared" si="20"/>
        <v/>
      </c>
      <c r="G224" s="185"/>
      <c r="H224" s="185"/>
      <c r="I224" s="185"/>
      <c r="K224" s="141" t="str">
        <f t="shared" si="21"/>
        <v/>
      </c>
      <c r="L224" s="141" t="str">
        <f t="shared" si="22"/>
        <v/>
      </c>
    </row>
    <row r="225" spans="1:12">
      <c r="A225" s="139" t="str">
        <f>IF(E225="","",VLOOKUP('Opći dio'!$C$3,'Opći dio'!$L$6:$U$136,10,FALSE))</f>
        <v/>
      </c>
      <c r="B225" s="139" t="str">
        <f>IF(E225="","",VLOOKUP('Opći dio'!$C$3,'Opći dio'!$L$6:$U$136,9,FALSE))</f>
        <v/>
      </c>
      <c r="C225" s="187" t="str">
        <f t="shared" si="18"/>
        <v/>
      </c>
      <c r="D225" s="138" t="str">
        <f t="shared" si="19"/>
        <v/>
      </c>
      <c r="E225" s="150"/>
      <c r="F225" s="191" t="str">
        <f t="shared" si="20"/>
        <v/>
      </c>
      <c r="G225" s="185"/>
      <c r="H225" s="185"/>
      <c r="I225" s="185"/>
      <c r="K225" s="141" t="str">
        <f t="shared" si="21"/>
        <v/>
      </c>
      <c r="L225" s="141" t="str">
        <f t="shared" si="22"/>
        <v/>
      </c>
    </row>
    <row r="226" spans="1:12">
      <c r="A226" s="139" t="str">
        <f>IF(E226="","",VLOOKUP('Opći dio'!$C$3,'Opći dio'!$L$6:$U$136,10,FALSE))</f>
        <v/>
      </c>
      <c r="B226" s="139" t="str">
        <f>IF(E226="","",VLOOKUP('Opći dio'!$C$3,'Opći dio'!$L$6:$U$136,9,FALSE))</f>
        <v/>
      </c>
      <c r="C226" s="187" t="str">
        <f t="shared" si="18"/>
        <v/>
      </c>
      <c r="D226" s="138" t="str">
        <f t="shared" si="19"/>
        <v/>
      </c>
      <c r="E226" s="150"/>
      <c r="F226" s="191" t="str">
        <f t="shared" si="20"/>
        <v/>
      </c>
      <c r="G226" s="185"/>
      <c r="H226" s="185"/>
      <c r="I226" s="185"/>
      <c r="K226" s="141" t="str">
        <f t="shared" si="21"/>
        <v/>
      </c>
      <c r="L226" s="141" t="str">
        <f t="shared" si="22"/>
        <v/>
      </c>
    </row>
    <row r="227" spans="1:12">
      <c r="A227" s="139" t="str">
        <f>IF(E227="","",VLOOKUP('Opći dio'!$C$3,'Opći dio'!$L$6:$U$136,10,FALSE))</f>
        <v/>
      </c>
      <c r="B227" s="139" t="str">
        <f>IF(E227="","",VLOOKUP('Opći dio'!$C$3,'Opći dio'!$L$6:$U$136,9,FALSE))</f>
        <v/>
      </c>
      <c r="C227" s="187" t="str">
        <f t="shared" si="18"/>
        <v/>
      </c>
      <c r="D227" s="138" t="str">
        <f t="shared" si="19"/>
        <v/>
      </c>
      <c r="E227" s="150"/>
      <c r="F227" s="191" t="str">
        <f t="shared" si="20"/>
        <v/>
      </c>
      <c r="G227" s="185"/>
      <c r="H227" s="185"/>
      <c r="I227" s="185"/>
      <c r="K227" s="141" t="str">
        <f t="shared" si="21"/>
        <v/>
      </c>
      <c r="L227" s="141" t="str">
        <f t="shared" si="22"/>
        <v/>
      </c>
    </row>
    <row r="228" spans="1:12">
      <c r="A228" s="139" t="str">
        <f>IF(E228="","",VLOOKUP('Opći dio'!$C$3,'Opći dio'!$L$6:$U$136,10,FALSE))</f>
        <v/>
      </c>
      <c r="B228" s="139" t="str">
        <f>IF(E228="","",VLOOKUP('Opći dio'!$C$3,'Opći dio'!$L$6:$U$136,9,FALSE))</f>
        <v/>
      </c>
      <c r="C228" s="187" t="str">
        <f t="shared" si="18"/>
        <v/>
      </c>
      <c r="D228" s="138" t="str">
        <f t="shared" si="19"/>
        <v/>
      </c>
      <c r="E228" s="150"/>
      <c r="F228" s="191" t="str">
        <f t="shared" si="20"/>
        <v/>
      </c>
      <c r="G228" s="185"/>
      <c r="H228" s="185"/>
      <c r="I228" s="185"/>
      <c r="K228" s="141" t="str">
        <f t="shared" si="21"/>
        <v/>
      </c>
      <c r="L228" s="141" t="str">
        <f t="shared" si="22"/>
        <v/>
      </c>
    </row>
    <row r="229" spans="1:12">
      <c r="A229" s="139" t="str">
        <f>IF(E229="","",VLOOKUP('Opći dio'!$C$3,'Opći dio'!$L$6:$U$136,10,FALSE))</f>
        <v/>
      </c>
      <c r="B229" s="139" t="str">
        <f>IF(E229="","",VLOOKUP('Opći dio'!$C$3,'Opći dio'!$L$6:$U$136,9,FALSE))</f>
        <v/>
      </c>
      <c r="C229" s="187" t="str">
        <f t="shared" si="18"/>
        <v/>
      </c>
      <c r="D229" s="138" t="str">
        <f t="shared" si="19"/>
        <v/>
      </c>
      <c r="E229" s="150"/>
      <c r="F229" s="191" t="str">
        <f t="shared" si="20"/>
        <v/>
      </c>
      <c r="G229" s="185"/>
      <c r="H229" s="185"/>
      <c r="I229" s="185"/>
      <c r="K229" s="141" t="str">
        <f t="shared" si="21"/>
        <v/>
      </c>
      <c r="L229" s="141" t="str">
        <f t="shared" si="22"/>
        <v/>
      </c>
    </row>
    <row r="230" spans="1:12">
      <c r="A230" s="139" t="str">
        <f>IF(E230="","",VLOOKUP('Opći dio'!$C$3,'Opći dio'!$L$6:$U$136,10,FALSE))</f>
        <v/>
      </c>
      <c r="B230" s="139" t="str">
        <f>IF(E230="","",VLOOKUP('Opći dio'!$C$3,'Opći dio'!$L$6:$U$136,9,FALSE))</f>
        <v/>
      </c>
      <c r="C230" s="187" t="str">
        <f t="shared" si="18"/>
        <v/>
      </c>
      <c r="D230" s="138" t="str">
        <f t="shared" si="19"/>
        <v/>
      </c>
      <c r="E230" s="150"/>
      <c r="F230" s="191" t="str">
        <f t="shared" si="20"/>
        <v/>
      </c>
      <c r="G230" s="185"/>
      <c r="H230" s="185"/>
      <c r="I230" s="185"/>
      <c r="K230" s="141" t="str">
        <f t="shared" si="21"/>
        <v/>
      </c>
      <c r="L230" s="141" t="str">
        <f t="shared" si="22"/>
        <v/>
      </c>
    </row>
    <row r="231" spans="1:12">
      <c r="A231" s="139" t="str">
        <f>IF(E231="","",VLOOKUP('Opći dio'!$C$3,'Opći dio'!$L$6:$U$136,10,FALSE))</f>
        <v/>
      </c>
      <c r="B231" s="139" t="str">
        <f>IF(E231="","",VLOOKUP('Opći dio'!$C$3,'Opći dio'!$L$6:$U$136,9,FALSE))</f>
        <v/>
      </c>
      <c r="C231" s="187" t="str">
        <f t="shared" si="18"/>
        <v/>
      </c>
      <c r="D231" s="138" t="str">
        <f t="shared" si="19"/>
        <v/>
      </c>
      <c r="E231" s="150"/>
      <c r="F231" s="191" t="str">
        <f t="shared" si="20"/>
        <v/>
      </c>
      <c r="G231" s="185"/>
      <c r="H231" s="185"/>
      <c r="I231" s="185"/>
      <c r="K231" s="141" t="str">
        <f t="shared" si="21"/>
        <v/>
      </c>
      <c r="L231" s="141" t="str">
        <f t="shared" si="22"/>
        <v/>
      </c>
    </row>
    <row r="232" spans="1:12">
      <c r="A232" s="139" t="str">
        <f>IF(E232="","",VLOOKUP('Opći dio'!$C$3,'Opći dio'!$L$6:$U$136,10,FALSE))</f>
        <v/>
      </c>
      <c r="B232" s="139" t="str">
        <f>IF(E232="","",VLOOKUP('Opći dio'!$C$3,'Opći dio'!$L$6:$U$136,9,FALSE))</f>
        <v/>
      </c>
      <c r="C232" s="187" t="str">
        <f t="shared" si="18"/>
        <v/>
      </c>
      <c r="D232" s="138" t="str">
        <f t="shared" si="19"/>
        <v/>
      </c>
      <c r="E232" s="150"/>
      <c r="F232" s="191" t="str">
        <f t="shared" si="20"/>
        <v/>
      </c>
      <c r="G232" s="185"/>
      <c r="H232" s="185"/>
      <c r="I232" s="185"/>
      <c r="K232" s="141" t="str">
        <f t="shared" si="21"/>
        <v/>
      </c>
      <c r="L232" s="141" t="str">
        <f t="shared" si="22"/>
        <v/>
      </c>
    </row>
    <row r="233" spans="1:12">
      <c r="A233" s="139" t="str">
        <f>IF(E233="","",VLOOKUP('Opći dio'!$C$3,'Opći dio'!$L$6:$U$136,10,FALSE))</f>
        <v/>
      </c>
      <c r="B233" s="139" t="str">
        <f>IF(E233="","",VLOOKUP('Opći dio'!$C$3,'Opći dio'!$L$6:$U$136,9,FALSE))</f>
        <v/>
      </c>
      <c r="C233" s="187" t="str">
        <f t="shared" si="18"/>
        <v/>
      </c>
      <c r="D233" s="138" t="str">
        <f t="shared" si="19"/>
        <v/>
      </c>
      <c r="E233" s="150"/>
      <c r="F233" s="191" t="str">
        <f t="shared" si="20"/>
        <v/>
      </c>
      <c r="G233" s="185"/>
      <c r="H233" s="185"/>
      <c r="I233" s="185"/>
      <c r="K233" s="141" t="str">
        <f t="shared" si="21"/>
        <v/>
      </c>
      <c r="L233" s="141" t="str">
        <f t="shared" si="22"/>
        <v/>
      </c>
    </row>
    <row r="234" spans="1:12">
      <c r="A234" s="139" t="str">
        <f>IF(E234="","",VLOOKUP('Opći dio'!$C$3,'Opći dio'!$L$6:$U$136,10,FALSE))</f>
        <v/>
      </c>
      <c r="B234" s="139" t="str">
        <f>IF(E234="","",VLOOKUP('Opći dio'!$C$3,'Opći dio'!$L$6:$U$136,9,FALSE))</f>
        <v/>
      </c>
      <c r="C234" s="187" t="str">
        <f t="shared" si="18"/>
        <v/>
      </c>
      <c r="D234" s="138" t="str">
        <f t="shared" si="19"/>
        <v/>
      </c>
      <c r="E234" s="150"/>
      <c r="F234" s="191" t="str">
        <f t="shared" si="20"/>
        <v/>
      </c>
      <c r="G234" s="185"/>
      <c r="H234" s="185"/>
      <c r="I234" s="185"/>
      <c r="K234" s="141" t="str">
        <f t="shared" si="21"/>
        <v/>
      </c>
      <c r="L234" s="141" t="str">
        <f t="shared" si="22"/>
        <v/>
      </c>
    </row>
    <row r="235" spans="1:12">
      <c r="A235" s="139" t="str">
        <f>IF(E235="","",VLOOKUP('Opći dio'!$C$3,'Opći dio'!$L$6:$U$136,10,FALSE))</f>
        <v/>
      </c>
      <c r="B235" s="139" t="str">
        <f>IF(E235="","",VLOOKUP('Opći dio'!$C$3,'Opći dio'!$L$6:$U$136,9,FALSE))</f>
        <v/>
      </c>
      <c r="C235" s="187" t="str">
        <f t="shared" si="18"/>
        <v/>
      </c>
      <c r="D235" s="138" t="str">
        <f t="shared" si="19"/>
        <v/>
      </c>
      <c r="E235" s="150"/>
      <c r="F235" s="191" t="str">
        <f t="shared" si="20"/>
        <v/>
      </c>
      <c r="G235" s="185"/>
      <c r="H235" s="185"/>
      <c r="I235" s="185"/>
      <c r="K235" s="141" t="str">
        <f t="shared" si="21"/>
        <v/>
      </c>
      <c r="L235" s="141" t="str">
        <f t="shared" si="22"/>
        <v/>
      </c>
    </row>
    <row r="236" spans="1:12">
      <c r="A236" s="139" t="str">
        <f>IF(E236="","",VLOOKUP('Opći dio'!$C$3,'Opći dio'!$L$6:$U$136,10,FALSE))</f>
        <v/>
      </c>
      <c r="B236" s="139" t="str">
        <f>IF(E236="","",VLOOKUP('Opći dio'!$C$3,'Opći dio'!$L$6:$U$136,9,FALSE))</f>
        <v/>
      </c>
      <c r="C236" s="187" t="str">
        <f t="shared" si="18"/>
        <v/>
      </c>
      <c r="D236" s="138" t="str">
        <f t="shared" si="19"/>
        <v/>
      </c>
      <c r="E236" s="150"/>
      <c r="F236" s="191" t="str">
        <f t="shared" si="20"/>
        <v/>
      </c>
      <c r="G236" s="185"/>
      <c r="H236" s="185"/>
      <c r="I236" s="185"/>
      <c r="K236" s="141" t="str">
        <f t="shared" si="21"/>
        <v/>
      </c>
      <c r="L236" s="141" t="str">
        <f t="shared" si="22"/>
        <v/>
      </c>
    </row>
    <row r="237" spans="1:12">
      <c r="A237" s="139" t="str">
        <f>IF(E237="","",VLOOKUP('Opći dio'!$C$3,'Opći dio'!$L$6:$U$136,10,FALSE))</f>
        <v/>
      </c>
      <c r="B237" s="139" t="str">
        <f>IF(E237="","",VLOOKUP('Opći dio'!$C$3,'Opći dio'!$L$6:$U$136,9,FALSE))</f>
        <v/>
      </c>
      <c r="C237" s="187" t="str">
        <f t="shared" si="18"/>
        <v/>
      </c>
      <c r="D237" s="138" t="str">
        <f t="shared" si="19"/>
        <v/>
      </c>
      <c r="E237" s="150"/>
      <c r="F237" s="191" t="str">
        <f t="shared" si="20"/>
        <v/>
      </c>
      <c r="G237" s="185"/>
      <c r="H237" s="185"/>
      <c r="I237" s="185"/>
      <c r="K237" s="141" t="str">
        <f t="shared" si="21"/>
        <v/>
      </c>
      <c r="L237" s="141" t="str">
        <f t="shared" si="22"/>
        <v/>
      </c>
    </row>
    <row r="238" spans="1:12">
      <c r="A238" s="139" t="str">
        <f>IF(E238="","",VLOOKUP('Opći dio'!$C$3,'Opći dio'!$L$6:$U$136,10,FALSE))</f>
        <v/>
      </c>
      <c r="B238" s="139" t="str">
        <f>IF(E238="","",VLOOKUP('Opći dio'!$C$3,'Opći dio'!$L$6:$U$136,9,FALSE))</f>
        <v/>
      </c>
      <c r="C238" s="187" t="str">
        <f t="shared" si="18"/>
        <v/>
      </c>
      <c r="D238" s="138" t="str">
        <f t="shared" si="19"/>
        <v/>
      </c>
      <c r="E238" s="150"/>
      <c r="F238" s="191" t="str">
        <f t="shared" si="20"/>
        <v/>
      </c>
      <c r="G238" s="185"/>
      <c r="H238" s="185"/>
      <c r="I238" s="185"/>
      <c r="K238" s="141" t="str">
        <f t="shared" si="21"/>
        <v/>
      </c>
      <c r="L238" s="141" t="str">
        <f t="shared" si="22"/>
        <v/>
      </c>
    </row>
    <row r="239" spans="1:12">
      <c r="A239" s="139" t="str">
        <f>IF(E239="","",VLOOKUP('Opći dio'!$C$3,'Opći dio'!$L$6:$U$136,10,FALSE))</f>
        <v/>
      </c>
      <c r="B239" s="139" t="str">
        <f>IF(E239="","",VLOOKUP('Opći dio'!$C$3,'Opći dio'!$L$6:$U$136,9,FALSE))</f>
        <v/>
      </c>
      <c r="C239" s="187" t="str">
        <f t="shared" si="18"/>
        <v/>
      </c>
      <c r="D239" s="138" t="str">
        <f t="shared" si="19"/>
        <v/>
      </c>
      <c r="E239" s="150"/>
      <c r="F239" s="191" t="str">
        <f t="shared" si="20"/>
        <v/>
      </c>
      <c r="G239" s="185"/>
      <c r="H239" s="185"/>
      <c r="I239" s="185"/>
      <c r="K239" s="141" t="str">
        <f t="shared" si="21"/>
        <v/>
      </c>
      <c r="L239" s="141" t="str">
        <f t="shared" si="22"/>
        <v/>
      </c>
    </row>
    <row r="240" spans="1:12">
      <c r="A240" s="139" t="str">
        <f>IF(E240="","",VLOOKUP('Opći dio'!$C$3,'Opći dio'!$L$6:$U$136,10,FALSE))</f>
        <v/>
      </c>
      <c r="B240" s="139" t="str">
        <f>IF(E240="","",VLOOKUP('Opći dio'!$C$3,'Opći dio'!$L$6:$U$136,9,FALSE))</f>
        <v/>
      </c>
      <c r="C240" s="187" t="str">
        <f t="shared" si="18"/>
        <v/>
      </c>
      <c r="D240" s="138" t="str">
        <f t="shared" si="19"/>
        <v/>
      </c>
      <c r="E240" s="150"/>
      <c r="F240" s="191" t="str">
        <f t="shared" si="20"/>
        <v/>
      </c>
      <c r="G240" s="185"/>
      <c r="H240" s="185"/>
      <c r="I240" s="185"/>
      <c r="K240" s="141" t="str">
        <f t="shared" si="21"/>
        <v/>
      </c>
      <c r="L240" s="141" t="str">
        <f t="shared" si="22"/>
        <v/>
      </c>
    </row>
    <row r="241" spans="1:12">
      <c r="A241" s="139" t="str">
        <f>IF(E241="","",VLOOKUP('Opći dio'!$C$3,'Opći dio'!$L$6:$U$136,10,FALSE))</f>
        <v/>
      </c>
      <c r="B241" s="139" t="str">
        <f>IF(E241="","",VLOOKUP('Opći dio'!$C$3,'Opći dio'!$L$6:$U$136,9,FALSE))</f>
        <v/>
      </c>
      <c r="C241" s="187" t="str">
        <f t="shared" si="18"/>
        <v/>
      </c>
      <c r="D241" s="138" t="str">
        <f t="shared" si="19"/>
        <v/>
      </c>
      <c r="E241" s="150"/>
      <c r="F241" s="191" t="str">
        <f t="shared" si="20"/>
        <v/>
      </c>
      <c r="G241" s="185"/>
      <c r="H241" s="185"/>
      <c r="I241" s="185"/>
      <c r="K241" s="141" t="str">
        <f t="shared" si="21"/>
        <v/>
      </c>
      <c r="L241" s="141" t="str">
        <f t="shared" si="22"/>
        <v/>
      </c>
    </row>
    <row r="242" spans="1:12">
      <c r="A242" s="139" t="str">
        <f>IF(E242="","",VLOOKUP('Opći dio'!$C$3,'Opći dio'!$L$6:$U$136,10,FALSE))</f>
        <v/>
      </c>
      <c r="B242" s="139" t="str">
        <f>IF(E242="","",VLOOKUP('Opći dio'!$C$3,'Opći dio'!$L$6:$U$136,9,FALSE))</f>
        <v/>
      </c>
      <c r="C242" s="187" t="str">
        <f t="shared" si="18"/>
        <v/>
      </c>
      <c r="D242" s="138" t="str">
        <f t="shared" si="19"/>
        <v/>
      </c>
      <c r="E242" s="150"/>
      <c r="F242" s="191" t="str">
        <f t="shared" si="20"/>
        <v/>
      </c>
      <c r="G242" s="185"/>
      <c r="H242" s="185"/>
      <c r="I242" s="185"/>
      <c r="K242" s="141" t="str">
        <f t="shared" si="21"/>
        <v/>
      </c>
      <c r="L242" s="141" t="str">
        <f t="shared" si="22"/>
        <v/>
      </c>
    </row>
    <row r="243" spans="1:12">
      <c r="A243" s="139" t="str">
        <f>IF(E243="","",VLOOKUP('Opći dio'!$C$3,'Opći dio'!$L$6:$U$136,10,FALSE))</f>
        <v/>
      </c>
      <c r="B243" s="139" t="str">
        <f>IF(E243="","",VLOOKUP('Opći dio'!$C$3,'Opći dio'!$L$6:$U$136,9,FALSE))</f>
        <v/>
      </c>
      <c r="C243" s="187" t="str">
        <f t="shared" si="18"/>
        <v/>
      </c>
      <c r="D243" s="138" t="str">
        <f t="shared" si="19"/>
        <v/>
      </c>
      <c r="E243" s="150"/>
      <c r="F243" s="191" t="str">
        <f t="shared" si="20"/>
        <v/>
      </c>
      <c r="G243" s="185"/>
      <c r="H243" s="185"/>
      <c r="I243" s="185"/>
      <c r="K243" s="141" t="str">
        <f t="shared" si="21"/>
        <v/>
      </c>
      <c r="L243" s="141" t="str">
        <f t="shared" si="22"/>
        <v/>
      </c>
    </row>
    <row r="244" spans="1:12">
      <c r="A244" s="139" t="str">
        <f>IF(E244="","",VLOOKUP('Opći dio'!$C$3,'Opći dio'!$L$6:$U$136,10,FALSE))</f>
        <v/>
      </c>
      <c r="B244" s="139" t="str">
        <f>IF(E244="","",VLOOKUP('Opći dio'!$C$3,'Opći dio'!$L$6:$U$136,9,FALSE))</f>
        <v/>
      </c>
      <c r="C244" s="187" t="str">
        <f t="shared" si="18"/>
        <v/>
      </c>
      <c r="D244" s="138" t="str">
        <f t="shared" si="19"/>
        <v/>
      </c>
      <c r="E244" s="150"/>
      <c r="F244" s="191" t="str">
        <f t="shared" si="20"/>
        <v/>
      </c>
      <c r="G244" s="185"/>
      <c r="H244" s="185"/>
      <c r="I244" s="185"/>
      <c r="K244" s="141" t="str">
        <f t="shared" si="21"/>
        <v/>
      </c>
      <c r="L244" s="141" t="str">
        <f t="shared" si="22"/>
        <v/>
      </c>
    </row>
    <row r="245" spans="1:12">
      <c r="A245" s="139" t="str">
        <f>IF(E245="","",VLOOKUP('Opći dio'!$C$3,'Opći dio'!$L$6:$U$136,10,FALSE))</f>
        <v/>
      </c>
      <c r="B245" s="139" t="str">
        <f>IF(E245="","",VLOOKUP('Opći dio'!$C$3,'Opći dio'!$L$6:$U$136,9,FALSE))</f>
        <v/>
      </c>
      <c r="C245" s="187" t="str">
        <f t="shared" si="18"/>
        <v/>
      </c>
      <c r="D245" s="138" t="str">
        <f t="shared" si="19"/>
        <v/>
      </c>
      <c r="E245" s="150"/>
      <c r="F245" s="191" t="str">
        <f t="shared" si="20"/>
        <v/>
      </c>
      <c r="G245" s="185"/>
      <c r="H245" s="185"/>
      <c r="I245" s="185"/>
      <c r="K245" s="141" t="str">
        <f t="shared" si="21"/>
        <v/>
      </c>
      <c r="L245" s="141" t="str">
        <f t="shared" si="22"/>
        <v/>
      </c>
    </row>
    <row r="246" spans="1:12">
      <c r="A246" s="139" t="str">
        <f>IF(E246="","",VLOOKUP('Opći dio'!$C$3,'Opći dio'!$L$6:$U$136,10,FALSE))</f>
        <v/>
      </c>
      <c r="B246" s="139" t="str">
        <f>IF(E246="","",VLOOKUP('Opći dio'!$C$3,'Opći dio'!$L$6:$U$136,9,FALSE))</f>
        <v/>
      </c>
      <c r="C246" s="187" t="str">
        <f t="shared" si="18"/>
        <v/>
      </c>
      <c r="D246" s="138" t="str">
        <f t="shared" si="19"/>
        <v/>
      </c>
      <c r="E246" s="150"/>
      <c r="F246" s="191" t="str">
        <f t="shared" si="20"/>
        <v/>
      </c>
      <c r="G246" s="185"/>
      <c r="H246" s="185"/>
      <c r="I246" s="185"/>
      <c r="K246" s="141" t="str">
        <f t="shared" si="21"/>
        <v/>
      </c>
      <c r="L246" s="141" t="str">
        <f t="shared" si="22"/>
        <v/>
      </c>
    </row>
    <row r="247" spans="1:12">
      <c r="A247" s="139" t="str">
        <f>IF(E247="","",VLOOKUP('Opći dio'!$C$3,'Opći dio'!$L$6:$U$136,10,FALSE))</f>
        <v/>
      </c>
      <c r="B247" s="139" t="str">
        <f>IF(E247="","",VLOOKUP('Opći dio'!$C$3,'Opći dio'!$L$6:$U$136,9,FALSE))</f>
        <v/>
      </c>
      <c r="C247" s="187" t="str">
        <f t="shared" si="18"/>
        <v/>
      </c>
      <c r="D247" s="138" t="str">
        <f t="shared" si="19"/>
        <v/>
      </c>
      <c r="E247" s="150"/>
      <c r="F247" s="191" t="str">
        <f t="shared" si="20"/>
        <v/>
      </c>
      <c r="G247" s="185"/>
      <c r="H247" s="185"/>
      <c r="I247" s="185"/>
      <c r="K247" s="141" t="str">
        <f t="shared" si="21"/>
        <v/>
      </c>
      <c r="L247" s="141" t="str">
        <f t="shared" si="22"/>
        <v/>
      </c>
    </row>
    <row r="248" spans="1:12">
      <c r="A248" s="139" t="str">
        <f>IF(E248="","",VLOOKUP('Opći dio'!$C$3,'Opći dio'!$L$6:$U$136,10,FALSE))</f>
        <v/>
      </c>
      <c r="B248" s="139" t="str">
        <f>IF(E248="","",VLOOKUP('Opći dio'!$C$3,'Opći dio'!$L$6:$U$136,9,FALSE))</f>
        <v/>
      </c>
      <c r="C248" s="187" t="str">
        <f t="shared" si="18"/>
        <v/>
      </c>
      <c r="D248" s="138" t="str">
        <f t="shared" si="19"/>
        <v/>
      </c>
      <c r="E248" s="150"/>
      <c r="F248" s="191" t="str">
        <f t="shared" si="20"/>
        <v/>
      </c>
      <c r="G248" s="185"/>
      <c r="H248" s="185"/>
      <c r="I248" s="185"/>
      <c r="K248" s="141" t="str">
        <f t="shared" si="21"/>
        <v/>
      </c>
      <c r="L248" s="141" t="str">
        <f t="shared" si="22"/>
        <v/>
      </c>
    </row>
    <row r="249" spans="1:12">
      <c r="A249" s="139" t="str">
        <f>IF(E249="","",VLOOKUP('Opći dio'!$C$3,'Opći dio'!$L$6:$U$136,10,FALSE))</f>
        <v/>
      </c>
      <c r="B249" s="139" t="str">
        <f>IF(E249="","",VLOOKUP('Opći dio'!$C$3,'Opći dio'!$L$6:$U$136,9,FALSE))</f>
        <v/>
      </c>
      <c r="C249" s="187" t="str">
        <f t="shared" si="18"/>
        <v/>
      </c>
      <c r="D249" s="138" t="str">
        <f t="shared" si="19"/>
        <v/>
      </c>
      <c r="E249" s="150"/>
      <c r="F249" s="191" t="str">
        <f t="shared" si="20"/>
        <v/>
      </c>
      <c r="G249" s="185"/>
      <c r="H249" s="185"/>
      <c r="I249" s="185"/>
      <c r="K249" s="141" t="str">
        <f t="shared" si="21"/>
        <v/>
      </c>
      <c r="L249" s="141" t="str">
        <f t="shared" si="22"/>
        <v/>
      </c>
    </row>
    <row r="250" spans="1:12">
      <c r="A250" s="139" t="str">
        <f>IF(E250="","",VLOOKUP('Opći dio'!$C$3,'Opći dio'!$L$6:$U$136,10,FALSE))</f>
        <v/>
      </c>
      <c r="B250" s="139" t="str">
        <f>IF(E250="","",VLOOKUP('Opći dio'!$C$3,'Opći dio'!$L$6:$U$136,9,FALSE))</f>
        <v/>
      </c>
      <c r="C250" s="187" t="str">
        <f t="shared" si="18"/>
        <v/>
      </c>
      <c r="D250" s="138" t="str">
        <f t="shared" si="19"/>
        <v/>
      </c>
      <c r="E250" s="150"/>
      <c r="F250" s="191" t="str">
        <f t="shared" si="20"/>
        <v/>
      </c>
      <c r="G250" s="185"/>
      <c r="H250" s="185"/>
      <c r="I250" s="185"/>
      <c r="K250" s="141" t="str">
        <f t="shared" si="21"/>
        <v/>
      </c>
      <c r="L250" s="141" t="str">
        <f t="shared" si="22"/>
        <v/>
      </c>
    </row>
    <row r="251" spans="1:12">
      <c r="A251" s="139" t="str">
        <f>IF(E251="","",VLOOKUP('Opći dio'!$C$3,'Opći dio'!$L$6:$U$136,10,FALSE))</f>
        <v/>
      </c>
      <c r="B251" s="139" t="str">
        <f>IF(E251="","",VLOOKUP('Opći dio'!$C$3,'Opći dio'!$L$6:$U$136,9,FALSE))</f>
        <v/>
      </c>
      <c r="C251" s="187" t="str">
        <f t="shared" si="18"/>
        <v/>
      </c>
      <c r="D251" s="138" t="str">
        <f t="shared" si="19"/>
        <v/>
      </c>
      <c r="E251" s="150"/>
      <c r="F251" s="191" t="str">
        <f t="shared" si="20"/>
        <v/>
      </c>
      <c r="G251" s="185"/>
      <c r="H251" s="185"/>
      <c r="I251" s="185"/>
      <c r="K251" s="141" t="str">
        <f t="shared" si="21"/>
        <v/>
      </c>
      <c r="L251" s="141" t="str">
        <f t="shared" si="22"/>
        <v/>
      </c>
    </row>
    <row r="252" spans="1:12">
      <c r="A252" s="139" t="str">
        <f>IF(E252="","",VLOOKUP('Opći dio'!$C$3,'Opći dio'!$L$6:$U$136,10,FALSE))</f>
        <v/>
      </c>
      <c r="B252" s="139" t="str">
        <f>IF(E252="","",VLOOKUP('Opći dio'!$C$3,'Opći dio'!$L$6:$U$136,9,FALSE))</f>
        <v/>
      </c>
      <c r="C252" s="187" t="str">
        <f t="shared" si="18"/>
        <v/>
      </c>
      <c r="D252" s="138" t="str">
        <f t="shared" si="19"/>
        <v/>
      </c>
      <c r="E252" s="150"/>
      <c r="F252" s="191" t="str">
        <f t="shared" si="20"/>
        <v/>
      </c>
      <c r="G252" s="185"/>
      <c r="H252" s="185"/>
      <c r="I252" s="185"/>
      <c r="K252" s="141" t="str">
        <f t="shared" si="21"/>
        <v/>
      </c>
      <c r="L252" s="141" t="str">
        <f t="shared" si="22"/>
        <v/>
      </c>
    </row>
    <row r="253" spans="1:12">
      <c r="A253" s="139" t="str">
        <f>IF(E253="","",VLOOKUP('Opći dio'!$C$3,'Opći dio'!$L$6:$U$136,10,FALSE))</f>
        <v/>
      </c>
      <c r="B253" s="139" t="str">
        <f>IF(E253="","",VLOOKUP('Opći dio'!$C$3,'Opći dio'!$L$6:$U$136,9,FALSE))</f>
        <v/>
      </c>
      <c r="C253" s="187" t="str">
        <f t="shared" si="18"/>
        <v/>
      </c>
      <c r="D253" s="138" t="str">
        <f t="shared" si="19"/>
        <v/>
      </c>
      <c r="E253" s="150"/>
      <c r="F253" s="191" t="str">
        <f t="shared" si="20"/>
        <v/>
      </c>
      <c r="G253" s="185"/>
      <c r="H253" s="185"/>
      <c r="I253" s="185"/>
      <c r="K253" s="141" t="str">
        <f t="shared" si="21"/>
        <v/>
      </c>
      <c r="L253" s="141" t="str">
        <f t="shared" si="22"/>
        <v/>
      </c>
    </row>
    <row r="254" spans="1:12">
      <c r="A254" s="139" t="str">
        <f>IF(E254="","",VLOOKUP('Opći dio'!$C$3,'Opći dio'!$L$6:$U$136,10,FALSE))</f>
        <v/>
      </c>
      <c r="B254" s="139" t="str">
        <f>IF(E254="","",VLOOKUP('Opći dio'!$C$3,'Opći dio'!$L$6:$U$136,9,FALSE))</f>
        <v/>
      </c>
      <c r="C254" s="187" t="str">
        <f t="shared" si="18"/>
        <v/>
      </c>
      <c r="D254" s="138" t="str">
        <f t="shared" si="19"/>
        <v/>
      </c>
      <c r="E254" s="150"/>
      <c r="F254" s="191" t="str">
        <f t="shared" si="20"/>
        <v/>
      </c>
      <c r="G254" s="185"/>
      <c r="H254" s="185"/>
      <c r="I254" s="185"/>
      <c r="K254" s="141" t="str">
        <f t="shared" si="21"/>
        <v/>
      </c>
      <c r="L254" s="141" t="str">
        <f t="shared" si="22"/>
        <v/>
      </c>
    </row>
    <row r="255" spans="1:12">
      <c r="A255" s="139" t="str">
        <f>IF(E255="","",VLOOKUP('Opći dio'!$C$3,'Opći dio'!$L$6:$U$136,10,FALSE))</f>
        <v/>
      </c>
      <c r="B255" s="139" t="str">
        <f>IF(E255="","",VLOOKUP('Opći dio'!$C$3,'Opći dio'!$L$6:$U$136,9,FALSE))</f>
        <v/>
      </c>
      <c r="C255" s="187" t="str">
        <f t="shared" si="18"/>
        <v/>
      </c>
      <c r="D255" s="138" t="str">
        <f t="shared" si="19"/>
        <v/>
      </c>
      <c r="E255" s="150"/>
      <c r="F255" s="191" t="str">
        <f t="shared" si="20"/>
        <v/>
      </c>
      <c r="G255" s="185"/>
      <c r="H255" s="185"/>
      <c r="I255" s="185"/>
      <c r="K255" s="141" t="str">
        <f t="shared" si="21"/>
        <v/>
      </c>
      <c r="L255" s="141" t="str">
        <f t="shared" si="22"/>
        <v/>
      </c>
    </row>
    <row r="256" spans="1:12">
      <c r="A256" s="139" t="str">
        <f>IF(E256="","",VLOOKUP('Opći dio'!$C$3,'Opći dio'!$L$6:$U$136,10,FALSE))</f>
        <v/>
      </c>
      <c r="B256" s="139" t="str">
        <f>IF(E256="","",VLOOKUP('Opći dio'!$C$3,'Opći dio'!$L$6:$U$136,9,FALSE))</f>
        <v/>
      </c>
      <c r="C256" s="187" t="str">
        <f t="shared" si="18"/>
        <v/>
      </c>
      <c r="D256" s="138" t="str">
        <f t="shared" si="19"/>
        <v/>
      </c>
      <c r="E256" s="150"/>
      <c r="F256" s="191" t="str">
        <f t="shared" si="20"/>
        <v/>
      </c>
      <c r="G256" s="185"/>
      <c r="H256" s="185"/>
      <c r="I256" s="185"/>
      <c r="K256" s="141" t="str">
        <f t="shared" si="21"/>
        <v/>
      </c>
      <c r="L256" s="141" t="str">
        <f t="shared" si="22"/>
        <v/>
      </c>
    </row>
    <row r="257" spans="1:12">
      <c r="A257" s="139" t="str">
        <f>IF(E257="","",VLOOKUP('Opći dio'!$C$3,'Opći dio'!$L$6:$U$136,10,FALSE))</f>
        <v/>
      </c>
      <c r="B257" s="139" t="str">
        <f>IF(E257="","",VLOOKUP('Opći dio'!$C$3,'Opći dio'!$L$6:$U$136,9,FALSE))</f>
        <v/>
      </c>
      <c r="C257" s="187" t="str">
        <f t="shared" si="18"/>
        <v/>
      </c>
      <c r="D257" s="138" t="str">
        <f t="shared" si="19"/>
        <v/>
      </c>
      <c r="E257" s="150"/>
      <c r="F257" s="191" t="str">
        <f t="shared" si="20"/>
        <v/>
      </c>
      <c r="G257" s="185"/>
      <c r="H257" s="185"/>
      <c r="I257" s="185"/>
      <c r="K257" s="141" t="str">
        <f t="shared" si="21"/>
        <v/>
      </c>
      <c r="L257" s="141" t="str">
        <f t="shared" si="22"/>
        <v/>
      </c>
    </row>
    <row r="258" spans="1:12">
      <c r="A258" s="139" t="str">
        <f>IF(E258="","",VLOOKUP('Opći dio'!$C$3,'Opći dio'!$L$6:$U$136,10,FALSE))</f>
        <v/>
      </c>
      <c r="B258" s="139" t="str">
        <f>IF(E258="","",VLOOKUP('Opći dio'!$C$3,'Opći dio'!$L$6:$U$136,9,FALSE))</f>
        <v/>
      </c>
      <c r="C258" s="187" t="str">
        <f t="shared" si="18"/>
        <v/>
      </c>
      <c r="D258" s="138" t="str">
        <f t="shared" si="19"/>
        <v/>
      </c>
      <c r="E258" s="150"/>
      <c r="F258" s="191" t="str">
        <f t="shared" si="20"/>
        <v/>
      </c>
      <c r="G258" s="185"/>
      <c r="H258" s="185"/>
      <c r="I258" s="185"/>
      <c r="K258" s="141" t="str">
        <f t="shared" si="21"/>
        <v/>
      </c>
      <c r="L258" s="141" t="str">
        <f t="shared" si="22"/>
        <v/>
      </c>
    </row>
    <row r="259" spans="1:12">
      <c r="A259" s="139" t="str">
        <f>IF(E259="","",VLOOKUP('Opći dio'!$C$3,'Opći dio'!$L$6:$U$136,10,FALSE))</f>
        <v/>
      </c>
      <c r="B259" s="139" t="str">
        <f>IF(E259="","",VLOOKUP('Opći dio'!$C$3,'Opći dio'!$L$6:$U$136,9,FALSE))</f>
        <v/>
      </c>
      <c r="C259" s="187" t="str">
        <f t="shared" si="18"/>
        <v/>
      </c>
      <c r="D259" s="138" t="str">
        <f t="shared" si="19"/>
        <v/>
      </c>
      <c r="E259" s="150"/>
      <c r="F259" s="191" t="str">
        <f t="shared" si="20"/>
        <v/>
      </c>
      <c r="G259" s="185"/>
      <c r="H259" s="185"/>
      <c r="I259" s="185"/>
      <c r="K259" s="141" t="str">
        <f t="shared" si="21"/>
        <v/>
      </c>
      <c r="L259" s="141" t="str">
        <f t="shared" si="22"/>
        <v/>
      </c>
    </row>
    <row r="260" spans="1:12">
      <c r="A260" s="139" t="str">
        <f>IF(E260="","",VLOOKUP('Opći dio'!$C$3,'Opći dio'!$L$6:$U$136,10,FALSE))</f>
        <v/>
      </c>
      <c r="B260" s="139" t="str">
        <f>IF(E260="","",VLOOKUP('Opći dio'!$C$3,'Opći dio'!$L$6:$U$136,9,FALSE))</f>
        <v/>
      </c>
      <c r="C260" s="187" t="str">
        <f t="shared" ref="C260:C323" si="23">IFERROR(VLOOKUP(E260,$Q$6:$T$200,3,FALSE),"")</f>
        <v/>
      </c>
      <c r="D260" s="138" t="str">
        <f t="shared" ref="D260:D323" si="24">IFERROR(VLOOKUP(E260,$Q$6:$T$200,4,FALSE),"")</f>
        <v/>
      </c>
      <c r="E260" s="150"/>
      <c r="F260" s="191" t="str">
        <f t="shared" ref="F260:F323" si="25">IFERROR(VLOOKUP(E260,$Q$6:$T$200,2,FALSE),"")</f>
        <v/>
      </c>
      <c r="G260" s="185"/>
      <c r="H260" s="185"/>
      <c r="I260" s="185"/>
      <c r="K260" s="141" t="str">
        <f t="shared" ref="K260:K323" si="26">LEFT(E260,3)</f>
        <v/>
      </c>
      <c r="L260" s="141" t="str">
        <f t="shared" ref="L260:L323" si="27">LEFT(E260,2)</f>
        <v/>
      </c>
    </row>
    <row r="261" spans="1:12">
      <c r="A261" s="139" t="str">
        <f>IF(E261="","",VLOOKUP('Opći dio'!$C$3,'Opći dio'!$L$6:$U$136,10,FALSE))</f>
        <v/>
      </c>
      <c r="B261" s="139" t="str">
        <f>IF(E261="","",VLOOKUP('Opći dio'!$C$3,'Opći dio'!$L$6:$U$136,9,FALSE))</f>
        <v/>
      </c>
      <c r="C261" s="187" t="str">
        <f t="shared" si="23"/>
        <v/>
      </c>
      <c r="D261" s="138" t="str">
        <f t="shared" si="24"/>
        <v/>
      </c>
      <c r="E261" s="150"/>
      <c r="F261" s="191" t="str">
        <f t="shared" si="25"/>
        <v/>
      </c>
      <c r="G261" s="185"/>
      <c r="H261" s="185"/>
      <c r="I261" s="185"/>
      <c r="K261" s="141" t="str">
        <f t="shared" si="26"/>
        <v/>
      </c>
      <c r="L261" s="141" t="str">
        <f t="shared" si="27"/>
        <v/>
      </c>
    </row>
    <row r="262" spans="1:12">
      <c r="A262" s="139" t="str">
        <f>IF(E262="","",VLOOKUP('Opći dio'!$C$3,'Opći dio'!$L$6:$U$136,10,FALSE))</f>
        <v/>
      </c>
      <c r="B262" s="139" t="str">
        <f>IF(E262="","",VLOOKUP('Opći dio'!$C$3,'Opći dio'!$L$6:$U$136,9,FALSE))</f>
        <v/>
      </c>
      <c r="C262" s="187" t="str">
        <f t="shared" si="23"/>
        <v/>
      </c>
      <c r="D262" s="138" t="str">
        <f t="shared" si="24"/>
        <v/>
      </c>
      <c r="E262" s="150"/>
      <c r="F262" s="191" t="str">
        <f t="shared" si="25"/>
        <v/>
      </c>
      <c r="G262" s="185"/>
      <c r="H262" s="185"/>
      <c r="I262" s="185"/>
      <c r="K262" s="141" t="str">
        <f t="shared" si="26"/>
        <v/>
      </c>
      <c r="L262" s="141" t="str">
        <f t="shared" si="27"/>
        <v/>
      </c>
    </row>
    <row r="263" spans="1:12">
      <c r="A263" s="139" t="str">
        <f>IF(E263="","",VLOOKUP('Opći dio'!$C$3,'Opći dio'!$L$6:$U$136,10,FALSE))</f>
        <v/>
      </c>
      <c r="B263" s="139" t="str">
        <f>IF(E263="","",VLOOKUP('Opći dio'!$C$3,'Opći dio'!$L$6:$U$136,9,FALSE))</f>
        <v/>
      </c>
      <c r="C263" s="187" t="str">
        <f t="shared" si="23"/>
        <v/>
      </c>
      <c r="D263" s="138" t="str">
        <f t="shared" si="24"/>
        <v/>
      </c>
      <c r="E263" s="150"/>
      <c r="F263" s="191" t="str">
        <f t="shared" si="25"/>
        <v/>
      </c>
      <c r="G263" s="185"/>
      <c r="H263" s="185"/>
      <c r="I263" s="185"/>
      <c r="K263" s="141" t="str">
        <f t="shared" si="26"/>
        <v/>
      </c>
      <c r="L263" s="141" t="str">
        <f t="shared" si="27"/>
        <v/>
      </c>
    </row>
    <row r="264" spans="1:12">
      <c r="A264" s="139" t="str">
        <f>IF(E264="","",VLOOKUP('Opći dio'!$C$3,'Opći dio'!$L$6:$U$136,10,FALSE))</f>
        <v/>
      </c>
      <c r="B264" s="139" t="str">
        <f>IF(E264="","",VLOOKUP('Opći dio'!$C$3,'Opći dio'!$L$6:$U$136,9,FALSE))</f>
        <v/>
      </c>
      <c r="C264" s="187" t="str">
        <f t="shared" si="23"/>
        <v/>
      </c>
      <c r="D264" s="138" t="str">
        <f t="shared" si="24"/>
        <v/>
      </c>
      <c r="E264" s="150"/>
      <c r="F264" s="191" t="str">
        <f t="shared" si="25"/>
        <v/>
      </c>
      <c r="G264" s="185"/>
      <c r="H264" s="185"/>
      <c r="I264" s="185"/>
      <c r="K264" s="141" t="str">
        <f t="shared" si="26"/>
        <v/>
      </c>
      <c r="L264" s="141" t="str">
        <f t="shared" si="27"/>
        <v/>
      </c>
    </row>
    <row r="265" spans="1:12">
      <c r="A265" s="139" t="str">
        <f>IF(E265="","",VLOOKUP('Opći dio'!$C$3,'Opći dio'!$L$6:$U$136,10,FALSE))</f>
        <v/>
      </c>
      <c r="B265" s="139" t="str">
        <f>IF(E265="","",VLOOKUP('Opći dio'!$C$3,'Opći dio'!$L$6:$U$136,9,FALSE))</f>
        <v/>
      </c>
      <c r="C265" s="187" t="str">
        <f t="shared" si="23"/>
        <v/>
      </c>
      <c r="D265" s="138" t="str">
        <f t="shared" si="24"/>
        <v/>
      </c>
      <c r="E265" s="150"/>
      <c r="F265" s="191" t="str">
        <f t="shared" si="25"/>
        <v/>
      </c>
      <c r="G265" s="185"/>
      <c r="H265" s="185"/>
      <c r="I265" s="185"/>
      <c r="K265" s="141" t="str">
        <f t="shared" si="26"/>
        <v/>
      </c>
      <c r="L265" s="141" t="str">
        <f t="shared" si="27"/>
        <v/>
      </c>
    </row>
    <row r="266" spans="1:12">
      <c r="A266" s="139" t="str">
        <f>IF(E266="","",VLOOKUP('Opći dio'!$C$3,'Opći dio'!$L$6:$U$136,10,FALSE))</f>
        <v/>
      </c>
      <c r="B266" s="139" t="str">
        <f>IF(E266="","",VLOOKUP('Opći dio'!$C$3,'Opći dio'!$L$6:$U$136,9,FALSE))</f>
        <v/>
      </c>
      <c r="C266" s="187" t="str">
        <f t="shared" si="23"/>
        <v/>
      </c>
      <c r="D266" s="138" t="str">
        <f t="shared" si="24"/>
        <v/>
      </c>
      <c r="E266" s="150"/>
      <c r="F266" s="191" t="str">
        <f t="shared" si="25"/>
        <v/>
      </c>
      <c r="G266" s="185"/>
      <c r="H266" s="185"/>
      <c r="I266" s="185"/>
      <c r="K266" s="141" t="str">
        <f t="shared" si="26"/>
        <v/>
      </c>
      <c r="L266" s="141" t="str">
        <f t="shared" si="27"/>
        <v/>
      </c>
    </row>
    <row r="267" spans="1:12">
      <c r="A267" s="139" t="str">
        <f>IF(E267="","",VLOOKUP('Opći dio'!$C$3,'Opći dio'!$L$6:$U$136,10,FALSE))</f>
        <v/>
      </c>
      <c r="B267" s="139" t="str">
        <f>IF(E267="","",VLOOKUP('Opći dio'!$C$3,'Opći dio'!$L$6:$U$136,9,FALSE))</f>
        <v/>
      </c>
      <c r="C267" s="187" t="str">
        <f t="shared" si="23"/>
        <v/>
      </c>
      <c r="D267" s="138" t="str">
        <f t="shared" si="24"/>
        <v/>
      </c>
      <c r="E267" s="150"/>
      <c r="F267" s="191" t="str">
        <f t="shared" si="25"/>
        <v/>
      </c>
      <c r="G267" s="185"/>
      <c r="H267" s="185"/>
      <c r="I267" s="185"/>
      <c r="K267" s="141" t="str">
        <f t="shared" si="26"/>
        <v/>
      </c>
      <c r="L267" s="141" t="str">
        <f t="shared" si="27"/>
        <v/>
      </c>
    </row>
    <row r="268" spans="1:12">
      <c r="A268" s="139" t="str">
        <f>IF(E268="","",VLOOKUP('Opći dio'!$C$3,'Opći dio'!$L$6:$U$136,10,FALSE))</f>
        <v/>
      </c>
      <c r="B268" s="139" t="str">
        <f>IF(E268="","",VLOOKUP('Opći dio'!$C$3,'Opći dio'!$L$6:$U$136,9,FALSE))</f>
        <v/>
      </c>
      <c r="C268" s="187" t="str">
        <f t="shared" si="23"/>
        <v/>
      </c>
      <c r="D268" s="138" t="str">
        <f t="shared" si="24"/>
        <v/>
      </c>
      <c r="E268" s="150"/>
      <c r="F268" s="191" t="str">
        <f t="shared" si="25"/>
        <v/>
      </c>
      <c r="G268" s="185"/>
      <c r="H268" s="185"/>
      <c r="I268" s="185"/>
      <c r="K268" s="141" t="str">
        <f t="shared" si="26"/>
        <v/>
      </c>
      <c r="L268" s="141" t="str">
        <f t="shared" si="27"/>
        <v/>
      </c>
    </row>
    <row r="269" spans="1:12">
      <c r="A269" s="139" t="str">
        <f>IF(E269="","",VLOOKUP('Opći dio'!$C$3,'Opći dio'!$L$6:$U$136,10,FALSE))</f>
        <v/>
      </c>
      <c r="B269" s="139" t="str">
        <f>IF(E269="","",VLOOKUP('Opći dio'!$C$3,'Opći dio'!$L$6:$U$136,9,FALSE))</f>
        <v/>
      </c>
      <c r="C269" s="187" t="str">
        <f t="shared" si="23"/>
        <v/>
      </c>
      <c r="D269" s="138" t="str">
        <f t="shared" si="24"/>
        <v/>
      </c>
      <c r="E269" s="150"/>
      <c r="F269" s="191" t="str">
        <f t="shared" si="25"/>
        <v/>
      </c>
      <c r="G269" s="185"/>
      <c r="H269" s="185"/>
      <c r="I269" s="185"/>
      <c r="K269" s="141" t="str">
        <f t="shared" si="26"/>
        <v/>
      </c>
      <c r="L269" s="141" t="str">
        <f t="shared" si="27"/>
        <v/>
      </c>
    </row>
    <row r="270" spans="1:12">
      <c r="A270" s="139" t="str">
        <f>IF(E270="","",VLOOKUP('Opći dio'!$C$3,'Opći dio'!$L$6:$U$136,10,FALSE))</f>
        <v/>
      </c>
      <c r="B270" s="139" t="str">
        <f>IF(E270="","",VLOOKUP('Opći dio'!$C$3,'Opći dio'!$L$6:$U$136,9,FALSE))</f>
        <v/>
      </c>
      <c r="C270" s="187" t="str">
        <f t="shared" si="23"/>
        <v/>
      </c>
      <c r="D270" s="138" t="str">
        <f t="shared" si="24"/>
        <v/>
      </c>
      <c r="E270" s="150"/>
      <c r="F270" s="191" t="str">
        <f t="shared" si="25"/>
        <v/>
      </c>
      <c r="G270" s="185"/>
      <c r="H270" s="185"/>
      <c r="I270" s="185"/>
      <c r="K270" s="141" t="str">
        <f t="shared" si="26"/>
        <v/>
      </c>
      <c r="L270" s="141" t="str">
        <f t="shared" si="27"/>
        <v/>
      </c>
    </row>
    <row r="271" spans="1:12">
      <c r="A271" s="139" t="str">
        <f>IF(E271="","",VLOOKUP('Opći dio'!$C$3,'Opći dio'!$L$6:$U$136,10,FALSE))</f>
        <v/>
      </c>
      <c r="B271" s="139" t="str">
        <f>IF(E271="","",VLOOKUP('Opći dio'!$C$3,'Opći dio'!$L$6:$U$136,9,FALSE))</f>
        <v/>
      </c>
      <c r="C271" s="187" t="str">
        <f t="shared" si="23"/>
        <v/>
      </c>
      <c r="D271" s="138" t="str">
        <f t="shared" si="24"/>
        <v/>
      </c>
      <c r="E271" s="150"/>
      <c r="F271" s="191" t="str">
        <f t="shared" si="25"/>
        <v/>
      </c>
      <c r="G271" s="185"/>
      <c r="H271" s="185"/>
      <c r="I271" s="185"/>
      <c r="K271" s="141" t="str">
        <f t="shared" si="26"/>
        <v/>
      </c>
      <c r="L271" s="141" t="str">
        <f t="shared" si="27"/>
        <v/>
      </c>
    </row>
    <row r="272" spans="1:12">
      <c r="A272" s="139" t="str">
        <f>IF(E272="","",VLOOKUP('Opći dio'!$C$3,'Opći dio'!$L$6:$U$136,10,FALSE))</f>
        <v/>
      </c>
      <c r="B272" s="139" t="str">
        <f>IF(E272="","",VLOOKUP('Opći dio'!$C$3,'Opći dio'!$L$6:$U$136,9,FALSE))</f>
        <v/>
      </c>
      <c r="C272" s="187" t="str">
        <f t="shared" si="23"/>
        <v/>
      </c>
      <c r="D272" s="138" t="str">
        <f t="shared" si="24"/>
        <v/>
      </c>
      <c r="E272" s="150"/>
      <c r="F272" s="191" t="str">
        <f t="shared" si="25"/>
        <v/>
      </c>
      <c r="G272" s="185"/>
      <c r="H272" s="185"/>
      <c r="I272" s="185"/>
      <c r="K272" s="141" t="str">
        <f t="shared" si="26"/>
        <v/>
      </c>
      <c r="L272" s="141" t="str">
        <f t="shared" si="27"/>
        <v/>
      </c>
    </row>
    <row r="273" spans="1:12">
      <c r="A273" s="139" t="str">
        <f>IF(E273="","",VLOOKUP('Opći dio'!$C$3,'Opći dio'!$L$6:$U$136,10,FALSE))</f>
        <v/>
      </c>
      <c r="B273" s="139" t="str">
        <f>IF(E273="","",VLOOKUP('Opći dio'!$C$3,'Opći dio'!$L$6:$U$136,9,FALSE))</f>
        <v/>
      </c>
      <c r="C273" s="187" t="str">
        <f t="shared" si="23"/>
        <v/>
      </c>
      <c r="D273" s="138" t="str">
        <f t="shared" si="24"/>
        <v/>
      </c>
      <c r="E273" s="150"/>
      <c r="F273" s="191" t="str">
        <f t="shared" si="25"/>
        <v/>
      </c>
      <c r="G273" s="185"/>
      <c r="H273" s="185"/>
      <c r="I273" s="185"/>
      <c r="K273" s="141" t="str">
        <f t="shared" si="26"/>
        <v/>
      </c>
      <c r="L273" s="141" t="str">
        <f t="shared" si="27"/>
        <v/>
      </c>
    </row>
    <row r="274" spans="1:12">
      <c r="A274" s="139" t="str">
        <f>IF(E274="","",VLOOKUP('Opći dio'!$C$3,'Opći dio'!$L$6:$U$136,10,FALSE))</f>
        <v/>
      </c>
      <c r="B274" s="139" t="str">
        <f>IF(E274="","",VLOOKUP('Opći dio'!$C$3,'Opći dio'!$L$6:$U$136,9,FALSE))</f>
        <v/>
      </c>
      <c r="C274" s="187" t="str">
        <f t="shared" si="23"/>
        <v/>
      </c>
      <c r="D274" s="138" t="str">
        <f t="shared" si="24"/>
        <v/>
      </c>
      <c r="E274" s="150"/>
      <c r="F274" s="191" t="str">
        <f t="shared" si="25"/>
        <v/>
      </c>
      <c r="G274" s="185"/>
      <c r="H274" s="185"/>
      <c r="I274" s="185"/>
      <c r="K274" s="141" t="str">
        <f t="shared" si="26"/>
        <v/>
      </c>
      <c r="L274" s="141" t="str">
        <f t="shared" si="27"/>
        <v/>
      </c>
    </row>
    <row r="275" spans="1:12">
      <c r="A275" s="139" t="str">
        <f>IF(E275="","",VLOOKUP('Opći dio'!$C$3,'Opći dio'!$L$6:$U$136,10,FALSE))</f>
        <v/>
      </c>
      <c r="B275" s="139" t="str">
        <f>IF(E275="","",VLOOKUP('Opći dio'!$C$3,'Opći dio'!$L$6:$U$136,9,FALSE))</f>
        <v/>
      </c>
      <c r="C275" s="187" t="str">
        <f t="shared" si="23"/>
        <v/>
      </c>
      <c r="D275" s="138" t="str">
        <f t="shared" si="24"/>
        <v/>
      </c>
      <c r="E275" s="150"/>
      <c r="F275" s="191" t="str">
        <f t="shared" si="25"/>
        <v/>
      </c>
      <c r="G275" s="185"/>
      <c r="H275" s="185"/>
      <c r="I275" s="185"/>
      <c r="K275" s="141" t="str">
        <f t="shared" si="26"/>
        <v/>
      </c>
      <c r="L275" s="141" t="str">
        <f t="shared" si="27"/>
        <v/>
      </c>
    </row>
    <row r="276" spans="1:12">
      <c r="A276" s="139" t="str">
        <f>IF(E276="","",VLOOKUP('Opći dio'!$C$3,'Opći dio'!$L$6:$U$136,10,FALSE))</f>
        <v/>
      </c>
      <c r="B276" s="139" t="str">
        <f>IF(E276="","",VLOOKUP('Opći dio'!$C$3,'Opći dio'!$L$6:$U$136,9,FALSE))</f>
        <v/>
      </c>
      <c r="C276" s="187" t="str">
        <f t="shared" si="23"/>
        <v/>
      </c>
      <c r="D276" s="138" t="str">
        <f t="shared" si="24"/>
        <v/>
      </c>
      <c r="E276" s="150"/>
      <c r="F276" s="191" t="str">
        <f t="shared" si="25"/>
        <v/>
      </c>
      <c r="G276" s="185"/>
      <c r="H276" s="185"/>
      <c r="I276" s="185"/>
      <c r="K276" s="141" t="str">
        <f t="shared" si="26"/>
        <v/>
      </c>
      <c r="L276" s="141" t="str">
        <f t="shared" si="27"/>
        <v/>
      </c>
    </row>
    <row r="277" spans="1:12">
      <c r="A277" s="139" t="str">
        <f>IF(E277="","",VLOOKUP('Opći dio'!$C$3,'Opći dio'!$L$6:$U$136,10,FALSE))</f>
        <v/>
      </c>
      <c r="B277" s="139" t="str">
        <f>IF(E277="","",VLOOKUP('Opći dio'!$C$3,'Opći dio'!$L$6:$U$136,9,FALSE))</f>
        <v/>
      </c>
      <c r="C277" s="187" t="str">
        <f t="shared" si="23"/>
        <v/>
      </c>
      <c r="D277" s="138" t="str">
        <f t="shared" si="24"/>
        <v/>
      </c>
      <c r="E277" s="150"/>
      <c r="F277" s="191" t="str">
        <f t="shared" si="25"/>
        <v/>
      </c>
      <c r="G277" s="185"/>
      <c r="H277" s="185"/>
      <c r="I277" s="185"/>
      <c r="K277" s="141" t="str">
        <f t="shared" si="26"/>
        <v/>
      </c>
      <c r="L277" s="141" t="str">
        <f t="shared" si="27"/>
        <v/>
      </c>
    </row>
    <row r="278" spans="1:12">
      <c r="A278" s="139" t="str">
        <f>IF(E278="","",VLOOKUP('Opći dio'!$C$3,'Opći dio'!$L$6:$U$136,10,FALSE))</f>
        <v/>
      </c>
      <c r="B278" s="139" t="str">
        <f>IF(E278="","",VLOOKUP('Opći dio'!$C$3,'Opći dio'!$L$6:$U$136,9,FALSE))</f>
        <v/>
      </c>
      <c r="C278" s="187" t="str">
        <f t="shared" si="23"/>
        <v/>
      </c>
      <c r="D278" s="138" t="str">
        <f t="shared" si="24"/>
        <v/>
      </c>
      <c r="E278" s="150"/>
      <c r="F278" s="191" t="str">
        <f t="shared" si="25"/>
        <v/>
      </c>
      <c r="G278" s="185"/>
      <c r="H278" s="185"/>
      <c r="I278" s="185"/>
      <c r="K278" s="141" t="str">
        <f t="shared" si="26"/>
        <v/>
      </c>
      <c r="L278" s="141" t="str">
        <f t="shared" si="27"/>
        <v/>
      </c>
    </row>
    <row r="279" spans="1:12">
      <c r="A279" s="139" t="str">
        <f>IF(E279="","",VLOOKUP('Opći dio'!$C$3,'Opći dio'!$L$6:$U$136,10,FALSE))</f>
        <v/>
      </c>
      <c r="B279" s="139" t="str">
        <f>IF(E279="","",VLOOKUP('Opći dio'!$C$3,'Opći dio'!$L$6:$U$136,9,FALSE))</f>
        <v/>
      </c>
      <c r="C279" s="187" t="str">
        <f t="shared" si="23"/>
        <v/>
      </c>
      <c r="D279" s="138" t="str">
        <f t="shared" si="24"/>
        <v/>
      </c>
      <c r="E279" s="150"/>
      <c r="F279" s="191" t="str">
        <f t="shared" si="25"/>
        <v/>
      </c>
      <c r="G279" s="185"/>
      <c r="H279" s="185"/>
      <c r="I279" s="185"/>
      <c r="K279" s="141" t="str">
        <f t="shared" si="26"/>
        <v/>
      </c>
      <c r="L279" s="141" t="str">
        <f t="shared" si="27"/>
        <v/>
      </c>
    </row>
    <row r="280" spans="1:12">
      <c r="A280" s="139" t="str">
        <f>IF(E280="","",VLOOKUP('Opći dio'!$C$3,'Opći dio'!$L$6:$U$136,10,FALSE))</f>
        <v/>
      </c>
      <c r="B280" s="139" t="str">
        <f>IF(E280="","",VLOOKUP('Opći dio'!$C$3,'Opći dio'!$L$6:$U$136,9,FALSE))</f>
        <v/>
      </c>
      <c r="C280" s="187" t="str">
        <f t="shared" si="23"/>
        <v/>
      </c>
      <c r="D280" s="138" t="str">
        <f t="shared" si="24"/>
        <v/>
      </c>
      <c r="E280" s="150"/>
      <c r="F280" s="191" t="str">
        <f t="shared" si="25"/>
        <v/>
      </c>
      <c r="G280" s="185"/>
      <c r="H280" s="185"/>
      <c r="I280" s="185"/>
      <c r="K280" s="141" t="str">
        <f t="shared" si="26"/>
        <v/>
      </c>
      <c r="L280" s="141" t="str">
        <f t="shared" si="27"/>
        <v/>
      </c>
    </row>
    <row r="281" spans="1:12">
      <c r="A281" s="139" t="str">
        <f>IF(E281="","",VLOOKUP('Opći dio'!$C$3,'Opći dio'!$L$6:$U$136,10,FALSE))</f>
        <v/>
      </c>
      <c r="B281" s="139" t="str">
        <f>IF(E281="","",VLOOKUP('Opći dio'!$C$3,'Opći dio'!$L$6:$U$136,9,FALSE))</f>
        <v/>
      </c>
      <c r="C281" s="187" t="str">
        <f t="shared" si="23"/>
        <v/>
      </c>
      <c r="D281" s="138" t="str">
        <f t="shared" si="24"/>
        <v/>
      </c>
      <c r="E281" s="150"/>
      <c r="F281" s="191" t="str">
        <f t="shared" si="25"/>
        <v/>
      </c>
      <c r="G281" s="185"/>
      <c r="H281" s="185"/>
      <c r="I281" s="185"/>
      <c r="K281" s="141" t="str">
        <f t="shared" si="26"/>
        <v/>
      </c>
      <c r="L281" s="141" t="str">
        <f t="shared" si="27"/>
        <v/>
      </c>
    </row>
    <row r="282" spans="1:12">
      <c r="A282" s="139" t="str">
        <f>IF(E282="","",VLOOKUP('Opći dio'!$C$3,'Opći dio'!$L$6:$U$136,10,FALSE))</f>
        <v/>
      </c>
      <c r="B282" s="139" t="str">
        <f>IF(E282="","",VLOOKUP('Opći dio'!$C$3,'Opći dio'!$L$6:$U$136,9,FALSE))</f>
        <v/>
      </c>
      <c r="C282" s="187" t="str">
        <f t="shared" si="23"/>
        <v/>
      </c>
      <c r="D282" s="138" t="str">
        <f t="shared" si="24"/>
        <v/>
      </c>
      <c r="E282" s="150"/>
      <c r="F282" s="191" t="str">
        <f t="shared" si="25"/>
        <v/>
      </c>
      <c r="G282" s="185"/>
      <c r="H282" s="185"/>
      <c r="I282" s="185"/>
      <c r="K282" s="141" t="str">
        <f t="shared" si="26"/>
        <v/>
      </c>
      <c r="L282" s="141" t="str">
        <f t="shared" si="27"/>
        <v/>
      </c>
    </row>
    <row r="283" spans="1:12">
      <c r="A283" s="139" t="str">
        <f>IF(E283="","",VLOOKUP('Opći dio'!$C$3,'Opći dio'!$L$6:$U$136,10,FALSE))</f>
        <v/>
      </c>
      <c r="B283" s="139" t="str">
        <f>IF(E283="","",VLOOKUP('Opći dio'!$C$3,'Opći dio'!$L$6:$U$136,9,FALSE))</f>
        <v/>
      </c>
      <c r="C283" s="187" t="str">
        <f t="shared" si="23"/>
        <v/>
      </c>
      <c r="D283" s="138" t="str">
        <f t="shared" si="24"/>
        <v/>
      </c>
      <c r="E283" s="150"/>
      <c r="F283" s="191" t="str">
        <f t="shared" si="25"/>
        <v/>
      </c>
      <c r="G283" s="185"/>
      <c r="H283" s="185"/>
      <c r="I283" s="185"/>
      <c r="K283" s="141" t="str">
        <f t="shared" si="26"/>
        <v/>
      </c>
      <c r="L283" s="141" t="str">
        <f t="shared" si="27"/>
        <v/>
      </c>
    </row>
    <row r="284" spans="1:12">
      <c r="A284" s="139" t="str">
        <f>IF(E284="","",VLOOKUP('Opći dio'!$C$3,'Opći dio'!$L$6:$U$136,10,FALSE))</f>
        <v/>
      </c>
      <c r="B284" s="139" t="str">
        <f>IF(E284="","",VLOOKUP('Opći dio'!$C$3,'Opći dio'!$L$6:$U$136,9,FALSE))</f>
        <v/>
      </c>
      <c r="C284" s="187" t="str">
        <f t="shared" si="23"/>
        <v/>
      </c>
      <c r="D284" s="138" t="str">
        <f t="shared" si="24"/>
        <v/>
      </c>
      <c r="E284" s="150"/>
      <c r="F284" s="191" t="str">
        <f t="shared" si="25"/>
        <v/>
      </c>
      <c r="G284" s="185"/>
      <c r="H284" s="185"/>
      <c r="I284" s="185"/>
      <c r="K284" s="141" t="str">
        <f t="shared" si="26"/>
        <v/>
      </c>
      <c r="L284" s="141" t="str">
        <f t="shared" si="27"/>
        <v/>
      </c>
    </row>
    <row r="285" spans="1:12">
      <c r="A285" s="139" t="str">
        <f>IF(E285="","",VLOOKUP('Opći dio'!$C$3,'Opći dio'!$L$6:$U$136,10,FALSE))</f>
        <v/>
      </c>
      <c r="B285" s="139" t="str">
        <f>IF(E285="","",VLOOKUP('Opći dio'!$C$3,'Opći dio'!$L$6:$U$136,9,FALSE))</f>
        <v/>
      </c>
      <c r="C285" s="187" t="str">
        <f t="shared" si="23"/>
        <v/>
      </c>
      <c r="D285" s="138" t="str">
        <f t="shared" si="24"/>
        <v/>
      </c>
      <c r="E285" s="150"/>
      <c r="F285" s="191" t="str">
        <f t="shared" si="25"/>
        <v/>
      </c>
      <c r="G285" s="185"/>
      <c r="H285" s="185"/>
      <c r="I285" s="185"/>
      <c r="K285" s="141" t="str">
        <f t="shared" si="26"/>
        <v/>
      </c>
      <c r="L285" s="141" t="str">
        <f t="shared" si="27"/>
        <v/>
      </c>
    </row>
    <row r="286" spans="1:12">
      <c r="A286" s="139" t="str">
        <f>IF(E286="","",VLOOKUP('Opći dio'!$C$3,'Opći dio'!$L$6:$U$136,10,FALSE))</f>
        <v/>
      </c>
      <c r="B286" s="139" t="str">
        <f>IF(E286="","",VLOOKUP('Opći dio'!$C$3,'Opći dio'!$L$6:$U$136,9,FALSE))</f>
        <v/>
      </c>
      <c r="C286" s="187" t="str">
        <f t="shared" si="23"/>
        <v/>
      </c>
      <c r="D286" s="138" t="str">
        <f t="shared" si="24"/>
        <v/>
      </c>
      <c r="E286" s="150"/>
      <c r="F286" s="191" t="str">
        <f t="shared" si="25"/>
        <v/>
      </c>
      <c r="G286" s="185"/>
      <c r="H286" s="185"/>
      <c r="I286" s="185"/>
      <c r="K286" s="141" t="str">
        <f t="shared" si="26"/>
        <v/>
      </c>
      <c r="L286" s="141" t="str">
        <f t="shared" si="27"/>
        <v/>
      </c>
    </row>
    <row r="287" spans="1:12">
      <c r="A287" s="139" t="str">
        <f>IF(E287="","",VLOOKUP('Opći dio'!$C$3,'Opći dio'!$L$6:$U$136,10,FALSE))</f>
        <v/>
      </c>
      <c r="B287" s="139" t="str">
        <f>IF(E287="","",VLOOKUP('Opći dio'!$C$3,'Opći dio'!$L$6:$U$136,9,FALSE))</f>
        <v/>
      </c>
      <c r="C287" s="187" t="str">
        <f t="shared" si="23"/>
        <v/>
      </c>
      <c r="D287" s="138" t="str">
        <f t="shared" si="24"/>
        <v/>
      </c>
      <c r="E287" s="150"/>
      <c r="F287" s="191" t="str">
        <f t="shared" si="25"/>
        <v/>
      </c>
      <c r="G287" s="185"/>
      <c r="H287" s="185"/>
      <c r="I287" s="185"/>
      <c r="K287" s="141" t="str">
        <f t="shared" si="26"/>
        <v/>
      </c>
      <c r="L287" s="141" t="str">
        <f t="shared" si="27"/>
        <v/>
      </c>
    </row>
    <row r="288" spans="1:12">
      <c r="A288" s="139" t="str">
        <f>IF(E288="","",VLOOKUP('Opći dio'!$C$3,'Opći dio'!$L$6:$U$136,10,FALSE))</f>
        <v/>
      </c>
      <c r="B288" s="139" t="str">
        <f>IF(E288="","",VLOOKUP('Opći dio'!$C$3,'Opći dio'!$L$6:$U$136,9,FALSE))</f>
        <v/>
      </c>
      <c r="C288" s="187" t="str">
        <f t="shared" si="23"/>
        <v/>
      </c>
      <c r="D288" s="138" t="str">
        <f t="shared" si="24"/>
        <v/>
      </c>
      <c r="E288" s="150"/>
      <c r="F288" s="191" t="str">
        <f t="shared" si="25"/>
        <v/>
      </c>
      <c r="G288" s="185"/>
      <c r="H288" s="185"/>
      <c r="I288" s="185"/>
      <c r="K288" s="141" t="str">
        <f t="shared" si="26"/>
        <v/>
      </c>
      <c r="L288" s="141" t="str">
        <f t="shared" si="27"/>
        <v/>
      </c>
    </row>
    <row r="289" spans="1:12">
      <c r="A289" s="139" t="str">
        <f>IF(E289="","",VLOOKUP('Opći dio'!$C$3,'Opći dio'!$L$6:$U$136,10,FALSE))</f>
        <v/>
      </c>
      <c r="B289" s="139" t="str">
        <f>IF(E289="","",VLOOKUP('Opći dio'!$C$3,'Opći dio'!$L$6:$U$136,9,FALSE))</f>
        <v/>
      </c>
      <c r="C289" s="187" t="str">
        <f t="shared" si="23"/>
        <v/>
      </c>
      <c r="D289" s="138" t="str">
        <f t="shared" si="24"/>
        <v/>
      </c>
      <c r="E289" s="150"/>
      <c r="F289" s="191" t="str">
        <f t="shared" si="25"/>
        <v/>
      </c>
      <c r="G289" s="185"/>
      <c r="H289" s="185"/>
      <c r="I289" s="185"/>
      <c r="K289" s="141" t="str">
        <f t="shared" si="26"/>
        <v/>
      </c>
      <c r="L289" s="141" t="str">
        <f t="shared" si="27"/>
        <v/>
      </c>
    </row>
    <row r="290" spans="1:12">
      <c r="A290" s="139" t="str">
        <f>IF(E290="","",VLOOKUP('Opći dio'!$C$3,'Opći dio'!$L$6:$U$136,10,FALSE))</f>
        <v/>
      </c>
      <c r="B290" s="139" t="str">
        <f>IF(E290="","",VLOOKUP('Opći dio'!$C$3,'Opći dio'!$L$6:$U$136,9,FALSE))</f>
        <v/>
      </c>
      <c r="C290" s="187" t="str">
        <f t="shared" si="23"/>
        <v/>
      </c>
      <c r="D290" s="138" t="str">
        <f t="shared" si="24"/>
        <v/>
      </c>
      <c r="E290" s="150"/>
      <c r="F290" s="191" t="str">
        <f t="shared" si="25"/>
        <v/>
      </c>
      <c r="G290" s="185"/>
      <c r="H290" s="185"/>
      <c r="I290" s="185"/>
      <c r="K290" s="141" t="str">
        <f t="shared" si="26"/>
        <v/>
      </c>
      <c r="L290" s="141" t="str">
        <f t="shared" si="27"/>
        <v/>
      </c>
    </row>
    <row r="291" spans="1:12">
      <c r="A291" s="139" t="str">
        <f>IF(E291="","",VLOOKUP('Opći dio'!$C$3,'Opći dio'!$L$6:$U$136,10,FALSE))</f>
        <v/>
      </c>
      <c r="B291" s="139" t="str">
        <f>IF(E291="","",VLOOKUP('Opći dio'!$C$3,'Opći dio'!$L$6:$U$136,9,FALSE))</f>
        <v/>
      </c>
      <c r="C291" s="187" t="str">
        <f t="shared" si="23"/>
        <v/>
      </c>
      <c r="D291" s="138" t="str">
        <f t="shared" si="24"/>
        <v/>
      </c>
      <c r="E291" s="150"/>
      <c r="F291" s="191" t="str">
        <f t="shared" si="25"/>
        <v/>
      </c>
      <c r="G291" s="185"/>
      <c r="H291" s="185"/>
      <c r="I291" s="185"/>
      <c r="K291" s="141" t="str">
        <f t="shared" si="26"/>
        <v/>
      </c>
      <c r="L291" s="141" t="str">
        <f t="shared" si="27"/>
        <v/>
      </c>
    </row>
    <row r="292" spans="1:12">
      <c r="A292" s="139" t="str">
        <f>IF(E292="","",VLOOKUP('Opći dio'!$C$3,'Opći dio'!$L$6:$U$136,10,FALSE))</f>
        <v/>
      </c>
      <c r="B292" s="139" t="str">
        <f>IF(E292="","",VLOOKUP('Opći dio'!$C$3,'Opći dio'!$L$6:$U$136,9,FALSE))</f>
        <v/>
      </c>
      <c r="C292" s="187" t="str">
        <f t="shared" si="23"/>
        <v/>
      </c>
      <c r="D292" s="138" t="str">
        <f t="shared" si="24"/>
        <v/>
      </c>
      <c r="E292" s="150"/>
      <c r="F292" s="191" t="str">
        <f t="shared" si="25"/>
        <v/>
      </c>
      <c r="G292" s="185"/>
      <c r="H292" s="185"/>
      <c r="I292" s="185"/>
      <c r="K292" s="141" t="str">
        <f t="shared" si="26"/>
        <v/>
      </c>
      <c r="L292" s="141" t="str">
        <f t="shared" si="27"/>
        <v/>
      </c>
    </row>
    <row r="293" spans="1:12">
      <c r="A293" s="139" t="str">
        <f>IF(E293="","",VLOOKUP('Opći dio'!$C$3,'Opći dio'!$L$6:$U$136,10,FALSE))</f>
        <v/>
      </c>
      <c r="B293" s="139" t="str">
        <f>IF(E293="","",VLOOKUP('Opći dio'!$C$3,'Opći dio'!$L$6:$U$136,9,FALSE))</f>
        <v/>
      </c>
      <c r="C293" s="187" t="str">
        <f t="shared" si="23"/>
        <v/>
      </c>
      <c r="D293" s="138" t="str">
        <f t="shared" si="24"/>
        <v/>
      </c>
      <c r="E293" s="150"/>
      <c r="F293" s="191" t="str">
        <f t="shared" si="25"/>
        <v/>
      </c>
      <c r="G293" s="185"/>
      <c r="H293" s="185"/>
      <c r="I293" s="185"/>
      <c r="K293" s="141" t="str">
        <f t="shared" si="26"/>
        <v/>
      </c>
      <c r="L293" s="141" t="str">
        <f t="shared" si="27"/>
        <v/>
      </c>
    </row>
    <row r="294" spans="1:12">
      <c r="A294" s="139" t="str">
        <f>IF(E294="","",VLOOKUP('Opći dio'!$C$3,'Opći dio'!$L$6:$U$136,10,FALSE))</f>
        <v/>
      </c>
      <c r="B294" s="139" t="str">
        <f>IF(E294="","",VLOOKUP('Opći dio'!$C$3,'Opći dio'!$L$6:$U$136,9,FALSE))</f>
        <v/>
      </c>
      <c r="C294" s="187" t="str">
        <f t="shared" si="23"/>
        <v/>
      </c>
      <c r="D294" s="138" t="str">
        <f t="shared" si="24"/>
        <v/>
      </c>
      <c r="E294" s="150"/>
      <c r="F294" s="191" t="str">
        <f t="shared" si="25"/>
        <v/>
      </c>
      <c r="G294" s="185"/>
      <c r="H294" s="185"/>
      <c r="I294" s="185"/>
      <c r="K294" s="141" t="str">
        <f t="shared" si="26"/>
        <v/>
      </c>
      <c r="L294" s="141" t="str">
        <f t="shared" si="27"/>
        <v/>
      </c>
    </row>
    <row r="295" spans="1:12">
      <c r="A295" s="139" t="str">
        <f>IF(E295="","",VLOOKUP('Opći dio'!$C$3,'Opći dio'!$L$6:$U$136,10,FALSE))</f>
        <v/>
      </c>
      <c r="B295" s="139" t="str">
        <f>IF(E295="","",VLOOKUP('Opći dio'!$C$3,'Opći dio'!$L$6:$U$136,9,FALSE))</f>
        <v/>
      </c>
      <c r="C295" s="187" t="str">
        <f t="shared" si="23"/>
        <v/>
      </c>
      <c r="D295" s="138" t="str">
        <f t="shared" si="24"/>
        <v/>
      </c>
      <c r="E295" s="150"/>
      <c r="F295" s="191" t="str">
        <f t="shared" si="25"/>
        <v/>
      </c>
      <c r="G295" s="185"/>
      <c r="H295" s="185"/>
      <c r="I295" s="185"/>
      <c r="K295" s="141" t="str">
        <f t="shared" si="26"/>
        <v/>
      </c>
      <c r="L295" s="141" t="str">
        <f t="shared" si="27"/>
        <v/>
      </c>
    </row>
    <row r="296" spans="1:12">
      <c r="A296" s="139" t="str">
        <f>IF(E296="","",VLOOKUP('Opći dio'!$C$3,'Opći dio'!$L$6:$U$136,10,FALSE))</f>
        <v/>
      </c>
      <c r="B296" s="139" t="str">
        <f>IF(E296="","",VLOOKUP('Opći dio'!$C$3,'Opći dio'!$L$6:$U$136,9,FALSE))</f>
        <v/>
      </c>
      <c r="C296" s="187" t="str">
        <f t="shared" si="23"/>
        <v/>
      </c>
      <c r="D296" s="138" t="str">
        <f t="shared" si="24"/>
        <v/>
      </c>
      <c r="E296" s="150"/>
      <c r="F296" s="191" t="str">
        <f t="shared" si="25"/>
        <v/>
      </c>
      <c r="G296" s="185"/>
      <c r="H296" s="185"/>
      <c r="I296" s="185"/>
      <c r="K296" s="141" t="str">
        <f t="shared" si="26"/>
        <v/>
      </c>
      <c r="L296" s="141" t="str">
        <f t="shared" si="27"/>
        <v/>
      </c>
    </row>
    <row r="297" spans="1:12">
      <c r="A297" s="139" t="str">
        <f>IF(E297="","",VLOOKUP('Opći dio'!$C$3,'Opći dio'!$L$6:$U$136,10,FALSE))</f>
        <v/>
      </c>
      <c r="B297" s="139" t="str">
        <f>IF(E297="","",VLOOKUP('Opći dio'!$C$3,'Opći dio'!$L$6:$U$136,9,FALSE))</f>
        <v/>
      </c>
      <c r="C297" s="187" t="str">
        <f t="shared" si="23"/>
        <v/>
      </c>
      <c r="D297" s="138" t="str">
        <f t="shared" si="24"/>
        <v/>
      </c>
      <c r="E297" s="150"/>
      <c r="F297" s="191" t="str">
        <f t="shared" si="25"/>
        <v/>
      </c>
      <c r="G297" s="185"/>
      <c r="H297" s="185"/>
      <c r="I297" s="185"/>
      <c r="K297" s="141" t="str">
        <f t="shared" si="26"/>
        <v/>
      </c>
      <c r="L297" s="141" t="str">
        <f t="shared" si="27"/>
        <v/>
      </c>
    </row>
    <row r="298" spans="1:12">
      <c r="A298" s="139" t="str">
        <f>IF(E298="","",VLOOKUP('Opći dio'!$C$3,'Opći dio'!$L$6:$U$136,10,FALSE))</f>
        <v/>
      </c>
      <c r="B298" s="139" t="str">
        <f>IF(E298="","",VLOOKUP('Opći dio'!$C$3,'Opći dio'!$L$6:$U$136,9,FALSE))</f>
        <v/>
      </c>
      <c r="C298" s="187" t="str">
        <f t="shared" si="23"/>
        <v/>
      </c>
      <c r="D298" s="138" t="str">
        <f t="shared" si="24"/>
        <v/>
      </c>
      <c r="E298" s="150"/>
      <c r="F298" s="191" t="str">
        <f t="shared" si="25"/>
        <v/>
      </c>
      <c r="G298" s="185"/>
      <c r="H298" s="185"/>
      <c r="I298" s="185"/>
      <c r="K298" s="141" t="str">
        <f t="shared" si="26"/>
        <v/>
      </c>
      <c r="L298" s="141" t="str">
        <f t="shared" si="27"/>
        <v/>
      </c>
    </row>
    <row r="299" spans="1:12">
      <c r="A299" s="139" t="str">
        <f>IF(E299="","",VLOOKUP('Opći dio'!$C$3,'Opći dio'!$L$6:$U$136,10,FALSE))</f>
        <v/>
      </c>
      <c r="B299" s="139" t="str">
        <f>IF(E299="","",VLOOKUP('Opći dio'!$C$3,'Opći dio'!$L$6:$U$136,9,FALSE))</f>
        <v/>
      </c>
      <c r="C299" s="187" t="str">
        <f t="shared" si="23"/>
        <v/>
      </c>
      <c r="D299" s="138" t="str">
        <f t="shared" si="24"/>
        <v/>
      </c>
      <c r="E299" s="150"/>
      <c r="F299" s="191" t="str">
        <f t="shared" si="25"/>
        <v/>
      </c>
      <c r="G299" s="185"/>
      <c r="H299" s="185"/>
      <c r="I299" s="185"/>
      <c r="K299" s="141" t="str">
        <f t="shared" si="26"/>
        <v/>
      </c>
      <c r="L299" s="141" t="str">
        <f t="shared" si="27"/>
        <v/>
      </c>
    </row>
    <row r="300" spans="1:12">
      <c r="A300" s="139" t="str">
        <f>IF(E300="","",VLOOKUP('Opći dio'!$C$3,'Opći dio'!$L$6:$U$136,10,FALSE))</f>
        <v/>
      </c>
      <c r="B300" s="139" t="str">
        <f>IF(E300="","",VLOOKUP('Opći dio'!$C$3,'Opći dio'!$L$6:$U$136,9,FALSE))</f>
        <v/>
      </c>
      <c r="C300" s="187" t="str">
        <f t="shared" si="23"/>
        <v/>
      </c>
      <c r="D300" s="138" t="str">
        <f t="shared" si="24"/>
        <v/>
      </c>
      <c r="E300" s="150"/>
      <c r="F300" s="191" t="str">
        <f t="shared" si="25"/>
        <v/>
      </c>
      <c r="G300" s="185"/>
      <c r="H300" s="185"/>
      <c r="I300" s="185"/>
      <c r="K300" s="141" t="str">
        <f t="shared" si="26"/>
        <v/>
      </c>
      <c r="L300" s="141" t="str">
        <f t="shared" si="27"/>
        <v/>
      </c>
    </row>
    <row r="301" spans="1:12">
      <c r="A301" s="139" t="str">
        <f>IF(E301="","",VLOOKUP('Opći dio'!$C$3,'Opći dio'!$L$6:$U$136,10,FALSE))</f>
        <v/>
      </c>
      <c r="B301" s="139" t="str">
        <f>IF(E301="","",VLOOKUP('Opći dio'!$C$3,'Opći dio'!$L$6:$U$136,9,FALSE))</f>
        <v/>
      </c>
      <c r="C301" s="187" t="str">
        <f t="shared" si="23"/>
        <v/>
      </c>
      <c r="D301" s="138" t="str">
        <f t="shared" si="24"/>
        <v/>
      </c>
      <c r="E301" s="150"/>
      <c r="F301" s="191" t="str">
        <f t="shared" si="25"/>
        <v/>
      </c>
      <c r="G301" s="185"/>
      <c r="H301" s="185"/>
      <c r="I301" s="185"/>
      <c r="K301" s="141" t="str">
        <f t="shared" si="26"/>
        <v/>
      </c>
      <c r="L301" s="141" t="str">
        <f t="shared" si="27"/>
        <v/>
      </c>
    </row>
    <row r="302" spans="1:12">
      <c r="A302" s="139" t="str">
        <f>IF(E302="","",VLOOKUP('Opći dio'!$C$3,'Opći dio'!$L$6:$U$136,10,FALSE))</f>
        <v/>
      </c>
      <c r="B302" s="139" t="str">
        <f>IF(E302="","",VLOOKUP('Opći dio'!$C$3,'Opći dio'!$L$6:$U$136,9,FALSE))</f>
        <v/>
      </c>
      <c r="C302" s="187" t="str">
        <f t="shared" si="23"/>
        <v/>
      </c>
      <c r="D302" s="138" t="str">
        <f t="shared" si="24"/>
        <v/>
      </c>
      <c r="E302" s="150"/>
      <c r="F302" s="191" t="str">
        <f t="shared" si="25"/>
        <v/>
      </c>
      <c r="G302" s="185"/>
      <c r="H302" s="185"/>
      <c r="I302" s="185"/>
      <c r="K302" s="141" t="str">
        <f t="shared" si="26"/>
        <v/>
      </c>
      <c r="L302" s="141" t="str">
        <f t="shared" si="27"/>
        <v/>
      </c>
    </row>
    <row r="303" spans="1:12">
      <c r="A303" s="139" t="str">
        <f>IF(E303="","",VLOOKUP('Opći dio'!$C$3,'Opći dio'!$L$6:$U$136,10,FALSE))</f>
        <v/>
      </c>
      <c r="B303" s="139" t="str">
        <f>IF(E303="","",VLOOKUP('Opći dio'!$C$3,'Opći dio'!$L$6:$U$136,9,FALSE))</f>
        <v/>
      </c>
      <c r="C303" s="187" t="str">
        <f t="shared" si="23"/>
        <v/>
      </c>
      <c r="D303" s="138" t="str">
        <f t="shared" si="24"/>
        <v/>
      </c>
      <c r="E303" s="150"/>
      <c r="F303" s="191" t="str">
        <f t="shared" si="25"/>
        <v/>
      </c>
      <c r="G303" s="185"/>
      <c r="H303" s="185"/>
      <c r="I303" s="185"/>
      <c r="K303" s="141" t="str">
        <f t="shared" si="26"/>
        <v/>
      </c>
      <c r="L303" s="141" t="str">
        <f t="shared" si="27"/>
        <v/>
      </c>
    </row>
    <row r="304" spans="1:12">
      <c r="A304" s="139" t="str">
        <f>IF(E304="","",VLOOKUP('Opći dio'!$C$3,'Opći dio'!$L$6:$U$136,10,FALSE))</f>
        <v/>
      </c>
      <c r="B304" s="139" t="str">
        <f>IF(E304="","",VLOOKUP('Opći dio'!$C$3,'Opći dio'!$L$6:$U$136,9,FALSE))</f>
        <v/>
      </c>
      <c r="C304" s="187" t="str">
        <f t="shared" si="23"/>
        <v/>
      </c>
      <c r="D304" s="138" t="str">
        <f t="shared" si="24"/>
        <v/>
      </c>
      <c r="E304" s="150"/>
      <c r="F304" s="191" t="str">
        <f t="shared" si="25"/>
        <v/>
      </c>
      <c r="G304" s="185"/>
      <c r="H304" s="185"/>
      <c r="I304" s="185"/>
      <c r="K304" s="141" t="str">
        <f t="shared" si="26"/>
        <v/>
      </c>
      <c r="L304" s="141" t="str">
        <f t="shared" si="27"/>
        <v/>
      </c>
    </row>
    <row r="305" spans="1:12">
      <c r="A305" s="139" t="str">
        <f>IF(E305="","",VLOOKUP('Opći dio'!$C$3,'Opći dio'!$L$6:$U$136,10,FALSE))</f>
        <v/>
      </c>
      <c r="B305" s="139" t="str">
        <f>IF(E305="","",VLOOKUP('Opći dio'!$C$3,'Opći dio'!$L$6:$U$136,9,FALSE))</f>
        <v/>
      </c>
      <c r="C305" s="187" t="str">
        <f t="shared" si="23"/>
        <v/>
      </c>
      <c r="D305" s="138" t="str">
        <f t="shared" si="24"/>
        <v/>
      </c>
      <c r="E305" s="150"/>
      <c r="F305" s="191" t="str">
        <f t="shared" si="25"/>
        <v/>
      </c>
      <c r="G305" s="185"/>
      <c r="H305" s="185"/>
      <c r="I305" s="185"/>
      <c r="K305" s="141" t="str">
        <f t="shared" si="26"/>
        <v/>
      </c>
      <c r="L305" s="141" t="str">
        <f t="shared" si="27"/>
        <v/>
      </c>
    </row>
    <row r="306" spans="1:12">
      <c r="A306" s="139" t="str">
        <f>IF(E306="","",VLOOKUP('Opći dio'!$C$3,'Opći dio'!$L$6:$U$136,10,FALSE))</f>
        <v/>
      </c>
      <c r="B306" s="139" t="str">
        <f>IF(E306="","",VLOOKUP('Opći dio'!$C$3,'Opći dio'!$L$6:$U$136,9,FALSE))</f>
        <v/>
      </c>
      <c r="C306" s="187" t="str">
        <f t="shared" si="23"/>
        <v/>
      </c>
      <c r="D306" s="138" t="str">
        <f t="shared" si="24"/>
        <v/>
      </c>
      <c r="E306" s="150"/>
      <c r="F306" s="191" t="str">
        <f t="shared" si="25"/>
        <v/>
      </c>
      <c r="G306" s="185"/>
      <c r="H306" s="185"/>
      <c r="I306" s="185"/>
      <c r="K306" s="141" t="str">
        <f t="shared" si="26"/>
        <v/>
      </c>
      <c r="L306" s="141" t="str">
        <f t="shared" si="27"/>
        <v/>
      </c>
    </row>
    <row r="307" spans="1:12">
      <c r="A307" s="139" t="str">
        <f>IF(E307="","",VLOOKUP('Opći dio'!$C$3,'Opći dio'!$L$6:$U$136,10,FALSE))</f>
        <v/>
      </c>
      <c r="B307" s="139" t="str">
        <f>IF(E307="","",VLOOKUP('Opći dio'!$C$3,'Opći dio'!$L$6:$U$136,9,FALSE))</f>
        <v/>
      </c>
      <c r="C307" s="187" t="str">
        <f t="shared" si="23"/>
        <v/>
      </c>
      <c r="D307" s="138" t="str">
        <f t="shared" si="24"/>
        <v/>
      </c>
      <c r="E307" s="150"/>
      <c r="F307" s="191" t="str">
        <f t="shared" si="25"/>
        <v/>
      </c>
      <c r="G307" s="185"/>
      <c r="H307" s="185"/>
      <c r="I307" s="185"/>
      <c r="K307" s="141" t="str">
        <f t="shared" si="26"/>
        <v/>
      </c>
      <c r="L307" s="141" t="str">
        <f t="shared" si="27"/>
        <v/>
      </c>
    </row>
    <row r="308" spans="1:12">
      <c r="A308" s="139" t="str">
        <f>IF(E308="","",VLOOKUP('Opći dio'!$C$3,'Opći dio'!$L$6:$U$136,10,FALSE))</f>
        <v/>
      </c>
      <c r="B308" s="139" t="str">
        <f>IF(E308="","",VLOOKUP('Opći dio'!$C$3,'Opći dio'!$L$6:$U$136,9,FALSE))</f>
        <v/>
      </c>
      <c r="C308" s="187" t="str">
        <f t="shared" si="23"/>
        <v/>
      </c>
      <c r="D308" s="138" t="str">
        <f t="shared" si="24"/>
        <v/>
      </c>
      <c r="E308" s="150"/>
      <c r="F308" s="191" t="str">
        <f t="shared" si="25"/>
        <v/>
      </c>
      <c r="G308" s="185"/>
      <c r="H308" s="185"/>
      <c r="I308" s="185"/>
      <c r="K308" s="141" t="str">
        <f t="shared" si="26"/>
        <v/>
      </c>
      <c r="L308" s="141" t="str">
        <f t="shared" si="27"/>
        <v/>
      </c>
    </row>
    <row r="309" spans="1:12">
      <c r="A309" s="139" t="str">
        <f>IF(E309="","",VLOOKUP('Opći dio'!$C$3,'Opći dio'!$L$6:$U$136,10,FALSE))</f>
        <v/>
      </c>
      <c r="B309" s="139" t="str">
        <f>IF(E309="","",VLOOKUP('Opći dio'!$C$3,'Opći dio'!$L$6:$U$136,9,FALSE))</f>
        <v/>
      </c>
      <c r="C309" s="187" t="str">
        <f t="shared" si="23"/>
        <v/>
      </c>
      <c r="D309" s="138" t="str">
        <f t="shared" si="24"/>
        <v/>
      </c>
      <c r="E309" s="150"/>
      <c r="F309" s="191" t="str">
        <f t="shared" si="25"/>
        <v/>
      </c>
      <c r="G309" s="185"/>
      <c r="H309" s="185"/>
      <c r="I309" s="185"/>
      <c r="K309" s="141" t="str">
        <f t="shared" si="26"/>
        <v/>
      </c>
      <c r="L309" s="141" t="str">
        <f t="shared" si="27"/>
        <v/>
      </c>
    </row>
    <row r="310" spans="1:12">
      <c r="A310" s="139" t="str">
        <f>IF(E310="","",VLOOKUP('Opći dio'!$C$3,'Opći dio'!$L$6:$U$136,10,FALSE))</f>
        <v/>
      </c>
      <c r="B310" s="139" t="str">
        <f>IF(E310="","",VLOOKUP('Opći dio'!$C$3,'Opći dio'!$L$6:$U$136,9,FALSE))</f>
        <v/>
      </c>
      <c r="C310" s="187" t="str">
        <f t="shared" si="23"/>
        <v/>
      </c>
      <c r="D310" s="138" t="str">
        <f t="shared" si="24"/>
        <v/>
      </c>
      <c r="E310" s="150"/>
      <c r="F310" s="191" t="str">
        <f t="shared" si="25"/>
        <v/>
      </c>
      <c r="G310" s="185"/>
      <c r="H310" s="185"/>
      <c r="I310" s="185"/>
      <c r="K310" s="141" t="str">
        <f t="shared" si="26"/>
        <v/>
      </c>
      <c r="L310" s="141" t="str">
        <f t="shared" si="27"/>
        <v/>
      </c>
    </row>
    <row r="311" spans="1:12">
      <c r="A311" s="139" t="str">
        <f>IF(E311="","",VLOOKUP('Opći dio'!$C$3,'Opći dio'!$L$6:$U$136,10,FALSE))</f>
        <v/>
      </c>
      <c r="B311" s="139" t="str">
        <f>IF(E311="","",VLOOKUP('Opći dio'!$C$3,'Opći dio'!$L$6:$U$136,9,FALSE))</f>
        <v/>
      </c>
      <c r="C311" s="187" t="str">
        <f t="shared" si="23"/>
        <v/>
      </c>
      <c r="D311" s="138" t="str">
        <f t="shared" si="24"/>
        <v/>
      </c>
      <c r="E311" s="150"/>
      <c r="F311" s="191" t="str">
        <f t="shared" si="25"/>
        <v/>
      </c>
      <c r="G311" s="185"/>
      <c r="H311" s="185"/>
      <c r="I311" s="185"/>
      <c r="K311" s="141" t="str">
        <f t="shared" si="26"/>
        <v/>
      </c>
      <c r="L311" s="141" t="str">
        <f t="shared" si="27"/>
        <v/>
      </c>
    </row>
    <row r="312" spans="1:12">
      <c r="A312" s="139" t="str">
        <f>IF(E312="","",VLOOKUP('Opći dio'!$C$3,'Opći dio'!$L$6:$U$136,10,FALSE))</f>
        <v/>
      </c>
      <c r="B312" s="139" t="str">
        <f>IF(E312="","",VLOOKUP('Opći dio'!$C$3,'Opći dio'!$L$6:$U$136,9,FALSE))</f>
        <v/>
      </c>
      <c r="C312" s="187" t="str">
        <f t="shared" si="23"/>
        <v/>
      </c>
      <c r="D312" s="138" t="str">
        <f t="shared" si="24"/>
        <v/>
      </c>
      <c r="E312" s="150"/>
      <c r="F312" s="191" t="str">
        <f t="shared" si="25"/>
        <v/>
      </c>
      <c r="G312" s="185"/>
      <c r="H312" s="185"/>
      <c r="I312" s="185"/>
      <c r="K312" s="141" t="str">
        <f t="shared" si="26"/>
        <v/>
      </c>
      <c r="L312" s="141" t="str">
        <f t="shared" si="27"/>
        <v/>
      </c>
    </row>
    <row r="313" spans="1:12">
      <c r="A313" s="139" t="str">
        <f>IF(E313="","",VLOOKUP('Opći dio'!$C$3,'Opći dio'!$L$6:$U$136,10,FALSE))</f>
        <v/>
      </c>
      <c r="B313" s="139" t="str">
        <f>IF(E313="","",VLOOKUP('Opći dio'!$C$3,'Opći dio'!$L$6:$U$136,9,FALSE))</f>
        <v/>
      </c>
      <c r="C313" s="187" t="str">
        <f t="shared" si="23"/>
        <v/>
      </c>
      <c r="D313" s="138" t="str">
        <f t="shared" si="24"/>
        <v/>
      </c>
      <c r="E313" s="150"/>
      <c r="F313" s="191" t="str">
        <f t="shared" si="25"/>
        <v/>
      </c>
      <c r="G313" s="185"/>
      <c r="H313" s="185"/>
      <c r="I313" s="185"/>
      <c r="K313" s="141" t="str">
        <f t="shared" si="26"/>
        <v/>
      </c>
      <c r="L313" s="141" t="str">
        <f t="shared" si="27"/>
        <v/>
      </c>
    </row>
    <row r="314" spans="1:12">
      <c r="A314" s="139" t="str">
        <f>IF(E314="","",VLOOKUP('Opći dio'!$C$3,'Opći dio'!$L$6:$U$136,10,FALSE))</f>
        <v/>
      </c>
      <c r="B314" s="139" t="str">
        <f>IF(E314="","",VLOOKUP('Opći dio'!$C$3,'Opći dio'!$L$6:$U$136,9,FALSE))</f>
        <v/>
      </c>
      <c r="C314" s="187" t="str">
        <f t="shared" si="23"/>
        <v/>
      </c>
      <c r="D314" s="138" t="str">
        <f t="shared" si="24"/>
        <v/>
      </c>
      <c r="E314" s="150"/>
      <c r="F314" s="191" t="str">
        <f t="shared" si="25"/>
        <v/>
      </c>
      <c r="G314" s="185"/>
      <c r="H314" s="185"/>
      <c r="I314" s="185"/>
      <c r="K314" s="141" t="str">
        <f t="shared" si="26"/>
        <v/>
      </c>
      <c r="L314" s="141" t="str">
        <f t="shared" si="27"/>
        <v/>
      </c>
    </row>
    <row r="315" spans="1:12">
      <c r="A315" s="139" t="str">
        <f>IF(E315="","",VLOOKUP('Opći dio'!$C$3,'Opći dio'!$L$6:$U$136,10,FALSE))</f>
        <v/>
      </c>
      <c r="B315" s="139" t="str">
        <f>IF(E315="","",VLOOKUP('Opći dio'!$C$3,'Opći dio'!$L$6:$U$136,9,FALSE))</f>
        <v/>
      </c>
      <c r="C315" s="187" t="str">
        <f t="shared" si="23"/>
        <v/>
      </c>
      <c r="D315" s="138" t="str">
        <f t="shared" si="24"/>
        <v/>
      </c>
      <c r="E315" s="150"/>
      <c r="F315" s="191" t="str">
        <f t="shared" si="25"/>
        <v/>
      </c>
      <c r="G315" s="185"/>
      <c r="H315" s="185"/>
      <c r="I315" s="185"/>
      <c r="K315" s="141" t="str">
        <f t="shared" si="26"/>
        <v/>
      </c>
      <c r="L315" s="141" t="str">
        <f t="shared" si="27"/>
        <v/>
      </c>
    </row>
    <row r="316" spans="1:12">
      <c r="A316" s="139" t="str">
        <f>IF(E316="","",VLOOKUP('Opći dio'!$C$3,'Opći dio'!$L$6:$U$136,10,FALSE))</f>
        <v/>
      </c>
      <c r="B316" s="139" t="str">
        <f>IF(E316="","",VLOOKUP('Opći dio'!$C$3,'Opći dio'!$L$6:$U$136,9,FALSE))</f>
        <v/>
      </c>
      <c r="C316" s="187" t="str">
        <f t="shared" si="23"/>
        <v/>
      </c>
      <c r="D316" s="138" t="str">
        <f t="shared" si="24"/>
        <v/>
      </c>
      <c r="E316" s="150"/>
      <c r="F316" s="191" t="str">
        <f t="shared" si="25"/>
        <v/>
      </c>
      <c r="G316" s="185"/>
      <c r="H316" s="185"/>
      <c r="I316" s="185"/>
      <c r="K316" s="141" t="str">
        <f t="shared" si="26"/>
        <v/>
      </c>
      <c r="L316" s="141" t="str">
        <f t="shared" si="27"/>
        <v/>
      </c>
    </row>
    <row r="317" spans="1:12">
      <c r="A317" s="139" t="str">
        <f>IF(E317="","",VLOOKUP('Opći dio'!$C$3,'Opći dio'!$L$6:$U$136,10,FALSE))</f>
        <v/>
      </c>
      <c r="B317" s="139" t="str">
        <f>IF(E317="","",VLOOKUP('Opći dio'!$C$3,'Opći dio'!$L$6:$U$136,9,FALSE))</f>
        <v/>
      </c>
      <c r="C317" s="187" t="str">
        <f t="shared" si="23"/>
        <v/>
      </c>
      <c r="D317" s="138" t="str">
        <f t="shared" si="24"/>
        <v/>
      </c>
      <c r="E317" s="150"/>
      <c r="F317" s="191" t="str">
        <f t="shared" si="25"/>
        <v/>
      </c>
      <c r="G317" s="185"/>
      <c r="H317" s="185"/>
      <c r="I317" s="185"/>
      <c r="K317" s="141" t="str">
        <f t="shared" si="26"/>
        <v/>
      </c>
      <c r="L317" s="141" t="str">
        <f t="shared" si="27"/>
        <v/>
      </c>
    </row>
    <row r="318" spans="1:12">
      <c r="A318" s="139" t="str">
        <f>IF(E318="","",VLOOKUP('Opći dio'!$C$3,'Opći dio'!$L$6:$U$136,10,FALSE))</f>
        <v/>
      </c>
      <c r="B318" s="139" t="str">
        <f>IF(E318="","",VLOOKUP('Opći dio'!$C$3,'Opći dio'!$L$6:$U$136,9,FALSE))</f>
        <v/>
      </c>
      <c r="C318" s="187" t="str">
        <f t="shared" si="23"/>
        <v/>
      </c>
      <c r="D318" s="138" t="str">
        <f t="shared" si="24"/>
        <v/>
      </c>
      <c r="E318" s="150"/>
      <c r="F318" s="191" t="str">
        <f t="shared" si="25"/>
        <v/>
      </c>
      <c r="G318" s="185"/>
      <c r="H318" s="185"/>
      <c r="I318" s="185"/>
      <c r="K318" s="141" t="str">
        <f t="shared" si="26"/>
        <v/>
      </c>
      <c r="L318" s="141" t="str">
        <f t="shared" si="27"/>
        <v/>
      </c>
    </row>
    <row r="319" spans="1:12">
      <c r="A319" s="139" t="str">
        <f>IF(E319="","",VLOOKUP('Opći dio'!$C$3,'Opći dio'!$L$6:$U$136,10,FALSE))</f>
        <v/>
      </c>
      <c r="B319" s="139" t="str">
        <f>IF(E319="","",VLOOKUP('Opći dio'!$C$3,'Opći dio'!$L$6:$U$136,9,FALSE))</f>
        <v/>
      </c>
      <c r="C319" s="187" t="str">
        <f t="shared" si="23"/>
        <v/>
      </c>
      <c r="D319" s="138" t="str">
        <f t="shared" si="24"/>
        <v/>
      </c>
      <c r="E319" s="150"/>
      <c r="F319" s="191" t="str">
        <f t="shared" si="25"/>
        <v/>
      </c>
      <c r="G319" s="185"/>
      <c r="H319" s="185"/>
      <c r="I319" s="185"/>
      <c r="K319" s="141" t="str">
        <f t="shared" si="26"/>
        <v/>
      </c>
      <c r="L319" s="141" t="str">
        <f t="shared" si="27"/>
        <v/>
      </c>
    </row>
    <row r="320" spans="1:12">
      <c r="A320" s="139" t="str">
        <f>IF(E320="","",VLOOKUP('Opći dio'!$C$3,'Opći dio'!$L$6:$U$136,10,FALSE))</f>
        <v/>
      </c>
      <c r="B320" s="139" t="str">
        <f>IF(E320="","",VLOOKUP('Opći dio'!$C$3,'Opći dio'!$L$6:$U$136,9,FALSE))</f>
        <v/>
      </c>
      <c r="C320" s="187" t="str">
        <f t="shared" si="23"/>
        <v/>
      </c>
      <c r="D320" s="138" t="str">
        <f t="shared" si="24"/>
        <v/>
      </c>
      <c r="E320" s="150"/>
      <c r="F320" s="191" t="str">
        <f t="shared" si="25"/>
        <v/>
      </c>
      <c r="G320" s="185"/>
      <c r="H320" s="185"/>
      <c r="I320" s="185"/>
      <c r="K320" s="141" t="str">
        <f t="shared" si="26"/>
        <v/>
      </c>
      <c r="L320" s="141" t="str">
        <f t="shared" si="27"/>
        <v/>
      </c>
    </row>
    <row r="321" spans="1:12">
      <c r="A321" s="139" t="str">
        <f>IF(E321="","",VLOOKUP('Opći dio'!$C$3,'Opći dio'!$L$6:$U$136,10,FALSE))</f>
        <v/>
      </c>
      <c r="B321" s="139" t="str">
        <f>IF(E321="","",VLOOKUP('Opći dio'!$C$3,'Opći dio'!$L$6:$U$136,9,FALSE))</f>
        <v/>
      </c>
      <c r="C321" s="187" t="str">
        <f t="shared" si="23"/>
        <v/>
      </c>
      <c r="D321" s="138" t="str">
        <f t="shared" si="24"/>
        <v/>
      </c>
      <c r="E321" s="150"/>
      <c r="F321" s="191" t="str">
        <f t="shared" si="25"/>
        <v/>
      </c>
      <c r="G321" s="185"/>
      <c r="H321" s="185"/>
      <c r="I321" s="185"/>
      <c r="K321" s="141" t="str">
        <f t="shared" si="26"/>
        <v/>
      </c>
      <c r="L321" s="141" t="str">
        <f t="shared" si="27"/>
        <v/>
      </c>
    </row>
    <row r="322" spans="1:12">
      <c r="A322" s="139" t="str">
        <f>IF(E322="","",VLOOKUP('Opći dio'!$C$3,'Opći dio'!$L$6:$U$136,10,FALSE))</f>
        <v/>
      </c>
      <c r="B322" s="139" t="str">
        <f>IF(E322="","",VLOOKUP('Opći dio'!$C$3,'Opći dio'!$L$6:$U$136,9,FALSE))</f>
        <v/>
      </c>
      <c r="C322" s="187" t="str">
        <f t="shared" si="23"/>
        <v/>
      </c>
      <c r="D322" s="138" t="str">
        <f t="shared" si="24"/>
        <v/>
      </c>
      <c r="E322" s="150"/>
      <c r="F322" s="191" t="str">
        <f t="shared" si="25"/>
        <v/>
      </c>
      <c r="G322" s="185"/>
      <c r="H322" s="185"/>
      <c r="I322" s="185"/>
      <c r="K322" s="141" t="str">
        <f t="shared" si="26"/>
        <v/>
      </c>
      <c r="L322" s="141" t="str">
        <f t="shared" si="27"/>
        <v/>
      </c>
    </row>
    <row r="323" spans="1:12">
      <c r="A323" s="139" t="str">
        <f>IF(E323="","",VLOOKUP('Opći dio'!$C$3,'Opći dio'!$L$6:$U$136,10,FALSE))</f>
        <v/>
      </c>
      <c r="B323" s="139" t="str">
        <f>IF(E323="","",VLOOKUP('Opći dio'!$C$3,'Opći dio'!$L$6:$U$136,9,FALSE))</f>
        <v/>
      </c>
      <c r="C323" s="187" t="str">
        <f t="shared" si="23"/>
        <v/>
      </c>
      <c r="D323" s="138" t="str">
        <f t="shared" si="24"/>
        <v/>
      </c>
      <c r="E323" s="150"/>
      <c r="F323" s="191" t="str">
        <f t="shared" si="25"/>
        <v/>
      </c>
      <c r="G323" s="185"/>
      <c r="H323" s="185"/>
      <c r="I323" s="185"/>
      <c r="K323" s="141" t="str">
        <f t="shared" si="26"/>
        <v/>
      </c>
      <c r="L323" s="141" t="str">
        <f t="shared" si="27"/>
        <v/>
      </c>
    </row>
    <row r="324" spans="1:12">
      <c r="A324" s="139" t="str">
        <f>IF(E324="","",VLOOKUP('Opći dio'!$C$3,'Opći dio'!$L$6:$U$136,10,FALSE))</f>
        <v/>
      </c>
      <c r="B324" s="139" t="str">
        <f>IF(E324="","",VLOOKUP('Opći dio'!$C$3,'Opći dio'!$L$6:$U$136,9,FALSE))</f>
        <v/>
      </c>
      <c r="C324" s="187" t="str">
        <f t="shared" ref="C324:C387" si="28">IFERROR(VLOOKUP(E324,$Q$6:$T$200,3,FALSE),"")</f>
        <v/>
      </c>
      <c r="D324" s="138" t="str">
        <f t="shared" ref="D324:D387" si="29">IFERROR(VLOOKUP(E324,$Q$6:$T$200,4,FALSE),"")</f>
        <v/>
      </c>
      <c r="E324" s="150"/>
      <c r="F324" s="191" t="str">
        <f t="shared" ref="F324:F387" si="30">IFERROR(VLOOKUP(E324,$Q$6:$T$200,2,FALSE),"")</f>
        <v/>
      </c>
      <c r="G324" s="185"/>
      <c r="H324" s="185"/>
      <c r="I324" s="185"/>
      <c r="K324" s="141" t="str">
        <f t="shared" ref="K324:K387" si="31">LEFT(E324,3)</f>
        <v/>
      </c>
      <c r="L324" s="141" t="str">
        <f t="shared" ref="L324:L387" si="32">LEFT(E324,2)</f>
        <v/>
      </c>
    </row>
    <row r="325" spans="1:12">
      <c r="A325" s="139" t="str">
        <f>IF(E325="","",VLOOKUP('Opći dio'!$C$3,'Opći dio'!$L$6:$U$136,10,FALSE))</f>
        <v/>
      </c>
      <c r="B325" s="139" t="str">
        <f>IF(E325="","",VLOOKUP('Opći dio'!$C$3,'Opći dio'!$L$6:$U$136,9,FALSE))</f>
        <v/>
      </c>
      <c r="C325" s="187" t="str">
        <f t="shared" si="28"/>
        <v/>
      </c>
      <c r="D325" s="138" t="str">
        <f t="shared" si="29"/>
        <v/>
      </c>
      <c r="E325" s="150"/>
      <c r="F325" s="191" t="str">
        <f t="shared" si="30"/>
        <v/>
      </c>
      <c r="G325" s="185"/>
      <c r="H325" s="185"/>
      <c r="I325" s="185"/>
      <c r="K325" s="141" t="str">
        <f t="shared" si="31"/>
        <v/>
      </c>
      <c r="L325" s="141" t="str">
        <f t="shared" si="32"/>
        <v/>
      </c>
    </row>
    <row r="326" spans="1:12">
      <c r="A326" s="139" t="str">
        <f>IF(E326="","",VLOOKUP('Opći dio'!$C$3,'Opći dio'!$L$6:$U$136,10,FALSE))</f>
        <v/>
      </c>
      <c r="B326" s="139" t="str">
        <f>IF(E326="","",VLOOKUP('Opći dio'!$C$3,'Opći dio'!$L$6:$U$136,9,FALSE))</f>
        <v/>
      </c>
      <c r="C326" s="187" t="str">
        <f t="shared" si="28"/>
        <v/>
      </c>
      <c r="D326" s="138" t="str">
        <f t="shared" si="29"/>
        <v/>
      </c>
      <c r="E326" s="150"/>
      <c r="F326" s="191" t="str">
        <f t="shared" si="30"/>
        <v/>
      </c>
      <c r="G326" s="185"/>
      <c r="H326" s="185"/>
      <c r="I326" s="185"/>
      <c r="K326" s="141" t="str">
        <f t="shared" si="31"/>
        <v/>
      </c>
      <c r="L326" s="141" t="str">
        <f t="shared" si="32"/>
        <v/>
      </c>
    </row>
    <row r="327" spans="1:12">
      <c r="A327" s="139" t="str">
        <f>IF(E327="","",VLOOKUP('Opći dio'!$C$3,'Opći dio'!$L$6:$U$136,10,FALSE))</f>
        <v/>
      </c>
      <c r="B327" s="139" t="str">
        <f>IF(E327="","",VLOOKUP('Opći dio'!$C$3,'Opći dio'!$L$6:$U$136,9,FALSE))</f>
        <v/>
      </c>
      <c r="C327" s="187" t="str">
        <f t="shared" si="28"/>
        <v/>
      </c>
      <c r="D327" s="138" t="str">
        <f t="shared" si="29"/>
        <v/>
      </c>
      <c r="E327" s="150"/>
      <c r="F327" s="191" t="str">
        <f t="shared" si="30"/>
        <v/>
      </c>
      <c r="G327" s="185"/>
      <c r="H327" s="185"/>
      <c r="I327" s="185"/>
      <c r="K327" s="141" t="str">
        <f t="shared" si="31"/>
        <v/>
      </c>
      <c r="L327" s="141" t="str">
        <f t="shared" si="32"/>
        <v/>
      </c>
    </row>
    <row r="328" spans="1:12">
      <c r="A328" s="139" t="str">
        <f>IF(E328="","",VLOOKUP('Opći dio'!$C$3,'Opći dio'!$L$6:$U$136,10,FALSE))</f>
        <v/>
      </c>
      <c r="B328" s="139" t="str">
        <f>IF(E328="","",VLOOKUP('Opći dio'!$C$3,'Opći dio'!$L$6:$U$136,9,FALSE))</f>
        <v/>
      </c>
      <c r="C328" s="187" t="str">
        <f t="shared" si="28"/>
        <v/>
      </c>
      <c r="D328" s="138" t="str">
        <f t="shared" si="29"/>
        <v/>
      </c>
      <c r="E328" s="150"/>
      <c r="F328" s="191" t="str">
        <f t="shared" si="30"/>
        <v/>
      </c>
      <c r="G328" s="185"/>
      <c r="H328" s="185"/>
      <c r="I328" s="185"/>
      <c r="K328" s="141" t="str">
        <f t="shared" si="31"/>
        <v/>
      </c>
      <c r="L328" s="141" t="str">
        <f t="shared" si="32"/>
        <v/>
      </c>
    </row>
    <row r="329" spans="1:12">
      <c r="A329" s="139" t="str">
        <f>IF(E329="","",VLOOKUP('Opći dio'!$C$3,'Opći dio'!$L$6:$U$136,10,FALSE))</f>
        <v/>
      </c>
      <c r="B329" s="139" t="str">
        <f>IF(E329="","",VLOOKUP('Opći dio'!$C$3,'Opći dio'!$L$6:$U$136,9,FALSE))</f>
        <v/>
      </c>
      <c r="C329" s="187" t="str">
        <f t="shared" si="28"/>
        <v/>
      </c>
      <c r="D329" s="138" t="str">
        <f t="shared" si="29"/>
        <v/>
      </c>
      <c r="E329" s="150"/>
      <c r="F329" s="191" t="str">
        <f t="shared" si="30"/>
        <v/>
      </c>
      <c r="G329" s="185"/>
      <c r="H329" s="185"/>
      <c r="I329" s="185"/>
      <c r="K329" s="141" t="str">
        <f t="shared" si="31"/>
        <v/>
      </c>
      <c r="L329" s="141" t="str">
        <f t="shared" si="32"/>
        <v/>
      </c>
    </row>
    <row r="330" spans="1:12">
      <c r="A330" s="139" t="str">
        <f>IF(E330="","",VLOOKUP('Opći dio'!$C$3,'Opći dio'!$L$6:$U$136,10,FALSE))</f>
        <v/>
      </c>
      <c r="B330" s="139" t="str">
        <f>IF(E330="","",VLOOKUP('Opći dio'!$C$3,'Opći dio'!$L$6:$U$136,9,FALSE))</f>
        <v/>
      </c>
      <c r="C330" s="187" t="str">
        <f t="shared" si="28"/>
        <v/>
      </c>
      <c r="D330" s="138" t="str">
        <f t="shared" si="29"/>
        <v/>
      </c>
      <c r="E330" s="150"/>
      <c r="F330" s="191" t="str">
        <f t="shared" si="30"/>
        <v/>
      </c>
      <c r="G330" s="185"/>
      <c r="H330" s="185"/>
      <c r="I330" s="185"/>
      <c r="K330" s="141" t="str">
        <f t="shared" si="31"/>
        <v/>
      </c>
      <c r="L330" s="141" t="str">
        <f t="shared" si="32"/>
        <v/>
      </c>
    </row>
    <row r="331" spans="1:12">
      <c r="A331" s="139" t="str">
        <f>IF(E331="","",VLOOKUP('Opći dio'!$C$3,'Opći dio'!$L$6:$U$136,10,FALSE))</f>
        <v/>
      </c>
      <c r="B331" s="139" t="str">
        <f>IF(E331="","",VLOOKUP('Opći dio'!$C$3,'Opći dio'!$L$6:$U$136,9,FALSE))</f>
        <v/>
      </c>
      <c r="C331" s="187" t="str">
        <f t="shared" si="28"/>
        <v/>
      </c>
      <c r="D331" s="138" t="str">
        <f t="shared" si="29"/>
        <v/>
      </c>
      <c r="E331" s="150"/>
      <c r="F331" s="191" t="str">
        <f t="shared" si="30"/>
        <v/>
      </c>
      <c r="G331" s="185"/>
      <c r="H331" s="185"/>
      <c r="I331" s="185"/>
      <c r="K331" s="141" t="str">
        <f t="shared" si="31"/>
        <v/>
      </c>
      <c r="L331" s="141" t="str">
        <f t="shared" si="32"/>
        <v/>
      </c>
    </row>
    <row r="332" spans="1:12">
      <c r="A332" s="139" t="str">
        <f>IF(E332="","",VLOOKUP('Opći dio'!$C$3,'Opći dio'!$L$6:$U$136,10,FALSE))</f>
        <v/>
      </c>
      <c r="B332" s="139" t="str">
        <f>IF(E332="","",VLOOKUP('Opći dio'!$C$3,'Opći dio'!$L$6:$U$136,9,FALSE))</f>
        <v/>
      </c>
      <c r="C332" s="187" t="str">
        <f t="shared" si="28"/>
        <v/>
      </c>
      <c r="D332" s="138" t="str">
        <f t="shared" si="29"/>
        <v/>
      </c>
      <c r="E332" s="150"/>
      <c r="F332" s="191" t="str">
        <f t="shared" si="30"/>
        <v/>
      </c>
      <c r="G332" s="185"/>
      <c r="H332" s="185"/>
      <c r="I332" s="185"/>
      <c r="K332" s="141" t="str">
        <f t="shared" si="31"/>
        <v/>
      </c>
      <c r="L332" s="141" t="str">
        <f t="shared" si="32"/>
        <v/>
      </c>
    </row>
    <row r="333" spans="1:12">
      <c r="A333" s="139" t="str">
        <f>IF(E333="","",VLOOKUP('Opći dio'!$C$3,'Opći dio'!$L$6:$U$136,10,FALSE))</f>
        <v/>
      </c>
      <c r="B333" s="139" t="str">
        <f>IF(E333="","",VLOOKUP('Opći dio'!$C$3,'Opći dio'!$L$6:$U$136,9,FALSE))</f>
        <v/>
      </c>
      <c r="C333" s="187" t="str">
        <f t="shared" si="28"/>
        <v/>
      </c>
      <c r="D333" s="138" t="str">
        <f t="shared" si="29"/>
        <v/>
      </c>
      <c r="E333" s="150"/>
      <c r="F333" s="191" t="str">
        <f t="shared" si="30"/>
        <v/>
      </c>
      <c r="G333" s="185"/>
      <c r="H333" s="185"/>
      <c r="I333" s="185"/>
      <c r="K333" s="141" t="str">
        <f t="shared" si="31"/>
        <v/>
      </c>
      <c r="L333" s="141" t="str">
        <f t="shared" si="32"/>
        <v/>
      </c>
    </row>
    <row r="334" spans="1:12">
      <c r="A334" s="139" t="str">
        <f>IF(E334="","",VLOOKUP('Opći dio'!$C$3,'Opći dio'!$L$6:$U$136,10,FALSE))</f>
        <v/>
      </c>
      <c r="B334" s="139" t="str">
        <f>IF(E334="","",VLOOKUP('Opći dio'!$C$3,'Opći dio'!$L$6:$U$136,9,FALSE))</f>
        <v/>
      </c>
      <c r="C334" s="187" t="str">
        <f t="shared" si="28"/>
        <v/>
      </c>
      <c r="D334" s="138" t="str">
        <f t="shared" si="29"/>
        <v/>
      </c>
      <c r="E334" s="150"/>
      <c r="F334" s="191" t="str">
        <f t="shared" si="30"/>
        <v/>
      </c>
      <c r="G334" s="185"/>
      <c r="H334" s="185"/>
      <c r="I334" s="185"/>
      <c r="K334" s="141" t="str">
        <f t="shared" si="31"/>
        <v/>
      </c>
      <c r="L334" s="141" t="str">
        <f t="shared" si="32"/>
        <v/>
      </c>
    </row>
    <row r="335" spans="1:12">
      <c r="A335" s="139" t="str">
        <f>IF(E335="","",VLOOKUP('Opći dio'!$C$3,'Opći dio'!$L$6:$U$136,10,FALSE))</f>
        <v/>
      </c>
      <c r="B335" s="139" t="str">
        <f>IF(E335="","",VLOOKUP('Opći dio'!$C$3,'Opći dio'!$L$6:$U$136,9,FALSE))</f>
        <v/>
      </c>
      <c r="C335" s="187" t="str">
        <f t="shared" si="28"/>
        <v/>
      </c>
      <c r="D335" s="138" t="str">
        <f t="shared" si="29"/>
        <v/>
      </c>
      <c r="E335" s="150"/>
      <c r="F335" s="191" t="str">
        <f t="shared" si="30"/>
        <v/>
      </c>
      <c r="G335" s="185"/>
      <c r="H335" s="185"/>
      <c r="I335" s="185"/>
      <c r="K335" s="141" t="str">
        <f t="shared" si="31"/>
        <v/>
      </c>
      <c r="L335" s="141" t="str">
        <f t="shared" si="32"/>
        <v/>
      </c>
    </row>
    <row r="336" spans="1:12">
      <c r="A336" s="139" t="str">
        <f>IF(E336="","",VLOOKUP('Opći dio'!$C$3,'Opći dio'!$L$6:$U$136,10,FALSE))</f>
        <v/>
      </c>
      <c r="B336" s="139" t="str">
        <f>IF(E336="","",VLOOKUP('Opći dio'!$C$3,'Opći dio'!$L$6:$U$136,9,FALSE))</f>
        <v/>
      </c>
      <c r="C336" s="187" t="str">
        <f t="shared" si="28"/>
        <v/>
      </c>
      <c r="D336" s="138" t="str">
        <f t="shared" si="29"/>
        <v/>
      </c>
      <c r="E336" s="150"/>
      <c r="F336" s="191" t="str">
        <f t="shared" si="30"/>
        <v/>
      </c>
      <c r="G336" s="185"/>
      <c r="H336" s="185"/>
      <c r="I336" s="185"/>
      <c r="K336" s="141" t="str">
        <f t="shared" si="31"/>
        <v/>
      </c>
      <c r="L336" s="141" t="str">
        <f t="shared" si="32"/>
        <v/>
      </c>
    </row>
    <row r="337" spans="1:12">
      <c r="A337" s="139" t="str">
        <f>IF(E337="","",VLOOKUP('Opći dio'!$C$3,'Opći dio'!$L$6:$U$136,10,FALSE))</f>
        <v/>
      </c>
      <c r="B337" s="139" t="str">
        <f>IF(E337="","",VLOOKUP('Opći dio'!$C$3,'Opći dio'!$L$6:$U$136,9,FALSE))</f>
        <v/>
      </c>
      <c r="C337" s="187" t="str">
        <f t="shared" si="28"/>
        <v/>
      </c>
      <c r="D337" s="138" t="str">
        <f t="shared" si="29"/>
        <v/>
      </c>
      <c r="E337" s="150"/>
      <c r="F337" s="191" t="str">
        <f t="shared" si="30"/>
        <v/>
      </c>
      <c r="G337" s="185"/>
      <c r="H337" s="185"/>
      <c r="I337" s="185"/>
      <c r="K337" s="141" t="str">
        <f t="shared" si="31"/>
        <v/>
      </c>
      <c r="L337" s="141" t="str">
        <f t="shared" si="32"/>
        <v/>
      </c>
    </row>
    <row r="338" spans="1:12">
      <c r="A338" s="139" t="str">
        <f>IF(E338="","",VLOOKUP('Opći dio'!$C$3,'Opći dio'!$L$6:$U$136,10,FALSE))</f>
        <v/>
      </c>
      <c r="B338" s="139" t="str">
        <f>IF(E338="","",VLOOKUP('Opći dio'!$C$3,'Opći dio'!$L$6:$U$136,9,FALSE))</f>
        <v/>
      </c>
      <c r="C338" s="187" t="str">
        <f t="shared" si="28"/>
        <v/>
      </c>
      <c r="D338" s="138" t="str">
        <f t="shared" si="29"/>
        <v/>
      </c>
      <c r="E338" s="150"/>
      <c r="F338" s="191" t="str">
        <f t="shared" si="30"/>
        <v/>
      </c>
      <c r="G338" s="185"/>
      <c r="H338" s="185"/>
      <c r="I338" s="185"/>
      <c r="K338" s="141" t="str">
        <f t="shared" si="31"/>
        <v/>
      </c>
      <c r="L338" s="141" t="str">
        <f t="shared" si="32"/>
        <v/>
      </c>
    </row>
    <row r="339" spans="1:12">
      <c r="A339" s="139" t="str">
        <f>IF(E339="","",VLOOKUP('Opći dio'!$C$3,'Opći dio'!$L$6:$U$136,10,FALSE))</f>
        <v/>
      </c>
      <c r="B339" s="139" t="str">
        <f>IF(E339="","",VLOOKUP('Opći dio'!$C$3,'Opći dio'!$L$6:$U$136,9,FALSE))</f>
        <v/>
      </c>
      <c r="C339" s="187" t="str">
        <f t="shared" si="28"/>
        <v/>
      </c>
      <c r="D339" s="138" t="str">
        <f t="shared" si="29"/>
        <v/>
      </c>
      <c r="E339" s="150"/>
      <c r="F339" s="191" t="str">
        <f t="shared" si="30"/>
        <v/>
      </c>
      <c r="G339" s="185"/>
      <c r="H339" s="185"/>
      <c r="I339" s="185"/>
      <c r="K339" s="141" t="str">
        <f t="shared" si="31"/>
        <v/>
      </c>
      <c r="L339" s="141" t="str">
        <f t="shared" si="32"/>
        <v/>
      </c>
    </row>
    <row r="340" spans="1:12">
      <c r="A340" s="139" t="str">
        <f>IF(E340="","",VLOOKUP('Opći dio'!$C$3,'Opći dio'!$L$6:$U$136,10,FALSE))</f>
        <v/>
      </c>
      <c r="B340" s="139" t="str">
        <f>IF(E340="","",VLOOKUP('Opći dio'!$C$3,'Opći dio'!$L$6:$U$136,9,FALSE))</f>
        <v/>
      </c>
      <c r="C340" s="187" t="str">
        <f t="shared" si="28"/>
        <v/>
      </c>
      <c r="D340" s="138" t="str">
        <f t="shared" si="29"/>
        <v/>
      </c>
      <c r="E340" s="150"/>
      <c r="F340" s="191" t="str">
        <f t="shared" si="30"/>
        <v/>
      </c>
      <c r="G340" s="185"/>
      <c r="H340" s="185"/>
      <c r="I340" s="185"/>
      <c r="K340" s="141" t="str">
        <f t="shared" si="31"/>
        <v/>
      </c>
      <c r="L340" s="141" t="str">
        <f t="shared" si="32"/>
        <v/>
      </c>
    </row>
    <row r="341" spans="1:12">
      <c r="A341" s="139" t="str">
        <f>IF(E341="","",VLOOKUP('Opći dio'!$C$3,'Opći dio'!$L$6:$U$136,10,FALSE))</f>
        <v/>
      </c>
      <c r="B341" s="139" t="str">
        <f>IF(E341="","",VLOOKUP('Opći dio'!$C$3,'Opći dio'!$L$6:$U$136,9,FALSE))</f>
        <v/>
      </c>
      <c r="C341" s="187" t="str">
        <f t="shared" si="28"/>
        <v/>
      </c>
      <c r="D341" s="138" t="str">
        <f t="shared" si="29"/>
        <v/>
      </c>
      <c r="E341" s="150"/>
      <c r="F341" s="191" t="str">
        <f t="shared" si="30"/>
        <v/>
      </c>
      <c r="G341" s="185"/>
      <c r="H341" s="185"/>
      <c r="I341" s="185"/>
      <c r="K341" s="141" t="str">
        <f t="shared" si="31"/>
        <v/>
      </c>
      <c r="L341" s="141" t="str">
        <f t="shared" si="32"/>
        <v/>
      </c>
    </row>
    <row r="342" spans="1:12">
      <c r="A342" s="139" t="str">
        <f>IF(E342="","",VLOOKUP('Opći dio'!$C$3,'Opći dio'!$L$6:$U$136,10,FALSE))</f>
        <v/>
      </c>
      <c r="B342" s="139" t="str">
        <f>IF(E342="","",VLOOKUP('Opći dio'!$C$3,'Opći dio'!$L$6:$U$136,9,FALSE))</f>
        <v/>
      </c>
      <c r="C342" s="187" t="str">
        <f t="shared" si="28"/>
        <v/>
      </c>
      <c r="D342" s="138" t="str">
        <f t="shared" si="29"/>
        <v/>
      </c>
      <c r="E342" s="150"/>
      <c r="F342" s="191" t="str">
        <f t="shared" si="30"/>
        <v/>
      </c>
      <c r="G342" s="185"/>
      <c r="H342" s="185"/>
      <c r="I342" s="185"/>
      <c r="K342" s="141" t="str">
        <f t="shared" si="31"/>
        <v/>
      </c>
      <c r="L342" s="141" t="str">
        <f t="shared" si="32"/>
        <v/>
      </c>
    </row>
    <row r="343" spans="1:12">
      <c r="A343" s="139" t="str">
        <f>IF(E343="","",VLOOKUP('Opći dio'!$C$3,'Opći dio'!$L$6:$U$136,10,FALSE))</f>
        <v/>
      </c>
      <c r="B343" s="139" t="str">
        <f>IF(E343="","",VLOOKUP('Opći dio'!$C$3,'Opći dio'!$L$6:$U$136,9,FALSE))</f>
        <v/>
      </c>
      <c r="C343" s="187" t="str">
        <f t="shared" si="28"/>
        <v/>
      </c>
      <c r="D343" s="138" t="str">
        <f t="shared" si="29"/>
        <v/>
      </c>
      <c r="E343" s="150"/>
      <c r="F343" s="191" t="str">
        <f t="shared" si="30"/>
        <v/>
      </c>
      <c r="G343" s="185"/>
      <c r="H343" s="185"/>
      <c r="I343" s="185"/>
      <c r="K343" s="141" t="str">
        <f t="shared" si="31"/>
        <v/>
      </c>
      <c r="L343" s="141" t="str">
        <f t="shared" si="32"/>
        <v/>
      </c>
    </row>
    <row r="344" spans="1:12">
      <c r="A344" s="139" t="str">
        <f>IF(E344="","",VLOOKUP('Opći dio'!$C$3,'Opći dio'!$L$6:$U$136,10,FALSE))</f>
        <v/>
      </c>
      <c r="B344" s="139" t="str">
        <f>IF(E344="","",VLOOKUP('Opći dio'!$C$3,'Opći dio'!$L$6:$U$136,9,FALSE))</f>
        <v/>
      </c>
      <c r="C344" s="187" t="str">
        <f t="shared" si="28"/>
        <v/>
      </c>
      <c r="D344" s="138" t="str">
        <f t="shared" si="29"/>
        <v/>
      </c>
      <c r="E344" s="150"/>
      <c r="F344" s="191" t="str">
        <f t="shared" si="30"/>
        <v/>
      </c>
      <c r="G344" s="185"/>
      <c r="H344" s="185"/>
      <c r="I344" s="185"/>
      <c r="K344" s="141" t="str">
        <f t="shared" si="31"/>
        <v/>
      </c>
      <c r="L344" s="141" t="str">
        <f t="shared" si="32"/>
        <v/>
      </c>
    </row>
    <row r="345" spans="1:12">
      <c r="A345" s="139" t="str">
        <f>IF(E345="","",VLOOKUP('Opći dio'!$C$3,'Opći dio'!$L$6:$U$136,10,FALSE))</f>
        <v/>
      </c>
      <c r="B345" s="139" t="str">
        <f>IF(E345="","",VLOOKUP('Opći dio'!$C$3,'Opći dio'!$L$6:$U$136,9,FALSE))</f>
        <v/>
      </c>
      <c r="C345" s="187" t="str">
        <f t="shared" si="28"/>
        <v/>
      </c>
      <c r="D345" s="138" t="str">
        <f t="shared" si="29"/>
        <v/>
      </c>
      <c r="E345" s="150"/>
      <c r="F345" s="191" t="str">
        <f t="shared" si="30"/>
        <v/>
      </c>
      <c r="G345" s="185"/>
      <c r="H345" s="185"/>
      <c r="I345" s="185"/>
      <c r="K345" s="141" t="str">
        <f t="shared" si="31"/>
        <v/>
      </c>
      <c r="L345" s="141" t="str">
        <f t="shared" si="32"/>
        <v/>
      </c>
    </row>
    <row r="346" spans="1:12">
      <c r="A346" s="139" t="str">
        <f>IF(E346="","",VLOOKUP('Opći dio'!$C$3,'Opći dio'!$L$6:$U$136,10,FALSE))</f>
        <v/>
      </c>
      <c r="B346" s="139" t="str">
        <f>IF(E346="","",VLOOKUP('Opći dio'!$C$3,'Opći dio'!$L$6:$U$136,9,FALSE))</f>
        <v/>
      </c>
      <c r="C346" s="187" t="str">
        <f t="shared" si="28"/>
        <v/>
      </c>
      <c r="D346" s="138" t="str">
        <f t="shared" si="29"/>
        <v/>
      </c>
      <c r="E346" s="150"/>
      <c r="F346" s="191" t="str">
        <f t="shared" si="30"/>
        <v/>
      </c>
      <c r="G346" s="185"/>
      <c r="H346" s="185"/>
      <c r="I346" s="185"/>
      <c r="K346" s="141" t="str">
        <f t="shared" si="31"/>
        <v/>
      </c>
      <c r="L346" s="141" t="str">
        <f t="shared" si="32"/>
        <v/>
      </c>
    </row>
    <row r="347" spans="1:12">
      <c r="A347" s="139" t="str">
        <f>IF(E347="","",VLOOKUP('Opći dio'!$C$3,'Opći dio'!$L$6:$U$136,10,FALSE))</f>
        <v/>
      </c>
      <c r="B347" s="139" t="str">
        <f>IF(E347="","",VLOOKUP('Opći dio'!$C$3,'Opći dio'!$L$6:$U$136,9,FALSE))</f>
        <v/>
      </c>
      <c r="C347" s="187" t="str">
        <f t="shared" si="28"/>
        <v/>
      </c>
      <c r="D347" s="138" t="str">
        <f t="shared" si="29"/>
        <v/>
      </c>
      <c r="E347" s="150"/>
      <c r="F347" s="191" t="str">
        <f t="shared" si="30"/>
        <v/>
      </c>
      <c r="G347" s="185"/>
      <c r="H347" s="185"/>
      <c r="I347" s="185"/>
      <c r="K347" s="141" t="str">
        <f t="shared" si="31"/>
        <v/>
      </c>
      <c r="L347" s="141" t="str">
        <f t="shared" si="32"/>
        <v/>
      </c>
    </row>
    <row r="348" spans="1:12">
      <c r="A348" s="139" t="str">
        <f>IF(E348="","",VLOOKUP('Opći dio'!$C$3,'Opći dio'!$L$6:$U$136,10,FALSE))</f>
        <v/>
      </c>
      <c r="B348" s="139" t="str">
        <f>IF(E348="","",VLOOKUP('Opći dio'!$C$3,'Opći dio'!$L$6:$U$136,9,FALSE))</f>
        <v/>
      </c>
      <c r="C348" s="187" t="str">
        <f t="shared" si="28"/>
        <v/>
      </c>
      <c r="D348" s="138" t="str">
        <f t="shared" si="29"/>
        <v/>
      </c>
      <c r="E348" s="150"/>
      <c r="F348" s="191" t="str">
        <f t="shared" si="30"/>
        <v/>
      </c>
      <c r="G348" s="185"/>
      <c r="H348" s="185"/>
      <c r="I348" s="185"/>
      <c r="K348" s="141" t="str">
        <f t="shared" si="31"/>
        <v/>
      </c>
      <c r="L348" s="141" t="str">
        <f t="shared" si="32"/>
        <v/>
      </c>
    </row>
    <row r="349" spans="1:12">
      <c r="A349" s="139" t="str">
        <f>IF(E349="","",VLOOKUP('Opći dio'!$C$3,'Opći dio'!$L$6:$U$136,10,FALSE))</f>
        <v/>
      </c>
      <c r="B349" s="139" t="str">
        <f>IF(E349="","",VLOOKUP('Opći dio'!$C$3,'Opći dio'!$L$6:$U$136,9,FALSE))</f>
        <v/>
      </c>
      <c r="C349" s="187" t="str">
        <f t="shared" si="28"/>
        <v/>
      </c>
      <c r="D349" s="138" t="str">
        <f t="shared" si="29"/>
        <v/>
      </c>
      <c r="E349" s="150"/>
      <c r="F349" s="191" t="str">
        <f t="shared" si="30"/>
        <v/>
      </c>
      <c r="G349" s="185"/>
      <c r="H349" s="185"/>
      <c r="I349" s="185"/>
      <c r="K349" s="141" t="str">
        <f t="shared" si="31"/>
        <v/>
      </c>
      <c r="L349" s="141" t="str">
        <f t="shared" si="32"/>
        <v/>
      </c>
    </row>
    <row r="350" spans="1:12">
      <c r="A350" s="139" t="str">
        <f>IF(E350="","",VLOOKUP('Opći dio'!$C$3,'Opći dio'!$L$6:$U$136,10,FALSE))</f>
        <v/>
      </c>
      <c r="B350" s="139" t="str">
        <f>IF(E350="","",VLOOKUP('Opći dio'!$C$3,'Opći dio'!$L$6:$U$136,9,FALSE))</f>
        <v/>
      </c>
      <c r="C350" s="187" t="str">
        <f t="shared" si="28"/>
        <v/>
      </c>
      <c r="D350" s="138" t="str">
        <f t="shared" si="29"/>
        <v/>
      </c>
      <c r="E350" s="150"/>
      <c r="F350" s="191" t="str">
        <f t="shared" si="30"/>
        <v/>
      </c>
      <c r="G350" s="185"/>
      <c r="H350" s="185"/>
      <c r="I350" s="185"/>
      <c r="K350" s="141" t="str">
        <f t="shared" si="31"/>
        <v/>
      </c>
      <c r="L350" s="141" t="str">
        <f t="shared" si="32"/>
        <v/>
      </c>
    </row>
    <row r="351" spans="1:12">
      <c r="A351" s="139" t="str">
        <f>IF(E351="","",VLOOKUP('Opći dio'!$C$3,'Opći dio'!$L$6:$U$136,10,FALSE))</f>
        <v/>
      </c>
      <c r="B351" s="139" t="str">
        <f>IF(E351="","",VLOOKUP('Opći dio'!$C$3,'Opći dio'!$L$6:$U$136,9,FALSE))</f>
        <v/>
      </c>
      <c r="C351" s="187" t="str">
        <f t="shared" si="28"/>
        <v/>
      </c>
      <c r="D351" s="138" t="str">
        <f t="shared" si="29"/>
        <v/>
      </c>
      <c r="E351" s="150"/>
      <c r="F351" s="191" t="str">
        <f t="shared" si="30"/>
        <v/>
      </c>
      <c r="G351" s="185"/>
      <c r="H351" s="185"/>
      <c r="I351" s="185"/>
      <c r="K351" s="141" t="str">
        <f t="shared" si="31"/>
        <v/>
      </c>
      <c r="L351" s="141" t="str">
        <f t="shared" si="32"/>
        <v/>
      </c>
    </row>
    <row r="352" spans="1:12">
      <c r="A352" s="139" t="str">
        <f>IF(E352="","",VLOOKUP('Opći dio'!$C$3,'Opći dio'!$L$6:$U$136,10,FALSE))</f>
        <v/>
      </c>
      <c r="B352" s="139" t="str">
        <f>IF(E352="","",VLOOKUP('Opći dio'!$C$3,'Opći dio'!$L$6:$U$136,9,FALSE))</f>
        <v/>
      </c>
      <c r="C352" s="187" t="str">
        <f t="shared" si="28"/>
        <v/>
      </c>
      <c r="D352" s="138" t="str">
        <f t="shared" si="29"/>
        <v/>
      </c>
      <c r="E352" s="150"/>
      <c r="F352" s="191" t="str">
        <f t="shared" si="30"/>
        <v/>
      </c>
      <c r="G352" s="185"/>
      <c r="H352" s="185"/>
      <c r="I352" s="185"/>
      <c r="K352" s="141" t="str">
        <f t="shared" si="31"/>
        <v/>
      </c>
      <c r="L352" s="141" t="str">
        <f t="shared" si="32"/>
        <v/>
      </c>
    </row>
    <row r="353" spans="1:12">
      <c r="A353" s="139" t="str">
        <f>IF(E353="","",VLOOKUP('Opći dio'!$C$3,'Opći dio'!$L$6:$U$136,10,FALSE))</f>
        <v/>
      </c>
      <c r="B353" s="139" t="str">
        <f>IF(E353="","",VLOOKUP('Opći dio'!$C$3,'Opći dio'!$L$6:$U$136,9,FALSE))</f>
        <v/>
      </c>
      <c r="C353" s="187" t="str">
        <f t="shared" si="28"/>
        <v/>
      </c>
      <c r="D353" s="138" t="str">
        <f t="shared" si="29"/>
        <v/>
      </c>
      <c r="E353" s="150"/>
      <c r="F353" s="191" t="str">
        <f t="shared" si="30"/>
        <v/>
      </c>
      <c r="G353" s="185"/>
      <c r="H353" s="185"/>
      <c r="I353" s="185"/>
      <c r="K353" s="141" t="str">
        <f t="shared" si="31"/>
        <v/>
      </c>
      <c r="L353" s="141" t="str">
        <f t="shared" si="32"/>
        <v/>
      </c>
    </row>
    <row r="354" spans="1:12">
      <c r="A354" s="139" t="str">
        <f>IF(E354="","",VLOOKUP('Opći dio'!$C$3,'Opći dio'!$L$6:$U$136,10,FALSE))</f>
        <v/>
      </c>
      <c r="B354" s="139" t="str">
        <f>IF(E354="","",VLOOKUP('Opći dio'!$C$3,'Opći dio'!$L$6:$U$136,9,FALSE))</f>
        <v/>
      </c>
      <c r="C354" s="187" t="str">
        <f t="shared" si="28"/>
        <v/>
      </c>
      <c r="D354" s="138" t="str">
        <f t="shared" si="29"/>
        <v/>
      </c>
      <c r="E354" s="150"/>
      <c r="F354" s="191" t="str">
        <f t="shared" si="30"/>
        <v/>
      </c>
      <c r="G354" s="185"/>
      <c r="H354" s="185"/>
      <c r="I354" s="185"/>
      <c r="K354" s="141" t="str">
        <f t="shared" si="31"/>
        <v/>
      </c>
      <c r="L354" s="141" t="str">
        <f t="shared" si="32"/>
        <v/>
      </c>
    </row>
    <row r="355" spans="1:12">
      <c r="A355" s="139" t="str">
        <f>IF(E355="","",VLOOKUP('Opći dio'!$C$3,'Opći dio'!$L$6:$U$136,10,FALSE))</f>
        <v/>
      </c>
      <c r="B355" s="139" t="str">
        <f>IF(E355="","",VLOOKUP('Opći dio'!$C$3,'Opći dio'!$L$6:$U$136,9,FALSE))</f>
        <v/>
      </c>
      <c r="C355" s="187" t="str">
        <f t="shared" si="28"/>
        <v/>
      </c>
      <c r="D355" s="138" t="str">
        <f t="shared" si="29"/>
        <v/>
      </c>
      <c r="E355" s="150"/>
      <c r="F355" s="191" t="str">
        <f t="shared" si="30"/>
        <v/>
      </c>
      <c r="G355" s="185"/>
      <c r="H355" s="185"/>
      <c r="I355" s="185"/>
      <c r="K355" s="141" t="str">
        <f t="shared" si="31"/>
        <v/>
      </c>
      <c r="L355" s="141" t="str">
        <f t="shared" si="32"/>
        <v/>
      </c>
    </row>
    <row r="356" spans="1:12">
      <c r="A356" s="139" t="str">
        <f>IF(E356="","",VLOOKUP('Opći dio'!$C$3,'Opći dio'!$L$6:$U$136,10,FALSE))</f>
        <v/>
      </c>
      <c r="B356" s="139" t="str">
        <f>IF(E356="","",VLOOKUP('Opći dio'!$C$3,'Opći dio'!$L$6:$U$136,9,FALSE))</f>
        <v/>
      </c>
      <c r="C356" s="187" t="str">
        <f t="shared" si="28"/>
        <v/>
      </c>
      <c r="D356" s="138" t="str">
        <f t="shared" si="29"/>
        <v/>
      </c>
      <c r="E356" s="150"/>
      <c r="F356" s="191" t="str">
        <f t="shared" si="30"/>
        <v/>
      </c>
      <c r="G356" s="185"/>
      <c r="H356" s="185"/>
      <c r="I356" s="185"/>
      <c r="K356" s="141" t="str">
        <f t="shared" si="31"/>
        <v/>
      </c>
      <c r="L356" s="141" t="str">
        <f t="shared" si="32"/>
        <v/>
      </c>
    </row>
    <row r="357" spans="1:12">
      <c r="A357" s="139" t="str">
        <f>IF(E357="","",VLOOKUP('Opći dio'!$C$3,'Opći dio'!$L$6:$U$136,10,FALSE))</f>
        <v/>
      </c>
      <c r="B357" s="139" t="str">
        <f>IF(E357="","",VLOOKUP('Opći dio'!$C$3,'Opći dio'!$L$6:$U$136,9,FALSE))</f>
        <v/>
      </c>
      <c r="C357" s="187" t="str">
        <f t="shared" si="28"/>
        <v/>
      </c>
      <c r="D357" s="138" t="str">
        <f t="shared" si="29"/>
        <v/>
      </c>
      <c r="E357" s="150"/>
      <c r="F357" s="191" t="str">
        <f t="shared" si="30"/>
        <v/>
      </c>
      <c r="G357" s="185"/>
      <c r="H357" s="185"/>
      <c r="I357" s="185"/>
      <c r="K357" s="141" t="str">
        <f t="shared" si="31"/>
        <v/>
      </c>
      <c r="L357" s="141" t="str">
        <f t="shared" si="32"/>
        <v/>
      </c>
    </row>
    <row r="358" spans="1:12">
      <c r="A358" s="139" t="str">
        <f>IF(E358="","",VLOOKUP('Opći dio'!$C$3,'Opći dio'!$L$6:$U$136,10,FALSE))</f>
        <v/>
      </c>
      <c r="B358" s="139" t="str">
        <f>IF(E358="","",VLOOKUP('Opći dio'!$C$3,'Opći dio'!$L$6:$U$136,9,FALSE))</f>
        <v/>
      </c>
      <c r="C358" s="187" t="str">
        <f t="shared" si="28"/>
        <v/>
      </c>
      <c r="D358" s="138" t="str">
        <f t="shared" si="29"/>
        <v/>
      </c>
      <c r="E358" s="150"/>
      <c r="F358" s="191" t="str">
        <f t="shared" si="30"/>
        <v/>
      </c>
      <c r="G358" s="185"/>
      <c r="H358" s="185"/>
      <c r="I358" s="185"/>
      <c r="K358" s="141" t="str">
        <f t="shared" si="31"/>
        <v/>
      </c>
      <c r="L358" s="141" t="str">
        <f t="shared" si="32"/>
        <v/>
      </c>
    </row>
    <row r="359" spans="1:12">
      <c r="A359" s="139" t="str">
        <f>IF(E359="","",VLOOKUP('Opći dio'!$C$3,'Opći dio'!$L$6:$U$136,10,FALSE))</f>
        <v/>
      </c>
      <c r="B359" s="139" t="str">
        <f>IF(E359="","",VLOOKUP('Opći dio'!$C$3,'Opći dio'!$L$6:$U$136,9,FALSE))</f>
        <v/>
      </c>
      <c r="C359" s="187" t="str">
        <f t="shared" si="28"/>
        <v/>
      </c>
      <c r="D359" s="138" t="str">
        <f t="shared" si="29"/>
        <v/>
      </c>
      <c r="E359" s="150"/>
      <c r="F359" s="191" t="str">
        <f t="shared" si="30"/>
        <v/>
      </c>
      <c r="G359" s="185"/>
      <c r="H359" s="185"/>
      <c r="I359" s="185"/>
      <c r="K359" s="141" t="str">
        <f t="shared" si="31"/>
        <v/>
      </c>
      <c r="L359" s="141" t="str">
        <f t="shared" si="32"/>
        <v/>
      </c>
    </row>
    <row r="360" spans="1:12">
      <c r="A360" s="139" t="str">
        <f>IF(E360="","",VLOOKUP('Opći dio'!$C$3,'Opći dio'!$L$6:$U$136,10,FALSE))</f>
        <v/>
      </c>
      <c r="B360" s="139" t="str">
        <f>IF(E360="","",VLOOKUP('Opći dio'!$C$3,'Opći dio'!$L$6:$U$136,9,FALSE))</f>
        <v/>
      </c>
      <c r="C360" s="187" t="str">
        <f t="shared" si="28"/>
        <v/>
      </c>
      <c r="D360" s="138" t="str">
        <f t="shared" si="29"/>
        <v/>
      </c>
      <c r="E360" s="150"/>
      <c r="F360" s="191" t="str">
        <f t="shared" si="30"/>
        <v/>
      </c>
      <c r="G360" s="185"/>
      <c r="H360" s="185"/>
      <c r="I360" s="185"/>
      <c r="K360" s="141" t="str">
        <f t="shared" si="31"/>
        <v/>
      </c>
      <c r="L360" s="141" t="str">
        <f t="shared" si="32"/>
        <v/>
      </c>
    </row>
    <row r="361" spans="1:12">
      <c r="A361" s="139" t="str">
        <f>IF(E361="","",VLOOKUP('Opći dio'!$C$3,'Opći dio'!$L$6:$U$136,10,FALSE))</f>
        <v/>
      </c>
      <c r="B361" s="139" t="str">
        <f>IF(E361="","",VLOOKUP('Opći dio'!$C$3,'Opći dio'!$L$6:$U$136,9,FALSE))</f>
        <v/>
      </c>
      <c r="C361" s="187" t="str">
        <f t="shared" si="28"/>
        <v/>
      </c>
      <c r="D361" s="138" t="str">
        <f t="shared" si="29"/>
        <v/>
      </c>
      <c r="E361" s="150"/>
      <c r="F361" s="191" t="str">
        <f t="shared" si="30"/>
        <v/>
      </c>
      <c r="G361" s="185"/>
      <c r="H361" s="185"/>
      <c r="I361" s="185"/>
      <c r="K361" s="141" t="str">
        <f t="shared" si="31"/>
        <v/>
      </c>
      <c r="L361" s="141" t="str">
        <f t="shared" si="32"/>
        <v/>
      </c>
    </row>
    <row r="362" spans="1:12">
      <c r="A362" s="139" t="str">
        <f>IF(E362="","",VLOOKUP('Opći dio'!$C$3,'Opći dio'!$L$6:$U$136,10,FALSE))</f>
        <v/>
      </c>
      <c r="B362" s="139" t="str">
        <f>IF(E362="","",VLOOKUP('Opći dio'!$C$3,'Opći dio'!$L$6:$U$136,9,FALSE))</f>
        <v/>
      </c>
      <c r="C362" s="187" t="str">
        <f t="shared" si="28"/>
        <v/>
      </c>
      <c r="D362" s="138" t="str">
        <f t="shared" si="29"/>
        <v/>
      </c>
      <c r="E362" s="150"/>
      <c r="F362" s="191" t="str">
        <f t="shared" si="30"/>
        <v/>
      </c>
      <c r="G362" s="185"/>
      <c r="H362" s="185"/>
      <c r="I362" s="185"/>
      <c r="K362" s="141" t="str">
        <f t="shared" si="31"/>
        <v/>
      </c>
      <c r="L362" s="141" t="str">
        <f t="shared" si="32"/>
        <v/>
      </c>
    </row>
    <row r="363" spans="1:12">
      <c r="A363" s="139" t="str">
        <f>IF(E363="","",VLOOKUP('Opći dio'!$C$3,'Opći dio'!$L$6:$U$136,10,FALSE))</f>
        <v/>
      </c>
      <c r="B363" s="139" t="str">
        <f>IF(E363="","",VLOOKUP('Opći dio'!$C$3,'Opći dio'!$L$6:$U$136,9,FALSE))</f>
        <v/>
      </c>
      <c r="C363" s="187" t="str">
        <f t="shared" si="28"/>
        <v/>
      </c>
      <c r="D363" s="138" t="str">
        <f t="shared" si="29"/>
        <v/>
      </c>
      <c r="E363" s="150"/>
      <c r="F363" s="191" t="str">
        <f t="shared" si="30"/>
        <v/>
      </c>
      <c r="G363" s="185"/>
      <c r="H363" s="185"/>
      <c r="I363" s="185"/>
      <c r="K363" s="141" t="str">
        <f t="shared" si="31"/>
        <v/>
      </c>
      <c r="L363" s="141" t="str">
        <f t="shared" si="32"/>
        <v/>
      </c>
    </row>
    <row r="364" spans="1:12">
      <c r="A364" s="139" t="str">
        <f>IF(E364="","",VLOOKUP('Opći dio'!$C$3,'Opći dio'!$L$6:$U$136,10,FALSE))</f>
        <v/>
      </c>
      <c r="B364" s="139" t="str">
        <f>IF(E364="","",VLOOKUP('Opći dio'!$C$3,'Opći dio'!$L$6:$U$136,9,FALSE))</f>
        <v/>
      </c>
      <c r="C364" s="187" t="str">
        <f t="shared" si="28"/>
        <v/>
      </c>
      <c r="D364" s="138" t="str">
        <f t="shared" si="29"/>
        <v/>
      </c>
      <c r="E364" s="150"/>
      <c r="F364" s="191" t="str">
        <f t="shared" si="30"/>
        <v/>
      </c>
      <c r="G364" s="185"/>
      <c r="H364" s="185"/>
      <c r="I364" s="185"/>
      <c r="K364" s="141" t="str">
        <f t="shared" si="31"/>
        <v/>
      </c>
      <c r="L364" s="141" t="str">
        <f t="shared" si="32"/>
        <v/>
      </c>
    </row>
    <row r="365" spans="1:12">
      <c r="A365" s="139" t="str">
        <f>IF(E365="","",VLOOKUP('Opći dio'!$C$3,'Opći dio'!$L$6:$U$136,10,FALSE))</f>
        <v/>
      </c>
      <c r="B365" s="139" t="str">
        <f>IF(E365="","",VLOOKUP('Opći dio'!$C$3,'Opći dio'!$L$6:$U$136,9,FALSE))</f>
        <v/>
      </c>
      <c r="C365" s="187" t="str">
        <f t="shared" si="28"/>
        <v/>
      </c>
      <c r="D365" s="138" t="str">
        <f t="shared" si="29"/>
        <v/>
      </c>
      <c r="E365" s="150"/>
      <c r="F365" s="191" t="str">
        <f t="shared" si="30"/>
        <v/>
      </c>
      <c r="G365" s="185"/>
      <c r="H365" s="185"/>
      <c r="I365" s="185"/>
      <c r="K365" s="141" t="str">
        <f t="shared" si="31"/>
        <v/>
      </c>
      <c r="L365" s="141" t="str">
        <f t="shared" si="32"/>
        <v/>
      </c>
    </row>
    <row r="366" spans="1:12">
      <c r="A366" s="139" t="str">
        <f>IF(E366="","",VLOOKUP('Opći dio'!$C$3,'Opći dio'!$L$6:$U$136,10,FALSE))</f>
        <v/>
      </c>
      <c r="B366" s="139" t="str">
        <f>IF(E366="","",VLOOKUP('Opći dio'!$C$3,'Opći dio'!$L$6:$U$136,9,FALSE))</f>
        <v/>
      </c>
      <c r="C366" s="187" t="str">
        <f t="shared" si="28"/>
        <v/>
      </c>
      <c r="D366" s="138" t="str">
        <f t="shared" si="29"/>
        <v/>
      </c>
      <c r="E366" s="150"/>
      <c r="F366" s="191" t="str">
        <f t="shared" si="30"/>
        <v/>
      </c>
      <c r="G366" s="185"/>
      <c r="H366" s="185"/>
      <c r="I366" s="185"/>
      <c r="K366" s="141" t="str">
        <f t="shared" si="31"/>
        <v/>
      </c>
      <c r="L366" s="141" t="str">
        <f t="shared" si="32"/>
        <v/>
      </c>
    </row>
    <row r="367" spans="1:12">
      <c r="A367" s="139" t="str">
        <f>IF(E367="","",VLOOKUP('Opći dio'!$C$3,'Opći dio'!$L$6:$U$136,10,FALSE))</f>
        <v/>
      </c>
      <c r="B367" s="139" t="str">
        <f>IF(E367="","",VLOOKUP('Opći dio'!$C$3,'Opći dio'!$L$6:$U$136,9,FALSE))</f>
        <v/>
      </c>
      <c r="C367" s="187" t="str">
        <f t="shared" si="28"/>
        <v/>
      </c>
      <c r="D367" s="138" t="str">
        <f t="shared" si="29"/>
        <v/>
      </c>
      <c r="E367" s="150"/>
      <c r="F367" s="191" t="str">
        <f t="shared" si="30"/>
        <v/>
      </c>
      <c r="G367" s="185"/>
      <c r="H367" s="185"/>
      <c r="I367" s="185"/>
      <c r="K367" s="141" t="str">
        <f t="shared" si="31"/>
        <v/>
      </c>
      <c r="L367" s="141" t="str">
        <f t="shared" si="32"/>
        <v/>
      </c>
    </row>
    <row r="368" spans="1:12">
      <c r="A368" s="139" t="str">
        <f>IF(E368="","",VLOOKUP('Opći dio'!$C$3,'Opći dio'!$L$6:$U$136,10,FALSE))</f>
        <v/>
      </c>
      <c r="B368" s="139" t="str">
        <f>IF(E368="","",VLOOKUP('Opći dio'!$C$3,'Opći dio'!$L$6:$U$136,9,FALSE))</f>
        <v/>
      </c>
      <c r="C368" s="187" t="str">
        <f t="shared" si="28"/>
        <v/>
      </c>
      <c r="D368" s="138" t="str">
        <f t="shared" si="29"/>
        <v/>
      </c>
      <c r="E368" s="150"/>
      <c r="F368" s="191" t="str">
        <f t="shared" si="30"/>
        <v/>
      </c>
      <c r="G368" s="185"/>
      <c r="H368" s="185"/>
      <c r="I368" s="185"/>
      <c r="K368" s="141" t="str">
        <f t="shared" si="31"/>
        <v/>
      </c>
      <c r="L368" s="141" t="str">
        <f t="shared" si="32"/>
        <v/>
      </c>
    </row>
    <row r="369" spans="1:12">
      <c r="A369" s="139" t="str">
        <f>IF(E369="","",VLOOKUP('Opći dio'!$C$3,'Opći dio'!$L$6:$U$136,10,FALSE))</f>
        <v/>
      </c>
      <c r="B369" s="139" t="str">
        <f>IF(E369="","",VLOOKUP('Opći dio'!$C$3,'Opći dio'!$L$6:$U$136,9,FALSE))</f>
        <v/>
      </c>
      <c r="C369" s="187" t="str">
        <f t="shared" si="28"/>
        <v/>
      </c>
      <c r="D369" s="138" t="str">
        <f t="shared" si="29"/>
        <v/>
      </c>
      <c r="E369" s="150"/>
      <c r="F369" s="191" t="str">
        <f t="shared" si="30"/>
        <v/>
      </c>
      <c r="G369" s="185"/>
      <c r="H369" s="185"/>
      <c r="I369" s="185"/>
      <c r="K369" s="141" t="str">
        <f t="shared" si="31"/>
        <v/>
      </c>
      <c r="L369" s="141" t="str">
        <f t="shared" si="32"/>
        <v/>
      </c>
    </row>
    <row r="370" spans="1:12">
      <c r="A370" s="139" t="str">
        <f>IF(E370="","",VLOOKUP('Opći dio'!$C$3,'Opći dio'!$L$6:$U$136,10,FALSE))</f>
        <v/>
      </c>
      <c r="B370" s="139" t="str">
        <f>IF(E370="","",VLOOKUP('Opći dio'!$C$3,'Opći dio'!$L$6:$U$136,9,FALSE))</f>
        <v/>
      </c>
      <c r="C370" s="187" t="str">
        <f t="shared" si="28"/>
        <v/>
      </c>
      <c r="D370" s="138" t="str">
        <f t="shared" si="29"/>
        <v/>
      </c>
      <c r="E370" s="150"/>
      <c r="F370" s="191" t="str">
        <f t="shared" si="30"/>
        <v/>
      </c>
      <c r="G370" s="185"/>
      <c r="H370" s="185"/>
      <c r="I370" s="185"/>
      <c r="K370" s="141" t="str">
        <f t="shared" si="31"/>
        <v/>
      </c>
      <c r="L370" s="141" t="str">
        <f t="shared" si="32"/>
        <v/>
      </c>
    </row>
    <row r="371" spans="1:12">
      <c r="A371" s="139" t="str">
        <f>IF(E371="","",VLOOKUP('Opći dio'!$C$3,'Opći dio'!$L$6:$U$136,10,FALSE))</f>
        <v/>
      </c>
      <c r="B371" s="139" t="str">
        <f>IF(E371="","",VLOOKUP('Opći dio'!$C$3,'Opći dio'!$L$6:$U$136,9,FALSE))</f>
        <v/>
      </c>
      <c r="C371" s="187" t="str">
        <f t="shared" si="28"/>
        <v/>
      </c>
      <c r="D371" s="138" t="str">
        <f t="shared" si="29"/>
        <v/>
      </c>
      <c r="E371" s="150"/>
      <c r="F371" s="191" t="str">
        <f t="shared" si="30"/>
        <v/>
      </c>
      <c r="G371" s="185"/>
      <c r="H371" s="185"/>
      <c r="I371" s="185"/>
      <c r="K371" s="141" t="str">
        <f t="shared" si="31"/>
        <v/>
      </c>
      <c r="L371" s="141" t="str">
        <f t="shared" si="32"/>
        <v/>
      </c>
    </row>
    <row r="372" spans="1:12">
      <c r="A372" s="139" t="str">
        <f>IF(E372="","",VLOOKUP('Opći dio'!$C$3,'Opći dio'!$L$6:$U$136,10,FALSE))</f>
        <v/>
      </c>
      <c r="B372" s="139" t="str">
        <f>IF(E372="","",VLOOKUP('Opći dio'!$C$3,'Opći dio'!$L$6:$U$136,9,FALSE))</f>
        <v/>
      </c>
      <c r="C372" s="187" t="str">
        <f t="shared" si="28"/>
        <v/>
      </c>
      <c r="D372" s="138" t="str">
        <f t="shared" si="29"/>
        <v/>
      </c>
      <c r="E372" s="150"/>
      <c r="F372" s="191" t="str">
        <f t="shared" si="30"/>
        <v/>
      </c>
      <c r="G372" s="185"/>
      <c r="H372" s="185"/>
      <c r="I372" s="185"/>
      <c r="K372" s="141" t="str">
        <f t="shared" si="31"/>
        <v/>
      </c>
      <c r="L372" s="141" t="str">
        <f t="shared" si="32"/>
        <v/>
      </c>
    </row>
    <row r="373" spans="1:12">
      <c r="A373" s="139" t="str">
        <f>IF(E373="","",VLOOKUP('Opći dio'!$C$3,'Opći dio'!$L$6:$U$136,10,FALSE))</f>
        <v/>
      </c>
      <c r="B373" s="139" t="str">
        <f>IF(E373="","",VLOOKUP('Opći dio'!$C$3,'Opći dio'!$L$6:$U$136,9,FALSE))</f>
        <v/>
      </c>
      <c r="C373" s="187" t="str">
        <f t="shared" si="28"/>
        <v/>
      </c>
      <c r="D373" s="138" t="str">
        <f t="shared" si="29"/>
        <v/>
      </c>
      <c r="E373" s="150"/>
      <c r="F373" s="191" t="str">
        <f t="shared" si="30"/>
        <v/>
      </c>
      <c r="G373" s="185"/>
      <c r="H373" s="185"/>
      <c r="I373" s="185"/>
      <c r="K373" s="141" t="str">
        <f t="shared" si="31"/>
        <v/>
      </c>
      <c r="L373" s="141" t="str">
        <f t="shared" si="32"/>
        <v/>
      </c>
    </row>
    <row r="374" spans="1:12">
      <c r="A374" s="139" t="str">
        <f>IF(E374="","",VLOOKUP('Opći dio'!$C$3,'Opći dio'!$L$6:$U$136,10,FALSE))</f>
        <v/>
      </c>
      <c r="B374" s="139" t="str">
        <f>IF(E374="","",VLOOKUP('Opći dio'!$C$3,'Opći dio'!$L$6:$U$136,9,FALSE))</f>
        <v/>
      </c>
      <c r="C374" s="187" t="str">
        <f t="shared" si="28"/>
        <v/>
      </c>
      <c r="D374" s="138" t="str">
        <f t="shared" si="29"/>
        <v/>
      </c>
      <c r="E374" s="150"/>
      <c r="F374" s="191" t="str">
        <f t="shared" si="30"/>
        <v/>
      </c>
      <c r="G374" s="185"/>
      <c r="H374" s="185"/>
      <c r="I374" s="185"/>
      <c r="K374" s="141" t="str">
        <f t="shared" si="31"/>
        <v/>
      </c>
      <c r="L374" s="141" t="str">
        <f t="shared" si="32"/>
        <v/>
      </c>
    </row>
    <row r="375" spans="1:12">
      <c r="A375" s="139" t="str">
        <f>IF(E375="","",VLOOKUP('Opći dio'!$C$3,'Opći dio'!$L$6:$U$136,10,FALSE))</f>
        <v/>
      </c>
      <c r="B375" s="139" t="str">
        <f>IF(E375="","",VLOOKUP('Opći dio'!$C$3,'Opći dio'!$L$6:$U$136,9,FALSE))</f>
        <v/>
      </c>
      <c r="C375" s="187" t="str">
        <f t="shared" si="28"/>
        <v/>
      </c>
      <c r="D375" s="138" t="str">
        <f t="shared" si="29"/>
        <v/>
      </c>
      <c r="E375" s="150"/>
      <c r="F375" s="191" t="str">
        <f t="shared" si="30"/>
        <v/>
      </c>
      <c r="G375" s="185"/>
      <c r="H375" s="185"/>
      <c r="I375" s="185"/>
      <c r="K375" s="141" t="str">
        <f t="shared" si="31"/>
        <v/>
      </c>
      <c r="L375" s="141" t="str">
        <f t="shared" si="32"/>
        <v/>
      </c>
    </row>
    <row r="376" spans="1:12">
      <c r="A376" s="139" t="str">
        <f>IF(E376="","",VLOOKUP('Opći dio'!$C$3,'Opći dio'!$L$6:$U$136,10,FALSE))</f>
        <v/>
      </c>
      <c r="B376" s="139" t="str">
        <f>IF(E376="","",VLOOKUP('Opći dio'!$C$3,'Opći dio'!$L$6:$U$136,9,FALSE))</f>
        <v/>
      </c>
      <c r="C376" s="187" t="str">
        <f t="shared" si="28"/>
        <v/>
      </c>
      <c r="D376" s="138" t="str">
        <f t="shared" si="29"/>
        <v/>
      </c>
      <c r="E376" s="150"/>
      <c r="F376" s="191" t="str">
        <f t="shared" si="30"/>
        <v/>
      </c>
      <c r="G376" s="185"/>
      <c r="H376" s="185"/>
      <c r="I376" s="185"/>
      <c r="K376" s="141" t="str">
        <f t="shared" si="31"/>
        <v/>
      </c>
      <c r="L376" s="141" t="str">
        <f t="shared" si="32"/>
        <v/>
      </c>
    </row>
    <row r="377" spans="1:12">
      <c r="A377" s="139" t="str">
        <f>IF(E377="","",VLOOKUP('Opći dio'!$C$3,'Opći dio'!$L$6:$U$136,10,FALSE))</f>
        <v/>
      </c>
      <c r="B377" s="139" t="str">
        <f>IF(E377="","",VLOOKUP('Opći dio'!$C$3,'Opći dio'!$L$6:$U$136,9,FALSE))</f>
        <v/>
      </c>
      <c r="C377" s="187" t="str">
        <f t="shared" si="28"/>
        <v/>
      </c>
      <c r="D377" s="138" t="str">
        <f t="shared" si="29"/>
        <v/>
      </c>
      <c r="E377" s="150"/>
      <c r="F377" s="191" t="str">
        <f t="shared" si="30"/>
        <v/>
      </c>
      <c r="G377" s="185"/>
      <c r="H377" s="185"/>
      <c r="I377" s="185"/>
      <c r="K377" s="141" t="str">
        <f t="shared" si="31"/>
        <v/>
      </c>
      <c r="L377" s="141" t="str">
        <f t="shared" si="32"/>
        <v/>
      </c>
    </row>
    <row r="378" spans="1:12">
      <c r="A378" s="139" t="str">
        <f>IF(E378="","",VLOOKUP('Opći dio'!$C$3,'Opći dio'!$L$6:$U$136,10,FALSE))</f>
        <v/>
      </c>
      <c r="B378" s="139" t="str">
        <f>IF(E378="","",VLOOKUP('Opći dio'!$C$3,'Opći dio'!$L$6:$U$136,9,FALSE))</f>
        <v/>
      </c>
      <c r="C378" s="187" t="str">
        <f t="shared" si="28"/>
        <v/>
      </c>
      <c r="D378" s="138" t="str">
        <f t="shared" si="29"/>
        <v/>
      </c>
      <c r="E378" s="150"/>
      <c r="F378" s="191" t="str">
        <f t="shared" si="30"/>
        <v/>
      </c>
      <c r="G378" s="185"/>
      <c r="H378" s="185"/>
      <c r="I378" s="185"/>
      <c r="K378" s="141" t="str">
        <f t="shared" si="31"/>
        <v/>
      </c>
      <c r="L378" s="141" t="str">
        <f t="shared" si="32"/>
        <v/>
      </c>
    </row>
    <row r="379" spans="1:12">
      <c r="A379" s="139" t="str">
        <f>IF(E379="","",VLOOKUP('Opći dio'!$C$3,'Opći dio'!$L$6:$U$136,10,FALSE))</f>
        <v/>
      </c>
      <c r="B379" s="139" t="str">
        <f>IF(E379="","",VLOOKUP('Opći dio'!$C$3,'Opći dio'!$L$6:$U$136,9,FALSE))</f>
        <v/>
      </c>
      <c r="C379" s="187" t="str">
        <f t="shared" si="28"/>
        <v/>
      </c>
      <c r="D379" s="138" t="str">
        <f t="shared" si="29"/>
        <v/>
      </c>
      <c r="E379" s="150"/>
      <c r="F379" s="191" t="str">
        <f t="shared" si="30"/>
        <v/>
      </c>
      <c r="G379" s="185"/>
      <c r="H379" s="185"/>
      <c r="I379" s="185"/>
      <c r="K379" s="141" t="str">
        <f t="shared" si="31"/>
        <v/>
      </c>
      <c r="L379" s="141" t="str">
        <f t="shared" si="32"/>
        <v/>
      </c>
    </row>
    <row r="380" spans="1:12">
      <c r="A380" s="139" t="str">
        <f>IF(E380="","",VLOOKUP('Opći dio'!$C$3,'Opći dio'!$L$6:$U$136,10,FALSE))</f>
        <v/>
      </c>
      <c r="B380" s="139" t="str">
        <f>IF(E380="","",VLOOKUP('Opći dio'!$C$3,'Opći dio'!$L$6:$U$136,9,FALSE))</f>
        <v/>
      </c>
      <c r="C380" s="187" t="str">
        <f t="shared" si="28"/>
        <v/>
      </c>
      <c r="D380" s="138" t="str">
        <f t="shared" si="29"/>
        <v/>
      </c>
      <c r="E380" s="150"/>
      <c r="F380" s="191" t="str">
        <f t="shared" si="30"/>
        <v/>
      </c>
      <c r="G380" s="185"/>
      <c r="H380" s="185"/>
      <c r="I380" s="185"/>
      <c r="K380" s="141" t="str">
        <f t="shared" si="31"/>
        <v/>
      </c>
      <c r="L380" s="141" t="str">
        <f t="shared" si="32"/>
        <v/>
      </c>
    </row>
    <row r="381" spans="1:12">
      <c r="A381" s="139" t="str">
        <f>IF(E381="","",VLOOKUP('Opći dio'!$C$3,'Opći dio'!$L$6:$U$136,10,FALSE))</f>
        <v/>
      </c>
      <c r="B381" s="139" t="str">
        <f>IF(E381="","",VLOOKUP('Opći dio'!$C$3,'Opći dio'!$L$6:$U$136,9,FALSE))</f>
        <v/>
      </c>
      <c r="C381" s="187" t="str">
        <f t="shared" si="28"/>
        <v/>
      </c>
      <c r="D381" s="138" t="str">
        <f t="shared" si="29"/>
        <v/>
      </c>
      <c r="E381" s="150"/>
      <c r="F381" s="191" t="str">
        <f t="shared" si="30"/>
        <v/>
      </c>
      <c r="G381" s="185"/>
      <c r="H381" s="185"/>
      <c r="I381" s="185"/>
      <c r="K381" s="141" t="str">
        <f t="shared" si="31"/>
        <v/>
      </c>
      <c r="L381" s="141" t="str">
        <f t="shared" si="32"/>
        <v/>
      </c>
    </row>
    <row r="382" spans="1:12">
      <c r="A382" s="139" t="str">
        <f>IF(E382="","",VLOOKUP('Opći dio'!$C$3,'Opći dio'!$L$6:$U$136,10,FALSE))</f>
        <v/>
      </c>
      <c r="B382" s="139" t="str">
        <f>IF(E382="","",VLOOKUP('Opći dio'!$C$3,'Opći dio'!$L$6:$U$136,9,FALSE))</f>
        <v/>
      </c>
      <c r="C382" s="187" t="str">
        <f t="shared" si="28"/>
        <v/>
      </c>
      <c r="D382" s="138" t="str">
        <f t="shared" si="29"/>
        <v/>
      </c>
      <c r="E382" s="150"/>
      <c r="F382" s="191" t="str">
        <f t="shared" si="30"/>
        <v/>
      </c>
      <c r="G382" s="185"/>
      <c r="H382" s="185"/>
      <c r="I382" s="185"/>
      <c r="K382" s="141" t="str">
        <f t="shared" si="31"/>
        <v/>
      </c>
      <c r="L382" s="141" t="str">
        <f t="shared" si="32"/>
        <v/>
      </c>
    </row>
    <row r="383" spans="1:12">
      <c r="A383" s="139" t="str">
        <f>IF(E383="","",VLOOKUP('Opći dio'!$C$3,'Opći dio'!$L$6:$U$136,10,FALSE))</f>
        <v/>
      </c>
      <c r="B383" s="139" t="str">
        <f>IF(E383="","",VLOOKUP('Opći dio'!$C$3,'Opći dio'!$L$6:$U$136,9,FALSE))</f>
        <v/>
      </c>
      <c r="C383" s="187" t="str">
        <f t="shared" si="28"/>
        <v/>
      </c>
      <c r="D383" s="138" t="str">
        <f t="shared" si="29"/>
        <v/>
      </c>
      <c r="E383" s="150"/>
      <c r="F383" s="191" t="str">
        <f t="shared" si="30"/>
        <v/>
      </c>
      <c r="G383" s="185"/>
      <c r="H383" s="185"/>
      <c r="I383" s="185"/>
      <c r="K383" s="141" t="str">
        <f t="shared" si="31"/>
        <v/>
      </c>
      <c r="L383" s="141" t="str">
        <f t="shared" si="32"/>
        <v/>
      </c>
    </row>
    <row r="384" spans="1:12">
      <c r="A384" s="139" t="str">
        <f>IF(E384="","",VLOOKUP('Opći dio'!$C$3,'Opći dio'!$L$6:$U$136,10,FALSE))</f>
        <v/>
      </c>
      <c r="B384" s="139" t="str">
        <f>IF(E384="","",VLOOKUP('Opći dio'!$C$3,'Opći dio'!$L$6:$U$136,9,FALSE))</f>
        <v/>
      </c>
      <c r="C384" s="187" t="str">
        <f t="shared" si="28"/>
        <v/>
      </c>
      <c r="D384" s="138" t="str">
        <f t="shared" si="29"/>
        <v/>
      </c>
      <c r="E384" s="150"/>
      <c r="F384" s="191" t="str">
        <f t="shared" si="30"/>
        <v/>
      </c>
      <c r="G384" s="185"/>
      <c r="H384" s="185"/>
      <c r="I384" s="185"/>
      <c r="K384" s="141" t="str">
        <f t="shared" si="31"/>
        <v/>
      </c>
      <c r="L384" s="141" t="str">
        <f t="shared" si="32"/>
        <v/>
      </c>
    </row>
    <row r="385" spans="1:12">
      <c r="A385" s="139" t="str">
        <f>IF(E385="","",VLOOKUP('Opći dio'!$C$3,'Opći dio'!$L$6:$U$136,10,FALSE))</f>
        <v/>
      </c>
      <c r="B385" s="139" t="str">
        <f>IF(E385="","",VLOOKUP('Opći dio'!$C$3,'Opći dio'!$L$6:$U$136,9,FALSE))</f>
        <v/>
      </c>
      <c r="C385" s="187" t="str">
        <f t="shared" si="28"/>
        <v/>
      </c>
      <c r="D385" s="138" t="str">
        <f t="shared" si="29"/>
        <v/>
      </c>
      <c r="E385" s="150"/>
      <c r="F385" s="191" t="str">
        <f t="shared" si="30"/>
        <v/>
      </c>
      <c r="G385" s="185"/>
      <c r="H385" s="185"/>
      <c r="I385" s="185"/>
      <c r="K385" s="141" t="str">
        <f t="shared" si="31"/>
        <v/>
      </c>
      <c r="L385" s="141" t="str">
        <f t="shared" si="32"/>
        <v/>
      </c>
    </row>
    <row r="386" spans="1:12">
      <c r="A386" s="139" t="str">
        <f>IF(E386="","",VLOOKUP('Opći dio'!$C$3,'Opći dio'!$L$6:$U$136,10,FALSE))</f>
        <v/>
      </c>
      <c r="B386" s="139" t="str">
        <f>IF(E386="","",VLOOKUP('Opći dio'!$C$3,'Opći dio'!$L$6:$U$136,9,FALSE))</f>
        <v/>
      </c>
      <c r="C386" s="187" t="str">
        <f t="shared" si="28"/>
        <v/>
      </c>
      <c r="D386" s="138" t="str">
        <f t="shared" si="29"/>
        <v/>
      </c>
      <c r="E386" s="150"/>
      <c r="F386" s="191" t="str">
        <f t="shared" si="30"/>
        <v/>
      </c>
      <c r="G386" s="185"/>
      <c r="H386" s="185"/>
      <c r="I386" s="185"/>
      <c r="K386" s="141" t="str">
        <f t="shared" si="31"/>
        <v/>
      </c>
      <c r="L386" s="141" t="str">
        <f t="shared" si="32"/>
        <v/>
      </c>
    </row>
    <row r="387" spans="1:12">
      <c r="A387" s="139" t="str">
        <f>IF(E387="","",VLOOKUP('Opći dio'!$C$3,'Opći dio'!$L$6:$U$136,10,FALSE))</f>
        <v/>
      </c>
      <c r="B387" s="139" t="str">
        <f>IF(E387="","",VLOOKUP('Opći dio'!$C$3,'Opći dio'!$L$6:$U$136,9,FALSE))</f>
        <v/>
      </c>
      <c r="C387" s="187" t="str">
        <f t="shared" si="28"/>
        <v/>
      </c>
      <c r="D387" s="138" t="str">
        <f t="shared" si="29"/>
        <v/>
      </c>
      <c r="E387" s="150"/>
      <c r="F387" s="191" t="str">
        <f t="shared" si="30"/>
        <v/>
      </c>
      <c r="G387" s="185"/>
      <c r="H387" s="185"/>
      <c r="I387" s="185"/>
      <c r="K387" s="141" t="str">
        <f t="shared" si="31"/>
        <v/>
      </c>
      <c r="L387" s="141" t="str">
        <f t="shared" si="32"/>
        <v/>
      </c>
    </row>
    <row r="388" spans="1:12">
      <c r="A388" s="139" t="str">
        <f>IF(E388="","",VLOOKUP('Opći dio'!$C$3,'Opći dio'!$L$6:$U$136,10,FALSE))</f>
        <v/>
      </c>
      <c r="B388" s="139" t="str">
        <f>IF(E388="","",VLOOKUP('Opći dio'!$C$3,'Opći dio'!$L$6:$U$136,9,FALSE))</f>
        <v/>
      </c>
      <c r="C388" s="187" t="str">
        <f t="shared" ref="C388:C451" si="33">IFERROR(VLOOKUP(E388,$Q$6:$T$200,3,FALSE),"")</f>
        <v/>
      </c>
      <c r="D388" s="138" t="str">
        <f t="shared" ref="D388:D451" si="34">IFERROR(VLOOKUP(E388,$Q$6:$T$200,4,FALSE),"")</f>
        <v/>
      </c>
      <c r="E388" s="150"/>
      <c r="F388" s="191" t="str">
        <f t="shared" ref="F388:F451" si="35">IFERROR(VLOOKUP(E388,$Q$6:$T$200,2,FALSE),"")</f>
        <v/>
      </c>
      <c r="G388" s="185"/>
      <c r="H388" s="185"/>
      <c r="I388" s="185"/>
      <c r="K388" s="141" t="str">
        <f t="shared" ref="K388:K451" si="36">LEFT(E388,3)</f>
        <v/>
      </c>
      <c r="L388" s="141" t="str">
        <f t="shared" ref="L388:L451" si="37">LEFT(E388,2)</f>
        <v/>
      </c>
    </row>
    <row r="389" spans="1:12">
      <c r="A389" s="139" t="str">
        <f>IF(E389="","",VLOOKUP('Opći dio'!$C$3,'Opći dio'!$L$6:$U$136,10,FALSE))</f>
        <v/>
      </c>
      <c r="B389" s="139" t="str">
        <f>IF(E389="","",VLOOKUP('Opći dio'!$C$3,'Opći dio'!$L$6:$U$136,9,FALSE))</f>
        <v/>
      </c>
      <c r="C389" s="187" t="str">
        <f t="shared" si="33"/>
        <v/>
      </c>
      <c r="D389" s="138" t="str">
        <f t="shared" si="34"/>
        <v/>
      </c>
      <c r="E389" s="150"/>
      <c r="F389" s="191" t="str">
        <f t="shared" si="35"/>
        <v/>
      </c>
      <c r="G389" s="185"/>
      <c r="H389" s="185"/>
      <c r="I389" s="185"/>
      <c r="K389" s="141" t="str">
        <f t="shared" si="36"/>
        <v/>
      </c>
      <c r="L389" s="141" t="str">
        <f t="shared" si="37"/>
        <v/>
      </c>
    </row>
    <row r="390" spans="1:12">
      <c r="A390" s="139" t="str">
        <f>IF(E390="","",VLOOKUP('Opći dio'!$C$3,'Opći dio'!$L$6:$U$136,10,FALSE))</f>
        <v/>
      </c>
      <c r="B390" s="139" t="str">
        <f>IF(E390="","",VLOOKUP('Opći dio'!$C$3,'Opći dio'!$L$6:$U$136,9,FALSE))</f>
        <v/>
      </c>
      <c r="C390" s="187" t="str">
        <f t="shared" si="33"/>
        <v/>
      </c>
      <c r="D390" s="138" t="str">
        <f t="shared" si="34"/>
        <v/>
      </c>
      <c r="E390" s="150"/>
      <c r="F390" s="191" t="str">
        <f t="shared" si="35"/>
        <v/>
      </c>
      <c r="G390" s="185"/>
      <c r="H390" s="185"/>
      <c r="I390" s="185"/>
      <c r="K390" s="141" t="str">
        <f t="shared" si="36"/>
        <v/>
      </c>
      <c r="L390" s="141" t="str">
        <f t="shared" si="37"/>
        <v/>
      </c>
    </row>
    <row r="391" spans="1:12">
      <c r="A391" s="139" t="str">
        <f>IF(E391="","",VLOOKUP('Opći dio'!$C$3,'Opći dio'!$L$6:$U$136,10,FALSE))</f>
        <v/>
      </c>
      <c r="B391" s="139" t="str">
        <f>IF(E391="","",VLOOKUP('Opći dio'!$C$3,'Opći dio'!$L$6:$U$136,9,FALSE))</f>
        <v/>
      </c>
      <c r="C391" s="187" t="str">
        <f t="shared" si="33"/>
        <v/>
      </c>
      <c r="D391" s="138" t="str">
        <f t="shared" si="34"/>
        <v/>
      </c>
      <c r="E391" s="150"/>
      <c r="F391" s="191" t="str">
        <f t="shared" si="35"/>
        <v/>
      </c>
      <c r="G391" s="185"/>
      <c r="H391" s="185"/>
      <c r="I391" s="185"/>
      <c r="K391" s="141" t="str">
        <f t="shared" si="36"/>
        <v/>
      </c>
      <c r="L391" s="141" t="str">
        <f t="shared" si="37"/>
        <v/>
      </c>
    </row>
    <row r="392" spans="1:12">
      <c r="A392" s="139" t="str">
        <f>IF(E392="","",VLOOKUP('Opći dio'!$C$3,'Opći dio'!$L$6:$U$136,10,FALSE))</f>
        <v/>
      </c>
      <c r="B392" s="139" t="str">
        <f>IF(E392="","",VLOOKUP('Opći dio'!$C$3,'Opći dio'!$L$6:$U$136,9,FALSE))</f>
        <v/>
      </c>
      <c r="C392" s="187" t="str">
        <f t="shared" si="33"/>
        <v/>
      </c>
      <c r="D392" s="138" t="str">
        <f t="shared" si="34"/>
        <v/>
      </c>
      <c r="E392" s="150"/>
      <c r="F392" s="191" t="str">
        <f t="shared" si="35"/>
        <v/>
      </c>
      <c r="G392" s="185"/>
      <c r="H392" s="185"/>
      <c r="I392" s="185"/>
      <c r="K392" s="141" t="str">
        <f t="shared" si="36"/>
        <v/>
      </c>
      <c r="L392" s="141" t="str">
        <f t="shared" si="37"/>
        <v/>
      </c>
    </row>
    <row r="393" spans="1:12">
      <c r="A393" s="139" t="str">
        <f>IF(E393="","",VLOOKUP('Opći dio'!$C$3,'Opći dio'!$L$6:$U$136,10,FALSE))</f>
        <v/>
      </c>
      <c r="B393" s="139" t="str">
        <f>IF(E393="","",VLOOKUP('Opći dio'!$C$3,'Opći dio'!$L$6:$U$136,9,FALSE))</f>
        <v/>
      </c>
      <c r="C393" s="187" t="str">
        <f t="shared" si="33"/>
        <v/>
      </c>
      <c r="D393" s="138" t="str">
        <f t="shared" si="34"/>
        <v/>
      </c>
      <c r="E393" s="150"/>
      <c r="F393" s="191" t="str">
        <f t="shared" si="35"/>
        <v/>
      </c>
      <c r="G393" s="185"/>
      <c r="H393" s="185"/>
      <c r="I393" s="185"/>
      <c r="K393" s="141" t="str">
        <f t="shared" si="36"/>
        <v/>
      </c>
      <c r="L393" s="141" t="str">
        <f t="shared" si="37"/>
        <v/>
      </c>
    </row>
    <row r="394" spans="1:12">
      <c r="A394" s="139" t="str">
        <f>IF(E394="","",VLOOKUP('Opći dio'!$C$3,'Opći dio'!$L$6:$U$136,10,FALSE))</f>
        <v/>
      </c>
      <c r="B394" s="139" t="str">
        <f>IF(E394="","",VLOOKUP('Opći dio'!$C$3,'Opći dio'!$L$6:$U$136,9,FALSE))</f>
        <v/>
      </c>
      <c r="C394" s="187" t="str">
        <f t="shared" si="33"/>
        <v/>
      </c>
      <c r="D394" s="138" t="str">
        <f t="shared" si="34"/>
        <v/>
      </c>
      <c r="E394" s="150"/>
      <c r="F394" s="191" t="str">
        <f t="shared" si="35"/>
        <v/>
      </c>
      <c r="G394" s="185"/>
      <c r="H394" s="185"/>
      <c r="I394" s="185"/>
      <c r="K394" s="141" t="str">
        <f t="shared" si="36"/>
        <v/>
      </c>
      <c r="L394" s="141" t="str">
        <f t="shared" si="37"/>
        <v/>
      </c>
    </row>
    <row r="395" spans="1:12">
      <c r="A395" s="139" t="str">
        <f>IF(E395="","",VLOOKUP('Opći dio'!$C$3,'Opći dio'!$L$6:$U$136,10,FALSE))</f>
        <v/>
      </c>
      <c r="B395" s="139" t="str">
        <f>IF(E395="","",VLOOKUP('Opći dio'!$C$3,'Opći dio'!$L$6:$U$136,9,FALSE))</f>
        <v/>
      </c>
      <c r="C395" s="187" t="str">
        <f t="shared" si="33"/>
        <v/>
      </c>
      <c r="D395" s="138" t="str">
        <f t="shared" si="34"/>
        <v/>
      </c>
      <c r="E395" s="150"/>
      <c r="F395" s="191" t="str">
        <f t="shared" si="35"/>
        <v/>
      </c>
      <c r="G395" s="185"/>
      <c r="H395" s="185"/>
      <c r="I395" s="185"/>
      <c r="K395" s="141" t="str">
        <f t="shared" si="36"/>
        <v/>
      </c>
      <c r="L395" s="141" t="str">
        <f t="shared" si="37"/>
        <v/>
      </c>
    </row>
    <row r="396" spans="1:12">
      <c r="A396" s="139" t="str">
        <f>IF(E396="","",VLOOKUP('Opći dio'!$C$3,'Opći dio'!$L$6:$U$136,10,FALSE))</f>
        <v/>
      </c>
      <c r="B396" s="139" t="str">
        <f>IF(E396="","",VLOOKUP('Opći dio'!$C$3,'Opći dio'!$L$6:$U$136,9,FALSE))</f>
        <v/>
      </c>
      <c r="C396" s="187" t="str">
        <f t="shared" si="33"/>
        <v/>
      </c>
      <c r="D396" s="138" t="str">
        <f t="shared" si="34"/>
        <v/>
      </c>
      <c r="E396" s="150"/>
      <c r="F396" s="191" t="str">
        <f t="shared" si="35"/>
        <v/>
      </c>
      <c r="G396" s="185"/>
      <c r="H396" s="185"/>
      <c r="I396" s="185"/>
      <c r="K396" s="141" t="str">
        <f t="shared" si="36"/>
        <v/>
      </c>
      <c r="L396" s="141" t="str">
        <f t="shared" si="37"/>
        <v/>
      </c>
    </row>
    <row r="397" spans="1:12">
      <c r="A397" s="139" t="str">
        <f>IF(E397="","",VLOOKUP('Opći dio'!$C$3,'Opći dio'!$L$6:$U$136,10,FALSE))</f>
        <v/>
      </c>
      <c r="B397" s="139" t="str">
        <f>IF(E397="","",VLOOKUP('Opći dio'!$C$3,'Opći dio'!$L$6:$U$136,9,FALSE))</f>
        <v/>
      </c>
      <c r="C397" s="187" t="str">
        <f t="shared" si="33"/>
        <v/>
      </c>
      <c r="D397" s="138" t="str">
        <f t="shared" si="34"/>
        <v/>
      </c>
      <c r="E397" s="150"/>
      <c r="F397" s="191" t="str">
        <f t="shared" si="35"/>
        <v/>
      </c>
      <c r="G397" s="185"/>
      <c r="H397" s="185"/>
      <c r="I397" s="185"/>
      <c r="K397" s="141" t="str">
        <f t="shared" si="36"/>
        <v/>
      </c>
      <c r="L397" s="141" t="str">
        <f t="shared" si="37"/>
        <v/>
      </c>
    </row>
    <row r="398" spans="1:12">
      <c r="A398" s="139" t="str">
        <f>IF(E398="","",VLOOKUP('Opći dio'!$C$3,'Opći dio'!$L$6:$U$136,10,FALSE))</f>
        <v/>
      </c>
      <c r="B398" s="139" t="str">
        <f>IF(E398="","",VLOOKUP('Opći dio'!$C$3,'Opći dio'!$L$6:$U$136,9,FALSE))</f>
        <v/>
      </c>
      <c r="C398" s="187" t="str">
        <f t="shared" si="33"/>
        <v/>
      </c>
      <c r="D398" s="138" t="str">
        <f t="shared" si="34"/>
        <v/>
      </c>
      <c r="E398" s="150"/>
      <c r="F398" s="191" t="str">
        <f t="shared" si="35"/>
        <v/>
      </c>
      <c r="G398" s="185"/>
      <c r="H398" s="185"/>
      <c r="I398" s="185"/>
      <c r="K398" s="141" t="str">
        <f t="shared" si="36"/>
        <v/>
      </c>
      <c r="L398" s="141" t="str">
        <f t="shared" si="37"/>
        <v/>
      </c>
    </row>
    <row r="399" spans="1:12">
      <c r="A399" s="139" t="str">
        <f>IF(E399="","",VLOOKUP('Opći dio'!$C$3,'Opći dio'!$L$6:$U$136,10,FALSE))</f>
        <v/>
      </c>
      <c r="B399" s="139" t="str">
        <f>IF(E399="","",VLOOKUP('Opći dio'!$C$3,'Opći dio'!$L$6:$U$136,9,FALSE))</f>
        <v/>
      </c>
      <c r="C399" s="187" t="str">
        <f t="shared" si="33"/>
        <v/>
      </c>
      <c r="D399" s="138" t="str">
        <f t="shared" si="34"/>
        <v/>
      </c>
      <c r="E399" s="150"/>
      <c r="F399" s="191" t="str">
        <f t="shared" si="35"/>
        <v/>
      </c>
      <c r="G399" s="185"/>
      <c r="H399" s="185"/>
      <c r="I399" s="185"/>
      <c r="K399" s="141" t="str">
        <f t="shared" si="36"/>
        <v/>
      </c>
      <c r="L399" s="141" t="str">
        <f t="shared" si="37"/>
        <v/>
      </c>
    </row>
    <row r="400" spans="1:12">
      <c r="A400" s="139" t="str">
        <f>IF(E400="","",VLOOKUP('Opći dio'!$C$3,'Opći dio'!$L$6:$U$136,10,FALSE))</f>
        <v/>
      </c>
      <c r="B400" s="139" t="str">
        <f>IF(E400="","",VLOOKUP('Opći dio'!$C$3,'Opći dio'!$L$6:$U$136,9,FALSE))</f>
        <v/>
      </c>
      <c r="C400" s="187" t="str">
        <f t="shared" si="33"/>
        <v/>
      </c>
      <c r="D400" s="138" t="str">
        <f t="shared" si="34"/>
        <v/>
      </c>
      <c r="E400" s="150"/>
      <c r="F400" s="191" t="str">
        <f t="shared" si="35"/>
        <v/>
      </c>
      <c r="G400" s="185"/>
      <c r="H400" s="185"/>
      <c r="I400" s="185"/>
      <c r="K400" s="141" t="str">
        <f t="shared" si="36"/>
        <v/>
      </c>
      <c r="L400" s="141" t="str">
        <f t="shared" si="37"/>
        <v/>
      </c>
    </row>
    <row r="401" spans="1:12">
      <c r="A401" s="139" t="str">
        <f>IF(E401="","",VLOOKUP('Opći dio'!$C$3,'Opći dio'!$L$6:$U$136,10,FALSE))</f>
        <v/>
      </c>
      <c r="B401" s="139" t="str">
        <f>IF(E401="","",VLOOKUP('Opći dio'!$C$3,'Opći dio'!$L$6:$U$136,9,FALSE))</f>
        <v/>
      </c>
      <c r="C401" s="187" t="str">
        <f t="shared" si="33"/>
        <v/>
      </c>
      <c r="D401" s="138" t="str">
        <f t="shared" si="34"/>
        <v/>
      </c>
      <c r="E401" s="150"/>
      <c r="F401" s="191" t="str">
        <f t="shared" si="35"/>
        <v/>
      </c>
      <c r="G401" s="185"/>
      <c r="H401" s="185"/>
      <c r="I401" s="185"/>
      <c r="K401" s="141" t="str">
        <f t="shared" si="36"/>
        <v/>
      </c>
      <c r="L401" s="141" t="str">
        <f t="shared" si="37"/>
        <v/>
      </c>
    </row>
    <row r="402" spans="1:12">
      <c r="A402" s="139" t="str">
        <f>IF(E402="","",VLOOKUP('Opći dio'!$C$3,'Opći dio'!$L$6:$U$136,10,FALSE))</f>
        <v/>
      </c>
      <c r="B402" s="139" t="str">
        <f>IF(E402="","",VLOOKUP('Opći dio'!$C$3,'Opći dio'!$L$6:$U$136,9,FALSE))</f>
        <v/>
      </c>
      <c r="C402" s="187" t="str">
        <f t="shared" si="33"/>
        <v/>
      </c>
      <c r="D402" s="138" t="str">
        <f t="shared" si="34"/>
        <v/>
      </c>
      <c r="E402" s="150"/>
      <c r="F402" s="191" t="str">
        <f t="shared" si="35"/>
        <v/>
      </c>
      <c r="G402" s="185"/>
      <c r="H402" s="185"/>
      <c r="I402" s="185"/>
      <c r="K402" s="141" t="str">
        <f t="shared" si="36"/>
        <v/>
      </c>
      <c r="L402" s="141" t="str">
        <f t="shared" si="37"/>
        <v/>
      </c>
    </row>
    <row r="403" spans="1:12">
      <c r="A403" s="139" t="str">
        <f>IF(E403="","",VLOOKUP('Opći dio'!$C$3,'Opći dio'!$L$6:$U$136,10,FALSE))</f>
        <v/>
      </c>
      <c r="B403" s="139" t="str">
        <f>IF(E403="","",VLOOKUP('Opći dio'!$C$3,'Opći dio'!$L$6:$U$136,9,FALSE))</f>
        <v/>
      </c>
      <c r="C403" s="187" t="str">
        <f t="shared" si="33"/>
        <v/>
      </c>
      <c r="D403" s="138" t="str">
        <f t="shared" si="34"/>
        <v/>
      </c>
      <c r="E403" s="150"/>
      <c r="F403" s="191" t="str">
        <f t="shared" si="35"/>
        <v/>
      </c>
      <c r="G403" s="185"/>
      <c r="H403" s="185"/>
      <c r="I403" s="185"/>
      <c r="K403" s="141" t="str">
        <f t="shared" si="36"/>
        <v/>
      </c>
      <c r="L403" s="141" t="str">
        <f t="shared" si="37"/>
        <v/>
      </c>
    </row>
    <row r="404" spans="1:12">
      <c r="A404" s="139" t="str">
        <f>IF(E404="","",VLOOKUP('Opći dio'!$C$3,'Opći dio'!$L$6:$U$136,10,FALSE))</f>
        <v/>
      </c>
      <c r="B404" s="139" t="str">
        <f>IF(E404="","",VLOOKUP('Opći dio'!$C$3,'Opći dio'!$L$6:$U$136,9,FALSE))</f>
        <v/>
      </c>
      <c r="C404" s="187" t="str">
        <f t="shared" si="33"/>
        <v/>
      </c>
      <c r="D404" s="138" t="str">
        <f t="shared" si="34"/>
        <v/>
      </c>
      <c r="E404" s="150"/>
      <c r="F404" s="191" t="str">
        <f t="shared" si="35"/>
        <v/>
      </c>
      <c r="G404" s="185"/>
      <c r="H404" s="185"/>
      <c r="I404" s="185"/>
      <c r="K404" s="141" t="str">
        <f t="shared" si="36"/>
        <v/>
      </c>
      <c r="L404" s="141" t="str">
        <f t="shared" si="37"/>
        <v/>
      </c>
    </row>
    <row r="405" spans="1:12">
      <c r="A405" s="139" t="str">
        <f>IF(E405="","",VLOOKUP('Opći dio'!$C$3,'Opći dio'!$L$6:$U$136,10,FALSE))</f>
        <v/>
      </c>
      <c r="B405" s="139" t="str">
        <f>IF(E405="","",VLOOKUP('Opći dio'!$C$3,'Opći dio'!$L$6:$U$136,9,FALSE))</f>
        <v/>
      </c>
      <c r="C405" s="187" t="str">
        <f t="shared" si="33"/>
        <v/>
      </c>
      <c r="D405" s="138" t="str">
        <f t="shared" si="34"/>
        <v/>
      </c>
      <c r="E405" s="150"/>
      <c r="F405" s="191" t="str">
        <f t="shared" si="35"/>
        <v/>
      </c>
      <c r="G405" s="185"/>
      <c r="H405" s="185"/>
      <c r="I405" s="185"/>
      <c r="K405" s="141" t="str">
        <f t="shared" si="36"/>
        <v/>
      </c>
      <c r="L405" s="141" t="str">
        <f t="shared" si="37"/>
        <v/>
      </c>
    </row>
    <row r="406" spans="1:12">
      <c r="A406" s="139" t="str">
        <f>IF(E406="","",VLOOKUP('Opći dio'!$C$3,'Opći dio'!$L$6:$U$136,10,FALSE))</f>
        <v/>
      </c>
      <c r="B406" s="139" t="str">
        <f>IF(E406="","",VLOOKUP('Opći dio'!$C$3,'Opći dio'!$L$6:$U$136,9,FALSE))</f>
        <v/>
      </c>
      <c r="C406" s="187" t="str">
        <f t="shared" si="33"/>
        <v/>
      </c>
      <c r="D406" s="138" t="str">
        <f t="shared" si="34"/>
        <v/>
      </c>
      <c r="E406" s="150"/>
      <c r="F406" s="191" t="str">
        <f t="shared" si="35"/>
        <v/>
      </c>
      <c r="G406" s="185"/>
      <c r="H406" s="185"/>
      <c r="I406" s="185"/>
      <c r="K406" s="141" t="str">
        <f t="shared" si="36"/>
        <v/>
      </c>
      <c r="L406" s="141" t="str">
        <f t="shared" si="37"/>
        <v/>
      </c>
    </row>
    <row r="407" spans="1:12">
      <c r="A407" s="139" t="str">
        <f>IF(E407="","",VLOOKUP('Opći dio'!$C$3,'Opći dio'!$L$6:$U$136,10,FALSE))</f>
        <v/>
      </c>
      <c r="B407" s="139" t="str">
        <f>IF(E407="","",VLOOKUP('Opći dio'!$C$3,'Opći dio'!$L$6:$U$136,9,FALSE))</f>
        <v/>
      </c>
      <c r="C407" s="187" t="str">
        <f t="shared" si="33"/>
        <v/>
      </c>
      <c r="D407" s="138" t="str">
        <f t="shared" si="34"/>
        <v/>
      </c>
      <c r="E407" s="150"/>
      <c r="F407" s="191" t="str">
        <f t="shared" si="35"/>
        <v/>
      </c>
      <c r="G407" s="185"/>
      <c r="H407" s="185"/>
      <c r="I407" s="185"/>
      <c r="K407" s="141" t="str">
        <f t="shared" si="36"/>
        <v/>
      </c>
      <c r="L407" s="141" t="str">
        <f t="shared" si="37"/>
        <v/>
      </c>
    </row>
    <row r="408" spans="1:12">
      <c r="A408" s="139" t="str">
        <f>IF(E408="","",VLOOKUP('Opći dio'!$C$3,'Opći dio'!$L$6:$U$136,10,FALSE))</f>
        <v/>
      </c>
      <c r="B408" s="139" t="str">
        <f>IF(E408="","",VLOOKUP('Opći dio'!$C$3,'Opći dio'!$L$6:$U$136,9,FALSE))</f>
        <v/>
      </c>
      <c r="C408" s="187" t="str">
        <f t="shared" si="33"/>
        <v/>
      </c>
      <c r="D408" s="138" t="str">
        <f t="shared" si="34"/>
        <v/>
      </c>
      <c r="E408" s="150"/>
      <c r="F408" s="191" t="str">
        <f t="shared" si="35"/>
        <v/>
      </c>
      <c r="G408" s="185"/>
      <c r="H408" s="185"/>
      <c r="I408" s="185"/>
      <c r="K408" s="141" t="str">
        <f t="shared" si="36"/>
        <v/>
      </c>
      <c r="L408" s="141" t="str">
        <f t="shared" si="37"/>
        <v/>
      </c>
    </row>
    <row r="409" spans="1:12">
      <c r="A409" s="139" t="str">
        <f>IF(E409="","",VLOOKUP('Opći dio'!$C$3,'Opći dio'!$L$6:$U$136,10,FALSE))</f>
        <v/>
      </c>
      <c r="B409" s="139" t="str">
        <f>IF(E409="","",VLOOKUP('Opći dio'!$C$3,'Opći dio'!$L$6:$U$136,9,FALSE))</f>
        <v/>
      </c>
      <c r="C409" s="187" t="str">
        <f t="shared" si="33"/>
        <v/>
      </c>
      <c r="D409" s="138" t="str">
        <f t="shared" si="34"/>
        <v/>
      </c>
      <c r="E409" s="150"/>
      <c r="F409" s="191" t="str">
        <f t="shared" si="35"/>
        <v/>
      </c>
      <c r="G409" s="185"/>
      <c r="H409" s="185"/>
      <c r="I409" s="185"/>
      <c r="K409" s="141" t="str">
        <f t="shared" si="36"/>
        <v/>
      </c>
      <c r="L409" s="141" t="str">
        <f t="shared" si="37"/>
        <v/>
      </c>
    </row>
    <row r="410" spans="1:12">
      <c r="A410" s="139" t="str">
        <f>IF(E410="","",VLOOKUP('Opći dio'!$C$3,'Opći dio'!$L$6:$U$136,10,FALSE))</f>
        <v/>
      </c>
      <c r="B410" s="139" t="str">
        <f>IF(E410="","",VLOOKUP('Opći dio'!$C$3,'Opći dio'!$L$6:$U$136,9,FALSE))</f>
        <v/>
      </c>
      <c r="C410" s="187" t="str">
        <f t="shared" si="33"/>
        <v/>
      </c>
      <c r="D410" s="138" t="str">
        <f t="shared" si="34"/>
        <v/>
      </c>
      <c r="E410" s="150"/>
      <c r="F410" s="191" t="str">
        <f t="shared" si="35"/>
        <v/>
      </c>
      <c r="G410" s="185"/>
      <c r="H410" s="185"/>
      <c r="I410" s="185"/>
      <c r="K410" s="141" t="str">
        <f t="shared" si="36"/>
        <v/>
      </c>
      <c r="L410" s="141" t="str">
        <f t="shared" si="37"/>
        <v/>
      </c>
    </row>
    <row r="411" spans="1:12">
      <c r="A411" s="139" t="str">
        <f>IF(E411="","",VLOOKUP('Opći dio'!$C$3,'Opći dio'!$L$6:$U$136,10,FALSE))</f>
        <v/>
      </c>
      <c r="B411" s="139" t="str">
        <f>IF(E411="","",VLOOKUP('Opći dio'!$C$3,'Opći dio'!$L$6:$U$136,9,FALSE))</f>
        <v/>
      </c>
      <c r="C411" s="187" t="str">
        <f t="shared" si="33"/>
        <v/>
      </c>
      <c r="D411" s="138" t="str">
        <f t="shared" si="34"/>
        <v/>
      </c>
      <c r="E411" s="150"/>
      <c r="F411" s="191" t="str">
        <f t="shared" si="35"/>
        <v/>
      </c>
      <c r="G411" s="185"/>
      <c r="H411" s="185"/>
      <c r="I411" s="185"/>
      <c r="K411" s="141" t="str">
        <f t="shared" si="36"/>
        <v/>
      </c>
      <c r="L411" s="141" t="str">
        <f t="shared" si="37"/>
        <v/>
      </c>
    </row>
    <row r="412" spans="1:12">
      <c r="A412" s="139" t="str">
        <f>IF(E412="","",VLOOKUP('Opći dio'!$C$3,'Opći dio'!$L$6:$U$136,10,FALSE))</f>
        <v/>
      </c>
      <c r="B412" s="139" t="str">
        <f>IF(E412="","",VLOOKUP('Opći dio'!$C$3,'Opći dio'!$L$6:$U$136,9,FALSE))</f>
        <v/>
      </c>
      <c r="C412" s="187" t="str">
        <f t="shared" si="33"/>
        <v/>
      </c>
      <c r="D412" s="138" t="str">
        <f t="shared" si="34"/>
        <v/>
      </c>
      <c r="E412" s="150"/>
      <c r="F412" s="191" t="str">
        <f t="shared" si="35"/>
        <v/>
      </c>
      <c r="G412" s="185"/>
      <c r="H412" s="185"/>
      <c r="I412" s="185"/>
      <c r="K412" s="141" t="str">
        <f t="shared" si="36"/>
        <v/>
      </c>
      <c r="L412" s="141" t="str">
        <f t="shared" si="37"/>
        <v/>
      </c>
    </row>
    <row r="413" spans="1:12">
      <c r="A413" s="139" t="str">
        <f>IF(E413="","",VLOOKUP('Opći dio'!$C$3,'Opći dio'!$L$6:$U$136,10,FALSE))</f>
        <v/>
      </c>
      <c r="B413" s="139" t="str">
        <f>IF(E413="","",VLOOKUP('Opći dio'!$C$3,'Opći dio'!$L$6:$U$136,9,FALSE))</f>
        <v/>
      </c>
      <c r="C413" s="187" t="str">
        <f t="shared" si="33"/>
        <v/>
      </c>
      <c r="D413" s="138" t="str">
        <f t="shared" si="34"/>
        <v/>
      </c>
      <c r="E413" s="150"/>
      <c r="F413" s="191" t="str">
        <f t="shared" si="35"/>
        <v/>
      </c>
      <c r="G413" s="185"/>
      <c r="H413" s="185"/>
      <c r="I413" s="185"/>
      <c r="K413" s="141" t="str">
        <f t="shared" si="36"/>
        <v/>
      </c>
      <c r="L413" s="141" t="str">
        <f t="shared" si="37"/>
        <v/>
      </c>
    </row>
    <row r="414" spans="1:12">
      <c r="A414" s="139" t="str">
        <f>IF(E414="","",VLOOKUP('Opći dio'!$C$3,'Opći dio'!$L$6:$U$136,10,FALSE))</f>
        <v/>
      </c>
      <c r="B414" s="139" t="str">
        <f>IF(E414="","",VLOOKUP('Opći dio'!$C$3,'Opći dio'!$L$6:$U$136,9,FALSE))</f>
        <v/>
      </c>
      <c r="C414" s="187" t="str">
        <f t="shared" si="33"/>
        <v/>
      </c>
      <c r="D414" s="138" t="str">
        <f t="shared" si="34"/>
        <v/>
      </c>
      <c r="E414" s="150"/>
      <c r="F414" s="191" t="str">
        <f t="shared" si="35"/>
        <v/>
      </c>
      <c r="G414" s="185"/>
      <c r="H414" s="185"/>
      <c r="I414" s="185"/>
      <c r="K414" s="141" t="str">
        <f t="shared" si="36"/>
        <v/>
      </c>
      <c r="L414" s="141" t="str">
        <f t="shared" si="37"/>
        <v/>
      </c>
    </row>
    <row r="415" spans="1:12">
      <c r="A415" s="139" t="str">
        <f>IF(E415="","",VLOOKUP('Opći dio'!$C$3,'Opći dio'!$L$6:$U$136,10,FALSE))</f>
        <v/>
      </c>
      <c r="B415" s="139" t="str">
        <f>IF(E415="","",VLOOKUP('Opći dio'!$C$3,'Opći dio'!$L$6:$U$136,9,FALSE))</f>
        <v/>
      </c>
      <c r="C415" s="187" t="str">
        <f t="shared" si="33"/>
        <v/>
      </c>
      <c r="D415" s="138" t="str">
        <f t="shared" si="34"/>
        <v/>
      </c>
      <c r="E415" s="150"/>
      <c r="F415" s="191" t="str">
        <f t="shared" si="35"/>
        <v/>
      </c>
      <c r="G415" s="185"/>
      <c r="H415" s="185"/>
      <c r="I415" s="185"/>
      <c r="K415" s="141" t="str">
        <f t="shared" si="36"/>
        <v/>
      </c>
      <c r="L415" s="141" t="str">
        <f t="shared" si="37"/>
        <v/>
      </c>
    </row>
    <row r="416" spans="1:12">
      <c r="A416" s="139" t="str">
        <f>IF(E416="","",VLOOKUP('Opći dio'!$C$3,'Opći dio'!$L$6:$U$136,10,FALSE))</f>
        <v/>
      </c>
      <c r="B416" s="139" t="str">
        <f>IF(E416="","",VLOOKUP('Opći dio'!$C$3,'Opći dio'!$L$6:$U$136,9,FALSE))</f>
        <v/>
      </c>
      <c r="C416" s="187" t="str">
        <f t="shared" si="33"/>
        <v/>
      </c>
      <c r="D416" s="138" t="str">
        <f t="shared" si="34"/>
        <v/>
      </c>
      <c r="E416" s="150"/>
      <c r="F416" s="191" t="str">
        <f t="shared" si="35"/>
        <v/>
      </c>
      <c r="G416" s="185"/>
      <c r="H416" s="185"/>
      <c r="I416" s="185"/>
      <c r="K416" s="141" t="str">
        <f t="shared" si="36"/>
        <v/>
      </c>
      <c r="L416" s="141" t="str">
        <f t="shared" si="37"/>
        <v/>
      </c>
    </row>
    <row r="417" spans="1:12">
      <c r="A417" s="139" t="str">
        <f>IF(E417="","",VLOOKUP('Opći dio'!$C$3,'Opći dio'!$L$6:$U$136,10,FALSE))</f>
        <v/>
      </c>
      <c r="B417" s="139" t="str">
        <f>IF(E417="","",VLOOKUP('Opći dio'!$C$3,'Opći dio'!$L$6:$U$136,9,FALSE))</f>
        <v/>
      </c>
      <c r="C417" s="187" t="str">
        <f t="shared" si="33"/>
        <v/>
      </c>
      <c r="D417" s="138" t="str">
        <f t="shared" si="34"/>
        <v/>
      </c>
      <c r="E417" s="150"/>
      <c r="F417" s="191" t="str">
        <f t="shared" si="35"/>
        <v/>
      </c>
      <c r="G417" s="185"/>
      <c r="H417" s="185"/>
      <c r="I417" s="185"/>
      <c r="K417" s="141" t="str">
        <f t="shared" si="36"/>
        <v/>
      </c>
      <c r="L417" s="141" t="str">
        <f t="shared" si="37"/>
        <v/>
      </c>
    </row>
    <row r="418" spans="1:12">
      <c r="A418" s="139" t="str">
        <f>IF(E418="","",VLOOKUP('Opći dio'!$C$3,'Opći dio'!$L$6:$U$136,10,FALSE))</f>
        <v/>
      </c>
      <c r="B418" s="139" t="str">
        <f>IF(E418="","",VLOOKUP('Opći dio'!$C$3,'Opći dio'!$L$6:$U$136,9,FALSE))</f>
        <v/>
      </c>
      <c r="C418" s="187" t="str">
        <f t="shared" si="33"/>
        <v/>
      </c>
      <c r="D418" s="138" t="str">
        <f t="shared" si="34"/>
        <v/>
      </c>
      <c r="E418" s="150"/>
      <c r="F418" s="191" t="str">
        <f t="shared" si="35"/>
        <v/>
      </c>
      <c r="G418" s="185"/>
      <c r="H418" s="185"/>
      <c r="I418" s="185"/>
      <c r="K418" s="141" t="str">
        <f t="shared" si="36"/>
        <v/>
      </c>
      <c r="L418" s="141" t="str">
        <f t="shared" si="37"/>
        <v/>
      </c>
    </row>
    <row r="419" spans="1:12">
      <c r="A419" s="139" t="str">
        <f>IF(E419="","",VLOOKUP('Opći dio'!$C$3,'Opći dio'!$L$6:$U$136,10,FALSE))</f>
        <v/>
      </c>
      <c r="B419" s="139" t="str">
        <f>IF(E419="","",VLOOKUP('Opći dio'!$C$3,'Opći dio'!$L$6:$U$136,9,FALSE))</f>
        <v/>
      </c>
      <c r="C419" s="187" t="str">
        <f t="shared" si="33"/>
        <v/>
      </c>
      <c r="D419" s="138" t="str">
        <f t="shared" si="34"/>
        <v/>
      </c>
      <c r="E419" s="150"/>
      <c r="F419" s="191" t="str">
        <f t="shared" si="35"/>
        <v/>
      </c>
      <c r="G419" s="185"/>
      <c r="H419" s="185"/>
      <c r="I419" s="185"/>
      <c r="K419" s="141" t="str">
        <f t="shared" si="36"/>
        <v/>
      </c>
      <c r="L419" s="141" t="str">
        <f t="shared" si="37"/>
        <v/>
      </c>
    </row>
    <row r="420" spans="1:12">
      <c r="A420" s="139" t="str">
        <f>IF(E420="","",VLOOKUP('Opći dio'!$C$3,'Opći dio'!$L$6:$U$136,10,FALSE))</f>
        <v/>
      </c>
      <c r="B420" s="139" t="str">
        <f>IF(E420="","",VLOOKUP('Opći dio'!$C$3,'Opći dio'!$L$6:$U$136,9,FALSE))</f>
        <v/>
      </c>
      <c r="C420" s="187" t="str">
        <f t="shared" si="33"/>
        <v/>
      </c>
      <c r="D420" s="138" t="str">
        <f t="shared" si="34"/>
        <v/>
      </c>
      <c r="E420" s="150"/>
      <c r="F420" s="191" t="str">
        <f t="shared" si="35"/>
        <v/>
      </c>
      <c r="G420" s="185"/>
      <c r="H420" s="185"/>
      <c r="I420" s="185"/>
      <c r="K420" s="141" t="str">
        <f t="shared" si="36"/>
        <v/>
      </c>
      <c r="L420" s="141" t="str">
        <f t="shared" si="37"/>
        <v/>
      </c>
    </row>
    <row r="421" spans="1:12">
      <c r="A421" s="139" t="str">
        <f>IF(E421="","",VLOOKUP('Opći dio'!$C$3,'Opći dio'!$L$6:$U$136,10,FALSE))</f>
        <v/>
      </c>
      <c r="B421" s="139" t="str">
        <f>IF(E421="","",VLOOKUP('Opći dio'!$C$3,'Opći dio'!$L$6:$U$136,9,FALSE))</f>
        <v/>
      </c>
      <c r="C421" s="187" t="str">
        <f t="shared" si="33"/>
        <v/>
      </c>
      <c r="D421" s="138" t="str">
        <f t="shared" si="34"/>
        <v/>
      </c>
      <c r="E421" s="150"/>
      <c r="F421" s="191" t="str">
        <f t="shared" si="35"/>
        <v/>
      </c>
      <c r="G421" s="185"/>
      <c r="H421" s="185"/>
      <c r="I421" s="185"/>
      <c r="K421" s="141" t="str">
        <f t="shared" si="36"/>
        <v/>
      </c>
      <c r="L421" s="141" t="str">
        <f t="shared" si="37"/>
        <v/>
      </c>
    </row>
    <row r="422" spans="1:12">
      <c r="A422" s="139" t="str">
        <f>IF(E422="","",VLOOKUP('Opći dio'!$C$3,'Opći dio'!$L$6:$U$136,10,FALSE))</f>
        <v/>
      </c>
      <c r="B422" s="139" t="str">
        <f>IF(E422="","",VLOOKUP('Opći dio'!$C$3,'Opći dio'!$L$6:$U$136,9,FALSE))</f>
        <v/>
      </c>
      <c r="C422" s="187" t="str">
        <f t="shared" si="33"/>
        <v/>
      </c>
      <c r="D422" s="138" t="str">
        <f t="shared" si="34"/>
        <v/>
      </c>
      <c r="E422" s="150"/>
      <c r="F422" s="191" t="str">
        <f t="shared" si="35"/>
        <v/>
      </c>
      <c r="G422" s="185"/>
      <c r="H422" s="185"/>
      <c r="I422" s="185"/>
      <c r="K422" s="141" t="str">
        <f t="shared" si="36"/>
        <v/>
      </c>
      <c r="L422" s="141" t="str">
        <f t="shared" si="37"/>
        <v/>
      </c>
    </row>
    <row r="423" spans="1:12">
      <c r="A423" s="139" t="str">
        <f>IF(E423="","",VLOOKUP('Opći dio'!$C$3,'Opći dio'!$L$6:$U$136,10,FALSE))</f>
        <v/>
      </c>
      <c r="B423" s="139" t="str">
        <f>IF(E423="","",VLOOKUP('Opći dio'!$C$3,'Opći dio'!$L$6:$U$136,9,FALSE))</f>
        <v/>
      </c>
      <c r="C423" s="187" t="str">
        <f t="shared" si="33"/>
        <v/>
      </c>
      <c r="D423" s="138" t="str">
        <f t="shared" si="34"/>
        <v/>
      </c>
      <c r="E423" s="150"/>
      <c r="F423" s="191" t="str">
        <f t="shared" si="35"/>
        <v/>
      </c>
      <c r="G423" s="185"/>
      <c r="H423" s="185"/>
      <c r="I423" s="185"/>
      <c r="K423" s="141" t="str">
        <f t="shared" si="36"/>
        <v/>
      </c>
      <c r="L423" s="141" t="str">
        <f t="shared" si="37"/>
        <v/>
      </c>
    </row>
    <row r="424" spans="1:12">
      <c r="A424" s="139" t="str">
        <f>IF(E424="","",VLOOKUP('Opći dio'!$C$3,'Opći dio'!$L$6:$U$136,10,FALSE))</f>
        <v/>
      </c>
      <c r="B424" s="139" t="str">
        <f>IF(E424="","",VLOOKUP('Opći dio'!$C$3,'Opći dio'!$L$6:$U$136,9,FALSE))</f>
        <v/>
      </c>
      <c r="C424" s="187" t="str">
        <f t="shared" si="33"/>
        <v/>
      </c>
      <c r="D424" s="138" t="str">
        <f t="shared" si="34"/>
        <v/>
      </c>
      <c r="E424" s="150"/>
      <c r="F424" s="191" t="str">
        <f t="shared" si="35"/>
        <v/>
      </c>
      <c r="G424" s="185"/>
      <c r="H424" s="185"/>
      <c r="I424" s="185"/>
      <c r="K424" s="141" t="str">
        <f t="shared" si="36"/>
        <v/>
      </c>
      <c r="L424" s="141" t="str">
        <f t="shared" si="37"/>
        <v/>
      </c>
    </row>
    <row r="425" spans="1:12">
      <c r="A425" s="139" t="str">
        <f>IF(E425="","",VLOOKUP('Opći dio'!$C$3,'Opći dio'!$L$6:$U$136,10,FALSE))</f>
        <v/>
      </c>
      <c r="B425" s="139" t="str">
        <f>IF(E425="","",VLOOKUP('Opći dio'!$C$3,'Opći dio'!$L$6:$U$136,9,FALSE))</f>
        <v/>
      </c>
      <c r="C425" s="187" t="str">
        <f t="shared" si="33"/>
        <v/>
      </c>
      <c r="D425" s="138" t="str">
        <f t="shared" si="34"/>
        <v/>
      </c>
      <c r="E425" s="150"/>
      <c r="F425" s="191" t="str">
        <f t="shared" si="35"/>
        <v/>
      </c>
      <c r="G425" s="185"/>
      <c r="H425" s="185"/>
      <c r="I425" s="185"/>
      <c r="K425" s="141" t="str">
        <f t="shared" si="36"/>
        <v/>
      </c>
      <c r="L425" s="141" t="str">
        <f t="shared" si="37"/>
        <v/>
      </c>
    </row>
    <row r="426" spans="1:12">
      <c r="A426" s="139" t="str">
        <f>IF(E426="","",VLOOKUP('Opći dio'!$C$3,'Opći dio'!$L$6:$U$136,10,FALSE))</f>
        <v/>
      </c>
      <c r="B426" s="139" t="str">
        <f>IF(E426="","",VLOOKUP('Opći dio'!$C$3,'Opći dio'!$L$6:$U$136,9,FALSE))</f>
        <v/>
      </c>
      <c r="C426" s="187" t="str">
        <f t="shared" si="33"/>
        <v/>
      </c>
      <c r="D426" s="138" t="str">
        <f t="shared" si="34"/>
        <v/>
      </c>
      <c r="E426" s="150"/>
      <c r="F426" s="191" t="str">
        <f t="shared" si="35"/>
        <v/>
      </c>
      <c r="G426" s="185"/>
      <c r="H426" s="185"/>
      <c r="I426" s="185"/>
      <c r="K426" s="141" t="str">
        <f t="shared" si="36"/>
        <v/>
      </c>
      <c r="L426" s="141" t="str">
        <f t="shared" si="37"/>
        <v/>
      </c>
    </row>
    <row r="427" spans="1:12">
      <c r="A427" s="139" t="str">
        <f>IF(E427="","",VLOOKUP('Opći dio'!$C$3,'Opći dio'!$L$6:$U$136,10,FALSE))</f>
        <v/>
      </c>
      <c r="B427" s="139" t="str">
        <f>IF(E427="","",VLOOKUP('Opći dio'!$C$3,'Opći dio'!$L$6:$U$136,9,FALSE))</f>
        <v/>
      </c>
      <c r="C427" s="187" t="str">
        <f t="shared" si="33"/>
        <v/>
      </c>
      <c r="D427" s="138" t="str">
        <f t="shared" si="34"/>
        <v/>
      </c>
      <c r="E427" s="150"/>
      <c r="F427" s="191" t="str">
        <f t="shared" si="35"/>
        <v/>
      </c>
      <c r="G427" s="185"/>
      <c r="H427" s="185"/>
      <c r="I427" s="185"/>
      <c r="K427" s="141" t="str">
        <f t="shared" si="36"/>
        <v/>
      </c>
      <c r="L427" s="141" t="str">
        <f t="shared" si="37"/>
        <v/>
      </c>
    </row>
    <row r="428" spans="1:12">
      <c r="A428" s="139" t="str">
        <f>IF(E428="","",VLOOKUP('Opći dio'!$C$3,'Opći dio'!$L$6:$U$136,10,FALSE))</f>
        <v/>
      </c>
      <c r="B428" s="139" t="str">
        <f>IF(E428="","",VLOOKUP('Opći dio'!$C$3,'Opći dio'!$L$6:$U$136,9,FALSE))</f>
        <v/>
      </c>
      <c r="C428" s="187" t="str">
        <f t="shared" si="33"/>
        <v/>
      </c>
      <c r="D428" s="138" t="str">
        <f t="shared" si="34"/>
        <v/>
      </c>
      <c r="E428" s="150"/>
      <c r="F428" s="191" t="str">
        <f t="shared" si="35"/>
        <v/>
      </c>
      <c r="G428" s="185"/>
      <c r="H428" s="185"/>
      <c r="I428" s="185"/>
      <c r="K428" s="141" t="str">
        <f t="shared" si="36"/>
        <v/>
      </c>
      <c r="L428" s="141" t="str">
        <f t="shared" si="37"/>
        <v/>
      </c>
    </row>
    <row r="429" spans="1:12">
      <c r="A429" s="139" t="str">
        <f>IF(E429="","",VLOOKUP('Opći dio'!$C$3,'Opći dio'!$L$6:$U$136,10,FALSE))</f>
        <v/>
      </c>
      <c r="B429" s="139" t="str">
        <f>IF(E429="","",VLOOKUP('Opći dio'!$C$3,'Opći dio'!$L$6:$U$136,9,FALSE))</f>
        <v/>
      </c>
      <c r="C429" s="187" t="str">
        <f t="shared" si="33"/>
        <v/>
      </c>
      <c r="D429" s="138" t="str">
        <f t="shared" si="34"/>
        <v/>
      </c>
      <c r="E429" s="150"/>
      <c r="F429" s="191" t="str">
        <f t="shared" si="35"/>
        <v/>
      </c>
      <c r="G429" s="185"/>
      <c r="H429" s="185"/>
      <c r="I429" s="185"/>
      <c r="K429" s="141" t="str">
        <f t="shared" si="36"/>
        <v/>
      </c>
      <c r="L429" s="141" t="str">
        <f t="shared" si="37"/>
        <v/>
      </c>
    </row>
    <row r="430" spans="1:12">
      <c r="A430" s="139" t="str">
        <f>IF(E430="","",VLOOKUP('Opći dio'!$C$3,'Opći dio'!$L$6:$U$136,10,FALSE))</f>
        <v/>
      </c>
      <c r="B430" s="139" t="str">
        <f>IF(E430="","",VLOOKUP('Opći dio'!$C$3,'Opći dio'!$L$6:$U$136,9,FALSE))</f>
        <v/>
      </c>
      <c r="C430" s="187" t="str">
        <f t="shared" si="33"/>
        <v/>
      </c>
      <c r="D430" s="138" t="str">
        <f t="shared" si="34"/>
        <v/>
      </c>
      <c r="E430" s="150"/>
      <c r="F430" s="191" t="str">
        <f t="shared" si="35"/>
        <v/>
      </c>
      <c r="G430" s="185"/>
      <c r="H430" s="185"/>
      <c r="I430" s="185"/>
      <c r="K430" s="141" t="str">
        <f t="shared" si="36"/>
        <v/>
      </c>
      <c r="L430" s="141" t="str">
        <f t="shared" si="37"/>
        <v/>
      </c>
    </row>
    <row r="431" spans="1:12">
      <c r="A431" s="139" t="str">
        <f>IF(E431="","",VLOOKUP('Opći dio'!$C$3,'Opći dio'!$L$6:$U$136,10,FALSE))</f>
        <v/>
      </c>
      <c r="B431" s="139" t="str">
        <f>IF(E431="","",VLOOKUP('Opći dio'!$C$3,'Opći dio'!$L$6:$U$136,9,FALSE))</f>
        <v/>
      </c>
      <c r="C431" s="187" t="str">
        <f t="shared" si="33"/>
        <v/>
      </c>
      <c r="D431" s="138" t="str">
        <f t="shared" si="34"/>
        <v/>
      </c>
      <c r="E431" s="150"/>
      <c r="F431" s="191" t="str">
        <f t="shared" si="35"/>
        <v/>
      </c>
      <c r="G431" s="185"/>
      <c r="H431" s="185"/>
      <c r="I431" s="185"/>
      <c r="K431" s="141" t="str">
        <f t="shared" si="36"/>
        <v/>
      </c>
      <c r="L431" s="141" t="str">
        <f t="shared" si="37"/>
        <v/>
      </c>
    </row>
    <row r="432" spans="1:12">
      <c r="A432" s="139" t="str">
        <f>IF(E432="","",VLOOKUP('Opći dio'!$C$3,'Opći dio'!$L$6:$U$136,10,FALSE))</f>
        <v/>
      </c>
      <c r="B432" s="139" t="str">
        <f>IF(E432="","",VLOOKUP('Opći dio'!$C$3,'Opći dio'!$L$6:$U$136,9,FALSE))</f>
        <v/>
      </c>
      <c r="C432" s="187" t="str">
        <f t="shared" si="33"/>
        <v/>
      </c>
      <c r="D432" s="138" t="str">
        <f t="shared" si="34"/>
        <v/>
      </c>
      <c r="E432" s="150"/>
      <c r="F432" s="191" t="str">
        <f t="shared" si="35"/>
        <v/>
      </c>
      <c r="G432" s="185"/>
      <c r="H432" s="185"/>
      <c r="I432" s="185"/>
      <c r="K432" s="141" t="str">
        <f t="shared" si="36"/>
        <v/>
      </c>
      <c r="L432" s="141" t="str">
        <f t="shared" si="37"/>
        <v/>
      </c>
    </row>
    <row r="433" spans="1:12">
      <c r="A433" s="139" t="str">
        <f>IF(E433="","",VLOOKUP('Opći dio'!$C$3,'Opći dio'!$L$6:$U$136,10,FALSE))</f>
        <v/>
      </c>
      <c r="B433" s="139" t="str">
        <f>IF(E433="","",VLOOKUP('Opći dio'!$C$3,'Opći dio'!$L$6:$U$136,9,FALSE))</f>
        <v/>
      </c>
      <c r="C433" s="187" t="str">
        <f t="shared" si="33"/>
        <v/>
      </c>
      <c r="D433" s="138" t="str">
        <f t="shared" si="34"/>
        <v/>
      </c>
      <c r="E433" s="150"/>
      <c r="F433" s="191" t="str">
        <f t="shared" si="35"/>
        <v/>
      </c>
      <c r="G433" s="185"/>
      <c r="H433" s="185"/>
      <c r="I433" s="185"/>
      <c r="K433" s="141" t="str">
        <f t="shared" si="36"/>
        <v/>
      </c>
      <c r="L433" s="141" t="str">
        <f t="shared" si="37"/>
        <v/>
      </c>
    </row>
    <row r="434" spans="1:12">
      <c r="A434" s="139" t="str">
        <f>IF(E434="","",VLOOKUP('Opći dio'!$C$3,'Opći dio'!$L$6:$U$136,10,FALSE))</f>
        <v/>
      </c>
      <c r="B434" s="139" t="str">
        <f>IF(E434="","",VLOOKUP('Opći dio'!$C$3,'Opći dio'!$L$6:$U$136,9,FALSE))</f>
        <v/>
      </c>
      <c r="C434" s="187" t="str">
        <f t="shared" si="33"/>
        <v/>
      </c>
      <c r="D434" s="138" t="str">
        <f t="shared" si="34"/>
        <v/>
      </c>
      <c r="E434" s="150"/>
      <c r="F434" s="191" t="str">
        <f t="shared" si="35"/>
        <v/>
      </c>
      <c r="G434" s="185"/>
      <c r="H434" s="185"/>
      <c r="I434" s="185"/>
      <c r="K434" s="141" t="str">
        <f t="shared" si="36"/>
        <v/>
      </c>
      <c r="L434" s="141" t="str">
        <f t="shared" si="37"/>
        <v/>
      </c>
    </row>
    <row r="435" spans="1:12">
      <c r="A435" s="139" t="str">
        <f>IF(E435="","",VLOOKUP('Opći dio'!$C$3,'Opći dio'!$L$6:$U$136,10,FALSE))</f>
        <v/>
      </c>
      <c r="B435" s="139" t="str">
        <f>IF(E435="","",VLOOKUP('Opći dio'!$C$3,'Opći dio'!$L$6:$U$136,9,FALSE))</f>
        <v/>
      </c>
      <c r="C435" s="187" t="str">
        <f t="shared" si="33"/>
        <v/>
      </c>
      <c r="D435" s="138" t="str">
        <f t="shared" si="34"/>
        <v/>
      </c>
      <c r="E435" s="150"/>
      <c r="F435" s="191" t="str">
        <f t="shared" si="35"/>
        <v/>
      </c>
      <c r="G435" s="185"/>
      <c r="H435" s="185"/>
      <c r="I435" s="185"/>
      <c r="K435" s="141" t="str">
        <f t="shared" si="36"/>
        <v/>
      </c>
      <c r="L435" s="141" t="str">
        <f t="shared" si="37"/>
        <v/>
      </c>
    </row>
    <row r="436" spans="1:12">
      <c r="A436" s="139" t="str">
        <f>IF(E436="","",VLOOKUP('Opći dio'!$C$3,'Opći dio'!$L$6:$U$136,10,FALSE))</f>
        <v/>
      </c>
      <c r="B436" s="139" t="str">
        <f>IF(E436="","",VLOOKUP('Opći dio'!$C$3,'Opći dio'!$L$6:$U$136,9,FALSE))</f>
        <v/>
      </c>
      <c r="C436" s="187" t="str">
        <f t="shared" si="33"/>
        <v/>
      </c>
      <c r="D436" s="138" t="str">
        <f t="shared" si="34"/>
        <v/>
      </c>
      <c r="E436" s="150"/>
      <c r="F436" s="191" t="str">
        <f t="shared" si="35"/>
        <v/>
      </c>
      <c r="G436" s="185"/>
      <c r="H436" s="185"/>
      <c r="I436" s="185"/>
      <c r="K436" s="141" t="str">
        <f t="shared" si="36"/>
        <v/>
      </c>
      <c r="L436" s="141" t="str">
        <f t="shared" si="37"/>
        <v/>
      </c>
    </row>
    <row r="437" spans="1:12">
      <c r="A437" s="139" t="str">
        <f>IF(E437="","",VLOOKUP('Opći dio'!$C$3,'Opći dio'!$L$6:$U$136,10,FALSE))</f>
        <v/>
      </c>
      <c r="B437" s="139" t="str">
        <f>IF(E437="","",VLOOKUP('Opći dio'!$C$3,'Opći dio'!$L$6:$U$136,9,FALSE))</f>
        <v/>
      </c>
      <c r="C437" s="187" t="str">
        <f t="shared" si="33"/>
        <v/>
      </c>
      <c r="D437" s="138" t="str">
        <f t="shared" si="34"/>
        <v/>
      </c>
      <c r="E437" s="150"/>
      <c r="F437" s="191" t="str">
        <f t="shared" si="35"/>
        <v/>
      </c>
      <c r="G437" s="185"/>
      <c r="H437" s="185"/>
      <c r="I437" s="185"/>
      <c r="K437" s="141" t="str">
        <f t="shared" si="36"/>
        <v/>
      </c>
      <c r="L437" s="141" t="str">
        <f t="shared" si="37"/>
        <v/>
      </c>
    </row>
    <row r="438" spans="1:12">
      <c r="A438" s="139" t="str">
        <f>IF(E438="","",VLOOKUP('Opći dio'!$C$3,'Opći dio'!$L$6:$U$136,10,FALSE))</f>
        <v/>
      </c>
      <c r="B438" s="139" t="str">
        <f>IF(E438="","",VLOOKUP('Opći dio'!$C$3,'Opći dio'!$L$6:$U$136,9,FALSE))</f>
        <v/>
      </c>
      <c r="C438" s="187" t="str">
        <f t="shared" si="33"/>
        <v/>
      </c>
      <c r="D438" s="138" t="str">
        <f t="shared" si="34"/>
        <v/>
      </c>
      <c r="E438" s="150"/>
      <c r="F438" s="191" t="str">
        <f t="shared" si="35"/>
        <v/>
      </c>
      <c r="G438" s="185"/>
      <c r="H438" s="185"/>
      <c r="I438" s="185"/>
      <c r="K438" s="141" t="str">
        <f t="shared" si="36"/>
        <v/>
      </c>
      <c r="L438" s="141" t="str">
        <f t="shared" si="37"/>
        <v/>
      </c>
    </row>
    <row r="439" spans="1:12">
      <c r="A439" s="139" t="str">
        <f>IF(E439="","",VLOOKUP('Opći dio'!$C$3,'Opći dio'!$L$6:$U$136,10,FALSE))</f>
        <v/>
      </c>
      <c r="B439" s="139" t="str">
        <f>IF(E439="","",VLOOKUP('Opći dio'!$C$3,'Opći dio'!$L$6:$U$136,9,FALSE))</f>
        <v/>
      </c>
      <c r="C439" s="187" t="str">
        <f t="shared" si="33"/>
        <v/>
      </c>
      <c r="D439" s="138" t="str">
        <f t="shared" si="34"/>
        <v/>
      </c>
      <c r="E439" s="150"/>
      <c r="F439" s="191" t="str">
        <f t="shared" si="35"/>
        <v/>
      </c>
      <c r="G439" s="185"/>
      <c r="H439" s="185"/>
      <c r="I439" s="185"/>
      <c r="K439" s="141" t="str">
        <f t="shared" si="36"/>
        <v/>
      </c>
      <c r="L439" s="141" t="str">
        <f t="shared" si="37"/>
        <v/>
      </c>
    </row>
    <row r="440" spans="1:12">
      <c r="A440" s="139" t="str">
        <f>IF(E440="","",VLOOKUP('Opći dio'!$C$3,'Opći dio'!$L$6:$U$136,10,FALSE))</f>
        <v/>
      </c>
      <c r="B440" s="139" t="str">
        <f>IF(E440="","",VLOOKUP('Opći dio'!$C$3,'Opći dio'!$L$6:$U$136,9,FALSE))</f>
        <v/>
      </c>
      <c r="C440" s="187" t="str">
        <f t="shared" si="33"/>
        <v/>
      </c>
      <c r="D440" s="138" t="str">
        <f t="shared" si="34"/>
        <v/>
      </c>
      <c r="E440" s="150"/>
      <c r="F440" s="191" t="str">
        <f t="shared" si="35"/>
        <v/>
      </c>
      <c r="G440" s="185"/>
      <c r="H440" s="185"/>
      <c r="I440" s="185"/>
      <c r="K440" s="141" t="str">
        <f t="shared" si="36"/>
        <v/>
      </c>
      <c r="L440" s="141" t="str">
        <f t="shared" si="37"/>
        <v/>
      </c>
    </row>
    <row r="441" spans="1:12">
      <c r="A441" s="139" t="str">
        <f>IF(E441="","",VLOOKUP('Opći dio'!$C$3,'Opći dio'!$L$6:$U$136,10,FALSE))</f>
        <v/>
      </c>
      <c r="B441" s="139" t="str">
        <f>IF(E441="","",VLOOKUP('Opći dio'!$C$3,'Opći dio'!$L$6:$U$136,9,FALSE))</f>
        <v/>
      </c>
      <c r="C441" s="187" t="str">
        <f t="shared" si="33"/>
        <v/>
      </c>
      <c r="D441" s="138" t="str">
        <f t="shared" si="34"/>
        <v/>
      </c>
      <c r="E441" s="150"/>
      <c r="F441" s="191" t="str">
        <f t="shared" si="35"/>
        <v/>
      </c>
      <c r="G441" s="185"/>
      <c r="H441" s="185"/>
      <c r="I441" s="185"/>
      <c r="K441" s="141" t="str">
        <f t="shared" si="36"/>
        <v/>
      </c>
      <c r="L441" s="141" t="str">
        <f t="shared" si="37"/>
        <v/>
      </c>
    </row>
    <row r="442" spans="1:12">
      <c r="A442" s="139" t="str">
        <f>IF(E442="","",VLOOKUP('Opći dio'!$C$3,'Opći dio'!$L$6:$U$136,10,FALSE))</f>
        <v/>
      </c>
      <c r="B442" s="139" t="str">
        <f>IF(E442="","",VLOOKUP('Opći dio'!$C$3,'Opći dio'!$L$6:$U$136,9,FALSE))</f>
        <v/>
      </c>
      <c r="C442" s="187" t="str">
        <f t="shared" si="33"/>
        <v/>
      </c>
      <c r="D442" s="138" t="str">
        <f t="shared" si="34"/>
        <v/>
      </c>
      <c r="E442" s="150"/>
      <c r="F442" s="191" t="str">
        <f t="shared" si="35"/>
        <v/>
      </c>
      <c r="G442" s="185"/>
      <c r="H442" s="185"/>
      <c r="I442" s="185"/>
      <c r="K442" s="141" t="str">
        <f t="shared" si="36"/>
        <v/>
      </c>
      <c r="L442" s="141" t="str">
        <f t="shared" si="37"/>
        <v/>
      </c>
    </row>
    <row r="443" spans="1:12">
      <c r="A443" s="139" t="str">
        <f>IF(E443="","",VLOOKUP('Opći dio'!$C$3,'Opći dio'!$L$6:$U$136,10,FALSE))</f>
        <v/>
      </c>
      <c r="B443" s="139" t="str">
        <f>IF(E443="","",VLOOKUP('Opći dio'!$C$3,'Opći dio'!$L$6:$U$136,9,FALSE))</f>
        <v/>
      </c>
      <c r="C443" s="187" t="str">
        <f t="shared" si="33"/>
        <v/>
      </c>
      <c r="D443" s="138" t="str">
        <f t="shared" si="34"/>
        <v/>
      </c>
      <c r="E443" s="150"/>
      <c r="F443" s="191" t="str">
        <f t="shared" si="35"/>
        <v/>
      </c>
      <c r="G443" s="185"/>
      <c r="H443" s="185"/>
      <c r="I443" s="185"/>
      <c r="K443" s="141" t="str">
        <f t="shared" si="36"/>
        <v/>
      </c>
      <c r="L443" s="141" t="str">
        <f t="shared" si="37"/>
        <v/>
      </c>
    </row>
    <row r="444" spans="1:12">
      <c r="A444" s="139" t="str">
        <f>IF(E444="","",VLOOKUP('Opći dio'!$C$3,'Opći dio'!$L$6:$U$136,10,FALSE))</f>
        <v/>
      </c>
      <c r="B444" s="139" t="str">
        <f>IF(E444="","",VLOOKUP('Opći dio'!$C$3,'Opći dio'!$L$6:$U$136,9,FALSE))</f>
        <v/>
      </c>
      <c r="C444" s="187" t="str">
        <f t="shared" si="33"/>
        <v/>
      </c>
      <c r="D444" s="138" t="str">
        <f t="shared" si="34"/>
        <v/>
      </c>
      <c r="E444" s="150"/>
      <c r="F444" s="191" t="str">
        <f t="shared" si="35"/>
        <v/>
      </c>
      <c r="G444" s="185"/>
      <c r="H444" s="185"/>
      <c r="I444" s="185"/>
      <c r="K444" s="141" t="str">
        <f t="shared" si="36"/>
        <v/>
      </c>
      <c r="L444" s="141" t="str">
        <f t="shared" si="37"/>
        <v/>
      </c>
    </row>
    <row r="445" spans="1:12">
      <c r="A445" s="139" t="str">
        <f>IF(E445="","",VLOOKUP('Opći dio'!$C$3,'Opći dio'!$L$6:$U$136,10,FALSE))</f>
        <v/>
      </c>
      <c r="B445" s="139" t="str">
        <f>IF(E445="","",VLOOKUP('Opći dio'!$C$3,'Opći dio'!$L$6:$U$136,9,FALSE))</f>
        <v/>
      </c>
      <c r="C445" s="187" t="str">
        <f t="shared" si="33"/>
        <v/>
      </c>
      <c r="D445" s="138" t="str">
        <f t="shared" si="34"/>
        <v/>
      </c>
      <c r="E445" s="150"/>
      <c r="F445" s="191" t="str">
        <f t="shared" si="35"/>
        <v/>
      </c>
      <c r="G445" s="185"/>
      <c r="H445" s="185"/>
      <c r="I445" s="185"/>
      <c r="K445" s="141" t="str">
        <f t="shared" si="36"/>
        <v/>
      </c>
      <c r="L445" s="141" t="str">
        <f t="shared" si="37"/>
        <v/>
      </c>
    </row>
    <row r="446" spans="1:12">
      <c r="A446" s="139" t="str">
        <f>IF(E446="","",VLOOKUP('Opći dio'!$C$3,'Opći dio'!$L$6:$U$136,10,FALSE))</f>
        <v/>
      </c>
      <c r="B446" s="139" t="str">
        <f>IF(E446="","",VLOOKUP('Opći dio'!$C$3,'Opći dio'!$L$6:$U$136,9,FALSE))</f>
        <v/>
      </c>
      <c r="C446" s="187" t="str">
        <f t="shared" si="33"/>
        <v/>
      </c>
      <c r="D446" s="138" t="str">
        <f t="shared" si="34"/>
        <v/>
      </c>
      <c r="E446" s="150"/>
      <c r="F446" s="191" t="str">
        <f t="shared" si="35"/>
        <v/>
      </c>
      <c r="G446" s="185"/>
      <c r="H446" s="185"/>
      <c r="I446" s="185"/>
      <c r="K446" s="141" t="str">
        <f t="shared" si="36"/>
        <v/>
      </c>
      <c r="L446" s="141" t="str">
        <f t="shared" si="37"/>
        <v/>
      </c>
    </row>
    <row r="447" spans="1:12">
      <c r="A447" s="139" t="str">
        <f>IF(E447="","",VLOOKUP('Opći dio'!$C$3,'Opći dio'!$L$6:$U$136,10,FALSE))</f>
        <v/>
      </c>
      <c r="B447" s="139" t="str">
        <f>IF(E447="","",VLOOKUP('Opći dio'!$C$3,'Opći dio'!$L$6:$U$136,9,FALSE))</f>
        <v/>
      </c>
      <c r="C447" s="187" t="str">
        <f t="shared" si="33"/>
        <v/>
      </c>
      <c r="D447" s="138" t="str">
        <f t="shared" si="34"/>
        <v/>
      </c>
      <c r="E447" s="150"/>
      <c r="F447" s="191" t="str">
        <f t="shared" si="35"/>
        <v/>
      </c>
      <c r="G447" s="185"/>
      <c r="H447" s="185"/>
      <c r="I447" s="185"/>
      <c r="K447" s="141" t="str">
        <f t="shared" si="36"/>
        <v/>
      </c>
      <c r="L447" s="141" t="str">
        <f t="shared" si="37"/>
        <v/>
      </c>
    </row>
    <row r="448" spans="1:12">
      <c r="A448" s="139" t="str">
        <f>IF(E448="","",VLOOKUP('Opći dio'!$C$3,'Opći dio'!$L$6:$U$136,10,FALSE))</f>
        <v/>
      </c>
      <c r="B448" s="139" t="str">
        <f>IF(E448="","",VLOOKUP('Opći dio'!$C$3,'Opći dio'!$L$6:$U$136,9,FALSE))</f>
        <v/>
      </c>
      <c r="C448" s="187" t="str">
        <f t="shared" si="33"/>
        <v/>
      </c>
      <c r="D448" s="138" t="str">
        <f t="shared" si="34"/>
        <v/>
      </c>
      <c r="E448" s="150"/>
      <c r="F448" s="191" t="str">
        <f t="shared" si="35"/>
        <v/>
      </c>
      <c r="G448" s="185"/>
      <c r="H448" s="185"/>
      <c r="I448" s="185"/>
      <c r="K448" s="141" t="str">
        <f t="shared" si="36"/>
        <v/>
      </c>
      <c r="L448" s="141" t="str">
        <f t="shared" si="37"/>
        <v/>
      </c>
    </row>
    <row r="449" spans="1:12">
      <c r="A449" s="139" t="str">
        <f>IF(E449="","",VLOOKUP('Opći dio'!$C$3,'Opći dio'!$L$6:$U$136,10,FALSE))</f>
        <v/>
      </c>
      <c r="B449" s="139" t="str">
        <f>IF(E449="","",VLOOKUP('Opći dio'!$C$3,'Opći dio'!$L$6:$U$136,9,FALSE))</f>
        <v/>
      </c>
      <c r="C449" s="187" t="str">
        <f t="shared" si="33"/>
        <v/>
      </c>
      <c r="D449" s="138" t="str">
        <f t="shared" si="34"/>
        <v/>
      </c>
      <c r="E449" s="150"/>
      <c r="F449" s="191" t="str">
        <f t="shared" si="35"/>
        <v/>
      </c>
      <c r="G449" s="185"/>
      <c r="H449" s="185"/>
      <c r="I449" s="185"/>
      <c r="K449" s="141" t="str">
        <f t="shared" si="36"/>
        <v/>
      </c>
      <c r="L449" s="141" t="str">
        <f t="shared" si="37"/>
        <v/>
      </c>
    </row>
    <row r="450" spans="1:12">
      <c r="A450" s="139" t="str">
        <f>IF(E450="","",VLOOKUP('Opći dio'!$C$3,'Opći dio'!$L$6:$U$136,10,FALSE))</f>
        <v/>
      </c>
      <c r="B450" s="139" t="str">
        <f>IF(E450="","",VLOOKUP('Opći dio'!$C$3,'Opći dio'!$L$6:$U$136,9,FALSE))</f>
        <v/>
      </c>
      <c r="C450" s="187" t="str">
        <f t="shared" si="33"/>
        <v/>
      </c>
      <c r="D450" s="138" t="str">
        <f t="shared" si="34"/>
        <v/>
      </c>
      <c r="E450" s="150"/>
      <c r="F450" s="191" t="str">
        <f t="shared" si="35"/>
        <v/>
      </c>
      <c r="G450" s="185"/>
      <c r="H450" s="185"/>
      <c r="I450" s="185"/>
      <c r="K450" s="141" t="str">
        <f t="shared" si="36"/>
        <v/>
      </c>
      <c r="L450" s="141" t="str">
        <f t="shared" si="37"/>
        <v/>
      </c>
    </row>
    <row r="451" spans="1:12">
      <c r="A451" s="139" t="str">
        <f>IF(E451="","",VLOOKUP('Opći dio'!$C$3,'Opći dio'!$L$6:$U$136,10,FALSE))</f>
        <v/>
      </c>
      <c r="B451" s="139" t="str">
        <f>IF(E451="","",VLOOKUP('Opći dio'!$C$3,'Opći dio'!$L$6:$U$136,9,FALSE))</f>
        <v/>
      </c>
      <c r="C451" s="187" t="str">
        <f t="shared" si="33"/>
        <v/>
      </c>
      <c r="D451" s="138" t="str">
        <f t="shared" si="34"/>
        <v/>
      </c>
      <c r="E451" s="150"/>
      <c r="F451" s="191" t="str">
        <f t="shared" si="35"/>
        <v/>
      </c>
      <c r="G451" s="185"/>
      <c r="H451" s="185"/>
      <c r="I451" s="185"/>
      <c r="K451" s="141" t="str">
        <f t="shared" si="36"/>
        <v/>
      </c>
      <c r="L451" s="141" t="str">
        <f t="shared" si="37"/>
        <v/>
      </c>
    </row>
    <row r="452" spans="1:12">
      <c r="A452" s="139" t="str">
        <f>IF(E452="","",VLOOKUP('Opći dio'!$C$3,'Opći dio'!$L$6:$U$136,10,FALSE))</f>
        <v/>
      </c>
      <c r="B452" s="139" t="str">
        <f>IF(E452="","",VLOOKUP('Opći dio'!$C$3,'Opći dio'!$L$6:$U$136,9,FALSE))</f>
        <v/>
      </c>
      <c r="C452" s="187" t="str">
        <f t="shared" ref="C452:C501" si="38">IFERROR(VLOOKUP(E452,$Q$6:$T$200,3,FALSE),"")</f>
        <v/>
      </c>
      <c r="D452" s="138" t="str">
        <f t="shared" ref="D452:D501" si="39">IFERROR(VLOOKUP(E452,$Q$6:$T$200,4,FALSE),"")</f>
        <v/>
      </c>
      <c r="E452" s="150"/>
      <c r="F452" s="191" t="str">
        <f t="shared" ref="F452:F501" si="40">IFERROR(VLOOKUP(E452,$Q$6:$T$200,2,FALSE),"")</f>
        <v/>
      </c>
      <c r="G452" s="185"/>
      <c r="H452" s="185"/>
      <c r="I452" s="185"/>
      <c r="K452" s="141" t="str">
        <f t="shared" ref="K452:K501" si="41">LEFT(E452,3)</f>
        <v/>
      </c>
      <c r="L452" s="141" t="str">
        <f t="shared" ref="L452:L501" si="42">LEFT(E452,2)</f>
        <v/>
      </c>
    </row>
    <row r="453" spans="1:12">
      <c r="A453" s="139" t="str">
        <f>IF(E453="","",VLOOKUP('Opći dio'!$C$3,'Opći dio'!$L$6:$U$136,10,FALSE))</f>
        <v/>
      </c>
      <c r="B453" s="139" t="str">
        <f>IF(E453="","",VLOOKUP('Opći dio'!$C$3,'Opći dio'!$L$6:$U$136,9,FALSE))</f>
        <v/>
      </c>
      <c r="C453" s="187" t="str">
        <f t="shared" si="38"/>
        <v/>
      </c>
      <c r="D453" s="138" t="str">
        <f t="shared" si="39"/>
        <v/>
      </c>
      <c r="E453" s="150"/>
      <c r="F453" s="191" t="str">
        <f t="shared" si="40"/>
        <v/>
      </c>
      <c r="G453" s="185"/>
      <c r="H453" s="185"/>
      <c r="I453" s="185"/>
      <c r="K453" s="141" t="str">
        <f t="shared" si="41"/>
        <v/>
      </c>
      <c r="L453" s="141" t="str">
        <f t="shared" si="42"/>
        <v/>
      </c>
    </row>
    <row r="454" spans="1:12">
      <c r="A454" s="139" t="str">
        <f>IF(E454="","",VLOOKUP('Opći dio'!$C$3,'Opći dio'!$L$6:$U$136,10,FALSE))</f>
        <v/>
      </c>
      <c r="B454" s="139" t="str">
        <f>IF(E454="","",VLOOKUP('Opći dio'!$C$3,'Opći dio'!$L$6:$U$136,9,FALSE))</f>
        <v/>
      </c>
      <c r="C454" s="187" t="str">
        <f t="shared" si="38"/>
        <v/>
      </c>
      <c r="D454" s="138" t="str">
        <f t="shared" si="39"/>
        <v/>
      </c>
      <c r="E454" s="150"/>
      <c r="F454" s="191" t="str">
        <f t="shared" si="40"/>
        <v/>
      </c>
      <c r="G454" s="185"/>
      <c r="H454" s="185"/>
      <c r="I454" s="185"/>
      <c r="K454" s="141" t="str">
        <f t="shared" si="41"/>
        <v/>
      </c>
      <c r="L454" s="141" t="str">
        <f t="shared" si="42"/>
        <v/>
      </c>
    </row>
    <row r="455" spans="1:12">
      <c r="A455" s="139" t="str">
        <f>IF(E455="","",VLOOKUP('Opći dio'!$C$3,'Opći dio'!$L$6:$U$136,10,FALSE))</f>
        <v/>
      </c>
      <c r="B455" s="139" t="str">
        <f>IF(E455="","",VLOOKUP('Opći dio'!$C$3,'Opći dio'!$L$6:$U$136,9,FALSE))</f>
        <v/>
      </c>
      <c r="C455" s="187" t="str">
        <f t="shared" si="38"/>
        <v/>
      </c>
      <c r="D455" s="138" t="str">
        <f t="shared" si="39"/>
        <v/>
      </c>
      <c r="E455" s="150"/>
      <c r="F455" s="191" t="str">
        <f t="shared" si="40"/>
        <v/>
      </c>
      <c r="G455" s="185"/>
      <c r="H455" s="185"/>
      <c r="I455" s="185"/>
      <c r="K455" s="141" t="str">
        <f t="shared" si="41"/>
        <v/>
      </c>
      <c r="L455" s="141" t="str">
        <f t="shared" si="42"/>
        <v/>
      </c>
    </row>
    <row r="456" spans="1:12">
      <c r="A456" s="139" t="str">
        <f>IF(E456="","",VLOOKUP('Opći dio'!$C$3,'Opći dio'!$L$6:$U$136,10,FALSE))</f>
        <v/>
      </c>
      <c r="B456" s="139" t="str">
        <f>IF(E456="","",VLOOKUP('Opći dio'!$C$3,'Opći dio'!$L$6:$U$136,9,FALSE))</f>
        <v/>
      </c>
      <c r="C456" s="187" t="str">
        <f t="shared" si="38"/>
        <v/>
      </c>
      <c r="D456" s="138" t="str">
        <f t="shared" si="39"/>
        <v/>
      </c>
      <c r="E456" s="150"/>
      <c r="F456" s="191" t="str">
        <f t="shared" si="40"/>
        <v/>
      </c>
      <c r="G456" s="185"/>
      <c r="H456" s="185"/>
      <c r="I456" s="185"/>
      <c r="K456" s="141" t="str">
        <f t="shared" si="41"/>
        <v/>
      </c>
      <c r="L456" s="141" t="str">
        <f t="shared" si="42"/>
        <v/>
      </c>
    </row>
    <row r="457" spans="1:12">
      <c r="A457" s="139" t="str">
        <f>IF(E457="","",VLOOKUP('Opći dio'!$C$3,'Opći dio'!$L$6:$U$136,10,FALSE))</f>
        <v/>
      </c>
      <c r="B457" s="139" t="str">
        <f>IF(E457="","",VLOOKUP('Opći dio'!$C$3,'Opći dio'!$L$6:$U$136,9,FALSE))</f>
        <v/>
      </c>
      <c r="C457" s="187" t="str">
        <f t="shared" si="38"/>
        <v/>
      </c>
      <c r="D457" s="138" t="str">
        <f t="shared" si="39"/>
        <v/>
      </c>
      <c r="E457" s="150"/>
      <c r="F457" s="191" t="str">
        <f t="shared" si="40"/>
        <v/>
      </c>
      <c r="G457" s="185"/>
      <c r="H457" s="185"/>
      <c r="I457" s="185"/>
      <c r="K457" s="141" t="str">
        <f t="shared" si="41"/>
        <v/>
      </c>
      <c r="L457" s="141" t="str">
        <f t="shared" si="42"/>
        <v/>
      </c>
    </row>
    <row r="458" spans="1:12">
      <c r="A458" s="139" t="str">
        <f>IF(E458="","",VLOOKUP('Opći dio'!$C$3,'Opći dio'!$L$6:$U$136,10,FALSE))</f>
        <v/>
      </c>
      <c r="B458" s="139" t="str">
        <f>IF(E458="","",VLOOKUP('Opći dio'!$C$3,'Opći dio'!$L$6:$U$136,9,FALSE))</f>
        <v/>
      </c>
      <c r="C458" s="187" t="str">
        <f t="shared" si="38"/>
        <v/>
      </c>
      <c r="D458" s="138" t="str">
        <f t="shared" si="39"/>
        <v/>
      </c>
      <c r="E458" s="150"/>
      <c r="F458" s="191" t="str">
        <f t="shared" si="40"/>
        <v/>
      </c>
      <c r="G458" s="185"/>
      <c r="H458" s="185"/>
      <c r="I458" s="185"/>
      <c r="K458" s="141" t="str">
        <f t="shared" si="41"/>
        <v/>
      </c>
      <c r="L458" s="141" t="str">
        <f t="shared" si="42"/>
        <v/>
      </c>
    </row>
    <row r="459" spans="1:12">
      <c r="A459" s="139" t="str">
        <f>IF(E459="","",VLOOKUP('Opći dio'!$C$3,'Opći dio'!$L$6:$U$136,10,FALSE))</f>
        <v/>
      </c>
      <c r="B459" s="139" t="str">
        <f>IF(E459="","",VLOOKUP('Opći dio'!$C$3,'Opći dio'!$L$6:$U$136,9,FALSE))</f>
        <v/>
      </c>
      <c r="C459" s="187" t="str">
        <f t="shared" si="38"/>
        <v/>
      </c>
      <c r="D459" s="138" t="str">
        <f t="shared" si="39"/>
        <v/>
      </c>
      <c r="E459" s="150"/>
      <c r="F459" s="191" t="str">
        <f t="shared" si="40"/>
        <v/>
      </c>
      <c r="G459" s="185"/>
      <c r="H459" s="185"/>
      <c r="I459" s="185"/>
      <c r="K459" s="141" t="str">
        <f t="shared" si="41"/>
        <v/>
      </c>
      <c r="L459" s="141" t="str">
        <f t="shared" si="42"/>
        <v/>
      </c>
    </row>
    <row r="460" spans="1:12">
      <c r="A460" s="139" t="str">
        <f>IF(E460="","",VLOOKUP('Opći dio'!$C$3,'Opći dio'!$L$6:$U$136,10,FALSE))</f>
        <v/>
      </c>
      <c r="B460" s="139" t="str">
        <f>IF(E460="","",VLOOKUP('Opći dio'!$C$3,'Opći dio'!$L$6:$U$136,9,FALSE))</f>
        <v/>
      </c>
      <c r="C460" s="187" t="str">
        <f t="shared" si="38"/>
        <v/>
      </c>
      <c r="D460" s="138" t="str">
        <f t="shared" si="39"/>
        <v/>
      </c>
      <c r="E460" s="150"/>
      <c r="F460" s="191" t="str">
        <f t="shared" si="40"/>
        <v/>
      </c>
      <c r="G460" s="185"/>
      <c r="H460" s="185"/>
      <c r="I460" s="185"/>
      <c r="K460" s="141" t="str">
        <f t="shared" si="41"/>
        <v/>
      </c>
      <c r="L460" s="141" t="str">
        <f t="shared" si="42"/>
        <v/>
      </c>
    </row>
    <row r="461" spans="1:12">
      <c r="A461" s="139" t="str">
        <f>IF(E461="","",VLOOKUP('Opći dio'!$C$3,'Opći dio'!$L$6:$U$136,10,FALSE))</f>
        <v/>
      </c>
      <c r="B461" s="139" t="str">
        <f>IF(E461="","",VLOOKUP('Opći dio'!$C$3,'Opći dio'!$L$6:$U$136,9,FALSE))</f>
        <v/>
      </c>
      <c r="C461" s="187" t="str">
        <f t="shared" si="38"/>
        <v/>
      </c>
      <c r="D461" s="138" t="str">
        <f t="shared" si="39"/>
        <v/>
      </c>
      <c r="E461" s="150"/>
      <c r="F461" s="191" t="str">
        <f t="shared" si="40"/>
        <v/>
      </c>
      <c r="G461" s="185"/>
      <c r="H461" s="185"/>
      <c r="I461" s="185"/>
      <c r="K461" s="141" t="str">
        <f t="shared" si="41"/>
        <v/>
      </c>
      <c r="L461" s="141" t="str">
        <f t="shared" si="42"/>
        <v/>
      </c>
    </row>
    <row r="462" spans="1:12">
      <c r="A462" s="139" t="str">
        <f>IF(E462="","",VLOOKUP('Opći dio'!$C$3,'Opći dio'!$L$6:$U$136,10,FALSE))</f>
        <v/>
      </c>
      <c r="B462" s="139" t="str">
        <f>IF(E462="","",VLOOKUP('Opći dio'!$C$3,'Opći dio'!$L$6:$U$136,9,FALSE))</f>
        <v/>
      </c>
      <c r="C462" s="187" t="str">
        <f t="shared" si="38"/>
        <v/>
      </c>
      <c r="D462" s="138" t="str">
        <f t="shared" si="39"/>
        <v/>
      </c>
      <c r="E462" s="150"/>
      <c r="F462" s="191" t="str">
        <f t="shared" si="40"/>
        <v/>
      </c>
      <c r="G462" s="185"/>
      <c r="H462" s="185"/>
      <c r="I462" s="185"/>
      <c r="K462" s="141" t="str">
        <f t="shared" si="41"/>
        <v/>
      </c>
      <c r="L462" s="141" t="str">
        <f t="shared" si="42"/>
        <v/>
      </c>
    </row>
    <row r="463" spans="1:12">
      <c r="A463" s="139" t="str">
        <f>IF(E463="","",VLOOKUP('Opći dio'!$C$3,'Opći dio'!$L$6:$U$136,10,FALSE))</f>
        <v/>
      </c>
      <c r="B463" s="139" t="str">
        <f>IF(E463="","",VLOOKUP('Opći dio'!$C$3,'Opći dio'!$L$6:$U$136,9,FALSE))</f>
        <v/>
      </c>
      <c r="C463" s="187" t="str">
        <f t="shared" si="38"/>
        <v/>
      </c>
      <c r="D463" s="138" t="str">
        <f t="shared" si="39"/>
        <v/>
      </c>
      <c r="E463" s="150"/>
      <c r="F463" s="191" t="str">
        <f t="shared" si="40"/>
        <v/>
      </c>
      <c r="G463" s="185"/>
      <c r="H463" s="185"/>
      <c r="I463" s="185"/>
      <c r="K463" s="141" t="str">
        <f t="shared" si="41"/>
        <v/>
      </c>
      <c r="L463" s="141" t="str">
        <f t="shared" si="42"/>
        <v/>
      </c>
    </row>
    <row r="464" spans="1:12">
      <c r="A464" s="139" t="str">
        <f>IF(E464="","",VLOOKUP('Opći dio'!$C$3,'Opći dio'!$L$6:$U$136,10,FALSE))</f>
        <v/>
      </c>
      <c r="B464" s="139" t="str">
        <f>IF(E464="","",VLOOKUP('Opći dio'!$C$3,'Opći dio'!$L$6:$U$136,9,FALSE))</f>
        <v/>
      </c>
      <c r="C464" s="187" t="str">
        <f t="shared" si="38"/>
        <v/>
      </c>
      <c r="D464" s="138" t="str">
        <f t="shared" si="39"/>
        <v/>
      </c>
      <c r="E464" s="150"/>
      <c r="F464" s="191" t="str">
        <f t="shared" si="40"/>
        <v/>
      </c>
      <c r="G464" s="185"/>
      <c r="H464" s="185"/>
      <c r="I464" s="185"/>
      <c r="K464" s="141" t="str">
        <f t="shared" si="41"/>
        <v/>
      </c>
      <c r="L464" s="141" t="str">
        <f t="shared" si="42"/>
        <v/>
      </c>
    </row>
    <row r="465" spans="1:12">
      <c r="A465" s="139" t="str">
        <f>IF(E465="","",VLOOKUP('Opći dio'!$C$3,'Opći dio'!$L$6:$U$136,10,FALSE))</f>
        <v/>
      </c>
      <c r="B465" s="139" t="str">
        <f>IF(E465="","",VLOOKUP('Opći dio'!$C$3,'Opći dio'!$L$6:$U$136,9,FALSE))</f>
        <v/>
      </c>
      <c r="C465" s="187" t="str">
        <f t="shared" si="38"/>
        <v/>
      </c>
      <c r="D465" s="138" t="str">
        <f t="shared" si="39"/>
        <v/>
      </c>
      <c r="E465" s="150"/>
      <c r="F465" s="191" t="str">
        <f t="shared" si="40"/>
        <v/>
      </c>
      <c r="G465" s="185"/>
      <c r="H465" s="185"/>
      <c r="I465" s="185"/>
      <c r="K465" s="141" t="str">
        <f t="shared" si="41"/>
        <v/>
      </c>
      <c r="L465" s="141" t="str">
        <f t="shared" si="42"/>
        <v/>
      </c>
    </row>
    <row r="466" spans="1:12">
      <c r="A466" s="139" t="str">
        <f>IF(E466="","",VLOOKUP('Opći dio'!$C$3,'Opći dio'!$L$6:$U$136,10,FALSE))</f>
        <v/>
      </c>
      <c r="B466" s="139" t="str">
        <f>IF(E466="","",VLOOKUP('Opći dio'!$C$3,'Opći dio'!$L$6:$U$136,9,FALSE))</f>
        <v/>
      </c>
      <c r="C466" s="187" t="str">
        <f t="shared" si="38"/>
        <v/>
      </c>
      <c r="D466" s="138" t="str">
        <f t="shared" si="39"/>
        <v/>
      </c>
      <c r="E466" s="150"/>
      <c r="F466" s="191" t="str">
        <f t="shared" si="40"/>
        <v/>
      </c>
      <c r="G466" s="185"/>
      <c r="H466" s="185"/>
      <c r="I466" s="185"/>
      <c r="K466" s="141" t="str">
        <f t="shared" si="41"/>
        <v/>
      </c>
      <c r="L466" s="141" t="str">
        <f t="shared" si="42"/>
        <v/>
      </c>
    </row>
    <row r="467" spans="1:12">
      <c r="A467" s="139" t="str">
        <f>IF(E467="","",VLOOKUP('Opći dio'!$C$3,'Opći dio'!$L$6:$U$136,10,FALSE))</f>
        <v/>
      </c>
      <c r="B467" s="139" t="str">
        <f>IF(E467="","",VLOOKUP('Opći dio'!$C$3,'Opći dio'!$L$6:$U$136,9,FALSE))</f>
        <v/>
      </c>
      <c r="C467" s="187" t="str">
        <f t="shared" si="38"/>
        <v/>
      </c>
      <c r="D467" s="138" t="str">
        <f t="shared" si="39"/>
        <v/>
      </c>
      <c r="E467" s="150"/>
      <c r="F467" s="191" t="str">
        <f t="shared" si="40"/>
        <v/>
      </c>
      <c r="G467" s="185"/>
      <c r="H467" s="185"/>
      <c r="I467" s="185"/>
      <c r="K467" s="141" t="str">
        <f t="shared" si="41"/>
        <v/>
      </c>
      <c r="L467" s="141" t="str">
        <f t="shared" si="42"/>
        <v/>
      </c>
    </row>
    <row r="468" spans="1:12">
      <c r="A468" s="139" t="str">
        <f>IF(E468="","",VLOOKUP('Opći dio'!$C$3,'Opći dio'!$L$6:$U$136,10,FALSE))</f>
        <v/>
      </c>
      <c r="B468" s="139" t="str">
        <f>IF(E468="","",VLOOKUP('Opći dio'!$C$3,'Opći dio'!$L$6:$U$136,9,FALSE))</f>
        <v/>
      </c>
      <c r="C468" s="187" t="str">
        <f t="shared" si="38"/>
        <v/>
      </c>
      <c r="D468" s="138" t="str">
        <f t="shared" si="39"/>
        <v/>
      </c>
      <c r="E468" s="150"/>
      <c r="F468" s="191" t="str">
        <f t="shared" si="40"/>
        <v/>
      </c>
      <c r="G468" s="185"/>
      <c r="H468" s="185"/>
      <c r="I468" s="185"/>
      <c r="K468" s="141" t="str">
        <f t="shared" si="41"/>
        <v/>
      </c>
      <c r="L468" s="141" t="str">
        <f t="shared" si="42"/>
        <v/>
      </c>
    </row>
    <row r="469" spans="1:12">
      <c r="A469" s="139" t="str">
        <f>IF(E469="","",VLOOKUP('Opći dio'!$C$3,'Opći dio'!$L$6:$U$136,10,FALSE))</f>
        <v/>
      </c>
      <c r="B469" s="139" t="str">
        <f>IF(E469="","",VLOOKUP('Opći dio'!$C$3,'Opći dio'!$L$6:$U$136,9,FALSE))</f>
        <v/>
      </c>
      <c r="C469" s="187" t="str">
        <f t="shared" si="38"/>
        <v/>
      </c>
      <c r="D469" s="138" t="str">
        <f t="shared" si="39"/>
        <v/>
      </c>
      <c r="E469" s="150"/>
      <c r="F469" s="191" t="str">
        <f t="shared" si="40"/>
        <v/>
      </c>
      <c r="G469" s="185"/>
      <c r="H469" s="185"/>
      <c r="I469" s="185"/>
      <c r="K469" s="141" t="str">
        <f t="shared" si="41"/>
        <v/>
      </c>
      <c r="L469" s="141" t="str">
        <f t="shared" si="42"/>
        <v/>
      </c>
    </row>
    <row r="470" spans="1:12">
      <c r="A470" s="139" t="str">
        <f>IF(E470="","",VLOOKUP('Opći dio'!$C$3,'Opći dio'!$L$6:$U$136,10,FALSE))</f>
        <v/>
      </c>
      <c r="B470" s="139" t="str">
        <f>IF(E470="","",VLOOKUP('Opći dio'!$C$3,'Opći dio'!$L$6:$U$136,9,FALSE))</f>
        <v/>
      </c>
      <c r="C470" s="187" t="str">
        <f t="shared" si="38"/>
        <v/>
      </c>
      <c r="D470" s="138" t="str">
        <f t="shared" si="39"/>
        <v/>
      </c>
      <c r="E470" s="150"/>
      <c r="F470" s="191" t="str">
        <f t="shared" si="40"/>
        <v/>
      </c>
      <c r="G470" s="185"/>
      <c r="H470" s="185"/>
      <c r="I470" s="185"/>
      <c r="K470" s="141" t="str">
        <f t="shared" si="41"/>
        <v/>
      </c>
      <c r="L470" s="141" t="str">
        <f t="shared" si="42"/>
        <v/>
      </c>
    </row>
    <row r="471" spans="1:12">
      <c r="A471" s="139" t="str">
        <f>IF(E471="","",VLOOKUP('Opći dio'!$C$3,'Opći dio'!$L$6:$U$136,10,FALSE))</f>
        <v/>
      </c>
      <c r="B471" s="139" t="str">
        <f>IF(E471="","",VLOOKUP('Opći dio'!$C$3,'Opći dio'!$L$6:$U$136,9,FALSE))</f>
        <v/>
      </c>
      <c r="C471" s="187" t="str">
        <f t="shared" si="38"/>
        <v/>
      </c>
      <c r="D471" s="138" t="str">
        <f t="shared" si="39"/>
        <v/>
      </c>
      <c r="E471" s="150"/>
      <c r="F471" s="191" t="str">
        <f t="shared" si="40"/>
        <v/>
      </c>
      <c r="G471" s="185"/>
      <c r="H471" s="185"/>
      <c r="I471" s="185"/>
      <c r="K471" s="141" t="str">
        <f t="shared" si="41"/>
        <v/>
      </c>
      <c r="L471" s="141" t="str">
        <f t="shared" si="42"/>
        <v/>
      </c>
    </row>
    <row r="472" spans="1:12">
      <c r="A472" s="139" t="str">
        <f>IF(E472="","",VLOOKUP('Opći dio'!$C$3,'Opći dio'!$L$6:$U$136,10,FALSE))</f>
        <v/>
      </c>
      <c r="B472" s="139" t="str">
        <f>IF(E472="","",VLOOKUP('Opći dio'!$C$3,'Opći dio'!$L$6:$U$136,9,FALSE))</f>
        <v/>
      </c>
      <c r="C472" s="187" t="str">
        <f t="shared" si="38"/>
        <v/>
      </c>
      <c r="D472" s="138" t="str">
        <f t="shared" si="39"/>
        <v/>
      </c>
      <c r="E472" s="150"/>
      <c r="F472" s="191" t="str">
        <f t="shared" si="40"/>
        <v/>
      </c>
      <c r="G472" s="185"/>
      <c r="H472" s="185"/>
      <c r="I472" s="185"/>
      <c r="K472" s="141" t="str">
        <f t="shared" si="41"/>
        <v/>
      </c>
      <c r="L472" s="141" t="str">
        <f t="shared" si="42"/>
        <v/>
      </c>
    </row>
    <row r="473" spans="1:12">
      <c r="A473" s="139" t="str">
        <f>IF(E473="","",VLOOKUP('Opći dio'!$C$3,'Opći dio'!$L$6:$U$136,10,FALSE))</f>
        <v/>
      </c>
      <c r="B473" s="139" t="str">
        <f>IF(E473="","",VLOOKUP('Opći dio'!$C$3,'Opći dio'!$L$6:$U$136,9,FALSE))</f>
        <v/>
      </c>
      <c r="C473" s="187" t="str">
        <f t="shared" si="38"/>
        <v/>
      </c>
      <c r="D473" s="138" t="str">
        <f t="shared" si="39"/>
        <v/>
      </c>
      <c r="E473" s="150"/>
      <c r="F473" s="191" t="str">
        <f t="shared" si="40"/>
        <v/>
      </c>
      <c r="G473" s="185"/>
      <c r="H473" s="185"/>
      <c r="I473" s="185"/>
      <c r="K473" s="141" t="str">
        <f t="shared" si="41"/>
        <v/>
      </c>
      <c r="L473" s="141" t="str">
        <f t="shared" si="42"/>
        <v/>
      </c>
    </row>
    <row r="474" spans="1:12">
      <c r="A474" s="139" t="str">
        <f>IF(E474="","",VLOOKUP('Opći dio'!$C$3,'Opći dio'!$L$6:$U$136,10,FALSE))</f>
        <v/>
      </c>
      <c r="B474" s="139" t="str">
        <f>IF(E474="","",VLOOKUP('Opći dio'!$C$3,'Opći dio'!$L$6:$U$136,9,FALSE))</f>
        <v/>
      </c>
      <c r="C474" s="187" t="str">
        <f t="shared" si="38"/>
        <v/>
      </c>
      <c r="D474" s="138" t="str">
        <f t="shared" si="39"/>
        <v/>
      </c>
      <c r="E474" s="150"/>
      <c r="F474" s="191" t="str">
        <f t="shared" si="40"/>
        <v/>
      </c>
      <c r="G474" s="185"/>
      <c r="H474" s="185"/>
      <c r="I474" s="185"/>
      <c r="K474" s="141" t="str">
        <f t="shared" si="41"/>
        <v/>
      </c>
      <c r="L474" s="141" t="str">
        <f t="shared" si="42"/>
        <v/>
      </c>
    </row>
    <row r="475" spans="1:12">
      <c r="A475" s="139" t="str">
        <f>IF(E475="","",VLOOKUP('Opći dio'!$C$3,'Opći dio'!$L$6:$U$136,10,FALSE))</f>
        <v/>
      </c>
      <c r="B475" s="139" t="str">
        <f>IF(E475="","",VLOOKUP('Opći dio'!$C$3,'Opći dio'!$L$6:$U$136,9,FALSE))</f>
        <v/>
      </c>
      <c r="C475" s="187" t="str">
        <f t="shared" si="38"/>
        <v/>
      </c>
      <c r="D475" s="138" t="str">
        <f t="shared" si="39"/>
        <v/>
      </c>
      <c r="E475" s="150"/>
      <c r="F475" s="191" t="str">
        <f t="shared" si="40"/>
        <v/>
      </c>
      <c r="G475" s="185"/>
      <c r="H475" s="185"/>
      <c r="I475" s="185"/>
      <c r="K475" s="141" t="str">
        <f t="shared" si="41"/>
        <v/>
      </c>
      <c r="L475" s="141" t="str">
        <f t="shared" si="42"/>
        <v/>
      </c>
    </row>
    <row r="476" spans="1:12">
      <c r="A476" s="139" t="str">
        <f>IF(E476="","",VLOOKUP('Opći dio'!$C$3,'Opći dio'!$L$6:$U$136,10,FALSE))</f>
        <v/>
      </c>
      <c r="B476" s="139" t="str">
        <f>IF(E476="","",VLOOKUP('Opći dio'!$C$3,'Opći dio'!$L$6:$U$136,9,FALSE))</f>
        <v/>
      </c>
      <c r="C476" s="187" t="str">
        <f t="shared" si="38"/>
        <v/>
      </c>
      <c r="D476" s="138" t="str">
        <f t="shared" si="39"/>
        <v/>
      </c>
      <c r="E476" s="150"/>
      <c r="F476" s="191" t="str">
        <f t="shared" si="40"/>
        <v/>
      </c>
      <c r="G476" s="185"/>
      <c r="H476" s="185"/>
      <c r="I476" s="185"/>
      <c r="K476" s="141" t="str">
        <f t="shared" si="41"/>
        <v/>
      </c>
      <c r="L476" s="141" t="str">
        <f t="shared" si="42"/>
        <v/>
      </c>
    </row>
    <row r="477" spans="1:12">
      <c r="A477" s="139" t="str">
        <f>IF(E477="","",VLOOKUP('Opći dio'!$C$3,'Opći dio'!$L$6:$U$136,10,FALSE))</f>
        <v/>
      </c>
      <c r="B477" s="139" t="str">
        <f>IF(E477="","",VLOOKUP('Opći dio'!$C$3,'Opći dio'!$L$6:$U$136,9,FALSE))</f>
        <v/>
      </c>
      <c r="C477" s="187" t="str">
        <f t="shared" si="38"/>
        <v/>
      </c>
      <c r="D477" s="138" t="str">
        <f t="shared" si="39"/>
        <v/>
      </c>
      <c r="E477" s="150"/>
      <c r="F477" s="191" t="str">
        <f t="shared" si="40"/>
        <v/>
      </c>
      <c r="G477" s="185"/>
      <c r="H477" s="185"/>
      <c r="I477" s="185"/>
      <c r="K477" s="141" t="str">
        <f t="shared" si="41"/>
        <v/>
      </c>
      <c r="L477" s="141" t="str">
        <f t="shared" si="42"/>
        <v/>
      </c>
    </row>
    <row r="478" spans="1:12">
      <c r="A478" s="139" t="str">
        <f>IF(E478="","",VLOOKUP('Opći dio'!$C$3,'Opći dio'!$L$6:$U$136,10,FALSE))</f>
        <v/>
      </c>
      <c r="B478" s="139" t="str">
        <f>IF(E478="","",VLOOKUP('Opći dio'!$C$3,'Opći dio'!$L$6:$U$136,9,FALSE))</f>
        <v/>
      </c>
      <c r="C478" s="187" t="str">
        <f t="shared" si="38"/>
        <v/>
      </c>
      <c r="D478" s="138" t="str">
        <f t="shared" si="39"/>
        <v/>
      </c>
      <c r="E478" s="150"/>
      <c r="F478" s="191" t="str">
        <f t="shared" si="40"/>
        <v/>
      </c>
      <c r="G478" s="185"/>
      <c r="H478" s="185"/>
      <c r="I478" s="185"/>
      <c r="K478" s="141" t="str">
        <f t="shared" si="41"/>
        <v/>
      </c>
      <c r="L478" s="141" t="str">
        <f t="shared" si="42"/>
        <v/>
      </c>
    </row>
    <row r="479" spans="1:12">
      <c r="A479" s="139" t="str">
        <f>IF(E479="","",VLOOKUP('Opći dio'!$C$3,'Opći dio'!$L$6:$U$136,10,FALSE))</f>
        <v/>
      </c>
      <c r="B479" s="139" t="str">
        <f>IF(E479="","",VLOOKUP('Opći dio'!$C$3,'Opći dio'!$L$6:$U$136,9,FALSE))</f>
        <v/>
      </c>
      <c r="C479" s="187" t="str">
        <f t="shared" si="38"/>
        <v/>
      </c>
      <c r="D479" s="138" t="str">
        <f t="shared" si="39"/>
        <v/>
      </c>
      <c r="E479" s="150"/>
      <c r="F479" s="191" t="str">
        <f t="shared" si="40"/>
        <v/>
      </c>
      <c r="G479" s="185"/>
      <c r="H479" s="185"/>
      <c r="I479" s="185"/>
      <c r="K479" s="141" t="str">
        <f t="shared" si="41"/>
        <v/>
      </c>
      <c r="L479" s="141" t="str">
        <f t="shared" si="42"/>
        <v/>
      </c>
    </row>
    <row r="480" spans="1:12">
      <c r="A480" s="139" t="str">
        <f>IF(E480="","",VLOOKUP('Opći dio'!$C$3,'Opći dio'!$L$6:$U$136,10,FALSE))</f>
        <v/>
      </c>
      <c r="B480" s="139" t="str">
        <f>IF(E480="","",VLOOKUP('Opći dio'!$C$3,'Opći dio'!$L$6:$U$136,9,FALSE))</f>
        <v/>
      </c>
      <c r="C480" s="187" t="str">
        <f t="shared" si="38"/>
        <v/>
      </c>
      <c r="D480" s="138" t="str">
        <f t="shared" si="39"/>
        <v/>
      </c>
      <c r="E480" s="150"/>
      <c r="F480" s="191" t="str">
        <f t="shared" si="40"/>
        <v/>
      </c>
      <c r="G480" s="185"/>
      <c r="H480" s="185"/>
      <c r="I480" s="185"/>
      <c r="K480" s="141" t="str">
        <f t="shared" si="41"/>
        <v/>
      </c>
      <c r="L480" s="141" t="str">
        <f t="shared" si="42"/>
        <v/>
      </c>
    </row>
    <row r="481" spans="1:12">
      <c r="A481" s="139" t="str">
        <f>IF(E481="","",VLOOKUP('Opći dio'!$C$3,'Opći dio'!$L$6:$U$136,10,FALSE))</f>
        <v/>
      </c>
      <c r="B481" s="139" t="str">
        <f>IF(E481="","",VLOOKUP('Opći dio'!$C$3,'Opći dio'!$L$6:$U$136,9,FALSE))</f>
        <v/>
      </c>
      <c r="C481" s="187" t="str">
        <f t="shared" si="38"/>
        <v/>
      </c>
      <c r="D481" s="138" t="str">
        <f t="shared" si="39"/>
        <v/>
      </c>
      <c r="E481" s="150"/>
      <c r="F481" s="191" t="str">
        <f t="shared" si="40"/>
        <v/>
      </c>
      <c r="G481" s="185"/>
      <c r="H481" s="185"/>
      <c r="I481" s="185"/>
      <c r="K481" s="141" t="str">
        <f t="shared" si="41"/>
        <v/>
      </c>
      <c r="L481" s="141" t="str">
        <f t="shared" si="42"/>
        <v/>
      </c>
    </row>
    <row r="482" spans="1:12">
      <c r="A482" s="139" t="str">
        <f>IF(E482="","",VLOOKUP('Opći dio'!$C$3,'Opći dio'!$L$6:$U$136,10,FALSE))</f>
        <v/>
      </c>
      <c r="B482" s="139" t="str">
        <f>IF(E482="","",VLOOKUP('Opći dio'!$C$3,'Opći dio'!$L$6:$U$136,9,FALSE))</f>
        <v/>
      </c>
      <c r="C482" s="187" t="str">
        <f t="shared" si="38"/>
        <v/>
      </c>
      <c r="D482" s="138" t="str">
        <f t="shared" si="39"/>
        <v/>
      </c>
      <c r="E482" s="150"/>
      <c r="F482" s="191" t="str">
        <f t="shared" si="40"/>
        <v/>
      </c>
      <c r="G482" s="185"/>
      <c r="H482" s="185"/>
      <c r="I482" s="185"/>
      <c r="K482" s="141" t="str">
        <f t="shared" si="41"/>
        <v/>
      </c>
      <c r="L482" s="141" t="str">
        <f t="shared" si="42"/>
        <v/>
      </c>
    </row>
    <row r="483" spans="1:12">
      <c r="A483" s="139" t="str">
        <f>IF(E483="","",VLOOKUP('Opći dio'!$C$3,'Opći dio'!$L$6:$U$136,10,FALSE))</f>
        <v/>
      </c>
      <c r="B483" s="139" t="str">
        <f>IF(E483="","",VLOOKUP('Opći dio'!$C$3,'Opći dio'!$L$6:$U$136,9,FALSE))</f>
        <v/>
      </c>
      <c r="C483" s="187" t="str">
        <f t="shared" si="38"/>
        <v/>
      </c>
      <c r="D483" s="138" t="str">
        <f t="shared" si="39"/>
        <v/>
      </c>
      <c r="E483" s="150"/>
      <c r="F483" s="191" t="str">
        <f t="shared" si="40"/>
        <v/>
      </c>
      <c r="G483" s="185"/>
      <c r="H483" s="185"/>
      <c r="I483" s="185"/>
      <c r="K483" s="141" t="str">
        <f t="shared" si="41"/>
        <v/>
      </c>
      <c r="L483" s="141" t="str">
        <f t="shared" si="42"/>
        <v/>
      </c>
    </row>
    <row r="484" spans="1:12">
      <c r="A484" s="139" t="str">
        <f>IF(E484="","",VLOOKUP('Opći dio'!$C$3,'Opći dio'!$L$6:$U$136,10,FALSE))</f>
        <v/>
      </c>
      <c r="B484" s="139" t="str">
        <f>IF(E484="","",VLOOKUP('Opći dio'!$C$3,'Opći dio'!$L$6:$U$136,9,FALSE))</f>
        <v/>
      </c>
      <c r="C484" s="187" t="str">
        <f t="shared" si="38"/>
        <v/>
      </c>
      <c r="D484" s="138" t="str">
        <f t="shared" si="39"/>
        <v/>
      </c>
      <c r="E484" s="150"/>
      <c r="F484" s="191" t="str">
        <f t="shared" si="40"/>
        <v/>
      </c>
      <c r="G484" s="185"/>
      <c r="H484" s="185"/>
      <c r="I484" s="185"/>
      <c r="K484" s="141" t="str">
        <f t="shared" si="41"/>
        <v/>
      </c>
      <c r="L484" s="141" t="str">
        <f t="shared" si="42"/>
        <v/>
      </c>
    </row>
    <row r="485" spans="1:12">
      <c r="A485" s="139" t="str">
        <f>IF(E485="","",VLOOKUP('Opći dio'!$C$3,'Opći dio'!$L$6:$U$136,10,FALSE))</f>
        <v/>
      </c>
      <c r="B485" s="139" t="str">
        <f>IF(E485="","",VLOOKUP('Opći dio'!$C$3,'Opći dio'!$L$6:$U$136,9,FALSE))</f>
        <v/>
      </c>
      <c r="C485" s="187" t="str">
        <f t="shared" si="38"/>
        <v/>
      </c>
      <c r="D485" s="138" t="str">
        <f t="shared" si="39"/>
        <v/>
      </c>
      <c r="E485" s="150"/>
      <c r="F485" s="191" t="str">
        <f t="shared" si="40"/>
        <v/>
      </c>
      <c r="G485" s="185"/>
      <c r="H485" s="185"/>
      <c r="I485" s="185"/>
      <c r="K485" s="141" t="str">
        <f t="shared" si="41"/>
        <v/>
      </c>
      <c r="L485" s="141" t="str">
        <f t="shared" si="42"/>
        <v/>
      </c>
    </row>
    <row r="486" spans="1:12">
      <c r="A486" s="139" t="str">
        <f>IF(E486="","",VLOOKUP('Opći dio'!$C$3,'Opći dio'!$L$6:$U$136,10,FALSE))</f>
        <v/>
      </c>
      <c r="B486" s="139" t="str">
        <f>IF(E486="","",VLOOKUP('Opći dio'!$C$3,'Opći dio'!$L$6:$U$136,9,FALSE))</f>
        <v/>
      </c>
      <c r="C486" s="187" t="str">
        <f t="shared" si="38"/>
        <v/>
      </c>
      <c r="D486" s="138" t="str">
        <f t="shared" si="39"/>
        <v/>
      </c>
      <c r="E486" s="150"/>
      <c r="F486" s="191" t="str">
        <f t="shared" si="40"/>
        <v/>
      </c>
      <c r="G486" s="185"/>
      <c r="H486" s="185"/>
      <c r="I486" s="185"/>
      <c r="K486" s="141" t="str">
        <f t="shared" si="41"/>
        <v/>
      </c>
      <c r="L486" s="141" t="str">
        <f t="shared" si="42"/>
        <v/>
      </c>
    </row>
    <row r="487" spans="1:12">
      <c r="A487" s="139" t="str">
        <f>IF(E487="","",VLOOKUP('Opći dio'!$C$3,'Opći dio'!$L$6:$U$136,10,FALSE))</f>
        <v/>
      </c>
      <c r="B487" s="139" t="str">
        <f>IF(E487="","",VLOOKUP('Opći dio'!$C$3,'Opći dio'!$L$6:$U$136,9,FALSE))</f>
        <v/>
      </c>
      <c r="C487" s="187" t="str">
        <f t="shared" si="38"/>
        <v/>
      </c>
      <c r="D487" s="138" t="str">
        <f t="shared" si="39"/>
        <v/>
      </c>
      <c r="E487" s="150"/>
      <c r="F487" s="191" t="str">
        <f t="shared" si="40"/>
        <v/>
      </c>
      <c r="G487" s="185"/>
      <c r="H487" s="185"/>
      <c r="I487" s="185"/>
      <c r="K487" s="141" t="str">
        <f t="shared" si="41"/>
        <v/>
      </c>
      <c r="L487" s="141" t="str">
        <f t="shared" si="42"/>
        <v/>
      </c>
    </row>
    <row r="488" spans="1:12">
      <c r="A488" s="139" t="str">
        <f>IF(E488="","",VLOOKUP('Opći dio'!$C$3,'Opći dio'!$L$6:$U$136,10,FALSE))</f>
        <v/>
      </c>
      <c r="B488" s="139" t="str">
        <f>IF(E488="","",VLOOKUP('Opći dio'!$C$3,'Opći dio'!$L$6:$U$136,9,FALSE))</f>
        <v/>
      </c>
      <c r="C488" s="187" t="str">
        <f t="shared" si="38"/>
        <v/>
      </c>
      <c r="D488" s="138" t="str">
        <f t="shared" si="39"/>
        <v/>
      </c>
      <c r="E488" s="150"/>
      <c r="F488" s="191" t="str">
        <f t="shared" si="40"/>
        <v/>
      </c>
      <c r="G488" s="185"/>
      <c r="H488" s="185"/>
      <c r="I488" s="185"/>
      <c r="K488" s="141" t="str">
        <f t="shared" si="41"/>
        <v/>
      </c>
      <c r="L488" s="141" t="str">
        <f t="shared" si="42"/>
        <v/>
      </c>
    </row>
    <row r="489" spans="1:12">
      <c r="A489" s="139" t="str">
        <f>IF(E489="","",VLOOKUP('Opći dio'!$C$3,'Opći dio'!$L$6:$U$136,10,FALSE))</f>
        <v/>
      </c>
      <c r="B489" s="139" t="str">
        <f>IF(E489="","",VLOOKUP('Opći dio'!$C$3,'Opći dio'!$L$6:$U$136,9,FALSE))</f>
        <v/>
      </c>
      <c r="C489" s="187" t="str">
        <f t="shared" si="38"/>
        <v/>
      </c>
      <c r="D489" s="138" t="str">
        <f t="shared" si="39"/>
        <v/>
      </c>
      <c r="E489" s="150"/>
      <c r="F489" s="191" t="str">
        <f t="shared" si="40"/>
        <v/>
      </c>
      <c r="G489" s="185"/>
      <c r="H489" s="185"/>
      <c r="I489" s="185"/>
      <c r="K489" s="141" t="str">
        <f t="shared" si="41"/>
        <v/>
      </c>
      <c r="L489" s="141" t="str">
        <f t="shared" si="42"/>
        <v/>
      </c>
    </row>
    <row r="490" spans="1:12">
      <c r="A490" s="139" t="str">
        <f>IF(E490="","",VLOOKUP('Opći dio'!$C$3,'Opći dio'!$L$6:$U$136,10,FALSE))</f>
        <v/>
      </c>
      <c r="B490" s="139" t="str">
        <f>IF(E490="","",VLOOKUP('Opći dio'!$C$3,'Opći dio'!$L$6:$U$136,9,FALSE))</f>
        <v/>
      </c>
      <c r="C490" s="187" t="str">
        <f t="shared" si="38"/>
        <v/>
      </c>
      <c r="D490" s="138" t="str">
        <f t="shared" si="39"/>
        <v/>
      </c>
      <c r="E490" s="150"/>
      <c r="F490" s="191" t="str">
        <f t="shared" si="40"/>
        <v/>
      </c>
      <c r="G490" s="185"/>
      <c r="H490" s="185"/>
      <c r="I490" s="185"/>
      <c r="K490" s="141" t="str">
        <f t="shared" si="41"/>
        <v/>
      </c>
      <c r="L490" s="141" t="str">
        <f t="shared" si="42"/>
        <v/>
      </c>
    </row>
    <row r="491" spans="1:12">
      <c r="A491" s="139" t="str">
        <f>IF(E491="","",VLOOKUP('Opći dio'!$C$3,'Opći dio'!$L$6:$U$136,10,FALSE))</f>
        <v/>
      </c>
      <c r="B491" s="139" t="str">
        <f>IF(E491="","",VLOOKUP('Opći dio'!$C$3,'Opći dio'!$L$6:$U$136,9,FALSE))</f>
        <v/>
      </c>
      <c r="C491" s="187" t="str">
        <f t="shared" si="38"/>
        <v/>
      </c>
      <c r="D491" s="138" t="str">
        <f t="shared" si="39"/>
        <v/>
      </c>
      <c r="E491" s="150"/>
      <c r="F491" s="191" t="str">
        <f t="shared" si="40"/>
        <v/>
      </c>
      <c r="G491" s="185"/>
      <c r="H491" s="185"/>
      <c r="I491" s="185"/>
      <c r="K491" s="141" t="str">
        <f t="shared" si="41"/>
        <v/>
      </c>
      <c r="L491" s="141" t="str">
        <f t="shared" si="42"/>
        <v/>
      </c>
    </row>
    <row r="492" spans="1:12">
      <c r="A492" s="139" t="str">
        <f>IF(E492="","",VLOOKUP('Opći dio'!$C$3,'Opći dio'!$L$6:$U$136,10,FALSE))</f>
        <v/>
      </c>
      <c r="B492" s="139" t="str">
        <f>IF(E492="","",VLOOKUP('Opći dio'!$C$3,'Opći dio'!$L$6:$U$136,9,FALSE))</f>
        <v/>
      </c>
      <c r="C492" s="187" t="str">
        <f t="shared" si="38"/>
        <v/>
      </c>
      <c r="D492" s="138" t="str">
        <f t="shared" si="39"/>
        <v/>
      </c>
      <c r="E492" s="150"/>
      <c r="F492" s="191" t="str">
        <f t="shared" si="40"/>
        <v/>
      </c>
      <c r="G492" s="185"/>
      <c r="H492" s="185"/>
      <c r="I492" s="185"/>
      <c r="K492" s="141" t="str">
        <f t="shared" si="41"/>
        <v/>
      </c>
      <c r="L492" s="141" t="str">
        <f t="shared" si="42"/>
        <v/>
      </c>
    </row>
    <row r="493" spans="1:12">
      <c r="A493" s="139" t="str">
        <f>IF(E493="","",VLOOKUP('Opći dio'!$C$3,'Opći dio'!$L$6:$U$136,10,FALSE))</f>
        <v/>
      </c>
      <c r="B493" s="139" t="str">
        <f>IF(E493="","",VLOOKUP('Opći dio'!$C$3,'Opći dio'!$L$6:$U$136,9,FALSE))</f>
        <v/>
      </c>
      <c r="C493" s="187" t="str">
        <f t="shared" si="38"/>
        <v/>
      </c>
      <c r="D493" s="138" t="str">
        <f t="shared" si="39"/>
        <v/>
      </c>
      <c r="E493" s="150"/>
      <c r="F493" s="191" t="str">
        <f t="shared" si="40"/>
        <v/>
      </c>
      <c r="G493" s="185"/>
      <c r="H493" s="185"/>
      <c r="I493" s="185"/>
      <c r="K493" s="141" t="str">
        <f t="shared" si="41"/>
        <v/>
      </c>
      <c r="L493" s="141" t="str">
        <f t="shared" si="42"/>
        <v/>
      </c>
    </row>
    <row r="494" spans="1:12">
      <c r="A494" s="139" t="str">
        <f>IF(E494="","",VLOOKUP('Opći dio'!$C$3,'Opći dio'!$L$6:$U$136,10,FALSE))</f>
        <v/>
      </c>
      <c r="B494" s="139" t="str">
        <f>IF(E494="","",VLOOKUP('Opći dio'!$C$3,'Opći dio'!$L$6:$U$136,9,FALSE))</f>
        <v/>
      </c>
      <c r="C494" s="187" t="str">
        <f t="shared" si="38"/>
        <v/>
      </c>
      <c r="D494" s="138" t="str">
        <f t="shared" si="39"/>
        <v/>
      </c>
      <c r="E494" s="150"/>
      <c r="F494" s="191" t="str">
        <f t="shared" si="40"/>
        <v/>
      </c>
      <c r="G494" s="185"/>
      <c r="H494" s="185"/>
      <c r="I494" s="185"/>
      <c r="K494" s="141" t="str">
        <f t="shared" si="41"/>
        <v/>
      </c>
      <c r="L494" s="141" t="str">
        <f t="shared" si="42"/>
        <v/>
      </c>
    </row>
    <row r="495" spans="1:12">
      <c r="A495" s="139" t="str">
        <f>IF(E495="","",VLOOKUP('Opći dio'!$C$3,'Opći dio'!$L$6:$U$136,10,FALSE))</f>
        <v/>
      </c>
      <c r="B495" s="139" t="str">
        <f>IF(E495="","",VLOOKUP('Opći dio'!$C$3,'Opći dio'!$L$6:$U$136,9,FALSE))</f>
        <v/>
      </c>
      <c r="C495" s="187" t="str">
        <f t="shared" si="38"/>
        <v/>
      </c>
      <c r="D495" s="138" t="str">
        <f t="shared" si="39"/>
        <v/>
      </c>
      <c r="E495" s="150"/>
      <c r="F495" s="191" t="str">
        <f t="shared" si="40"/>
        <v/>
      </c>
      <c r="G495" s="185"/>
      <c r="H495" s="185"/>
      <c r="I495" s="185"/>
      <c r="K495" s="141" t="str">
        <f t="shared" si="41"/>
        <v/>
      </c>
      <c r="L495" s="141" t="str">
        <f t="shared" si="42"/>
        <v/>
      </c>
    </row>
    <row r="496" spans="1:12">
      <c r="A496" s="139" t="str">
        <f>IF(E496="","",VLOOKUP('Opći dio'!$C$3,'Opći dio'!$L$6:$U$136,10,FALSE))</f>
        <v/>
      </c>
      <c r="B496" s="139" t="str">
        <f>IF(E496="","",VLOOKUP('Opći dio'!$C$3,'Opći dio'!$L$6:$U$136,9,FALSE))</f>
        <v/>
      </c>
      <c r="C496" s="187" t="str">
        <f t="shared" si="38"/>
        <v/>
      </c>
      <c r="D496" s="138" t="str">
        <f t="shared" si="39"/>
        <v/>
      </c>
      <c r="E496" s="150"/>
      <c r="F496" s="191" t="str">
        <f t="shared" si="40"/>
        <v/>
      </c>
      <c r="G496" s="185"/>
      <c r="H496" s="185"/>
      <c r="I496" s="185"/>
      <c r="K496" s="141" t="str">
        <f t="shared" si="41"/>
        <v/>
      </c>
      <c r="L496" s="141" t="str">
        <f t="shared" si="42"/>
        <v/>
      </c>
    </row>
    <row r="497" spans="1:12">
      <c r="A497" s="139" t="str">
        <f>IF(E497="","",VLOOKUP('Opći dio'!$C$3,'Opći dio'!$L$6:$U$136,10,FALSE))</f>
        <v/>
      </c>
      <c r="B497" s="139" t="str">
        <f>IF(E497="","",VLOOKUP('Opći dio'!$C$3,'Opći dio'!$L$6:$U$136,9,FALSE))</f>
        <v/>
      </c>
      <c r="C497" s="187" t="str">
        <f t="shared" si="38"/>
        <v/>
      </c>
      <c r="D497" s="138" t="str">
        <f t="shared" si="39"/>
        <v/>
      </c>
      <c r="E497" s="150"/>
      <c r="F497" s="191" t="str">
        <f t="shared" si="40"/>
        <v/>
      </c>
      <c r="G497" s="185"/>
      <c r="H497" s="185"/>
      <c r="I497" s="185"/>
      <c r="K497" s="141" t="str">
        <f t="shared" si="41"/>
        <v/>
      </c>
      <c r="L497" s="141" t="str">
        <f t="shared" si="42"/>
        <v/>
      </c>
    </row>
    <row r="498" spans="1:12">
      <c r="A498" s="139" t="str">
        <f>IF(E498="","",VLOOKUP('Opći dio'!$C$3,'Opći dio'!$L$6:$U$136,10,FALSE))</f>
        <v/>
      </c>
      <c r="B498" s="139" t="str">
        <f>IF(E498="","",VLOOKUP('Opći dio'!$C$3,'Opći dio'!$L$6:$U$136,9,FALSE))</f>
        <v/>
      </c>
      <c r="C498" s="187" t="str">
        <f t="shared" si="38"/>
        <v/>
      </c>
      <c r="D498" s="138" t="str">
        <f t="shared" si="39"/>
        <v/>
      </c>
      <c r="E498" s="150"/>
      <c r="F498" s="191" t="str">
        <f t="shared" si="40"/>
        <v/>
      </c>
      <c r="G498" s="185"/>
      <c r="H498" s="185"/>
      <c r="I498" s="185"/>
      <c r="K498" s="141" t="str">
        <f t="shared" si="41"/>
        <v/>
      </c>
      <c r="L498" s="141" t="str">
        <f t="shared" si="42"/>
        <v/>
      </c>
    </row>
    <row r="499" spans="1:12">
      <c r="A499" s="139" t="str">
        <f>IF(E499="","",VLOOKUP('Opći dio'!$C$3,'Opći dio'!$L$6:$U$136,10,FALSE))</f>
        <v/>
      </c>
      <c r="B499" s="139" t="str">
        <f>IF(E499="","",VLOOKUP('Opći dio'!$C$3,'Opći dio'!$L$6:$U$136,9,FALSE))</f>
        <v/>
      </c>
      <c r="C499" s="187" t="str">
        <f t="shared" si="38"/>
        <v/>
      </c>
      <c r="D499" s="138" t="str">
        <f t="shared" si="39"/>
        <v/>
      </c>
      <c r="E499" s="150"/>
      <c r="F499" s="191" t="str">
        <f t="shared" si="40"/>
        <v/>
      </c>
      <c r="G499" s="185"/>
      <c r="H499" s="185"/>
      <c r="I499" s="185"/>
      <c r="K499" s="141" t="str">
        <f t="shared" si="41"/>
        <v/>
      </c>
      <c r="L499" s="141" t="str">
        <f t="shared" si="42"/>
        <v/>
      </c>
    </row>
    <row r="500" spans="1:12">
      <c r="A500" s="139" t="str">
        <f>IF(E500="","",VLOOKUP('Opći dio'!$C$3,'Opći dio'!$L$6:$U$136,10,FALSE))</f>
        <v/>
      </c>
      <c r="B500" s="139" t="str">
        <f>IF(E500="","",VLOOKUP('Opći dio'!$C$3,'Opći dio'!$L$6:$U$136,9,FALSE))</f>
        <v/>
      </c>
      <c r="C500" s="187" t="str">
        <f t="shared" si="38"/>
        <v/>
      </c>
      <c r="D500" s="138" t="str">
        <f t="shared" si="39"/>
        <v/>
      </c>
      <c r="E500" s="150"/>
      <c r="F500" s="191" t="str">
        <f t="shared" si="40"/>
        <v/>
      </c>
      <c r="G500" s="185"/>
      <c r="H500" s="185"/>
      <c r="I500" s="185"/>
      <c r="K500" s="141" t="str">
        <f t="shared" si="41"/>
        <v/>
      </c>
      <c r="L500" s="141" t="str">
        <f t="shared" si="42"/>
        <v/>
      </c>
    </row>
    <row r="501" spans="1:12">
      <c r="A501" s="139" t="str">
        <f>IF(E501="","",VLOOKUP('Opći dio'!$C$3,'Opći dio'!$L$6:$U$136,10,FALSE))</f>
        <v/>
      </c>
      <c r="B501" s="139" t="str">
        <f>IF(E501="","",VLOOKUP('Opći dio'!$C$3,'Opći dio'!$L$6:$U$136,9,FALSE))</f>
        <v/>
      </c>
      <c r="C501" s="187" t="str">
        <f t="shared" si="38"/>
        <v/>
      </c>
      <c r="D501" s="138" t="str">
        <f t="shared" si="39"/>
        <v/>
      </c>
      <c r="E501" s="150"/>
      <c r="F501" s="191" t="str">
        <f t="shared" si="40"/>
        <v/>
      </c>
      <c r="G501" s="185"/>
      <c r="H501" s="185"/>
      <c r="I501" s="185"/>
      <c r="K501" s="141" t="str">
        <f t="shared" si="41"/>
        <v/>
      </c>
      <c r="L501" s="141" t="str">
        <f t="shared" si="42"/>
        <v/>
      </c>
    </row>
    <row r="502" spans="1:12"/>
    <row r="503" spans="1:12" hidden="1"/>
    <row r="504" spans="1:12" hidden="1"/>
    <row r="505" spans="1:12" hidden="1"/>
    <row r="506" spans="1:12" hidden="1"/>
    <row r="507" spans="1:12" hidden="1"/>
    <row r="508" spans="1:12" hidden="1"/>
  </sheetData>
  <sheetProtection password="DE31" sheet="1" objects="1" scenarios="1" selectLockedCells="1"/>
  <autoFilter ref="Q5:U105"/>
  <sortState ref="Q8:U105">
    <sortCondition ref="Q8"/>
  </sortState>
  <mergeCells count="1">
    <mergeCell ref="A1:D1"/>
  </mergeCells>
  <phoneticPr fontId="39" type="noConversion"/>
  <dataValidations count="2">
    <dataValidation type="whole" allowBlank="1" showInputMessage="1" showErrorMessage="1" errorTitle="GREŠKA" error="U ovo polje je dozvoljen unos samo brojčanih vrijednosti (bez decimala!)" sqref="G3:I501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E3:E501">
      <formula1>$Q$6:$Q$105</formula1>
    </dataValidation>
  </dataValidations>
  <pageMargins left="0.70866141732283472" right="0.70866141732283472" top="0.74803149606299213" bottom="0.74803149606299213" header="0.31496062992125984" footer="0.31496062992125984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07"/>
  <sheetViews>
    <sheetView showGridLines="0" topLeftCell="D1" zoomScaleNormal="100" workbookViewId="0">
      <pane ySplit="2" topLeftCell="A3" activePane="bottomLeft" state="frozen"/>
      <selection pane="bottomLeft" activeCell="K104" sqref="K104"/>
    </sheetView>
  </sheetViews>
  <sheetFormatPr defaultColWidth="9.140625" defaultRowHeight="15" zeroHeight="1"/>
  <cols>
    <col min="1" max="1" width="8.28515625" style="141" customWidth="1"/>
    <col min="2" max="2" width="20.28515625" style="141" customWidth="1"/>
    <col min="3" max="3" width="11.5703125" style="141" customWidth="1"/>
    <col min="4" max="4" width="33" style="141" customWidth="1"/>
    <col min="5" max="5" width="11.28515625" style="141" customWidth="1"/>
    <col min="6" max="6" width="21.85546875" style="141" customWidth="1"/>
    <col min="7" max="7" width="12.5703125" style="141" customWidth="1"/>
    <col min="8" max="8" width="36.7109375" style="141" customWidth="1"/>
    <col min="9" max="9" width="16.42578125" style="142" customWidth="1"/>
    <col min="10" max="10" width="15.7109375" style="142" customWidth="1"/>
    <col min="11" max="11" width="15.140625" style="142" customWidth="1"/>
    <col min="12" max="12" width="9.140625" style="141" customWidth="1"/>
    <col min="13" max="15" width="9.140625" style="141" hidden="1" customWidth="1"/>
    <col min="16" max="16" width="46.5703125" style="141" hidden="1" customWidth="1"/>
    <col min="17" max="18" width="9.140625" style="141" hidden="1" customWidth="1"/>
    <col min="19" max="19" width="58.85546875" style="141" hidden="1" customWidth="1"/>
    <col min="20" max="25" width="9.140625" style="141" hidden="1" customWidth="1"/>
    <col min="26" max="42" width="0" style="141" hidden="1" customWidth="1"/>
    <col min="43" max="16384" width="9.140625" style="141"/>
  </cols>
  <sheetData>
    <row r="1" spans="1:25" ht="35.25" customHeight="1">
      <c r="A1" s="297" t="s">
        <v>757</v>
      </c>
      <c r="B1" s="297"/>
      <c r="C1" s="297"/>
      <c r="D1" s="297"/>
      <c r="E1" s="190" t="str">
        <f>IF('Opći dio'!C3="odaberite -","Molimo odaberite proračunskog korisnika na radnom listu Opći podaci!","")</f>
        <v/>
      </c>
    </row>
    <row r="2" spans="1:25" ht="36" customHeight="1">
      <c r="A2" s="143" t="s">
        <v>43</v>
      </c>
      <c r="B2" s="143" t="s">
        <v>44</v>
      </c>
      <c r="C2" s="148" t="s">
        <v>786</v>
      </c>
      <c r="D2" s="143" t="s">
        <v>46</v>
      </c>
      <c r="E2" s="148" t="s">
        <v>784</v>
      </c>
      <c r="F2" s="143" t="s">
        <v>785</v>
      </c>
      <c r="G2" s="148" t="s">
        <v>787</v>
      </c>
      <c r="H2" s="143" t="s">
        <v>48</v>
      </c>
      <c r="I2" s="192" t="s">
        <v>2141</v>
      </c>
      <c r="J2" s="192" t="s">
        <v>2142</v>
      </c>
      <c r="K2" s="192" t="s">
        <v>2143</v>
      </c>
      <c r="M2" s="144" t="s">
        <v>759</v>
      </c>
      <c r="N2" s="144" t="s">
        <v>760</v>
      </c>
    </row>
    <row r="3" spans="1:25">
      <c r="A3" s="145" t="str">
        <f>IF(C3="","",VLOOKUP('Opći dio'!$C$3,'Opći dio'!$L$6:$U$136,10,FALSE))</f>
        <v>08006</v>
      </c>
      <c r="B3" s="145" t="str">
        <f>IF(C3="","",VLOOKUP('Opći dio'!$C$3,'Opći dio'!$L$6:$U$136,9,FALSE))</f>
        <v>Sveučilišta i veleučilišta u Republici Hrvatskoj</v>
      </c>
      <c r="C3" s="151">
        <v>11</v>
      </c>
      <c r="D3" s="146" t="str">
        <f t="shared" ref="D3" si="0">IFERROR(VLOOKUP(C3,$O$6:$P$23,2,FALSE),"")</f>
        <v>Opći prihodi i primici</v>
      </c>
      <c r="E3" s="151">
        <v>3111</v>
      </c>
      <c r="F3" s="146" t="str">
        <f t="shared" ref="F3" si="1">IFERROR(VLOOKUP(E3,$R$5:$T$129,2,FALSE),"")</f>
        <v>Plaće za redovan rad</v>
      </c>
      <c r="G3" s="186" t="s">
        <v>65</v>
      </c>
      <c r="H3" s="146" t="str">
        <f t="shared" ref="H3" si="2">IFERROR(VLOOKUP(G3,$X$6:$Y$200,2,FALSE),"")</f>
        <v>REDOVNA DJELATNOST SVEUČILIŠTA U RIJECI</v>
      </c>
      <c r="I3" s="185">
        <v>17512630</v>
      </c>
      <c r="J3" s="185">
        <v>18072200</v>
      </c>
      <c r="K3" s="185">
        <v>18162430</v>
      </c>
      <c r="M3" s="141" t="str">
        <f>LEFT(E3,3)</f>
        <v>311</v>
      </c>
      <c r="N3" s="141" t="str">
        <f>LEFT(E3,2)</f>
        <v>31</v>
      </c>
    </row>
    <row r="4" spans="1:25">
      <c r="A4" s="145" t="str">
        <f>IF(C4="","",VLOOKUP('Opći dio'!$C$3,'Opći dio'!$L$6:$U$136,10,FALSE))</f>
        <v>08006</v>
      </c>
      <c r="B4" s="145" t="str">
        <f>IF(C4="","",VLOOKUP('Opći dio'!$C$3,'Opći dio'!$L$6:$U$136,9,FALSE))</f>
        <v>Sveučilišta i veleučilišta u Republici Hrvatskoj</v>
      </c>
      <c r="C4" s="151">
        <v>11</v>
      </c>
      <c r="D4" s="146" t="str">
        <f t="shared" ref="D4:D67" si="3">IFERROR(VLOOKUP(C4,$O$6:$P$23,2,FALSE),"")</f>
        <v>Opći prihodi i primici</v>
      </c>
      <c r="E4" s="151">
        <v>3132</v>
      </c>
      <c r="F4" s="146" t="str">
        <f t="shared" ref="F4:F67" si="4">IFERROR(VLOOKUP(E4,$R$5:$T$129,2,FALSE),"")</f>
        <v>Doprinosi za obvezno zdravstveno osiguranje</v>
      </c>
      <c r="G4" s="186" t="s">
        <v>65</v>
      </c>
      <c r="H4" s="146" t="str">
        <f t="shared" ref="H4:H67" si="5">IFERROR(VLOOKUP(G4,$X$6:$Y$200,2,FALSE),"")</f>
        <v>REDOVNA DJELATNOST SVEUČILIŠTA U RIJECI</v>
      </c>
      <c r="I4" s="185">
        <v>2889600</v>
      </c>
      <c r="J4" s="185">
        <v>2981930</v>
      </c>
      <c r="K4" s="185">
        <v>2996820</v>
      </c>
      <c r="M4" s="141" t="str">
        <f t="shared" ref="M4:M67" si="6">LEFT(E4,3)</f>
        <v>313</v>
      </c>
      <c r="N4" s="141" t="str">
        <f t="shared" ref="N4:N67" si="7">LEFT(E4,2)</f>
        <v>31</v>
      </c>
      <c r="R4" s="147"/>
      <c r="S4" s="147"/>
    </row>
    <row r="5" spans="1:25">
      <c r="A5" s="145" t="str">
        <f>IF(C5="","",VLOOKUP('Opći dio'!$C$3,'Opći dio'!$L$6:$U$136,10,FALSE))</f>
        <v>08006</v>
      </c>
      <c r="B5" s="145" t="str">
        <f>IF(C5="","",VLOOKUP('Opći dio'!$C$3,'Opći dio'!$L$6:$U$136,9,FALSE))</f>
        <v>Sveučilišta i veleučilišta u Republici Hrvatskoj</v>
      </c>
      <c r="C5" s="151">
        <v>11</v>
      </c>
      <c r="D5" s="146" t="str">
        <f t="shared" si="3"/>
        <v>Opći prihodi i primici</v>
      </c>
      <c r="E5" s="151">
        <v>3121</v>
      </c>
      <c r="F5" s="146" t="str">
        <f t="shared" si="4"/>
        <v>Ostali rashodi za zaposlene</v>
      </c>
      <c r="G5" s="186" t="s">
        <v>65</v>
      </c>
      <c r="H5" s="146" t="str">
        <f t="shared" si="5"/>
        <v>REDOVNA DJELATNOST SVEUČILIŠTA U RIJECI</v>
      </c>
      <c r="I5" s="185">
        <v>418500</v>
      </c>
      <c r="J5" s="185">
        <v>428480</v>
      </c>
      <c r="K5" s="185">
        <v>430200</v>
      </c>
      <c r="M5" s="141" t="str">
        <f t="shared" si="6"/>
        <v>312</v>
      </c>
      <c r="N5" s="141" t="str">
        <f t="shared" si="7"/>
        <v>31</v>
      </c>
      <c r="O5" s="141" t="s">
        <v>45</v>
      </c>
      <c r="P5" s="141" t="s">
        <v>46</v>
      </c>
      <c r="R5" s="141">
        <v>3111</v>
      </c>
      <c r="S5" s="141" t="s">
        <v>54</v>
      </c>
      <c r="U5" s="141" t="str">
        <f>LEFT(R5,2)</f>
        <v>31</v>
      </c>
      <c r="V5" s="141" t="str">
        <f>LEFT(R5,3)</f>
        <v>311</v>
      </c>
      <c r="X5" s="141" t="s">
        <v>47</v>
      </c>
      <c r="Y5" s="141" t="s">
        <v>48</v>
      </c>
    </row>
    <row r="6" spans="1:25">
      <c r="A6" s="145" t="str">
        <f>IF(C6="","",VLOOKUP('Opći dio'!$C$3,'Opći dio'!$L$6:$U$136,10,FALSE))</f>
        <v>08006</v>
      </c>
      <c r="B6" s="145" t="str">
        <f>IF(C6="","",VLOOKUP('Opći dio'!$C$3,'Opći dio'!$L$6:$U$136,9,FALSE))</f>
        <v>Sveučilišta i veleučilišta u Republici Hrvatskoj</v>
      </c>
      <c r="C6" s="151">
        <v>11</v>
      </c>
      <c r="D6" s="146" t="str">
        <f t="shared" si="3"/>
        <v>Opći prihodi i primici</v>
      </c>
      <c r="E6" s="151">
        <v>3212</v>
      </c>
      <c r="F6" s="146" t="str">
        <f t="shared" si="4"/>
        <v>Naknade za prijevoz, za rad na terenu i odvojeni život</v>
      </c>
      <c r="G6" s="186" t="s">
        <v>65</v>
      </c>
      <c r="H6" s="146" t="str">
        <f t="shared" si="5"/>
        <v>REDOVNA DJELATNOST SVEUČILIŠTA U RIJECI</v>
      </c>
      <c r="I6" s="185">
        <v>342170</v>
      </c>
      <c r="J6" s="185">
        <v>355000</v>
      </c>
      <c r="K6" s="185">
        <v>355000</v>
      </c>
      <c r="M6" s="141" t="str">
        <f t="shared" si="6"/>
        <v>321</v>
      </c>
      <c r="N6" s="141" t="str">
        <f t="shared" si="7"/>
        <v>32</v>
      </c>
      <c r="O6" s="141">
        <v>11</v>
      </c>
      <c r="P6" s="141" t="s">
        <v>53</v>
      </c>
      <c r="R6" s="141">
        <v>3112</v>
      </c>
      <c r="S6" s="141" t="s">
        <v>153</v>
      </c>
      <c r="U6" s="141" t="str">
        <f>LEFT(R6,2)</f>
        <v>31</v>
      </c>
      <c r="V6" s="141" t="str">
        <f>LEFT(R6,3)</f>
        <v>311</v>
      </c>
      <c r="X6" s="141" t="s">
        <v>1564</v>
      </c>
      <c r="Y6" s="141" t="s">
        <v>1564</v>
      </c>
    </row>
    <row r="7" spans="1:25">
      <c r="A7" s="145" t="str">
        <f>IF(C7="","",VLOOKUP('Opći dio'!$C$3,'Opći dio'!$L$6:$U$136,10,FALSE))</f>
        <v>08006</v>
      </c>
      <c r="B7" s="145" t="str">
        <f>IF(C7="","",VLOOKUP('Opći dio'!$C$3,'Opći dio'!$L$6:$U$136,9,FALSE))</f>
        <v>Sveučilišta i veleučilišta u Republici Hrvatskoj</v>
      </c>
      <c r="C7" s="151">
        <v>11</v>
      </c>
      <c r="D7" s="146" t="str">
        <f t="shared" si="3"/>
        <v>Opći prihodi i primici</v>
      </c>
      <c r="E7" s="151">
        <v>3236</v>
      </c>
      <c r="F7" s="146" t="str">
        <f t="shared" si="4"/>
        <v>Zdravstvene i veterinarske usluge</v>
      </c>
      <c r="G7" s="186" t="s">
        <v>65</v>
      </c>
      <c r="H7" s="146" t="str">
        <f t="shared" si="5"/>
        <v>REDOVNA DJELATNOST SVEUČILIŠTA U RIJECI</v>
      </c>
      <c r="I7" s="185">
        <v>22000</v>
      </c>
      <c r="J7" s="185">
        <v>24000</v>
      </c>
      <c r="K7" s="185">
        <v>26000</v>
      </c>
      <c r="M7" s="141" t="str">
        <f t="shared" si="6"/>
        <v>323</v>
      </c>
      <c r="N7" s="141" t="str">
        <f t="shared" si="7"/>
        <v>32</v>
      </c>
      <c r="O7" s="141">
        <v>12</v>
      </c>
      <c r="P7" s="141" t="s">
        <v>263</v>
      </c>
      <c r="R7" s="141">
        <v>3113</v>
      </c>
      <c r="S7" s="141" t="s">
        <v>132</v>
      </c>
      <c r="U7" s="141" t="str">
        <f>LEFT(R7,2)</f>
        <v>31</v>
      </c>
      <c r="V7" s="141" t="str">
        <f>LEFT(R7,3)</f>
        <v>311</v>
      </c>
      <c r="X7" t="s">
        <v>2028</v>
      </c>
      <c r="Y7" t="s">
        <v>2029</v>
      </c>
    </row>
    <row r="8" spans="1:25">
      <c r="A8" s="145" t="str">
        <f>IF(C8="","",VLOOKUP('Opći dio'!$C$3,'Opći dio'!$L$6:$U$136,10,FALSE))</f>
        <v>08006</v>
      </c>
      <c r="B8" s="145" t="str">
        <f>IF(C8="","",VLOOKUP('Opći dio'!$C$3,'Opći dio'!$L$6:$U$136,9,FALSE))</f>
        <v>Sveučilišta i veleučilišta u Republici Hrvatskoj</v>
      </c>
      <c r="C8" s="151">
        <v>11</v>
      </c>
      <c r="D8" s="146" t="str">
        <f t="shared" si="3"/>
        <v>Opći prihodi i primici</v>
      </c>
      <c r="E8" s="151">
        <v>3295</v>
      </c>
      <c r="F8" s="146" t="str">
        <f t="shared" si="4"/>
        <v>Pristojbe i naknade</v>
      </c>
      <c r="G8" s="186" t="s">
        <v>65</v>
      </c>
      <c r="H8" s="146" t="str">
        <f t="shared" si="5"/>
        <v>REDOVNA DJELATNOST SVEUČILIŠTA U RIJECI</v>
      </c>
      <c r="I8" s="185">
        <v>36150</v>
      </c>
      <c r="J8" s="185">
        <v>37500</v>
      </c>
      <c r="K8" s="185">
        <v>38000</v>
      </c>
      <c r="M8" s="141" t="str">
        <f t="shared" si="6"/>
        <v>329</v>
      </c>
      <c r="N8" s="141" t="str">
        <f t="shared" si="7"/>
        <v>32</v>
      </c>
      <c r="O8" s="141">
        <v>31</v>
      </c>
      <c r="P8" s="141" t="s">
        <v>98</v>
      </c>
      <c r="R8" s="141">
        <v>3114</v>
      </c>
      <c r="S8" s="141" t="s">
        <v>154</v>
      </c>
      <c r="U8" s="141" t="str">
        <f>LEFT(R8,2)</f>
        <v>31</v>
      </c>
      <c r="V8" s="141" t="str">
        <f>LEFT(R8,3)</f>
        <v>311</v>
      </c>
      <c r="X8" t="s">
        <v>2030</v>
      </c>
      <c r="Y8" t="s">
        <v>2031</v>
      </c>
    </row>
    <row r="9" spans="1:25">
      <c r="A9" s="145" t="str">
        <f>IF(C9="","",VLOOKUP('Opći dio'!$C$3,'Opći dio'!$L$6:$U$136,10,FALSE))</f>
        <v/>
      </c>
      <c r="B9" s="145" t="str">
        <f>IF(C9="","",VLOOKUP('Opći dio'!$C$3,'Opći dio'!$L$6:$U$136,9,FALSE))</f>
        <v/>
      </c>
      <c r="C9" s="151"/>
      <c r="D9" s="146" t="str">
        <f t="shared" si="3"/>
        <v/>
      </c>
      <c r="E9" s="151"/>
      <c r="F9" s="146" t="str">
        <f t="shared" si="4"/>
        <v/>
      </c>
      <c r="G9" s="186"/>
      <c r="H9" s="146" t="str">
        <f t="shared" si="5"/>
        <v/>
      </c>
      <c r="I9" s="185"/>
      <c r="J9" s="185"/>
      <c r="K9" s="185"/>
      <c r="M9" s="141" t="str">
        <f t="shared" si="6"/>
        <v/>
      </c>
      <c r="N9" s="141" t="str">
        <f t="shared" si="7"/>
        <v/>
      </c>
      <c r="O9" s="141">
        <v>41</v>
      </c>
      <c r="P9" s="141" t="s">
        <v>1537</v>
      </c>
      <c r="R9" s="141">
        <v>3121</v>
      </c>
      <c r="S9" s="141" t="s">
        <v>57</v>
      </c>
      <c r="U9" s="141" t="str">
        <f>LEFT(R9,2)</f>
        <v>31</v>
      </c>
      <c r="V9" s="141" t="str">
        <f>LEFT(R9,3)</f>
        <v>312</v>
      </c>
      <c r="X9" t="s">
        <v>1211</v>
      </c>
      <c r="Y9" t="s">
        <v>1212</v>
      </c>
    </row>
    <row r="10" spans="1:25">
      <c r="A10" s="145" t="str">
        <f>IF(C10="","",VLOOKUP('Opći dio'!$C$3,'Opći dio'!$L$6:$U$136,10,FALSE))</f>
        <v>08006</v>
      </c>
      <c r="B10" s="145" t="str">
        <f>IF(C10="","",VLOOKUP('Opći dio'!$C$3,'Opći dio'!$L$6:$U$136,9,FALSE))</f>
        <v>Sveučilišta i veleučilišta u Republici Hrvatskoj</v>
      </c>
      <c r="C10" s="151">
        <v>11</v>
      </c>
      <c r="D10" s="146" t="str">
        <f t="shared" si="3"/>
        <v>Opći prihodi i primici</v>
      </c>
      <c r="E10" s="151">
        <v>3132</v>
      </c>
      <c r="F10" s="146" t="str">
        <f t="shared" si="4"/>
        <v>Doprinosi za obvezno zdravstveno osiguranje</v>
      </c>
      <c r="G10" s="186" t="s">
        <v>801</v>
      </c>
      <c r="H10" s="146" t="str">
        <f t="shared" si="5"/>
        <v>PROGRAMSKO FINANCIRANJE JAVNIH VISOKIH UČILIŠTA</v>
      </c>
      <c r="I10" s="185">
        <v>1000</v>
      </c>
      <c r="J10" s="185">
        <v>1000</v>
      </c>
      <c r="K10" s="185">
        <v>1000</v>
      </c>
      <c r="M10" s="141" t="str">
        <f t="shared" si="6"/>
        <v>313</v>
      </c>
      <c r="N10" s="141" t="str">
        <f t="shared" si="7"/>
        <v>31</v>
      </c>
      <c r="O10" s="141">
        <v>43</v>
      </c>
      <c r="P10" s="141" t="s">
        <v>103</v>
      </c>
      <c r="R10" s="195">
        <v>3132</v>
      </c>
      <c r="S10" s="195" t="s">
        <v>58</v>
      </c>
      <c r="T10" s="195"/>
      <c r="U10" s="195" t="str">
        <f t="shared" ref="U10:U41" si="8">LEFT(R10,2)</f>
        <v>31</v>
      </c>
      <c r="V10" s="195" t="str">
        <f t="shared" ref="V10:V41" si="9">LEFT(R10,3)</f>
        <v>313</v>
      </c>
      <c r="X10" t="s">
        <v>2032</v>
      </c>
      <c r="Y10" t="s">
        <v>2033</v>
      </c>
    </row>
    <row r="11" spans="1:25">
      <c r="A11" s="145" t="str">
        <f>IF(C11="","",VLOOKUP('Opći dio'!$C$3,'Opći dio'!$L$6:$U$136,10,FALSE))</f>
        <v>08006</v>
      </c>
      <c r="B11" s="145" t="str">
        <f>IF(C11="","",VLOOKUP('Opći dio'!$C$3,'Opći dio'!$L$6:$U$136,9,FALSE))</f>
        <v>Sveučilišta i veleučilišta u Republici Hrvatskoj</v>
      </c>
      <c r="C11" s="151">
        <v>11</v>
      </c>
      <c r="D11" s="146" t="str">
        <f t="shared" si="3"/>
        <v>Opći prihodi i primici</v>
      </c>
      <c r="E11" s="151">
        <v>3211</v>
      </c>
      <c r="F11" s="146" t="str">
        <f t="shared" si="4"/>
        <v>Službena putovanja</v>
      </c>
      <c r="G11" s="186" t="s">
        <v>801</v>
      </c>
      <c r="H11" s="146" t="str">
        <f t="shared" si="5"/>
        <v>PROGRAMSKO FINANCIRANJE JAVNIH VISOKIH UČILIŠTA</v>
      </c>
      <c r="I11" s="185">
        <v>150000</v>
      </c>
      <c r="J11" s="185">
        <v>150000</v>
      </c>
      <c r="K11" s="185">
        <v>150000</v>
      </c>
      <c r="M11" s="141" t="str">
        <f t="shared" si="6"/>
        <v>321</v>
      </c>
      <c r="N11" s="141" t="str">
        <f t="shared" si="7"/>
        <v>32</v>
      </c>
      <c r="O11" s="141">
        <v>51</v>
      </c>
      <c r="P11" s="141" t="s">
        <v>93</v>
      </c>
      <c r="R11" s="141">
        <v>3211</v>
      </c>
      <c r="S11" s="141" t="s">
        <v>85</v>
      </c>
      <c r="U11" s="141" t="str">
        <f t="shared" si="8"/>
        <v>32</v>
      </c>
      <c r="V11" s="141" t="str">
        <f t="shared" si="9"/>
        <v>321</v>
      </c>
      <c r="X11" t="s">
        <v>1213</v>
      </c>
      <c r="Y11" t="s">
        <v>1214</v>
      </c>
    </row>
    <row r="12" spans="1:25">
      <c r="A12" s="145" t="str">
        <f>IF(C12="","",VLOOKUP('Opći dio'!$C$3,'Opći dio'!$L$6:$U$136,10,FALSE))</f>
        <v>08006</v>
      </c>
      <c r="B12" s="145" t="str">
        <f>IF(C12="","",VLOOKUP('Opći dio'!$C$3,'Opći dio'!$L$6:$U$136,9,FALSE))</f>
        <v>Sveučilišta i veleučilišta u Republici Hrvatskoj</v>
      </c>
      <c r="C12" s="151">
        <v>11</v>
      </c>
      <c r="D12" s="146" t="str">
        <f t="shared" si="3"/>
        <v>Opći prihodi i primici</v>
      </c>
      <c r="E12" s="151">
        <v>3213</v>
      </c>
      <c r="F12" s="146" t="str">
        <f t="shared" si="4"/>
        <v>Stručno usavršavanje zaposlenika</v>
      </c>
      <c r="G12" s="186" t="s">
        <v>801</v>
      </c>
      <c r="H12" s="146" t="str">
        <f t="shared" si="5"/>
        <v>PROGRAMSKO FINANCIRANJE JAVNIH VISOKIH UČILIŠTA</v>
      </c>
      <c r="I12" s="185">
        <v>97000</v>
      </c>
      <c r="J12" s="185">
        <v>97000</v>
      </c>
      <c r="K12" s="185">
        <v>97000</v>
      </c>
      <c r="M12" s="141" t="str">
        <f t="shared" si="6"/>
        <v>321</v>
      </c>
      <c r="N12" s="141" t="str">
        <f t="shared" si="7"/>
        <v>32</v>
      </c>
      <c r="O12" s="141">
        <v>52</v>
      </c>
      <c r="P12" s="141" t="s">
        <v>116</v>
      </c>
      <c r="R12" s="141">
        <v>3212</v>
      </c>
      <c r="S12" s="141" t="s">
        <v>59</v>
      </c>
      <c r="U12" s="141" t="str">
        <f t="shared" si="8"/>
        <v>32</v>
      </c>
      <c r="V12" s="141" t="str">
        <f t="shared" si="9"/>
        <v>321</v>
      </c>
      <c r="X12" t="s">
        <v>2034</v>
      </c>
      <c r="Y12" t="s">
        <v>2035</v>
      </c>
    </row>
    <row r="13" spans="1:25">
      <c r="A13" s="145" t="str">
        <f>IF(C13="","",VLOOKUP('Opći dio'!$C$3,'Opći dio'!$L$6:$U$136,10,FALSE))</f>
        <v>08006</v>
      </c>
      <c r="B13" s="145" t="str">
        <f>IF(C13="","",VLOOKUP('Opći dio'!$C$3,'Opći dio'!$L$6:$U$136,9,FALSE))</f>
        <v>Sveučilišta i veleučilišta u Republici Hrvatskoj</v>
      </c>
      <c r="C13" s="151">
        <v>11</v>
      </c>
      <c r="D13" s="146" t="str">
        <f t="shared" si="3"/>
        <v>Opći prihodi i primici</v>
      </c>
      <c r="E13" s="151">
        <v>3221</v>
      </c>
      <c r="F13" s="146" t="str">
        <f t="shared" si="4"/>
        <v>Uredski materijal i ostali materijalni rashodi</v>
      </c>
      <c r="G13" s="186" t="s">
        <v>801</v>
      </c>
      <c r="H13" s="146" t="str">
        <f t="shared" si="5"/>
        <v>PROGRAMSKO FINANCIRANJE JAVNIH VISOKIH UČILIŠTA</v>
      </c>
      <c r="I13" s="185">
        <v>253000</v>
      </c>
      <c r="J13" s="185">
        <v>350000</v>
      </c>
      <c r="K13" s="185">
        <v>350000</v>
      </c>
      <c r="M13" s="141" t="str">
        <f t="shared" si="6"/>
        <v>322</v>
      </c>
      <c r="N13" s="141" t="str">
        <f t="shared" si="7"/>
        <v>32</v>
      </c>
      <c r="O13" s="141">
        <v>552</v>
      </c>
      <c r="P13" s="141" t="s">
        <v>1538</v>
      </c>
      <c r="R13" s="141">
        <v>3213</v>
      </c>
      <c r="S13" s="141" t="s">
        <v>104</v>
      </c>
      <c r="U13" s="141" t="str">
        <f t="shared" si="8"/>
        <v>32</v>
      </c>
      <c r="V13" s="141" t="str">
        <f t="shared" si="9"/>
        <v>321</v>
      </c>
      <c r="X13" t="s">
        <v>1215</v>
      </c>
      <c r="Y13" t="s">
        <v>1216</v>
      </c>
    </row>
    <row r="14" spans="1:25">
      <c r="A14" s="145" t="str">
        <f>IF(C14="","",VLOOKUP('Opći dio'!$C$3,'Opći dio'!$L$6:$U$136,10,FALSE))</f>
        <v>08006</v>
      </c>
      <c r="B14" s="145" t="str">
        <f>IF(C14="","",VLOOKUP('Opći dio'!$C$3,'Opći dio'!$L$6:$U$136,9,FALSE))</f>
        <v>Sveučilišta i veleučilišta u Republici Hrvatskoj</v>
      </c>
      <c r="C14" s="151">
        <v>11</v>
      </c>
      <c r="D14" s="146" t="str">
        <f t="shared" si="3"/>
        <v>Opći prihodi i primici</v>
      </c>
      <c r="E14" s="151">
        <v>3223</v>
      </c>
      <c r="F14" s="146" t="str">
        <f t="shared" si="4"/>
        <v>Energija</v>
      </c>
      <c r="G14" s="186" t="s">
        <v>801</v>
      </c>
      <c r="H14" s="146" t="str">
        <f t="shared" si="5"/>
        <v>PROGRAMSKO FINANCIRANJE JAVNIH VISOKIH UČILIŠTA</v>
      </c>
      <c r="I14" s="185">
        <v>320000</v>
      </c>
      <c r="J14" s="185">
        <v>320000</v>
      </c>
      <c r="K14" s="185">
        <v>320000</v>
      </c>
      <c r="M14" s="141" t="str">
        <f t="shared" si="6"/>
        <v>322</v>
      </c>
      <c r="N14" s="141" t="str">
        <f t="shared" si="7"/>
        <v>32</v>
      </c>
      <c r="O14" s="141">
        <v>559</v>
      </c>
      <c r="P14" s="141" t="s">
        <v>1539</v>
      </c>
      <c r="R14" s="141">
        <v>3214</v>
      </c>
      <c r="S14" s="141" t="s">
        <v>133</v>
      </c>
      <c r="U14" s="141" t="str">
        <f t="shared" si="8"/>
        <v>32</v>
      </c>
      <c r="V14" s="141" t="str">
        <f t="shared" si="9"/>
        <v>321</v>
      </c>
      <c r="X14" t="s">
        <v>2036</v>
      </c>
      <c r="Y14" t="s">
        <v>2037</v>
      </c>
    </row>
    <row r="15" spans="1:25">
      <c r="A15" s="145" t="str">
        <f>IF(C15="","",VLOOKUP('Opći dio'!$C$3,'Opći dio'!$L$6:$U$136,10,FALSE))</f>
        <v>08006</v>
      </c>
      <c r="B15" s="145" t="str">
        <f>IF(C15="","",VLOOKUP('Opći dio'!$C$3,'Opći dio'!$L$6:$U$136,9,FALSE))</f>
        <v>Sveučilišta i veleučilišta u Republici Hrvatskoj</v>
      </c>
      <c r="C15" s="151">
        <v>11</v>
      </c>
      <c r="D15" s="146" t="str">
        <f t="shared" si="3"/>
        <v>Opći prihodi i primici</v>
      </c>
      <c r="E15" s="151">
        <v>3224</v>
      </c>
      <c r="F15" s="146" t="str">
        <f t="shared" si="4"/>
        <v>Materijal i dijelovi za tekuće i investicijsko održavanje</v>
      </c>
      <c r="G15" s="186" t="s">
        <v>801</v>
      </c>
      <c r="H15" s="146" t="str">
        <f t="shared" si="5"/>
        <v>PROGRAMSKO FINANCIRANJE JAVNIH VISOKIH UČILIŠTA</v>
      </c>
      <c r="I15" s="185">
        <v>115000</v>
      </c>
      <c r="J15" s="185">
        <v>115000</v>
      </c>
      <c r="K15" s="185">
        <v>115000</v>
      </c>
      <c r="M15" s="141" t="str">
        <f t="shared" si="6"/>
        <v>322</v>
      </c>
      <c r="N15" s="141" t="str">
        <f t="shared" si="7"/>
        <v>32</v>
      </c>
      <c r="O15" s="141">
        <v>561</v>
      </c>
      <c r="P15" s="141" t="s">
        <v>118</v>
      </c>
      <c r="R15" s="141">
        <v>3221</v>
      </c>
      <c r="S15" s="141" t="s">
        <v>86</v>
      </c>
      <c r="U15" s="141" t="str">
        <f t="shared" si="8"/>
        <v>32</v>
      </c>
      <c r="V15" s="141" t="str">
        <f t="shared" si="9"/>
        <v>322</v>
      </c>
      <c r="X15" t="s">
        <v>2038</v>
      </c>
      <c r="Y15" t="s">
        <v>2039</v>
      </c>
    </row>
    <row r="16" spans="1:25">
      <c r="A16" s="145" t="str">
        <f>IF(C16="","",VLOOKUP('Opći dio'!$C$3,'Opći dio'!$L$6:$U$136,10,FALSE))</f>
        <v>08006</v>
      </c>
      <c r="B16" s="145" t="str">
        <f>IF(C16="","",VLOOKUP('Opći dio'!$C$3,'Opći dio'!$L$6:$U$136,9,FALSE))</f>
        <v>Sveučilišta i veleučilišta u Republici Hrvatskoj</v>
      </c>
      <c r="C16" s="151">
        <v>11</v>
      </c>
      <c r="D16" s="146" t="str">
        <f t="shared" si="3"/>
        <v>Opći prihodi i primici</v>
      </c>
      <c r="E16" s="151">
        <v>3225</v>
      </c>
      <c r="F16" s="146" t="str">
        <f t="shared" si="4"/>
        <v>Sitni inventar i auto gume</v>
      </c>
      <c r="G16" s="186" t="s">
        <v>801</v>
      </c>
      <c r="H16" s="146" t="str">
        <f t="shared" si="5"/>
        <v>PROGRAMSKO FINANCIRANJE JAVNIH VISOKIH UČILIŠTA</v>
      </c>
      <c r="I16" s="185">
        <v>29000</v>
      </c>
      <c r="J16" s="185">
        <v>29000</v>
      </c>
      <c r="K16" s="185">
        <v>29000</v>
      </c>
      <c r="M16" s="141" t="str">
        <f t="shared" si="6"/>
        <v>322</v>
      </c>
      <c r="N16" s="141" t="str">
        <f t="shared" si="7"/>
        <v>32</v>
      </c>
      <c r="O16" s="141">
        <v>563</v>
      </c>
      <c r="P16" s="141" t="s">
        <v>120</v>
      </c>
      <c r="R16" s="141">
        <v>3222</v>
      </c>
      <c r="S16" s="141" t="s">
        <v>107</v>
      </c>
      <c r="U16" s="141" t="str">
        <f t="shared" si="8"/>
        <v>32</v>
      </c>
      <c r="V16" s="141" t="str">
        <f t="shared" si="9"/>
        <v>322</v>
      </c>
      <c r="X16" t="s">
        <v>2040</v>
      </c>
      <c r="Y16" t="s">
        <v>2041</v>
      </c>
    </row>
    <row r="17" spans="1:25">
      <c r="A17" s="145" t="str">
        <f>IF(C17="","",VLOOKUP('Opći dio'!$C$3,'Opći dio'!$L$6:$U$136,10,FALSE))</f>
        <v>08006</v>
      </c>
      <c r="B17" s="145" t="str">
        <f>IF(C17="","",VLOOKUP('Opći dio'!$C$3,'Opći dio'!$L$6:$U$136,9,FALSE))</f>
        <v>Sveučilišta i veleučilišta u Republici Hrvatskoj</v>
      </c>
      <c r="C17" s="151">
        <v>11</v>
      </c>
      <c r="D17" s="146" t="str">
        <f t="shared" si="3"/>
        <v>Opći prihodi i primici</v>
      </c>
      <c r="E17" s="151">
        <v>3227</v>
      </c>
      <c r="F17" s="146" t="str">
        <f t="shared" si="4"/>
        <v>Službena, radna i zaštitna odjeća i obuća</v>
      </c>
      <c r="G17" s="186" t="s">
        <v>801</v>
      </c>
      <c r="H17" s="146" t="str">
        <f t="shared" si="5"/>
        <v>PROGRAMSKO FINANCIRANJE JAVNIH VISOKIH UČILIŠTA</v>
      </c>
      <c r="I17" s="185">
        <v>14000</v>
      </c>
      <c r="J17" s="185">
        <v>14000</v>
      </c>
      <c r="K17" s="185">
        <v>14000</v>
      </c>
      <c r="M17" s="141" t="str">
        <f t="shared" si="6"/>
        <v>322</v>
      </c>
      <c r="N17" s="141" t="str">
        <f t="shared" si="7"/>
        <v>32</v>
      </c>
      <c r="O17" s="141">
        <v>573</v>
      </c>
      <c r="P17" s="141" t="s">
        <v>1549</v>
      </c>
      <c r="R17" s="141">
        <v>3223</v>
      </c>
      <c r="S17" s="141" t="s">
        <v>95</v>
      </c>
      <c r="U17" s="141" t="str">
        <f t="shared" si="8"/>
        <v>32</v>
      </c>
      <c r="V17" s="141" t="str">
        <f t="shared" si="9"/>
        <v>322</v>
      </c>
      <c r="X17" t="s">
        <v>2042</v>
      </c>
      <c r="Y17" t="s">
        <v>1426</v>
      </c>
    </row>
    <row r="18" spans="1:25">
      <c r="A18" s="145" t="str">
        <f>IF(C18="","",VLOOKUP('Opći dio'!$C$3,'Opći dio'!$L$6:$U$136,10,FALSE))</f>
        <v>08006</v>
      </c>
      <c r="B18" s="145" t="str">
        <f>IF(C18="","",VLOOKUP('Opći dio'!$C$3,'Opći dio'!$L$6:$U$136,9,FALSE))</f>
        <v>Sveučilišta i veleučilišta u Republici Hrvatskoj</v>
      </c>
      <c r="C18" s="151">
        <v>11</v>
      </c>
      <c r="D18" s="146" t="str">
        <f t="shared" si="3"/>
        <v>Opći prihodi i primici</v>
      </c>
      <c r="E18" s="151">
        <v>3231</v>
      </c>
      <c r="F18" s="146" t="str">
        <f t="shared" si="4"/>
        <v>Usluge telefona, pošte i prijevoza</v>
      </c>
      <c r="G18" s="186" t="s">
        <v>801</v>
      </c>
      <c r="H18" s="146" t="str">
        <f t="shared" si="5"/>
        <v>PROGRAMSKO FINANCIRANJE JAVNIH VISOKIH UČILIŠTA</v>
      </c>
      <c r="I18" s="185">
        <v>219000</v>
      </c>
      <c r="J18" s="185">
        <v>219000</v>
      </c>
      <c r="K18" s="185">
        <v>219000</v>
      </c>
      <c r="M18" s="141" t="str">
        <f t="shared" si="6"/>
        <v>323</v>
      </c>
      <c r="N18" s="141" t="str">
        <f t="shared" si="7"/>
        <v>32</v>
      </c>
      <c r="O18" s="141">
        <v>575</v>
      </c>
      <c r="P18" s="141" t="s">
        <v>1551</v>
      </c>
      <c r="R18" s="141">
        <v>3224</v>
      </c>
      <c r="S18" s="141" t="s">
        <v>100</v>
      </c>
      <c r="U18" s="141" t="str">
        <f t="shared" si="8"/>
        <v>32</v>
      </c>
      <c r="V18" s="141" t="str">
        <f t="shared" si="9"/>
        <v>322</v>
      </c>
      <c r="X18" t="s">
        <v>2043</v>
      </c>
      <c r="Y18" t="s">
        <v>2044</v>
      </c>
    </row>
    <row r="19" spans="1:25">
      <c r="A19" s="145" t="str">
        <f>IF(C19="","",VLOOKUP('Opći dio'!$C$3,'Opći dio'!$L$6:$U$136,10,FALSE))</f>
        <v>08006</v>
      </c>
      <c r="B19" s="145" t="str">
        <f>IF(C19="","",VLOOKUP('Opći dio'!$C$3,'Opći dio'!$L$6:$U$136,9,FALSE))</f>
        <v>Sveučilišta i veleučilišta u Republici Hrvatskoj</v>
      </c>
      <c r="C19" s="151">
        <v>11</v>
      </c>
      <c r="D19" s="146" t="str">
        <f t="shared" si="3"/>
        <v>Opći prihodi i primici</v>
      </c>
      <c r="E19" s="151">
        <v>3232</v>
      </c>
      <c r="F19" s="146" t="str">
        <f t="shared" si="4"/>
        <v>Usluge tekućeg i investicijskog održavanja</v>
      </c>
      <c r="G19" s="186" t="s">
        <v>801</v>
      </c>
      <c r="H19" s="146" t="str">
        <f t="shared" si="5"/>
        <v>PROGRAMSKO FINANCIRANJE JAVNIH VISOKIH UČILIŠTA</v>
      </c>
      <c r="I19" s="185">
        <v>300000</v>
      </c>
      <c r="J19" s="185">
        <v>203000</v>
      </c>
      <c r="K19" s="185">
        <v>203000</v>
      </c>
      <c r="M19" s="141" t="str">
        <f t="shared" si="6"/>
        <v>323</v>
      </c>
      <c r="N19" s="141" t="str">
        <f t="shared" si="7"/>
        <v>32</v>
      </c>
      <c r="O19" s="223">
        <v>576</v>
      </c>
      <c r="P19" s="224" t="s">
        <v>2126</v>
      </c>
      <c r="R19" s="141">
        <v>3225</v>
      </c>
      <c r="S19" s="141" t="s">
        <v>108</v>
      </c>
      <c r="U19" s="141" t="str">
        <f t="shared" si="8"/>
        <v>32</v>
      </c>
      <c r="V19" s="141" t="str">
        <f t="shared" si="9"/>
        <v>322</v>
      </c>
      <c r="X19" t="s">
        <v>1225</v>
      </c>
      <c r="Y19" t="s">
        <v>1226</v>
      </c>
    </row>
    <row r="20" spans="1:25">
      <c r="A20" s="145" t="str">
        <f>IF(C20="","",VLOOKUP('Opći dio'!$C$3,'Opći dio'!$L$6:$U$136,10,FALSE))</f>
        <v>08006</v>
      </c>
      <c r="B20" s="145" t="str">
        <f>IF(C20="","",VLOOKUP('Opći dio'!$C$3,'Opći dio'!$L$6:$U$136,9,FALSE))</f>
        <v>Sveučilišta i veleučilišta u Republici Hrvatskoj</v>
      </c>
      <c r="C20" s="151">
        <v>11</v>
      </c>
      <c r="D20" s="146" t="str">
        <f t="shared" si="3"/>
        <v>Opći prihodi i primici</v>
      </c>
      <c r="E20" s="151">
        <v>3233</v>
      </c>
      <c r="F20" s="146" t="str">
        <f t="shared" si="4"/>
        <v>Usluge promidžbe i informiranja</v>
      </c>
      <c r="G20" s="186" t="s">
        <v>801</v>
      </c>
      <c r="H20" s="146" t="str">
        <f t="shared" si="5"/>
        <v>PROGRAMSKO FINANCIRANJE JAVNIH VISOKIH UČILIŠTA</v>
      </c>
      <c r="I20" s="185">
        <v>91000</v>
      </c>
      <c r="J20" s="185">
        <v>91000</v>
      </c>
      <c r="K20" s="185">
        <v>91000</v>
      </c>
      <c r="M20" s="141" t="str">
        <f t="shared" si="6"/>
        <v>323</v>
      </c>
      <c r="N20" s="141" t="str">
        <f t="shared" si="7"/>
        <v>32</v>
      </c>
      <c r="O20" s="141">
        <v>61</v>
      </c>
      <c r="P20" s="141" t="s">
        <v>122</v>
      </c>
      <c r="R20" s="141">
        <v>3226</v>
      </c>
      <c r="S20" s="141" t="s">
        <v>182</v>
      </c>
      <c r="U20" s="141" t="str">
        <f t="shared" si="8"/>
        <v>32</v>
      </c>
      <c r="V20" s="141" t="str">
        <f t="shared" si="9"/>
        <v>322</v>
      </c>
      <c r="X20" t="s">
        <v>1227</v>
      </c>
      <c r="Y20" t="s">
        <v>1228</v>
      </c>
    </row>
    <row r="21" spans="1:25">
      <c r="A21" s="145" t="str">
        <f>IF(C21="","",VLOOKUP('Opći dio'!$C$3,'Opći dio'!$L$6:$U$136,10,FALSE))</f>
        <v>08006</v>
      </c>
      <c r="B21" s="145" t="str">
        <f>IF(C21="","",VLOOKUP('Opći dio'!$C$3,'Opći dio'!$L$6:$U$136,9,FALSE))</f>
        <v>Sveučilišta i veleučilišta u Republici Hrvatskoj</v>
      </c>
      <c r="C21" s="151">
        <v>11</v>
      </c>
      <c r="D21" s="146" t="str">
        <f t="shared" si="3"/>
        <v>Opći prihodi i primici</v>
      </c>
      <c r="E21" s="151">
        <v>3234</v>
      </c>
      <c r="F21" s="146" t="str">
        <f t="shared" si="4"/>
        <v>Komunalne usluge</v>
      </c>
      <c r="G21" s="186" t="s">
        <v>801</v>
      </c>
      <c r="H21" s="146" t="str">
        <f t="shared" si="5"/>
        <v>PROGRAMSKO FINANCIRANJE JAVNIH VISOKIH UČILIŠTA</v>
      </c>
      <c r="I21" s="185">
        <v>203000</v>
      </c>
      <c r="J21" s="185">
        <v>203000</v>
      </c>
      <c r="K21" s="185">
        <v>203000</v>
      </c>
      <c r="M21" s="141" t="str">
        <f t="shared" si="6"/>
        <v>323</v>
      </c>
      <c r="N21" s="141" t="str">
        <f t="shared" si="7"/>
        <v>32</v>
      </c>
      <c r="O21" s="141">
        <v>71</v>
      </c>
      <c r="P21" s="141" t="s">
        <v>180</v>
      </c>
      <c r="R21" s="141">
        <v>3227</v>
      </c>
      <c r="S21" s="141" t="s">
        <v>125</v>
      </c>
      <c r="U21" s="141" t="str">
        <f t="shared" si="8"/>
        <v>32</v>
      </c>
      <c r="V21" s="141" t="str">
        <f t="shared" si="9"/>
        <v>322</v>
      </c>
      <c r="X21" t="s">
        <v>2045</v>
      </c>
      <c r="Y21" t="s">
        <v>2046</v>
      </c>
    </row>
    <row r="22" spans="1:25">
      <c r="A22" s="145" t="str">
        <f>IF(C22="","",VLOOKUP('Opći dio'!$C$3,'Opći dio'!$L$6:$U$136,10,FALSE))</f>
        <v>08006</v>
      </c>
      <c r="B22" s="145" t="str">
        <f>IF(C22="","",VLOOKUP('Opći dio'!$C$3,'Opći dio'!$L$6:$U$136,9,FALSE))</f>
        <v>Sveučilišta i veleučilišta u Republici Hrvatskoj</v>
      </c>
      <c r="C22" s="151">
        <v>11</v>
      </c>
      <c r="D22" s="146" t="str">
        <f t="shared" si="3"/>
        <v>Opći prihodi i primici</v>
      </c>
      <c r="E22" s="151">
        <v>3235</v>
      </c>
      <c r="F22" s="146" t="str">
        <f t="shared" si="4"/>
        <v>Zakupnine i najamnine</v>
      </c>
      <c r="G22" s="186" t="s">
        <v>801</v>
      </c>
      <c r="H22" s="146" t="str">
        <f t="shared" si="5"/>
        <v>PROGRAMSKO FINANCIRANJE JAVNIH VISOKIH UČILIŠTA</v>
      </c>
      <c r="I22" s="185">
        <v>469000</v>
      </c>
      <c r="J22" s="185">
        <v>469000</v>
      </c>
      <c r="K22" s="185">
        <v>469000</v>
      </c>
      <c r="M22" s="141" t="str">
        <f t="shared" si="6"/>
        <v>323</v>
      </c>
      <c r="N22" s="141" t="str">
        <f t="shared" si="7"/>
        <v>32</v>
      </c>
      <c r="O22" s="141">
        <v>81</v>
      </c>
      <c r="P22" s="141" t="s">
        <v>63</v>
      </c>
      <c r="R22" s="141">
        <v>3231</v>
      </c>
      <c r="S22" s="141" t="s">
        <v>109</v>
      </c>
      <c r="U22" s="141" t="str">
        <f t="shared" si="8"/>
        <v>32</v>
      </c>
      <c r="V22" s="141" t="str">
        <f t="shared" si="9"/>
        <v>323</v>
      </c>
      <c r="X22" t="s">
        <v>2047</v>
      </c>
      <c r="Y22" t="s">
        <v>2048</v>
      </c>
    </row>
    <row r="23" spans="1:25">
      <c r="A23" s="145" t="str">
        <f>IF(C23="","",VLOOKUP('Opći dio'!$C$3,'Opći dio'!$L$6:$U$136,10,FALSE))</f>
        <v>08006</v>
      </c>
      <c r="B23" s="145" t="str">
        <f>IF(C23="","",VLOOKUP('Opći dio'!$C$3,'Opći dio'!$L$6:$U$136,9,FALSE))</f>
        <v>Sveučilišta i veleučilišta u Republici Hrvatskoj</v>
      </c>
      <c r="C23" s="151">
        <v>11</v>
      </c>
      <c r="D23" s="146" t="str">
        <f t="shared" si="3"/>
        <v>Opći prihodi i primici</v>
      </c>
      <c r="E23" s="151">
        <v>3237</v>
      </c>
      <c r="F23" s="146" t="str">
        <f t="shared" si="4"/>
        <v>Intelektualne i osobne usluge</v>
      </c>
      <c r="G23" s="186" t="s">
        <v>801</v>
      </c>
      <c r="H23" s="146" t="str">
        <f t="shared" si="5"/>
        <v>PROGRAMSKO FINANCIRANJE JAVNIH VISOKIH UČILIŠTA</v>
      </c>
      <c r="I23" s="185">
        <v>128000</v>
      </c>
      <c r="J23" s="185">
        <v>128000</v>
      </c>
      <c r="K23" s="185">
        <v>128000</v>
      </c>
      <c r="M23" s="141" t="str">
        <f t="shared" si="6"/>
        <v>323</v>
      </c>
      <c r="N23" s="141" t="str">
        <f t="shared" si="7"/>
        <v>32</v>
      </c>
      <c r="O23" s="141">
        <v>83</v>
      </c>
      <c r="P23" s="141" t="s">
        <v>1540</v>
      </c>
      <c r="R23" s="141">
        <v>3232</v>
      </c>
      <c r="S23" s="141" t="s">
        <v>96</v>
      </c>
      <c r="U23" s="141" t="str">
        <f t="shared" si="8"/>
        <v>32</v>
      </c>
      <c r="V23" s="141" t="str">
        <f t="shared" si="9"/>
        <v>323</v>
      </c>
      <c r="X23" t="s">
        <v>1217</v>
      </c>
      <c r="Y23" t="s">
        <v>1218</v>
      </c>
    </row>
    <row r="24" spans="1:25">
      <c r="A24" s="145" t="str">
        <f>IF(C24="","",VLOOKUP('Opći dio'!$C$3,'Opći dio'!$L$6:$U$136,10,FALSE))</f>
        <v>08006</v>
      </c>
      <c r="B24" s="145" t="str">
        <f>IF(C24="","",VLOOKUP('Opći dio'!$C$3,'Opći dio'!$L$6:$U$136,9,FALSE))</f>
        <v>Sveučilišta i veleučilišta u Republici Hrvatskoj</v>
      </c>
      <c r="C24" s="151">
        <v>11</v>
      </c>
      <c r="D24" s="146" t="str">
        <f t="shared" si="3"/>
        <v>Opći prihodi i primici</v>
      </c>
      <c r="E24" s="151">
        <v>3238</v>
      </c>
      <c r="F24" s="146" t="str">
        <f t="shared" si="4"/>
        <v>Računalne usluge</v>
      </c>
      <c r="G24" s="186" t="s">
        <v>801</v>
      </c>
      <c r="H24" s="146" t="str">
        <f t="shared" si="5"/>
        <v>PROGRAMSKO FINANCIRANJE JAVNIH VISOKIH UČILIŠTA</v>
      </c>
      <c r="I24" s="185">
        <v>116000</v>
      </c>
      <c r="J24" s="185">
        <v>116000</v>
      </c>
      <c r="K24" s="185">
        <v>116000</v>
      </c>
      <c r="M24" s="141" t="str">
        <f t="shared" si="6"/>
        <v>323</v>
      </c>
      <c r="N24" s="141" t="str">
        <f t="shared" si="7"/>
        <v>32</v>
      </c>
      <c r="R24" s="141">
        <v>3233</v>
      </c>
      <c r="S24" s="141" t="s">
        <v>84</v>
      </c>
      <c r="U24" s="141" t="str">
        <f t="shared" si="8"/>
        <v>32</v>
      </c>
      <c r="V24" s="141" t="str">
        <f t="shared" si="9"/>
        <v>323</v>
      </c>
      <c r="X24" t="s">
        <v>1219</v>
      </c>
      <c r="Y24" t="s">
        <v>1220</v>
      </c>
    </row>
    <row r="25" spans="1:25">
      <c r="A25" s="145" t="str">
        <f>IF(C25="","",VLOOKUP('Opći dio'!$C$3,'Opći dio'!$L$6:$U$136,10,FALSE))</f>
        <v>08006</v>
      </c>
      <c r="B25" s="145" t="str">
        <f>IF(C25="","",VLOOKUP('Opći dio'!$C$3,'Opći dio'!$L$6:$U$136,9,FALSE))</f>
        <v>Sveučilišta i veleučilišta u Republici Hrvatskoj</v>
      </c>
      <c r="C25" s="151">
        <v>11</v>
      </c>
      <c r="D25" s="146" t="str">
        <f t="shared" si="3"/>
        <v>Opći prihodi i primici</v>
      </c>
      <c r="E25" s="151">
        <v>3239</v>
      </c>
      <c r="F25" s="146" t="str">
        <f t="shared" si="4"/>
        <v>Ostale usluge</v>
      </c>
      <c r="G25" s="186" t="s">
        <v>801</v>
      </c>
      <c r="H25" s="146" t="str">
        <f t="shared" si="5"/>
        <v>PROGRAMSKO FINANCIRANJE JAVNIH VISOKIH UČILIŠTA</v>
      </c>
      <c r="I25" s="185">
        <v>190000</v>
      </c>
      <c r="J25" s="185">
        <v>190000</v>
      </c>
      <c r="K25" s="185">
        <v>190000</v>
      </c>
      <c r="M25" s="141" t="str">
        <f t="shared" si="6"/>
        <v>323</v>
      </c>
      <c r="N25" s="141" t="str">
        <f t="shared" si="7"/>
        <v>32</v>
      </c>
      <c r="R25" s="141">
        <v>3234</v>
      </c>
      <c r="S25" s="141" t="s">
        <v>97</v>
      </c>
      <c r="U25" s="141" t="str">
        <f t="shared" si="8"/>
        <v>32</v>
      </c>
      <c r="V25" s="141" t="str">
        <f t="shared" si="9"/>
        <v>323</v>
      </c>
      <c r="X25" t="s">
        <v>1229</v>
      </c>
      <c r="Y25" t="s">
        <v>1230</v>
      </c>
    </row>
    <row r="26" spans="1:25">
      <c r="A26" s="145" t="str">
        <f>IF(C26="","",VLOOKUP('Opći dio'!$C$3,'Opći dio'!$L$6:$U$136,10,FALSE))</f>
        <v>08006</v>
      </c>
      <c r="B26" s="145" t="str">
        <f>IF(C26="","",VLOOKUP('Opći dio'!$C$3,'Opći dio'!$L$6:$U$136,9,FALSE))</f>
        <v>Sveučilišta i veleučilišta u Republici Hrvatskoj</v>
      </c>
      <c r="C26" s="151">
        <v>11</v>
      </c>
      <c r="D26" s="146" t="str">
        <f t="shared" si="3"/>
        <v>Opći prihodi i primici</v>
      </c>
      <c r="E26" s="151">
        <v>3241</v>
      </c>
      <c r="F26" s="146" t="str">
        <f t="shared" si="4"/>
        <v>Naknade troškova osobama izvan radnog odnosa</v>
      </c>
      <c r="G26" s="186" t="s">
        <v>801</v>
      </c>
      <c r="H26" s="146" t="str">
        <f t="shared" si="5"/>
        <v>PROGRAMSKO FINANCIRANJE JAVNIH VISOKIH UČILIŠTA</v>
      </c>
      <c r="I26" s="185">
        <v>97580</v>
      </c>
      <c r="J26" s="185">
        <v>97580</v>
      </c>
      <c r="K26" s="185">
        <v>97580</v>
      </c>
      <c r="M26" s="141" t="str">
        <f t="shared" si="6"/>
        <v>324</v>
      </c>
      <c r="N26" s="141" t="str">
        <f t="shared" si="7"/>
        <v>32</v>
      </c>
      <c r="R26" s="141">
        <v>3235</v>
      </c>
      <c r="S26" s="141" t="s">
        <v>117</v>
      </c>
      <c r="U26" s="141" t="str">
        <f t="shared" si="8"/>
        <v>32</v>
      </c>
      <c r="V26" s="141" t="str">
        <f t="shared" si="9"/>
        <v>323</v>
      </c>
      <c r="X26" t="s">
        <v>2049</v>
      </c>
      <c r="Y26" t="s">
        <v>2050</v>
      </c>
    </row>
    <row r="27" spans="1:25">
      <c r="A27" s="145" t="str">
        <f>IF(C27="","",VLOOKUP('Opći dio'!$C$3,'Opći dio'!$L$6:$U$136,10,FALSE))</f>
        <v>08006</v>
      </c>
      <c r="B27" s="145" t="str">
        <f>IF(C27="","",VLOOKUP('Opći dio'!$C$3,'Opći dio'!$L$6:$U$136,9,FALSE))</f>
        <v>Sveučilišta i veleučilišta u Republici Hrvatskoj</v>
      </c>
      <c r="C27" s="151">
        <v>11</v>
      </c>
      <c r="D27" s="146" t="str">
        <f t="shared" si="3"/>
        <v>Opći prihodi i primici</v>
      </c>
      <c r="E27" s="151">
        <v>3292</v>
      </c>
      <c r="F27" s="146" t="str">
        <f t="shared" si="4"/>
        <v>Premije osiguranja</v>
      </c>
      <c r="G27" s="186" t="s">
        <v>801</v>
      </c>
      <c r="H27" s="146" t="str">
        <f t="shared" si="5"/>
        <v>PROGRAMSKO FINANCIRANJE JAVNIH VISOKIH UČILIŠTA</v>
      </c>
      <c r="I27" s="185">
        <v>35000</v>
      </c>
      <c r="J27" s="185">
        <v>35000</v>
      </c>
      <c r="K27" s="185">
        <v>35000</v>
      </c>
      <c r="M27" s="141" t="str">
        <f t="shared" si="6"/>
        <v>329</v>
      </c>
      <c r="N27" s="141" t="str">
        <f t="shared" si="7"/>
        <v>32</v>
      </c>
      <c r="R27" s="141">
        <v>3236</v>
      </c>
      <c r="S27" s="141" t="s">
        <v>60</v>
      </c>
      <c r="U27" s="141" t="str">
        <f t="shared" si="8"/>
        <v>32</v>
      </c>
      <c r="V27" s="141" t="str">
        <f t="shared" si="9"/>
        <v>323</v>
      </c>
      <c r="X27" t="s">
        <v>2051</v>
      </c>
      <c r="Y27" t="s">
        <v>2052</v>
      </c>
    </row>
    <row r="28" spans="1:25">
      <c r="A28" s="145" t="str">
        <f>IF(C28="","",VLOOKUP('Opći dio'!$C$3,'Opći dio'!$L$6:$U$136,10,FALSE))</f>
        <v>08006</v>
      </c>
      <c r="B28" s="145" t="str">
        <f>IF(C28="","",VLOOKUP('Opći dio'!$C$3,'Opći dio'!$L$6:$U$136,9,FALSE))</f>
        <v>Sveučilišta i veleučilišta u Republici Hrvatskoj</v>
      </c>
      <c r="C28" s="151">
        <v>11</v>
      </c>
      <c r="D28" s="146" t="str">
        <f t="shared" si="3"/>
        <v>Opći prihodi i primici</v>
      </c>
      <c r="E28" s="151">
        <v>3294</v>
      </c>
      <c r="F28" s="146" t="str">
        <f t="shared" si="4"/>
        <v>Članarine i norme</v>
      </c>
      <c r="G28" s="186" t="s">
        <v>801</v>
      </c>
      <c r="H28" s="146" t="str">
        <f t="shared" si="5"/>
        <v>PROGRAMSKO FINANCIRANJE JAVNIH VISOKIH UČILIŠTA</v>
      </c>
      <c r="I28" s="185">
        <v>154000</v>
      </c>
      <c r="J28" s="185">
        <v>154000</v>
      </c>
      <c r="K28" s="185">
        <v>154000</v>
      </c>
      <c r="M28" s="141" t="str">
        <f t="shared" si="6"/>
        <v>329</v>
      </c>
      <c r="N28" s="141" t="str">
        <f t="shared" si="7"/>
        <v>32</v>
      </c>
      <c r="R28" s="141">
        <v>3237</v>
      </c>
      <c r="S28" s="141" t="s">
        <v>73</v>
      </c>
      <c r="U28" s="141" t="str">
        <f t="shared" si="8"/>
        <v>32</v>
      </c>
      <c r="V28" s="141" t="str">
        <f t="shared" si="9"/>
        <v>323</v>
      </c>
      <c r="X28" t="s">
        <v>2053</v>
      </c>
      <c r="Y28" t="s">
        <v>2054</v>
      </c>
    </row>
    <row r="29" spans="1:25">
      <c r="A29" s="145" t="str">
        <f>IF(C29="","",VLOOKUP('Opći dio'!$C$3,'Opći dio'!$L$6:$U$136,10,FALSE))</f>
        <v>08006</v>
      </c>
      <c r="B29" s="145" t="str">
        <f>IF(C29="","",VLOOKUP('Opći dio'!$C$3,'Opći dio'!$L$6:$U$136,9,FALSE))</f>
        <v>Sveučilišta i veleučilišta u Republici Hrvatskoj</v>
      </c>
      <c r="C29" s="151">
        <v>11</v>
      </c>
      <c r="D29" s="146" t="str">
        <f t="shared" si="3"/>
        <v>Opći prihodi i primici</v>
      </c>
      <c r="E29" s="151">
        <v>3299</v>
      </c>
      <c r="F29" s="146" t="str">
        <f t="shared" si="4"/>
        <v>Ostali nespomenuti rashodi poslovanja</v>
      </c>
      <c r="G29" s="186" t="s">
        <v>801</v>
      </c>
      <c r="H29" s="146" t="str">
        <f t="shared" si="5"/>
        <v>PROGRAMSKO FINANCIRANJE JAVNIH VISOKIH UČILIŠTA</v>
      </c>
      <c r="I29" s="185">
        <v>88000</v>
      </c>
      <c r="J29" s="185">
        <v>88000</v>
      </c>
      <c r="K29" s="185">
        <v>88000</v>
      </c>
      <c r="M29" s="141" t="str">
        <f t="shared" si="6"/>
        <v>329</v>
      </c>
      <c r="N29" s="141" t="str">
        <f t="shared" si="7"/>
        <v>32</v>
      </c>
      <c r="R29" s="141">
        <v>3238</v>
      </c>
      <c r="S29" s="141" t="s">
        <v>110</v>
      </c>
      <c r="U29" s="141" t="str">
        <f t="shared" si="8"/>
        <v>32</v>
      </c>
      <c r="V29" s="141" t="str">
        <f t="shared" si="9"/>
        <v>323</v>
      </c>
      <c r="X29" t="s">
        <v>1234</v>
      </c>
      <c r="Y29" t="s">
        <v>1235</v>
      </c>
    </row>
    <row r="30" spans="1:25">
      <c r="A30" s="145" t="str">
        <f>IF(C30="","",VLOOKUP('Opći dio'!$C$3,'Opći dio'!$L$6:$U$136,10,FALSE))</f>
        <v>08006</v>
      </c>
      <c r="B30" s="145" t="str">
        <f>IF(C30="","",VLOOKUP('Opći dio'!$C$3,'Opći dio'!$L$6:$U$136,9,FALSE))</f>
        <v>Sveučilišta i veleučilišta u Republici Hrvatskoj</v>
      </c>
      <c r="C30" s="151">
        <v>11</v>
      </c>
      <c r="D30" s="146" t="str">
        <f t="shared" si="3"/>
        <v>Opći prihodi i primici</v>
      </c>
      <c r="E30" s="151">
        <v>3431</v>
      </c>
      <c r="F30" s="146" t="str">
        <f t="shared" si="4"/>
        <v>Bankarske usluge i usluge platnog prometa</v>
      </c>
      <c r="G30" s="186" t="s">
        <v>801</v>
      </c>
      <c r="H30" s="146" t="str">
        <f t="shared" si="5"/>
        <v>PROGRAMSKO FINANCIRANJE JAVNIH VISOKIH UČILIŠTA</v>
      </c>
      <c r="I30" s="185">
        <v>21000</v>
      </c>
      <c r="J30" s="185">
        <v>21000</v>
      </c>
      <c r="K30" s="185">
        <v>21000</v>
      </c>
      <c r="M30" s="141" t="str">
        <f t="shared" si="6"/>
        <v>343</v>
      </c>
      <c r="N30" s="141" t="str">
        <f t="shared" si="7"/>
        <v>34</v>
      </c>
      <c r="R30" s="141">
        <v>3239</v>
      </c>
      <c r="S30" s="141" t="s">
        <v>90</v>
      </c>
      <c r="U30" s="141" t="str">
        <f t="shared" si="8"/>
        <v>32</v>
      </c>
      <c r="V30" s="141" t="str">
        <f t="shared" si="9"/>
        <v>323</v>
      </c>
      <c r="X30" t="s">
        <v>2055</v>
      </c>
      <c r="Y30" t="s">
        <v>2056</v>
      </c>
    </row>
    <row r="31" spans="1:25">
      <c r="A31" s="145" t="str">
        <f>IF(C31="","",VLOOKUP('Opći dio'!$C$3,'Opći dio'!$L$6:$U$136,10,FALSE))</f>
        <v>08006</v>
      </c>
      <c r="B31" s="145" t="str">
        <f>IF(C31="","",VLOOKUP('Opći dio'!$C$3,'Opći dio'!$L$6:$U$136,9,FALSE))</f>
        <v>Sveučilišta i veleučilišta u Republici Hrvatskoj</v>
      </c>
      <c r="C31" s="151">
        <v>11</v>
      </c>
      <c r="D31" s="146" t="str">
        <f t="shared" si="3"/>
        <v>Opći prihodi i primici</v>
      </c>
      <c r="E31" s="151">
        <v>4221</v>
      </c>
      <c r="F31" s="146" t="str">
        <f t="shared" si="4"/>
        <v>Uredska oprema i namještaj</v>
      </c>
      <c r="G31" s="186" t="s">
        <v>801</v>
      </c>
      <c r="H31" s="146" t="str">
        <f t="shared" si="5"/>
        <v>PROGRAMSKO FINANCIRANJE JAVNIH VISOKIH UČILIŠTA</v>
      </c>
      <c r="I31" s="185">
        <v>61000</v>
      </c>
      <c r="J31" s="185">
        <v>61000</v>
      </c>
      <c r="K31" s="185">
        <v>61000</v>
      </c>
      <c r="M31" s="141" t="str">
        <f t="shared" si="6"/>
        <v>422</v>
      </c>
      <c r="N31" s="141" t="str">
        <f t="shared" si="7"/>
        <v>42</v>
      </c>
      <c r="R31" s="141">
        <v>3241</v>
      </c>
      <c r="S31" s="141" t="s">
        <v>87</v>
      </c>
      <c r="U31" s="141" t="str">
        <f t="shared" si="8"/>
        <v>32</v>
      </c>
      <c r="V31" s="141" t="str">
        <f t="shared" si="9"/>
        <v>324</v>
      </c>
      <c r="X31" t="s">
        <v>1231</v>
      </c>
      <c r="Y31" t="s">
        <v>1232</v>
      </c>
    </row>
    <row r="32" spans="1:25">
      <c r="A32" s="145" t="str">
        <f>IF(C32="","",VLOOKUP('Opći dio'!$C$3,'Opći dio'!$L$6:$U$136,10,FALSE))</f>
        <v>08006</v>
      </c>
      <c r="B32" s="145" t="str">
        <f>IF(C32="","",VLOOKUP('Opći dio'!$C$3,'Opći dio'!$L$6:$U$136,9,FALSE))</f>
        <v>Sveučilišta i veleučilišta u Republici Hrvatskoj</v>
      </c>
      <c r="C32" s="151">
        <v>11</v>
      </c>
      <c r="D32" s="146" t="str">
        <f t="shared" si="3"/>
        <v>Opći prihodi i primici</v>
      </c>
      <c r="E32" s="151">
        <v>4241</v>
      </c>
      <c r="F32" s="146" t="str">
        <f t="shared" si="4"/>
        <v>Knjige</v>
      </c>
      <c r="G32" s="186" t="s">
        <v>801</v>
      </c>
      <c r="H32" s="146" t="str">
        <f t="shared" si="5"/>
        <v>PROGRAMSKO FINANCIRANJE JAVNIH VISOKIH UČILIŠTA</v>
      </c>
      <c r="I32" s="185">
        <v>111000</v>
      </c>
      <c r="J32" s="185">
        <v>111000</v>
      </c>
      <c r="K32" s="185">
        <v>111000</v>
      </c>
      <c r="M32" s="141" t="str">
        <f t="shared" si="6"/>
        <v>424</v>
      </c>
      <c r="N32" s="141" t="str">
        <f t="shared" si="7"/>
        <v>42</v>
      </c>
      <c r="R32" s="141">
        <v>3291</v>
      </c>
      <c r="S32" s="141" t="s">
        <v>88</v>
      </c>
      <c r="U32" s="141" t="str">
        <f t="shared" si="8"/>
        <v>32</v>
      </c>
      <c r="V32" s="141" t="str">
        <f t="shared" si="9"/>
        <v>329</v>
      </c>
      <c r="X32" t="s">
        <v>1221</v>
      </c>
      <c r="Y32" t="s">
        <v>1222</v>
      </c>
    </row>
    <row r="33" spans="1:25">
      <c r="A33" s="145" t="str">
        <f>IF(C33="","",VLOOKUP('Opći dio'!$C$3,'Opći dio'!$L$6:$U$136,10,FALSE))</f>
        <v>08006</v>
      </c>
      <c r="B33" s="145" t="str">
        <f>IF(C33="","",VLOOKUP('Opći dio'!$C$3,'Opći dio'!$L$6:$U$136,9,FALSE))</f>
        <v>Sveučilišta i veleučilišta u Republici Hrvatskoj</v>
      </c>
      <c r="C33" s="151">
        <v>11</v>
      </c>
      <c r="D33" s="146" t="str">
        <f t="shared" si="3"/>
        <v>Opći prihodi i primici</v>
      </c>
      <c r="E33" s="151"/>
      <c r="F33" s="146" t="str">
        <f t="shared" si="4"/>
        <v/>
      </c>
      <c r="G33" s="186"/>
      <c r="H33" s="146" t="str">
        <f t="shared" si="5"/>
        <v/>
      </c>
      <c r="I33" s="185"/>
      <c r="J33" s="185"/>
      <c r="K33" s="185"/>
      <c r="M33" s="141" t="str">
        <f t="shared" si="6"/>
        <v/>
      </c>
      <c r="N33" s="141" t="str">
        <f t="shared" si="7"/>
        <v/>
      </c>
      <c r="R33" s="141">
        <v>3292</v>
      </c>
      <c r="S33" s="141" t="s">
        <v>81</v>
      </c>
      <c r="U33" s="141" t="str">
        <f t="shared" si="8"/>
        <v>32</v>
      </c>
      <c r="V33" s="141" t="str">
        <f t="shared" si="9"/>
        <v>329</v>
      </c>
      <c r="X33" t="s">
        <v>2057</v>
      </c>
      <c r="Y33" t="s">
        <v>2058</v>
      </c>
    </row>
    <row r="34" spans="1:25">
      <c r="A34" s="145" t="str">
        <f>IF(C34="","",VLOOKUP('Opći dio'!$C$3,'Opći dio'!$L$6:$U$136,10,FALSE))</f>
        <v/>
      </c>
      <c r="B34" s="145" t="str">
        <f>IF(C34="","",VLOOKUP('Opći dio'!$C$3,'Opći dio'!$L$6:$U$136,9,FALSE))</f>
        <v/>
      </c>
      <c r="C34" s="151"/>
      <c r="D34" s="146" t="str">
        <f t="shared" si="3"/>
        <v/>
      </c>
      <c r="E34" s="151"/>
      <c r="F34" s="146" t="str">
        <f t="shared" si="4"/>
        <v/>
      </c>
      <c r="G34" s="186"/>
      <c r="H34" s="146" t="str">
        <f t="shared" si="5"/>
        <v/>
      </c>
      <c r="I34" s="185"/>
      <c r="J34" s="185"/>
      <c r="K34" s="185"/>
      <c r="M34" s="141" t="str">
        <f t="shared" si="6"/>
        <v/>
      </c>
      <c r="N34" s="141" t="str">
        <f t="shared" si="7"/>
        <v/>
      </c>
      <c r="R34" s="141">
        <v>3293</v>
      </c>
      <c r="S34" s="141" t="s">
        <v>91</v>
      </c>
      <c r="U34" s="141" t="str">
        <f t="shared" si="8"/>
        <v>32</v>
      </c>
      <c r="V34" s="141" t="str">
        <f t="shared" si="9"/>
        <v>329</v>
      </c>
      <c r="X34" t="s">
        <v>2059</v>
      </c>
      <c r="Y34" t="s">
        <v>2060</v>
      </c>
    </row>
    <row r="35" spans="1:25">
      <c r="A35" s="145" t="str">
        <f>IF(C35="","",VLOOKUP('Opći dio'!$C$3,'Opći dio'!$L$6:$U$136,10,FALSE))</f>
        <v>08006</v>
      </c>
      <c r="B35" s="145" t="str">
        <f>IF(C35="","",VLOOKUP('Opći dio'!$C$3,'Opći dio'!$L$6:$U$136,9,FALSE))</f>
        <v>Sveučilišta i veleučilišta u Republici Hrvatskoj</v>
      </c>
      <c r="C35" s="151">
        <v>52</v>
      </c>
      <c r="D35" s="146" t="str">
        <f t="shared" si="3"/>
        <v>Ostale pomoći</v>
      </c>
      <c r="E35" s="151">
        <v>3211</v>
      </c>
      <c r="F35" s="146" t="str">
        <f t="shared" si="4"/>
        <v>Službena putovanja</v>
      </c>
      <c r="G35" s="186" t="s">
        <v>181</v>
      </c>
      <c r="H35" s="146" t="str">
        <f t="shared" si="5"/>
        <v>REDOVNA DJELATNOST SVEUČILIŠTA U RIJECI (IZ EVIDENCIJSKIH PRIHODA)</v>
      </c>
      <c r="I35" s="185">
        <v>50000</v>
      </c>
      <c r="J35" s="185">
        <v>30000</v>
      </c>
      <c r="K35" s="185">
        <v>0</v>
      </c>
      <c r="M35" s="141" t="str">
        <f t="shared" si="6"/>
        <v>321</v>
      </c>
      <c r="N35" s="141" t="str">
        <f t="shared" si="7"/>
        <v>32</v>
      </c>
      <c r="R35" s="141">
        <v>3293</v>
      </c>
      <c r="S35" s="141" t="s">
        <v>138</v>
      </c>
      <c r="U35" s="141" t="str">
        <f t="shared" si="8"/>
        <v>32</v>
      </c>
      <c r="V35" s="141" t="str">
        <f t="shared" si="9"/>
        <v>329</v>
      </c>
      <c r="X35" t="s">
        <v>2061</v>
      </c>
      <c r="Y35" t="s">
        <v>2062</v>
      </c>
    </row>
    <row r="36" spans="1:25">
      <c r="A36" s="145" t="str">
        <f>IF(C36="","",VLOOKUP('Opći dio'!$C$3,'Opći dio'!$L$6:$U$136,10,FALSE))</f>
        <v>08006</v>
      </c>
      <c r="B36" s="145" t="str">
        <f>IF(C36="","",VLOOKUP('Opći dio'!$C$3,'Opći dio'!$L$6:$U$136,9,FALSE))</f>
        <v>Sveučilišta i veleučilišta u Republici Hrvatskoj</v>
      </c>
      <c r="C36" s="151">
        <v>52</v>
      </c>
      <c r="D36" s="146" t="str">
        <f t="shared" si="3"/>
        <v>Ostale pomoći</v>
      </c>
      <c r="E36" s="151">
        <v>3213</v>
      </c>
      <c r="F36" s="146" t="str">
        <f t="shared" si="4"/>
        <v>Stručno usavršavanje zaposlenika</v>
      </c>
      <c r="G36" s="186" t="s">
        <v>181</v>
      </c>
      <c r="H36" s="146" t="str">
        <f t="shared" si="5"/>
        <v>REDOVNA DJELATNOST SVEUČILIŠTA U RIJECI (IZ EVIDENCIJSKIH PRIHODA)</v>
      </c>
      <c r="I36" s="185">
        <v>80000</v>
      </c>
      <c r="J36" s="185">
        <v>30000</v>
      </c>
      <c r="K36" s="185">
        <v>0</v>
      </c>
      <c r="M36" s="141" t="str">
        <f t="shared" si="6"/>
        <v>321</v>
      </c>
      <c r="N36" s="141" t="str">
        <f t="shared" si="7"/>
        <v>32</v>
      </c>
      <c r="R36" s="141">
        <v>3294</v>
      </c>
      <c r="S36" s="141" t="s">
        <v>92</v>
      </c>
      <c r="U36" s="141" t="str">
        <f t="shared" si="8"/>
        <v>32</v>
      </c>
      <c r="V36" s="141" t="str">
        <f t="shared" si="9"/>
        <v>329</v>
      </c>
      <c r="X36" t="s">
        <v>2063</v>
      </c>
      <c r="Y36" t="s">
        <v>2064</v>
      </c>
    </row>
    <row r="37" spans="1:25">
      <c r="A37" s="145" t="str">
        <f>IF(C37="","",VLOOKUP('Opći dio'!$C$3,'Opći dio'!$L$6:$U$136,10,FALSE))</f>
        <v>08006</v>
      </c>
      <c r="B37" s="145" t="str">
        <f>IF(C37="","",VLOOKUP('Opći dio'!$C$3,'Opći dio'!$L$6:$U$136,9,FALSE))</f>
        <v>Sveučilišta i veleučilišta u Republici Hrvatskoj</v>
      </c>
      <c r="C37" s="151">
        <v>52</v>
      </c>
      <c r="D37" s="146" t="str">
        <f t="shared" si="3"/>
        <v>Ostale pomoći</v>
      </c>
      <c r="E37" s="151">
        <v>3225</v>
      </c>
      <c r="F37" s="146" t="str">
        <f t="shared" si="4"/>
        <v>Sitni inventar i auto gume</v>
      </c>
      <c r="G37" s="186" t="s">
        <v>181</v>
      </c>
      <c r="H37" s="146" t="str">
        <f t="shared" si="5"/>
        <v>REDOVNA DJELATNOST SVEUČILIŠTA U RIJECI (IZ EVIDENCIJSKIH PRIHODA)</v>
      </c>
      <c r="I37" s="185">
        <v>25000</v>
      </c>
      <c r="J37" s="185">
        <v>5000</v>
      </c>
      <c r="K37" s="185">
        <v>0</v>
      </c>
      <c r="M37" s="141" t="str">
        <f t="shared" si="6"/>
        <v>322</v>
      </c>
      <c r="N37" s="141" t="str">
        <f t="shared" si="7"/>
        <v>32</v>
      </c>
      <c r="R37" s="141">
        <v>3295</v>
      </c>
      <c r="S37" s="141" t="s">
        <v>61</v>
      </c>
      <c r="U37" s="141" t="str">
        <f t="shared" si="8"/>
        <v>32</v>
      </c>
      <c r="V37" s="141" t="str">
        <f t="shared" si="9"/>
        <v>329</v>
      </c>
      <c r="X37" t="s">
        <v>1233</v>
      </c>
      <c r="Y37" t="s">
        <v>2065</v>
      </c>
    </row>
    <row r="38" spans="1:25">
      <c r="A38" s="145" t="str">
        <f>IF(C38="","",VLOOKUP('Opći dio'!$C$3,'Opći dio'!$L$6:$U$136,10,FALSE))</f>
        <v>08006</v>
      </c>
      <c r="B38" s="145" t="str">
        <f>IF(C38="","",VLOOKUP('Opći dio'!$C$3,'Opći dio'!$L$6:$U$136,9,FALSE))</f>
        <v>Sveučilišta i veleučilišta u Republici Hrvatskoj</v>
      </c>
      <c r="C38" s="151">
        <v>52</v>
      </c>
      <c r="D38" s="146" t="str">
        <f t="shared" si="3"/>
        <v>Ostale pomoći</v>
      </c>
      <c r="E38" s="151">
        <v>3237</v>
      </c>
      <c r="F38" s="146" t="str">
        <f t="shared" si="4"/>
        <v>Intelektualne i osobne usluge</v>
      </c>
      <c r="G38" s="186" t="s">
        <v>181</v>
      </c>
      <c r="H38" s="146" t="str">
        <f t="shared" si="5"/>
        <v>REDOVNA DJELATNOST SVEUČILIŠTA U RIJECI (IZ EVIDENCIJSKIH PRIHODA)</v>
      </c>
      <c r="I38" s="185">
        <v>45000</v>
      </c>
      <c r="J38" s="185">
        <v>15000</v>
      </c>
      <c r="K38" s="185">
        <v>0</v>
      </c>
      <c r="M38" s="141" t="str">
        <f t="shared" si="6"/>
        <v>323</v>
      </c>
      <c r="N38" s="141" t="str">
        <f t="shared" si="7"/>
        <v>32</v>
      </c>
      <c r="R38" s="141">
        <v>3296</v>
      </c>
      <c r="S38" s="141" t="s">
        <v>155</v>
      </c>
      <c r="U38" s="141" t="str">
        <f t="shared" si="8"/>
        <v>32</v>
      </c>
      <c r="V38" s="141" t="str">
        <f t="shared" si="9"/>
        <v>329</v>
      </c>
      <c r="X38" t="s">
        <v>2066</v>
      </c>
      <c r="Y38" t="s">
        <v>2067</v>
      </c>
    </row>
    <row r="39" spans="1:25">
      <c r="A39" s="145" t="str">
        <f>IF(C39="","",VLOOKUP('Opći dio'!$C$3,'Opći dio'!$L$6:$U$136,10,FALSE))</f>
        <v/>
      </c>
      <c r="B39" s="145" t="str">
        <f>IF(C39="","",VLOOKUP('Opći dio'!$C$3,'Opći dio'!$L$6:$U$136,9,FALSE))</f>
        <v/>
      </c>
      <c r="C39" s="151"/>
      <c r="D39" s="146" t="str">
        <f t="shared" si="3"/>
        <v/>
      </c>
      <c r="E39" s="151"/>
      <c r="F39" s="146" t="str">
        <f t="shared" si="4"/>
        <v/>
      </c>
      <c r="G39" s="186"/>
      <c r="H39" s="146" t="str">
        <f t="shared" si="5"/>
        <v/>
      </c>
      <c r="I39" s="185"/>
      <c r="J39" s="185"/>
      <c r="K39" s="185"/>
      <c r="M39" s="141" t="str">
        <f t="shared" si="6"/>
        <v/>
      </c>
      <c r="N39" s="141" t="str">
        <f t="shared" si="7"/>
        <v/>
      </c>
      <c r="R39" s="141">
        <v>3299</v>
      </c>
      <c r="S39" s="141" t="s">
        <v>64</v>
      </c>
      <c r="U39" s="141" t="str">
        <f t="shared" si="8"/>
        <v>32</v>
      </c>
      <c r="V39" s="141" t="str">
        <f t="shared" si="9"/>
        <v>329</v>
      </c>
      <c r="X39" t="s">
        <v>1224</v>
      </c>
      <c r="Y39" t="s">
        <v>813</v>
      </c>
    </row>
    <row r="40" spans="1:25">
      <c r="A40" s="145" t="str">
        <f>IF(C40="","",VLOOKUP('Opći dio'!$C$3,'Opći dio'!$L$6:$U$136,10,FALSE))</f>
        <v>08006</v>
      </c>
      <c r="B40" s="145" t="str">
        <f>IF(C40="","",VLOOKUP('Opći dio'!$C$3,'Opći dio'!$L$6:$U$136,9,FALSE))</f>
        <v>Sveučilišta i veleučilišta u Republici Hrvatskoj</v>
      </c>
      <c r="C40" s="151">
        <v>61</v>
      </c>
      <c r="D40" s="146" t="str">
        <f t="shared" si="3"/>
        <v>Donacije</v>
      </c>
      <c r="E40" s="151">
        <v>3239</v>
      </c>
      <c r="F40" s="146" t="str">
        <f t="shared" si="4"/>
        <v>Ostale usluge</v>
      </c>
      <c r="G40" s="186" t="s">
        <v>181</v>
      </c>
      <c r="H40" s="146" t="str">
        <f t="shared" si="5"/>
        <v>REDOVNA DJELATNOST SVEUČILIŠTA U RIJECI (IZ EVIDENCIJSKIH PRIHODA)</v>
      </c>
      <c r="I40" s="185">
        <v>40000</v>
      </c>
      <c r="J40" s="185">
        <v>40000</v>
      </c>
      <c r="K40" s="185">
        <v>30000</v>
      </c>
      <c r="M40" s="141" t="str">
        <f t="shared" si="6"/>
        <v>323</v>
      </c>
      <c r="N40" s="141" t="str">
        <f t="shared" si="7"/>
        <v>32</v>
      </c>
      <c r="R40" s="141">
        <v>3411</v>
      </c>
      <c r="S40" s="141" t="s">
        <v>193</v>
      </c>
      <c r="U40" s="141" t="str">
        <f t="shared" si="8"/>
        <v>34</v>
      </c>
      <c r="V40" s="141" t="str">
        <f t="shared" si="9"/>
        <v>341</v>
      </c>
      <c r="X40" t="s">
        <v>2068</v>
      </c>
      <c r="Y40" t="s">
        <v>2069</v>
      </c>
    </row>
    <row r="41" spans="1:25">
      <c r="A41" s="145" t="str">
        <f>IF(C41="","",VLOOKUP('Opći dio'!$C$3,'Opći dio'!$L$6:$U$136,10,FALSE))</f>
        <v/>
      </c>
      <c r="B41" s="145" t="str">
        <f>IF(C41="","",VLOOKUP('Opći dio'!$C$3,'Opći dio'!$L$6:$U$136,9,FALSE))</f>
        <v/>
      </c>
      <c r="C41" s="151"/>
      <c r="D41" s="146" t="str">
        <f t="shared" si="3"/>
        <v/>
      </c>
      <c r="E41" s="151"/>
      <c r="F41" s="146" t="str">
        <f t="shared" si="4"/>
        <v/>
      </c>
      <c r="G41" s="186"/>
      <c r="H41" s="146" t="str">
        <f t="shared" si="5"/>
        <v/>
      </c>
      <c r="I41" s="185"/>
      <c r="J41" s="185"/>
      <c r="K41" s="185"/>
      <c r="M41" s="141" t="str">
        <f t="shared" si="6"/>
        <v/>
      </c>
      <c r="N41" s="141" t="str">
        <f t="shared" si="7"/>
        <v/>
      </c>
      <c r="R41" s="141">
        <v>3422</v>
      </c>
      <c r="S41" s="141" t="s">
        <v>156</v>
      </c>
      <c r="U41" s="141" t="str">
        <f t="shared" si="8"/>
        <v>34</v>
      </c>
      <c r="V41" s="141" t="str">
        <f t="shared" si="9"/>
        <v>342</v>
      </c>
      <c r="X41" t="s">
        <v>2124</v>
      </c>
      <c r="Y41" t="s">
        <v>2125</v>
      </c>
    </row>
    <row r="42" spans="1:25">
      <c r="A42" s="145" t="str">
        <f>IF(C42="","",VLOOKUP('Opći dio'!$C$3,'Opći dio'!$L$6:$U$136,10,FALSE))</f>
        <v>08006</v>
      </c>
      <c r="B42" s="145" t="str">
        <f>IF(C42="","",VLOOKUP('Opći dio'!$C$3,'Opći dio'!$L$6:$U$136,9,FALSE))</f>
        <v>Sveučilišta i veleučilišta u Republici Hrvatskoj</v>
      </c>
      <c r="C42" s="151">
        <v>43</v>
      </c>
      <c r="D42" s="146" t="str">
        <f t="shared" ref="D42:D50" si="10">IFERROR(VLOOKUP(C42,$O$6:$P$23,2,FALSE),"")</f>
        <v>Ostali prihodi za posebne namjene</v>
      </c>
      <c r="E42" s="151">
        <v>3111</v>
      </c>
      <c r="F42" s="146" t="str">
        <f t="shared" ref="F42:F50" si="11">IFERROR(VLOOKUP(E42,$R$5:$T$129,2,FALSE),"")</f>
        <v>Plaće za redovan rad</v>
      </c>
      <c r="G42" s="186" t="s">
        <v>181</v>
      </c>
      <c r="H42" s="146" t="str">
        <f t="shared" si="5"/>
        <v>REDOVNA DJELATNOST SVEUČILIŠTA U RIJECI (IZ EVIDENCIJSKIH PRIHODA)</v>
      </c>
      <c r="I42" s="185">
        <v>113305</v>
      </c>
      <c r="J42" s="185">
        <v>229185</v>
      </c>
      <c r="K42" s="185">
        <v>267810</v>
      </c>
      <c r="M42" s="141" t="str">
        <f t="shared" ref="M42:M50" si="12">LEFT(E42,3)</f>
        <v>311</v>
      </c>
      <c r="N42" s="141" t="str">
        <f t="shared" ref="N42:N50" si="13">LEFT(E42,2)</f>
        <v>31</v>
      </c>
      <c r="R42" s="141">
        <v>3423</v>
      </c>
      <c r="S42" s="141" t="s">
        <v>156</v>
      </c>
      <c r="U42" s="141" t="str">
        <f t="shared" ref="U42:U73" si="14">LEFT(R42,2)</f>
        <v>34</v>
      </c>
      <c r="V42" s="141" t="str">
        <f t="shared" ref="V42:V73" si="15">LEFT(R42,3)</f>
        <v>342</v>
      </c>
      <c r="X42" t="s">
        <v>2135</v>
      </c>
      <c r="Y42" t="s">
        <v>2134</v>
      </c>
    </row>
    <row r="43" spans="1:25">
      <c r="A43" s="145" t="str">
        <f>IF(C43="","",VLOOKUP('Opći dio'!$C$3,'Opći dio'!$L$6:$U$136,10,FALSE))</f>
        <v>08006</v>
      </c>
      <c r="B43" s="145" t="str">
        <f>IF(C43="","",VLOOKUP('Opći dio'!$C$3,'Opći dio'!$L$6:$U$136,9,FALSE))</f>
        <v>Sveučilišta i veleučilišta u Republici Hrvatskoj</v>
      </c>
      <c r="C43" s="151">
        <v>43</v>
      </c>
      <c r="D43" s="146" t="str">
        <f t="shared" si="10"/>
        <v>Ostali prihodi za posebne namjene</v>
      </c>
      <c r="E43" s="151">
        <v>3132</v>
      </c>
      <c r="F43" s="146" t="str">
        <f t="shared" si="11"/>
        <v>Doprinosi za obvezno zdravstveno osiguranje</v>
      </c>
      <c r="G43" s="186" t="s">
        <v>181</v>
      </c>
      <c r="H43" s="146" t="str">
        <f t="shared" si="5"/>
        <v>REDOVNA DJELATNOST SVEUČILIŠTA U RIJECI (IZ EVIDENCIJSKIH PRIHODA)</v>
      </c>
      <c r="I43" s="185">
        <v>18695</v>
      </c>
      <c r="J43" s="185">
        <v>37815</v>
      </c>
      <c r="K43" s="185">
        <v>44190</v>
      </c>
      <c r="M43" s="141" t="str">
        <f t="shared" si="12"/>
        <v>313</v>
      </c>
      <c r="N43" s="141" t="str">
        <f t="shared" si="13"/>
        <v>31</v>
      </c>
      <c r="R43" s="141">
        <v>3427</v>
      </c>
      <c r="S43" s="141" t="s">
        <v>195</v>
      </c>
      <c r="U43" s="141" t="str">
        <f t="shared" si="14"/>
        <v>34</v>
      </c>
      <c r="V43" s="141" t="str">
        <f t="shared" si="15"/>
        <v>342</v>
      </c>
      <c r="X43" t="s">
        <v>55</v>
      </c>
      <c r="Y43" t="s">
        <v>56</v>
      </c>
    </row>
    <row r="44" spans="1:25">
      <c r="A44" s="145" t="str">
        <f>IF(C44="","",VLOOKUP('Opći dio'!$C$3,'Opći dio'!$L$6:$U$136,10,FALSE))</f>
        <v>08006</v>
      </c>
      <c r="B44" s="145" t="str">
        <f>IF(C44="","",VLOOKUP('Opći dio'!$C$3,'Opći dio'!$L$6:$U$136,9,FALSE))</f>
        <v>Sveučilišta i veleučilišta u Republici Hrvatskoj</v>
      </c>
      <c r="C44" s="151">
        <v>43</v>
      </c>
      <c r="D44" s="146" t="str">
        <f t="shared" si="10"/>
        <v>Ostali prihodi za posebne namjene</v>
      </c>
      <c r="E44" s="151">
        <v>3212</v>
      </c>
      <c r="F44" s="146" t="str">
        <f t="shared" si="11"/>
        <v>Naknade za prijevoz, za rad na terenu i odvojeni život</v>
      </c>
      <c r="G44" s="186" t="s">
        <v>181</v>
      </c>
      <c r="H44" s="146" t="str">
        <f t="shared" si="5"/>
        <v>REDOVNA DJELATNOST SVEUČILIŠTA U RIJECI (IZ EVIDENCIJSKIH PRIHODA)</v>
      </c>
      <c r="I44" s="185">
        <v>3000</v>
      </c>
      <c r="J44" s="185">
        <v>6000</v>
      </c>
      <c r="K44" s="185">
        <v>6000</v>
      </c>
      <c r="M44" s="141" t="str">
        <f t="shared" si="12"/>
        <v>321</v>
      </c>
      <c r="N44" s="141" t="str">
        <f t="shared" si="13"/>
        <v>32</v>
      </c>
      <c r="R44" s="141">
        <v>3431</v>
      </c>
      <c r="S44" s="141" t="s">
        <v>89</v>
      </c>
      <c r="U44" s="141" t="str">
        <f t="shared" si="14"/>
        <v>34</v>
      </c>
      <c r="V44" s="141" t="str">
        <f t="shared" si="15"/>
        <v>343</v>
      </c>
      <c r="X44" t="s">
        <v>65</v>
      </c>
      <c r="Y44" t="s">
        <v>66</v>
      </c>
    </row>
    <row r="45" spans="1:25">
      <c r="A45" s="145" t="str">
        <f>IF(C45="","",VLOOKUP('Opći dio'!$C$3,'Opći dio'!$L$6:$U$136,10,FALSE))</f>
        <v>08006</v>
      </c>
      <c r="B45" s="145" t="str">
        <f>IF(C45="","",VLOOKUP('Opći dio'!$C$3,'Opći dio'!$L$6:$U$136,9,FALSE))</f>
        <v>Sveučilišta i veleučilišta u Republici Hrvatskoj</v>
      </c>
      <c r="C45" s="151">
        <v>43</v>
      </c>
      <c r="D45" s="146" t="str">
        <f t="shared" si="10"/>
        <v>Ostali prihodi za posebne namjene</v>
      </c>
      <c r="E45" s="151">
        <v>3211</v>
      </c>
      <c r="F45" s="146" t="str">
        <f t="shared" si="11"/>
        <v>Službena putovanja</v>
      </c>
      <c r="G45" s="186" t="s">
        <v>181</v>
      </c>
      <c r="H45" s="146" t="str">
        <f t="shared" si="5"/>
        <v>REDOVNA DJELATNOST SVEUČILIŠTA U RIJECI (IZ EVIDENCIJSKIH PRIHODA)</v>
      </c>
      <c r="I45" s="185">
        <v>104625</v>
      </c>
      <c r="J45" s="185">
        <v>12625</v>
      </c>
      <c r="K45" s="185">
        <v>7000</v>
      </c>
      <c r="M45" s="141" t="str">
        <f t="shared" si="12"/>
        <v>321</v>
      </c>
      <c r="N45" s="141" t="str">
        <f t="shared" si="13"/>
        <v>32</v>
      </c>
      <c r="R45" s="141">
        <v>3432</v>
      </c>
      <c r="S45" s="141" t="s">
        <v>105</v>
      </c>
      <c r="U45" s="141" t="str">
        <f t="shared" si="14"/>
        <v>34</v>
      </c>
      <c r="V45" s="141" t="str">
        <f t="shared" si="15"/>
        <v>343</v>
      </c>
      <c r="X45" t="s">
        <v>68</v>
      </c>
      <c r="Y45" t="s">
        <v>69</v>
      </c>
    </row>
    <row r="46" spans="1:25">
      <c r="A46" s="145" t="str">
        <f>IF(C46="","",VLOOKUP('Opći dio'!$C$3,'Opći dio'!$L$6:$U$136,10,FALSE))</f>
        <v>08006</v>
      </c>
      <c r="B46" s="145" t="str">
        <f>IF(C46="","",VLOOKUP('Opći dio'!$C$3,'Opći dio'!$L$6:$U$136,9,FALSE))</f>
        <v>Sveučilišta i veleučilišta u Republici Hrvatskoj</v>
      </c>
      <c r="C46" s="151">
        <v>43</v>
      </c>
      <c r="D46" s="146" t="str">
        <f t="shared" si="10"/>
        <v>Ostali prihodi za posebne namjene</v>
      </c>
      <c r="E46" s="151">
        <v>3213</v>
      </c>
      <c r="F46" s="146" t="str">
        <f t="shared" si="11"/>
        <v>Stručno usavršavanje zaposlenika</v>
      </c>
      <c r="G46" s="186" t="s">
        <v>181</v>
      </c>
      <c r="H46" s="146" t="str">
        <f t="shared" si="5"/>
        <v>REDOVNA DJELATNOST SVEUČILIŠTA U RIJECI (IZ EVIDENCIJSKIH PRIHODA)</v>
      </c>
      <c r="I46" s="185">
        <v>66500</v>
      </c>
      <c r="J46" s="185">
        <v>16700</v>
      </c>
      <c r="K46" s="185">
        <v>15000</v>
      </c>
      <c r="M46" s="141" t="str">
        <f t="shared" si="12"/>
        <v>321</v>
      </c>
      <c r="N46" s="141" t="str">
        <f t="shared" si="13"/>
        <v>32</v>
      </c>
      <c r="R46" s="141">
        <v>3433</v>
      </c>
      <c r="S46" s="141" t="s">
        <v>143</v>
      </c>
      <c r="U46" s="141" t="str">
        <f t="shared" si="14"/>
        <v>34</v>
      </c>
      <c r="V46" s="141" t="str">
        <f t="shared" si="15"/>
        <v>343</v>
      </c>
      <c r="X46" t="s">
        <v>70</v>
      </c>
      <c r="Y46" t="s">
        <v>71</v>
      </c>
    </row>
    <row r="47" spans="1:25">
      <c r="A47" s="145" t="str">
        <f>IF(C47="","",VLOOKUP('Opći dio'!$C$3,'Opći dio'!$L$6:$U$136,10,FALSE))</f>
        <v>08006</v>
      </c>
      <c r="B47" s="145" t="str">
        <f>IF(C47="","",VLOOKUP('Opći dio'!$C$3,'Opći dio'!$L$6:$U$136,9,FALSE))</f>
        <v>Sveučilišta i veleučilišta u Republici Hrvatskoj</v>
      </c>
      <c r="C47" s="151">
        <v>43</v>
      </c>
      <c r="D47" s="146" t="str">
        <f t="shared" si="10"/>
        <v>Ostali prihodi za posebne namjene</v>
      </c>
      <c r="E47" s="151">
        <v>3237</v>
      </c>
      <c r="F47" s="146" t="str">
        <f t="shared" si="11"/>
        <v>Intelektualne i osobne usluge</v>
      </c>
      <c r="G47" s="186" t="s">
        <v>181</v>
      </c>
      <c r="H47" s="146" t="str">
        <f t="shared" si="5"/>
        <v>REDOVNA DJELATNOST SVEUČILIŠTA U RIJECI (IZ EVIDENCIJSKIH PRIHODA)</v>
      </c>
      <c r="I47" s="185">
        <v>93000</v>
      </c>
      <c r="J47" s="185">
        <v>2000</v>
      </c>
      <c r="K47" s="185">
        <v>12000</v>
      </c>
      <c r="M47" s="141" t="str">
        <f t="shared" si="12"/>
        <v>323</v>
      </c>
      <c r="N47" s="141" t="str">
        <f t="shared" si="13"/>
        <v>32</v>
      </c>
      <c r="R47" s="141">
        <v>3434</v>
      </c>
      <c r="S47" s="141" t="s">
        <v>74</v>
      </c>
      <c r="U47" s="141" t="str">
        <f t="shared" si="14"/>
        <v>34</v>
      </c>
      <c r="V47" s="141" t="str">
        <f t="shared" si="15"/>
        <v>343</v>
      </c>
      <c r="X47" t="s">
        <v>803</v>
      </c>
      <c r="Y47" t="s">
        <v>804</v>
      </c>
    </row>
    <row r="48" spans="1:25">
      <c r="A48" s="145" t="str">
        <f>IF(C48="","",VLOOKUP('Opći dio'!$C$3,'Opći dio'!$L$6:$U$136,10,FALSE))</f>
        <v>08006</v>
      </c>
      <c r="B48" s="145" t="str">
        <f>IF(C48="","",VLOOKUP('Opći dio'!$C$3,'Opći dio'!$L$6:$U$136,9,FALSE))</f>
        <v>Sveučilišta i veleučilišta u Republici Hrvatskoj</v>
      </c>
      <c r="C48" s="151">
        <v>43</v>
      </c>
      <c r="D48" s="146" t="str">
        <f t="shared" si="10"/>
        <v>Ostali prihodi za posebne namjene</v>
      </c>
      <c r="E48" s="151">
        <v>3221</v>
      </c>
      <c r="F48" s="146" t="str">
        <f t="shared" si="11"/>
        <v>Uredski materijal i ostali materijalni rashodi</v>
      </c>
      <c r="G48" s="186" t="s">
        <v>181</v>
      </c>
      <c r="H48" s="146" t="str">
        <f t="shared" si="5"/>
        <v>REDOVNA DJELATNOST SVEUČILIŠTA U RIJECI (IZ EVIDENCIJSKIH PRIHODA)</v>
      </c>
      <c r="I48" s="185">
        <v>3000</v>
      </c>
      <c r="J48" s="185">
        <v>3000</v>
      </c>
      <c r="K48" s="185">
        <v>3000</v>
      </c>
      <c r="M48" s="141" t="str">
        <f t="shared" si="12"/>
        <v>322</v>
      </c>
      <c r="N48" s="141" t="str">
        <f t="shared" si="13"/>
        <v>32</v>
      </c>
      <c r="R48" s="141">
        <v>3511</v>
      </c>
      <c r="S48" s="141" t="s">
        <v>186</v>
      </c>
      <c r="U48" s="141" t="str">
        <f t="shared" si="14"/>
        <v>35</v>
      </c>
      <c r="V48" s="141" t="str">
        <f t="shared" si="15"/>
        <v>351</v>
      </c>
      <c r="X48" t="s">
        <v>75</v>
      </c>
      <c r="Y48" t="s">
        <v>76</v>
      </c>
    </row>
    <row r="49" spans="1:25">
      <c r="A49" s="145" t="str">
        <f>IF(C49="","",VLOOKUP('Opći dio'!$C$3,'Opći dio'!$L$6:$U$136,10,FALSE))</f>
        <v>08006</v>
      </c>
      <c r="B49" s="145" t="str">
        <f>IF(C49="","",VLOOKUP('Opći dio'!$C$3,'Opći dio'!$L$6:$U$136,9,FALSE))</f>
        <v>Sveučilišta i veleučilišta u Republici Hrvatskoj</v>
      </c>
      <c r="C49" s="151">
        <v>43</v>
      </c>
      <c r="D49" s="146" t="str">
        <f t="shared" si="10"/>
        <v>Ostali prihodi za posebne namjene</v>
      </c>
      <c r="E49" s="151">
        <v>4123</v>
      </c>
      <c r="F49" s="146" t="str">
        <f t="shared" si="11"/>
        <v>Licence</v>
      </c>
      <c r="G49" s="186" t="s">
        <v>181</v>
      </c>
      <c r="H49" s="146" t="str">
        <f t="shared" si="5"/>
        <v>REDOVNA DJELATNOST SVEUČILIŠTA U RIJECI (IZ EVIDENCIJSKIH PRIHODA)</v>
      </c>
      <c r="I49" s="185">
        <v>0</v>
      </c>
      <c r="J49" s="185">
        <v>10500</v>
      </c>
      <c r="K49" s="185">
        <v>0</v>
      </c>
      <c r="M49" s="141" t="str">
        <f t="shared" si="12"/>
        <v>412</v>
      </c>
      <c r="N49" s="141" t="str">
        <f t="shared" si="13"/>
        <v>41</v>
      </c>
      <c r="R49" s="141">
        <v>3512</v>
      </c>
      <c r="S49" s="141" t="s">
        <v>188</v>
      </c>
      <c r="U49" s="141" t="str">
        <f t="shared" si="14"/>
        <v>35</v>
      </c>
      <c r="V49" s="141" t="str">
        <f t="shared" si="15"/>
        <v>351</v>
      </c>
      <c r="X49" t="s">
        <v>77</v>
      </c>
      <c r="Y49" t="s">
        <v>78</v>
      </c>
    </row>
    <row r="50" spans="1:25">
      <c r="A50" s="145" t="str">
        <f>IF(C50="","",VLOOKUP('Opći dio'!$C$3,'Opći dio'!$L$6:$U$136,10,FALSE))</f>
        <v>08006</v>
      </c>
      <c r="B50" s="145" t="str">
        <f>IF(C50="","",VLOOKUP('Opći dio'!$C$3,'Opći dio'!$L$6:$U$136,9,FALSE))</f>
        <v>Sveučilišta i veleučilišta u Republici Hrvatskoj</v>
      </c>
      <c r="C50" s="151">
        <v>43</v>
      </c>
      <c r="D50" s="146" t="str">
        <f t="shared" si="10"/>
        <v>Ostali prihodi za posebne namjene</v>
      </c>
      <c r="E50" s="151">
        <v>4221</v>
      </c>
      <c r="F50" s="146" t="str">
        <f t="shared" si="11"/>
        <v>Uredska oprema i namještaj</v>
      </c>
      <c r="G50" s="186" t="s">
        <v>181</v>
      </c>
      <c r="H50" s="146" t="str">
        <f t="shared" si="5"/>
        <v>REDOVNA DJELATNOST SVEUČILIŠTA U RIJECI (IZ EVIDENCIJSKIH PRIHODA)</v>
      </c>
      <c r="I50" s="185">
        <v>0</v>
      </c>
      <c r="J50" s="185">
        <v>5000</v>
      </c>
      <c r="K50" s="185">
        <v>0</v>
      </c>
      <c r="M50" s="141" t="str">
        <f t="shared" si="12"/>
        <v>422</v>
      </c>
      <c r="N50" s="141" t="str">
        <f t="shared" si="13"/>
        <v>42</v>
      </c>
      <c r="R50" s="141">
        <v>3522</v>
      </c>
      <c r="S50" s="141" t="s">
        <v>265</v>
      </c>
      <c r="U50" s="141" t="str">
        <f t="shared" si="14"/>
        <v>35</v>
      </c>
      <c r="V50" s="141" t="str">
        <f t="shared" si="15"/>
        <v>352</v>
      </c>
      <c r="X50" t="s">
        <v>79</v>
      </c>
      <c r="Y50" t="s">
        <v>80</v>
      </c>
    </row>
    <row r="51" spans="1:25">
      <c r="A51" s="145" t="str">
        <f>IF(C51="","",VLOOKUP('Opći dio'!$C$3,'Opći dio'!$L$6:$U$136,10,FALSE))</f>
        <v/>
      </c>
      <c r="B51" s="145" t="str">
        <f>IF(C51="","",VLOOKUP('Opći dio'!$C$3,'Opći dio'!$L$6:$U$136,9,FALSE))</f>
        <v/>
      </c>
      <c r="C51" s="151"/>
      <c r="D51" s="146" t="str">
        <f t="shared" si="3"/>
        <v/>
      </c>
      <c r="E51" s="151"/>
      <c r="F51" s="146" t="str">
        <f t="shared" si="4"/>
        <v/>
      </c>
      <c r="G51" s="186"/>
      <c r="H51" s="146" t="str">
        <f t="shared" si="5"/>
        <v/>
      </c>
      <c r="I51" s="185"/>
      <c r="J51" s="185"/>
      <c r="K51" s="185"/>
      <c r="M51" s="141" t="str">
        <f t="shared" si="6"/>
        <v/>
      </c>
      <c r="N51" s="141" t="str">
        <f t="shared" si="7"/>
        <v/>
      </c>
      <c r="R51" s="141">
        <v>3531</v>
      </c>
      <c r="S51" s="141" t="s">
        <v>140</v>
      </c>
      <c r="U51" s="141" t="str">
        <f t="shared" si="14"/>
        <v>35</v>
      </c>
      <c r="V51" s="141" t="str">
        <f t="shared" si="15"/>
        <v>353</v>
      </c>
      <c r="X51" t="s">
        <v>82</v>
      </c>
      <c r="Y51" t="s">
        <v>83</v>
      </c>
    </row>
    <row r="52" spans="1:25">
      <c r="A52" s="145" t="str">
        <f>IF(C52="","",VLOOKUP('Opći dio'!$C$3,'Opći dio'!$L$6:$U$136,10,FALSE))</f>
        <v>08006</v>
      </c>
      <c r="B52" s="145" t="str">
        <f>IF(C52="","",VLOOKUP('Opći dio'!$C$3,'Opći dio'!$L$6:$U$136,9,FALSE))</f>
        <v>Sveučilišta i veleučilišta u Republici Hrvatskoj</v>
      </c>
      <c r="C52" s="151">
        <v>43</v>
      </c>
      <c r="D52" s="146" t="str">
        <f t="shared" si="3"/>
        <v>Ostali prihodi za posebne namjene</v>
      </c>
      <c r="E52" s="151">
        <v>3111</v>
      </c>
      <c r="F52" s="146" t="str">
        <f t="shared" si="4"/>
        <v>Plaće za redovan rad</v>
      </c>
      <c r="G52" s="186" t="s">
        <v>181</v>
      </c>
      <c r="H52" s="146" t="str">
        <f t="shared" si="5"/>
        <v>REDOVNA DJELATNOST SVEUČILIŠTA U RIJECI (IZ EVIDENCIJSKIH PRIHODA)</v>
      </c>
      <c r="I52" s="185">
        <v>4222000</v>
      </c>
      <c r="J52" s="185">
        <f>I52*3%+I52</f>
        <v>4348660</v>
      </c>
      <c r="K52" s="185">
        <f>I52*6%+I52</f>
        <v>4475320</v>
      </c>
      <c r="M52" s="141" t="str">
        <f t="shared" si="6"/>
        <v>311</v>
      </c>
      <c r="N52" s="141" t="str">
        <f t="shared" si="7"/>
        <v>31</v>
      </c>
      <c r="R52" s="141">
        <v>3611</v>
      </c>
      <c r="S52" s="141" t="s">
        <v>94</v>
      </c>
      <c r="U52" s="141" t="str">
        <f t="shared" si="14"/>
        <v>36</v>
      </c>
      <c r="V52" s="141" t="str">
        <f t="shared" si="15"/>
        <v>361</v>
      </c>
      <c r="X52" t="s">
        <v>807</v>
      </c>
      <c r="Y52" t="s">
        <v>808</v>
      </c>
    </row>
    <row r="53" spans="1:25">
      <c r="A53" s="145" t="str">
        <f>IF(C53="","",VLOOKUP('Opći dio'!$C$3,'Opći dio'!$L$6:$U$136,10,FALSE))</f>
        <v>08006</v>
      </c>
      <c r="B53" s="145" t="str">
        <f>IF(C53="","",VLOOKUP('Opći dio'!$C$3,'Opći dio'!$L$6:$U$136,9,FALSE))</f>
        <v>Sveučilišta i veleučilišta u Republici Hrvatskoj</v>
      </c>
      <c r="C53" s="151">
        <v>43</v>
      </c>
      <c r="D53" s="146" t="str">
        <f t="shared" si="3"/>
        <v>Ostali prihodi za posebne namjene</v>
      </c>
      <c r="E53" s="151">
        <v>3132</v>
      </c>
      <c r="F53" s="146" t="str">
        <f t="shared" si="4"/>
        <v>Doprinosi za obvezno zdravstveno osiguranje</v>
      </c>
      <c r="G53" s="186" t="s">
        <v>181</v>
      </c>
      <c r="H53" s="146" t="str">
        <f t="shared" si="5"/>
        <v>REDOVNA DJELATNOST SVEUČILIŠTA U RIJECI (IZ EVIDENCIJSKIH PRIHODA)</v>
      </c>
      <c r="I53" s="185">
        <v>696630</v>
      </c>
      <c r="J53" s="185">
        <f t="shared" ref="J53:J59" si="16">I53*3%+I53</f>
        <v>717528.9</v>
      </c>
      <c r="K53" s="185">
        <f t="shared" ref="K53:K59" si="17">I53*6%+I53</f>
        <v>738427.8</v>
      </c>
      <c r="M53" s="141" t="str">
        <f t="shared" si="6"/>
        <v>313</v>
      </c>
      <c r="N53" s="141" t="str">
        <f t="shared" si="7"/>
        <v>31</v>
      </c>
      <c r="R53" s="141">
        <v>3621</v>
      </c>
      <c r="S53" s="141" t="s">
        <v>144</v>
      </c>
      <c r="U53" s="141" t="str">
        <f t="shared" si="14"/>
        <v>36</v>
      </c>
      <c r="V53" s="141" t="str">
        <f t="shared" si="15"/>
        <v>362</v>
      </c>
      <c r="X53" t="s">
        <v>1197</v>
      </c>
      <c r="Y53" t="s">
        <v>1198</v>
      </c>
    </row>
    <row r="54" spans="1:25">
      <c r="A54" s="145" t="str">
        <f>IF(C54="","",VLOOKUP('Opći dio'!$C$3,'Opći dio'!$L$6:$U$136,10,FALSE))</f>
        <v>08006</v>
      </c>
      <c r="B54" s="145" t="str">
        <f>IF(C54="","",VLOOKUP('Opći dio'!$C$3,'Opći dio'!$L$6:$U$136,9,FALSE))</f>
        <v>Sveučilišta i veleučilišta u Republici Hrvatskoj</v>
      </c>
      <c r="C54" s="151">
        <v>43</v>
      </c>
      <c r="D54" s="146" t="str">
        <f t="shared" si="3"/>
        <v>Ostali prihodi za posebne namjene</v>
      </c>
      <c r="E54" s="151">
        <v>3211</v>
      </c>
      <c r="F54" s="146" t="str">
        <f t="shared" si="4"/>
        <v>Službena putovanja</v>
      </c>
      <c r="G54" s="186" t="s">
        <v>181</v>
      </c>
      <c r="H54" s="146" t="str">
        <f t="shared" si="5"/>
        <v>REDOVNA DJELATNOST SVEUČILIŠTA U RIJECI (IZ EVIDENCIJSKIH PRIHODA)</v>
      </c>
      <c r="I54" s="185">
        <v>35000</v>
      </c>
      <c r="J54" s="185">
        <f t="shared" si="16"/>
        <v>36050</v>
      </c>
      <c r="K54" s="185">
        <f t="shared" si="17"/>
        <v>37100</v>
      </c>
      <c r="M54" s="141" t="str">
        <f t="shared" si="6"/>
        <v>321</v>
      </c>
      <c r="N54" s="141" t="str">
        <f t="shared" si="7"/>
        <v>32</v>
      </c>
      <c r="R54" s="141">
        <v>3631</v>
      </c>
      <c r="S54" s="141" t="s">
        <v>185</v>
      </c>
      <c r="U54" s="141" t="str">
        <f t="shared" si="14"/>
        <v>36</v>
      </c>
      <c r="V54" s="141" t="str">
        <f t="shared" si="15"/>
        <v>363</v>
      </c>
      <c r="X54" t="s">
        <v>809</v>
      </c>
      <c r="Y54" t="s">
        <v>810</v>
      </c>
    </row>
    <row r="55" spans="1:25">
      <c r="A55" s="145" t="str">
        <f>IF(C55="","",VLOOKUP('Opći dio'!$C$3,'Opći dio'!$L$6:$U$136,10,FALSE))</f>
        <v>08006</v>
      </c>
      <c r="B55" s="145" t="str">
        <f>IF(C55="","",VLOOKUP('Opći dio'!$C$3,'Opći dio'!$L$6:$U$136,9,FALSE))</f>
        <v>Sveučilišta i veleučilišta u Republici Hrvatskoj</v>
      </c>
      <c r="C55" s="151">
        <v>43</v>
      </c>
      <c r="D55" s="146" t="str">
        <f t="shared" si="3"/>
        <v>Ostali prihodi za posebne namjene</v>
      </c>
      <c r="E55" s="151">
        <v>3213</v>
      </c>
      <c r="F55" s="146" t="str">
        <f t="shared" si="4"/>
        <v>Stručno usavršavanje zaposlenika</v>
      </c>
      <c r="G55" s="186" t="s">
        <v>181</v>
      </c>
      <c r="H55" s="146" t="str">
        <f t="shared" si="5"/>
        <v>REDOVNA DJELATNOST SVEUČILIŠTA U RIJECI (IZ EVIDENCIJSKIH PRIHODA)</v>
      </c>
      <c r="I55" s="185">
        <v>20000</v>
      </c>
      <c r="J55" s="185">
        <f t="shared" si="16"/>
        <v>20600</v>
      </c>
      <c r="K55" s="185">
        <f t="shared" si="17"/>
        <v>21200</v>
      </c>
      <c r="M55" s="141" t="str">
        <f t="shared" si="6"/>
        <v>321</v>
      </c>
      <c r="N55" s="141" t="str">
        <f t="shared" si="7"/>
        <v>32</v>
      </c>
      <c r="R55" s="141">
        <v>3632</v>
      </c>
      <c r="S55" s="141" t="s">
        <v>266</v>
      </c>
      <c r="U55" s="141" t="str">
        <f t="shared" si="14"/>
        <v>36</v>
      </c>
      <c r="V55" s="141" t="str">
        <f t="shared" si="15"/>
        <v>363</v>
      </c>
      <c r="X55" t="s">
        <v>801</v>
      </c>
      <c r="Y55" t="s">
        <v>802</v>
      </c>
    </row>
    <row r="56" spans="1:25">
      <c r="A56" s="145" t="str">
        <f>IF(C56="","",VLOOKUP('Opći dio'!$C$3,'Opći dio'!$L$6:$U$136,10,FALSE))</f>
        <v>08006</v>
      </c>
      <c r="B56" s="145" t="str">
        <f>IF(C56="","",VLOOKUP('Opći dio'!$C$3,'Opći dio'!$L$6:$U$136,9,FALSE))</f>
        <v>Sveučilišta i veleučilišta u Republici Hrvatskoj</v>
      </c>
      <c r="C56" s="151">
        <v>43</v>
      </c>
      <c r="D56" s="146" t="str">
        <f t="shared" si="3"/>
        <v>Ostali prihodi za posebne namjene</v>
      </c>
      <c r="E56" s="151">
        <v>3221</v>
      </c>
      <c r="F56" s="146" t="str">
        <f t="shared" si="4"/>
        <v>Uredski materijal i ostali materijalni rashodi</v>
      </c>
      <c r="G56" s="186" t="s">
        <v>181</v>
      </c>
      <c r="H56" s="146" t="str">
        <f t="shared" si="5"/>
        <v>REDOVNA DJELATNOST SVEUČILIŠTA U RIJECI (IZ EVIDENCIJSKIH PRIHODA)</v>
      </c>
      <c r="I56" s="185">
        <v>15000</v>
      </c>
      <c r="J56" s="185">
        <f t="shared" si="16"/>
        <v>15450</v>
      </c>
      <c r="K56" s="185">
        <f t="shared" si="17"/>
        <v>15900</v>
      </c>
      <c r="M56" s="141" t="str">
        <f t="shared" si="6"/>
        <v>322</v>
      </c>
      <c r="N56" s="141" t="str">
        <f t="shared" si="7"/>
        <v>32</v>
      </c>
      <c r="R56" s="141">
        <v>3661</v>
      </c>
      <c r="S56" s="141" t="s">
        <v>106</v>
      </c>
      <c r="U56" s="141" t="str">
        <f t="shared" si="14"/>
        <v>36</v>
      </c>
      <c r="V56" s="141" t="str">
        <f t="shared" si="15"/>
        <v>366</v>
      </c>
      <c r="X56" t="s">
        <v>2070</v>
      </c>
      <c r="Y56" t="s">
        <v>2071</v>
      </c>
    </row>
    <row r="57" spans="1:25">
      <c r="A57" s="145" t="str">
        <f>IF(C57="","",VLOOKUP('Opći dio'!$C$3,'Opći dio'!$L$6:$U$136,10,FALSE))</f>
        <v>08006</v>
      </c>
      <c r="B57" s="145" t="str">
        <f>IF(C57="","",VLOOKUP('Opći dio'!$C$3,'Opći dio'!$L$6:$U$136,9,FALSE))</f>
        <v>Sveučilišta i veleučilišta u Republici Hrvatskoj</v>
      </c>
      <c r="C57" s="151">
        <v>43</v>
      </c>
      <c r="D57" s="146" t="str">
        <f t="shared" si="3"/>
        <v>Ostali prihodi za posebne namjene</v>
      </c>
      <c r="E57" s="151">
        <v>3225</v>
      </c>
      <c r="F57" s="146" t="str">
        <f t="shared" si="4"/>
        <v>Sitni inventar i auto gume</v>
      </c>
      <c r="G57" s="186" t="s">
        <v>181</v>
      </c>
      <c r="H57" s="146" t="str">
        <f t="shared" si="5"/>
        <v>REDOVNA DJELATNOST SVEUČILIŠTA U RIJECI (IZ EVIDENCIJSKIH PRIHODA)</v>
      </c>
      <c r="I57" s="185">
        <v>20000</v>
      </c>
      <c r="J57" s="185">
        <f t="shared" si="16"/>
        <v>20600</v>
      </c>
      <c r="K57" s="185">
        <f t="shared" si="17"/>
        <v>21200</v>
      </c>
      <c r="M57" s="141" t="str">
        <f t="shared" si="6"/>
        <v>322</v>
      </c>
      <c r="N57" s="141" t="str">
        <f t="shared" si="7"/>
        <v>32</v>
      </c>
      <c r="R57" s="141">
        <v>3662</v>
      </c>
      <c r="S57" s="141" t="s">
        <v>189</v>
      </c>
      <c r="U57" s="141" t="str">
        <f t="shared" si="14"/>
        <v>36</v>
      </c>
      <c r="V57" s="141" t="str">
        <f t="shared" si="15"/>
        <v>366</v>
      </c>
      <c r="X57" t="s">
        <v>149</v>
      </c>
      <c r="Y57" t="s">
        <v>150</v>
      </c>
    </row>
    <row r="58" spans="1:25">
      <c r="A58" s="145" t="str">
        <f>IF(C58="","",VLOOKUP('Opći dio'!$C$3,'Opći dio'!$L$6:$U$136,10,FALSE))</f>
        <v>08006</v>
      </c>
      <c r="B58" s="145" t="str">
        <f>IF(C58="","",VLOOKUP('Opći dio'!$C$3,'Opći dio'!$L$6:$U$136,9,FALSE))</f>
        <v>Sveučilišta i veleučilišta u Republici Hrvatskoj</v>
      </c>
      <c r="C58" s="151">
        <v>43</v>
      </c>
      <c r="D58" s="146" t="str">
        <f t="shared" si="3"/>
        <v>Ostali prihodi za posebne namjene</v>
      </c>
      <c r="E58" s="151">
        <v>3231</v>
      </c>
      <c r="F58" s="146" t="str">
        <f t="shared" si="4"/>
        <v>Usluge telefona, pošte i prijevoza</v>
      </c>
      <c r="G58" s="186" t="s">
        <v>181</v>
      </c>
      <c r="H58" s="146" t="str">
        <f t="shared" si="5"/>
        <v>REDOVNA DJELATNOST SVEUČILIŠTA U RIJECI (IZ EVIDENCIJSKIH PRIHODA)</v>
      </c>
      <c r="I58" s="185">
        <v>500</v>
      </c>
      <c r="J58" s="185">
        <f t="shared" si="16"/>
        <v>515</v>
      </c>
      <c r="K58" s="185">
        <f t="shared" si="17"/>
        <v>530</v>
      </c>
      <c r="M58" s="141" t="str">
        <f t="shared" si="6"/>
        <v>323</v>
      </c>
      <c r="N58" s="141" t="str">
        <f t="shared" si="7"/>
        <v>32</v>
      </c>
      <c r="R58" s="141">
        <v>3681</v>
      </c>
      <c r="S58" s="141" t="s">
        <v>29</v>
      </c>
      <c r="U58" s="141" t="str">
        <f t="shared" si="14"/>
        <v>36</v>
      </c>
      <c r="V58" s="141" t="str">
        <f t="shared" si="15"/>
        <v>368</v>
      </c>
      <c r="X58" t="s">
        <v>152</v>
      </c>
      <c r="Y58" t="s">
        <v>1570</v>
      </c>
    </row>
    <row r="59" spans="1:25">
      <c r="A59" s="145" t="str">
        <f>IF(C59="","",VLOOKUP('Opći dio'!$C$3,'Opći dio'!$L$6:$U$136,10,FALSE))</f>
        <v>08006</v>
      </c>
      <c r="B59" s="145" t="str">
        <f>IF(C59="","",VLOOKUP('Opći dio'!$C$3,'Opći dio'!$L$6:$U$136,9,FALSE))</f>
        <v>Sveučilišta i veleučilišta u Republici Hrvatskoj</v>
      </c>
      <c r="C59" s="151">
        <v>43</v>
      </c>
      <c r="D59" s="146" t="str">
        <f t="shared" si="3"/>
        <v>Ostali prihodi za posebne namjene</v>
      </c>
      <c r="E59" s="151">
        <v>3233</v>
      </c>
      <c r="F59" s="146" t="str">
        <f t="shared" si="4"/>
        <v>Usluge promidžbe i informiranja</v>
      </c>
      <c r="G59" s="186" t="s">
        <v>181</v>
      </c>
      <c r="H59" s="146" t="str">
        <f t="shared" si="5"/>
        <v>REDOVNA DJELATNOST SVEUČILIŠTA U RIJECI (IZ EVIDENCIJSKIH PRIHODA)</v>
      </c>
      <c r="I59" s="185">
        <v>75000</v>
      </c>
      <c r="J59" s="185">
        <f t="shared" si="16"/>
        <v>77250</v>
      </c>
      <c r="K59" s="185">
        <f t="shared" si="17"/>
        <v>79500</v>
      </c>
      <c r="M59" s="141" t="str">
        <f t="shared" si="6"/>
        <v>323</v>
      </c>
      <c r="N59" s="141" t="str">
        <f t="shared" si="7"/>
        <v>32</v>
      </c>
      <c r="R59" s="141">
        <v>3682</v>
      </c>
      <c r="S59" s="141" t="s">
        <v>30</v>
      </c>
      <c r="U59" s="141" t="str">
        <f t="shared" si="14"/>
        <v>36</v>
      </c>
      <c r="V59" s="141" t="str">
        <f t="shared" si="15"/>
        <v>368</v>
      </c>
      <c r="X59" t="s">
        <v>181</v>
      </c>
      <c r="Y59" t="s">
        <v>1571</v>
      </c>
    </row>
    <row r="60" spans="1:25">
      <c r="A60" s="145" t="str">
        <f>IF(C60="","",VLOOKUP('Opći dio'!$C$3,'Opći dio'!$L$6:$U$136,10,FALSE))</f>
        <v>08006</v>
      </c>
      <c r="B60" s="145" t="str">
        <f>IF(C60="","",VLOOKUP('Opći dio'!$C$3,'Opći dio'!$L$6:$U$136,9,FALSE))</f>
        <v>Sveučilišta i veleučilišta u Republici Hrvatskoj</v>
      </c>
      <c r="C60" s="151">
        <v>43</v>
      </c>
      <c r="D60" s="146" t="str">
        <f t="shared" si="3"/>
        <v>Ostali prihodi za posebne namjene</v>
      </c>
      <c r="E60" s="151">
        <v>3235</v>
      </c>
      <c r="F60" s="146" t="str">
        <f t="shared" si="4"/>
        <v>Zakupnine i najamnine</v>
      </c>
      <c r="G60" s="186" t="s">
        <v>181</v>
      </c>
      <c r="H60" s="146" t="str">
        <f t="shared" si="5"/>
        <v>REDOVNA DJELATNOST SVEUČILIŠTA U RIJECI (IZ EVIDENCIJSKIH PRIHODA)</v>
      </c>
      <c r="I60" s="185">
        <v>242000</v>
      </c>
      <c r="J60" s="185">
        <v>245000</v>
      </c>
      <c r="K60" s="185">
        <v>245000</v>
      </c>
      <c r="M60" s="141" t="str">
        <f t="shared" si="6"/>
        <v>323</v>
      </c>
      <c r="N60" s="141" t="str">
        <f t="shared" si="7"/>
        <v>32</v>
      </c>
      <c r="R60" s="141">
        <v>3691</v>
      </c>
      <c r="S60" s="141" t="s">
        <v>111</v>
      </c>
      <c r="U60" s="141" t="str">
        <f t="shared" si="14"/>
        <v>36</v>
      </c>
      <c r="V60" s="141" t="str">
        <f t="shared" si="15"/>
        <v>369</v>
      </c>
      <c r="X60" t="s">
        <v>184</v>
      </c>
      <c r="Y60" t="s">
        <v>1572</v>
      </c>
    </row>
    <row r="61" spans="1:25">
      <c r="A61" s="145" t="str">
        <f>IF(C61="","",VLOOKUP('Opći dio'!$C$3,'Opći dio'!$L$6:$U$136,10,FALSE))</f>
        <v>08006</v>
      </c>
      <c r="B61" s="145" t="str">
        <f>IF(C61="","",VLOOKUP('Opći dio'!$C$3,'Opći dio'!$L$6:$U$136,9,FALSE))</f>
        <v>Sveučilišta i veleučilišta u Republici Hrvatskoj</v>
      </c>
      <c r="C61" s="151">
        <v>43</v>
      </c>
      <c r="D61" s="146" t="str">
        <f t="shared" si="3"/>
        <v>Ostali prihodi za posebne namjene</v>
      </c>
      <c r="E61" s="151">
        <v>3237</v>
      </c>
      <c r="F61" s="146" t="str">
        <f t="shared" si="4"/>
        <v>Intelektualne i osobne usluge</v>
      </c>
      <c r="G61" s="186" t="s">
        <v>181</v>
      </c>
      <c r="H61" s="146" t="str">
        <f t="shared" si="5"/>
        <v>REDOVNA DJELATNOST SVEUČILIŠTA U RIJECI (IZ EVIDENCIJSKIH PRIHODA)</v>
      </c>
      <c r="I61" s="185">
        <v>25000</v>
      </c>
      <c r="J61" s="185">
        <f>I61*3%+I61</f>
        <v>25750</v>
      </c>
      <c r="K61" s="185">
        <f>I61*6%+I61</f>
        <v>26500</v>
      </c>
      <c r="M61" s="141" t="str">
        <f t="shared" si="6"/>
        <v>323</v>
      </c>
      <c r="N61" s="141" t="str">
        <f t="shared" si="7"/>
        <v>32</v>
      </c>
      <c r="R61" s="141">
        <v>3692</v>
      </c>
      <c r="S61" s="141" t="s">
        <v>183</v>
      </c>
      <c r="U61" s="141" t="str">
        <f t="shared" si="14"/>
        <v>36</v>
      </c>
      <c r="V61" s="141" t="str">
        <f t="shared" si="15"/>
        <v>369</v>
      </c>
      <c r="X61" t="s">
        <v>187</v>
      </c>
      <c r="Y61" t="s">
        <v>1573</v>
      </c>
    </row>
    <row r="62" spans="1:25">
      <c r="A62" s="145" t="str">
        <f>IF(C62="","",VLOOKUP('Opći dio'!$C$3,'Opći dio'!$L$6:$U$136,10,FALSE))</f>
        <v>08006</v>
      </c>
      <c r="B62" s="145" t="str">
        <f>IF(C62="","",VLOOKUP('Opći dio'!$C$3,'Opći dio'!$L$6:$U$136,9,FALSE))</f>
        <v>Sveučilišta i veleučilišta u Republici Hrvatskoj</v>
      </c>
      <c r="C62" s="151">
        <v>43</v>
      </c>
      <c r="D62" s="146" t="str">
        <f t="shared" si="3"/>
        <v>Ostali prihodi za posebne namjene</v>
      </c>
      <c r="E62" s="151">
        <v>3238</v>
      </c>
      <c r="F62" s="146" t="str">
        <f t="shared" si="4"/>
        <v>Računalne usluge</v>
      </c>
      <c r="G62" s="186" t="s">
        <v>181</v>
      </c>
      <c r="H62" s="146" t="str">
        <f t="shared" si="5"/>
        <v>REDOVNA DJELATNOST SVEUČILIŠTA U RIJECI (IZ EVIDENCIJSKIH PRIHODA)</v>
      </c>
      <c r="I62" s="185">
        <v>30000</v>
      </c>
      <c r="J62" s="185">
        <f t="shared" ref="J62:J69" si="18">I62*3%+I62</f>
        <v>30900</v>
      </c>
      <c r="K62" s="185">
        <f t="shared" ref="K62:K69" si="19">I62*6%+I62</f>
        <v>31800</v>
      </c>
      <c r="M62" s="141" t="str">
        <f t="shared" si="6"/>
        <v>323</v>
      </c>
      <c r="N62" s="141" t="str">
        <f t="shared" si="7"/>
        <v>32</v>
      </c>
      <c r="R62" s="141">
        <v>3693</v>
      </c>
      <c r="S62" s="141" t="s">
        <v>111</v>
      </c>
      <c r="U62" s="141" t="str">
        <f t="shared" si="14"/>
        <v>36</v>
      </c>
      <c r="V62" s="141" t="str">
        <f t="shared" si="15"/>
        <v>369</v>
      </c>
      <c r="X62" t="s">
        <v>191</v>
      </c>
      <c r="Y62" t="s">
        <v>1574</v>
      </c>
    </row>
    <row r="63" spans="1:25">
      <c r="A63" s="145" t="str">
        <f>IF(C63="","",VLOOKUP('Opći dio'!$C$3,'Opći dio'!$L$6:$U$136,10,FALSE))</f>
        <v>08006</v>
      </c>
      <c r="B63" s="145" t="str">
        <f>IF(C63="","",VLOOKUP('Opći dio'!$C$3,'Opći dio'!$L$6:$U$136,9,FALSE))</f>
        <v>Sveučilišta i veleučilišta u Republici Hrvatskoj</v>
      </c>
      <c r="C63" s="151">
        <v>43</v>
      </c>
      <c r="D63" s="146" t="str">
        <f t="shared" si="3"/>
        <v>Ostali prihodi za posebne namjene</v>
      </c>
      <c r="E63" s="151">
        <v>3239</v>
      </c>
      <c r="F63" s="146" t="str">
        <f t="shared" si="4"/>
        <v>Ostale usluge</v>
      </c>
      <c r="G63" s="186" t="s">
        <v>181</v>
      </c>
      <c r="H63" s="146" t="str">
        <f t="shared" si="5"/>
        <v>REDOVNA DJELATNOST SVEUČILIŠTA U RIJECI (IZ EVIDENCIJSKIH PRIHODA)</v>
      </c>
      <c r="I63" s="185">
        <v>30000</v>
      </c>
      <c r="J63" s="185">
        <f t="shared" si="18"/>
        <v>30900</v>
      </c>
      <c r="K63" s="185">
        <f t="shared" si="19"/>
        <v>31800</v>
      </c>
      <c r="M63" s="141" t="str">
        <f t="shared" si="6"/>
        <v>323</v>
      </c>
      <c r="N63" s="141" t="str">
        <f t="shared" si="7"/>
        <v>32</v>
      </c>
      <c r="R63" s="141">
        <v>3694</v>
      </c>
      <c r="S63" s="141" t="s">
        <v>183</v>
      </c>
      <c r="U63" s="141" t="str">
        <f t="shared" si="14"/>
        <v>36</v>
      </c>
      <c r="V63" s="141" t="str">
        <f t="shared" si="15"/>
        <v>369</v>
      </c>
      <c r="X63" t="s">
        <v>192</v>
      </c>
      <c r="Y63" t="s">
        <v>1575</v>
      </c>
    </row>
    <row r="64" spans="1:25">
      <c r="A64" s="145" t="str">
        <f>IF(C64="","",VLOOKUP('Opći dio'!$C$3,'Opći dio'!$L$6:$U$136,10,FALSE))</f>
        <v>08006</v>
      </c>
      <c r="B64" s="145" t="str">
        <f>IF(C64="","",VLOOKUP('Opći dio'!$C$3,'Opći dio'!$L$6:$U$136,9,FALSE))</f>
        <v>Sveučilišta i veleučilišta u Republici Hrvatskoj</v>
      </c>
      <c r="C64" s="151">
        <v>43</v>
      </c>
      <c r="D64" s="146" t="str">
        <f t="shared" si="3"/>
        <v>Ostali prihodi za posebne namjene</v>
      </c>
      <c r="E64" s="151">
        <v>3299</v>
      </c>
      <c r="F64" s="146" t="str">
        <f t="shared" si="4"/>
        <v>Ostali nespomenuti rashodi poslovanja</v>
      </c>
      <c r="G64" s="186" t="s">
        <v>181</v>
      </c>
      <c r="H64" s="146" t="str">
        <f t="shared" si="5"/>
        <v>REDOVNA DJELATNOST SVEUČILIŠTA U RIJECI (IZ EVIDENCIJSKIH PRIHODA)</v>
      </c>
      <c r="I64" s="185">
        <v>25000</v>
      </c>
      <c r="J64" s="185">
        <f t="shared" si="18"/>
        <v>25750</v>
      </c>
      <c r="K64" s="185">
        <f t="shared" si="19"/>
        <v>26500</v>
      </c>
      <c r="M64" s="141" t="str">
        <f t="shared" si="6"/>
        <v>329</v>
      </c>
      <c r="N64" s="141" t="str">
        <f t="shared" si="7"/>
        <v>32</v>
      </c>
      <c r="R64" s="141">
        <v>3711</v>
      </c>
      <c r="S64" s="141" t="s">
        <v>130</v>
      </c>
      <c r="U64" s="141" t="str">
        <f t="shared" si="14"/>
        <v>37</v>
      </c>
      <c r="V64" s="141" t="str">
        <f t="shared" si="15"/>
        <v>371</v>
      </c>
      <c r="X64" t="s">
        <v>194</v>
      </c>
      <c r="Y64" t="s">
        <v>1576</v>
      </c>
    </row>
    <row r="65" spans="1:25">
      <c r="A65" s="145" t="str">
        <f>IF(C65="","",VLOOKUP('Opći dio'!$C$3,'Opći dio'!$L$6:$U$136,10,FALSE))</f>
        <v>08006</v>
      </c>
      <c r="B65" s="145" t="str">
        <f>IF(C65="","",VLOOKUP('Opći dio'!$C$3,'Opći dio'!$L$6:$U$136,9,FALSE))</f>
        <v>Sveučilišta i veleučilišta u Republici Hrvatskoj</v>
      </c>
      <c r="C65" s="151">
        <v>43</v>
      </c>
      <c r="D65" s="146" t="str">
        <f t="shared" si="3"/>
        <v>Ostali prihodi za posebne namjene</v>
      </c>
      <c r="E65" s="151">
        <v>3241</v>
      </c>
      <c r="F65" s="146" t="str">
        <f t="shared" si="4"/>
        <v>Naknade troškova osobama izvan radnog odnosa</v>
      </c>
      <c r="G65" s="186" t="s">
        <v>181</v>
      </c>
      <c r="H65" s="146" t="str">
        <f t="shared" si="5"/>
        <v>REDOVNA DJELATNOST SVEUČILIŠTA U RIJECI (IZ EVIDENCIJSKIH PRIHODA)</v>
      </c>
      <c r="I65" s="185">
        <v>90000</v>
      </c>
      <c r="J65" s="185">
        <f t="shared" si="18"/>
        <v>92700</v>
      </c>
      <c r="K65" s="185">
        <f t="shared" si="19"/>
        <v>95400</v>
      </c>
      <c r="M65" s="141" t="str">
        <f t="shared" si="6"/>
        <v>324</v>
      </c>
      <c r="N65" s="141" t="str">
        <f t="shared" si="7"/>
        <v>32</v>
      </c>
      <c r="R65" s="141">
        <v>3712</v>
      </c>
      <c r="S65" s="141" t="s">
        <v>148</v>
      </c>
      <c r="U65" s="141" t="str">
        <f t="shared" si="14"/>
        <v>37</v>
      </c>
      <c r="V65" s="141" t="str">
        <f t="shared" si="15"/>
        <v>371</v>
      </c>
      <c r="X65" t="s">
        <v>200</v>
      </c>
      <c r="Y65" t="s">
        <v>1577</v>
      </c>
    </row>
    <row r="66" spans="1:25">
      <c r="A66" s="145" t="str">
        <f>IF(C66="","",VLOOKUP('Opći dio'!$C$3,'Opći dio'!$L$6:$U$136,10,FALSE))</f>
        <v>08006</v>
      </c>
      <c r="B66" s="145" t="str">
        <f>IF(C66="","",VLOOKUP('Opći dio'!$C$3,'Opći dio'!$L$6:$U$136,9,FALSE))</f>
        <v>Sveučilišta i veleučilišta u Republici Hrvatskoj</v>
      </c>
      <c r="C66" s="151">
        <v>43</v>
      </c>
      <c r="D66" s="146" t="str">
        <f t="shared" si="3"/>
        <v>Ostali prihodi za posebne namjene</v>
      </c>
      <c r="E66" s="151">
        <v>3431</v>
      </c>
      <c r="F66" s="146" t="str">
        <f t="shared" si="4"/>
        <v>Bankarske usluge i usluge platnog prometa</v>
      </c>
      <c r="G66" s="186" t="s">
        <v>181</v>
      </c>
      <c r="H66" s="146" t="str">
        <f t="shared" si="5"/>
        <v>REDOVNA DJELATNOST SVEUČILIŠTA U RIJECI (IZ EVIDENCIJSKIH PRIHODA)</v>
      </c>
      <c r="I66" s="185">
        <v>200</v>
      </c>
      <c r="J66" s="185">
        <f t="shared" si="18"/>
        <v>206</v>
      </c>
      <c r="K66" s="185">
        <f t="shared" si="19"/>
        <v>212</v>
      </c>
      <c r="M66" s="141" t="str">
        <f t="shared" si="6"/>
        <v>343</v>
      </c>
      <c r="N66" s="141" t="str">
        <f t="shared" si="7"/>
        <v>34</v>
      </c>
      <c r="R66" s="141">
        <v>3713</v>
      </c>
      <c r="S66" s="141" t="s">
        <v>175</v>
      </c>
      <c r="U66" s="141" t="str">
        <f t="shared" si="14"/>
        <v>37</v>
      </c>
      <c r="V66" s="141" t="str">
        <f t="shared" si="15"/>
        <v>371</v>
      </c>
      <c r="X66" t="s">
        <v>201</v>
      </c>
      <c r="Y66" t="s">
        <v>1578</v>
      </c>
    </row>
    <row r="67" spans="1:25">
      <c r="A67" s="145" t="str">
        <f>IF(C67="","",VLOOKUP('Opći dio'!$C$3,'Opći dio'!$L$6:$U$136,10,FALSE))</f>
        <v>08006</v>
      </c>
      <c r="B67" s="145" t="str">
        <f>IF(C67="","",VLOOKUP('Opći dio'!$C$3,'Opći dio'!$L$6:$U$136,9,FALSE))</f>
        <v>Sveučilišta i veleučilišta u Republici Hrvatskoj</v>
      </c>
      <c r="C67" s="151">
        <v>43</v>
      </c>
      <c r="D67" s="146" t="str">
        <f t="shared" si="3"/>
        <v>Ostali prihodi za posebne namjene</v>
      </c>
      <c r="E67" s="151">
        <v>4123</v>
      </c>
      <c r="F67" s="146" t="str">
        <f t="shared" si="4"/>
        <v>Licence</v>
      </c>
      <c r="G67" s="186" t="s">
        <v>181</v>
      </c>
      <c r="H67" s="146" t="str">
        <f t="shared" si="5"/>
        <v>REDOVNA DJELATNOST SVEUČILIŠTA U RIJECI (IZ EVIDENCIJSKIH PRIHODA)</v>
      </c>
      <c r="I67" s="185">
        <v>60000</v>
      </c>
      <c r="J67" s="185">
        <f t="shared" si="18"/>
        <v>61800</v>
      </c>
      <c r="K67" s="185">
        <f t="shared" si="19"/>
        <v>63600</v>
      </c>
      <c r="M67" s="141" t="str">
        <f t="shared" si="6"/>
        <v>412</v>
      </c>
      <c r="N67" s="141" t="str">
        <f t="shared" si="7"/>
        <v>41</v>
      </c>
      <c r="R67" s="141">
        <v>3714</v>
      </c>
      <c r="S67" s="141" t="s">
        <v>196</v>
      </c>
      <c r="U67" s="141" t="str">
        <f t="shared" si="14"/>
        <v>37</v>
      </c>
      <c r="V67" s="141" t="str">
        <f t="shared" si="15"/>
        <v>371</v>
      </c>
      <c r="X67" t="s">
        <v>799</v>
      </c>
      <c r="Y67" t="s">
        <v>800</v>
      </c>
    </row>
    <row r="68" spans="1:25">
      <c r="A68" s="145" t="str">
        <f>IF(C68="","",VLOOKUP('Opći dio'!$C$3,'Opći dio'!$L$6:$U$136,10,FALSE))</f>
        <v>08006</v>
      </c>
      <c r="B68" s="145" t="str">
        <f>IF(C68="","",VLOOKUP('Opći dio'!$C$3,'Opći dio'!$L$6:$U$136,9,FALSE))</f>
        <v>Sveučilišta i veleučilišta u Republici Hrvatskoj</v>
      </c>
      <c r="C68" s="151">
        <v>43</v>
      </c>
      <c r="D68" s="146" t="str">
        <f t="shared" ref="D68:D76" si="20">IFERROR(VLOOKUP(C68,$O$6:$P$23,2,FALSE),"")</f>
        <v>Ostali prihodi za posebne namjene</v>
      </c>
      <c r="E68" s="151">
        <v>4221</v>
      </c>
      <c r="F68" s="146" t="str">
        <f t="shared" ref="F68:F76" si="21">IFERROR(VLOOKUP(E68,$R$5:$T$129,2,FALSE),"")</f>
        <v>Uredska oprema i namještaj</v>
      </c>
      <c r="G68" s="186" t="s">
        <v>181</v>
      </c>
      <c r="H68" s="146" t="str">
        <f t="shared" ref="H68:H131" si="22">IFERROR(VLOOKUP(G68,$X$6:$Y$200,2,FALSE),"")</f>
        <v>REDOVNA DJELATNOST SVEUČILIŠTA U RIJECI (IZ EVIDENCIJSKIH PRIHODA)</v>
      </c>
      <c r="I68" s="185">
        <v>80000</v>
      </c>
      <c r="J68" s="185">
        <f t="shared" si="18"/>
        <v>82400</v>
      </c>
      <c r="K68" s="185">
        <f t="shared" si="19"/>
        <v>84800</v>
      </c>
      <c r="M68" s="141" t="str">
        <f t="shared" ref="M68:M76" si="23">LEFT(E68,3)</f>
        <v>422</v>
      </c>
      <c r="N68" s="141" t="str">
        <f t="shared" ref="N68:N76" si="24">LEFT(E68,2)</f>
        <v>42</v>
      </c>
      <c r="R68" s="141">
        <v>3715</v>
      </c>
      <c r="S68" s="141" t="s">
        <v>134</v>
      </c>
      <c r="U68" s="141" t="str">
        <f t="shared" si="14"/>
        <v>37</v>
      </c>
      <c r="V68" s="141" t="str">
        <f t="shared" si="15"/>
        <v>371</v>
      </c>
      <c r="X68" t="s">
        <v>2072</v>
      </c>
      <c r="Y68" t="s">
        <v>2073</v>
      </c>
    </row>
    <row r="69" spans="1:25">
      <c r="A69" s="145" t="str">
        <f>IF(C69="","",VLOOKUP('Opći dio'!$C$3,'Opći dio'!$L$6:$U$136,10,FALSE))</f>
        <v>08006</v>
      </c>
      <c r="B69" s="145" t="str">
        <f>IF(C69="","",VLOOKUP('Opći dio'!$C$3,'Opći dio'!$L$6:$U$136,9,FALSE))</f>
        <v>Sveučilišta i veleučilišta u Republici Hrvatskoj</v>
      </c>
      <c r="C69" s="151">
        <v>43</v>
      </c>
      <c r="D69" s="146" t="str">
        <f t="shared" si="20"/>
        <v>Ostali prihodi za posebne namjene</v>
      </c>
      <c r="E69" s="151">
        <v>4222</v>
      </c>
      <c r="F69" s="146" t="str">
        <f t="shared" si="21"/>
        <v>Komunikacijska oprema</v>
      </c>
      <c r="G69" s="186" t="s">
        <v>181</v>
      </c>
      <c r="H69" s="146" t="str">
        <f t="shared" si="22"/>
        <v>REDOVNA DJELATNOST SVEUČILIŠTA U RIJECI (IZ EVIDENCIJSKIH PRIHODA)</v>
      </c>
      <c r="I69" s="185">
        <v>30000</v>
      </c>
      <c r="J69" s="185">
        <f t="shared" si="18"/>
        <v>30900</v>
      </c>
      <c r="K69" s="185">
        <f t="shared" si="19"/>
        <v>31800</v>
      </c>
      <c r="M69" s="141" t="str">
        <f t="shared" si="23"/>
        <v>422</v>
      </c>
      <c r="N69" s="141" t="str">
        <f t="shared" si="24"/>
        <v>42</v>
      </c>
      <c r="R69" s="141">
        <v>3721</v>
      </c>
      <c r="S69" s="141" t="s">
        <v>72</v>
      </c>
      <c r="U69" s="141" t="str">
        <f t="shared" si="14"/>
        <v>37</v>
      </c>
      <c r="V69" s="141" t="str">
        <f t="shared" si="15"/>
        <v>372</v>
      </c>
      <c r="X69" t="s">
        <v>805</v>
      </c>
      <c r="Y69" t="s">
        <v>806</v>
      </c>
    </row>
    <row r="70" spans="1:25">
      <c r="A70" s="145" t="str">
        <f>IF(C70="","",VLOOKUP('Opći dio'!$C$3,'Opći dio'!$L$6:$U$136,10,FALSE))</f>
        <v/>
      </c>
      <c r="B70" s="145" t="str">
        <f>IF(C70="","",VLOOKUP('Opći dio'!$C$3,'Opći dio'!$L$6:$U$136,9,FALSE))</f>
        <v/>
      </c>
      <c r="C70" s="151"/>
      <c r="D70" s="146" t="str">
        <f t="shared" si="20"/>
        <v/>
      </c>
      <c r="E70" s="151"/>
      <c r="F70" s="146" t="str">
        <f t="shared" si="21"/>
        <v/>
      </c>
      <c r="G70" s="186"/>
      <c r="H70" s="146" t="str">
        <f t="shared" si="22"/>
        <v/>
      </c>
      <c r="I70" s="185"/>
      <c r="J70" s="185"/>
      <c r="K70" s="185"/>
      <c r="M70" s="141" t="str">
        <f t="shared" si="23"/>
        <v/>
      </c>
      <c r="N70" s="141" t="str">
        <f t="shared" si="24"/>
        <v/>
      </c>
      <c r="R70" s="141">
        <v>3722</v>
      </c>
      <c r="S70" s="141" t="s">
        <v>157</v>
      </c>
      <c r="U70" s="141" t="str">
        <f t="shared" si="14"/>
        <v>37</v>
      </c>
      <c r="V70" s="141" t="str">
        <f t="shared" si="15"/>
        <v>372</v>
      </c>
      <c r="X70" t="s">
        <v>816</v>
      </c>
      <c r="Y70" t="s">
        <v>817</v>
      </c>
    </row>
    <row r="71" spans="1:25">
      <c r="A71" s="145" t="str">
        <f>IF(C71="","",VLOOKUP('Opći dio'!$C$3,'Opći dio'!$L$6:$U$136,10,FALSE))</f>
        <v>08006</v>
      </c>
      <c r="B71" s="145" t="str">
        <f>IF(C71="","",VLOOKUP('Opći dio'!$C$3,'Opći dio'!$L$6:$U$136,9,FALSE))</f>
        <v>Sveučilišta i veleučilišta u Republici Hrvatskoj</v>
      </c>
      <c r="C71" s="151">
        <v>31</v>
      </c>
      <c r="D71" s="146" t="str">
        <f t="shared" si="20"/>
        <v>Vlastiti prihodi</v>
      </c>
      <c r="E71" s="151">
        <v>3111</v>
      </c>
      <c r="F71" s="146" t="str">
        <f t="shared" si="21"/>
        <v>Plaće za redovan rad</v>
      </c>
      <c r="G71" s="186" t="s">
        <v>181</v>
      </c>
      <c r="H71" s="146" t="str">
        <f t="shared" si="22"/>
        <v>REDOVNA DJELATNOST SVEUČILIŠTA U RIJECI (IZ EVIDENCIJSKIH PRIHODA)</v>
      </c>
      <c r="I71" s="185">
        <v>1631000</v>
      </c>
      <c r="J71" s="185">
        <f>I71*3%+I71</f>
        <v>1679930</v>
      </c>
      <c r="K71" s="185">
        <f>J71*3%+J71</f>
        <v>1730327.9</v>
      </c>
      <c r="M71" s="141" t="str">
        <f t="shared" si="23"/>
        <v>311</v>
      </c>
      <c r="N71" s="141" t="str">
        <f t="shared" si="24"/>
        <v>31</v>
      </c>
      <c r="R71" s="141">
        <v>3723</v>
      </c>
      <c r="S71" s="141" t="s">
        <v>112</v>
      </c>
      <c r="U71" s="141" t="str">
        <f t="shared" si="14"/>
        <v>37</v>
      </c>
      <c r="V71" s="141" t="str">
        <f t="shared" si="15"/>
        <v>372</v>
      </c>
      <c r="X71" t="s">
        <v>818</v>
      </c>
      <c r="Y71" t="s">
        <v>819</v>
      </c>
    </row>
    <row r="72" spans="1:25">
      <c r="A72" s="145" t="str">
        <f>IF(C72="","",VLOOKUP('Opći dio'!$C$3,'Opći dio'!$L$6:$U$136,10,FALSE))</f>
        <v>08006</v>
      </c>
      <c r="B72" s="145" t="str">
        <f>IF(C72="","",VLOOKUP('Opći dio'!$C$3,'Opći dio'!$L$6:$U$136,9,FALSE))</f>
        <v>Sveučilišta i veleučilišta u Republici Hrvatskoj</v>
      </c>
      <c r="C72" s="151">
        <v>31</v>
      </c>
      <c r="D72" s="146" t="str">
        <f t="shared" si="20"/>
        <v>Vlastiti prihodi</v>
      </c>
      <c r="E72" s="151">
        <v>3132</v>
      </c>
      <c r="F72" s="146" t="str">
        <f t="shared" si="21"/>
        <v>Doprinosi za obvezno zdravstveno osiguranje</v>
      </c>
      <c r="G72" s="186" t="s">
        <v>181</v>
      </c>
      <c r="H72" s="146" t="str">
        <f t="shared" si="22"/>
        <v>REDOVNA DJELATNOST SVEUČILIŠTA U RIJECI (IZ EVIDENCIJSKIH PRIHODA)</v>
      </c>
      <c r="I72" s="185">
        <v>231000</v>
      </c>
      <c r="J72" s="185">
        <f t="shared" ref="J72:K100" si="25">I72*3%+I72</f>
        <v>237930</v>
      </c>
      <c r="K72" s="185">
        <f t="shared" si="25"/>
        <v>245067.9</v>
      </c>
      <c r="M72" s="141" t="str">
        <f t="shared" si="23"/>
        <v>313</v>
      </c>
      <c r="N72" s="141" t="str">
        <f t="shared" si="24"/>
        <v>31</v>
      </c>
      <c r="R72" s="141">
        <v>3811</v>
      </c>
      <c r="S72" s="141" t="s">
        <v>62</v>
      </c>
      <c r="U72" s="141" t="str">
        <f t="shared" si="14"/>
        <v>38</v>
      </c>
      <c r="V72" s="141" t="str">
        <f t="shared" si="15"/>
        <v>381</v>
      </c>
      <c r="X72" t="s">
        <v>1202</v>
      </c>
      <c r="Y72" t="s">
        <v>1203</v>
      </c>
    </row>
    <row r="73" spans="1:25">
      <c r="A73" s="145" t="str">
        <f>IF(C73="","",VLOOKUP('Opći dio'!$C$3,'Opći dio'!$L$6:$U$136,10,FALSE))</f>
        <v>08006</v>
      </c>
      <c r="B73" s="145" t="str">
        <f>IF(C73="","",VLOOKUP('Opći dio'!$C$3,'Opći dio'!$L$6:$U$136,9,FALSE))</f>
        <v>Sveučilišta i veleučilišta u Republici Hrvatskoj</v>
      </c>
      <c r="C73" s="151">
        <v>31</v>
      </c>
      <c r="D73" s="146" t="str">
        <f t="shared" si="20"/>
        <v>Vlastiti prihodi</v>
      </c>
      <c r="E73" s="151">
        <v>3121</v>
      </c>
      <c r="F73" s="146" t="str">
        <f t="shared" si="21"/>
        <v>Ostali rashodi za zaposlene</v>
      </c>
      <c r="G73" s="186" t="s">
        <v>181</v>
      </c>
      <c r="H73" s="146" t="str">
        <f t="shared" si="22"/>
        <v>REDOVNA DJELATNOST SVEUČILIŠTA U RIJECI (IZ EVIDENCIJSKIH PRIHODA)</v>
      </c>
      <c r="I73" s="185">
        <v>1090000</v>
      </c>
      <c r="J73" s="185">
        <v>1100000</v>
      </c>
      <c r="K73" s="185">
        <f t="shared" ref="K73:K100" si="26">I73*6%+I73</f>
        <v>1155400</v>
      </c>
      <c r="M73" s="141" t="str">
        <f t="shared" si="23"/>
        <v>312</v>
      </c>
      <c r="N73" s="141" t="str">
        <f t="shared" si="24"/>
        <v>31</v>
      </c>
      <c r="R73" s="141">
        <v>3812</v>
      </c>
      <c r="S73" s="141" t="s">
        <v>158</v>
      </c>
      <c r="U73" s="141" t="str">
        <f t="shared" si="14"/>
        <v>38</v>
      </c>
      <c r="V73" s="141" t="str">
        <f t="shared" si="15"/>
        <v>381</v>
      </c>
      <c r="X73" t="s">
        <v>820</v>
      </c>
      <c r="Y73" t="s">
        <v>821</v>
      </c>
    </row>
    <row r="74" spans="1:25">
      <c r="A74" s="145" t="str">
        <f>IF(C74="","",VLOOKUP('Opći dio'!$C$3,'Opći dio'!$L$6:$U$136,10,FALSE))</f>
        <v>08006</v>
      </c>
      <c r="B74" s="145" t="str">
        <f>IF(C74="","",VLOOKUP('Opći dio'!$C$3,'Opći dio'!$L$6:$U$136,9,FALSE))</f>
        <v>Sveučilišta i veleučilišta u Republici Hrvatskoj</v>
      </c>
      <c r="C74" s="151">
        <v>31</v>
      </c>
      <c r="D74" s="146" t="str">
        <f t="shared" si="20"/>
        <v>Vlastiti prihodi</v>
      </c>
      <c r="E74" s="151">
        <v>3211</v>
      </c>
      <c r="F74" s="146" t="str">
        <f t="shared" si="21"/>
        <v>Službena putovanja</v>
      </c>
      <c r="G74" s="186" t="s">
        <v>181</v>
      </c>
      <c r="H74" s="146" t="str">
        <f t="shared" si="22"/>
        <v>REDOVNA DJELATNOST SVEUČILIŠTA U RIJECI (IZ EVIDENCIJSKIH PRIHODA)</v>
      </c>
      <c r="I74" s="185">
        <v>150000</v>
      </c>
      <c r="J74" s="185">
        <v>100000</v>
      </c>
      <c r="K74" s="185">
        <v>100000</v>
      </c>
      <c r="M74" s="141" t="str">
        <f t="shared" si="23"/>
        <v>321</v>
      </c>
      <c r="N74" s="141" t="str">
        <f t="shared" si="24"/>
        <v>32</v>
      </c>
      <c r="R74" s="141">
        <v>3813</v>
      </c>
      <c r="S74" s="141" t="s">
        <v>101</v>
      </c>
      <c r="U74" s="141" t="str">
        <f t="shared" ref="U74:U80" si="27">LEFT(R74,2)</f>
        <v>38</v>
      </c>
      <c r="V74" s="141" t="str">
        <f t="shared" ref="V74:V80" si="28">LEFT(R74,3)</f>
        <v>381</v>
      </c>
      <c r="X74" t="s">
        <v>1204</v>
      </c>
      <c r="Y74" t="s">
        <v>1196</v>
      </c>
    </row>
    <row r="75" spans="1:25">
      <c r="A75" s="145" t="str">
        <f>IF(C75="","",VLOOKUP('Opći dio'!$C$3,'Opći dio'!$L$6:$U$136,10,FALSE))</f>
        <v>08006</v>
      </c>
      <c r="B75" s="145" t="str">
        <f>IF(C75="","",VLOOKUP('Opći dio'!$C$3,'Opći dio'!$L$6:$U$136,9,FALSE))</f>
        <v>Sveučilišta i veleučilišta u Republici Hrvatskoj</v>
      </c>
      <c r="C75" s="151">
        <v>31</v>
      </c>
      <c r="D75" s="146" t="str">
        <f t="shared" si="20"/>
        <v>Vlastiti prihodi</v>
      </c>
      <c r="E75" s="151">
        <v>3212</v>
      </c>
      <c r="F75" s="146" t="str">
        <f t="shared" si="21"/>
        <v>Naknade za prijevoz, za rad na terenu i odvojeni život</v>
      </c>
      <c r="G75" s="186" t="s">
        <v>181</v>
      </c>
      <c r="H75" s="146" t="str">
        <f t="shared" si="22"/>
        <v>REDOVNA DJELATNOST SVEUČILIŠTA U RIJECI (IZ EVIDENCIJSKIH PRIHODA)</v>
      </c>
      <c r="I75" s="185">
        <v>10000</v>
      </c>
      <c r="J75" s="185">
        <f t="shared" si="25"/>
        <v>10300</v>
      </c>
      <c r="K75" s="185">
        <f t="shared" si="26"/>
        <v>10600</v>
      </c>
      <c r="M75" s="141" t="str">
        <f t="shared" si="23"/>
        <v>321</v>
      </c>
      <c r="N75" s="141" t="str">
        <f t="shared" si="24"/>
        <v>32</v>
      </c>
      <c r="R75" s="141">
        <v>3821</v>
      </c>
      <c r="S75" s="141" t="s">
        <v>176</v>
      </c>
      <c r="U75" s="141" t="str">
        <f t="shared" si="27"/>
        <v>38</v>
      </c>
      <c r="V75" s="141" t="str">
        <f t="shared" si="28"/>
        <v>382</v>
      </c>
      <c r="X75" t="s">
        <v>823</v>
      </c>
      <c r="Y75" t="s">
        <v>1579</v>
      </c>
    </row>
    <row r="76" spans="1:25">
      <c r="A76" s="145" t="str">
        <f>IF(C76="","",VLOOKUP('Opći dio'!$C$3,'Opći dio'!$L$6:$U$136,10,FALSE))</f>
        <v>08006</v>
      </c>
      <c r="B76" s="145" t="str">
        <f>IF(C76="","",VLOOKUP('Opći dio'!$C$3,'Opći dio'!$L$6:$U$136,9,FALSE))</f>
        <v>Sveučilišta i veleučilišta u Republici Hrvatskoj</v>
      </c>
      <c r="C76" s="151">
        <v>31</v>
      </c>
      <c r="D76" s="146" t="str">
        <f t="shared" si="20"/>
        <v>Vlastiti prihodi</v>
      </c>
      <c r="E76" s="151">
        <v>3221</v>
      </c>
      <c r="F76" s="146" t="str">
        <f t="shared" si="21"/>
        <v>Uredski materijal i ostali materijalni rashodi</v>
      </c>
      <c r="G76" s="186" t="s">
        <v>181</v>
      </c>
      <c r="H76" s="146" t="str">
        <f t="shared" si="22"/>
        <v>REDOVNA DJELATNOST SVEUČILIŠTA U RIJECI (IZ EVIDENCIJSKIH PRIHODA)</v>
      </c>
      <c r="I76" s="185">
        <v>50000</v>
      </c>
      <c r="J76" s="185">
        <v>50000</v>
      </c>
      <c r="K76" s="185">
        <v>50000</v>
      </c>
      <c r="M76" s="141" t="str">
        <f t="shared" si="23"/>
        <v>322</v>
      </c>
      <c r="N76" s="141" t="str">
        <f t="shared" si="24"/>
        <v>32</v>
      </c>
      <c r="R76" s="141">
        <v>3831</v>
      </c>
      <c r="S76" s="141" t="s">
        <v>159</v>
      </c>
      <c r="U76" s="141" t="str">
        <f t="shared" si="27"/>
        <v>38</v>
      </c>
      <c r="V76" s="141" t="str">
        <f t="shared" si="28"/>
        <v>383</v>
      </c>
      <c r="X76" t="s">
        <v>824</v>
      </c>
      <c r="Y76" t="s">
        <v>825</v>
      </c>
    </row>
    <row r="77" spans="1:25">
      <c r="A77" s="145" t="str">
        <f>IF(C77="","",VLOOKUP('Opći dio'!$C$3,'Opći dio'!$L$6:$U$136,10,FALSE))</f>
        <v>08006</v>
      </c>
      <c r="B77" s="145" t="str">
        <f>IF(C77="","",VLOOKUP('Opći dio'!$C$3,'Opći dio'!$L$6:$U$136,9,FALSE))</f>
        <v>Sveučilišta i veleučilišta u Republici Hrvatskoj</v>
      </c>
      <c r="C77" s="151">
        <v>31</v>
      </c>
      <c r="D77" s="146" t="str">
        <f t="shared" ref="D77:D131" si="29">IFERROR(VLOOKUP(C77,$O$6:$P$23,2,FALSE),"")</f>
        <v>Vlastiti prihodi</v>
      </c>
      <c r="E77" s="151">
        <v>3223</v>
      </c>
      <c r="F77" s="146" t="str">
        <f t="shared" ref="F77:F131" si="30">IFERROR(VLOOKUP(E77,$R$5:$T$129,2,FALSE),"")</f>
        <v>Energija</v>
      </c>
      <c r="G77" s="186" t="s">
        <v>181</v>
      </c>
      <c r="H77" s="146" t="str">
        <f t="shared" si="22"/>
        <v>REDOVNA DJELATNOST SVEUČILIŠTA U RIJECI (IZ EVIDENCIJSKIH PRIHODA)</v>
      </c>
      <c r="I77" s="185">
        <v>10000</v>
      </c>
      <c r="J77" s="185">
        <v>10000</v>
      </c>
      <c r="K77" s="185">
        <v>10000</v>
      </c>
      <c r="M77" s="141" t="str">
        <f t="shared" ref="M77:M131" si="31">LEFT(E77,3)</f>
        <v>322</v>
      </c>
      <c r="N77" s="141" t="str">
        <f t="shared" ref="N77:N131" si="32">LEFT(E77,2)</f>
        <v>32</v>
      </c>
      <c r="R77" s="141">
        <v>3832</v>
      </c>
      <c r="S77" s="141" t="s">
        <v>199</v>
      </c>
      <c r="U77" s="141" t="str">
        <f t="shared" si="27"/>
        <v>38</v>
      </c>
      <c r="V77" s="141" t="str">
        <f t="shared" si="28"/>
        <v>383</v>
      </c>
      <c r="X77" t="s">
        <v>1238</v>
      </c>
      <c r="Y77" t="s">
        <v>1239</v>
      </c>
    </row>
    <row r="78" spans="1:25">
      <c r="A78" s="145" t="str">
        <f>IF(C78="","",VLOOKUP('Opći dio'!$C$3,'Opći dio'!$L$6:$U$136,10,FALSE))</f>
        <v>08006</v>
      </c>
      <c r="B78" s="145" t="str">
        <f>IF(C78="","",VLOOKUP('Opći dio'!$C$3,'Opći dio'!$L$6:$U$136,9,FALSE))</f>
        <v>Sveučilišta i veleučilišta u Republici Hrvatskoj</v>
      </c>
      <c r="C78" s="151">
        <v>31</v>
      </c>
      <c r="D78" s="146" t="str">
        <f t="shared" si="29"/>
        <v>Vlastiti prihodi</v>
      </c>
      <c r="E78" s="151">
        <v>3224</v>
      </c>
      <c r="F78" s="146" t="str">
        <f t="shared" si="30"/>
        <v>Materijal i dijelovi za tekuće i investicijsko održavanje</v>
      </c>
      <c r="G78" s="186" t="s">
        <v>181</v>
      </c>
      <c r="H78" s="146" t="str">
        <f t="shared" si="22"/>
        <v>REDOVNA DJELATNOST SVEUČILIŠTA U RIJECI (IZ EVIDENCIJSKIH PRIHODA)</v>
      </c>
      <c r="I78" s="185">
        <v>25000</v>
      </c>
      <c r="J78" s="185">
        <f t="shared" si="25"/>
        <v>25750</v>
      </c>
      <c r="K78" s="185">
        <f t="shared" si="26"/>
        <v>26500</v>
      </c>
      <c r="M78" s="141" t="str">
        <f t="shared" si="31"/>
        <v>322</v>
      </c>
      <c r="N78" s="141" t="str">
        <f t="shared" si="32"/>
        <v>32</v>
      </c>
      <c r="R78" s="141">
        <v>3833</v>
      </c>
      <c r="S78" s="141" t="s">
        <v>160</v>
      </c>
      <c r="U78" s="141" t="str">
        <f t="shared" si="27"/>
        <v>38</v>
      </c>
      <c r="V78" s="141" t="str">
        <f t="shared" si="28"/>
        <v>383</v>
      </c>
      <c r="X78" t="s">
        <v>1240</v>
      </c>
      <c r="Y78" t="s">
        <v>1241</v>
      </c>
    </row>
    <row r="79" spans="1:25">
      <c r="A79" s="145" t="str">
        <f>IF(C79="","",VLOOKUP('Opći dio'!$C$3,'Opći dio'!$L$6:$U$136,10,FALSE))</f>
        <v>08006</v>
      </c>
      <c r="B79" s="145" t="str">
        <f>IF(C79="","",VLOOKUP('Opći dio'!$C$3,'Opći dio'!$L$6:$U$136,9,FALSE))</f>
        <v>Sveučilišta i veleučilišta u Republici Hrvatskoj</v>
      </c>
      <c r="C79" s="151">
        <v>31</v>
      </c>
      <c r="D79" s="146" t="str">
        <f t="shared" si="29"/>
        <v>Vlastiti prihodi</v>
      </c>
      <c r="E79" s="151">
        <v>3225</v>
      </c>
      <c r="F79" s="146" t="str">
        <f t="shared" si="30"/>
        <v>Sitni inventar i auto gume</v>
      </c>
      <c r="G79" s="186" t="s">
        <v>181</v>
      </c>
      <c r="H79" s="146" t="str">
        <f t="shared" si="22"/>
        <v>REDOVNA DJELATNOST SVEUČILIŠTA U RIJECI (IZ EVIDENCIJSKIH PRIHODA)</v>
      </c>
      <c r="I79" s="185">
        <v>60000</v>
      </c>
      <c r="J79" s="185">
        <v>55000</v>
      </c>
      <c r="K79" s="185">
        <v>32000</v>
      </c>
      <c r="M79" s="141" t="str">
        <f t="shared" si="31"/>
        <v>322</v>
      </c>
      <c r="N79" s="141" t="str">
        <f t="shared" si="32"/>
        <v>32</v>
      </c>
      <c r="R79" s="141">
        <v>3834</v>
      </c>
      <c r="S79" s="141" t="s">
        <v>161</v>
      </c>
      <c r="U79" s="141" t="str">
        <f t="shared" si="27"/>
        <v>38</v>
      </c>
      <c r="V79" s="141" t="str">
        <f t="shared" si="28"/>
        <v>383</v>
      </c>
      <c r="X79" t="s">
        <v>1244</v>
      </c>
      <c r="Y79" t="s">
        <v>1245</v>
      </c>
    </row>
    <row r="80" spans="1:25">
      <c r="A80" s="145" t="str">
        <f>IF(C80="","",VLOOKUP('Opći dio'!$C$3,'Opći dio'!$L$6:$U$136,10,FALSE))</f>
        <v>08006</v>
      </c>
      <c r="B80" s="145" t="str">
        <f>IF(C80="","",VLOOKUP('Opći dio'!$C$3,'Opći dio'!$L$6:$U$136,9,FALSE))</f>
        <v>Sveučilišta i veleučilišta u Republici Hrvatskoj</v>
      </c>
      <c r="C80" s="151">
        <v>31</v>
      </c>
      <c r="D80" s="146" t="str">
        <f t="shared" si="29"/>
        <v>Vlastiti prihodi</v>
      </c>
      <c r="E80" s="151">
        <v>3231</v>
      </c>
      <c r="F80" s="146" t="str">
        <f t="shared" si="30"/>
        <v>Usluge telefona, pošte i prijevoza</v>
      </c>
      <c r="G80" s="186" t="s">
        <v>181</v>
      </c>
      <c r="H80" s="146" t="str">
        <f t="shared" si="22"/>
        <v>REDOVNA DJELATNOST SVEUČILIŠTA U RIJECI (IZ EVIDENCIJSKIH PRIHODA)</v>
      </c>
      <c r="I80" s="185">
        <v>15000</v>
      </c>
      <c r="J80" s="185">
        <f t="shared" si="25"/>
        <v>15450</v>
      </c>
      <c r="K80" s="185">
        <f t="shared" si="26"/>
        <v>15900</v>
      </c>
      <c r="M80" s="141" t="str">
        <f t="shared" si="31"/>
        <v>323</v>
      </c>
      <c r="N80" s="141" t="str">
        <f t="shared" si="32"/>
        <v>32</v>
      </c>
      <c r="R80" s="141">
        <v>3835</v>
      </c>
      <c r="S80" s="141" t="s">
        <v>162</v>
      </c>
      <c r="U80" s="141" t="str">
        <f t="shared" si="27"/>
        <v>38</v>
      </c>
      <c r="V80" s="141" t="str">
        <f t="shared" si="28"/>
        <v>383</v>
      </c>
      <c r="X80" t="s">
        <v>1246</v>
      </c>
      <c r="Y80" t="s">
        <v>1247</v>
      </c>
    </row>
    <row r="81" spans="1:25">
      <c r="A81" s="145" t="str">
        <f>IF(C81="","",VLOOKUP('Opći dio'!$C$3,'Opći dio'!$L$6:$U$136,10,FALSE))</f>
        <v>08006</v>
      </c>
      <c r="B81" s="145" t="str">
        <f>IF(C81="","",VLOOKUP('Opći dio'!$C$3,'Opći dio'!$L$6:$U$136,9,FALSE))</f>
        <v>Sveučilišta i veleučilišta u Republici Hrvatskoj</v>
      </c>
      <c r="C81" s="151">
        <v>31</v>
      </c>
      <c r="D81" s="146" t="str">
        <f t="shared" si="29"/>
        <v>Vlastiti prihodi</v>
      </c>
      <c r="E81" s="151">
        <v>3232</v>
      </c>
      <c r="F81" s="146" t="str">
        <f t="shared" si="30"/>
        <v>Usluge tekućeg i investicijskog održavanja</v>
      </c>
      <c r="G81" s="186" t="s">
        <v>181</v>
      </c>
      <c r="H81" s="146" t="str">
        <f t="shared" si="22"/>
        <v>REDOVNA DJELATNOST SVEUČILIŠTA U RIJECI (IZ EVIDENCIJSKIH PRIHODA)</v>
      </c>
      <c r="I81" s="185">
        <v>45000</v>
      </c>
      <c r="J81" s="185">
        <f t="shared" si="25"/>
        <v>46350</v>
      </c>
      <c r="K81" s="185">
        <v>30000</v>
      </c>
      <c r="M81" s="141" t="str">
        <f t="shared" si="31"/>
        <v>323</v>
      </c>
      <c r="N81" s="141" t="str">
        <f t="shared" si="32"/>
        <v>32</v>
      </c>
      <c r="R81" s="197">
        <v>3861</v>
      </c>
      <c r="S81" s="141" t="s">
        <v>788</v>
      </c>
      <c r="T81" s="197"/>
      <c r="U81" s="197" t="str">
        <f>LEFT(R81,2)</f>
        <v>38</v>
      </c>
      <c r="V81" s="197" t="str">
        <f>LEFT(R81,3)</f>
        <v>386</v>
      </c>
      <c r="X81" t="s">
        <v>1248</v>
      </c>
      <c r="Y81" t="s">
        <v>1580</v>
      </c>
    </row>
    <row r="82" spans="1:25">
      <c r="A82" s="145" t="str">
        <f>IF(C82="","",VLOOKUP('Opći dio'!$C$3,'Opći dio'!$L$6:$U$136,10,FALSE))</f>
        <v>08006</v>
      </c>
      <c r="B82" s="145" t="str">
        <f>IF(C82="","",VLOOKUP('Opći dio'!$C$3,'Opći dio'!$L$6:$U$136,9,FALSE))</f>
        <v>Sveučilišta i veleučilišta u Republici Hrvatskoj</v>
      </c>
      <c r="C82" s="151">
        <v>31</v>
      </c>
      <c r="D82" s="146" t="str">
        <f t="shared" si="29"/>
        <v>Vlastiti prihodi</v>
      </c>
      <c r="E82" s="151">
        <v>3233</v>
      </c>
      <c r="F82" s="146" t="str">
        <f t="shared" si="30"/>
        <v>Usluge promidžbe i informiranja</v>
      </c>
      <c r="G82" s="186" t="s">
        <v>181</v>
      </c>
      <c r="H82" s="146" t="str">
        <f t="shared" si="22"/>
        <v>REDOVNA DJELATNOST SVEUČILIŠTA U RIJECI (IZ EVIDENCIJSKIH PRIHODA)</v>
      </c>
      <c r="I82" s="185">
        <v>150000</v>
      </c>
      <c r="J82" s="185">
        <v>99000</v>
      </c>
      <c r="K82" s="185">
        <v>50000</v>
      </c>
      <c r="M82" s="141" t="str">
        <f t="shared" si="31"/>
        <v>323</v>
      </c>
      <c r="N82" s="141" t="str">
        <f t="shared" si="32"/>
        <v>32</v>
      </c>
      <c r="R82" s="196">
        <v>3862</v>
      </c>
      <c r="S82" s="141" t="s">
        <v>789</v>
      </c>
      <c r="U82" s="141" t="str">
        <f>LEFT(R82,2)</f>
        <v>38</v>
      </c>
      <c r="V82" s="141" t="str">
        <f>LEFT(R82,3)</f>
        <v>386</v>
      </c>
      <c r="X82" t="s">
        <v>1249</v>
      </c>
      <c r="Y82" t="s">
        <v>1250</v>
      </c>
    </row>
    <row r="83" spans="1:25">
      <c r="A83" s="145" t="str">
        <f>IF(C83="","",VLOOKUP('Opći dio'!$C$3,'Opći dio'!$L$6:$U$136,10,FALSE))</f>
        <v>08006</v>
      </c>
      <c r="B83" s="145" t="str">
        <f>IF(C83="","",VLOOKUP('Opći dio'!$C$3,'Opći dio'!$L$6:$U$136,9,FALSE))</f>
        <v>Sveučilišta i veleučilišta u Republici Hrvatskoj</v>
      </c>
      <c r="C83" s="151">
        <v>31</v>
      </c>
      <c r="D83" s="146" t="str">
        <f t="shared" si="29"/>
        <v>Vlastiti prihodi</v>
      </c>
      <c r="E83" s="151">
        <v>3234</v>
      </c>
      <c r="F83" s="146" t="str">
        <f t="shared" si="30"/>
        <v>Komunalne usluge</v>
      </c>
      <c r="G83" s="186" t="s">
        <v>181</v>
      </c>
      <c r="H83" s="146" t="str">
        <f t="shared" si="22"/>
        <v>REDOVNA DJELATNOST SVEUČILIŠTA U RIJECI (IZ EVIDENCIJSKIH PRIHODA)</v>
      </c>
      <c r="I83" s="185">
        <v>10000</v>
      </c>
      <c r="J83" s="185">
        <f t="shared" si="25"/>
        <v>10300</v>
      </c>
      <c r="K83" s="185">
        <f t="shared" si="26"/>
        <v>10600</v>
      </c>
      <c r="M83" s="141" t="str">
        <f t="shared" si="31"/>
        <v>323</v>
      </c>
      <c r="N83" s="141" t="str">
        <f t="shared" si="32"/>
        <v>32</v>
      </c>
      <c r="R83" s="196">
        <v>3863</v>
      </c>
      <c r="S83" s="141" t="s">
        <v>790</v>
      </c>
      <c r="U83" s="141" t="str">
        <f>LEFT(R83,2)</f>
        <v>38</v>
      </c>
      <c r="V83" s="141" t="str">
        <f>LEFT(R83,3)</f>
        <v>386</v>
      </c>
      <c r="X83" t="s">
        <v>1255</v>
      </c>
      <c r="Y83" t="s">
        <v>1256</v>
      </c>
    </row>
    <row r="84" spans="1:25">
      <c r="A84" s="145" t="str">
        <f>IF(C84="","",VLOOKUP('Opći dio'!$C$3,'Opći dio'!$L$6:$U$136,10,FALSE))</f>
        <v>08006</v>
      </c>
      <c r="B84" s="145" t="str">
        <f>IF(C84="","",VLOOKUP('Opći dio'!$C$3,'Opći dio'!$L$6:$U$136,9,FALSE))</f>
        <v>Sveučilišta i veleučilišta u Republici Hrvatskoj</v>
      </c>
      <c r="C84" s="151">
        <v>31</v>
      </c>
      <c r="D84" s="146" t="str">
        <f t="shared" si="29"/>
        <v>Vlastiti prihodi</v>
      </c>
      <c r="E84" s="151">
        <v>3235</v>
      </c>
      <c r="F84" s="146" t="str">
        <f t="shared" si="30"/>
        <v>Zakupnine i najamnine</v>
      </c>
      <c r="G84" s="186" t="s">
        <v>181</v>
      </c>
      <c r="H84" s="146" t="str">
        <f t="shared" si="22"/>
        <v>REDOVNA DJELATNOST SVEUČILIŠTA U RIJECI (IZ EVIDENCIJSKIH PRIHODA)</v>
      </c>
      <c r="I84" s="185">
        <v>85000</v>
      </c>
      <c r="J84" s="185">
        <f t="shared" si="25"/>
        <v>87550</v>
      </c>
      <c r="K84" s="185">
        <f t="shared" si="26"/>
        <v>90100</v>
      </c>
      <c r="M84" s="141" t="str">
        <f t="shared" si="31"/>
        <v>323</v>
      </c>
      <c r="N84" s="141" t="str">
        <f t="shared" si="32"/>
        <v>32</v>
      </c>
      <c r="R84" s="141">
        <v>4111</v>
      </c>
      <c r="S84" s="141" t="s">
        <v>163</v>
      </c>
      <c r="U84" s="141" t="str">
        <f t="shared" ref="U84:U101" si="33">LEFT(R84,2)</f>
        <v>41</v>
      </c>
      <c r="V84" s="141" t="str">
        <f t="shared" ref="V84:V118" si="34">LEFT(R84,3)</f>
        <v>411</v>
      </c>
      <c r="X84" t="s">
        <v>1257</v>
      </c>
      <c r="Y84" t="s">
        <v>1258</v>
      </c>
    </row>
    <row r="85" spans="1:25">
      <c r="A85" s="145" t="str">
        <f>IF(C85="","",VLOOKUP('Opći dio'!$C$3,'Opći dio'!$L$6:$U$136,10,FALSE))</f>
        <v>08006</v>
      </c>
      <c r="B85" s="145" t="str">
        <f>IF(C85="","",VLOOKUP('Opći dio'!$C$3,'Opći dio'!$L$6:$U$136,9,FALSE))</f>
        <v>Sveučilišta i veleučilišta u Republici Hrvatskoj</v>
      </c>
      <c r="C85" s="151">
        <v>31</v>
      </c>
      <c r="D85" s="146" t="str">
        <f t="shared" si="29"/>
        <v>Vlastiti prihodi</v>
      </c>
      <c r="E85" s="151">
        <v>3237</v>
      </c>
      <c r="F85" s="146" t="str">
        <f t="shared" si="30"/>
        <v>Intelektualne i osobne usluge</v>
      </c>
      <c r="G85" s="186" t="s">
        <v>181</v>
      </c>
      <c r="H85" s="146" t="str">
        <f t="shared" si="22"/>
        <v>REDOVNA DJELATNOST SVEUČILIŠTA U RIJECI (IZ EVIDENCIJSKIH PRIHODA)</v>
      </c>
      <c r="I85" s="185">
        <v>300000</v>
      </c>
      <c r="J85" s="185">
        <v>200000</v>
      </c>
      <c r="K85" s="185">
        <v>300000</v>
      </c>
      <c r="M85" s="141" t="str">
        <f t="shared" si="31"/>
        <v>323</v>
      </c>
      <c r="N85" s="141" t="str">
        <f t="shared" si="32"/>
        <v>32</v>
      </c>
      <c r="R85" s="141">
        <v>4113</v>
      </c>
      <c r="S85" s="141" t="s">
        <v>197</v>
      </c>
      <c r="U85" s="141" t="str">
        <f t="shared" si="33"/>
        <v>41</v>
      </c>
      <c r="V85" s="141" t="str">
        <f t="shared" si="34"/>
        <v>411</v>
      </c>
      <c r="X85" t="s">
        <v>1259</v>
      </c>
      <c r="Y85" t="s">
        <v>1260</v>
      </c>
    </row>
    <row r="86" spans="1:25">
      <c r="A86" s="145" t="str">
        <f>IF(C86="","",VLOOKUP('Opći dio'!$C$3,'Opći dio'!$L$6:$U$136,10,FALSE))</f>
        <v>08006</v>
      </c>
      <c r="B86" s="145" t="str">
        <f>IF(C86="","",VLOOKUP('Opći dio'!$C$3,'Opći dio'!$L$6:$U$136,9,FALSE))</f>
        <v>Sveučilišta i veleučilišta u Republici Hrvatskoj</v>
      </c>
      <c r="C86" s="151">
        <v>31</v>
      </c>
      <c r="D86" s="146" t="str">
        <f t="shared" si="29"/>
        <v>Vlastiti prihodi</v>
      </c>
      <c r="E86" s="151">
        <v>3238</v>
      </c>
      <c r="F86" s="146" t="str">
        <f t="shared" si="30"/>
        <v>Računalne usluge</v>
      </c>
      <c r="G86" s="186" t="s">
        <v>181</v>
      </c>
      <c r="H86" s="146" t="str">
        <f t="shared" si="22"/>
        <v>REDOVNA DJELATNOST SVEUČILIŠTA U RIJECI (IZ EVIDENCIJSKIH PRIHODA)</v>
      </c>
      <c r="I86" s="185">
        <v>120000</v>
      </c>
      <c r="J86" s="185">
        <f t="shared" si="25"/>
        <v>123600</v>
      </c>
      <c r="K86" s="185">
        <f t="shared" si="26"/>
        <v>127200</v>
      </c>
      <c r="M86" s="141" t="str">
        <f t="shared" si="31"/>
        <v>323</v>
      </c>
      <c r="N86" s="141" t="str">
        <f t="shared" si="32"/>
        <v>32</v>
      </c>
      <c r="R86" s="141">
        <v>4122</v>
      </c>
      <c r="S86" s="141" t="s">
        <v>164</v>
      </c>
      <c r="U86" s="141" t="str">
        <f t="shared" si="33"/>
        <v>41</v>
      </c>
      <c r="V86" s="141" t="str">
        <f t="shared" si="34"/>
        <v>412</v>
      </c>
      <c r="X86" t="s">
        <v>1261</v>
      </c>
      <c r="Y86" t="s">
        <v>1262</v>
      </c>
    </row>
    <row r="87" spans="1:25">
      <c r="A87" s="145" t="str">
        <f>IF(C87="","",VLOOKUP('Opći dio'!$C$3,'Opći dio'!$L$6:$U$136,10,FALSE))</f>
        <v>08006</v>
      </c>
      <c r="B87" s="145" t="str">
        <f>IF(C87="","",VLOOKUP('Opći dio'!$C$3,'Opći dio'!$L$6:$U$136,9,FALSE))</f>
        <v>Sveučilišta i veleučilišta u Republici Hrvatskoj</v>
      </c>
      <c r="C87" s="151">
        <v>31</v>
      </c>
      <c r="D87" s="146" t="str">
        <f t="shared" si="29"/>
        <v>Vlastiti prihodi</v>
      </c>
      <c r="E87" s="151">
        <v>3239</v>
      </c>
      <c r="F87" s="146" t="str">
        <f t="shared" si="30"/>
        <v>Ostale usluge</v>
      </c>
      <c r="G87" s="186" t="s">
        <v>181</v>
      </c>
      <c r="H87" s="146" t="str">
        <f t="shared" si="22"/>
        <v>REDOVNA DJELATNOST SVEUČILIŠTA U RIJECI (IZ EVIDENCIJSKIH PRIHODA)</v>
      </c>
      <c r="I87" s="185">
        <v>100000</v>
      </c>
      <c r="J87" s="185">
        <f t="shared" si="25"/>
        <v>103000</v>
      </c>
      <c r="K87" s="185">
        <f t="shared" si="26"/>
        <v>106000</v>
      </c>
      <c r="M87" s="141" t="str">
        <f t="shared" si="31"/>
        <v>323</v>
      </c>
      <c r="N87" s="141" t="str">
        <f t="shared" si="32"/>
        <v>32</v>
      </c>
      <c r="R87" s="141">
        <v>4123</v>
      </c>
      <c r="S87" s="141" t="s">
        <v>135</v>
      </c>
      <c r="U87" s="141" t="str">
        <f t="shared" si="33"/>
        <v>41</v>
      </c>
      <c r="V87" s="141" t="str">
        <f t="shared" si="34"/>
        <v>412</v>
      </c>
      <c r="X87" t="s">
        <v>1263</v>
      </c>
      <c r="Y87" t="s">
        <v>1264</v>
      </c>
    </row>
    <row r="88" spans="1:25">
      <c r="A88" s="145" t="str">
        <f>IF(C88="","",VLOOKUP('Opći dio'!$C$3,'Opći dio'!$L$6:$U$136,10,FALSE))</f>
        <v>08006</v>
      </c>
      <c r="B88" s="145" t="str">
        <f>IF(C88="","",VLOOKUP('Opći dio'!$C$3,'Opći dio'!$L$6:$U$136,9,FALSE))</f>
        <v>Sveučilišta i veleučilišta u Republici Hrvatskoj</v>
      </c>
      <c r="C88" s="151">
        <v>31</v>
      </c>
      <c r="D88" s="146" t="str">
        <f t="shared" si="29"/>
        <v>Vlastiti prihodi</v>
      </c>
      <c r="E88" s="151">
        <v>3241</v>
      </c>
      <c r="F88" s="146" t="str">
        <f t="shared" si="30"/>
        <v>Naknade troškova osobama izvan radnog odnosa</v>
      </c>
      <c r="G88" s="186" t="s">
        <v>181</v>
      </c>
      <c r="H88" s="146" t="str">
        <f t="shared" si="22"/>
        <v>REDOVNA DJELATNOST SVEUČILIŠTA U RIJECI (IZ EVIDENCIJSKIH PRIHODA)</v>
      </c>
      <c r="I88" s="185">
        <v>35000</v>
      </c>
      <c r="J88" s="185">
        <f t="shared" si="25"/>
        <v>36050</v>
      </c>
      <c r="K88" s="185">
        <f t="shared" si="26"/>
        <v>37100</v>
      </c>
      <c r="M88" s="141" t="str">
        <f t="shared" si="31"/>
        <v>324</v>
      </c>
      <c r="N88" s="141" t="str">
        <f t="shared" si="32"/>
        <v>32</v>
      </c>
      <c r="R88" s="141">
        <v>4124</v>
      </c>
      <c r="S88" s="141" t="s">
        <v>121</v>
      </c>
      <c r="U88" s="141" t="str">
        <f t="shared" si="33"/>
        <v>41</v>
      </c>
      <c r="V88" s="141" t="str">
        <f t="shared" si="34"/>
        <v>412</v>
      </c>
      <c r="X88" t="s">
        <v>1265</v>
      </c>
      <c r="Y88" t="s">
        <v>1266</v>
      </c>
    </row>
    <row r="89" spans="1:25">
      <c r="A89" s="145" t="str">
        <f>IF(C89="","",VLOOKUP('Opći dio'!$C$3,'Opći dio'!$L$6:$U$136,10,FALSE))</f>
        <v>08006</v>
      </c>
      <c r="B89" s="145" t="str">
        <f>IF(C89="","",VLOOKUP('Opći dio'!$C$3,'Opći dio'!$L$6:$U$136,9,FALSE))</f>
        <v>Sveučilišta i veleučilišta u Republici Hrvatskoj</v>
      </c>
      <c r="C89" s="151">
        <v>31</v>
      </c>
      <c r="D89" s="146" t="str">
        <f t="shared" si="29"/>
        <v>Vlastiti prihodi</v>
      </c>
      <c r="E89" s="151">
        <v>3292</v>
      </c>
      <c r="F89" s="146" t="str">
        <f t="shared" si="30"/>
        <v>Premije osiguranja</v>
      </c>
      <c r="G89" s="186" t="s">
        <v>181</v>
      </c>
      <c r="H89" s="146" t="str">
        <f t="shared" si="22"/>
        <v>REDOVNA DJELATNOST SVEUČILIŠTA U RIJECI (IZ EVIDENCIJSKIH PRIHODA)</v>
      </c>
      <c r="I89" s="185">
        <v>20000</v>
      </c>
      <c r="J89" s="185">
        <f t="shared" si="25"/>
        <v>20600</v>
      </c>
      <c r="K89" s="185">
        <f t="shared" si="26"/>
        <v>21200</v>
      </c>
      <c r="M89" s="141" t="str">
        <f t="shared" si="31"/>
        <v>329</v>
      </c>
      <c r="N89" s="141" t="str">
        <f t="shared" si="32"/>
        <v>32</v>
      </c>
      <c r="R89" s="141">
        <v>4126</v>
      </c>
      <c r="S89" s="141" t="s">
        <v>165</v>
      </c>
      <c r="U89" s="141" t="str">
        <f t="shared" si="33"/>
        <v>41</v>
      </c>
      <c r="V89" s="141" t="str">
        <f t="shared" si="34"/>
        <v>412</v>
      </c>
      <c r="X89" t="s">
        <v>1267</v>
      </c>
      <c r="Y89" t="s">
        <v>1268</v>
      </c>
    </row>
    <row r="90" spans="1:25">
      <c r="A90" s="145" t="str">
        <f>IF(C90="","",VLOOKUP('Opći dio'!$C$3,'Opći dio'!$L$6:$U$136,10,FALSE))</f>
        <v>08006</v>
      </c>
      <c r="B90" s="145" t="str">
        <f>IF(C90="","",VLOOKUP('Opći dio'!$C$3,'Opći dio'!$L$6:$U$136,9,FALSE))</f>
        <v>Sveučilišta i veleučilišta u Republici Hrvatskoj</v>
      </c>
      <c r="C90" s="151">
        <v>31</v>
      </c>
      <c r="D90" s="146" t="str">
        <f t="shared" si="29"/>
        <v>Vlastiti prihodi</v>
      </c>
      <c r="E90" s="151">
        <v>3293</v>
      </c>
      <c r="F90" s="146" t="str">
        <f t="shared" si="30"/>
        <v>Reprezentacija</v>
      </c>
      <c r="G90" s="186" t="s">
        <v>181</v>
      </c>
      <c r="H90" s="146" t="str">
        <f t="shared" si="22"/>
        <v>REDOVNA DJELATNOST SVEUČILIŠTA U RIJECI (IZ EVIDENCIJSKIH PRIHODA)</v>
      </c>
      <c r="I90" s="185">
        <v>150000</v>
      </c>
      <c r="J90" s="185">
        <v>80000</v>
      </c>
      <c r="K90" s="185">
        <v>99000</v>
      </c>
      <c r="M90" s="141" t="str">
        <f t="shared" si="31"/>
        <v>329</v>
      </c>
      <c r="N90" s="141" t="str">
        <f t="shared" si="32"/>
        <v>32</v>
      </c>
      <c r="R90" s="141">
        <v>4211</v>
      </c>
      <c r="S90" s="141" t="s">
        <v>179</v>
      </c>
      <c r="U90" s="141" t="str">
        <f t="shared" si="33"/>
        <v>42</v>
      </c>
      <c r="V90" s="141" t="str">
        <f t="shared" si="34"/>
        <v>421</v>
      </c>
      <c r="X90" t="s">
        <v>1269</v>
      </c>
      <c r="Y90" t="s">
        <v>1270</v>
      </c>
    </row>
    <row r="91" spans="1:25">
      <c r="A91" s="145" t="str">
        <f>IF(C91="","",VLOOKUP('Opći dio'!$C$3,'Opći dio'!$L$6:$U$136,10,FALSE))</f>
        <v>08006</v>
      </c>
      <c r="B91" s="145" t="str">
        <f>IF(C91="","",VLOOKUP('Opći dio'!$C$3,'Opći dio'!$L$6:$U$136,9,FALSE))</f>
        <v>Sveučilišta i veleučilišta u Republici Hrvatskoj</v>
      </c>
      <c r="C91" s="151">
        <v>31</v>
      </c>
      <c r="D91" s="146" t="str">
        <f t="shared" si="29"/>
        <v>Vlastiti prihodi</v>
      </c>
      <c r="E91" s="151">
        <v>3294</v>
      </c>
      <c r="F91" s="146" t="str">
        <f t="shared" si="30"/>
        <v>Članarine i norme</v>
      </c>
      <c r="G91" s="186" t="s">
        <v>181</v>
      </c>
      <c r="H91" s="146" t="str">
        <f t="shared" si="22"/>
        <v>REDOVNA DJELATNOST SVEUČILIŠTA U RIJECI (IZ EVIDENCIJSKIH PRIHODA)</v>
      </c>
      <c r="I91" s="185">
        <v>50000</v>
      </c>
      <c r="J91" s="185">
        <f t="shared" si="25"/>
        <v>51500</v>
      </c>
      <c r="K91" s="185">
        <f t="shared" si="26"/>
        <v>53000</v>
      </c>
      <c r="M91" s="141" t="str">
        <f t="shared" si="31"/>
        <v>329</v>
      </c>
      <c r="N91" s="141" t="str">
        <f t="shared" si="32"/>
        <v>32</v>
      </c>
      <c r="R91" s="141">
        <v>4212</v>
      </c>
      <c r="S91" s="141" t="s">
        <v>67</v>
      </c>
      <c r="U91" s="141" t="str">
        <f t="shared" si="33"/>
        <v>42</v>
      </c>
      <c r="V91" s="141" t="str">
        <f t="shared" si="34"/>
        <v>421</v>
      </c>
      <c r="X91" t="s">
        <v>1271</v>
      </c>
      <c r="Y91" t="s">
        <v>1272</v>
      </c>
    </row>
    <row r="92" spans="1:25">
      <c r="A92" s="145" t="str">
        <f>IF(C92="","",VLOOKUP('Opći dio'!$C$3,'Opći dio'!$L$6:$U$136,10,FALSE))</f>
        <v>08006</v>
      </c>
      <c r="B92" s="145" t="str">
        <f>IF(C92="","",VLOOKUP('Opći dio'!$C$3,'Opći dio'!$L$6:$U$136,9,FALSE))</f>
        <v>Sveučilišta i veleučilišta u Republici Hrvatskoj</v>
      </c>
      <c r="C92" s="151">
        <v>31</v>
      </c>
      <c r="D92" s="146" t="str">
        <f t="shared" si="29"/>
        <v>Vlastiti prihodi</v>
      </c>
      <c r="E92" s="151">
        <v>3295</v>
      </c>
      <c r="F92" s="146" t="str">
        <f t="shared" si="30"/>
        <v>Pristojbe i naknade</v>
      </c>
      <c r="G92" s="186" t="s">
        <v>181</v>
      </c>
      <c r="H92" s="146" t="str">
        <f t="shared" si="22"/>
        <v>REDOVNA DJELATNOST SVEUČILIŠTA U RIJECI (IZ EVIDENCIJSKIH PRIHODA)</v>
      </c>
      <c r="I92" s="185">
        <v>5000</v>
      </c>
      <c r="J92" s="185">
        <f t="shared" si="25"/>
        <v>5150</v>
      </c>
      <c r="K92" s="185">
        <f t="shared" si="26"/>
        <v>5300</v>
      </c>
      <c r="M92" s="141" t="str">
        <f t="shared" si="31"/>
        <v>329</v>
      </c>
      <c r="N92" s="141" t="str">
        <f t="shared" si="32"/>
        <v>32</v>
      </c>
      <c r="R92" s="141">
        <v>4213</v>
      </c>
      <c r="S92" s="141" t="s">
        <v>166</v>
      </c>
      <c r="U92" s="141" t="str">
        <f t="shared" si="33"/>
        <v>42</v>
      </c>
      <c r="V92" s="141" t="str">
        <f t="shared" si="34"/>
        <v>421</v>
      </c>
      <c r="X92" t="s">
        <v>1273</v>
      </c>
      <c r="Y92" t="s">
        <v>1274</v>
      </c>
    </row>
    <row r="93" spans="1:25">
      <c r="A93" s="145" t="str">
        <f>IF(C93="","",VLOOKUP('Opći dio'!$C$3,'Opći dio'!$L$6:$U$136,10,FALSE))</f>
        <v>08006</v>
      </c>
      <c r="B93" s="145" t="str">
        <f>IF(C93="","",VLOOKUP('Opći dio'!$C$3,'Opći dio'!$L$6:$U$136,9,FALSE))</f>
        <v>Sveučilišta i veleučilišta u Republici Hrvatskoj</v>
      </c>
      <c r="C93" s="151">
        <v>31</v>
      </c>
      <c r="D93" s="146" t="str">
        <f t="shared" si="29"/>
        <v>Vlastiti prihodi</v>
      </c>
      <c r="E93" s="151">
        <v>3299</v>
      </c>
      <c r="F93" s="146" t="str">
        <f t="shared" si="30"/>
        <v>Ostali nespomenuti rashodi poslovanja</v>
      </c>
      <c r="G93" s="186" t="s">
        <v>181</v>
      </c>
      <c r="H93" s="146" t="str">
        <f t="shared" si="22"/>
        <v>REDOVNA DJELATNOST SVEUČILIŠTA U RIJECI (IZ EVIDENCIJSKIH PRIHODA)</v>
      </c>
      <c r="I93" s="185">
        <v>50000</v>
      </c>
      <c r="J93" s="185">
        <f t="shared" si="25"/>
        <v>51500</v>
      </c>
      <c r="K93" s="185">
        <f t="shared" si="26"/>
        <v>53000</v>
      </c>
      <c r="M93" s="141" t="str">
        <f t="shared" si="31"/>
        <v>329</v>
      </c>
      <c r="N93" s="141" t="str">
        <f t="shared" si="32"/>
        <v>32</v>
      </c>
      <c r="R93" s="141">
        <v>4214</v>
      </c>
      <c r="S93" s="141" t="s">
        <v>167</v>
      </c>
      <c r="U93" s="141" t="str">
        <f t="shared" si="33"/>
        <v>42</v>
      </c>
      <c r="V93" s="141" t="str">
        <f t="shared" si="34"/>
        <v>421</v>
      </c>
      <c r="X93" t="s">
        <v>1275</v>
      </c>
      <c r="Y93" t="s">
        <v>1276</v>
      </c>
    </row>
    <row r="94" spans="1:25">
      <c r="A94" s="145" t="str">
        <f>IF(C94="","",VLOOKUP('Opći dio'!$C$3,'Opći dio'!$L$6:$U$136,10,FALSE))</f>
        <v>08006</v>
      </c>
      <c r="B94" s="145" t="str">
        <f>IF(C94="","",VLOOKUP('Opći dio'!$C$3,'Opći dio'!$L$6:$U$136,9,FALSE))</f>
        <v>Sveučilišta i veleučilišta u Republici Hrvatskoj</v>
      </c>
      <c r="C94" s="151">
        <v>31</v>
      </c>
      <c r="D94" s="146" t="str">
        <f t="shared" si="29"/>
        <v>Vlastiti prihodi</v>
      </c>
      <c r="E94" s="151">
        <v>3431</v>
      </c>
      <c r="F94" s="146" t="str">
        <f t="shared" si="30"/>
        <v>Bankarske usluge i usluge platnog prometa</v>
      </c>
      <c r="G94" s="186" t="s">
        <v>181</v>
      </c>
      <c r="H94" s="146" t="str">
        <f t="shared" si="22"/>
        <v>REDOVNA DJELATNOST SVEUČILIŠTA U RIJECI (IZ EVIDENCIJSKIH PRIHODA)</v>
      </c>
      <c r="I94" s="185">
        <v>4000</v>
      </c>
      <c r="J94" s="185">
        <f t="shared" si="25"/>
        <v>4120</v>
      </c>
      <c r="K94" s="185">
        <f t="shared" si="26"/>
        <v>4240</v>
      </c>
      <c r="M94" s="141" t="str">
        <f t="shared" si="31"/>
        <v>343</v>
      </c>
      <c r="N94" s="141" t="str">
        <f t="shared" si="32"/>
        <v>34</v>
      </c>
      <c r="R94" s="141">
        <v>4221</v>
      </c>
      <c r="S94" s="141" t="s">
        <v>102</v>
      </c>
      <c r="U94" s="141" t="str">
        <f t="shared" si="33"/>
        <v>42</v>
      </c>
      <c r="V94" s="141" t="str">
        <f t="shared" si="34"/>
        <v>422</v>
      </c>
      <c r="X94" t="s">
        <v>2074</v>
      </c>
      <c r="Y94" t="s">
        <v>2075</v>
      </c>
    </row>
    <row r="95" spans="1:25">
      <c r="A95" s="145" t="str">
        <f>IF(C95="","",VLOOKUP('Opći dio'!$C$3,'Opći dio'!$L$6:$U$136,10,FALSE))</f>
        <v>08006</v>
      </c>
      <c r="B95" s="145" t="str">
        <f>IF(C95="","",VLOOKUP('Opći dio'!$C$3,'Opći dio'!$L$6:$U$136,9,FALSE))</f>
        <v>Sveučilišta i veleučilišta u Republici Hrvatskoj</v>
      </c>
      <c r="C95" s="151">
        <v>31</v>
      </c>
      <c r="D95" s="146" t="str">
        <f t="shared" si="29"/>
        <v>Vlastiti prihodi</v>
      </c>
      <c r="E95" s="151">
        <v>3432</v>
      </c>
      <c r="F95" s="146" t="str">
        <f t="shared" si="30"/>
        <v>Negativne tečajne razlike i razlike zbog primjene valutne kl</v>
      </c>
      <c r="G95" s="186" t="s">
        <v>181</v>
      </c>
      <c r="H95" s="146" t="str">
        <f t="shared" si="22"/>
        <v>REDOVNA DJELATNOST SVEUČILIŠTA U RIJECI (IZ EVIDENCIJSKIH PRIHODA)</v>
      </c>
      <c r="I95" s="185">
        <v>500</v>
      </c>
      <c r="J95" s="185">
        <f t="shared" si="25"/>
        <v>515</v>
      </c>
      <c r="K95" s="185">
        <f t="shared" si="26"/>
        <v>530</v>
      </c>
      <c r="M95" s="141" t="str">
        <f t="shared" si="31"/>
        <v>343</v>
      </c>
      <c r="N95" s="141" t="str">
        <f t="shared" si="32"/>
        <v>34</v>
      </c>
      <c r="R95" s="141">
        <v>4222</v>
      </c>
      <c r="S95" s="141" t="s">
        <v>113</v>
      </c>
      <c r="U95" s="141" t="str">
        <f t="shared" si="33"/>
        <v>42</v>
      </c>
      <c r="V95" s="141" t="str">
        <f t="shared" si="34"/>
        <v>422</v>
      </c>
      <c r="X95" t="s">
        <v>1277</v>
      </c>
      <c r="Y95" t="s">
        <v>1278</v>
      </c>
    </row>
    <row r="96" spans="1:25">
      <c r="A96" s="145" t="str">
        <f>IF(C96="","",VLOOKUP('Opći dio'!$C$3,'Opći dio'!$L$6:$U$136,10,FALSE))</f>
        <v>08006</v>
      </c>
      <c r="B96" s="145" t="str">
        <f>IF(C96="","",VLOOKUP('Opći dio'!$C$3,'Opći dio'!$L$6:$U$136,9,FALSE))</f>
        <v>Sveučilišta i veleučilišta u Republici Hrvatskoj</v>
      </c>
      <c r="C96" s="151">
        <v>31</v>
      </c>
      <c r="D96" s="146" t="str">
        <f t="shared" si="29"/>
        <v>Vlastiti prihodi</v>
      </c>
      <c r="E96" s="151">
        <v>4123</v>
      </c>
      <c r="F96" s="146" t="str">
        <f t="shared" si="30"/>
        <v>Licence</v>
      </c>
      <c r="G96" s="186" t="s">
        <v>181</v>
      </c>
      <c r="H96" s="146" t="str">
        <f t="shared" si="22"/>
        <v>REDOVNA DJELATNOST SVEUČILIŠTA U RIJECI (IZ EVIDENCIJSKIH PRIHODA)</v>
      </c>
      <c r="I96" s="185">
        <v>30000</v>
      </c>
      <c r="J96" s="185">
        <f t="shared" si="25"/>
        <v>30900</v>
      </c>
      <c r="K96" s="185">
        <f t="shared" si="26"/>
        <v>31800</v>
      </c>
      <c r="M96" s="141" t="str">
        <f t="shared" si="31"/>
        <v>412</v>
      </c>
      <c r="N96" s="141" t="str">
        <f t="shared" si="32"/>
        <v>41</v>
      </c>
      <c r="R96" s="141">
        <v>4223</v>
      </c>
      <c r="S96" s="141" t="s">
        <v>126</v>
      </c>
      <c r="U96" s="141" t="str">
        <f t="shared" si="33"/>
        <v>42</v>
      </c>
      <c r="V96" s="141" t="str">
        <f t="shared" si="34"/>
        <v>422</v>
      </c>
      <c r="X96" t="s">
        <v>1279</v>
      </c>
      <c r="Y96" t="s">
        <v>1280</v>
      </c>
    </row>
    <row r="97" spans="1:25">
      <c r="A97" s="145" t="str">
        <f>IF(C97="","",VLOOKUP('Opći dio'!$C$3,'Opći dio'!$L$6:$U$136,10,FALSE))</f>
        <v>08006</v>
      </c>
      <c r="B97" s="145" t="str">
        <f>IF(C97="","",VLOOKUP('Opći dio'!$C$3,'Opći dio'!$L$6:$U$136,9,FALSE))</f>
        <v>Sveučilišta i veleučilišta u Republici Hrvatskoj</v>
      </c>
      <c r="C97" s="151">
        <v>31</v>
      </c>
      <c r="D97" s="146" t="str">
        <f t="shared" si="29"/>
        <v>Vlastiti prihodi</v>
      </c>
      <c r="E97" s="151">
        <v>4221</v>
      </c>
      <c r="F97" s="146" t="str">
        <f t="shared" si="30"/>
        <v>Uredska oprema i namještaj</v>
      </c>
      <c r="G97" s="186" t="s">
        <v>181</v>
      </c>
      <c r="H97" s="146" t="str">
        <f t="shared" si="22"/>
        <v>REDOVNA DJELATNOST SVEUČILIŠTA U RIJECI (IZ EVIDENCIJSKIH PRIHODA)</v>
      </c>
      <c r="I97" s="185">
        <v>100000</v>
      </c>
      <c r="J97" s="185">
        <v>99000</v>
      </c>
      <c r="K97" s="185">
        <v>87000</v>
      </c>
      <c r="M97" s="141" t="str">
        <f t="shared" si="31"/>
        <v>422</v>
      </c>
      <c r="N97" s="141" t="str">
        <f t="shared" si="32"/>
        <v>42</v>
      </c>
      <c r="R97" s="141">
        <v>4224</v>
      </c>
      <c r="S97" s="141" t="s">
        <v>119</v>
      </c>
      <c r="U97" s="141" t="str">
        <f t="shared" si="33"/>
        <v>42</v>
      </c>
      <c r="V97" s="141" t="str">
        <f t="shared" si="34"/>
        <v>422</v>
      </c>
      <c r="X97" t="s">
        <v>1287</v>
      </c>
      <c r="Y97" t="s">
        <v>1288</v>
      </c>
    </row>
    <row r="98" spans="1:25">
      <c r="A98" s="145" t="str">
        <f>IF(C98="","",VLOOKUP('Opći dio'!$C$3,'Opći dio'!$L$6:$U$136,10,FALSE))</f>
        <v>08006</v>
      </c>
      <c r="B98" s="145" t="str">
        <f>IF(C98="","",VLOOKUP('Opći dio'!$C$3,'Opći dio'!$L$6:$U$136,9,FALSE))</f>
        <v>Sveučilišta i veleučilišta u Republici Hrvatskoj</v>
      </c>
      <c r="C98" s="151">
        <v>31</v>
      </c>
      <c r="D98" s="146" t="str">
        <f t="shared" si="29"/>
        <v>Vlastiti prihodi</v>
      </c>
      <c r="E98" s="151">
        <v>4222</v>
      </c>
      <c r="F98" s="146" t="str">
        <f t="shared" si="30"/>
        <v>Komunikacijska oprema</v>
      </c>
      <c r="G98" s="186" t="s">
        <v>181</v>
      </c>
      <c r="H98" s="146" t="str">
        <f t="shared" si="22"/>
        <v>REDOVNA DJELATNOST SVEUČILIŠTA U RIJECI (IZ EVIDENCIJSKIH PRIHODA)</v>
      </c>
      <c r="I98" s="185">
        <v>150000</v>
      </c>
      <c r="J98" s="185">
        <v>135000</v>
      </c>
      <c r="K98" s="185">
        <v>100000</v>
      </c>
      <c r="M98" s="141" t="str">
        <f t="shared" si="31"/>
        <v>422</v>
      </c>
      <c r="N98" s="141" t="str">
        <f t="shared" si="32"/>
        <v>42</v>
      </c>
      <c r="R98" s="141">
        <v>4225</v>
      </c>
      <c r="S98" s="141" t="s">
        <v>123</v>
      </c>
      <c r="U98" s="141" t="str">
        <f t="shared" si="33"/>
        <v>42</v>
      </c>
      <c r="V98" s="141" t="str">
        <f t="shared" si="34"/>
        <v>422</v>
      </c>
      <c r="X98" t="s">
        <v>1289</v>
      </c>
      <c r="Y98" t="s">
        <v>1582</v>
      </c>
    </row>
    <row r="99" spans="1:25">
      <c r="A99" s="145" t="str">
        <f>IF(C99="","",VLOOKUP('Opći dio'!$C$3,'Opći dio'!$L$6:$U$136,10,FALSE))</f>
        <v>08006</v>
      </c>
      <c r="B99" s="145" t="str">
        <f>IF(C99="","",VLOOKUP('Opći dio'!$C$3,'Opći dio'!$L$6:$U$136,9,FALSE))</f>
        <v>Sveučilišta i veleučilišta u Republici Hrvatskoj</v>
      </c>
      <c r="C99" s="151">
        <v>31</v>
      </c>
      <c r="D99" s="146" t="str">
        <f t="shared" si="29"/>
        <v>Vlastiti prihodi</v>
      </c>
      <c r="E99" s="151">
        <v>4225</v>
      </c>
      <c r="F99" s="146" t="str">
        <f t="shared" si="30"/>
        <v>Instrumenti, uređaji i strojevi</v>
      </c>
      <c r="G99" s="186" t="s">
        <v>181</v>
      </c>
      <c r="H99" s="146" t="str">
        <f t="shared" si="22"/>
        <v>REDOVNA DJELATNOST SVEUČILIŠTA U RIJECI (IZ EVIDENCIJSKIH PRIHODA)</v>
      </c>
      <c r="I99" s="185">
        <v>40000</v>
      </c>
      <c r="J99" s="185">
        <f t="shared" si="25"/>
        <v>41200</v>
      </c>
      <c r="K99" s="185">
        <f t="shared" si="26"/>
        <v>42400</v>
      </c>
      <c r="M99" s="141" t="str">
        <f t="shared" si="31"/>
        <v>422</v>
      </c>
      <c r="N99" s="141" t="str">
        <f t="shared" si="32"/>
        <v>42</v>
      </c>
      <c r="R99" s="141">
        <v>4226</v>
      </c>
      <c r="S99" s="141" t="s">
        <v>168</v>
      </c>
      <c r="U99" s="141" t="str">
        <f t="shared" si="33"/>
        <v>42</v>
      </c>
      <c r="V99" s="141" t="str">
        <f t="shared" si="34"/>
        <v>422</v>
      </c>
      <c r="X99" t="s">
        <v>1292</v>
      </c>
      <c r="Y99" t="s">
        <v>1293</v>
      </c>
    </row>
    <row r="100" spans="1:25">
      <c r="A100" s="145" t="str">
        <f>IF(C100="","",VLOOKUP('Opći dio'!$C$3,'Opći dio'!$L$6:$U$136,10,FALSE))</f>
        <v>08006</v>
      </c>
      <c r="B100" s="145" t="str">
        <f>IF(C100="","",VLOOKUP('Opći dio'!$C$3,'Opći dio'!$L$6:$U$136,9,FALSE))</f>
        <v>Sveučilišta i veleučilišta u Republici Hrvatskoj</v>
      </c>
      <c r="C100" s="151">
        <v>31</v>
      </c>
      <c r="D100" s="146" t="str">
        <f t="shared" si="29"/>
        <v>Vlastiti prihodi</v>
      </c>
      <c r="E100" s="151">
        <v>4241</v>
      </c>
      <c r="F100" s="146" t="str">
        <f t="shared" si="30"/>
        <v>Knjige</v>
      </c>
      <c r="G100" s="186" t="s">
        <v>181</v>
      </c>
      <c r="H100" s="146" t="str">
        <f t="shared" si="22"/>
        <v>REDOVNA DJELATNOST SVEUČILIŠTA U RIJECI (IZ EVIDENCIJSKIH PRIHODA)</v>
      </c>
      <c r="I100" s="185">
        <v>5000</v>
      </c>
      <c r="J100" s="185">
        <f t="shared" si="25"/>
        <v>5150</v>
      </c>
      <c r="K100" s="185">
        <f t="shared" si="26"/>
        <v>5300</v>
      </c>
      <c r="M100" s="141" t="str">
        <f t="shared" si="31"/>
        <v>424</v>
      </c>
      <c r="N100" s="141" t="str">
        <f t="shared" si="32"/>
        <v>42</v>
      </c>
      <c r="R100" s="141">
        <v>4227</v>
      </c>
      <c r="S100" s="141" t="s">
        <v>136</v>
      </c>
      <c r="U100" s="141" t="str">
        <f t="shared" si="33"/>
        <v>42</v>
      </c>
      <c r="V100" s="141" t="str">
        <f t="shared" si="34"/>
        <v>422</v>
      </c>
      <c r="X100" t="s">
        <v>1294</v>
      </c>
      <c r="Y100" t="s">
        <v>1581</v>
      </c>
    </row>
    <row r="101" spans="1:25">
      <c r="A101" s="145" t="str">
        <f>IF(C101="","",VLOOKUP('Opći dio'!$C$3,'Opći dio'!$L$6:$U$136,10,FALSE))</f>
        <v/>
      </c>
      <c r="B101" s="145" t="str">
        <f>IF(C101="","",VLOOKUP('Opći dio'!$C$3,'Opći dio'!$L$6:$U$136,9,FALSE))</f>
        <v/>
      </c>
      <c r="C101" s="151"/>
      <c r="D101" s="146" t="str">
        <f t="shared" si="29"/>
        <v/>
      </c>
      <c r="E101" s="151"/>
      <c r="F101" s="146" t="str">
        <f t="shared" si="30"/>
        <v/>
      </c>
      <c r="G101" s="186"/>
      <c r="H101" s="146" t="str">
        <f t="shared" si="22"/>
        <v/>
      </c>
      <c r="I101" s="185"/>
      <c r="J101" s="185"/>
      <c r="K101" s="185"/>
      <c r="M101" s="141" t="str">
        <f t="shared" si="31"/>
        <v/>
      </c>
      <c r="N101" s="141" t="str">
        <f t="shared" si="32"/>
        <v/>
      </c>
      <c r="R101" s="141">
        <v>4231</v>
      </c>
      <c r="S101" s="141" t="s">
        <v>169</v>
      </c>
      <c r="U101" s="141" t="str">
        <f t="shared" si="33"/>
        <v>42</v>
      </c>
      <c r="V101" s="141" t="str">
        <f t="shared" si="34"/>
        <v>423</v>
      </c>
      <c r="X101" t="s">
        <v>1295</v>
      </c>
      <c r="Y101" t="s">
        <v>1296</v>
      </c>
    </row>
    <row r="102" spans="1:25">
      <c r="A102" s="145" t="str">
        <f>IF(C102="","",VLOOKUP('Opći dio'!$C$3,'Opći dio'!$L$6:$U$136,10,FALSE))</f>
        <v>08006</v>
      </c>
      <c r="B102" s="145" t="str">
        <f>IF(C102="","",VLOOKUP('Opći dio'!$C$3,'Opći dio'!$L$6:$U$136,9,FALSE))</f>
        <v>Sveučilišta i veleučilišta u Republici Hrvatskoj</v>
      </c>
      <c r="C102" s="151">
        <v>52</v>
      </c>
      <c r="D102" s="146" t="str">
        <f t="shared" si="29"/>
        <v>Ostale pomoći</v>
      </c>
      <c r="E102" s="151">
        <v>3691</v>
      </c>
      <c r="F102" s="146" t="str">
        <f t="shared" si="30"/>
        <v>Tekući prijenosi između proračunskih korisnika istog proraču</v>
      </c>
      <c r="G102" s="186" t="s">
        <v>181</v>
      </c>
      <c r="H102" s="146" t="str">
        <f t="shared" si="22"/>
        <v>REDOVNA DJELATNOST SVEUČILIŠTA U RIJECI (IZ EVIDENCIJSKIH PRIHODA)</v>
      </c>
      <c r="I102" s="185">
        <v>200000</v>
      </c>
      <c r="J102" s="185">
        <v>200000</v>
      </c>
      <c r="K102" s="185">
        <v>0</v>
      </c>
      <c r="M102" s="141" t="str">
        <f t="shared" si="31"/>
        <v>369</v>
      </c>
      <c r="N102" s="141" t="str">
        <f t="shared" si="32"/>
        <v>36</v>
      </c>
      <c r="R102" s="141">
        <v>4233</v>
      </c>
      <c r="S102" s="141" t="s">
        <v>177</v>
      </c>
      <c r="U102" s="141" t="str">
        <f t="shared" ref="U102:U129" si="35">LEFT(R102,2)</f>
        <v>42</v>
      </c>
      <c r="V102" s="141" t="str">
        <f t="shared" si="34"/>
        <v>423</v>
      </c>
      <c r="X102" t="s">
        <v>1297</v>
      </c>
      <c r="Y102" t="s">
        <v>1583</v>
      </c>
    </row>
    <row r="103" spans="1:25">
      <c r="A103" s="145" t="str">
        <f>IF(C103="","",VLOOKUP('Opći dio'!$C$3,'Opći dio'!$L$6:$U$136,10,FALSE))</f>
        <v/>
      </c>
      <c r="B103" s="145" t="str">
        <f>IF(C103="","",VLOOKUP('Opći dio'!$C$3,'Opći dio'!$L$6:$U$136,9,FALSE))</f>
        <v/>
      </c>
      <c r="C103" s="151"/>
      <c r="D103" s="146" t="str">
        <f t="shared" si="29"/>
        <v/>
      </c>
      <c r="E103" s="151"/>
      <c r="F103" s="146" t="str">
        <f t="shared" si="30"/>
        <v/>
      </c>
      <c r="G103" s="186"/>
      <c r="H103" s="146" t="str">
        <f t="shared" si="22"/>
        <v/>
      </c>
      <c r="I103" s="185"/>
      <c r="J103" s="185"/>
      <c r="K103" s="185"/>
      <c r="M103" s="141" t="str">
        <f t="shared" si="31"/>
        <v/>
      </c>
      <c r="N103" s="141" t="str">
        <f t="shared" si="32"/>
        <v/>
      </c>
      <c r="R103" s="141">
        <v>4241</v>
      </c>
      <c r="S103" s="141" t="s">
        <v>114</v>
      </c>
      <c r="U103" s="141" t="str">
        <f t="shared" si="35"/>
        <v>42</v>
      </c>
      <c r="V103" s="141" t="str">
        <f t="shared" si="34"/>
        <v>424</v>
      </c>
      <c r="X103" t="s">
        <v>1302</v>
      </c>
      <c r="Y103" t="s">
        <v>1303</v>
      </c>
    </row>
    <row r="104" spans="1:25">
      <c r="A104" s="145" t="str">
        <f>IF(C104="","",VLOOKUP('Opći dio'!$C$3,'Opći dio'!$L$6:$U$136,10,FALSE))</f>
        <v>08006</v>
      </c>
      <c r="B104" s="145" t="str">
        <f>IF(C104="","",VLOOKUP('Opći dio'!$C$3,'Opći dio'!$L$6:$U$136,9,FALSE))</f>
        <v>Sveučilišta i veleučilišta u Republici Hrvatskoj</v>
      </c>
      <c r="C104" s="151">
        <v>52</v>
      </c>
      <c r="D104" s="146" t="str">
        <f t="shared" si="29"/>
        <v>Ostale pomoći</v>
      </c>
      <c r="E104" s="151">
        <v>3235</v>
      </c>
      <c r="F104" s="146" t="str">
        <f t="shared" si="30"/>
        <v>Zakupnine i najamnine</v>
      </c>
      <c r="G104" s="186" t="s">
        <v>181</v>
      </c>
      <c r="H104" s="146" t="str">
        <f t="shared" si="22"/>
        <v>REDOVNA DJELATNOST SVEUČILIŠTA U RIJECI (IZ EVIDENCIJSKIH PRIHODA)</v>
      </c>
      <c r="I104" s="185">
        <v>18000</v>
      </c>
      <c r="J104" s="185">
        <v>0</v>
      </c>
      <c r="K104" s="185">
        <v>0</v>
      </c>
      <c r="M104" s="141" t="str">
        <f t="shared" si="31"/>
        <v>323</v>
      </c>
      <c r="N104" s="141" t="str">
        <f t="shared" si="32"/>
        <v>32</v>
      </c>
      <c r="R104" s="141">
        <v>4242</v>
      </c>
      <c r="S104" s="141" t="s">
        <v>146</v>
      </c>
      <c r="U104" s="141" t="str">
        <f t="shared" si="35"/>
        <v>42</v>
      </c>
      <c r="V104" s="141" t="str">
        <f t="shared" si="34"/>
        <v>424</v>
      </c>
      <c r="X104" t="s">
        <v>1304</v>
      </c>
      <c r="Y104" t="s">
        <v>1305</v>
      </c>
    </row>
    <row r="105" spans="1:25">
      <c r="A105" s="145" t="str">
        <f>IF(C105="","",VLOOKUP('Opći dio'!$C$3,'Opći dio'!$L$6:$U$136,10,FALSE))</f>
        <v>08006</v>
      </c>
      <c r="B105" s="145" t="str">
        <f>IF(C105="","",VLOOKUP('Opći dio'!$C$3,'Opći dio'!$L$6:$U$136,9,FALSE))</f>
        <v>Sveučilišta i veleučilišta u Republici Hrvatskoj</v>
      </c>
      <c r="C105" s="151">
        <v>52</v>
      </c>
      <c r="D105" s="146" t="str">
        <f t="shared" si="29"/>
        <v>Ostale pomoći</v>
      </c>
      <c r="E105" s="151">
        <v>3213</v>
      </c>
      <c r="F105" s="146" t="str">
        <f t="shared" si="30"/>
        <v>Stručno usavršavanje zaposlenika</v>
      </c>
      <c r="G105" s="186" t="s">
        <v>181</v>
      </c>
      <c r="H105" s="146" t="str">
        <f t="shared" si="22"/>
        <v>REDOVNA DJELATNOST SVEUČILIŠTA U RIJECI (IZ EVIDENCIJSKIH PRIHODA)</v>
      </c>
      <c r="I105" s="185">
        <v>30000</v>
      </c>
      <c r="J105" s="185">
        <v>0</v>
      </c>
      <c r="K105" s="185">
        <v>0</v>
      </c>
      <c r="M105" s="141" t="str">
        <f t="shared" si="31"/>
        <v>321</v>
      </c>
      <c r="N105" s="141" t="str">
        <f t="shared" si="32"/>
        <v>32</v>
      </c>
      <c r="R105" s="141">
        <v>4244</v>
      </c>
      <c r="S105" s="141" t="s">
        <v>178</v>
      </c>
      <c r="U105" s="141" t="str">
        <f t="shared" si="35"/>
        <v>42</v>
      </c>
      <c r="V105" s="141" t="str">
        <f t="shared" si="34"/>
        <v>424</v>
      </c>
      <c r="X105" t="s">
        <v>1306</v>
      </c>
      <c r="Y105" t="s">
        <v>1307</v>
      </c>
    </row>
    <row r="106" spans="1:25">
      <c r="A106" s="145" t="str">
        <f>IF(C106="","",VLOOKUP('Opći dio'!$C$3,'Opći dio'!$L$6:$U$136,10,FALSE))</f>
        <v>08006</v>
      </c>
      <c r="B106" s="145" t="str">
        <f>IF(C106="","",VLOOKUP('Opći dio'!$C$3,'Opći dio'!$L$6:$U$136,9,FALSE))</f>
        <v>Sveučilišta i veleučilišta u Republici Hrvatskoj</v>
      </c>
      <c r="C106" s="151">
        <v>52</v>
      </c>
      <c r="D106" s="146" t="str">
        <f t="shared" si="29"/>
        <v>Ostale pomoći</v>
      </c>
      <c r="E106" s="151">
        <v>3211</v>
      </c>
      <c r="F106" s="146" t="str">
        <f t="shared" si="30"/>
        <v>Službena putovanja</v>
      </c>
      <c r="G106" s="186" t="s">
        <v>181</v>
      </c>
      <c r="H106" s="146" t="str">
        <f t="shared" si="22"/>
        <v>REDOVNA DJELATNOST SVEUČILIŠTA U RIJECI (IZ EVIDENCIJSKIH PRIHODA)</v>
      </c>
      <c r="I106" s="185">
        <v>15000</v>
      </c>
      <c r="J106" s="185">
        <v>0</v>
      </c>
      <c r="K106" s="185">
        <v>0</v>
      </c>
      <c r="M106" s="141" t="str">
        <f t="shared" si="31"/>
        <v>321</v>
      </c>
      <c r="N106" s="141" t="str">
        <f t="shared" si="32"/>
        <v>32</v>
      </c>
      <c r="R106" s="141">
        <v>4251</v>
      </c>
      <c r="S106" s="141" t="s">
        <v>170</v>
      </c>
      <c r="U106" s="141" t="str">
        <f t="shared" si="35"/>
        <v>42</v>
      </c>
      <c r="V106" s="141" t="str">
        <f t="shared" si="34"/>
        <v>425</v>
      </c>
      <c r="X106" t="s">
        <v>1308</v>
      </c>
      <c r="Y106" t="s">
        <v>1309</v>
      </c>
    </row>
    <row r="107" spans="1:25">
      <c r="A107" s="145" t="str">
        <f>IF(C107="","",VLOOKUP('Opći dio'!$C$3,'Opći dio'!$L$6:$U$136,10,FALSE))</f>
        <v>08006</v>
      </c>
      <c r="B107" s="145" t="str">
        <f>IF(C107="","",VLOOKUP('Opći dio'!$C$3,'Opći dio'!$L$6:$U$136,9,FALSE))</f>
        <v>Sveučilišta i veleučilišta u Republici Hrvatskoj</v>
      </c>
      <c r="C107" s="151">
        <v>52</v>
      </c>
      <c r="D107" s="146" t="str">
        <f t="shared" si="29"/>
        <v>Ostale pomoći</v>
      </c>
      <c r="E107" s="151">
        <v>3237</v>
      </c>
      <c r="F107" s="146" t="str">
        <f t="shared" si="30"/>
        <v>Intelektualne i osobne usluge</v>
      </c>
      <c r="G107" s="186" t="s">
        <v>181</v>
      </c>
      <c r="H107" s="146" t="str">
        <f t="shared" si="22"/>
        <v>REDOVNA DJELATNOST SVEUČILIŠTA U RIJECI (IZ EVIDENCIJSKIH PRIHODA)</v>
      </c>
      <c r="I107" s="185">
        <v>20000</v>
      </c>
      <c r="J107" s="185">
        <v>0</v>
      </c>
      <c r="K107" s="185">
        <v>0</v>
      </c>
      <c r="M107" s="141" t="str">
        <f t="shared" si="31"/>
        <v>323</v>
      </c>
      <c r="N107" s="141" t="str">
        <f t="shared" si="32"/>
        <v>32</v>
      </c>
      <c r="R107" s="141">
        <v>4252</v>
      </c>
      <c r="S107" s="141" t="s">
        <v>171</v>
      </c>
      <c r="U107" s="141" t="str">
        <f t="shared" si="35"/>
        <v>42</v>
      </c>
      <c r="V107" s="141" t="str">
        <f t="shared" si="34"/>
        <v>425</v>
      </c>
      <c r="X107" t="s">
        <v>1310</v>
      </c>
      <c r="Y107" t="s">
        <v>1311</v>
      </c>
    </row>
    <row r="108" spans="1:25">
      <c r="A108" s="145" t="str">
        <f>IF(C108="","",VLOOKUP('Opći dio'!$C$3,'Opći dio'!$L$6:$U$136,10,FALSE))</f>
        <v>08006</v>
      </c>
      <c r="B108" s="145" t="str">
        <f>IF(C108="","",VLOOKUP('Opći dio'!$C$3,'Opći dio'!$L$6:$U$136,9,FALSE))</f>
        <v>Sveučilišta i veleučilišta u Republici Hrvatskoj</v>
      </c>
      <c r="C108" s="151">
        <v>52</v>
      </c>
      <c r="D108" s="146" t="str">
        <f t="shared" si="29"/>
        <v>Ostale pomoći</v>
      </c>
      <c r="E108" s="151">
        <v>3239</v>
      </c>
      <c r="F108" s="146" t="str">
        <f t="shared" si="30"/>
        <v>Ostale usluge</v>
      </c>
      <c r="G108" s="186" t="s">
        <v>181</v>
      </c>
      <c r="H108" s="146" t="str">
        <f t="shared" si="22"/>
        <v>REDOVNA DJELATNOST SVEUČILIŠTA U RIJECI (IZ EVIDENCIJSKIH PRIHODA)</v>
      </c>
      <c r="I108" s="185">
        <v>3750</v>
      </c>
      <c r="J108" s="185">
        <v>0</v>
      </c>
      <c r="K108" s="185">
        <v>0</v>
      </c>
      <c r="M108" s="141" t="str">
        <f t="shared" si="31"/>
        <v>323</v>
      </c>
      <c r="N108" s="141" t="str">
        <f t="shared" si="32"/>
        <v>32</v>
      </c>
      <c r="R108" s="141">
        <v>4262</v>
      </c>
      <c r="S108" s="141" t="s">
        <v>115</v>
      </c>
      <c r="U108" s="141" t="str">
        <f t="shared" si="35"/>
        <v>42</v>
      </c>
      <c r="V108" s="141" t="str">
        <f t="shared" si="34"/>
        <v>426</v>
      </c>
      <c r="X108" t="s">
        <v>1312</v>
      </c>
      <c r="Y108" t="s">
        <v>1313</v>
      </c>
    </row>
    <row r="109" spans="1:25">
      <c r="A109" s="145" t="str">
        <f>IF(C109="","",VLOOKUP('Opći dio'!$C$3,'Opći dio'!$L$6:$U$136,10,FALSE))</f>
        <v/>
      </c>
      <c r="B109" s="145" t="str">
        <f>IF(C109="","",VLOOKUP('Opći dio'!$C$3,'Opći dio'!$L$6:$U$136,9,FALSE))</f>
        <v/>
      </c>
      <c r="C109" s="151"/>
      <c r="D109" s="146" t="str">
        <f t="shared" si="29"/>
        <v/>
      </c>
      <c r="E109" s="151"/>
      <c r="F109" s="146" t="str">
        <f t="shared" si="30"/>
        <v/>
      </c>
      <c r="G109" s="186"/>
      <c r="H109" s="146" t="str">
        <f t="shared" si="22"/>
        <v/>
      </c>
      <c r="I109" s="185"/>
      <c r="J109" s="185"/>
      <c r="K109" s="185"/>
      <c r="M109" s="141" t="str">
        <f t="shared" si="31"/>
        <v/>
      </c>
      <c r="N109" s="141" t="str">
        <f t="shared" si="32"/>
        <v/>
      </c>
      <c r="R109" s="141">
        <v>4263</v>
      </c>
      <c r="S109" s="141" t="s">
        <v>172</v>
      </c>
      <c r="U109" s="141" t="str">
        <f t="shared" si="35"/>
        <v>42</v>
      </c>
      <c r="V109" s="141" t="str">
        <f t="shared" si="34"/>
        <v>426</v>
      </c>
      <c r="X109" t="s">
        <v>2076</v>
      </c>
      <c r="Y109" t="s">
        <v>2077</v>
      </c>
    </row>
    <row r="110" spans="1:25">
      <c r="A110" s="145" t="str">
        <f>IF(C110="","",VLOOKUP('Opći dio'!$C$3,'Opći dio'!$L$6:$U$136,10,FALSE))</f>
        <v/>
      </c>
      <c r="B110" s="145" t="str">
        <f>IF(C110="","",VLOOKUP('Opći dio'!$C$3,'Opći dio'!$L$6:$U$136,9,FALSE))</f>
        <v/>
      </c>
      <c r="C110" s="151"/>
      <c r="D110" s="146" t="str">
        <f t="shared" si="29"/>
        <v/>
      </c>
      <c r="E110" s="151"/>
      <c r="F110" s="146" t="str">
        <f t="shared" si="30"/>
        <v/>
      </c>
      <c r="G110" s="186"/>
      <c r="H110" s="146" t="str">
        <f t="shared" si="22"/>
        <v/>
      </c>
      <c r="I110" s="185"/>
      <c r="J110" s="185"/>
      <c r="K110" s="185"/>
      <c r="M110" s="141" t="str">
        <f t="shared" si="31"/>
        <v/>
      </c>
      <c r="N110" s="141" t="str">
        <f t="shared" si="32"/>
        <v/>
      </c>
      <c r="R110" s="141">
        <v>4264</v>
      </c>
      <c r="S110" s="141" t="s">
        <v>127</v>
      </c>
      <c r="U110" s="141" t="str">
        <f t="shared" si="35"/>
        <v>42</v>
      </c>
      <c r="V110" s="141" t="str">
        <f t="shared" si="34"/>
        <v>426</v>
      </c>
      <c r="X110" t="s">
        <v>1314</v>
      </c>
      <c r="Y110" t="s">
        <v>1315</v>
      </c>
    </row>
    <row r="111" spans="1:25">
      <c r="A111" s="145" t="str">
        <f>IF(C111="","",VLOOKUP('Opći dio'!$C$3,'Opći dio'!$L$6:$U$136,10,FALSE))</f>
        <v/>
      </c>
      <c r="B111" s="145" t="str">
        <f>IF(C111="","",VLOOKUP('Opći dio'!$C$3,'Opći dio'!$L$6:$U$136,9,FALSE))</f>
        <v/>
      </c>
      <c r="C111" s="151"/>
      <c r="D111" s="146" t="str">
        <f t="shared" si="29"/>
        <v/>
      </c>
      <c r="E111" s="151"/>
      <c r="F111" s="146" t="str">
        <f t="shared" si="30"/>
        <v/>
      </c>
      <c r="G111" s="186"/>
      <c r="H111" s="146" t="str">
        <f t="shared" si="22"/>
        <v/>
      </c>
      <c r="I111" s="185"/>
      <c r="J111" s="185"/>
      <c r="K111" s="185"/>
      <c r="M111" s="141" t="str">
        <f t="shared" si="31"/>
        <v/>
      </c>
      <c r="N111" s="141" t="str">
        <f t="shared" si="32"/>
        <v/>
      </c>
      <c r="R111" s="141">
        <v>4312</v>
      </c>
      <c r="S111" s="141" t="s">
        <v>129</v>
      </c>
      <c r="U111" s="141" t="str">
        <f t="shared" si="35"/>
        <v>43</v>
      </c>
      <c r="V111" s="141" t="str">
        <f t="shared" si="34"/>
        <v>431</v>
      </c>
      <c r="X111" t="s">
        <v>2078</v>
      </c>
      <c r="Y111" t="s">
        <v>1282</v>
      </c>
    </row>
    <row r="112" spans="1:25">
      <c r="A112" s="145" t="str">
        <f>IF(C112="","",VLOOKUP('Opći dio'!$C$3,'Opći dio'!$L$6:$U$136,10,FALSE))</f>
        <v/>
      </c>
      <c r="B112" s="145" t="str">
        <f>IF(C112="","",VLOOKUP('Opći dio'!$C$3,'Opći dio'!$L$6:$U$136,9,FALSE))</f>
        <v/>
      </c>
      <c r="C112" s="151"/>
      <c r="D112" s="146" t="str">
        <f t="shared" si="29"/>
        <v/>
      </c>
      <c r="E112" s="151"/>
      <c r="F112" s="146" t="str">
        <f t="shared" si="30"/>
        <v/>
      </c>
      <c r="G112" s="186"/>
      <c r="H112" s="146" t="str">
        <f t="shared" si="22"/>
        <v/>
      </c>
      <c r="I112" s="185"/>
      <c r="J112" s="185"/>
      <c r="K112" s="185"/>
      <c r="M112" s="141" t="str">
        <f t="shared" si="31"/>
        <v/>
      </c>
      <c r="N112" s="141" t="str">
        <f t="shared" si="32"/>
        <v/>
      </c>
      <c r="R112" s="141">
        <v>4411</v>
      </c>
      <c r="S112" s="141" t="s">
        <v>173</v>
      </c>
      <c r="U112" s="141" t="str">
        <f t="shared" si="35"/>
        <v>44</v>
      </c>
      <c r="V112" s="141" t="str">
        <f t="shared" si="34"/>
        <v>441</v>
      </c>
      <c r="X112" t="s">
        <v>2079</v>
      </c>
      <c r="Y112" t="s">
        <v>813</v>
      </c>
    </row>
    <row r="113" spans="1:25">
      <c r="A113" s="145" t="str">
        <f>IF(C113="","",VLOOKUP('Opći dio'!$C$3,'Opći dio'!$L$6:$U$136,10,FALSE))</f>
        <v/>
      </c>
      <c r="B113" s="145" t="str">
        <f>IF(C113="","",VLOOKUP('Opći dio'!$C$3,'Opći dio'!$L$6:$U$136,9,FALSE))</f>
        <v/>
      </c>
      <c r="C113" s="151"/>
      <c r="D113" s="146" t="str">
        <f t="shared" si="29"/>
        <v/>
      </c>
      <c r="E113" s="151"/>
      <c r="F113" s="146" t="str">
        <f t="shared" si="30"/>
        <v/>
      </c>
      <c r="G113" s="186"/>
      <c r="H113" s="146" t="str">
        <f t="shared" si="22"/>
        <v/>
      </c>
      <c r="I113" s="185"/>
      <c r="J113" s="185"/>
      <c r="K113" s="185"/>
      <c r="M113" s="141" t="str">
        <f t="shared" si="31"/>
        <v/>
      </c>
      <c r="N113" s="141" t="str">
        <f t="shared" si="32"/>
        <v/>
      </c>
      <c r="R113" s="141">
        <v>4511</v>
      </c>
      <c r="S113" s="141" t="s">
        <v>128</v>
      </c>
      <c r="U113" s="141" t="str">
        <f t="shared" si="35"/>
        <v>45</v>
      </c>
      <c r="V113" s="141" t="str">
        <f t="shared" si="34"/>
        <v>451</v>
      </c>
      <c r="X113" t="s">
        <v>1318</v>
      </c>
      <c r="Y113" t="s">
        <v>1319</v>
      </c>
    </row>
    <row r="114" spans="1:25">
      <c r="A114" s="145" t="str">
        <f>IF(C114="","",VLOOKUP('Opći dio'!$C$3,'Opći dio'!$L$6:$U$136,10,FALSE))</f>
        <v/>
      </c>
      <c r="B114" s="145" t="str">
        <f>IF(C114="","",VLOOKUP('Opći dio'!$C$3,'Opći dio'!$L$6:$U$136,9,FALSE))</f>
        <v/>
      </c>
      <c r="C114" s="151"/>
      <c r="D114" s="146" t="str">
        <f t="shared" si="29"/>
        <v/>
      </c>
      <c r="E114" s="151"/>
      <c r="F114" s="146" t="str">
        <f t="shared" si="30"/>
        <v/>
      </c>
      <c r="G114" s="186"/>
      <c r="H114" s="146" t="str">
        <f t="shared" si="22"/>
        <v/>
      </c>
      <c r="I114" s="185"/>
      <c r="J114" s="185"/>
      <c r="K114" s="185"/>
      <c r="M114" s="141" t="str">
        <f t="shared" si="31"/>
        <v/>
      </c>
      <c r="N114" s="141" t="str">
        <f t="shared" si="32"/>
        <v/>
      </c>
      <c r="R114" s="141">
        <v>4521</v>
      </c>
      <c r="S114" s="141" t="s">
        <v>147</v>
      </c>
      <c r="U114" s="141" t="str">
        <f t="shared" si="35"/>
        <v>45</v>
      </c>
      <c r="V114" s="141" t="str">
        <f t="shared" si="34"/>
        <v>452</v>
      </c>
      <c r="X114" t="s">
        <v>1320</v>
      </c>
      <c r="Y114" t="s">
        <v>1321</v>
      </c>
    </row>
    <row r="115" spans="1:25">
      <c r="A115" s="145" t="str">
        <f>IF(C115="","",VLOOKUP('Opći dio'!$C$3,'Opći dio'!$L$6:$U$136,10,FALSE))</f>
        <v/>
      </c>
      <c r="B115" s="145" t="str">
        <f>IF(C115="","",VLOOKUP('Opći dio'!$C$3,'Opći dio'!$L$6:$U$136,9,FALSE))</f>
        <v/>
      </c>
      <c r="C115" s="151"/>
      <c r="D115" s="146" t="str">
        <f t="shared" si="29"/>
        <v/>
      </c>
      <c r="E115" s="151"/>
      <c r="F115" s="146" t="str">
        <f t="shared" si="30"/>
        <v/>
      </c>
      <c r="G115" s="186"/>
      <c r="H115" s="146" t="str">
        <f t="shared" si="22"/>
        <v/>
      </c>
      <c r="I115" s="185"/>
      <c r="J115" s="185"/>
      <c r="K115" s="185"/>
      <c r="M115" s="141" t="str">
        <f t="shared" si="31"/>
        <v/>
      </c>
      <c r="N115" s="141" t="str">
        <f t="shared" si="32"/>
        <v/>
      </c>
      <c r="R115" s="141">
        <v>4531</v>
      </c>
      <c r="S115" s="141" t="s">
        <v>190</v>
      </c>
      <c r="U115" s="141" t="str">
        <f t="shared" si="35"/>
        <v>45</v>
      </c>
      <c r="V115" s="141" t="str">
        <f t="shared" si="34"/>
        <v>453</v>
      </c>
      <c r="X115" t="s">
        <v>1322</v>
      </c>
      <c r="Y115" t="s">
        <v>1323</v>
      </c>
    </row>
    <row r="116" spans="1:25">
      <c r="A116" s="145" t="str">
        <f>IF(C116="","",VLOOKUP('Opći dio'!$C$3,'Opći dio'!$L$6:$U$136,10,FALSE))</f>
        <v/>
      </c>
      <c r="B116" s="145" t="str">
        <f>IF(C116="","",VLOOKUP('Opći dio'!$C$3,'Opći dio'!$L$6:$U$136,9,FALSE))</f>
        <v/>
      </c>
      <c r="C116" s="151"/>
      <c r="D116" s="146" t="str">
        <f t="shared" si="29"/>
        <v/>
      </c>
      <c r="E116" s="151"/>
      <c r="F116" s="146" t="str">
        <f t="shared" si="30"/>
        <v/>
      </c>
      <c r="G116" s="186"/>
      <c r="H116" s="146" t="str">
        <f t="shared" si="22"/>
        <v/>
      </c>
      <c r="I116" s="185"/>
      <c r="J116" s="185"/>
      <c r="K116" s="185"/>
      <c r="M116" s="141" t="str">
        <f t="shared" si="31"/>
        <v/>
      </c>
      <c r="N116" s="141" t="str">
        <f t="shared" si="32"/>
        <v/>
      </c>
      <c r="R116" s="141">
        <v>4541</v>
      </c>
      <c r="S116" s="141" t="s">
        <v>142</v>
      </c>
      <c r="U116" s="141" t="str">
        <f t="shared" si="35"/>
        <v>45</v>
      </c>
      <c r="V116" s="141" t="str">
        <f t="shared" si="34"/>
        <v>454</v>
      </c>
      <c r="X116" t="s">
        <v>1324</v>
      </c>
      <c r="Y116" t="s">
        <v>1325</v>
      </c>
    </row>
    <row r="117" spans="1:25">
      <c r="A117" s="145" t="str">
        <f>IF(C117="","",VLOOKUP('Opći dio'!$C$3,'Opći dio'!$L$6:$U$136,10,FALSE))</f>
        <v/>
      </c>
      <c r="B117" s="145" t="str">
        <f>IF(C117="","",VLOOKUP('Opći dio'!$C$3,'Opći dio'!$L$6:$U$136,9,FALSE))</f>
        <v/>
      </c>
      <c r="C117" s="151"/>
      <c r="D117" s="146" t="str">
        <f t="shared" si="29"/>
        <v/>
      </c>
      <c r="E117" s="151"/>
      <c r="F117" s="146" t="str">
        <f t="shared" si="30"/>
        <v/>
      </c>
      <c r="G117" s="186"/>
      <c r="H117" s="146" t="str">
        <f t="shared" si="22"/>
        <v/>
      </c>
      <c r="I117" s="185"/>
      <c r="J117" s="185"/>
      <c r="K117" s="185"/>
      <c r="M117" s="141" t="str">
        <f t="shared" si="31"/>
        <v/>
      </c>
      <c r="N117" s="141" t="str">
        <f t="shared" si="32"/>
        <v/>
      </c>
      <c r="R117" s="141">
        <v>5121</v>
      </c>
      <c r="S117" s="141" t="s">
        <v>198</v>
      </c>
      <c r="U117" s="141" t="str">
        <f t="shared" si="35"/>
        <v>51</v>
      </c>
      <c r="V117" s="141" t="str">
        <f t="shared" si="34"/>
        <v>512</v>
      </c>
      <c r="X117" t="s">
        <v>1326</v>
      </c>
      <c r="Y117" t="s">
        <v>1327</v>
      </c>
    </row>
    <row r="118" spans="1:25">
      <c r="A118" s="145" t="str">
        <f>IF(C118="","",VLOOKUP('Opći dio'!$C$3,'Opći dio'!$L$6:$U$136,10,FALSE))</f>
        <v/>
      </c>
      <c r="B118" s="145" t="str">
        <f>IF(C118="","",VLOOKUP('Opći dio'!$C$3,'Opći dio'!$L$6:$U$136,9,FALSE))</f>
        <v/>
      </c>
      <c r="C118" s="151"/>
      <c r="D118" s="146" t="str">
        <f t="shared" si="29"/>
        <v/>
      </c>
      <c r="E118" s="151"/>
      <c r="F118" s="146" t="str">
        <f t="shared" si="30"/>
        <v/>
      </c>
      <c r="G118" s="186"/>
      <c r="H118" s="146" t="str">
        <f t="shared" si="22"/>
        <v/>
      </c>
      <c r="I118" s="185"/>
      <c r="J118" s="185"/>
      <c r="K118" s="185"/>
      <c r="M118" s="141" t="str">
        <f t="shared" si="31"/>
        <v/>
      </c>
      <c r="N118" s="141" t="str">
        <f t="shared" si="32"/>
        <v/>
      </c>
      <c r="R118" s="141">
        <v>5443</v>
      </c>
      <c r="S118" s="141" t="s">
        <v>174</v>
      </c>
      <c r="U118" s="141" t="str">
        <f t="shared" si="35"/>
        <v>54</v>
      </c>
      <c r="V118" s="141" t="str">
        <f t="shared" si="34"/>
        <v>544</v>
      </c>
      <c r="X118" t="s">
        <v>1328</v>
      </c>
      <c r="Y118" t="s">
        <v>1329</v>
      </c>
    </row>
    <row r="119" spans="1:25">
      <c r="A119" s="145" t="str">
        <f>IF(C119="","",VLOOKUP('Opći dio'!$C$3,'Opći dio'!$L$6:$U$136,10,FALSE))</f>
        <v/>
      </c>
      <c r="B119" s="145" t="str">
        <f>IF(C119="","",VLOOKUP('Opći dio'!$C$3,'Opći dio'!$L$6:$U$136,9,FALSE))</f>
        <v/>
      </c>
      <c r="C119" s="151"/>
      <c r="D119" s="146" t="str">
        <f t="shared" si="29"/>
        <v/>
      </c>
      <c r="E119" s="151"/>
      <c r="F119" s="146" t="str">
        <f t="shared" si="30"/>
        <v/>
      </c>
      <c r="G119" s="186"/>
      <c r="H119" s="146" t="str">
        <f t="shared" si="22"/>
        <v/>
      </c>
      <c r="I119" s="185"/>
      <c r="J119" s="185"/>
      <c r="K119" s="185"/>
      <c r="M119" s="141" t="str">
        <f t="shared" si="31"/>
        <v/>
      </c>
      <c r="N119" s="141" t="str">
        <f t="shared" si="32"/>
        <v/>
      </c>
      <c r="R119" s="141">
        <v>5121</v>
      </c>
      <c r="S119" s="141" t="s">
        <v>766</v>
      </c>
      <c r="U119" s="141" t="str">
        <f t="shared" si="35"/>
        <v>51</v>
      </c>
      <c r="V119" s="141" t="str">
        <f t="shared" ref="V119:V129" si="36">LEFT(R119,3)</f>
        <v>512</v>
      </c>
      <c r="X119" t="s">
        <v>1330</v>
      </c>
      <c r="Y119" t="s">
        <v>1331</v>
      </c>
    </row>
    <row r="120" spans="1:25">
      <c r="A120" s="145" t="str">
        <f>IF(C120="","",VLOOKUP('Opći dio'!$C$3,'Opći dio'!$L$6:$U$136,10,FALSE))</f>
        <v/>
      </c>
      <c r="B120" s="145" t="str">
        <f>IF(C120="","",VLOOKUP('Opći dio'!$C$3,'Opći dio'!$L$6:$U$136,9,FALSE))</f>
        <v/>
      </c>
      <c r="C120" s="151"/>
      <c r="D120" s="146" t="str">
        <f t="shared" si="29"/>
        <v/>
      </c>
      <c r="E120" s="151"/>
      <c r="F120" s="146" t="str">
        <f t="shared" si="30"/>
        <v/>
      </c>
      <c r="G120" s="186"/>
      <c r="H120" s="146" t="str">
        <f t="shared" si="22"/>
        <v/>
      </c>
      <c r="I120" s="185"/>
      <c r="J120" s="185"/>
      <c r="K120" s="185"/>
      <c r="M120" s="141" t="str">
        <f t="shared" si="31"/>
        <v/>
      </c>
      <c r="N120" s="141" t="str">
        <f t="shared" si="32"/>
        <v/>
      </c>
      <c r="R120" s="141">
        <v>5122</v>
      </c>
      <c r="S120" s="141" t="s">
        <v>767</v>
      </c>
      <c r="U120" s="141" t="str">
        <f t="shared" si="35"/>
        <v>51</v>
      </c>
      <c r="V120" s="141" t="str">
        <f t="shared" si="36"/>
        <v>512</v>
      </c>
      <c r="X120" t="s">
        <v>1332</v>
      </c>
      <c r="Y120" t="s">
        <v>1333</v>
      </c>
    </row>
    <row r="121" spans="1:25">
      <c r="A121" s="145" t="str">
        <f>IF(C121="","",VLOOKUP('Opći dio'!$C$3,'Opći dio'!$L$6:$U$136,10,FALSE))</f>
        <v/>
      </c>
      <c r="B121" s="145" t="str">
        <f>IF(C121="","",VLOOKUP('Opći dio'!$C$3,'Opći dio'!$L$6:$U$136,9,FALSE))</f>
        <v/>
      </c>
      <c r="C121" s="151"/>
      <c r="D121" s="146" t="str">
        <f t="shared" si="29"/>
        <v/>
      </c>
      <c r="E121" s="151"/>
      <c r="F121" s="146" t="str">
        <f t="shared" si="30"/>
        <v/>
      </c>
      <c r="G121" s="186"/>
      <c r="H121" s="146" t="str">
        <f t="shared" si="22"/>
        <v/>
      </c>
      <c r="I121" s="185"/>
      <c r="J121" s="185"/>
      <c r="K121" s="185"/>
      <c r="M121" s="141" t="str">
        <f t="shared" si="31"/>
        <v/>
      </c>
      <c r="N121" s="141" t="str">
        <f t="shared" si="32"/>
        <v/>
      </c>
      <c r="R121" s="141">
        <v>5141</v>
      </c>
      <c r="S121" s="141" t="s">
        <v>768</v>
      </c>
      <c r="U121" s="141" t="str">
        <f t="shared" si="35"/>
        <v>51</v>
      </c>
      <c r="V121" s="141" t="str">
        <f t="shared" si="36"/>
        <v>514</v>
      </c>
      <c r="X121" t="s">
        <v>1334</v>
      </c>
      <c r="Y121" t="s">
        <v>1335</v>
      </c>
    </row>
    <row r="122" spans="1:25">
      <c r="A122" s="145" t="str">
        <f>IF(C122="","",VLOOKUP('Opći dio'!$C$3,'Opći dio'!$L$6:$U$136,10,FALSE))</f>
        <v/>
      </c>
      <c r="B122" s="145" t="str">
        <f>IF(C122="","",VLOOKUP('Opći dio'!$C$3,'Opći dio'!$L$6:$U$136,9,FALSE))</f>
        <v/>
      </c>
      <c r="C122" s="151"/>
      <c r="D122" s="146" t="str">
        <f t="shared" si="29"/>
        <v/>
      </c>
      <c r="E122" s="151"/>
      <c r="F122" s="146" t="str">
        <f t="shared" si="30"/>
        <v/>
      </c>
      <c r="G122" s="186"/>
      <c r="H122" s="146" t="str">
        <f t="shared" si="22"/>
        <v/>
      </c>
      <c r="I122" s="185"/>
      <c r="J122" s="185"/>
      <c r="K122" s="185"/>
      <c r="M122" s="141" t="str">
        <f t="shared" si="31"/>
        <v/>
      </c>
      <c r="N122" s="141" t="str">
        <f t="shared" si="32"/>
        <v/>
      </c>
      <c r="R122" s="141">
        <v>5181</v>
      </c>
      <c r="S122" s="141" t="s">
        <v>769</v>
      </c>
      <c r="U122" s="141" t="str">
        <f t="shared" si="35"/>
        <v>51</v>
      </c>
      <c r="V122" s="141" t="str">
        <f t="shared" si="36"/>
        <v>518</v>
      </c>
      <c r="X122" t="s">
        <v>1336</v>
      </c>
      <c r="Y122" t="s">
        <v>1337</v>
      </c>
    </row>
    <row r="123" spans="1:25">
      <c r="A123" s="145" t="str">
        <f>IF(C123="","",VLOOKUP('Opći dio'!$C$3,'Opći dio'!$L$6:$U$136,10,FALSE))</f>
        <v/>
      </c>
      <c r="B123" s="145" t="str">
        <f>IF(C123="","",VLOOKUP('Opći dio'!$C$3,'Opći dio'!$L$6:$U$136,9,FALSE))</f>
        <v/>
      </c>
      <c r="C123" s="151"/>
      <c r="D123" s="146" t="str">
        <f t="shared" si="29"/>
        <v/>
      </c>
      <c r="E123" s="151"/>
      <c r="F123" s="146" t="str">
        <f t="shared" si="30"/>
        <v/>
      </c>
      <c r="G123" s="186"/>
      <c r="H123" s="146" t="str">
        <f t="shared" si="22"/>
        <v/>
      </c>
      <c r="I123" s="185"/>
      <c r="J123" s="185"/>
      <c r="K123" s="185"/>
      <c r="M123" s="141" t="str">
        <f t="shared" si="31"/>
        <v/>
      </c>
      <c r="N123" s="141" t="str">
        <f t="shared" si="32"/>
        <v/>
      </c>
      <c r="R123" s="141">
        <v>5183</v>
      </c>
      <c r="S123" s="141" t="s">
        <v>770</v>
      </c>
      <c r="U123" s="141" t="str">
        <f t="shared" si="35"/>
        <v>51</v>
      </c>
      <c r="V123" s="141" t="str">
        <f t="shared" si="36"/>
        <v>518</v>
      </c>
      <c r="X123" t="s">
        <v>1338</v>
      </c>
      <c r="Y123" t="s">
        <v>1339</v>
      </c>
    </row>
    <row r="124" spans="1:25">
      <c r="A124" s="145" t="str">
        <f>IF(C124="","",VLOOKUP('Opći dio'!$C$3,'Opći dio'!$L$6:$U$136,10,FALSE))</f>
        <v/>
      </c>
      <c r="B124" s="145" t="str">
        <f>IF(C124="","",VLOOKUP('Opći dio'!$C$3,'Opći dio'!$L$6:$U$136,9,FALSE))</f>
        <v/>
      </c>
      <c r="C124" s="151"/>
      <c r="D124" s="146" t="str">
        <f t="shared" si="29"/>
        <v/>
      </c>
      <c r="E124" s="151"/>
      <c r="F124" s="146" t="str">
        <f t="shared" si="30"/>
        <v/>
      </c>
      <c r="G124" s="186"/>
      <c r="H124" s="146" t="str">
        <f t="shared" si="22"/>
        <v/>
      </c>
      <c r="I124" s="185"/>
      <c r="J124" s="185"/>
      <c r="K124" s="185"/>
      <c r="M124" s="141" t="str">
        <f t="shared" si="31"/>
        <v/>
      </c>
      <c r="N124" s="141" t="str">
        <f t="shared" si="32"/>
        <v/>
      </c>
      <c r="R124" s="141">
        <v>5422</v>
      </c>
      <c r="S124" s="141" t="s">
        <v>771</v>
      </c>
      <c r="U124" s="141" t="str">
        <f t="shared" si="35"/>
        <v>54</v>
      </c>
      <c r="V124" s="141" t="str">
        <f t="shared" si="36"/>
        <v>542</v>
      </c>
      <c r="X124" t="s">
        <v>1340</v>
      </c>
      <c r="Y124" t="s">
        <v>1341</v>
      </c>
    </row>
    <row r="125" spans="1:25">
      <c r="A125" s="145" t="str">
        <f>IF(C125="","",VLOOKUP('Opći dio'!$C$3,'Opći dio'!$L$6:$U$136,10,FALSE))</f>
        <v/>
      </c>
      <c r="B125" s="145" t="str">
        <f>IF(C125="","",VLOOKUP('Opći dio'!$C$3,'Opći dio'!$L$6:$U$136,9,FALSE))</f>
        <v/>
      </c>
      <c r="C125" s="151"/>
      <c r="D125" s="146" t="str">
        <f t="shared" si="29"/>
        <v/>
      </c>
      <c r="E125" s="151"/>
      <c r="F125" s="146" t="str">
        <f t="shared" si="30"/>
        <v/>
      </c>
      <c r="G125" s="186"/>
      <c r="H125" s="146" t="str">
        <f t="shared" si="22"/>
        <v/>
      </c>
      <c r="I125" s="185"/>
      <c r="J125" s="185"/>
      <c r="K125" s="185"/>
      <c r="M125" s="141" t="str">
        <f t="shared" si="31"/>
        <v/>
      </c>
      <c r="N125" s="141" t="str">
        <f t="shared" si="32"/>
        <v/>
      </c>
      <c r="R125" s="141">
        <v>5431</v>
      </c>
      <c r="S125" s="141" t="s">
        <v>366</v>
      </c>
      <c r="U125" s="141" t="str">
        <f t="shared" si="35"/>
        <v>54</v>
      </c>
      <c r="V125" s="141" t="str">
        <f t="shared" si="36"/>
        <v>543</v>
      </c>
      <c r="X125" t="s">
        <v>1342</v>
      </c>
      <c r="Y125" t="s">
        <v>1343</v>
      </c>
    </row>
    <row r="126" spans="1:25">
      <c r="A126" s="145" t="str">
        <f>IF(C126="","",VLOOKUP('Opći dio'!$C$3,'Opći dio'!$L$6:$U$136,10,FALSE))</f>
        <v/>
      </c>
      <c r="B126" s="145" t="str">
        <f>IF(C126="","",VLOOKUP('Opći dio'!$C$3,'Opći dio'!$L$6:$U$136,9,FALSE))</f>
        <v/>
      </c>
      <c r="C126" s="151"/>
      <c r="D126" s="146" t="str">
        <f t="shared" si="29"/>
        <v/>
      </c>
      <c r="E126" s="151"/>
      <c r="F126" s="146" t="str">
        <f t="shared" si="30"/>
        <v/>
      </c>
      <c r="G126" s="186"/>
      <c r="H126" s="146" t="str">
        <f t="shared" si="22"/>
        <v/>
      </c>
      <c r="I126" s="185"/>
      <c r="J126" s="185"/>
      <c r="K126" s="185"/>
      <c r="M126" s="141" t="str">
        <f t="shared" si="31"/>
        <v/>
      </c>
      <c r="N126" s="141" t="str">
        <f t="shared" si="32"/>
        <v/>
      </c>
      <c r="R126" s="141">
        <v>5443</v>
      </c>
      <c r="S126" s="141" t="s">
        <v>772</v>
      </c>
      <c r="U126" s="141" t="str">
        <f t="shared" si="35"/>
        <v>54</v>
      </c>
      <c r="V126" s="141" t="str">
        <f t="shared" si="36"/>
        <v>544</v>
      </c>
      <c r="X126" t="s">
        <v>1344</v>
      </c>
      <c r="Y126" t="s">
        <v>1345</v>
      </c>
    </row>
    <row r="127" spans="1:25">
      <c r="A127" s="145" t="str">
        <f>IF(C127="","",VLOOKUP('Opći dio'!$C$3,'Opći dio'!$L$6:$U$136,10,FALSE))</f>
        <v/>
      </c>
      <c r="B127" s="145" t="str">
        <f>IF(C127="","",VLOOKUP('Opći dio'!$C$3,'Opći dio'!$L$6:$U$136,9,FALSE))</f>
        <v/>
      </c>
      <c r="C127" s="151"/>
      <c r="D127" s="146" t="str">
        <f t="shared" si="29"/>
        <v/>
      </c>
      <c r="E127" s="151"/>
      <c r="F127" s="146" t="str">
        <f t="shared" si="30"/>
        <v/>
      </c>
      <c r="G127" s="186"/>
      <c r="H127" s="146" t="str">
        <f t="shared" si="22"/>
        <v/>
      </c>
      <c r="I127" s="185"/>
      <c r="J127" s="185"/>
      <c r="K127" s="185"/>
      <c r="M127" s="141" t="str">
        <f t="shared" si="31"/>
        <v/>
      </c>
      <c r="N127" s="141" t="str">
        <f t="shared" si="32"/>
        <v/>
      </c>
      <c r="R127" s="141">
        <v>5445</v>
      </c>
      <c r="S127" s="141" t="s">
        <v>773</v>
      </c>
      <c r="U127" s="141" t="str">
        <f t="shared" si="35"/>
        <v>54</v>
      </c>
      <c r="V127" s="141" t="str">
        <f t="shared" si="36"/>
        <v>544</v>
      </c>
      <c r="X127" t="s">
        <v>1346</v>
      </c>
      <c r="Y127" t="s">
        <v>1347</v>
      </c>
    </row>
    <row r="128" spans="1:25">
      <c r="A128" s="145" t="str">
        <f>IF(C128="","",VLOOKUP('Opći dio'!$C$3,'Opći dio'!$L$6:$U$136,10,FALSE))</f>
        <v/>
      </c>
      <c r="B128" s="145" t="str">
        <f>IF(C128="","",VLOOKUP('Opći dio'!$C$3,'Opći dio'!$L$6:$U$136,9,FALSE))</f>
        <v/>
      </c>
      <c r="C128" s="151"/>
      <c r="D128" s="146" t="str">
        <f t="shared" si="29"/>
        <v/>
      </c>
      <c r="E128" s="151"/>
      <c r="F128" s="146" t="str">
        <f t="shared" si="30"/>
        <v/>
      </c>
      <c r="G128" s="186"/>
      <c r="H128" s="146" t="str">
        <f t="shared" si="22"/>
        <v/>
      </c>
      <c r="I128" s="185"/>
      <c r="J128" s="185"/>
      <c r="K128" s="185"/>
      <c r="M128" s="141" t="str">
        <f t="shared" si="31"/>
        <v/>
      </c>
      <c r="N128" s="141" t="str">
        <f t="shared" si="32"/>
        <v/>
      </c>
      <c r="R128" s="141">
        <v>5453</v>
      </c>
      <c r="S128" s="141" t="s">
        <v>774</v>
      </c>
      <c r="U128" s="141" t="str">
        <f t="shared" si="35"/>
        <v>54</v>
      </c>
      <c r="V128" s="141" t="str">
        <f t="shared" si="36"/>
        <v>545</v>
      </c>
      <c r="X128" t="s">
        <v>2080</v>
      </c>
      <c r="Y128" t="s">
        <v>2081</v>
      </c>
    </row>
    <row r="129" spans="1:25">
      <c r="A129" s="145" t="str">
        <f>IF(C129="","",VLOOKUP('Opći dio'!$C$3,'Opći dio'!$L$6:$U$136,10,FALSE))</f>
        <v/>
      </c>
      <c r="B129" s="145" t="str">
        <f>IF(C129="","",VLOOKUP('Opći dio'!$C$3,'Opći dio'!$L$6:$U$136,9,FALSE))</f>
        <v/>
      </c>
      <c r="C129" s="151"/>
      <c r="D129" s="146" t="str">
        <f t="shared" si="29"/>
        <v/>
      </c>
      <c r="E129" s="151"/>
      <c r="F129" s="146" t="str">
        <f t="shared" si="30"/>
        <v/>
      </c>
      <c r="G129" s="186"/>
      <c r="H129" s="146" t="str">
        <f t="shared" si="22"/>
        <v/>
      </c>
      <c r="I129" s="185"/>
      <c r="J129" s="185"/>
      <c r="K129" s="185"/>
      <c r="M129" s="141" t="str">
        <f t="shared" si="31"/>
        <v/>
      </c>
      <c r="N129" s="141" t="str">
        <f t="shared" si="32"/>
        <v/>
      </c>
      <c r="R129" s="141">
        <v>5472</v>
      </c>
      <c r="S129" s="141" t="s">
        <v>775</v>
      </c>
      <c r="U129" s="141" t="str">
        <f t="shared" si="35"/>
        <v>54</v>
      </c>
      <c r="V129" s="141" t="str">
        <f t="shared" si="36"/>
        <v>547</v>
      </c>
      <c r="X129" t="s">
        <v>1348</v>
      </c>
      <c r="Y129" t="s">
        <v>1349</v>
      </c>
    </row>
    <row r="130" spans="1:25">
      <c r="A130" s="145" t="str">
        <f>IF(C130="","",VLOOKUP('Opći dio'!$C$3,'Opći dio'!$L$6:$U$136,10,FALSE))</f>
        <v/>
      </c>
      <c r="B130" s="145" t="str">
        <f>IF(C130="","",VLOOKUP('Opći dio'!$C$3,'Opći dio'!$L$6:$U$136,9,FALSE))</f>
        <v/>
      </c>
      <c r="C130" s="151"/>
      <c r="D130" s="146" t="str">
        <f t="shared" si="29"/>
        <v/>
      </c>
      <c r="E130" s="151"/>
      <c r="F130" s="146" t="str">
        <f t="shared" si="30"/>
        <v/>
      </c>
      <c r="G130" s="186"/>
      <c r="H130" s="146" t="str">
        <f t="shared" si="22"/>
        <v/>
      </c>
      <c r="I130" s="185"/>
      <c r="J130" s="185"/>
      <c r="K130" s="185"/>
      <c r="M130" s="141" t="str">
        <f t="shared" si="31"/>
        <v/>
      </c>
      <c r="N130" s="141" t="str">
        <f t="shared" si="32"/>
        <v/>
      </c>
      <c r="X130" t="s">
        <v>1350</v>
      </c>
      <c r="Y130" t="s">
        <v>1351</v>
      </c>
    </row>
    <row r="131" spans="1:25">
      <c r="A131" s="145" t="str">
        <f>IF(C131="","",VLOOKUP('Opći dio'!$C$3,'Opći dio'!$L$6:$U$136,10,FALSE))</f>
        <v/>
      </c>
      <c r="B131" s="145" t="str">
        <f>IF(C131="","",VLOOKUP('Opći dio'!$C$3,'Opći dio'!$L$6:$U$136,9,FALSE))</f>
        <v/>
      </c>
      <c r="C131" s="151"/>
      <c r="D131" s="146" t="str">
        <f t="shared" si="29"/>
        <v/>
      </c>
      <c r="E131" s="151"/>
      <c r="F131" s="146" t="str">
        <f t="shared" si="30"/>
        <v/>
      </c>
      <c r="G131" s="186"/>
      <c r="H131" s="146" t="str">
        <f t="shared" si="22"/>
        <v/>
      </c>
      <c r="I131" s="185"/>
      <c r="J131" s="185"/>
      <c r="K131" s="185"/>
      <c r="M131" s="141" t="str">
        <f t="shared" si="31"/>
        <v/>
      </c>
      <c r="N131" s="141" t="str">
        <f t="shared" si="32"/>
        <v/>
      </c>
      <c r="X131" t="s">
        <v>1352</v>
      </c>
      <c r="Y131" t="s">
        <v>813</v>
      </c>
    </row>
    <row r="132" spans="1:25">
      <c r="A132" s="145" t="str">
        <f>IF(C132="","",VLOOKUP('Opći dio'!$C$3,'Opći dio'!$L$6:$U$136,10,FALSE))</f>
        <v/>
      </c>
      <c r="B132" s="145" t="str">
        <f>IF(C132="","",VLOOKUP('Opći dio'!$C$3,'Opći dio'!$L$6:$U$136,9,FALSE))</f>
        <v/>
      </c>
      <c r="C132" s="151"/>
      <c r="D132" s="146" t="str">
        <f t="shared" ref="D132:D195" si="37">IFERROR(VLOOKUP(C132,$O$6:$P$23,2,FALSE),"")</f>
        <v/>
      </c>
      <c r="E132" s="151"/>
      <c r="F132" s="146" t="str">
        <f t="shared" ref="F132:F195" si="38">IFERROR(VLOOKUP(E132,$R$5:$T$129,2,FALSE),"")</f>
        <v/>
      </c>
      <c r="G132" s="186"/>
      <c r="H132" s="146" t="str">
        <f t="shared" ref="H132:H195" si="39">IFERROR(VLOOKUP(G132,$X$6:$Y$200,2,FALSE),"")</f>
        <v/>
      </c>
      <c r="I132" s="185"/>
      <c r="J132" s="185"/>
      <c r="K132" s="185"/>
      <c r="M132" s="141" t="str">
        <f t="shared" ref="M132:M195" si="40">LEFT(E132,3)</f>
        <v/>
      </c>
      <c r="N132" s="141" t="str">
        <f t="shared" ref="N132:N195" si="41">LEFT(E132,2)</f>
        <v/>
      </c>
      <c r="X132" t="s">
        <v>1353</v>
      </c>
      <c r="Y132" t="s">
        <v>1354</v>
      </c>
    </row>
    <row r="133" spans="1:25">
      <c r="A133" s="145" t="str">
        <f>IF(C133="","",VLOOKUP('Opći dio'!$C$3,'Opći dio'!$L$6:$U$136,10,FALSE))</f>
        <v/>
      </c>
      <c r="B133" s="145" t="str">
        <f>IF(C133="","",VLOOKUP('Opći dio'!$C$3,'Opći dio'!$L$6:$U$136,9,FALSE))</f>
        <v/>
      </c>
      <c r="C133" s="151"/>
      <c r="D133" s="146" t="str">
        <f t="shared" si="37"/>
        <v/>
      </c>
      <c r="E133" s="151"/>
      <c r="F133" s="146" t="str">
        <f t="shared" si="38"/>
        <v/>
      </c>
      <c r="G133" s="186"/>
      <c r="H133" s="146" t="str">
        <f t="shared" si="39"/>
        <v/>
      </c>
      <c r="I133" s="185"/>
      <c r="J133" s="185"/>
      <c r="K133" s="185"/>
      <c r="M133" s="141" t="str">
        <f t="shared" si="40"/>
        <v/>
      </c>
      <c r="N133" s="141" t="str">
        <f t="shared" si="41"/>
        <v/>
      </c>
      <c r="X133" t="s">
        <v>1355</v>
      </c>
      <c r="Y133" t="s">
        <v>1356</v>
      </c>
    </row>
    <row r="134" spans="1:25">
      <c r="A134" s="145" t="str">
        <f>IF(C134="","",VLOOKUP('Opći dio'!$C$3,'Opći dio'!$L$6:$U$136,10,FALSE))</f>
        <v/>
      </c>
      <c r="B134" s="145" t="str">
        <f>IF(C134="","",VLOOKUP('Opći dio'!$C$3,'Opći dio'!$L$6:$U$136,9,FALSE))</f>
        <v/>
      </c>
      <c r="C134" s="151"/>
      <c r="D134" s="146" t="str">
        <f t="shared" si="37"/>
        <v/>
      </c>
      <c r="E134" s="151"/>
      <c r="F134" s="146" t="str">
        <f t="shared" si="38"/>
        <v/>
      </c>
      <c r="G134" s="186"/>
      <c r="H134" s="146" t="str">
        <f t="shared" si="39"/>
        <v/>
      </c>
      <c r="I134" s="185"/>
      <c r="J134" s="185"/>
      <c r="K134" s="185"/>
      <c r="M134" s="141" t="str">
        <f t="shared" si="40"/>
        <v/>
      </c>
      <c r="N134" s="141" t="str">
        <f t="shared" si="41"/>
        <v/>
      </c>
      <c r="X134" t="s">
        <v>1359</v>
      </c>
      <c r="Y134" t="s">
        <v>1360</v>
      </c>
    </row>
    <row r="135" spans="1:25">
      <c r="A135" s="145" t="str">
        <f>IF(C135="","",VLOOKUP('Opći dio'!$C$3,'Opći dio'!$L$6:$U$136,10,FALSE))</f>
        <v/>
      </c>
      <c r="B135" s="145" t="str">
        <f>IF(C135="","",VLOOKUP('Opći dio'!$C$3,'Opći dio'!$L$6:$U$136,9,FALSE))</f>
        <v/>
      </c>
      <c r="C135" s="151"/>
      <c r="D135" s="146" t="str">
        <f t="shared" si="37"/>
        <v/>
      </c>
      <c r="E135" s="151"/>
      <c r="F135" s="146" t="str">
        <f t="shared" si="38"/>
        <v/>
      </c>
      <c r="G135" s="186"/>
      <c r="H135" s="146" t="str">
        <f t="shared" si="39"/>
        <v/>
      </c>
      <c r="I135" s="185"/>
      <c r="J135" s="185"/>
      <c r="K135" s="185"/>
      <c r="M135" s="141" t="str">
        <f t="shared" si="40"/>
        <v/>
      </c>
      <c r="N135" s="141" t="str">
        <f t="shared" si="41"/>
        <v/>
      </c>
      <c r="X135" t="s">
        <v>1361</v>
      </c>
      <c r="Y135" t="s">
        <v>2082</v>
      </c>
    </row>
    <row r="136" spans="1:25">
      <c r="A136" s="145" t="str">
        <f>IF(C136="","",VLOOKUP('Opći dio'!$C$3,'Opći dio'!$L$6:$U$136,10,FALSE))</f>
        <v/>
      </c>
      <c r="B136" s="145" t="str">
        <f>IF(C136="","",VLOOKUP('Opći dio'!$C$3,'Opći dio'!$L$6:$U$136,9,FALSE))</f>
        <v/>
      </c>
      <c r="C136" s="151"/>
      <c r="D136" s="146" t="str">
        <f t="shared" si="37"/>
        <v/>
      </c>
      <c r="E136" s="151"/>
      <c r="F136" s="146" t="str">
        <f t="shared" si="38"/>
        <v/>
      </c>
      <c r="G136" s="186"/>
      <c r="H136" s="146" t="str">
        <f t="shared" si="39"/>
        <v/>
      </c>
      <c r="I136" s="185"/>
      <c r="J136" s="185"/>
      <c r="K136" s="185"/>
      <c r="M136" s="141" t="str">
        <f t="shared" si="40"/>
        <v/>
      </c>
      <c r="N136" s="141" t="str">
        <f t="shared" si="41"/>
        <v/>
      </c>
      <c r="X136" t="s">
        <v>1362</v>
      </c>
      <c r="Y136" t="s">
        <v>1363</v>
      </c>
    </row>
    <row r="137" spans="1:25">
      <c r="A137" s="145" t="str">
        <f>IF(C137="","",VLOOKUP('Opći dio'!$C$3,'Opći dio'!$L$6:$U$136,10,FALSE))</f>
        <v/>
      </c>
      <c r="B137" s="145" t="str">
        <f>IF(C137="","",VLOOKUP('Opći dio'!$C$3,'Opći dio'!$L$6:$U$136,9,FALSE))</f>
        <v/>
      </c>
      <c r="C137" s="151"/>
      <c r="D137" s="146" t="str">
        <f t="shared" si="37"/>
        <v/>
      </c>
      <c r="E137" s="151"/>
      <c r="F137" s="146" t="str">
        <f t="shared" si="38"/>
        <v/>
      </c>
      <c r="G137" s="186"/>
      <c r="H137" s="146" t="str">
        <f t="shared" si="39"/>
        <v/>
      </c>
      <c r="I137" s="185"/>
      <c r="J137" s="185"/>
      <c r="K137" s="185"/>
      <c r="M137" s="141" t="str">
        <f t="shared" si="40"/>
        <v/>
      </c>
      <c r="N137" s="141" t="str">
        <f t="shared" si="41"/>
        <v/>
      </c>
      <c r="X137" t="s">
        <v>1364</v>
      </c>
      <c r="Y137" t="s">
        <v>1365</v>
      </c>
    </row>
    <row r="138" spans="1:25">
      <c r="A138" s="145" t="str">
        <f>IF(C138="","",VLOOKUP('Opći dio'!$C$3,'Opći dio'!$L$6:$U$136,10,FALSE))</f>
        <v/>
      </c>
      <c r="B138" s="145" t="str">
        <f>IF(C138="","",VLOOKUP('Opći dio'!$C$3,'Opći dio'!$L$6:$U$136,9,FALSE))</f>
        <v/>
      </c>
      <c r="C138" s="151"/>
      <c r="D138" s="146" t="str">
        <f t="shared" si="37"/>
        <v/>
      </c>
      <c r="E138" s="151"/>
      <c r="F138" s="146" t="str">
        <f t="shared" si="38"/>
        <v/>
      </c>
      <c r="G138" s="186"/>
      <c r="H138" s="146" t="str">
        <f t="shared" si="39"/>
        <v/>
      </c>
      <c r="I138" s="185"/>
      <c r="J138" s="185"/>
      <c r="K138" s="185"/>
      <c r="M138" s="141" t="str">
        <f t="shared" si="40"/>
        <v/>
      </c>
      <c r="N138" s="141" t="str">
        <f t="shared" si="41"/>
        <v/>
      </c>
      <c r="X138" t="s">
        <v>1366</v>
      </c>
      <c r="Y138" t="s">
        <v>1367</v>
      </c>
    </row>
    <row r="139" spans="1:25">
      <c r="A139" s="145" t="str">
        <f>IF(C139="","",VLOOKUP('Opći dio'!$C$3,'Opći dio'!$L$6:$U$136,10,FALSE))</f>
        <v/>
      </c>
      <c r="B139" s="145" t="str">
        <f>IF(C139="","",VLOOKUP('Opći dio'!$C$3,'Opći dio'!$L$6:$U$136,9,FALSE))</f>
        <v/>
      </c>
      <c r="C139" s="151"/>
      <c r="D139" s="146" t="str">
        <f t="shared" si="37"/>
        <v/>
      </c>
      <c r="E139" s="151"/>
      <c r="F139" s="146" t="str">
        <f t="shared" si="38"/>
        <v/>
      </c>
      <c r="G139" s="186"/>
      <c r="H139" s="146" t="str">
        <f t="shared" si="39"/>
        <v/>
      </c>
      <c r="I139" s="185"/>
      <c r="J139" s="185"/>
      <c r="K139" s="185"/>
      <c r="M139" s="141" t="str">
        <f t="shared" si="40"/>
        <v/>
      </c>
      <c r="N139" s="141" t="str">
        <f t="shared" si="41"/>
        <v/>
      </c>
      <c r="X139" t="s">
        <v>1368</v>
      </c>
      <c r="Y139" t="s">
        <v>1369</v>
      </c>
    </row>
    <row r="140" spans="1:25">
      <c r="A140" s="145" t="str">
        <f>IF(C140="","",VLOOKUP('Opći dio'!$C$3,'Opći dio'!$L$6:$U$136,10,FALSE))</f>
        <v/>
      </c>
      <c r="B140" s="145" t="str">
        <f>IF(C140="","",VLOOKUP('Opći dio'!$C$3,'Opći dio'!$L$6:$U$136,9,FALSE))</f>
        <v/>
      </c>
      <c r="C140" s="151"/>
      <c r="D140" s="146" t="str">
        <f t="shared" si="37"/>
        <v/>
      </c>
      <c r="E140" s="151"/>
      <c r="F140" s="146" t="str">
        <f t="shared" si="38"/>
        <v/>
      </c>
      <c r="G140" s="186"/>
      <c r="H140" s="146" t="str">
        <f t="shared" si="39"/>
        <v/>
      </c>
      <c r="I140" s="185"/>
      <c r="J140" s="185"/>
      <c r="K140" s="185"/>
      <c r="M140" s="141" t="str">
        <f t="shared" si="40"/>
        <v/>
      </c>
      <c r="N140" s="141" t="str">
        <f t="shared" si="41"/>
        <v/>
      </c>
      <c r="X140" t="s">
        <v>1370</v>
      </c>
      <c r="Y140" t="s">
        <v>1371</v>
      </c>
    </row>
    <row r="141" spans="1:25">
      <c r="A141" s="145" t="str">
        <f>IF(C141="","",VLOOKUP('Opći dio'!$C$3,'Opći dio'!$L$6:$U$136,10,FALSE))</f>
        <v/>
      </c>
      <c r="B141" s="145" t="str">
        <f>IF(C141="","",VLOOKUP('Opći dio'!$C$3,'Opći dio'!$L$6:$U$136,9,FALSE))</f>
        <v/>
      </c>
      <c r="C141" s="151"/>
      <c r="D141" s="146" t="str">
        <f t="shared" si="37"/>
        <v/>
      </c>
      <c r="E141" s="151"/>
      <c r="F141" s="146" t="str">
        <f t="shared" si="38"/>
        <v/>
      </c>
      <c r="G141" s="186"/>
      <c r="H141" s="146" t="str">
        <f t="shared" si="39"/>
        <v/>
      </c>
      <c r="I141" s="185"/>
      <c r="J141" s="185"/>
      <c r="K141" s="185"/>
      <c r="M141" s="141" t="str">
        <f t="shared" si="40"/>
        <v/>
      </c>
      <c r="N141" s="141" t="str">
        <f t="shared" si="41"/>
        <v/>
      </c>
      <c r="X141" t="s">
        <v>1372</v>
      </c>
      <c r="Y141" t="s">
        <v>1373</v>
      </c>
    </row>
    <row r="142" spans="1:25">
      <c r="A142" s="145" t="str">
        <f>IF(C142="","",VLOOKUP('Opći dio'!$C$3,'Opći dio'!$L$6:$U$136,10,FALSE))</f>
        <v/>
      </c>
      <c r="B142" s="145" t="str">
        <f>IF(C142="","",VLOOKUP('Opći dio'!$C$3,'Opći dio'!$L$6:$U$136,9,FALSE))</f>
        <v/>
      </c>
      <c r="C142" s="151"/>
      <c r="D142" s="146" t="str">
        <f t="shared" si="37"/>
        <v/>
      </c>
      <c r="E142" s="151"/>
      <c r="F142" s="146" t="str">
        <f t="shared" si="38"/>
        <v/>
      </c>
      <c r="G142" s="186"/>
      <c r="H142" s="146" t="str">
        <f t="shared" si="39"/>
        <v/>
      </c>
      <c r="I142" s="185"/>
      <c r="J142" s="185"/>
      <c r="K142" s="185"/>
      <c r="M142" s="141" t="str">
        <f t="shared" si="40"/>
        <v/>
      </c>
      <c r="N142" s="141" t="str">
        <f t="shared" si="41"/>
        <v/>
      </c>
      <c r="X142" t="s">
        <v>1376</v>
      </c>
      <c r="Y142" t="s">
        <v>1377</v>
      </c>
    </row>
    <row r="143" spans="1:25">
      <c r="A143" s="145" t="str">
        <f>IF(C143="","",VLOOKUP('Opći dio'!$C$3,'Opći dio'!$L$6:$U$136,10,FALSE))</f>
        <v/>
      </c>
      <c r="B143" s="145" t="str">
        <f>IF(C143="","",VLOOKUP('Opći dio'!$C$3,'Opći dio'!$L$6:$U$136,9,FALSE))</f>
        <v/>
      </c>
      <c r="C143" s="151"/>
      <c r="D143" s="146" t="str">
        <f t="shared" si="37"/>
        <v/>
      </c>
      <c r="E143" s="151"/>
      <c r="F143" s="146" t="str">
        <f t="shared" si="38"/>
        <v/>
      </c>
      <c r="G143" s="186"/>
      <c r="H143" s="146" t="str">
        <f t="shared" si="39"/>
        <v/>
      </c>
      <c r="I143" s="185"/>
      <c r="J143" s="185"/>
      <c r="K143" s="185"/>
      <c r="M143" s="141" t="str">
        <f t="shared" si="40"/>
        <v/>
      </c>
      <c r="N143" s="141" t="str">
        <f t="shared" si="41"/>
        <v/>
      </c>
      <c r="X143" t="s">
        <v>1374</v>
      </c>
      <c r="Y143" t="s">
        <v>1375</v>
      </c>
    </row>
    <row r="144" spans="1:25">
      <c r="A144" s="145" t="str">
        <f>IF(C144="","",VLOOKUP('Opći dio'!$C$3,'Opći dio'!$L$6:$U$136,10,FALSE))</f>
        <v/>
      </c>
      <c r="B144" s="145" t="str">
        <f>IF(C144="","",VLOOKUP('Opći dio'!$C$3,'Opći dio'!$L$6:$U$136,9,FALSE))</f>
        <v/>
      </c>
      <c r="C144" s="151"/>
      <c r="D144" s="146" t="str">
        <f t="shared" si="37"/>
        <v/>
      </c>
      <c r="E144" s="151"/>
      <c r="F144" s="146" t="str">
        <f t="shared" si="38"/>
        <v/>
      </c>
      <c r="G144" s="186"/>
      <c r="H144" s="146" t="str">
        <f t="shared" si="39"/>
        <v/>
      </c>
      <c r="I144" s="185"/>
      <c r="J144" s="185"/>
      <c r="K144" s="185"/>
      <c r="M144" s="141" t="str">
        <f t="shared" si="40"/>
        <v/>
      </c>
      <c r="N144" s="141" t="str">
        <f t="shared" si="41"/>
        <v/>
      </c>
      <c r="X144" t="s">
        <v>1380</v>
      </c>
      <c r="Y144" t="s">
        <v>1381</v>
      </c>
    </row>
    <row r="145" spans="1:25">
      <c r="A145" s="145" t="str">
        <f>IF(C145="","",VLOOKUP('Opći dio'!$C$3,'Opći dio'!$L$6:$U$136,10,FALSE))</f>
        <v/>
      </c>
      <c r="B145" s="145" t="str">
        <f>IF(C145="","",VLOOKUP('Opći dio'!$C$3,'Opći dio'!$L$6:$U$136,9,FALSE))</f>
        <v/>
      </c>
      <c r="C145" s="151"/>
      <c r="D145" s="146" t="str">
        <f t="shared" si="37"/>
        <v/>
      </c>
      <c r="E145" s="151"/>
      <c r="F145" s="146" t="str">
        <f t="shared" si="38"/>
        <v/>
      </c>
      <c r="G145" s="186"/>
      <c r="H145" s="146" t="str">
        <f t="shared" si="39"/>
        <v/>
      </c>
      <c r="I145" s="185"/>
      <c r="J145" s="185"/>
      <c r="K145" s="185"/>
      <c r="M145" s="141" t="str">
        <f t="shared" si="40"/>
        <v/>
      </c>
      <c r="N145" s="141" t="str">
        <f t="shared" si="41"/>
        <v/>
      </c>
      <c r="X145" t="s">
        <v>1382</v>
      </c>
      <c r="Y145" t="s">
        <v>1383</v>
      </c>
    </row>
    <row r="146" spans="1:25">
      <c r="A146" s="145" t="str">
        <f>IF(C146="","",VLOOKUP('Opći dio'!$C$3,'Opći dio'!$L$6:$U$136,10,FALSE))</f>
        <v/>
      </c>
      <c r="B146" s="145" t="str">
        <f>IF(C146="","",VLOOKUP('Opći dio'!$C$3,'Opći dio'!$L$6:$U$136,9,FALSE))</f>
        <v/>
      </c>
      <c r="C146" s="151"/>
      <c r="D146" s="146" t="str">
        <f t="shared" si="37"/>
        <v/>
      </c>
      <c r="E146" s="151"/>
      <c r="F146" s="146" t="str">
        <f t="shared" si="38"/>
        <v/>
      </c>
      <c r="G146" s="186"/>
      <c r="H146" s="146" t="str">
        <f t="shared" si="39"/>
        <v/>
      </c>
      <c r="I146" s="185"/>
      <c r="J146" s="185"/>
      <c r="K146" s="185"/>
      <c r="M146" s="141" t="str">
        <f t="shared" si="40"/>
        <v/>
      </c>
      <c r="N146" s="141" t="str">
        <f t="shared" si="41"/>
        <v/>
      </c>
      <c r="X146" t="s">
        <v>1384</v>
      </c>
      <c r="Y146" t="s">
        <v>1385</v>
      </c>
    </row>
    <row r="147" spans="1:25">
      <c r="A147" s="145" t="str">
        <f>IF(C147="","",VLOOKUP('Opći dio'!$C$3,'Opći dio'!$L$6:$U$136,10,FALSE))</f>
        <v/>
      </c>
      <c r="B147" s="145" t="str">
        <f>IF(C147="","",VLOOKUP('Opći dio'!$C$3,'Opći dio'!$L$6:$U$136,9,FALSE))</f>
        <v/>
      </c>
      <c r="C147" s="151"/>
      <c r="D147" s="146" t="str">
        <f t="shared" si="37"/>
        <v/>
      </c>
      <c r="E147" s="151"/>
      <c r="F147" s="146" t="str">
        <f t="shared" si="38"/>
        <v/>
      </c>
      <c r="G147" s="186"/>
      <c r="H147" s="146" t="str">
        <f t="shared" si="39"/>
        <v/>
      </c>
      <c r="I147" s="185"/>
      <c r="J147" s="185"/>
      <c r="K147" s="185"/>
      <c r="M147" s="141" t="str">
        <f t="shared" si="40"/>
        <v/>
      </c>
      <c r="N147" s="141" t="str">
        <f t="shared" si="41"/>
        <v/>
      </c>
      <c r="X147" t="s">
        <v>1386</v>
      </c>
      <c r="Y147" t="s">
        <v>1387</v>
      </c>
    </row>
    <row r="148" spans="1:25">
      <c r="A148" s="145" t="str">
        <f>IF(C148="","",VLOOKUP('Opći dio'!$C$3,'Opći dio'!$L$6:$U$136,10,FALSE))</f>
        <v/>
      </c>
      <c r="B148" s="145" t="str">
        <f>IF(C148="","",VLOOKUP('Opći dio'!$C$3,'Opći dio'!$L$6:$U$136,9,FALSE))</f>
        <v/>
      </c>
      <c r="C148" s="151"/>
      <c r="D148" s="146" t="str">
        <f t="shared" si="37"/>
        <v/>
      </c>
      <c r="E148" s="151"/>
      <c r="F148" s="146" t="str">
        <f t="shared" si="38"/>
        <v/>
      </c>
      <c r="G148" s="186"/>
      <c r="H148" s="146" t="str">
        <f t="shared" si="39"/>
        <v/>
      </c>
      <c r="I148" s="185"/>
      <c r="J148" s="185"/>
      <c r="K148" s="185"/>
      <c r="M148" s="141" t="str">
        <f t="shared" si="40"/>
        <v/>
      </c>
      <c r="N148" s="141" t="str">
        <f t="shared" si="41"/>
        <v/>
      </c>
      <c r="X148" t="s">
        <v>1388</v>
      </c>
      <c r="Y148" t="s">
        <v>1389</v>
      </c>
    </row>
    <row r="149" spans="1:25">
      <c r="A149" s="145" t="str">
        <f>IF(C149="","",VLOOKUP('Opći dio'!$C$3,'Opći dio'!$L$6:$U$136,10,FALSE))</f>
        <v/>
      </c>
      <c r="B149" s="145" t="str">
        <f>IF(C149="","",VLOOKUP('Opći dio'!$C$3,'Opći dio'!$L$6:$U$136,9,FALSE))</f>
        <v/>
      </c>
      <c r="C149" s="151"/>
      <c r="D149" s="146" t="str">
        <f t="shared" si="37"/>
        <v/>
      </c>
      <c r="E149" s="151"/>
      <c r="F149" s="146" t="str">
        <f t="shared" si="38"/>
        <v/>
      </c>
      <c r="G149" s="186"/>
      <c r="H149" s="146" t="str">
        <f t="shared" si="39"/>
        <v/>
      </c>
      <c r="I149" s="185"/>
      <c r="J149" s="185"/>
      <c r="K149" s="185"/>
      <c r="M149" s="141" t="str">
        <f t="shared" si="40"/>
        <v/>
      </c>
      <c r="N149" s="141" t="str">
        <f t="shared" si="41"/>
        <v/>
      </c>
      <c r="X149" t="s">
        <v>1390</v>
      </c>
      <c r="Y149" t="s">
        <v>1391</v>
      </c>
    </row>
    <row r="150" spans="1:25">
      <c r="A150" s="145" t="str">
        <f>IF(C150="","",VLOOKUP('Opći dio'!$C$3,'Opći dio'!$L$6:$U$136,10,FALSE))</f>
        <v/>
      </c>
      <c r="B150" s="145" t="str">
        <f>IF(C150="","",VLOOKUP('Opći dio'!$C$3,'Opći dio'!$L$6:$U$136,9,FALSE))</f>
        <v/>
      </c>
      <c r="C150" s="151"/>
      <c r="D150" s="146" t="str">
        <f t="shared" si="37"/>
        <v/>
      </c>
      <c r="E150" s="151"/>
      <c r="F150" s="146" t="str">
        <f t="shared" si="38"/>
        <v/>
      </c>
      <c r="G150" s="186"/>
      <c r="H150" s="146" t="str">
        <f t="shared" si="39"/>
        <v/>
      </c>
      <c r="I150" s="185"/>
      <c r="J150" s="185"/>
      <c r="K150" s="185"/>
      <c r="M150" s="141" t="str">
        <f t="shared" si="40"/>
        <v/>
      </c>
      <c r="N150" s="141" t="str">
        <f t="shared" si="41"/>
        <v/>
      </c>
      <c r="X150" t="s">
        <v>1392</v>
      </c>
      <c r="Y150" t="s">
        <v>1393</v>
      </c>
    </row>
    <row r="151" spans="1:25">
      <c r="A151" s="145" t="str">
        <f>IF(C151="","",VLOOKUP('Opći dio'!$C$3,'Opći dio'!$L$6:$U$136,10,FALSE))</f>
        <v/>
      </c>
      <c r="B151" s="145" t="str">
        <f>IF(C151="","",VLOOKUP('Opći dio'!$C$3,'Opći dio'!$L$6:$U$136,9,FALSE))</f>
        <v/>
      </c>
      <c r="C151" s="151"/>
      <c r="D151" s="146" t="str">
        <f t="shared" si="37"/>
        <v/>
      </c>
      <c r="E151" s="151"/>
      <c r="F151" s="146" t="str">
        <f t="shared" si="38"/>
        <v/>
      </c>
      <c r="G151" s="186"/>
      <c r="H151" s="146" t="str">
        <f t="shared" si="39"/>
        <v/>
      </c>
      <c r="I151" s="185"/>
      <c r="J151" s="185"/>
      <c r="K151" s="185"/>
      <c r="M151" s="141" t="str">
        <f t="shared" si="40"/>
        <v/>
      </c>
      <c r="N151" s="141" t="str">
        <f t="shared" si="41"/>
        <v/>
      </c>
      <c r="X151" t="s">
        <v>1394</v>
      </c>
      <c r="Y151" t="s">
        <v>1395</v>
      </c>
    </row>
    <row r="152" spans="1:25">
      <c r="A152" s="145" t="str">
        <f>IF(C152="","",VLOOKUP('Opći dio'!$C$3,'Opći dio'!$L$6:$U$136,10,FALSE))</f>
        <v/>
      </c>
      <c r="B152" s="145" t="str">
        <f>IF(C152="","",VLOOKUP('Opći dio'!$C$3,'Opći dio'!$L$6:$U$136,9,FALSE))</f>
        <v/>
      </c>
      <c r="C152" s="151"/>
      <c r="D152" s="146" t="str">
        <f t="shared" si="37"/>
        <v/>
      </c>
      <c r="E152" s="151"/>
      <c r="F152" s="146" t="str">
        <f t="shared" si="38"/>
        <v/>
      </c>
      <c r="G152" s="186"/>
      <c r="H152" s="146" t="str">
        <f t="shared" si="39"/>
        <v/>
      </c>
      <c r="I152" s="185"/>
      <c r="J152" s="185"/>
      <c r="K152" s="185"/>
      <c r="M152" s="141" t="str">
        <f t="shared" si="40"/>
        <v/>
      </c>
      <c r="N152" s="141" t="str">
        <f t="shared" si="41"/>
        <v/>
      </c>
      <c r="X152" t="s">
        <v>1396</v>
      </c>
      <c r="Y152" t="s">
        <v>1397</v>
      </c>
    </row>
    <row r="153" spans="1:25">
      <c r="A153" s="145" t="str">
        <f>IF(C153="","",VLOOKUP('Opći dio'!$C$3,'Opći dio'!$L$6:$U$136,10,FALSE))</f>
        <v/>
      </c>
      <c r="B153" s="145" t="str">
        <f>IF(C153="","",VLOOKUP('Opći dio'!$C$3,'Opći dio'!$L$6:$U$136,9,FALSE))</f>
        <v/>
      </c>
      <c r="C153" s="151"/>
      <c r="D153" s="146" t="str">
        <f t="shared" si="37"/>
        <v/>
      </c>
      <c r="E153" s="151"/>
      <c r="F153" s="146" t="str">
        <f t="shared" si="38"/>
        <v/>
      </c>
      <c r="G153" s="186"/>
      <c r="H153" s="146" t="str">
        <f t="shared" si="39"/>
        <v/>
      </c>
      <c r="I153" s="185"/>
      <c r="J153" s="185"/>
      <c r="K153" s="185"/>
      <c r="M153" s="141" t="str">
        <f t="shared" si="40"/>
        <v/>
      </c>
      <c r="N153" s="141" t="str">
        <f t="shared" si="41"/>
        <v/>
      </c>
      <c r="X153" t="s">
        <v>1398</v>
      </c>
      <c r="Y153" t="s">
        <v>1399</v>
      </c>
    </row>
    <row r="154" spans="1:25">
      <c r="A154" s="145" t="str">
        <f>IF(C154="","",VLOOKUP('Opći dio'!$C$3,'Opći dio'!$L$6:$U$136,10,FALSE))</f>
        <v/>
      </c>
      <c r="B154" s="145" t="str">
        <f>IF(C154="","",VLOOKUP('Opći dio'!$C$3,'Opći dio'!$L$6:$U$136,9,FALSE))</f>
        <v/>
      </c>
      <c r="C154" s="151"/>
      <c r="D154" s="146" t="str">
        <f t="shared" si="37"/>
        <v/>
      </c>
      <c r="E154" s="151"/>
      <c r="F154" s="146" t="str">
        <f t="shared" si="38"/>
        <v/>
      </c>
      <c r="G154" s="186"/>
      <c r="H154" s="146" t="str">
        <f t="shared" si="39"/>
        <v/>
      </c>
      <c r="I154" s="185"/>
      <c r="J154" s="185"/>
      <c r="K154" s="185"/>
      <c r="M154" s="141" t="str">
        <f t="shared" si="40"/>
        <v/>
      </c>
      <c r="N154" s="141" t="str">
        <f t="shared" si="41"/>
        <v/>
      </c>
      <c r="X154" t="s">
        <v>1400</v>
      </c>
      <c r="Y154" t="s">
        <v>2083</v>
      </c>
    </row>
    <row r="155" spans="1:25">
      <c r="A155" s="145" t="str">
        <f>IF(C155="","",VLOOKUP('Opći dio'!$C$3,'Opći dio'!$L$6:$U$136,10,FALSE))</f>
        <v/>
      </c>
      <c r="B155" s="145" t="str">
        <f>IF(C155="","",VLOOKUP('Opći dio'!$C$3,'Opći dio'!$L$6:$U$136,9,FALSE))</f>
        <v/>
      </c>
      <c r="C155" s="151"/>
      <c r="D155" s="146" t="str">
        <f t="shared" si="37"/>
        <v/>
      </c>
      <c r="E155" s="151"/>
      <c r="F155" s="146" t="str">
        <f t="shared" si="38"/>
        <v/>
      </c>
      <c r="G155" s="186"/>
      <c r="H155" s="146" t="str">
        <f t="shared" si="39"/>
        <v/>
      </c>
      <c r="I155" s="185"/>
      <c r="J155" s="185"/>
      <c r="K155" s="185"/>
      <c r="M155" s="141" t="str">
        <f t="shared" si="40"/>
        <v/>
      </c>
      <c r="N155" s="141" t="str">
        <f t="shared" si="41"/>
        <v/>
      </c>
      <c r="X155" t="s">
        <v>1401</v>
      </c>
      <c r="Y155" t="s">
        <v>2084</v>
      </c>
    </row>
    <row r="156" spans="1:25">
      <c r="A156" s="145" t="str">
        <f>IF(C156="","",VLOOKUP('Opći dio'!$C$3,'Opći dio'!$L$6:$U$136,10,FALSE))</f>
        <v/>
      </c>
      <c r="B156" s="145" t="str">
        <f>IF(C156="","",VLOOKUP('Opći dio'!$C$3,'Opći dio'!$L$6:$U$136,9,FALSE))</f>
        <v/>
      </c>
      <c r="C156" s="151"/>
      <c r="D156" s="146" t="str">
        <f t="shared" si="37"/>
        <v/>
      </c>
      <c r="E156" s="151"/>
      <c r="F156" s="146" t="str">
        <f t="shared" si="38"/>
        <v/>
      </c>
      <c r="G156" s="186"/>
      <c r="H156" s="146" t="str">
        <f t="shared" si="39"/>
        <v/>
      </c>
      <c r="I156" s="185"/>
      <c r="J156" s="185"/>
      <c r="K156" s="185"/>
      <c r="M156" s="141" t="str">
        <f t="shared" si="40"/>
        <v/>
      </c>
      <c r="N156" s="141" t="str">
        <f t="shared" si="41"/>
        <v/>
      </c>
      <c r="X156" t="s">
        <v>1402</v>
      </c>
      <c r="Y156" t="s">
        <v>2085</v>
      </c>
    </row>
    <row r="157" spans="1:25">
      <c r="A157" s="145" t="str">
        <f>IF(C157="","",VLOOKUP('Opći dio'!$C$3,'Opći dio'!$L$6:$U$136,10,FALSE))</f>
        <v/>
      </c>
      <c r="B157" s="145" t="str">
        <f>IF(C157="","",VLOOKUP('Opći dio'!$C$3,'Opći dio'!$L$6:$U$136,9,FALSE))</f>
        <v/>
      </c>
      <c r="C157" s="151"/>
      <c r="D157" s="146" t="str">
        <f t="shared" si="37"/>
        <v/>
      </c>
      <c r="E157" s="151"/>
      <c r="F157" s="146" t="str">
        <f t="shared" si="38"/>
        <v/>
      </c>
      <c r="G157" s="186"/>
      <c r="H157" s="146" t="str">
        <f t="shared" si="39"/>
        <v/>
      </c>
      <c r="I157" s="185"/>
      <c r="J157" s="185"/>
      <c r="K157" s="185"/>
      <c r="M157" s="141" t="str">
        <f t="shared" si="40"/>
        <v/>
      </c>
      <c r="N157" s="141" t="str">
        <f t="shared" si="41"/>
        <v/>
      </c>
      <c r="X157" t="s">
        <v>1403</v>
      </c>
      <c r="Y157" t="s">
        <v>1404</v>
      </c>
    </row>
    <row r="158" spans="1:25">
      <c r="A158" s="145" t="str">
        <f>IF(C158="","",VLOOKUP('Opći dio'!$C$3,'Opći dio'!$L$6:$U$136,10,FALSE))</f>
        <v/>
      </c>
      <c r="B158" s="145" t="str">
        <f>IF(C158="","",VLOOKUP('Opći dio'!$C$3,'Opći dio'!$L$6:$U$136,9,FALSE))</f>
        <v/>
      </c>
      <c r="C158" s="151"/>
      <c r="D158" s="146" t="str">
        <f t="shared" si="37"/>
        <v/>
      </c>
      <c r="E158" s="151"/>
      <c r="F158" s="146" t="str">
        <f t="shared" si="38"/>
        <v/>
      </c>
      <c r="G158" s="186"/>
      <c r="H158" s="146" t="str">
        <f t="shared" si="39"/>
        <v/>
      </c>
      <c r="I158" s="185"/>
      <c r="J158" s="185"/>
      <c r="K158" s="185"/>
      <c r="M158" s="141" t="str">
        <f t="shared" si="40"/>
        <v/>
      </c>
      <c r="N158" s="141" t="str">
        <f t="shared" si="41"/>
        <v/>
      </c>
      <c r="X158" t="s">
        <v>1405</v>
      </c>
      <c r="Y158" t="s">
        <v>1406</v>
      </c>
    </row>
    <row r="159" spans="1:25">
      <c r="A159" s="145" t="str">
        <f>IF(C159="","",VLOOKUP('Opći dio'!$C$3,'Opći dio'!$L$6:$U$136,10,FALSE))</f>
        <v/>
      </c>
      <c r="B159" s="145" t="str">
        <f>IF(C159="","",VLOOKUP('Opći dio'!$C$3,'Opći dio'!$L$6:$U$136,9,FALSE))</f>
        <v/>
      </c>
      <c r="C159" s="151"/>
      <c r="D159" s="146" t="str">
        <f t="shared" si="37"/>
        <v/>
      </c>
      <c r="E159" s="151"/>
      <c r="F159" s="146" t="str">
        <f t="shared" si="38"/>
        <v/>
      </c>
      <c r="G159" s="186"/>
      <c r="H159" s="146" t="str">
        <f t="shared" si="39"/>
        <v/>
      </c>
      <c r="I159" s="185"/>
      <c r="J159" s="185"/>
      <c r="K159" s="185"/>
      <c r="M159" s="141" t="str">
        <f t="shared" si="40"/>
        <v/>
      </c>
      <c r="N159" s="141" t="str">
        <f t="shared" si="41"/>
        <v/>
      </c>
      <c r="X159" s="141" t="s">
        <v>1407</v>
      </c>
      <c r="Y159" s="141" t="s">
        <v>2086</v>
      </c>
    </row>
    <row r="160" spans="1:25">
      <c r="A160" s="145" t="str">
        <f>IF(C160="","",VLOOKUP('Opći dio'!$C$3,'Opći dio'!$L$6:$U$136,10,FALSE))</f>
        <v/>
      </c>
      <c r="B160" s="145" t="str">
        <f>IF(C160="","",VLOOKUP('Opći dio'!$C$3,'Opći dio'!$L$6:$U$136,9,FALSE))</f>
        <v/>
      </c>
      <c r="C160" s="151"/>
      <c r="D160" s="146" t="str">
        <f t="shared" si="37"/>
        <v/>
      </c>
      <c r="E160" s="151"/>
      <c r="F160" s="146" t="str">
        <f t="shared" si="38"/>
        <v/>
      </c>
      <c r="G160" s="186"/>
      <c r="H160" s="146" t="str">
        <f t="shared" si="39"/>
        <v/>
      </c>
      <c r="I160" s="185"/>
      <c r="J160" s="185"/>
      <c r="K160" s="185"/>
      <c r="M160" s="141" t="str">
        <f t="shared" si="40"/>
        <v/>
      </c>
      <c r="N160" s="141" t="str">
        <f t="shared" si="41"/>
        <v/>
      </c>
      <c r="X160" s="141" t="s">
        <v>1408</v>
      </c>
      <c r="Y160" s="141" t="s">
        <v>2087</v>
      </c>
    </row>
    <row r="161" spans="1:25">
      <c r="A161" s="145" t="str">
        <f>IF(C161="","",VLOOKUP('Opći dio'!$C$3,'Opći dio'!$L$6:$U$136,10,FALSE))</f>
        <v/>
      </c>
      <c r="B161" s="145" t="str">
        <f>IF(C161="","",VLOOKUP('Opći dio'!$C$3,'Opći dio'!$L$6:$U$136,9,FALSE))</f>
        <v/>
      </c>
      <c r="C161" s="151"/>
      <c r="D161" s="146" t="str">
        <f t="shared" si="37"/>
        <v/>
      </c>
      <c r="E161" s="151"/>
      <c r="F161" s="146" t="str">
        <f t="shared" si="38"/>
        <v/>
      </c>
      <c r="G161" s="186"/>
      <c r="H161" s="146" t="str">
        <f t="shared" si="39"/>
        <v/>
      </c>
      <c r="I161" s="185"/>
      <c r="J161" s="185"/>
      <c r="K161" s="185"/>
      <c r="M161" s="141" t="str">
        <f t="shared" si="40"/>
        <v/>
      </c>
      <c r="N161" s="141" t="str">
        <f t="shared" si="41"/>
        <v/>
      </c>
      <c r="X161" s="141" t="s">
        <v>1409</v>
      </c>
      <c r="Y161" s="141" t="s">
        <v>1410</v>
      </c>
    </row>
    <row r="162" spans="1:25">
      <c r="A162" s="145" t="str">
        <f>IF(C162="","",VLOOKUP('Opći dio'!$C$3,'Opći dio'!$L$6:$U$136,10,FALSE))</f>
        <v/>
      </c>
      <c r="B162" s="145" t="str">
        <f>IF(C162="","",VLOOKUP('Opći dio'!$C$3,'Opći dio'!$L$6:$U$136,9,FALSE))</f>
        <v/>
      </c>
      <c r="C162" s="151"/>
      <c r="D162" s="146" t="str">
        <f t="shared" si="37"/>
        <v/>
      </c>
      <c r="E162" s="151"/>
      <c r="F162" s="146" t="str">
        <f t="shared" si="38"/>
        <v/>
      </c>
      <c r="G162" s="186"/>
      <c r="H162" s="146" t="str">
        <f t="shared" si="39"/>
        <v/>
      </c>
      <c r="I162" s="185"/>
      <c r="J162" s="185"/>
      <c r="K162" s="185"/>
      <c r="M162" s="141" t="str">
        <f t="shared" si="40"/>
        <v/>
      </c>
      <c r="N162" s="141" t="str">
        <f t="shared" si="41"/>
        <v/>
      </c>
      <c r="X162" s="141" t="s">
        <v>1411</v>
      </c>
      <c r="Y162" s="141" t="s">
        <v>1412</v>
      </c>
    </row>
    <row r="163" spans="1:25">
      <c r="A163" s="145" t="str">
        <f>IF(C163="","",VLOOKUP('Opći dio'!$C$3,'Opći dio'!$L$6:$U$136,10,FALSE))</f>
        <v/>
      </c>
      <c r="B163" s="145" t="str">
        <f>IF(C163="","",VLOOKUP('Opći dio'!$C$3,'Opći dio'!$L$6:$U$136,9,FALSE))</f>
        <v/>
      </c>
      <c r="C163" s="151"/>
      <c r="D163" s="146" t="str">
        <f t="shared" si="37"/>
        <v/>
      </c>
      <c r="E163" s="151"/>
      <c r="F163" s="146" t="str">
        <f t="shared" si="38"/>
        <v/>
      </c>
      <c r="G163" s="186"/>
      <c r="H163" s="146" t="str">
        <f t="shared" si="39"/>
        <v/>
      </c>
      <c r="I163" s="185"/>
      <c r="J163" s="185"/>
      <c r="K163" s="185"/>
      <c r="M163" s="141" t="str">
        <f t="shared" si="40"/>
        <v/>
      </c>
      <c r="N163" s="141" t="str">
        <f t="shared" si="41"/>
        <v/>
      </c>
      <c r="X163" s="141" t="s">
        <v>1415</v>
      </c>
      <c r="Y163" s="141" t="s">
        <v>1416</v>
      </c>
    </row>
    <row r="164" spans="1:25">
      <c r="A164" s="145" t="str">
        <f>IF(C164="","",VLOOKUP('Opći dio'!$C$3,'Opći dio'!$L$6:$U$136,10,FALSE))</f>
        <v/>
      </c>
      <c r="B164" s="145" t="str">
        <f>IF(C164="","",VLOOKUP('Opći dio'!$C$3,'Opći dio'!$L$6:$U$136,9,FALSE))</f>
        <v/>
      </c>
      <c r="C164" s="151"/>
      <c r="D164" s="146" t="str">
        <f t="shared" si="37"/>
        <v/>
      </c>
      <c r="E164" s="151"/>
      <c r="F164" s="146" t="str">
        <f t="shared" si="38"/>
        <v/>
      </c>
      <c r="G164" s="186"/>
      <c r="H164" s="146" t="str">
        <f t="shared" si="39"/>
        <v/>
      </c>
      <c r="I164" s="185"/>
      <c r="J164" s="185"/>
      <c r="K164" s="185"/>
      <c r="M164" s="141" t="str">
        <f t="shared" si="40"/>
        <v/>
      </c>
      <c r="N164" s="141" t="str">
        <f t="shared" si="41"/>
        <v/>
      </c>
      <c r="X164" s="141" t="s">
        <v>1417</v>
      </c>
      <c r="Y164" s="141" t="s">
        <v>1418</v>
      </c>
    </row>
    <row r="165" spans="1:25">
      <c r="A165" s="145" t="str">
        <f>IF(C165="","",VLOOKUP('Opći dio'!$C$3,'Opći dio'!$L$6:$U$136,10,FALSE))</f>
        <v/>
      </c>
      <c r="B165" s="145" t="str">
        <f>IF(C165="","",VLOOKUP('Opći dio'!$C$3,'Opći dio'!$L$6:$U$136,9,FALSE))</f>
        <v/>
      </c>
      <c r="C165" s="151"/>
      <c r="D165" s="146" t="str">
        <f t="shared" si="37"/>
        <v/>
      </c>
      <c r="E165" s="151"/>
      <c r="F165" s="146" t="str">
        <f t="shared" si="38"/>
        <v/>
      </c>
      <c r="G165" s="186"/>
      <c r="H165" s="146" t="str">
        <f t="shared" si="39"/>
        <v/>
      </c>
      <c r="I165" s="185"/>
      <c r="J165" s="185"/>
      <c r="K165" s="185"/>
      <c r="M165" s="141" t="str">
        <f t="shared" si="40"/>
        <v/>
      </c>
      <c r="N165" s="141" t="str">
        <f t="shared" si="41"/>
        <v/>
      </c>
      <c r="X165" s="141" t="s">
        <v>1419</v>
      </c>
      <c r="Y165" s="141" t="s">
        <v>1420</v>
      </c>
    </row>
    <row r="166" spans="1:25">
      <c r="A166" s="145" t="str">
        <f>IF(C166="","",VLOOKUP('Opći dio'!$C$3,'Opći dio'!$L$6:$U$136,10,FALSE))</f>
        <v/>
      </c>
      <c r="B166" s="145" t="str">
        <f>IF(C166="","",VLOOKUP('Opći dio'!$C$3,'Opći dio'!$L$6:$U$136,9,FALSE))</f>
        <v/>
      </c>
      <c r="C166" s="151"/>
      <c r="D166" s="146" t="str">
        <f t="shared" si="37"/>
        <v/>
      </c>
      <c r="E166" s="151"/>
      <c r="F166" s="146" t="str">
        <f t="shared" si="38"/>
        <v/>
      </c>
      <c r="G166" s="186"/>
      <c r="H166" s="146" t="str">
        <f t="shared" si="39"/>
        <v/>
      </c>
      <c r="I166" s="185"/>
      <c r="J166" s="185"/>
      <c r="K166" s="185"/>
      <c r="M166" s="141" t="str">
        <f t="shared" si="40"/>
        <v/>
      </c>
      <c r="N166" s="141" t="str">
        <f t="shared" si="41"/>
        <v/>
      </c>
      <c r="X166" s="141" t="s">
        <v>1421</v>
      </c>
      <c r="Y166" s="141" t="s">
        <v>1422</v>
      </c>
    </row>
    <row r="167" spans="1:25">
      <c r="A167" s="145" t="str">
        <f>IF(C167="","",VLOOKUP('Opći dio'!$C$3,'Opći dio'!$L$6:$U$136,10,FALSE))</f>
        <v/>
      </c>
      <c r="B167" s="145" t="str">
        <f>IF(C167="","",VLOOKUP('Opći dio'!$C$3,'Opći dio'!$L$6:$U$136,9,FALSE))</f>
        <v/>
      </c>
      <c r="C167" s="151"/>
      <c r="D167" s="146" t="str">
        <f t="shared" si="37"/>
        <v/>
      </c>
      <c r="E167" s="151"/>
      <c r="F167" s="146" t="str">
        <f t="shared" si="38"/>
        <v/>
      </c>
      <c r="G167" s="186"/>
      <c r="H167" s="146" t="str">
        <f t="shared" si="39"/>
        <v/>
      </c>
      <c r="I167" s="185"/>
      <c r="J167" s="185"/>
      <c r="K167" s="185"/>
      <c r="M167" s="141" t="str">
        <f t="shared" si="40"/>
        <v/>
      </c>
      <c r="N167" s="141" t="str">
        <f t="shared" si="41"/>
        <v/>
      </c>
      <c r="X167" s="141" t="s">
        <v>1423</v>
      </c>
      <c r="Y167" s="141" t="s">
        <v>1424</v>
      </c>
    </row>
    <row r="168" spans="1:25">
      <c r="A168" s="145" t="str">
        <f>IF(C168="","",VLOOKUP('Opći dio'!$C$3,'Opći dio'!$L$6:$U$136,10,FALSE))</f>
        <v/>
      </c>
      <c r="B168" s="145" t="str">
        <f>IF(C168="","",VLOOKUP('Opći dio'!$C$3,'Opći dio'!$L$6:$U$136,9,FALSE))</f>
        <v/>
      </c>
      <c r="C168" s="151"/>
      <c r="D168" s="146" t="str">
        <f t="shared" si="37"/>
        <v/>
      </c>
      <c r="E168" s="151"/>
      <c r="F168" s="146" t="str">
        <f t="shared" si="38"/>
        <v/>
      </c>
      <c r="G168" s="186"/>
      <c r="H168" s="146" t="str">
        <f t="shared" si="39"/>
        <v/>
      </c>
      <c r="I168" s="185"/>
      <c r="J168" s="185"/>
      <c r="K168" s="185"/>
      <c r="M168" s="141" t="str">
        <f t="shared" si="40"/>
        <v/>
      </c>
      <c r="N168" s="141" t="str">
        <f t="shared" si="41"/>
        <v/>
      </c>
      <c r="X168" s="141" t="s">
        <v>1425</v>
      </c>
      <c r="Y168" s="141" t="s">
        <v>1426</v>
      </c>
    </row>
    <row r="169" spans="1:25">
      <c r="A169" s="145" t="str">
        <f>IF(C169="","",VLOOKUP('Opći dio'!$C$3,'Opći dio'!$L$6:$U$136,10,FALSE))</f>
        <v/>
      </c>
      <c r="B169" s="145" t="str">
        <f>IF(C169="","",VLOOKUP('Opći dio'!$C$3,'Opći dio'!$L$6:$U$136,9,FALSE))</f>
        <v/>
      </c>
      <c r="C169" s="151"/>
      <c r="D169" s="146" t="str">
        <f t="shared" si="37"/>
        <v/>
      </c>
      <c r="E169" s="151"/>
      <c r="F169" s="146" t="str">
        <f t="shared" si="38"/>
        <v/>
      </c>
      <c r="G169" s="186"/>
      <c r="H169" s="146" t="str">
        <f t="shared" si="39"/>
        <v/>
      </c>
      <c r="I169" s="185"/>
      <c r="J169" s="185"/>
      <c r="K169" s="185"/>
      <c r="M169" s="141" t="str">
        <f t="shared" si="40"/>
        <v/>
      </c>
      <c r="N169" s="141" t="str">
        <f t="shared" si="41"/>
        <v/>
      </c>
      <c r="X169" s="141" t="s">
        <v>1427</v>
      </c>
      <c r="Y169" s="141" t="s">
        <v>1428</v>
      </c>
    </row>
    <row r="170" spans="1:25">
      <c r="A170" s="145" t="str">
        <f>IF(C170="","",VLOOKUP('Opći dio'!$C$3,'Opći dio'!$L$6:$U$136,10,FALSE))</f>
        <v/>
      </c>
      <c r="B170" s="145" t="str">
        <f>IF(C170="","",VLOOKUP('Opći dio'!$C$3,'Opći dio'!$L$6:$U$136,9,FALSE))</f>
        <v/>
      </c>
      <c r="C170" s="151"/>
      <c r="D170" s="146" t="str">
        <f t="shared" si="37"/>
        <v/>
      </c>
      <c r="E170" s="151"/>
      <c r="F170" s="146" t="str">
        <f t="shared" si="38"/>
        <v/>
      </c>
      <c r="G170" s="186"/>
      <c r="H170" s="146" t="str">
        <f t="shared" si="39"/>
        <v/>
      </c>
      <c r="I170" s="185"/>
      <c r="J170" s="185"/>
      <c r="K170" s="185"/>
      <c r="M170" s="141" t="str">
        <f t="shared" si="40"/>
        <v/>
      </c>
      <c r="N170" s="141" t="str">
        <f t="shared" si="41"/>
        <v/>
      </c>
      <c r="X170" s="141" t="s">
        <v>1429</v>
      </c>
      <c r="Y170" s="141" t="s">
        <v>1430</v>
      </c>
    </row>
    <row r="171" spans="1:25">
      <c r="A171" s="145" t="str">
        <f>IF(C171="","",VLOOKUP('Opći dio'!$C$3,'Opći dio'!$L$6:$U$136,10,FALSE))</f>
        <v/>
      </c>
      <c r="B171" s="145" t="str">
        <f>IF(C171="","",VLOOKUP('Opći dio'!$C$3,'Opći dio'!$L$6:$U$136,9,FALSE))</f>
        <v/>
      </c>
      <c r="C171" s="151"/>
      <c r="D171" s="146" t="str">
        <f t="shared" si="37"/>
        <v/>
      </c>
      <c r="E171" s="151"/>
      <c r="F171" s="146" t="str">
        <f t="shared" si="38"/>
        <v/>
      </c>
      <c r="G171" s="186"/>
      <c r="H171" s="146" t="str">
        <f t="shared" si="39"/>
        <v/>
      </c>
      <c r="I171" s="185"/>
      <c r="J171" s="185"/>
      <c r="K171" s="185"/>
      <c r="M171" s="141" t="str">
        <f t="shared" si="40"/>
        <v/>
      </c>
      <c r="N171" s="141" t="str">
        <f t="shared" si="41"/>
        <v/>
      </c>
      <c r="X171" s="141" t="s">
        <v>1431</v>
      </c>
      <c r="Y171" s="141" t="s">
        <v>1432</v>
      </c>
    </row>
    <row r="172" spans="1:25">
      <c r="A172" s="145" t="str">
        <f>IF(C172="","",VLOOKUP('Opći dio'!$C$3,'Opći dio'!$L$6:$U$136,10,FALSE))</f>
        <v/>
      </c>
      <c r="B172" s="145" t="str">
        <f>IF(C172="","",VLOOKUP('Opći dio'!$C$3,'Opći dio'!$L$6:$U$136,9,FALSE))</f>
        <v/>
      </c>
      <c r="C172" s="151"/>
      <c r="D172" s="146" t="str">
        <f t="shared" si="37"/>
        <v/>
      </c>
      <c r="E172" s="151"/>
      <c r="F172" s="146" t="str">
        <f t="shared" si="38"/>
        <v/>
      </c>
      <c r="G172" s="186"/>
      <c r="H172" s="146" t="str">
        <f t="shared" si="39"/>
        <v/>
      </c>
      <c r="I172" s="185"/>
      <c r="J172" s="185"/>
      <c r="K172" s="185"/>
      <c r="M172" s="141" t="str">
        <f t="shared" si="40"/>
        <v/>
      </c>
      <c r="N172" s="141" t="str">
        <f t="shared" si="41"/>
        <v/>
      </c>
      <c r="X172" s="141" t="s">
        <v>1433</v>
      </c>
      <c r="Y172" s="141" t="s">
        <v>1434</v>
      </c>
    </row>
    <row r="173" spans="1:25">
      <c r="A173" s="145" t="str">
        <f>IF(C173="","",VLOOKUP('Opći dio'!$C$3,'Opći dio'!$L$6:$U$136,10,FALSE))</f>
        <v/>
      </c>
      <c r="B173" s="145" t="str">
        <f>IF(C173="","",VLOOKUP('Opći dio'!$C$3,'Opći dio'!$L$6:$U$136,9,FALSE))</f>
        <v/>
      </c>
      <c r="C173" s="151"/>
      <c r="D173" s="146" t="str">
        <f t="shared" si="37"/>
        <v/>
      </c>
      <c r="E173" s="151"/>
      <c r="F173" s="146" t="str">
        <f t="shared" si="38"/>
        <v/>
      </c>
      <c r="G173" s="186"/>
      <c r="H173" s="146" t="str">
        <f t="shared" si="39"/>
        <v/>
      </c>
      <c r="I173" s="185"/>
      <c r="J173" s="185"/>
      <c r="K173" s="185"/>
      <c r="M173" s="141" t="str">
        <f t="shared" si="40"/>
        <v/>
      </c>
      <c r="N173" s="141" t="str">
        <f t="shared" si="41"/>
        <v/>
      </c>
      <c r="X173" s="141" t="s">
        <v>1435</v>
      </c>
      <c r="Y173" s="141" t="s">
        <v>1436</v>
      </c>
    </row>
    <row r="174" spans="1:25">
      <c r="A174" s="145" t="str">
        <f>IF(C174="","",VLOOKUP('Opći dio'!$C$3,'Opći dio'!$L$6:$U$136,10,FALSE))</f>
        <v/>
      </c>
      <c r="B174" s="145" t="str">
        <f>IF(C174="","",VLOOKUP('Opći dio'!$C$3,'Opći dio'!$L$6:$U$136,9,FALSE))</f>
        <v/>
      </c>
      <c r="C174" s="151"/>
      <c r="D174" s="146" t="str">
        <f t="shared" si="37"/>
        <v/>
      </c>
      <c r="E174" s="151"/>
      <c r="F174" s="146" t="str">
        <f t="shared" si="38"/>
        <v/>
      </c>
      <c r="G174" s="186"/>
      <c r="H174" s="146" t="str">
        <f t="shared" si="39"/>
        <v/>
      </c>
      <c r="I174" s="185"/>
      <c r="J174" s="185"/>
      <c r="K174" s="185"/>
      <c r="M174" s="141" t="str">
        <f t="shared" si="40"/>
        <v/>
      </c>
      <c r="N174" s="141" t="str">
        <f t="shared" si="41"/>
        <v/>
      </c>
      <c r="X174" s="141" t="s">
        <v>1437</v>
      </c>
      <c r="Y174" s="141" t="s">
        <v>1438</v>
      </c>
    </row>
    <row r="175" spans="1:25">
      <c r="A175" s="145" t="str">
        <f>IF(C175="","",VLOOKUP('Opći dio'!$C$3,'Opći dio'!$L$6:$U$136,10,FALSE))</f>
        <v/>
      </c>
      <c r="B175" s="145" t="str">
        <f>IF(C175="","",VLOOKUP('Opći dio'!$C$3,'Opći dio'!$L$6:$U$136,9,FALSE))</f>
        <v/>
      </c>
      <c r="C175" s="151"/>
      <c r="D175" s="146" t="str">
        <f t="shared" si="37"/>
        <v/>
      </c>
      <c r="E175" s="151"/>
      <c r="F175" s="146" t="str">
        <f t="shared" si="38"/>
        <v/>
      </c>
      <c r="G175" s="186"/>
      <c r="H175" s="146" t="str">
        <f t="shared" si="39"/>
        <v/>
      </c>
      <c r="I175" s="185"/>
      <c r="J175" s="185"/>
      <c r="K175" s="185"/>
      <c r="M175" s="141" t="str">
        <f t="shared" si="40"/>
        <v/>
      </c>
      <c r="N175" s="141" t="str">
        <f t="shared" si="41"/>
        <v/>
      </c>
      <c r="X175" s="141" t="s">
        <v>1439</v>
      </c>
      <c r="Y175" s="141" t="s">
        <v>1440</v>
      </c>
    </row>
    <row r="176" spans="1:25">
      <c r="A176" s="145" t="str">
        <f>IF(C176="","",VLOOKUP('Opći dio'!$C$3,'Opći dio'!$L$6:$U$136,10,FALSE))</f>
        <v/>
      </c>
      <c r="B176" s="145" t="str">
        <f>IF(C176="","",VLOOKUP('Opći dio'!$C$3,'Opći dio'!$L$6:$U$136,9,FALSE))</f>
        <v/>
      </c>
      <c r="C176" s="151"/>
      <c r="D176" s="146" t="str">
        <f t="shared" si="37"/>
        <v/>
      </c>
      <c r="E176" s="151"/>
      <c r="F176" s="146" t="str">
        <f t="shared" si="38"/>
        <v/>
      </c>
      <c r="G176" s="186"/>
      <c r="H176" s="146" t="str">
        <f t="shared" si="39"/>
        <v/>
      </c>
      <c r="I176" s="185"/>
      <c r="J176" s="185"/>
      <c r="K176" s="185"/>
      <c r="M176" s="141" t="str">
        <f t="shared" si="40"/>
        <v/>
      </c>
      <c r="N176" s="141" t="str">
        <f t="shared" si="41"/>
        <v/>
      </c>
      <c r="X176" s="141" t="s">
        <v>1441</v>
      </c>
      <c r="Y176" s="141" t="s">
        <v>1442</v>
      </c>
    </row>
    <row r="177" spans="1:25">
      <c r="A177" s="145" t="str">
        <f>IF(C177="","",VLOOKUP('Opći dio'!$C$3,'Opći dio'!$L$6:$U$136,10,FALSE))</f>
        <v/>
      </c>
      <c r="B177" s="145" t="str">
        <f>IF(C177="","",VLOOKUP('Opći dio'!$C$3,'Opći dio'!$L$6:$U$136,9,FALSE))</f>
        <v/>
      </c>
      <c r="C177" s="151"/>
      <c r="D177" s="146" t="str">
        <f t="shared" si="37"/>
        <v/>
      </c>
      <c r="E177" s="151"/>
      <c r="F177" s="146" t="str">
        <f t="shared" si="38"/>
        <v/>
      </c>
      <c r="G177" s="186"/>
      <c r="H177" s="146" t="str">
        <f t="shared" si="39"/>
        <v/>
      </c>
      <c r="I177" s="185"/>
      <c r="J177" s="185"/>
      <c r="K177" s="185"/>
      <c r="M177" s="141" t="str">
        <f t="shared" si="40"/>
        <v/>
      </c>
      <c r="N177" s="141" t="str">
        <f t="shared" si="41"/>
        <v/>
      </c>
      <c r="X177" s="141" t="s">
        <v>1444</v>
      </c>
      <c r="Y177" s="141" t="s">
        <v>1445</v>
      </c>
    </row>
    <row r="178" spans="1:25">
      <c r="A178" s="145" t="str">
        <f>IF(C178="","",VLOOKUP('Opći dio'!$C$3,'Opći dio'!$L$6:$U$136,10,FALSE))</f>
        <v/>
      </c>
      <c r="B178" s="145" t="str">
        <f>IF(C178="","",VLOOKUP('Opći dio'!$C$3,'Opći dio'!$L$6:$U$136,9,FALSE))</f>
        <v/>
      </c>
      <c r="C178" s="151"/>
      <c r="D178" s="146" t="str">
        <f t="shared" si="37"/>
        <v/>
      </c>
      <c r="E178" s="151"/>
      <c r="F178" s="146" t="str">
        <f t="shared" si="38"/>
        <v/>
      </c>
      <c r="G178" s="186"/>
      <c r="H178" s="146" t="str">
        <f t="shared" si="39"/>
        <v/>
      </c>
      <c r="I178" s="185"/>
      <c r="J178" s="185"/>
      <c r="K178" s="185"/>
      <c r="M178" s="141" t="str">
        <f t="shared" si="40"/>
        <v/>
      </c>
      <c r="N178" s="141" t="str">
        <f t="shared" si="41"/>
        <v/>
      </c>
    </row>
    <row r="179" spans="1:25">
      <c r="A179" s="145" t="str">
        <f>IF(C179="","",VLOOKUP('Opći dio'!$C$3,'Opći dio'!$L$6:$U$136,10,FALSE))</f>
        <v/>
      </c>
      <c r="B179" s="145" t="str">
        <f>IF(C179="","",VLOOKUP('Opći dio'!$C$3,'Opći dio'!$L$6:$U$136,9,FALSE))</f>
        <v/>
      </c>
      <c r="C179" s="151"/>
      <c r="D179" s="146" t="str">
        <f t="shared" si="37"/>
        <v/>
      </c>
      <c r="E179" s="151"/>
      <c r="F179" s="146" t="str">
        <f t="shared" si="38"/>
        <v/>
      </c>
      <c r="G179" s="186"/>
      <c r="H179" s="146" t="str">
        <f t="shared" si="39"/>
        <v/>
      </c>
      <c r="I179" s="185"/>
      <c r="J179" s="185"/>
      <c r="K179" s="185"/>
      <c r="M179" s="141" t="str">
        <f t="shared" si="40"/>
        <v/>
      </c>
      <c r="N179" s="141" t="str">
        <f t="shared" si="41"/>
        <v/>
      </c>
    </row>
    <row r="180" spans="1:25">
      <c r="A180" s="145" t="str">
        <f>IF(C180="","",VLOOKUP('Opći dio'!$C$3,'Opći dio'!$L$6:$U$136,10,FALSE))</f>
        <v/>
      </c>
      <c r="B180" s="145" t="str">
        <f>IF(C180="","",VLOOKUP('Opći dio'!$C$3,'Opći dio'!$L$6:$U$136,9,FALSE))</f>
        <v/>
      </c>
      <c r="C180" s="151"/>
      <c r="D180" s="146" t="str">
        <f t="shared" si="37"/>
        <v/>
      </c>
      <c r="E180" s="151"/>
      <c r="F180" s="146" t="str">
        <f t="shared" si="38"/>
        <v/>
      </c>
      <c r="G180" s="186"/>
      <c r="H180" s="146" t="str">
        <f t="shared" si="39"/>
        <v/>
      </c>
      <c r="I180" s="185"/>
      <c r="J180" s="185"/>
      <c r="K180" s="185"/>
      <c r="M180" s="141" t="str">
        <f t="shared" si="40"/>
        <v/>
      </c>
      <c r="N180" s="141" t="str">
        <f t="shared" si="41"/>
        <v/>
      </c>
    </row>
    <row r="181" spans="1:25">
      <c r="A181" s="145" t="str">
        <f>IF(C181="","",VLOOKUP('Opći dio'!$C$3,'Opći dio'!$L$6:$U$136,10,FALSE))</f>
        <v/>
      </c>
      <c r="B181" s="145" t="str">
        <f>IF(C181="","",VLOOKUP('Opći dio'!$C$3,'Opći dio'!$L$6:$U$136,9,FALSE))</f>
        <v/>
      </c>
      <c r="C181" s="151"/>
      <c r="D181" s="146" t="str">
        <f t="shared" si="37"/>
        <v/>
      </c>
      <c r="E181" s="151"/>
      <c r="F181" s="146" t="str">
        <f t="shared" si="38"/>
        <v/>
      </c>
      <c r="G181" s="186"/>
      <c r="H181" s="146" t="str">
        <f t="shared" si="39"/>
        <v/>
      </c>
      <c r="I181" s="185"/>
      <c r="J181" s="185"/>
      <c r="K181" s="185"/>
      <c r="M181" s="141" t="str">
        <f t="shared" si="40"/>
        <v/>
      </c>
      <c r="N181" s="141" t="str">
        <f t="shared" si="41"/>
        <v/>
      </c>
    </row>
    <row r="182" spans="1:25">
      <c r="A182" s="145" t="str">
        <f>IF(C182="","",VLOOKUP('Opći dio'!$C$3,'Opći dio'!$L$6:$U$136,10,FALSE))</f>
        <v/>
      </c>
      <c r="B182" s="145" t="str">
        <f>IF(C182="","",VLOOKUP('Opći dio'!$C$3,'Opći dio'!$L$6:$U$136,9,FALSE))</f>
        <v/>
      </c>
      <c r="C182" s="151"/>
      <c r="D182" s="146" t="str">
        <f t="shared" si="37"/>
        <v/>
      </c>
      <c r="E182" s="151"/>
      <c r="F182" s="146" t="str">
        <f t="shared" si="38"/>
        <v/>
      </c>
      <c r="G182" s="186"/>
      <c r="H182" s="146" t="str">
        <f t="shared" si="39"/>
        <v/>
      </c>
      <c r="I182" s="185"/>
      <c r="J182" s="185"/>
      <c r="K182" s="185"/>
      <c r="M182" s="141" t="str">
        <f t="shared" si="40"/>
        <v/>
      </c>
      <c r="N182" s="141" t="str">
        <f t="shared" si="41"/>
        <v/>
      </c>
    </row>
    <row r="183" spans="1:25">
      <c r="A183" s="145" t="str">
        <f>IF(C183="","",VLOOKUP('Opći dio'!$C$3,'Opći dio'!$L$6:$U$136,10,FALSE))</f>
        <v/>
      </c>
      <c r="B183" s="145" t="str">
        <f>IF(C183="","",VLOOKUP('Opći dio'!$C$3,'Opći dio'!$L$6:$U$136,9,FALSE))</f>
        <v/>
      </c>
      <c r="C183" s="151"/>
      <c r="D183" s="146" t="str">
        <f t="shared" si="37"/>
        <v/>
      </c>
      <c r="E183" s="151"/>
      <c r="F183" s="146" t="str">
        <f t="shared" si="38"/>
        <v/>
      </c>
      <c r="G183" s="186"/>
      <c r="H183" s="146" t="str">
        <f t="shared" si="39"/>
        <v/>
      </c>
      <c r="I183" s="185"/>
      <c r="J183" s="185"/>
      <c r="K183" s="185"/>
      <c r="M183" s="141" t="str">
        <f t="shared" si="40"/>
        <v/>
      </c>
      <c r="N183" s="141" t="str">
        <f t="shared" si="41"/>
        <v/>
      </c>
    </row>
    <row r="184" spans="1:25">
      <c r="A184" s="145" t="str">
        <f>IF(C184="","",VLOOKUP('Opći dio'!$C$3,'Opći dio'!$L$6:$U$136,10,FALSE))</f>
        <v/>
      </c>
      <c r="B184" s="145" t="str">
        <f>IF(C184="","",VLOOKUP('Opći dio'!$C$3,'Opći dio'!$L$6:$U$136,9,FALSE))</f>
        <v/>
      </c>
      <c r="C184" s="151"/>
      <c r="D184" s="146" t="str">
        <f t="shared" si="37"/>
        <v/>
      </c>
      <c r="E184" s="151"/>
      <c r="F184" s="146" t="str">
        <f t="shared" si="38"/>
        <v/>
      </c>
      <c r="G184" s="186"/>
      <c r="H184" s="146" t="str">
        <f t="shared" si="39"/>
        <v/>
      </c>
      <c r="I184" s="185"/>
      <c r="J184" s="185"/>
      <c r="K184" s="185"/>
      <c r="M184" s="141" t="str">
        <f t="shared" si="40"/>
        <v/>
      </c>
      <c r="N184" s="141" t="str">
        <f t="shared" si="41"/>
        <v/>
      </c>
    </row>
    <row r="185" spans="1:25">
      <c r="A185" s="145" t="str">
        <f>IF(C185="","",VLOOKUP('Opći dio'!$C$3,'Opći dio'!$L$6:$U$136,10,FALSE))</f>
        <v/>
      </c>
      <c r="B185" s="145" t="str">
        <f>IF(C185="","",VLOOKUP('Opći dio'!$C$3,'Opći dio'!$L$6:$U$136,9,FALSE))</f>
        <v/>
      </c>
      <c r="C185" s="151"/>
      <c r="D185" s="146" t="str">
        <f t="shared" si="37"/>
        <v/>
      </c>
      <c r="E185" s="151"/>
      <c r="F185" s="146" t="str">
        <f t="shared" si="38"/>
        <v/>
      </c>
      <c r="G185" s="186"/>
      <c r="H185" s="146" t="str">
        <f t="shared" si="39"/>
        <v/>
      </c>
      <c r="I185" s="185"/>
      <c r="J185" s="185"/>
      <c r="K185" s="185"/>
      <c r="M185" s="141" t="str">
        <f t="shared" si="40"/>
        <v/>
      </c>
      <c r="N185" s="141" t="str">
        <f t="shared" si="41"/>
        <v/>
      </c>
    </row>
    <row r="186" spans="1:25">
      <c r="A186" s="145" t="str">
        <f>IF(C186="","",VLOOKUP('Opći dio'!$C$3,'Opći dio'!$L$6:$U$136,10,FALSE))</f>
        <v/>
      </c>
      <c r="B186" s="145" t="str">
        <f>IF(C186="","",VLOOKUP('Opći dio'!$C$3,'Opći dio'!$L$6:$U$136,9,FALSE))</f>
        <v/>
      </c>
      <c r="C186" s="151"/>
      <c r="D186" s="146" t="str">
        <f t="shared" si="37"/>
        <v/>
      </c>
      <c r="E186" s="151"/>
      <c r="F186" s="146" t="str">
        <f t="shared" si="38"/>
        <v/>
      </c>
      <c r="G186" s="186"/>
      <c r="H186" s="146" t="str">
        <f t="shared" si="39"/>
        <v/>
      </c>
      <c r="I186" s="185"/>
      <c r="J186" s="185"/>
      <c r="K186" s="185"/>
      <c r="M186" s="141" t="str">
        <f t="shared" si="40"/>
        <v/>
      </c>
      <c r="N186" s="141" t="str">
        <f t="shared" si="41"/>
        <v/>
      </c>
    </row>
    <row r="187" spans="1:25">
      <c r="A187" s="145" t="str">
        <f>IF(C187="","",VLOOKUP('Opći dio'!$C$3,'Opći dio'!$L$6:$U$136,10,FALSE))</f>
        <v/>
      </c>
      <c r="B187" s="145" t="str">
        <f>IF(C187="","",VLOOKUP('Opći dio'!$C$3,'Opći dio'!$L$6:$U$136,9,FALSE))</f>
        <v/>
      </c>
      <c r="C187" s="151"/>
      <c r="D187" s="146" t="str">
        <f t="shared" si="37"/>
        <v/>
      </c>
      <c r="E187" s="151"/>
      <c r="F187" s="146" t="str">
        <f t="shared" si="38"/>
        <v/>
      </c>
      <c r="G187" s="186"/>
      <c r="H187" s="146" t="str">
        <f t="shared" si="39"/>
        <v/>
      </c>
      <c r="I187" s="185"/>
      <c r="J187" s="185"/>
      <c r="K187" s="185"/>
      <c r="M187" s="141" t="str">
        <f t="shared" si="40"/>
        <v/>
      </c>
      <c r="N187" s="141" t="str">
        <f t="shared" si="41"/>
        <v/>
      </c>
    </row>
    <row r="188" spans="1:25">
      <c r="A188" s="145" t="str">
        <f>IF(C188="","",VLOOKUP('Opći dio'!$C$3,'Opći dio'!$L$6:$U$136,10,FALSE))</f>
        <v/>
      </c>
      <c r="B188" s="145" t="str">
        <f>IF(C188="","",VLOOKUP('Opći dio'!$C$3,'Opći dio'!$L$6:$U$136,9,FALSE))</f>
        <v/>
      </c>
      <c r="C188" s="151"/>
      <c r="D188" s="146" t="str">
        <f t="shared" si="37"/>
        <v/>
      </c>
      <c r="E188" s="151"/>
      <c r="F188" s="146" t="str">
        <f t="shared" si="38"/>
        <v/>
      </c>
      <c r="G188" s="186"/>
      <c r="H188" s="146" t="str">
        <f t="shared" si="39"/>
        <v/>
      </c>
      <c r="I188" s="185"/>
      <c r="J188" s="185"/>
      <c r="K188" s="185"/>
      <c r="M188" s="141" t="str">
        <f t="shared" si="40"/>
        <v/>
      </c>
      <c r="N188" s="141" t="str">
        <f t="shared" si="41"/>
        <v/>
      </c>
    </row>
    <row r="189" spans="1:25">
      <c r="A189" s="145" t="str">
        <f>IF(C189="","",VLOOKUP('Opći dio'!$C$3,'Opći dio'!$L$6:$U$136,10,FALSE))</f>
        <v/>
      </c>
      <c r="B189" s="145" t="str">
        <f>IF(C189="","",VLOOKUP('Opći dio'!$C$3,'Opći dio'!$L$6:$U$136,9,FALSE))</f>
        <v/>
      </c>
      <c r="C189" s="151"/>
      <c r="D189" s="146" t="str">
        <f t="shared" si="37"/>
        <v/>
      </c>
      <c r="E189" s="151"/>
      <c r="F189" s="146" t="str">
        <f t="shared" si="38"/>
        <v/>
      </c>
      <c r="G189" s="186"/>
      <c r="H189" s="146" t="str">
        <f t="shared" si="39"/>
        <v/>
      </c>
      <c r="I189" s="185"/>
      <c r="J189" s="185"/>
      <c r="K189" s="185"/>
      <c r="M189" s="141" t="str">
        <f t="shared" si="40"/>
        <v/>
      </c>
      <c r="N189" s="141" t="str">
        <f t="shared" si="41"/>
        <v/>
      </c>
    </row>
    <row r="190" spans="1:25">
      <c r="A190" s="145" t="str">
        <f>IF(C190="","",VLOOKUP('Opći dio'!$C$3,'Opći dio'!$L$6:$U$136,10,FALSE))</f>
        <v/>
      </c>
      <c r="B190" s="145" t="str">
        <f>IF(C190="","",VLOOKUP('Opći dio'!$C$3,'Opći dio'!$L$6:$U$136,9,FALSE))</f>
        <v/>
      </c>
      <c r="C190" s="151"/>
      <c r="D190" s="146" t="str">
        <f t="shared" si="37"/>
        <v/>
      </c>
      <c r="E190" s="151"/>
      <c r="F190" s="146" t="str">
        <f t="shared" si="38"/>
        <v/>
      </c>
      <c r="G190" s="186"/>
      <c r="H190" s="146" t="str">
        <f t="shared" si="39"/>
        <v/>
      </c>
      <c r="I190" s="185"/>
      <c r="J190" s="185"/>
      <c r="K190" s="185"/>
      <c r="M190" s="141" t="str">
        <f t="shared" si="40"/>
        <v/>
      </c>
      <c r="N190" s="141" t="str">
        <f t="shared" si="41"/>
        <v/>
      </c>
    </row>
    <row r="191" spans="1:25">
      <c r="A191" s="145" t="str">
        <f>IF(C191="","",VLOOKUP('Opći dio'!$C$3,'Opći dio'!$L$6:$U$136,10,FALSE))</f>
        <v/>
      </c>
      <c r="B191" s="145" t="str">
        <f>IF(C191="","",VLOOKUP('Opći dio'!$C$3,'Opći dio'!$L$6:$U$136,9,FALSE))</f>
        <v/>
      </c>
      <c r="C191" s="151"/>
      <c r="D191" s="146" t="str">
        <f t="shared" si="37"/>
        <v/>
      </c>
      <c r="E191" s="151"/>
      <c r="F191" s="146" t="str">
        <f t="shared" si="38"/>
        <v/>
      </c>
      <c r="G191" s="186"/>
      <c r="H191" s="146" t="str">
        <f t="shared" si="39"/>
        <v/>
      </c>
      <c r="I191" s="185"/>
      <c r="J191" s="185"/>
      <c r="K191" s="185"/>
      <c r="M191" s="141" t="str">
        <f t="shared" si="40"/>
        <v/>
      </c>
      <c r="N191" s="141" t="str">
        <f t="shared" si="41"/>
        <v/>
      </c>
    </row>
    <row r="192" spans="1:25">
      <c r="A192" s="145" t="str">
        <f>IF(C192="","",VLOOKUP('Opći dio'!$C$3,'Opći dio'!$L$6:$U$136,10,FALSE))</f>
        <v/>
      </c>
      <c r="B192" s="145" t="str">
        <f>IF(C192="","",VLOOKUP('Opći dio'!$C$3,'Opći dio'!$L$6:$U$136,9,FALSE))</f>
        <v/>
      </c>
      <c r="C192" s="151"/>
      <c r="D192" s="146" t="str">
        <f t="shared" si="37"/>
        <v/>
      </c>
      <c r="E192" s="151"/>
      <c r="F192" s="146" t="str">
        <f t="shared" si="38"/>
        <v/>
      </c>
      <c r="G192" s="186"/>
      <c r="H192" s="146" t="str">
        <f t="shared" si="39"/>
        <v/>
      </c>
      <c r="I192" s="185"/>
      <c r="J192" s="185"/>
      <c r="K192" s="185"/>
      <c r="M192" s="141" t="str">
        <f t="shared" si="40"/>
        <v/>
      </c>
      <c r="N192" s="141" t="str">
        <f t="shared" si="41"/>
        <v/>
      </c>
    </row>
    <row r="193" spans="1:14">
      <c r="A193" s="145" t="str">
        <f>IF(C193="","",VLOOKUP('Opći dio'!$C$3,'Opći dio'!$L$6:$U$136,10,FALSE))</f>
        <v/>
      </c>
      <c r="B193" s="145" t="str">
        <f>IF(C193="","",VLOOKUP('Opći dio'!$C$3,'Opći dio'!$L$6:$U$136,9,FALSE))</f>
        <v/>
      </c>
      <c r="C193" s="151"/>
      <c r="D193" s="146" t="str">
        <f t="shared" si="37"/>
        <v/>
      </c>
      <c r="E193" s="151"/>
      <c r="F193" s="146" t="str">
        <f t="shared" si="38"/>
        <v/>
      </c>
      <c r="G193" s="186"/>
      <c r="H193" s="146" t="str">
        <f t="shared" si="39"/>
        <v/>
      </c>
      <c r="I193" s="185"/>
      <c r="J193" s="185"/>
      <c r="K193" s="185"/>
      <c r="M193" s="141" t="str">
        <f t="shared" si="40"/>
        <v/>
      </c>
      <c r="N193" s="141" t="str">
        <f t="shared" si="41"/>
        <v/>
      </c>
    </row>
    <row r="194" spans="1:14">
      <c r="A194" s="145" t="str">
        <f>IF(C194="","",VLOOKUP('Opći dio'!$C$3,'Opći dio'!$L$6:$U$136,10,FALSE))</f>
        <v/>
      </c>
      <c r="B194" s="145" t="str">
        <f>IF(C194="","",VLOOKUP('Opći dio'!$C$3,'Opći dio'!$L$6:$U$136,9,FALSE))</f>
        <v/>
      </c>
      <c r="C194" s="151"/>
      <c r="D194" s="146" t="str">
        <f t="shared" si="37"/>
        <v/>
      </c>
      <c r="E194" s="151"/>
      <c r="F194" s="146" t="str">
        <f t="shared" si="38"/>
        <v/>
      </c>
      <c r="G194" s="186"/>
      <c r="H194" s="146" t="str">
        <f t="shared" si="39"/>
        <v/>
      </c>
      <c r="I194" s="185"/>
      <c r="J194" s="185"/>
      <c r="K194" s="185"/>
      <c r="M194" s="141" t="str">
        <f t="shared" si="40"/>
        <v/>
      </c>
      <c r="N194" s="141" t="str">
        <f t="shared" si="41"/>
        <v/>
      </c>
    </row>
    <row r="195" spans="1:14">
      <c r="A195" s="145" t="str">
        <f>IF(C195="","",VLOOKUP('Opći dio'!$C$3,'Opći dio'!$L$6:$U$136,10,FALSE))</f>
        <v/>
      </c>
      <c r="B195" s="145" t="str">
        <f>IF(C195="","",VLOOKUP('Opći dio'!$C$3,'Opći dio'!$L$6:$U$136,9,FALSE))</f>
        <v/>
      </c>
      <c r="C195" s="151"/>
      <c r="D195" s="146" t="str">
        <f t="shared" si="37"/>
        <v/>
      </c>
      <c r="E195" s="151"/>
      <c r="F195" s="146" t="str">
        <f t="shared" si="38"/>
        <v/>
      </c>
      <c r="G195" s="186"/>
      <c r="H195" s="146" t="str">
        <f t="shared" si="39"/>
        <v/>
      </c>
      <c r="I195" s="185"/>
      <c r="J195" s="185"/>
      <c r="K195" s="185"/>
      <c r="M195" s="141" t="str">
        <f t="shared" si="40"/>
        <v/>
      </c>
      <c r="N195" s="141" t="str">
        <f t="shared" si="41"/>
        <v/>
      </c>
    </row>
    <row r="196" spans="1:14">
      <c r="A196" s="145" t="str">
        <f>IF(C196="","",VLOOKUP('Opći dio'!$C$3,'Opći dio'!$L$6:$U$136,10,FALSE))</f>
        <v/>
      </c>
      <c r="B196" s="145" t="str">
        <f>IF(C196="","",VLOOKUP('Opći dio'!$C$3,'Opći dio'!$L$6:$U$136,9,FALSE))</f>
        <v/>
      </c>
      <c r="C196" s="151"/>
      <c r="D196" s="146" t="str">
        <f t="shared" ref="D196:D259" si="42">IFERROR(VLOOKUP(C196,$O$6:$P$23,2,FALSE),"")</f>
        <v/>
      </c>
      <c r="E196" s="151"/>
      <c r="F196" s="146" t="str">
        <f t="shared" ref="F196:F259" si="43">IFERROR(VLOOKUP(E196,$R$5:$T$129,2,FALSE),"")</f>
        <v/>
      </c>
      <c r="G196" s="186"/>
      <c r="H196" s="146" t="str">
        <f t="shared" ref="H196:H259" si="44">IFERROR(VLOOKUP(G196,$X$6:$Y$200,2,FALSE),"")</f>
        <v/>
      </c>
      <c r="I196" s="185"/>
      <c r="J196" s="185"/>
      <c r="K196" s="185"/>
      <c r="M196" s="141" t="str">
        <f t="shared" ref="M196:M259" si="45">LEFT(E196,3)</f>
        <v/>
      </c>
      <c r="N196" s="141" t="str">
        <f t="shared" ref="N196:N259" si="46">LEFT(E196,2)</f>
        <v/>
      </c>
    </row>
    <row r="197" spans="1:14">
      <c r="A197" s="145" t="str">
        <f>IF(C197="","",VLOOKUP('Opći dio'!$C$3,'Opći dio'!$L$6:$U$136,10,FALSE))</f>
        <v/>
      </c>
      <c r="B197" s="145" t="str">
        <f>IF(C197="","",VLOOKUP('Opći dio'!$C$3,'Opći dio'!$L$6:$U$136,9,FALSE))</f>
        <v/>
      </c>
      <c r="C197" s="151"/>
      <c r="D197" s="146" t="str">
        <f t="shared" si="42"/>
        <v/>
      </c>
      <c r="E197" s="151"/>
      <c r="F197" s="146" t="str">
        <f t="shared" si="43"/>
        <v/>
      </c>
      <c r="G197" s="186"/>
      <c r="H197" s="146" t="str">
        <f t="shared" si="44"/>
        <v/>
      </c>
      <c r="I197" s="185"/>
      <c r="J197" s="185"/>
      <c r="K197" s="185"/>
      <c r="M197" s="141" t="str">
        <f t="shared" si="45"/>
        <v/>
      </c>
      <c r="N197" s="141" t="str">
        <f t="shared" si="46"/>
        <v/>
      </c>
    </row>
    <row r="198" spans="1:14">
      <c r="A198" s="145" t="str">
        <f>IF(C198="","",VLOOKUP('Opći dio'!$C$3,'Opći dio'!$L$6:$U$136,10,FALSE))</f>
        <v/>
      </c>
      <c r="B198" s="145" t="str">
        <f>IF(C198="","",VLOOKUP('Opći dio'!$C$3,'Opći dio'!$L$6:$U$136,9,FALSE))</f>
        <v/>
      </c>
      <c r="C198" s="151"/>
      <c r="D198" s="146" t="str">
        <f t="shared" si="42"/>
        <v/>
      </c>
      <c r="E198" s="151"/>
      <c r="F198" s="146" t="str">
        <f t="shared" si="43"/>
        <v/>
      </c>
      <c r="G198" s="186"/>
      <c r="H198" s="146" t="str">
        <f t="shared" si="44"/>
        <v/>
      </c>
      <c r="I198" s="185"/>
      <c r="J198" s="185"/>
      <c r="K198" s="185"/>
      <c r="M198" s="141" t="str">
        <f t="shared" si="45"/>
        <v/>
      </c>
      <c r="N198" s="141" t="str">
        <f t="shared" si="46"/>
        <v/>
      </c>
    </row>
    <row r="199" spans="1:14">
      <c r="A199" s="145" t="str">
        <f>IF(C199="","",VLOOKUP('Opći dio'!$C$3,'Opći dio'!$L$6:$U$136,10,FALSE))</f>
        <v/>
      </c>
      <c r="B199" s="145" t="str">
        <f>IF(C199="","",VLOOKUP('Opći dio'!$C$3,'Opći dio'!$L$6:$U$136,9,FALSE))</f>
        <v/>
      </c>
      <c r="C199" s="151"/>
      <c r="D199" s="146" t="str">
        <f t="shared" si="42"/>
        <v/>
      </c>
      <c r="E199" s="151"/>
      <c r="F199" s="146" t="str">
        <f t="shared" si="43"/>
        <v/>
      </c>
      <c r="G199" s="186"/>
      <c r="H199" s="146" t="str">
        <f t="shared" si="44"/>
        <v/>
      </c>
      <c r="I199" s="185"/>
      <c r="J199" s="185"/>
      <c r="K199" s="185"/>
      <c r="M199" s="141" t="str">
        <f t="shared" si="45"/>
        <v/>
      </c>
      <c r="N199" s="141" t="str">
        <f t="shared" si="46"/>
        <v/>
      </c>
    </row>
    <row r="200" spans="1:14">
      <c r="A200" s="145" t="str">
        <f>IF(C200="","",VLOOKUP('Opći dio'!$C$3,'Opći dio'!$L$6:$U$136,10,FALSE))</f>
        <v/>
      </c>
      <c r="B200" s="145" t="str">
        <f>IF(C200="","",VLOOKUP('Opći dio'!$C$3,'Opći dio'!$L$6:$U$136,9,FALSE))</f>
        <v/>
      </c>
      <c r="C200" s="151"/>
      <c r="D200" s="146" t="str">
        <f t="shared" si="42"/>
        <v/>
      </c>
      <c r="E200" s="151"/>
      <c r="F200" s="146" t="str">
        <f t="shared" si="43"/>
        <v/>
      </c>
      <c r="G200" s="186"/>
      <c r="H200" s="146" t="str">
        <f t="shared" si="44"/>
        <v/>
      </c>
      <c r="I200" s="185"/>
      <c r="J200" s="185"/>
      <c r="K200" s="185"/>
      <c r="M200" s="141" t="str">
        <f t="shared" si="45"/>
        <v/>
      </c>
      <c r="N200" s="141" t="str">
        <f t="shared" si="46"/>
        <v/>
      </c>
    </row>
    <row r="201" spans="1:14">
      <c r="A201" s="145" t="str">
        <f>IF(C201="","",VLOOKUP('Opći dio'!$C$3,'Opći dio'!$L$6:$U$136,10,FALSE))</f>
        <v/>
      </c>
      <c r="B201" s="145" t="str">
        <f>IF(C201="","",VLOOKUP('Opći dio'!$C$3,'Opći dio'!$L$6:$U$136,9,FALSE))</f>
        <v/>
      </c>
      <c r="C201" s="151"/>
      <c r="D201" s="146" t="str">
        <f t="shared" si="42"/>
        <v/>
      </c>
      <c r="E201" s="151"/>
      <c r="F201" s="146" t="str">
        <f t="shared" si="43"/>
        <v/>
      </c>
      <c r="G201" s="186"/>
      <c r="H201" s="146" t="str">
        <f t="shared" si="44"/>
        <v/>
      </c>
      <c r="I201" s="185"/>
      <c r="J201" s="185"/>
      <c r="K201" s="185"/>
      <c r="M201" s="141" t="str">
        <f t="shared" si="45"/>
        <v/>
      </c>
      <c r="N201" s="141" t="str">
        <f t="shared" si="46"/>
        <v/>
      </c>
    </row>
    <row r="202" spans="1:14">
      <c r="A202" s="145" t="str">
        <f>IF(C202="","",VLOOKUP('Opći dio'!$C$3,'Opći dio'!$L$6:$U$136,10,FALSE))</f>
        <v/>
      </c>
      <c r="B202" s="145" t="str">
        <f>IF(C202="","",VLOOKUP('Opći dio'!$C$3,'Opći dio'!$L$6:$U$136,9,FALSE))</f>
        <v/>
      </c>
      <c r="C202" s="151"/>
      <c r="D202" s="146" t="str">
        <f t="shared" si="42"/>
        <v/>
      </c>
      <c r="E202" s="151"/>
      <c r="F202" s="146" t="str">
        <f t="shared" si="43"/>
        <v/>
      </c>
      <c r="G202" s="186"/>
      <c r="H202" s="146" t="str">
        <f t="shared" si="44"/>
        <v/>
      </c>
      <c r="I202" s="185"/>
      <c r="J202" s="185"/>
      <c r="K202" s="185"/>
      <c r="M202" s="141" t="str">
        <f t="shared" si="45"/>
        <v/>
      </c>
      <c r="N202" s="141" t="str">
        <f t="shared" si="46"/>
        <v/>
      </c>
    </row>
    <row r="203" spans="1:14">
      <c r="A203" s="145" t="str">
        <f>IF(C203="","",VLOOKUP('Opći dio'!$C$3,'Opći dio'!$L$6:$U$136,10,FALSE))</f>
        <v/>
      </c>
      <c r="B203" s="145" t="str">
        <f>IF(C203="","",VLOOKUP('Opći dio'!$C$3,'Opći dio'!$L$6:$U$136,9,FALSE))</f>
        <v/>
      </c>
      <c r="C203" s="151"/>
      <c r="D203" s="146" t="str">
        <f t="shared" si="42"/>
        <v/>
      </c>
      <c r="E203" s="151"/>
      <c r="F203" s="146" t="str">
        <f t="shared" si="43"/>
        <v/>
      </c>
      <c r="G203" s="186"/>
      <c r="H203" s="146" t="str">
        <f t="shared" si="44"/>
        <v/>
      </c>
      <c r="I203" s="185"/>
      <c r="J203" s="185"/>
      <c r="K203" s="185"/>
      <c r="M203" s="141" t="str">
        <f t="shared" si="45"/>
        <v/>
      </c>
      <c r="N203" s="141" t="str">
        <f t="shared" si="46"/>
        <v/>
      </c>
    </row>
    <row r="204" spans="1:14">
      <c r="A204" s="145" t="str">
        <f>IF(C204="","",VLOOKUP('Opći dio'!$C$3,'Opći dio'!$L$6:$U$136,10,FALSE))</f>
        <v/>
      </c>
      <c r="B204" s="145" t="str">
        <f>IF(C204="","",VLOOKUP('Opći dio'!$C$3,'Opći dio'!$L$6:$U$136,9,FALSE))</f>
        <v/>
      </c>
      <c r="C204" s="151"/>
      <c r="D204" s="146" t="str">
        <f t="shared" si="42"/>
        <v/>
      </c>
      <c r="E204" s="151"/>
      <c r="F204" s="146" t="str">
        <f t="shared" si="43"/>
        <v/>
      </c>
      <c r="G204" s="186"/>
      <c r="H204" s="146" t="str">
        <f t="shared" si="44"/>
        <v/>
      </c>
      <c r="I204" s="185"/>
      <c r="J204" s="185"/>
      <c r="K204" s="185"/>
      <c r="M204" s="141" t="str">
        <f t="shared" si="45"/>
        <v/>
      </c>
      <c r="N204" s="141" t="str">
        <f t="shared" si="46"/>
        <v/>
      </c>
    </row>
    <row r="205" spans="1:14">
      <c r="A205" s="145" t="str">
        <f>IF(C205="","",VLOOKUP('Opći dio'!$C$3,'Opći dio'!$L$6:$U$136,10,FALSE))</f>
        <v/>
      </c>
      <c r="B205" s="145" t="str">
        <f>IF(C205="","",VLOOKUP('Opći dio'!$C$3,'Opći dio'!$L$6:$U$136,9,FALSE))</f>
        <v/>
      </c>
      <c r="C205" s="151"/>
      <c r="D205" s="146" t="str">
        <f t="shared" si="42"/>
        <v/>
      </c>
      <c r="E205" s="151"/>
      <c r="F205" s="146" t="str">
        <f t="shared" si="43"/>
        <v/>
      </c>
      <c r="G205" s="186"/>
      <c r="H205" s="146" t="str">
        <f t="shared" si="44"/>
        <v/>
      </c>
      <c r="I205" s="185"/>
      <c r="J205" s="185"/>
      <c r="K205" s="185"/>
      <c r="M205" s="141" t="str">
        <f t="shared" si="45"/>
        <v/>
      </c>
      <c r="N205" s="141" t="str">
        <f t="shared" si="46"/>
        <v/>
      </c>
    </row>
    <row r="206" spans="1:14">
      <c r="A206" s="145" t="str">
        <f>IF(C206="","",VLOOKUP('Opći dio'!$C$3,'Opći dio'!$L$6:$U$136,10,FALSE))</f>
        <v/>
      </c>
      <c r="B206" s="145" t="str">
        <f>IF(C206="","",VLOOKUP('Opći dio'!$C$3,'Opći dio'!$L$6:$U$136,9,FALSE))</f>
        <v/>
      </c>
      <c r="C206" s="151"/>
      <c r="D206" s="146" t="str">
        <f t="shared" si="42"/>
        <v/>
      </c>
      <c r="E206" s="151"/>
      <c r="F206" s="146" t="str">
        <f t="shared" si="43"/>
        <v/>
      </c>
      <c r="G206" s="186"/>
      <c r="H206" s="146" t="str">
        <f t="shared" si="44"/>
        <v/>
      </c>
      <c r="I206" s="185"/>
      <c r="J206" s="185"/>
      <c r="K206" s="185"/>
      <c r="M206" s="141" t="str">
        <f t="shared" si="45"/>
        <v/>
      </c>
      <c r="N206" s="141" t="str">
        <f t="shared" si="46"/>
        <v/>
      </c>
    </row>
    <row r="207" spans="1:14">
      <c r="A207" s="145" t="str">
        <f>IF(C207="","",VLOOKUP('Opći dio'!$C$3,'Opći dio'!$L$6:$U$136,10,FALSE))</f>
        <v/>
      </c>
      <c r="B207" s="145" t="str">
        <f>IF(C207="","",VLOOKUP('Opći dio'!$C$3,'Opći dio'!$L$6:$U$136,9,FALSE))</f>
        <v/>
      </c>
      <c r="C207" s="151"/>
      <c r="D207" s="146" t="str">
        <f t="shared" si="42"/>
        <v/>
      </c>
      <c r="E207" s="151"/>
      <c r="F207" s="146" t="str">
        <f t="shared" si="43"/>
        <v/>
      </c>
      <c r="G207" s="186"/>
      <c r="H207" s="146" t="str">
        <f t="shared" si="44"/>
        <v/>
      </c>
      <c r="I207" s="185"/>
      <c r="J207" s="185"/>
      <c r="K207" s="185"/>
      <c r="M207" s="141" t="str">
        <f t="shared" si="45"/>
        <v/>
      </c>
      <c r="N207" s="141" t="str">
        <f t="shared" si="46"/>
        <v/>
      </c>
    </row>
    <row r="208" spans="1:14">
      <c r="A208" s="145" t="str">
        <f>IF(C208="","",VLOOKUP('Opći dio'!$C$3,'Opći dio'!$L$6:$U$136,10,FALSE))</f>
        <v/>
      </c>
      <c r="B208" s="145" t="str">
        <f>IF(C208="","",VLOOKUP('Opći dio'!$C$3,'Opći dio'!$L$6:$U$136,9,FALSE))</f>
        <v/>
      </c>
      <c r="C208" s="151"/>
      <c r="D208" s="146" t="str">
        <f t="shared" si="42"/>
        <v/>
      </c>
      <c r="E208" s="151"/>
      <c r="F208" s="146" t="str">
        <f t="shared" si="43"/>
        <v/>
      </c>
      <c r="G208" s="186"/>
      <c r="H208" s="146" t="str">
        <f t="shared" si="44"/>
        <v/>
      </c>
      <c r="I208" s="185"/>
      <c r="J208" s="185"/>
      <c r="K208" s="185"/>
      <c r="M208" s="141" t="str">
        <f t="shared" si="45"/>
        <v/>
      </c>
      <c r="N208" s="141" t="str">
        <f t="shared" si="46"/>
        <v/>
      </c>
    </row>
    <row r="209" spans="1:14">
      <c r="A209" s="145" t="str">
        <f>IF(C209="","",VLOOKUP('Opći dio'!$C$3,'Opći dio'!$L$6:$U$136,10,FALSE))</f>
        <v/>
      </c>
      <c r="B209" s="145" t="str">
        <f>IF(C209="","",VLOOKUP('Opći dio'!$C$3,'Opći dio'!$L$6:$U$136,9,FALSE))</f>
        <v/>
      </c>
      <c r="C209" s="151"/>
      <c r="D209" s="146" t="str">
        <f t="shared" si="42"/>
        <v/>
      </c>
      <c r="E209" s="151"/>
      <c r="F209" s="146" t="str">
        <f t="shared" si="43"/>
        <v/>
      </c>
      <c r="G209" s="186"/>
      <c r="H209" s="146" t="str">
        <f t="shared" si="44"/>
        <v/>
      </c>
      <c r="I209" s="185"/>
      <c r="J209" s="185"/>
      <c r="K209" s="185"/>
      <c r="M209" s="141" t="str">
        <f t="shared" si="45"/>
        <v/>
      </c>
      <c r="N209" s="141" t="str">
        <f t="shared" si="46"/>
        <v/>
      </c>
    </row>
    <row r="210" spans="1:14">
      <c r="A210" s="145" t="str">
        <f>IF(C210="","",VLOOKUP('Opći dio'!$C$3,'Opći dio'!$L$6:$U$136,10,FALSE))</f>
        <v/>
      </c>
      <c r="B210" s="145" t="str">
        <f>IF(C210="","",VLOOKUP('Opći dio'!$C$3,'Opći dio'!$L$6:$U$136,9,FALSE))</f>
        <v/>
      </c>
      <c r="C210" s="151"/>
      <c r="D210" s="146" t="str">
        <f t="shared" si="42"/>
        <v/>
      </c>
      <c r="E210" s="151"/>
      <c r="F210" s="146" t="str">
        <f t="shared" si="43"/>
        <v/>
      </c>
      <c r="G210" s="186"/>
      <c r="H210" s="146" t="str">
        <f t="shared" si="44"/>
        <v/>
      </c>
      <c r="I210" s="185"/>
      <c r="J210" s="185"/>
      <c r="K210" s="185"/>
      <c r="M210" s="141" t="str">
        <f t="shared" si="45"/>
        <v/>
      </c>
      <c r="N210" s="141" t="str">
        <f t="shared" si="46"/>
        <v/>
      </c>
    </row>
    <row r="211" spans="1:14">
      <c r="A211" s="145" t="str">
        <f>IF(C211="","",VLOOKUP('Opći dio'!$C$3,'Opći dio'!$L$6:$U$136,10,FALSE))</f>
        <v/>
      </c>
      <c r="B211" s="145" t="str">
        <f>IF(C211="","",VLOOKUP('Opći dio'!$C$3,'Opći dio'!$L$6:$U$136,9,FALSE))</f>
        <v/>
      </c>
      <c r="C211" s="151"/>
      <c r="D211" s="146" t="str">
        <f t="shared" si="42"/>
        <v/>
      </c>
      <c r="E211" s="151"/>
      <c r="F211" s="146" t="str">
        <f t="shared" si="43"/>
        <v/>
      </c>
      <c r="G211" s="186"/>
      <c r="H211" s="146" t="str">
        <f t="shared" si="44"/>
        <v/>
      </c>
      <c r="I211" s="185"/>
      <c r="J211" s="185"/>
      <c r="K211" s="185"/>
      <c r="M211" s="141" t="str">
        <f t="shared" si="45"/>
        <v/>
      </c>
      <c r="N211" s="141" t="str">
        <f t="shared" si="46"/>
        <v/>
      </c>
    </row>
    <row r="212" spans="1:14">
      <c r="A212" s="145" t="str">
        <f>IF(C212="","",VLOOKUP('Opći dio'!$C$3,'Opći dio'!$L$6:$U$136,10,FALSE))</f>
        <v/>
      </c>
      <c r="B212" s="145" t="str">
        <f>IF(C212="","",VLOOKUP('Opći dio'!$C$3,'Opći dio'!$L$6:$U$136,9,FALSE))</f>
        <v/>
      </c>
      <c r="C212" s="151"/>
      <c r="D212" s="146" t="str">
        <f t="shared" si="42"/>
        <v/>
      </c>
      <c r="E212" s="151"/>
      <c r="F212" s="146" t="str">
        <f t="shared" si="43"/>
        <v/>
      </c>
      <c r="G212" s="186"/>
      <c r="H212" s="146" t="str">
        <f t="shared" si="44"/>
        <v/>
      </c>
      <c r="I212" s="185"/>
      <c r="J212" s="185"/>
      <c r="K212" s="185"/>
      <c r="M212" s="141" t="str">
        <f t="shared" si="45"/>
        <v/>
      </c>
      <c r="N212" s="141" t="str">
        <f t="shared" si="46"/>
        <v/>
      </c>
    </row>
    <row r="213" spans="1:14">
      <c r="A213" s="145" t="str">
        <f>IF(C213="","",VLOOKUP('Opći dio'!$C$3,'Opći dio'!$L$6:$U$136,10,FALSE))</f>
        <v/>
      </c>
      <c r="B213" s="145" t="str">
        <f>IF(C213="","",VLOOKUP('Opći dio'!$C$3,'Opći dio'!$L$6:$U$136,9,FALSE))</f>
        <v/>
      </c>
      <c r="C213" s="151"/>
      <c r="D213" s="146" t="str">
        <f t="shared" si="42"/>
        <v/>
      </c>
      <c r="E213" s="151"/>
      <c r="F213" s="146" t="str">
        <f t="shared" si="43"/>
        <v/>
      </c>
      <c r="G213" s="186"/>
      <c r="H213" s="146" t="str">
        <f t="shared" si="44"/>
        <v/>
      </c>
      <c r="I213" s="185"/>
      <c r="J213" s="185"/>
      <c r="K213" s="185"/>
      <c r="M213" s="141" t="str">
        <f t="shared" si="45"/>
        <v/>
      </c>
      <c r="N213" s="141" t="str">
        <f t="shared" si="46"/>
        <v/>
      </c>
    </row>
    <row r="214" spans="1:14">
      <c r="A214" s="145" t="str">
        <f>IF(C214="","",VLOOKUP('Opći dio'!$C$3,'Opći dio'!$L$6:$U$136,10,FALSE))</f>
        <v/>
      </c>
      <c r="B214" s="145" t="str">
        <f>IF(C214="","",VLOOKUP('Opći dio'!$C$3,'Opći dio'!$L$6:$U$136,9,FALSE))</f>
        <v/>
      </c>
      <c r="C214" s="151"/>
      <c r="D214" s="146" t="str">
        <f t="shared" si="42"/>
        <v/>
      </c>
      <c r="E214" s="151"/>
      <c r="F214" s="146" t="str">
        <f t="shared" si="43"/>
        <v/>
      </c>
      <c r="G214" s="186"/>
      <c r="H214" s="146" t="str">
        <f t="shared" si="44"/>
        <v/>
      </c>
      <c r="I214" s="185"/>
      <c r="J214" s="185"/>
      <c r="K214" s="185"/>
      <c r="M214" s="141" t="str">
        <f t="shared" si="45"/>
        <v/>
      </c>
      <c r="N214" s="141" t="str">
        <f t="shared" si="46"/>
        <v/>
      </c>
    </row>
    <row r="215" spans="1:14">
      <c r="A215" s="145" t="str">
        <f>IF(C215="","",VLOOKUP('Opći dio'!$C$3,'Opći dio'!$L$6:$U$136,10,FALSE))</f>
        <v/>
      </c>
      <c r="B215" s="145" t="str">
        <f>IF(C215="","",VLOOKUP('Opći dio'!$C$3,'Opći dio'!$L$6:$U$136,9,FALSE))</f>
        <v/>
      </c>
      <c r="C215" s="151"/>
      <c r="D215" s="146" t="str">
        <f t="shared" si="42"/>
        <v/>
      </c>
      <c r="E215" s="151"/>
      <c r="F215" s="146" t="str">
        <f t="shared" si="43"/>
        <v/>
      </c>
      <c r="G215" s="186"/>
      <c r="H215" s="146" t="str">
        <f t="shared" si="44"/>
        <v/>
      </c>
      <c r="I215" s="185"/>
      <c r="J215" s="185"/>
      <c r="K215" s="185"/>
      <c r="M215" s="141" t="str">
        <f t="shared" si="45"/>
        <v/>
      </c>
      <c r="N215" s="141" t="str">
        <f t="shared" si="46"/>
        <v/>
      </c>
    </row>
    <row r="216" spans="1:14">
      <c r="A216" s="145" t="str">
        <f>IF(C216="","",VLOOKUP('Opći dio'!$C$3,'Opći dio'!$L$6:$U$136,10,FALSE))</f>
        <v/>
      </c>
      <c r="B216" s="145" t="str">
        <f>IF(C216="","",VLOOKUP('Opći dio'!$C$3,'Opći dio'!$L$6:$U$136,9,FALSE))</f>
        <v/>
      </c>
      <c r="C216" s="151"/>
      <c r="D216" s="146" t="str">
        <f t="shared" si="42"/>
        <v/>
      </c>
      <c r="E216" s="151"/>
      <c r="F216" s="146" t="str">
        <f t="shared" si="43"/>
        <v/>
      </c>
      <c r="G216" s="186"/>
      <c r="H216" s="146" t="str">
        <f t="shared" si="44"/>
        <v/>
      </c>
      <c r="I216" s="185"/>
      <c r="J216" s="185"/>
      <c r="K216" s="185"/>
      <c r="M216" s="141" t="str">
        <f t="shared" si="45"/>
        <v/>
      </c>
      <c r="N216" s="141" t="str">
        <f t="shared" si="46"/>
        <v/>
      </c>
    </row>
    <row r="217" spans="1:14">
      <c r="A217" s="145" t="str">
        <f>IF(C217="","",VLOOKUP('Opći dio'!$C$3,'Opći dio'!$L$6:$U$136,10,FALSE))</f>
        <v/>
      </c>
      <c r="B217" s="145" t="str">
        <f>IF(C217="","",VLOOKUP('Opći dio'!$C$3,'Opći dio'!$L$6:$U$136,9,FALSE))</f>
        <v/>
      </c>
      <c r="C217" s="151"/>
      <c r="D217" s="146" t="str">
        <f t="shared" si="42"/>
        <v/>
      </c>
      <c r="E217" s="151"/>
      <c r="F217" s="146" t="str">
        <f t="shared" si="43"/>
        <v/>
      </c>
      <c r="G217" s="186"/>
      <c r="H217" s="146" t="str">
        <f t="shared" si="44"/>
        <v/>
      </c>
      <c r="I217" s="185"/>
      <c r="J217" s="185"/>
      <c r="K217" s="185"/>
      <c r="M217" s="141" t="str">
        <f t="shared" si="45"/>
        <v/>
      </c>
      <c r="N217" s="141" t="str">
        <f t="shared" si="46"/>
        <v/>
      </c>
    </row>
    <row r="218" spans="1:14">
      <c r="A218" s="145" t="str">
        <f>IF(C218="","",VLOOKUP('Opći dio'!$C$3,'Opći dio'!$L$6:$U$136,10,FALSE))</f>
        <v/>
      </c>
      <c r="B218" s="145" t="str">
        <f>IF(C218="","",VLOOKUP('Opći dio'!$C$3,'Opći dio'!$L$6:$U$136,9,FALSE))</f>
        <v/>
      </c>
      <c r="C218" s="151"/>
      <c r="D218" s="146" t="str">
        <f t="shared" si="42"/>
        <v/>
      </c>
      <c r="E218" s="151"/>
      <c r="F218" s="146" t="str">
        <f t="shared" si="43"/>
        <v/>
      </c>
      <c r="G218" s="186"/>
      <c r="H218" s="146" t="str">
        <f t="shared" si="44"/>
        <v/>
      </c>
      <c r="I218" s="185"/>
      <c r="J218" s="185"/>
      <c r="K218" s="185"/>
      <c r="M218" s="141" t="str">
        <f t="shared" si="45"/>
        <v/>
      </c>
      <c r="N218" s="141" t="str">
        <f t="shared" si="46"/>
        <v/>
      </c>
    </row>
    <row r="219" spans="1:14">
      <c r="A219" s="145" t="str">
        <f>IF(C219="","",VLOOKUP('Opći dio'!$C$3,'Opći dio'!$L$6:$U$136,10,FALSE))</f>
        <v/>
      </c>
      <c r="B219" s="145" t="str">
        <f>IF(C219="","",VLOOKUP('Opći dio'!$C$3,'Opći dio'!$L$6:$U$136,9,FALSE))</f>
        <v/>
      </c>
      <c r="C219" s="151"/>
      <c r="D219" s="146" t="str">
        <f t="shared" si="42"/>
        <v/>
      </c>
      <c r="E219" s="151"/>
      <c r="F219" s="146" t="str">
        <f t="shared" si="43"/>
        <v/>
      </c>
      <c r="G219" s="186"/>
      <c r="H219" s="146" t="str">
        <f t="shared" si="44"/>
        <v/>
      </c>
      <c r="I219" s="185"/>
      <c r="J219" s="185"/>
      <c r="K219" s="185"/>
      <c r="M219" s="141" t="str">
        <f t="shared" si="45"/>
        <v/>
      </c>
      <c r="N219" s="141" t="str">
        <f t="shared" si="46"/>
        <v/>
      </c>
    </row>
    <row r="220" spans="1:14">
      <c r="A220" s="145" t="str">
        <f>IF(C220="","",VLOOKUP('Opći dio'!$C$3,'Opći dio'!$L$6:$U$136,10,FALSE))</f>
        <v/>
      </c>
      <c r="B220" s="145" t="str">
        <f>IF(C220="","",VLOOKUP('Opći dio'!$C$3,'Opći dio'!$L$6:$U$136,9,FALSE))</f>
        <v/>
      </c>
      <c r="C220" s="151"/>
      <c r="D220" s="146" t="str">
        <f t="shared" si="42"/>
        <v/>
      </c>
      <c r="E220" s="151"/>
      <c r="F220" s="146" t="str">
        <f t="shared" si="43"/>
        <v/>
      </c>
      <c r="G220" s="186"/>
      <c r="H220" s="146" t="str">
        <f t="shared" si="44"/>
        <v/>
      </c>
      <c r="I220" s="185"/>
      <c r="J220" s="185"/>
      <c r="K220" s="185"/>
      <c r="M220" s="141" t="str">
        <f t="shared" si="45"/>
        <v/>
      </c>
      <c r="N220" s="141" t="str">
        <f t="shared" si="46"/>
        <v/>
      </c>
    </row>
    <row r="221" spans="1:14">
      <c r="A221" s="145" t="str">
        <f>IF(C221="","",VLOOKUP('Opći dio'!$C$3,'Opći dio'!$L$6:$U$136,10,FALSE))</f>
        <v/>
      </c>
      <c r="B221" s="145" t="str">
        <f>IF(C221="","",VLOOKUP('Opći dio'!$C$3,'Opći dio'!$L$6:$U$136,9,FALSE))</f>
        <v/>
      </c>
      <c r="C221" s="151"/>
      <c r="D221" s="146" t="str">
        <f t="shared" si="42"/>
        <v/>
      </c>
      <c r="E221" s="151"/>
      <c r="F221" s="146" t="str">
        <f t="shared" si="43"/>
        <v/>
      </c>
      <c r="G221" s="186"/>
      <c r="H221" s="146" t="str">
        <f t="shared" si="44"/>
        <v/>
      </c>
      <c r="I221" s="185"/>
      <c r="J221" s="185"/>
      <c r="K221" s="185"/>
      <c r="M221" s="141" t="str">
        <f t="shared" si="45"/>
        <v/>
      </c>
      <c r="N221" s="141" t="str">
        <f t="shared" si="46"/>
        <v/>
      </c>
    </row>
    <row r="222" spans="1:14">
      <c r="A222" s="145" t="str">
        <f>IF(C222="","",VLOOKUP('Opći dio'!$C$3,'Opći dio'!$L$6:$U$136,10,FALSE))</f>
        <v/>
      </c>
      <c r="B222" s="145" t="str">
        <f>IF(C222="","",VLOOKUP('Opći dio'!$C$3,'Opći dio'!$L$6:$U$136,9,FALSE))</f>
        <v/>
      </c>
      <c r="C222" s="151"/>
      <c r="D222" s="146" t="str">
        <f t="shared" si="42"/>
        <v/>
      </c>
      <c r="E222" s="151"/>
      <c r="F222" s="146" t="str">
        <f t="shared" si="43"/>
        <v/>
      </c>
      <c r="G222" s="186"/>
      <c r="H222" s="146" t="str">
        <f t="shared" si="44"/>
        <v/>
      </c>
      <c r="I222" s="185"/>
      <c r="J222" s="185"/>
      <c r="K222" s="185"/>
      <c r="M222" s="141" t="str">
        <f t="shared" si="45"/>
        <v/>
      </c>
      <c r="N222" s="141" t="str">
        <f t="shared" si="46"/>
        <v/>
      </c>
    </row>
    <row r="223" spans="1:14">
      <c r="A223" s="145" t="str">
        <f>IF(C223="","",VLOOKUP('Opći dio'!$C$3,'Opći dio'!$L$6:$U$136,10,FALSE))</f>
        <v/>
      </c>
      <c r="B223" s="145" t="str">
        <f>IF(C223="","",VLOOKUP('Opći dio'!$C$3,'Opći dio'!$L$6:$U$136,9,FALSE))</f>
        <v/>
      </c>
      <c r="C223" s="151"/>
      <c r="D223" s="146" t="str">
        <f t="shared" si="42"/>
        <v/>
      </c>
      <c r="E223" s="151"/>
      <c r="F223" s="146" t="str">
        <f t="shared" si="43"/>
        <v/>
      </c>
      <c r="G223" s="186"/>
      <c r="H223" s="146" t="str">
        <f t="shared" si="44"/>
        <v/>
      </c>
      <c r="I223" s="185"/>
      <c r="J223" s="185"/>
      <c r="K223" s="185"/>
      <c r="M223" s="141" t="str">
        <f t="shared" si="45"/>
        <v/>
      </c>
      <c r="N223" s="141" t="str">
        <f t="shared" si="46"/>
        <v/>
      </c>
    </row>
    <row r="224" spans="1:14">
      <c r="A224" s="145" t="str">
        <f>IF(C224="","",VLOOKUP('Opći dio'!$C$3,'Opći dio'!$L$6:$U$136,10,FALSE))</f>
        <v/>
      </c>
      <c r="B224" s="145" t="str">
        <f>IF(C224="","",VLOOKUP('Opći dio'!$C$3,'Opći dio'!$L$6:$U$136,9,FALSE))</f>
        <v/>
      </c>
      <c r="C224" s="151"/>
      <c r="D224" s="146" t="str">
        <f t="shared" si="42"/>
        <v/>
      </c>
      <c r="E224" s="151"/>
      <c r="F224" s="146" t="str">
        <f t="shared" si="43"/>
        <v/>
      </c>
      <c r="G224" s="186"/>
      <c r="H224" s="146" t="str">
        <f t="shared" si="44"/>
        <v/>
      </c>
      <c r="I224" s="185"/>
      <c r="J224" s="185"/>
      <c r="K224" s="185"/>
      <c r="M224" s="141" t="str">
        <f t="shared" si="45"/>
        <v/>
      </c>
      <c r="N224" s="141" t="str">
        <f t="shared" si="46"/>
        <v/>
      </c>
    </row>
    <row r="225" spans="1:14">
      <c r="A225" s="145" t="str">
        <f>IF(C225="","",VLOOKUP('Opći dio'!$C$3,'Opći dio'!$L$6:$U$136,10,FALSE))</f>
        <v/>
      </c>
      <c r="B225" s="145" t="str">
        <f>IF(C225="","",VLOOKUP('Opći dio'!$C$3,'Opći dio'!$L$6:$U$136,9,FALSE))</f>
        <v/>
      </c>
      <c r="C225" s="151"/>
      <c r="D225" s="146" t="str">
        <f t="shared" si="42"/>
        <v/>
      </c>
      <c r="E225" s="151"/>
      <c r="F225" s="146" t="str">
        <f t="shared" si="43"/>
        <v/>
      </c>
      <c r="G225" s="186"/>
      <c r="H225" s="146" t="str">
        <f t="shared" si="44"/>
        <v/>
      </c>
      <c r="I225" s="185"/>
      <c r="J225" s="185"/>
      <c r="K225" s="185"/>
      <c r="M225" s="141" t="str">
        <f t="shared" si="45"/>
        <v/>
      </c>
      <c r="N225" s="141" t="str">
        <f t="shared" si="46"/>
        <v/>
      </c>
    </row>
    <row r="226" spans="1:14">
      <c r="A226" s="145" t="str">
        <f>IF(C226="","",VLOOKUP('Opći dio'!$C$3,'Opći dio'!$L$6:$U$136,10,FALSE))</f>
        <v/>
      </c>
      <c r="B226" s="145" t="str">
        <f>IF(C226="","",VLOOKUP('Opći dio'!$C$3,'Opći dio'!$L$6:$U$136,9,FALSE))</f>
        <v/>
      </c>
      <c r="C226" s="151"/>
      <c r="D226" s="146" t="str">
        <f t="shared" si="42"/>
        <v/>
      </c>
      <c r="E226" s="151"/>
      <c r="F226" s="146" t="str">
        <f t="shared" si="43"/>
        <v/>
      </c>
      <c r="G226" s="186"/>
      <c r="H226" s="146" t="str">
        <f t="shared" si="44"/>
        <v/>
      </c>
      <c r="I226" s="185"/>
      <c r="J226" s="185"/>
      <c r="K226" s="185"/>
      <c r="M226" s="141" t="str">
        <f t="shared" si="45"/>
        <v/>
      </c>
      <c r="N226" s="141" t="str">
        <f t="shared" si="46"/>
        <v/>
      </c>
    </row>
    <row r="227" spans="1:14">
      <c r="A227" s="145" t="str">
        <f>IF(C227="","",VLOOKUP('Opći dio'!$C$3,'Opći dio'!$L$6:$U$136,10,FALSE))</f>
        <v/>
      </c>
      <c r="B227" s="145" t="str">
        <f>IF(C227="","",VLOOKUP('Opći dio'!$C$3,'Opći dio'!$L$6:$U$136,9,FALSE))</f>
        <v/>
      </c>
      <c r="C227" s="151"/>
      <c r="D227" s="146" t="str">
        <f t="shared" si="42"/>
        <v/>
      </c>
      <c r="E227" s="151"/>
      <c r="F227" s="146" t="str">
        <f t="shared" si="43"/>
        <v/>
      </c>
      <c r="G227" s="186"/>
      <c r="H227" s="146" t="str">
        <f t="shared" si="44"/>
        <v/>
      </c>
      <c r="I227" s="185"/>
      <c r="J227" s="185"/>
      <c r="K227" s="185"/>
      <c r="M227" s="141" t="str">
        <f t="shared" si="45"/>
        <v/>
      </c>
      <c r="N227" s="141" t="str">
        <f t="shared" si="46"/>
        <v/>
      </c>
    </row>
    <row r="228" spans="1:14">
      <c r="A228" s="145" t="str">
        <f>IF(C228="","",VLOOKUP('Opći dio'!$C$3,'Opći dio'!$L$6:$U$136,10,FALSE))</f>
        <v/>
      </c>
      <c r="B228" s="145" t="str">
        <f>IF(C228="","",VLOOKUP('Opći dio'!$C$3,'Opći dio'!$L$6:$U$136,9,FALSE))</f>
        <v/>
      </c>
      <c r="C228" s="151"/>
      <c r="D228" s="146" t="str">
        <f t="shared" si="42"/>
        <v/>
      </c>
      <c r="E228" s="151"/>
      <c r="F228" s="146" t="str">
        <f t="shared" si="43"/>
        <v/>
      </c>
      <c r="G228" s="186"/>
      <c r="H228" s="146" t="str">
        <f t="shared" si="44"/>
        <v/>
      </c>
      <c r="I228" s="185"/>
      <c r="J228" s="185"/>
      <c r="K228" s="185"/>
      <c r="M228" s="141" t="str">
        <f t="shared" si="45"/>
        <v/>
      </c>
      <c r="N228" s="141" t="str">
        <f t="shared" si="46"/>
        <v/>
      </c>
    </row>
    <row r="229" spans="1:14">
      <c r="A229" s="145" t="str">
        <f>IF(C229="","",VLOOKUP('Opći dio'!$C$3,'Opći dio'!$L$6:$U$136,10,FALSE))</f>
        <v/>
      </c>
      <c r="B229" s="145" t="str">
        <f>IF(C229="","",VLOOKUP('Opći dio'!$C$3,'Opći dio'!$L$6:$U$136,9,FALSE))</f>
        <v/>
      </c>
      <c r="C229" s="151"/>
      <c r="D229" s="146" t="str">
        <f t="shared" si="42"/>
        <v/>
      </c>
      <c r="E229" s="151"/>
      <c r="F229" s="146" t="str">
        <f t="shared" si="43"/>
        <v/>
      </c>
      <c r="G229" s="186"/>
      <c r="H229" s="146" t="str">
        <f t="shared" si="44"/>
        <v/>
      </c>
      <c r="I229" s="185"/>
      <c r="J229" s="185"/>
      <c r="K229" s="185"/>
      <c r="M229" s="141" t="str">
        <f t="shared" si="45"/>
        <v/>
      </c>
      <c r="N229" s="141" t="str">
        <f t="shared" si="46"/>
        <v/>
      </c>
    </row>
    <row r="230" spans="1:14">
      <c r="A230" s="145" t="str">
        <f>IF(C230="","",VLOOKUP('Opći dio'!$C$3,'Opći dio'!$L$6:$U$136,10,FALSE))</f>
        <v/>
      </c>
      <c r="B230" s="145" t="str">
        <f>IF(C230="","",VLOOKUP('Opći dio'!$C$3,'Opći dio'!$L$6:$U$136,9,FALSE))</f>
        <v/>
      </c>
      <c r="C230" s="151"/>
      <c r="D230" s="146" t="str">
        <f t="shared" si="42"/>
        <v/>
      </c>
      <c r="E230" s="151"/>
      <c r="F230" s="146" t="str">
        <f t="shared" si="43"/>
        <v/>
      </c>
      <c r="G230" s="186"/>
      <c r="H230" s="146" t="str">
        <f t="shared" si="44"/>
        <v/>
      </c>
      <c r="I230" s="185"/>
      <c r="J230" s="185"/>
      <c r="K230" s="185"/>
      <c r="M230" s="141" t="str">
        <f t="shared" si="45"/>
        <v/>
      </c>
      <c r="N230" s="141" t="str">
        <f t="shared" si="46"/>
        <v/>
      </c>
    </row>
    <row r="231" spans="1:14">
      <c r="A231" s="145" t="str">
        <f>IF(C231="","",VLOOKUP('Opći dio'!$C$3,'Opći dio'!$L$6:$U$136,10,FALSE))</f>
        <v/>
      </c>
      <c r="B231" s="145" t="str">
        <f>IF(C231="","",VLOOKUP('Opći dio'!$C$3,'Opći dio'!$L$6:$U$136,9,FALSE))</f>
        <v/>
      </c>
      <c r="C231" s="151"/>
      <c r="D231" s="146" t="str">
        <f t="shared" si="42"/>
        <v/>
      </c>
      <c r="E231" s="151"/>
      <c r="F231" s="146" t="str">
        <f t="shared" si="43"/>
        <v/>
      </c>
      <c r="G231" s="186"/>
      <c r="H231" s="146" t="str">
        <f t="shared" si="44"/>
        <v/>
      </c>
      <c r="I231" s="185"/>
      <c r="J231" s="185"/>
      <c r="K231" s="185"/>
      <c r="M231" s="141" t="str">
        <f t="shared" si="45"/>
        <v/>
      </c>
      <c r="N231" s="141" t="str">
        <f t="shared" si="46"/>
        <v/>
      </c>
    </row>
    <row r="232" spans="1:14">
      <c r="A232" s="145" t="str">
        <f>IF(C232="","",VLOOKUP('Opći dio'!$C$3,'Opći dio'!$L$6:$U$136,10,FALSE))</f>
        <v/>
      </c>
      <c r="B232" s="145" t="str">
        <f>IF(C232="","",VLOOKUP('Opći dio'!$C$3,'Opći dio'!$L$6:$U$136,9,FALSE))</f>
        <v/>
      </c>
      <c r="C232" s="151"/>
      <c r="D232" s="146" t="str">
        <f t="shared" si="42"/>
        <v/>
      </c>
      <c r="E232" s="151"/>
      <c r="F232" s="146" t="str">
        <f t="shared" si="43"/>
        <v/>
      </c>
      <c r="G232" s="186"/>
      <c r="H232" s="146" t="str">
        <f t="shared" si="44"/>
        <v/>
      </c>
      <c r="I232" s="185"/>
      <c r="J232" s="185"/>
      <c r="K232" s="185"/>
      <c r="M232" s="141" t="str">
        <f t="shared" si="45"/>
        <v/>
      </c>
      <c r="N232" s="141" t="str">
        <f t="shared" si="46"/>
        <v/>
      </c>
    </row>
    <row r="233" spans="1:14">
      <c r="A233" s="145" t="str">
        <f>IF(C233="","",VLOOKUP('Opći dio'!$C$3,'Opći dio'!$L$6:$U$136,10,FALSE))</f>
        <v/>
      </c>
      <c r="B233" s="145" t="str">
        <f>IF(C233="","",VLOOKUP('Opći dio'!$C$3,'Opći dio'!$L$6:$U$136,9,FALSE))</f>
        <v/>
      </c>
      <c r="C233" s="151"/>
      <c r="D233" s="146" t="str">
        <f t="shared" si="42"/>
        <v/>
      </c>
      <c r="E233" s="151"/>
      <c r="F233" s="146" t="str">
        <f t="shared" si="43"/>
        <v/>
      </c>
      <c r="G233" s="186"/>
      <c r="H233" s="146" t="str">
        <f t="shared" si="44"/>
        <v/>
      </c>
      <c r="I233" s="185"/>
      <c r="J233" s="185"/>
      <c r="K233" s="185"/>
      <c r="M233" s="141" t="str">
        <f t="shared" si="45"/>
        <v/>
      </c>
      <c r="N233" s="141" t="str">
        <f t="shared" si="46"/>
        <v/>
      </c>
    </row>
    <row r="234" spans="1:14">
      <c r="A234" s="145" t="str">
        <f>IF(C234="","",VLOOKUP('Opći dio'!$C$3,'Opći dio'!$L$6:$U$136,10,FALSE))</f>
        <v/>
      </c>
      <c r="B234" s="145" t="str">
        <f>IF(C234="","",VLOOKUP('Opći dio'!$C$3,'Opći dio'!$L$6:$U$136,9,FALSE))</f>
        <v/>
      </c>
      <c r="C234" s="151"/>
      <c r="D234" s="146" t="str">
        <f t="shared" si="42"/>
        <v/>
      </c>
      <c r="E234" s="151"/>
      <c r="F234" s="146" t="str">
        <f t="shared" si="43"/>
        <v/>
      </c>
      <c r="G234" s="186"/>
      <c r="H234" s="146" t="str">
        <f t="shared" si="44"/>
        <v/>
      </c>
      <c r="I234" s="185"/>
      <c r="J234" s="185"/>
      <c r="K234" s="185"/>
      <c r="M234" s="141" t="str">
        <f t="shared" si="45"/>
        <v/>
      </c>
      <c r="N234" s="141" t="str">
        <f t="shared" si="46"/>
        <v/>
      </c>
    </row>
    <row r="235" spans="1:14">
      <c r="A235" s="145" t="str">
        <f>IF(C235="","",VLOOKUP('Opći dio'!$C$3,'Opći dio'!$L$6:$U$136,10,FALSE))</f>
        <v/>
      </c>
      <c r="B235" s="145" t="str">
        <f>IF(C235="","",VLOOKUP('Opći dio'!$C$3,'Opći dio'!$L$6:$U$136,9,FALSE))</f>
        <v/>
      </c>
      <c r="C235" s="151"/>
      <c r="D235" s="146" t="str">
        <f t="shared" si="42"/>
        <v/>
      </c>
      <c r="E235" s="151"/>
      <c r="F235" s="146" t="str">
        <f t="shared" si="43"/>
        <v/>
      </c>
      <c r="G235" s="186"/>
      <c r="H235" s="146" t="str">
        <f t="shared" si="44"/>
        <v/>
      </c>
      <c r="I235" s="185"/>
      <c r="J235" s="185"/>
      <c r="K235" s="185"/>
      <c r="M235" s="141" t="str">
        <f t="shared" si="45"/>
        <v/>
      </c>
      <c r="N235" s="141" t="str">
        <f t="shared" si="46"/>
        <v/>
      </c>
    </row>
    <row r="236" spans="1:14">
      <c r="A236" s="145" t="str">
        <f>IF(C236="","",VLOOKUP('Opći dio'!$C$3,'Opći dio'!$L$6:$U$136,10,FALSE))</f>
        <v/>
      </c>
      <c r="B236" s="145" t="str">
        <f>IF(C236="","",VLOOKUP('Opći dio'!$C$3,'Opći dio'!$L$6:$U$136,9,FALSE))</f>
        <v/>
      </c>
      <c r="C236" s="151"/>
      <c r="D236" s="146" t="str">
        <f t="shared" si="42"/>
        <v/>
      </c>
      <c r="E236" s="151"/>
      <c r="F236" s="146" t="str">
        <f t="shared" si="43"/>
        <v/>
      </c>
      <c r="G236" s="186"/>
      <c r="H236" s="146" t="str">
        <f t="shared" si="44"/>
        <v/>
      </c>
      <c r="I236" s="185"/>
      <c r="J236" s="185"/>
      <c r="K236" s="185"/>
      <c r="M236" s="141" t="str">
        <f t="shared" si="45"/>
        <v/>
      </c>
      <c r="N236" s="141" t="str">
        <f t="shared" si="46"/>
        <v/>
      </c>
    </row>
    <row r="237" spans="1:14">
      <c r="A237" s="145" t="str">
        <f>IF(C237="","",VLOOKUP('Opći dio'!$C$3,'Opći dio'!$L$6:$U$136,10,FALSE))</f>
        <v/>
      </c>
      <c r="B237" s="145" t="str">
        <f>IF(C237="","",VLOOKUP('Opći dio'!$C$3,'Opći dio'!$L$6:$U$136,9,FALSE))</f>
        <v/>
      </c>
      <c r="C237" s="151"/>
      <c r="D237" s="146" t="str">
        <f t="shared" si="42"/>
        <v/>
      </c>
      <c r="E237" s="151"/>
      <c r="F237" s="146" t="str">
        <f t="shared" si="43"/>
        <v/>
      </c>
      <c r="G237" s="186"/>
      <c r="H237" s="146" t="str">
        <f t="shared" si="44"/>
        <v/>
      </c>
      <c r="I237" s="185"/>
      <c r="J237" s="185"/>
      <c r="K237" s="185"/>
      <c r="M237" s="141" t="str">
        <f t="shared" si="45"/>
        <v/>
      </c>
      <c r="N237" s="141" t="str">
        <f t="shared" si="46"/>
        <v/>
      </c>
    </row>
    <row r="238" spans="1:14">
      <c r="A238" s="145" t="str">
        <f>IF(C238="","",VLOOKUP('Opći dio'!$C$3,'Opći dio'!$L$6:$U$136,10,FALSE))</f>
        <v/>
      </c>
      <c r="B238" s="145" t="str">
        <f>IF(C238="","",VLOOKUP('Opći dio'!$C$3,'Opći dio'!$L$6:$U$136,9,FALSE))</f>
        <v/>
      </c>
      <c r="C238" s="151"/>
      <c r="D238" s="146" t="str">
        <f t="shared" si="42"/>
        <v/>
      </c>
      <c r="E238" s="151"/>
      <c r="F238" s="146" t="str">
        <f t="shared" si="43"/>
        <v/>
      </c>
      <c r="G238" s="186"/>
      <c r="H238" s="146" t="str">
        <f t="shared" si="44"/>
        <v/>
      </c>
      <c r="I238" s="185"/>
      <c r="J238" s="185"/>
      <c r="K238" s="185"/>
      <c r="M238" s="141" t="str">
        <f t="shared" si="45"/>
        <v/>
      </c>
      <c r="N238" s="141" t="str">
        <f t="shared" si="46"/>
        <v/>
      </c>
    </row>
    <row r="239" spans="1:14">
      <c r="A239" s="145" t="str">
        <f>IF(C239="","",VLOOKUP('Opći dio'!$C$3,'Opći dio'!$L$6:$U$136,10,FALSE))</f>
        <v/>
      </c>
      <c r="B239" s="145" t="str">
        <f>IF(C239="","",VLOOKUP('Opći dio'!$C$3,'Opći dio'!$L$6:$U$136,9,FALSE))</f>
        <v/>
      </c>
      <c r="C239" s="151"/>
      <c r="D239" s="146" t="str">
        <f t="shared" si="42"/>
        <v/>
      </c>
      <c r="E239" s="151"/>
      <c r="F239" s="146" t="str">
        <f t="shared" si="43"/>
        <v/>
      </c>
      <c r="G239" s="186"/>
      <c r="H239" s="146" t="str">
        <f t="shared" si="44"/>
        <v/>
      </c>
      <c r="I239" s="185"/>
      <c r="J239" s="185"/>
      <c r="K239" s="185"/>
      <c r="M239" s="141" t="str">
        <f t="shared" si="45"/>
        <v/>
      </c>
      <c r="N239" s="141" t="str">
        <f t="shared" si="46"/>
        <v/>
      </c>
    </row>
    <row r="240" spans="1:14">
      <c r="A240" s="145" t="str">
        <f>IF(C240="","",VLOOKUP('Opći dio'!$C$3,'Opći dio'!$L$6:$U$136,10,FALSE))</f>
        <v/>
      </c>
      <c r="B240" s="145" t="str">
        <f>IF(C240="","",VLOOKUP('Opći dio'!$C$3,'Opći dio'!$L$6:$U$136,9,FALSE))</f>
        <v/>
      </c>
      <c r="C240" s="151"/>
      <c r="D240" s="146" t="str">
        <f t="shared" si="42"/>
        <v/>
      </c>
      <c r="E240" s="151"/>
      <c r="F240" s="146" t="str">
        <f t="shared" si="43"/>
        <v/>
      </c>
      <c r="G240" s="186"/>
      <c r="H240" s="146" t="str">
        <f t="shared" si="44"/>
        <v/>
      </c>
      <c r="I240" s="185"/>
      <c r="J240" s="185"/>
      <c r="K240" s="185"/>
      <c r="M240" s="141" t="str">
        <f t="shared" si="45"/>
        <v/>
      </c>
      <c r="N240" s="141" t="str">
        <f t="shared" si="46"/>
        <v/>
      </c>
    </row>
    <row r="241" spans="1:14">
      <c r="A241" s="145" t="str">
        <f>IF(C241="","",VLOOKUP('Opći dio'!$C$3,'Opći dio'!$L$6:$U$136,10,FALSE))</f>
        <v/>
      </c>
      <c r="B241" s="145" t="str">
        <f>IF(C241="","",VLOOKUP('Opći dio'!$C$3,'Opći dio'!$L$6:$U$136,9,FALSE))</f>
        <v/>
      </c>
      <c r="C241" s="151"/>
      <c r="D241" s="146" t="str">
        <f t="shared" si="42"/>
        <v/>
      </c>
      <c r="E241" s="151"/>
      <c r="F241" s="146" t="str">
        <f t="shared" si="43"/>
        <v/>
      </c>
      <c r="G241" s="186"/>
      <c r="H241" s="146" t="str">
        <f t="shared" si="44"/>
        <v/>
      </c>
      <c r="I241" s="185"/>
      <c r="J241" s="185"/>
      <c r="K241" s="185"/>
      <c r="M241" s="141" t="str">
        <f t="shared" si="45"/>
        <v/>
      </c>
      <c r="N241" s="141" t="str">
        <f t="shared" si="46"/>
        <v/>
      </c>
    </row>
    <row r="242" spans="1:14">
      <c r="A242" s="145" t="str">
        <f>IF(C242="","",VLOOKUP('Opći dio'!$C$3,'Opći dio'!$L$6:$U$136,10,FALSE))</f>
        <v/>
      </c>
      <c r="B242" s="145" t="str">
        <f>IF(C242="","",VLOOKUP('Opći dio'!$C$3,'Opći dio'!$L$6:$U$136,9,FALSE))</f>
        <v/>
      </c>
      <c r="C242" s="151"/>
      <c r="D242" s="146" t="str">
        <f t="shared" si="42"/>
        <v/>
      </c>
      <c r="E242" s="151"/>
      <c r="F242" s="146" t="str">
        <f t="shared" si="43"/>
        <v/>
      </c>
      <c r="G242" s="186"/>
      <c r="H242" s="146" t="str">
        <f t="shared" si="44"/>
        <v/>
      </c>
      <c r="I242" s="185"/>
      <c r="J242" s="185"/>
      <c r="K242" s="185"/>
      <c r="M242" s="141" t="str">
        <f t="shared" si="45"/>
        <v/>
      </c>
      <c r="N242" s="141" t="str">
        <f t="shared" si="46"/>
        <v/>
      </c>
    </row>
    <row r="243" spans="1:14">
      <c r="A243" s="145" t="str">
        <f>IF(C243="","",VLOOKUP('Opći dio'!$C$3,'Opći dio'!$L$6:$U$136,10,FALSE))</f>
        <v/>
      </c>
      <c r="B243" s="145" t="str">
        <f>IF(C243="","",VLOOKUP('Opći dio'!$C$3,'Opći dio'!$L$6:$U$136,9,FALSE))</f>
        <v/>
      </c>
      <c r="C243" s="151"/>
      <c r="D243" s="146" t="str">
        <f t="shared" si="42"/>
        <v/>
      </c>
      <c r="E243" s="151"/>
      <c r="F243" s="146" t="str">
        <f t="shared" si="43"/>
        <v/>
      </c>
      <c r="G243" s="186"/>
      <c r="H243" s="146" t="str">
        <f t="shared" si="44"/>
        <v/>
      </c>
      <c r="I243" s="185"/>
      <c r="J243" s="185"/>
      <c r="K243" s="185"/>
      <c r="M243" s="141" t="str">
        <f t="shared" si="45"/>
        <v/>
      </c>
      <c r="N243" s="141" t="str">
        <f t="shared" si="46"/>
        <v/>
      </c>
    </row>
    <row r="244" spans="1:14">
      <c r="A244" s="145" t="str">
        <f>IF(C244="","",VLOOKUP('Opći dio'!$C$3,'Opći dio'!$L$6:$U$136,10,FALSE))</f>
        <v/>
      </c>
      <c r="B244" s="145" t="str">
        <f>IF(C244="","",VLOOKUP('Opći dio'!$C$3,'Opći dio'!$L$6:$U$136,9,FALSE))</f>
        <v/>
      </c>
      <c r="C244" s="151"/>
      <c r="D244" s="146" t="str">
        <f t="shared" si="42"/>
        <v/>
      </c>
      <c r="E244" s="151"/>
      <c r="F244" s="146" t="str">
        <f t="shared" si="43"/>
        <v/>
      </c>
      <c r="G244" s="186"/>
      <c r="H244" s="146" t="str">
        <f t="shared" si="44"/>
        <v/>
      </c>
      <c r="I244" s="185"/>
      <c r="J244" s="185"/>
      <c r="K244" s="185"/>
      <c r="M244" s="141" t="str">
        <f t="shared" si="45"/>
        <v/>
      </c>
      <c r="N244" s="141" t="str">
        <f t="shared" si="46"/>
        <v/>
      </c>
    </row>
    <row r="245" spans="1:14">
      <c r="A245" s="145" t="str">
        <f>IF(C245="","",VLOOKUP('Opći dio'!$C$3,'Opći dio'!$L$6:$U$136,10,FALSE))</f>
        <v/>
      </c>
      <c r="B245" s="145" t="str">
        <f>IF(C245="","",VLOOKUP('Opći dio'!$C$3,'Opći dio'!$L$6:$U$136,9,FALSE))</f>
        <v/>
      </c>
      <c r="C245" s="151"/>
      <c r="D245" s="146" t="str">
        <f t="shared" si="42"/>
        <v/>
      </c>
      <c r="E245" s="151"/>
      <c r="F245" s="146" t="str">
        <f t="shared" si="43"/>
        <v/>
      </c>
      <c r="G245" s="186"/>
      <c r="H245" s="146" t="str">
        <f t="shared" si="44"/>
        <v/>
      </c>
      <c r="I245" s="185"/>
      <c r="J245" s="185"/>
      <c r="K245" s="185"/>
      <c r="M245" s="141" t="str">
        <f t="shared" si="45"/>
        <v/>
      </c>
      <c r="N245" s="141" t="str">
        <f t="shared" si="46"/>
        <v/>
      </c>
    </row>
    <row r="246" spans="1:14">
      <c r="A246" s="145" t="str">
        <f>IF(C246="","",VLOOKUP('Opći dio'!$C$3,'Opći dio'!$L$6:$U$136,10,FALSE))</f>
        <v/>
      </c>
      <c r="B246" s="145" t="str">
        <f>IF(C246="","",VLOOKUP('Opći dio'!$C$3,'Opći dio'!$L$6:$U$136,9,FALSE))</f>
        <v/>
      </c>
      <c r="C246" s="151"/>
      <c r="D246" s="146" t="str">
        <f t="shared" si="42"/>
        <v/>
      </c>
      <c r="E246" s="151"/>
      <c r="F246" s="146" t="str">
        <f t="shared" si="43"/>
        <v/>
      </c>
      <c r="G246" s="186"/>
      <c r="H246" s="146" t="str">
        <f t="shared" si="44"/>
        <v/>
      </c>
      <c r="I246" s="185"/>
      <c r="J246" s="185"/>
      <c r="K246" s="185"/>
      <c r="M246" s="141" t="str">
        <f t="shared" si="45"/>
        <v/>
      </c>
      <c r="N246" s="141" t="str">
        <f t="shared" si="46"/>
        <v/>
      </c>
    </row>
    <row r="247" spans="1:14">
      <c r="A247" s="145" t="str">
        <f>IF(C247="","",VLOOKUP('Opći dio'!$C$3,'Opći dio'!$L$6:$U$136,10,FALSE))</f>
        <v/>
      </c>
      <c r="B247" s="145" t="str">
        <f>IF(C247="","",VLOOKUP('Opći dio'!$C$3,'Opći dio'!$L$6:$U$136,9,FALSE))</f>
        <v/>
      </c>
      <c r="C247" s="151"/>
      <c r="D247" s="146" t="str">
        <f t="shared" si="42"/>
        <v/>
      </c>
      <c r="E247" s="151"/>
      <c r="F247" s="146" t="str">
        <f t="shared" si="43"/>
        <v/>
      </c>
      <c r="G247" s="186"/>
      <c r="H247" s="146" t="str">
        <f t="shared" si="44"/>
        <v/>
      </c>
      <c r="I247" s="185"/>
      <c r="J247" s="185"/>
      <c r="K247" s="185"/>
      <c r="M247" s="141" t="str">
        <f t="shared" si="45"/>
        <v/>
      </c>
      <c r="N247" s="141" t="str">
        <f t="shared" si="46"/>
        <v/>
      </c>
    </row>
    <row r="248" spans="1:14">
      <c r="A248" s="145" t="str">
        <f>IF(C248="","",VLOOKUP('Opći dio'!$C$3,'Opći dio'!$L$6:$U$136,10,FALSE))</f>
        <v/>
      </c>
      <c r="B248" s="145" t="str">
        <f>IF(C248="","",VLOOKUP('Opći dio'!$C$3,'Opći dio'!$L$6:$U$136,9,FALSE))</f>
        <v/>
      </c>
      <c r="C248" s="151"/>
      <c r="D248" s="146" t="str">
        <f t="shared" si="42"/>
        <v/>
      </c>
      <c r="E248" s="151"/>
      <c r="F248" s="146" t="str">
        <f t="shared" si="43"/>
        <v/>
      </c>
      <c r="G248" s="186"/>
      <c r="H248" s="146" t="str">
        <f t="shared" si="44"/>
        <v/>
      </c>
      <c r="I248" s="185"/>
      <c r="J248" s="185"/>
      <c r="K248" s="185"/>
      <c r="M248" s="141" t="str">
        <f t="shared" si="45"/>
        <v/>
      </c>
      <c r="N248" s="141" t="str">
        <f t="shared" si="46"/>
        <v/>
      </c>
    </row>
    <row r="249" spans="1:14">
      <c r="A249" s="145" t="str">
        <f>IF(C249="","",VLOOKUP('Opći dio'!$C$3,'Opći dio'!$L$6:$U$136,10,FALSE))</f>
        <v/>
      </c>
      <c r="B249" s="145" t="str">
        <f>IF(C249="","",VLOOKUP('Opći dio'!$C$3,'Opći dio'!$L$6:$U$136,9,FALSE))</f>
        <v/>
      </c>
      <c r="C249" s="151"/>
      <c r="D249" s="146" t="str">
        <f t="shared" si="42"/>
        <v/>
      </c>
      <c r="E249" s="151"/>
      <c r="F249" s="146" t="str">
        <f t="shared" si="43"/>
        <v/>
      </c>
      <c r="G249" s="186"/>
      <c r="H249" s="146" t="str">
        <f t="shared" si="44"/>
        <v/>
      </c>
      <c r="I249" s="185"/>
      <c r="J249" s="185"/>
      <c r="K249" s="185"/>
      <c r="M249" s="141" t="str">
        <f t="shared" si="45"/>
        <v/>
      </c>
      <c r="N249" s="141" t="str">
        <f t="shared" si="46"/>
        <v/>
      </c>
    </row>
    <row r="250" spans="1:14">
      <c r="A250" s="145" t="str">
        <f>IF(C250="","",VLOOKUP('Opći dio'!$C$3,'Opći dio'!$L$6:$U$136,10,FALSE))</f>
        <v/>
      </c>
      <c r="B250" s="145" t="str">
        <f>IF(C250="","",VLOOKUP('Opći dio'!$C$3,'Opći dio'!$L$6:$U$136,9,FALSE))</f>
        <v/>
      </c>
      <c r="C250" s="151"/>
      <c r="D250" s="146" t="str">
        <f t="shared" si="42"/>
        <v/>
      </c>
      <c r="E250" s="151"/>
      <c r="F250" s="146" t="str">
        <f t="shared" si="43"/>
        <v/>
      </c>
      <c r="G250" s="186"/>
      <c r="H250" s="146" t="str">
        <f t="shared" si="44"/>
        <v/>
      </c>
      <c r="I250" s="185"/>
      <c r="J250" s="185"/>
      <c r="K250" s="185"/>
      <c r="M250" s="141" t="str">
        <f t="shared" si="45"/>
        <v/>
      </c>
      <c r="N250" s="141" t="str">
        <f t="shared" si="46"/>
        <v/>
      </c>
    </row>
    <row r="251" spans="1:14">
      <c r="A251" s="145" t="str">
        <f>IF(C251="","",VLOOKUP('Opći dio'!$C$3,'Opći dio'!$L$6:$U$136,10,FALSE))</f>
        <v/>
      </c>
      <c r="B251" s="145" t="str">
        <f>IF(C251="","",VLOOKUP('Opći dio'!$C$3,'Opći dio'!$L$6:$U$136,9,FALSE))</f>
        <v/>
      </c>
      <c r="C251" s="151"/>
      <c r="D251" s="146" t="str">
        <f t="shared" si="42"/>
        <v/>
      </c>
      <c r="E251" s="151"/>
      <c r="F251" s="146" t="str">
        <f t="shared" si="43"/>
        <v/>
      </c>
      <c r="G251" s="186"/>
      <c r="H251" s="146" t="str">
        <f t="shared" si="44"/>
        <v/>
      </c>
      <c r="I251" s="185"/>
      <c r="J251" s="185"/>
      <c r="K251" s="185"/>
      <c r="M251" s="141" t="str">
        <f t="shared" si="45"/>
        <v/>
      </c>
      <c r="N251" s="141" t="str">
        <f t="shared" si="46"/>
        <v/>
      </c>
    </row>
    <row r="252" spans="1:14">
      <c r="A252" s="145" t="str">
        <f>IF(C252="","",VLOOKUP('Opći dio'!$C$3,'Opći dio'!$L$6:$U$136,10,FALSE))</f>
        <v/>
      </c>
      <c r="B252" s="145" t="str">
        <f>IF(C252="","",VLOOKUP('Opći dio'!$C$3,'Opći dio'!$L$6:$U$136,9,FALSE))</f>
        <v/>
      </c>
      <c r="C252" s="151"/>
      <c r="D252" s="146" t="str">
        <f t="shared" si="42"/>
        <v/>
      </c>
      <c r="E252" s="151"/>
      <c r="F252" s="146" t="str">
        <f t="shared" si="43"/>
        <v/>
      </c>
      <c r="G252" s="186"/>
      <c r="H252" s="146" t="str">
        <f t="shared" si="44"/>
        <v/>
      </c>
      <c r="I252" s="185"/>
      <c r="J252" s="185"/>
      <c r="K252" s="185"/>
      <c r="M252" s="141" t="str">
        <f t="shared" si="45"/>
        <v/>
      </c>
      <c r="N252" s="141" t="str">
        <f t="shared" si="46"/>
        <v/>
      </c>
    </row>
    <row r="253" spans="1:14">
      <c r="A253" s="145" t="str">
        <f>IF(C253="","",VLOOKUP('Opći dio'!$C$3,'Opći dio'!$L$6:$U$136,10,FALSE))</f>
        <v/>
      </c>
      <c r="B253" s="145" t="str">
        <f>IF(C253="","",VLOOKUP('Opći dio'!$C$3,'Opći dio'!$L$6:$U$136,9,FALSE))</f>
        <v/>
      </c>
      <c r="C253" s="151"/>
      <c r="D253" s="146" t="str">
        <f t="shared" si="42"/>
        <v/>
      </c>
      <c r="E253" s="151"/>
      <c r="F253" s="146" t="str">
        <f t="shared" si="43"/>
        <v/>
      </c>
      <c r="G253" s="186"/>
      <c r="H253" s="146" t="str">
        <f t="shared" si="44"/>
        <v/>
      </c>
      <c r="I253" s="185"/>
      <c r="J253" s="185"/>
      <c r="K253" s="185"/>
      <c r="M253" s="141" t="str">
        <f t="shared" si="45"/>
        <v/>
      </c>
      <c r="N253" s="141" t="str">
        <f t="shared" si="46"/>
        <v/>
      </c>
    </row>
    <row r="254" spans="1:14">
      <c r="A254" s="145" t="str">
        <f>IF(C254="","",VLOOKUP('Opći dio'!$C$3,'Opći dio'!$L$6:$U$136,10,FALSE))</f>
        <v/>
      </c>
      <c r="B254" s="145" t="str">
        <f>IF(C254="","",VLOOKUP('Opći dio'!$C$3,'Opći dio'!$L$6:$U$136,9,FALSE))</f>
        <v/>
      </c>
      <c r="C254" s="151"/>
      <c r="D254" s="146" t="str">
        <f t="shared" si="42"/>
        <v/>
      </c>
      <c r="E254" s="151"/>
      <c r="F254" s="146" t="str">
        <f t="shared" si="43"/>
        <v/>
      </c>
      <c r="G254" s="186"/>
      <c r="H254" s="146" t="str">
        <f t="shared" si="44"/>
        <v/>
      </c>
      <c r="I254" s="185"/>
      <c r="J254" s="185"/>
      <c r="K254" s="185"/>
      <c r="M254" s="141" t="str">
        <f t="shared" si="45"/>
        <v/>
      </c>
      <c r="N254" s="141" t="str">
        <f t="shared" si="46"/>
        <v/>
      </c>
    </row>
    <row r="255" spans="1:14">
      <c r="A255" s="145" t="str">
        <f>IF(C255="","",VLOOKUP('Opći dio'!$C$3,'Opći dio'!$L$6:$U$136,10,FALSE))</f>
        <v/>
      </c>
      <c r="B255" s="145" t="str">
        <f>IF(C255="","",VLOOKUP('Opći dio'!$C$3,'Opći dio'!$L$6:$U$136,9,FALSE))</f>
        <v/>
      </c>
      <c r="C255" s="151"/>
      <c r="D255" s="146" t="str">
        <f t="shared" si="42"/>
        <v/>
      </c>
      <c r="E255" s="151"/>
      <c r="F255" s="146" t="str">
        <f t="shared" si="43"/>
        <v/>
      </c>
      <c r="G255" s="186"/>
      <c r="H255" s="146" t="str">
        <f t="shared" si="44"/>
        <v/>
      </c>
      <c r="I255" s="185"/>
      <c r="J255" s="185"/>
      <c r="K255" s="185"/>
      <c r="M255" s="141" t="str">
        <f t="shared" si="45"/>
        <v/>
      </c>
      <c r="N255" s="141" t="str">
        <f t="shared" si="46"/>
        <v/>
      </c>
    </row>
    <row r="256" spans="1:14">
      <c r="A256" s="145" t="str">
        <f>IF(C256="","",VLOOKUP('Opći dio'!$C$3,'Opći dio'!$L$6:$U$136,10,FALSE))</f>
        <v/>
      </c>
      <c r="B256" s="145" t="str">
        <f>IF(C256="","",VLOOKUP('Opći dio'!$C$3,'Opći dio'!$L$6:$U$136,9,FALSE))</f>
        <v/>
      </c>
      <c r="C256" s="151"/>
      <c r="D256" s="146" t="str">
        <f t="shared" si="42"/>
        <v/>
      </c>
      <c r="E256" s="151"/>
      <c r="F256" s="146" t="str">
        <f t="shared" si="43"/>
        <v/>
      </c>
      <c r="G256" s="186"/>
      <c r="H256" s="146" t="str">
        <f t="shared" si="44"/>
        <v/>
      </c>
      <c r="I256" s="185"/>
      <c r="J256" s="185"/>
      <c r="K256" s="185"/>
      <c r="M256" s="141" t="str">
        <f t="shared" si="45"/>
        <v/>
      </c>
      <c r="N256" s="141" t="str">
        <f t="shared" si="46"/>
        <v/>
      </c>
    </row>
    <row r="257" spans="1:14">
      <c r="A257" s="145" t="str">
        <f>IF(C257="","",VLOOKUP('Opći dio'!$C$3,'Opći dio'!$L$6:$U$136,10,FALSE))</f>
        <v/>
      </c>
      <c r="B257" s="145" t="str">
        <f>IF(C257="","",VLOOKUP('Opći dio'!$C$3,'Opći dio'!$L$6:$U$136,9,FALSE))</f>
        <v/>
      </c>
      <c r="C257" s="151"/>
      <c r="D257" s="146" t="str">
        <f t="shared" si="42"/>
        <v/>
      </c>
      <c r="E257" s="151"/>
      <c r="F257" s="146" t="str">
        <f t="shared" si="43"/>
        <v/>
      </c>
      <c r="G257" s="186"/>
      <c r="H257" s="146" t="str">
        <f t="shared" si="44"/>
        <v/>
      </c>
      <c r="I257" s="185"/>
      <c r="J257" s="185"/>
      <c r="K257" s="185"/>
      <c r="M257" s="141" t="str">
        <f t="shared" si="45"/>
        <v/>
      </c>
      <c r="N257" s="141" t="str">
        <f t="shared" si="46"/>
        <v/>
      </c>
    </row>
    <row r="258" spans="1:14">
      <c r="A258" s="145" t="str">
        <f>IF(C258="","",VLOOKUP('Opći dio'!$C$3,'Opći dio'!$L$6:$U$136,10,FALSE))</f>
        <v/>
      </c>
      <c r="B258" s="145" t="str">
        <f>IF(C258="","",VLOOKUP('Opći dio'!$C$3,'Opći dio'!$L$6:$U$136,9,FALSE))</f>
        <v/>
      </c>
      <c r="C258" s="151"/>
      <c r="D258" s="146" t="str">
        <f t="shared" si="42"/>
        <v/>
      </c>
      <c r="E258" s="151"/>
      <c r="F258" s="146" t="str">
        <f t="shared" si="43"/>
        <v/>
      </c>
      <c r="G258" s="186"/>
      <c r="H258" s="146" t="str">
        <f t="shared" si="44"/>
        <v/>
      </c>
      <c r="I258" s="185"/>
      <c r="J258" s="185"/>
      <c r="K258" s="185"/>
      <c r="M258" s="141" t="str">
        <f t="shared" si="45"/>
        <v/>
      </c>
      <c r="N258" s="141" t="str">
        <f t="shared" si="46"/>
        <v/>
      </c>
    </row>
    <row r="259" spans="1:14">
      <c r="A259" s="145" t="str">
        <f>IF(C259="","",VLOOKUP('Opći dio'!$C$3,'Opći dio'!$L$6:$U$136,10,FALSE))</f>
        <v/>
      </c>
      <c r="B259" s="145" t="str">
        <f>IF(C259="","",VLOOKUP('Opći dio'!$C$3,'Opći dio'!$L$6:$U$136,9,FALSE))</f>
        <v/>
      </c>
      <c r="C259" s="151"/>
      <c r="D259" s="146" t="str">
        <f t="shared" si="42"/>
        <v/>
      </c>
      <c r="E259" s="151"/>
      <c r="F259" s="146" t="str">
        <f t="shared" si="43"/>
        <v/>
      </c>
      <c r="G259" s="186"/>
      <c r="H259" s="146" t="str">
        <f t="shared" si="44"/>
        <v/>
      </c>
      <c r="I259" s="185"/>
      <c r="J259" s="185"/>
      <c r="K259" s="185"/>
      <c r="M259" s="141" t="str">
        <f t="shared" si="45"/>
        <v/>
      </c>
      <c r="N259" s="141" t="str">
        <f t="shared" si="46"/>
        <v/>
      </c>
    </row>
    <row r="260" spans="1:14">
      <c r="A260" s="145" t="str">
        <f>IF(C260="","",VLOOKUP('Opći dio'!$C$3,'Opći dio'!$L$6:$U$136,10,FALSE))</f>
        <v/>
      </c>
      <c r="B260" s="145" t="str">
        <f>IF(C260="","",VLOOKUP('Opći dio'!$C$3,'Opći dio'!$L$6:$U$136,9,FALSE))</f>
        <v/>
      </c>
      <c r="C260" s="151"/>
      <c r="D260" s="146" t="str">
        <f t="shared" ref="D260:D323" si="47">IFERROR(VLOOKUP(C260,$O$6:$P$23,2,FALSE),"")</f>
        <v/>
      </c>
      <c r="E260" s="151"/>
      <c r="F260" s="146" t="str">
        <f t="shared" ref="F260:F323" si="48">IFERROR(VLOOKUP(E260,$R$5:$T$129,2,FALSE),"")</f>
        <v/>
      </c>
      <c r="G260" s="186"/>
      <c r="H260" s="146" t="str">
        <f t="shared" ref="H260:H323" si="49">IFERROR(VLOOKUP(G260,$X$6:$Y$200,2,FALSE),"")</f>
        <v/>
      </c>
      <c r="I260" s="185"/>
      <c r="J260" s="185"/>
      <c r="K260" s="185"/>
      <c r="M260" s="141" t="str">
        <f t="shared" ref="M260:M323" si="50">LEFT(E260,3)</f>
        <v/>
      </c>
      <c r="N260" s="141" t="str">
        <f t="shared" ref="N260:N323" si="51">LEFT(E260,2)</f>
        <v/>
      </c>
    </row>
    <row r="261" spans="1:14">
      <c r="A261" s="145" t="str">
        <f>IF(C261="","",VLOOKUP('Opći dio'!$C$3,'Opći dio'!$L$6:$U$136,10,FALSE))</f>
        <v/>
      </c>
      <c r="B261" s="145" t="str">
        <f>IF(C261="","",VLOOKUP('Opći dio'!$C$3,'Opći dio'!$L$6:$U$136,9,FALSE))</f>
        <v/>
      </c>
      <c r="C261" s="151"/>
      <c r="D261" s="146" t="str">
        <f t="shared" si="47"/>
        <v/>
      </c>
      <c r="E261" s="151"/>
      <c r="F261" s="146" t="str">
        <f t="shared" si="48"/>
        <v/>
      </c>
      <c r="G261" s="186"/>
      <c r="H261" s="146" t="str">
        <f t="shared" si="49"/>
        <v/>
      </c>
      <c r="I261" s="185"/>
      <c r="J261" s="185"/>
      <c r="K261" s="185"/>
      <c r="M261" s="141" t="str">
        <f t="shared" si="50"/>
        <v/>
      </c>
      <c r="N261" s="141" t="str">
        <f t="shared" si="51"/>
        <v/>
      </c>
    </row>
    <row r="262" spans="1:14">
      <c r="A262" s="145" t="str">
        <f>IF(C262="","",VLOOKUP('Opći dio'!$C$3,'Opći dio'!$L$6:$U$136,10,FALSE))</f>
        <v/>
      </c>
      <c r="B262" s="145" t="str">
        <f>IF(C262="","",VLOOKUP('Opći dio'!$C$3,'Opći dio'!$L$6:$U$136,9,FALSE))</f>
        <v/>
      </c>
      <c r="C262" s="151"/>
      <c r="D262" s="146" t="str">
        <f t="shared" si="47"/>
        <v/>
      </c>
      <c r="E262" s="151"/>
      <c r="F262" s="146" t="str">
        <f t="shared" si="48"/>
        <v/>
      </c>
      <c r="G262" s="186"/>
      <c r="H262" s="146" t="str">
        <f t="shared" si="49"/>
        <v/>
      </c>
      <c r="I262" s="185"/>
      <c r="J262" s="185"/>
      <c r="K262" s="185"/>
      <c r="M262" s="141" t="str">
        <f t="shared" si="50"/>
        <v/>
      </c>
      <c r="N262" s="141" t="str">
        <f t="shared" si="51"/>
        <v/>
      </c>
    </row>
    <row r="263" spans="1:14">
      <c r="A263" s="145" t="str">
        <f>IF(C263="","",VLOOKUP('Opći dio'!$C$3,'Opći dio'!$L$6:$U$136,10,FALSE))</f>
        <v/>
      </c>
      <c r="B263" s="145" t="str">
        <f>IF(C263="","",VLOOKUP('Opći dio'!$C$3,'Opći dio'!$L$6:$U$136,9,FALSE))</f>
        <v/>
      </c>
      <c r="C263" s="151"/>
      <c r="D263" s="146" t="str">
        <f t="shared" si="47"/>
        <v/>
      </c>
      <c r="E263" s="151"/>
      <c r="F263" s="146" t="str">
        <f t="shared" si="48"/>
        <v/>
      </c>
      <c r="G263" s="186"/>
      <c r="H263" s="146" t="str">
        <f t="shared" si="49"/>
        <v/>
      </c>
      <c r="I263" s="185"/>
      <c r="J263" s="185"/>
      <c r="K263" s="185"/>
      <c r="M263" s="141" t="str">
        <f t="shared" si="50"/>
        <v/>
      </c>
      <c r="N263" s="141" t="str">
        <f t="shared" si="51"/>
        <v/>
      </c>
    </row>
    <row r="264" spans="1:14">
      <c r="A264" s="145" t="str">
        <f>IF(C264="","",VLOOKUP('Opći dio'!$C$3,'Opći dio'!$L$6:$U$136,10,FALSE))</f>
        <v/>
      </c>
      <c r="B264" s="145" t="str">
        <f>IF(C264="","",VLOOKUP('Opći dio'!$C$3,'Opći dio'!$L$6:$U$136,9,FALSE))</f>
        <v/>
      </c>
      <c r="C264" s="151"/>
      <c r="D264" s="146" t="str">
        <f t="shared" si="47"/>
        <v/>
      </c>
      <c r="E264" s="151"/>
      <c r="F264" s="146" t="str">
        <f t="shared" si="48"/>
        <v/>
      </c>
      <c r="G264" s="186"/>
      <c r="H264" s="146" t="str">
        <f t="shared" si="49"/>
        <v/>
      </c>
      <c r="I264" s="185"/>
      <c r="J264" s="185"/>
      <c r="K264" s="185"/>
      <c r="M264" s="141" t="str">
        <f t="shared" si="50"/>
        <v/>
      </c>
      <c r="N264" s="141" t="str">
        <f t="shared" si="51"/>
        <v/>
      </c>
    </row>
    <row r="265" spans="1:14">
      <c r="A265" s="145" t="str">
        <f>IF(C265="","",VLOOKUP('Opći dio'!$C$3,'Opći dio'!$L$6:$U$136,10,FALSE))</f>
        <v/>
      </c>
      <c r="B265" s="145" t="str">
        <f>IF(C265="","",VLOOKUP('Opći dio'!$C$3,'Opći dio'!$L$6:$U$136,9,FALSE))</f>
        <v/>
      </c>
      <c r="C265" s="151"/>
      <c r="D265" s="146" t="str">
        <f t="shared" si="47"/>
        <v/>
      </c>
      <c r="E265" s="151"/>
      <c r="F265" s="146" t="str">
        <f t="shared" si="48"/>
        <v/>
      </c>
      <c r="G265" s="186"/>
      <c r="H265" s="146" t="str">
        <f t="shared" si="49"/>
        <v/>
      </c>
      <c r="I265" s="185"/>
      <c r="J265" s="185"/>
      <c r="K265" s="185"/>
      <c r="M265" s="141" t="str">
        <f t="shared" si="50"/>
        <v/>
      </c>
      <c r="N265" s="141" t="str">
        <f t="shared" si="51"/>
        <v/>
      </c>
    </row>
    <row r="266" spans="1:14">
      <c r="A266" s="145" t="str">
        <f>IF(C266="","",VLOOKUP('Opći dio'!$C$3,'Opći dio'!$L$6:$U$136,10,FALSE))</f>
        <v/>
      </c>
      <c r="B266" s="145" t="str">
        <f>IF(C266="","",VLOOKUP('Opći dio'!$C$3,'Opći dio'!$L$6:$U$136,9,FALSE))</f>
        <v/>
      </c>
      <c r="C266" s="151"/>
      <c r="D266" s="146" t="str">
        <f t="shared" si="47"/>
        <v/>
      </c>
      <c r="E266" s="151"/>
      <c r="F266" s="146" t="str">
        <f t="shared" si="48"/>
        <v/>
      </c>
      <c r="G266" s="186"/>
      <c r="H266" s="146" t="str">
        <f t="shared" si="49"/>
        <v/>
      </c>
      <c r="I266" s="185"/>
      <c r="J266" s="185"/>
      <c r="K266" s="185"/>
      <c r="M266" s="141" t="str">
        <f t="shared" si="50"/>
        <v/>
      </c>
      <c r="N266" s="141" t="str">
        <f t="shared" si="51"/>
        <v/>
      </c>
    </row>
    <row r="267" spans="1:14">
      <c r="A267" s="145" t="str">
        <f>IF(C267="","",VLOOKUP('Opći dio'!$C$3,'Opći dio'!$L$6:$U$136,10,FALSE))</f>
        <v/>
      </c>
      <c r="B267" s="145" t="str">
        <f>IF(C267="","",VLOOKUP('Opći dio'!$C$3,'Opći dio'!$L$6:$U$136,9,FALSE))</f>
        <v/>
      </c>
      <c r="C267" s="151"/>
      <c r="D267" s="146" t="str">
        <f t="shared" si="47"/>
        <v/>
      </c>
      <c r="E267" s="151"/>
      <c r="F267" s="146" t="str">
        <f t="shared" si="48"/>
        <v/>
      </c>
      <c r="G267" s="186"/>
      <c r="H267" s="146" t="str">
        <f t="shared" si="49"/>
        <v/>
      </c>
      <c r="I267" s="185"/>
      <c r="J267" s="185"/>
      <c r="K267" s="185"/>
      <c r="M267" s="141" t="str">
        <f t="shared" si="50"/>
        <v/>
      </c>
      <c r="N267" s="141" t="str">
        <f t="shared" si="51"/>
        <v/>
      </c>
    </row>
    <row r="268" spans="1:14">
      <c r="A268" s="145" t="str">
        <f>IF(C268="","",VLOOKUP('Opći dio'!$C$3,'Opći dio'!$L$6:$U$136,10,FALSE))</f>
        <v/>
      </c>
      <c r="B268" s="145" t="str">
        <f>IF(C268="","",VLOOKUP('Opći dio'!$C$3,'Opći dio'!$L$6:$U$136,9,FALSE))</f>
        <v/>
      </c>
      <c r="C268" s="151"/>
      <c r="D268" s="146" t="str">
        <f t="shared" si="47"/>
        <v/>
      </c>
      <c r="E268" s="151"/>
      <c r="F268" s="146" t="str">
        <f t="shared" si="48"/>
        <v/>
      </c>
      <c r="G268" s="186"/>
      <c r="H268" s="146" t="str">
        <f t="shared" si="49"/>
        <v/>
      </c>
      <c r="I268" s="185"/>
      <c r="J268" s="185"/>
      <c r="K268" s="185"/>
      <c r="M268" s="141" t="str">
        <f t="shared" si="50"/>
        <v/>
      </c>
      <c r="N268" s="141" t="str">
        <f t="shared" si="51"/>
        <v/>
      </c>
    </row>
    <row r="269" spans="1:14">
      <c r="A269" s="145" t="str">
        <f>IF(C269="","",VLOOKUP('Opći dio'!$C$3,'Opći dio'!$L$6:$U$136,10,FALSE))</f>
        <v/>
      </c>
      <c r="B269" s="145" t="str">
        <f>IF(C269="","",VLOOKUP('Opći dio'!$C$3,'Opći dio'!$L$6:$U$136,9,FALSE))</f>
        <v/>
      </c>
      <c r="C269" s="151"/>
      <c r="D269" s="146" t="str">
        <f t="shared" si="47"/>
        <v/>
      </c>
      <c r="E269" s="151"/>
      <c r="F269" s="146" t="str">
        <f t="shared" si="48"/>
        <v/>
      </c>
      <c r="G269" s="186"/>
      <c r="H269" s="146" t="str">
        <f t="shared" si="49"/>
        <v/>
      </c>
      <c r="I269" s="185"/>
      <c r="J269" s="185"/>
      <c r="K269" s="185"/>
      <c r="M269" s="141" t="str">
        <f t="shared" si="50"/>
        <v/>
      </c>
      <c r="N269" s="141" t="str">
        <f t="shared" si="51"/>
        <v/>
      </c>
    </row>
    <row r="270" spans="1:14">
      <c r="A270" s="145" t="str">
        <f>IF(C270="","",VLOOKUP('Opći dio'!$C$3,'Opći dio'!$L$6:$U$136,10,FALSE))</f>
        <v/>
      </c>
      <c r="B270" s="145" t="str">
        <f>IF(C270="","",VLOOKUP('Opći dio'!$C$3,'Opći dio'!$L$6:$U$136,9,FALSE))</f>
        <v/>
      </c>
      <c r="C270" s="151"/>
      <c r="D270" s="146" t="str">
        <f t="shared" si="47"/>
        <v/>
      </c>
      <c r="E270" s="151"/>
      <c r="F270" s="146" t="str">
        <f t="shared" si="48"/>
        <v/>
      </c>
      <c r="G270" s="186"/>
      <c r="H270" s="146" t="str">
        <f t="shared" si="49"/>
        <v/>
      </c>
      <c r="I270" s="185"/>
      <c r="J270" s="185"/>
      <c r="K270" s="185"/>
      <c r="M270" s="141" t="str">
        <f t="shared" si="50"/>
        <v/>
      </c>
      <c r="N270" s="141" t="str">
        <f t="shared" si="51"/>
        <v/>
      </c>
    </row>
    <row r="271" spans="1:14">
      <c r="A271" s="145" t="str">
        <f>IF(C271="","",VLOOKUP('Opći dio'!$C$3,'Opći dio'!$L$6:$U$136,10,FALSE))</f>
        <v/>
      </c>
      <c r="B271" s="145" t="str">
        <f>IF(C271="","",VLOOKUP('Opći dio'!$C$3,'Opći dio'!$L$6:$U$136,9,FALSE))</f>
        <v/>
      </c>
      <c r="C271" s="151"/>
      <c r="D271" s="146" t="str">
        <f t="shared" si="47"/>
        <v/>
      </c>
      <c r="E271" s="151"/>
      <c r="F271" s="146" t="str">
        <f t="shared" si="48"/>
        <v/>
      </c>
      <c r="G271" s="186"/>
      <c r="H271" s="146" t="str">
        <f t="shared" si="49"/>
        <v/>
      </c>
      <c r="I271" s="185"/>
      <c r="J271" s="185"/>
      <c r="K271" s="185"/>
      <c r="M271" s="141" t="str">
        <f t="shared" si="50"/>
        <v/>
      </c>
      <c r="N271" s="141" t="str">
        <f t="shared" si="51"/>
        <v/>
      </c>
    </row>
    <row r="272" spans="1:14">
      <c r="A272" s="145" t="str">
        <f>IF(C272="","",VLOOKUP('Opći dio'!$C$3,'Opći dio'!$L$6:$U$136,10,FALSE))</f>
        <v/>
      </c>
      <c r="B272" s="145" t="str">
        <f>IF(C272="","",VLOOKUP('Opći dio'!$C$3,'Opći dio'!$L$6:$U$136,9,FALSE))</f>
        <v/>
      </c>
      <c r="C272" s="151"/>
      <c r="D272" s="146" t="str">
        <f t="shared" si="47"/>
        <v/>
      </c>
      <c r="E272" s="151"/>
      <c r="F272" s="146" t="str">
        <f t="shared" si="48"/>
        <v/>
      </c>
      <c r="G272" s="186"/>
      <c r="H272" s="146" t="str">
        <f t="shared" si="49"/>
        <v/>
      </c>
      <c r="I272" s="185"/>
      <c r="J272" s="185"/>
      <c r="K272" s="185"/>
      <c r="M272" s="141" t="str">
        <f t="shared" si="50"/>
        <v/>
      </c>
      <c r="N272" s="141" t="str">
        <f t="shared" si="51"/>
        <v/>
      </c>
    </row>
    <row r="273" spans="1:14">
      <c r="A273" s="145" t="str">
        <f>IF(C273="","",VLOOKUP('Opći dio'!$C$3,'Opći dio'!$L$6:$U$136,10,FALSE))</f>
        <v/>
      </c>
      <c r="B273" s="145" t="str">
        <f>IF(C273="","",VLOOKUP('Opći dio'!$C$3,'Opći dio'!$L$6:$U$136,9,FALSE))</f>
        <v/>
      </c>
      <c r="C273" s="151"/>
      <c r="D273" s="146" t="str">
        <f t="shared" si="47"/>
        <v/>
      </c>
      <c r="E273" s="151"/>
      <c r="F273" s="146" t="str">
        <f t="shared" si="48"/>
        <v/>
      </c>
      <c r="G273" s="186"/>
      <c r="H273" s="146" t="str">
        <f t="shared" si="49"/>
        <v/>
      </c>
      <c r="I273" s="185"/>
      <c r="J273" s="185"/>
      <c r="K273" s="185"/>
      <c r="M273" s="141" t="str">
        <f t="shared" si="50"/>
        <v/>
      </c>
      <c r="N273" s="141" t="str">
        <f t="shared" si="51"/>
        <v/>
      </c>
    </row>
    <row r="274" spans="1:14">
      <c r="A274" s="145" t="str">
        <f>IF(C274="","",VLOOKUP('Opći dio'!$C$3,'Opći dio'!$L$6:$U$136,10,FALSE))</f>
        <v/>
      </c>
      <c r="B274" s="145" t="str">
        <f>IF(C274="","",VLOOKUP('Opći dio'!$C$3,'Opći dio'!$L$6:$U$136,9,FALSE))</f>
        <v/>
      </c>
      <c r="C274" s="151"/>
      <c r="D274" s="146" t="str">
        <f t="shared" si="47"/>
        <v/>
      </c>
      <c r="E274" s="151"/>
      <c r="F274" s="146" t="str">
        <f t="shared" si="48"/>
        <v/>
      </c>
      <c r="G274" s="186"/>
      <c r="H274" s="146" t="str">
        <f t="shared" si="49"/>
        <v/>
      </c>
      <c r="I274" s="185"/>
      <c r="J274" s="185"/>
      <c r="K274" s="185"/>
      <c r="M274" s="141" t="str">
        <f t="shared" si="50"/>
        <v/>
      </c>
      <c r="N274" s="141" t="str">
        <f t="shared" si="51"/>
        <v/>
      </c>
    </row>
    <row r="275" spans="1:14">
      <c r="A275" s="145" t="str">
        <f>IF(C275="","",VLOOKUP('Opći dio'!$C$3,'Opći dio'!$L$6:$U$136,10,FALSE))</f>
        <v/>
      </c>
      <c r="B275" s="145" t="str">
        <f>IF(C275="","",VLOOKUP('Opći dio'!$C$3,'Opći dio'!$L$6:$U$136,9,FALSE))</f>
        <v/>
      </c>
      <c r="C275" s="151"/>
      <c r="D275" s="146" t="str">
        <f t="shared" si="47"/>
        <v/>
      </c>
      <c r="E275" s="151"/>
      <c r="F275" s="146" t="str">
        <f t="shared" si="48"/>
        <v/>
      </c>
      <c r="G275" s="186"/>
      <c r="H275" s="146" t="str">
        <f t="shared" si="49"/>
        <v/>
      </c>
      <c r="I275" s="185"/>
      <c r="J275" s="185"/>
      <c r="K275" s="185"/>
      <c r="M275" s="141" t="str">
        <f t="shared" si="50"/>
        <v/>
      </c>
      <c r="N275" s="141" t="str">
        <f t="shared" si="51"/>
        <v/>
      </c>
    </row>
    <row r="276" spans="1:14">
      <c r="A276" s="145" t="str">
        <f>IF(C276="","",VLOOKUP('Opći dio'!$C$3,'Opći dio'!$L$6:$U$136,10,FALSE))</f>
        <v/>
      </c>
      <c r="B276" s="145" t="str">
        <f>IF(C276="","",VLOOKUP('Opći dio'!$C$3,'Opći dio'!$L$6:$U$136,9,FALSE))</f>
        <v/>
      </c>
      <c r="C276" s="151"/>
      <c r="D276" s="146" t="str">
        <f t="shared" si="47"/>
        <v/>
      </c>
      <c r="E276" s="151"/>
      <c r="F276" s="146" t="str">
        <f t="shared" si="48"/>
        <v/>
      </c>
      <c r="G276" s="186"/>
      <c r="H276" s="146" t="str">
        <f t="shared" si="49"/>
        <v/>
      </c>
      <c r="I276" s="185"/>
      <c r="J276" s="185"/>
      <c r="K276" s="185"/>
      <c r="M276" s="141" t="str">
        <f t="shared" si="50"/>
        <v/>
      </c>
      <c r="N276" s="141" t="str">
        <f t="shared" si="51"/>
        <v/>
      </c>
    </row>
    <row r="277" spans="1:14">
      <c r="A277" s="145" t="str">
        <f>IF(C277="","",VLOOKUP('Opći dio'!$C$3,'Opći dio'!$L$6:$U$136,10,FALSE))</f>
        <v/>
      </c>
      <c r="B277" s="145" t="str">
        <f>IF(C277="","",VLOOKUP('Opći dio'!$C$3,'Opći dio'!$L$6:$U$136,9,FALSE))</f>
        <v/>
      </c>
      <c r="C277" s="151"/>
      <c r="D277" s="146" t="str">
        <f t="shared" si="47"/>
        <v/>
      </c>
      <c r="E277" s="151"/>
      <c r="F277" s="146" t="str">
        <f t="shared" si="48"/>
        <v/>
      </c>
      <c r="G277" s="186"/>
      <c r="H277" s="146" t="str">
        <f t="shared" si="49"/>
        <v/>
      </c>
      <c r="I277" s="185"/>
      <c r="J277" s="185"/>
      <c r="K277" s="185"/>
      <c r="M277" s="141" t="str">
        <f t="shared" si="50"/>
        <v/>
      </c>
      <c r="N277" s="141" t="str">
        <f t="shared" si="51"/>
        <v/>
      </c>
    </row>
    <row r="278" spans="1:14">
      <c r="A278" s="145" t="str">
        <f>IF(C278="","",VLOOKUP('Opći dio'!$C$3,'Opći dio'!$L$6:$U$136,10,FALSE))</f>
        <v/>
      </c>
      <c r="B278" s="145" t="str">
        <f>IF(C278="","",VLOOKUP('Opći dio'!$C$3,'Opći dio'!$L$6:$U$136,9,FALSE))</f>
        <v/>
      </c>
      <c r="C278" s="151"/>
      <c r="D278" s="146" t="str">
        <f t="shared" si="47"/>
        <v/>
      </c>
      <c r="E278" s="151"/>
      <c r="F278" s="146" t="str">
        <f t="shared" si="48"/>
        <v/>
      </c>
      <c r="G278" s="186"/>
      <c r="H278" s="146" t="str">
        <f t="shared" si="49"/>
        <v/>
      </c>
      <c r="I278" s="185"/>
      <c r="J278" s="185"/>
      <c r="K278" s="185"/>
      <c r="M278" s="141" t="str">
        <f t="shared" si="50"/>
        <v/>
      </c>
      <c r="N278" s="141" t="str">
        <f t="shared" si="51"/>
        <v/>
      </c>
    </row>
    <row r="279" spans="1:14">
      <c r="A279" s="145" t="str">
        <f>IF(C279="","",VLOOKUP('Opći dio'!$C$3,'Opći dio'!$L$6:$U$136,10,FALSE))</f>
        <v/>
      </c>
      <c r="B279" s="145" t="str">
        <f>IF(C279="","",VLOOKUP('Opći dio'!$C$3,'Opći dio'!$L$6:$U$136,9,FALSE))</f>
        <v/>
      </c>
      <c r="C279" s="151"/>
      <c r="D279" s="146" t="str">
        <f t="shared" si="47"/>
        <v/>
      </c>
      <c r="E279" s="151"/>
      <c r="F279" s="146" t="str">
        <f t="shared" si="48"/>
        <v/>
      </c>
      <c r="G279" s="186"/>
      <c r="H279" s="146" t="str">
        <f t="shared" si="49"/>
        <v/>
      </c>
      <c r="I279" s="185"/>
      <c r="J279" s="185"/>
      <c r="K279" s="185"/>
      <c r="M279" s="141" t="str">
        <f t="shared" si="50"/>
        <v/>
      </c>
      <c r="N279" s="141" t="str">
        <f t="shared" si="51"/>
        <v/>
      </c>
    </row>
    <row r="280" spans="1:14">
      <c r="A280" s="145" t="str">
        <f>IF(C280="","",VLOOKUP('Opći dio'!$C$3,'Opći dio'!$L$6:$U$136,10,FALSE))</f>
        <v/>
      </c>
      <c r="B280" s="145" t="str">
        <f>IF(C280="","",VLOOKUP('Opći dio'!$C$3,'Opći dio'!$L$6:$U$136,9,FALSE))</f>
        <v/>
      </c>
      <c r="C280" s="151"/>
      <c r="D280" s="146" t="str">
        <f t="shared" si="47"/>
        <v/>
      </c>
      <c r="E280" s="151"/>
      <c r="F280" s="146" t="str">
        <f t="shared" si="48"/>
        <v/>
      </c>
      <c r="G280" s="186"/>
      <c r="H280" s="146" t="str">
        <f t="shared" si="49"/>
        <v/>
      </c>
      <c r="I280" s="185"/>
      <c r="J280" s="185"/>
      <c r="K280" s="185"/>
      <c r="M280" s="141" t="str">
        <f t="shared" si="50"/>
        <v/>
      </c>
      <c r="N280" s="141" t="str">
        <f t="shared" si="51"/>
        <v/>
      </c>
    </row>
    <row r="281" spans="1:14">
      <c r="A281" s="145" t="str">
        <f>IF(C281="","",VLOOKUP('Opći dio'!$C$3,'Opći dio'!$L$6:$U$136,10,FALSE))</f>
        <v/>
      </c>
      <c r="B281" s="145" t="str">
        <f>IF(C281="","",VLOOKUP('Opći dio'!$C$3,'Opći dio'!$L$6:$U$136,9,FALSE))</f>
        <v/>
      </c>
      <c r="C281" s="151"/>
      <c r="D281" s="146" t="str">
        <f t="shared" si="47"/>
        <v/>
      </c>
      <c r="E281" s="151"/>
      <c r="F281" s="146" t="str">
        <f t="shared" si="48"/>
        <v/>
      </c>
      <c r="G281" s="186"/>
      <c r="H281" s="146" t="str">
        <f t="shared" si="49"/>
        <v/>
      </c>
      <c r="I281" s="185"/>
      <c r="J281" s="185"/>
      <c r="K281" s="185"/>
      <c r="M281" s="141" t="str">
        <f t="shared" si="50"/>
        <v/>
      </c>
      <c r="N281" s="141" t="str">
        <f t="shared" si="51"/>
        <v/>
      </c>
    </row>
    <row r="282" spans="1:14">
      <c r="A282" s="145" t="str">
        <f>IF(C282="","",VLOOKUP('Opći dio'!$C$3,'Opći dio'!$L$6:$U$136,10,FALSE))</f>
        <v/>
      </c>
      <c r="B282" s="145" t="str">
        <f>IF(C282="","",VLOOKUP('Opći dio'!$C$3,'Opći dio'!$L$6:$U$136,9,FALSE))</f>
        <v/>
      </c>
      <c r="C282" s="151"/>
      <c r="D282" s="146" t="str">
        <f t="shared" si="47"/>
        <v/>
      </c>
      <c r="E282" s="151"/>
      <c r="F282" s="146" t="str">
        <f t="shared" si="48"/>
        <v/>
      </c>
      <c r="G282" s="186"/>
      <c r="H282" s="146" t="str">
        <f t="shared" si="49"/>
        <v/>
      </c>
      <c r="I282" s="185"/>
      <c r="J282" s="185"/>
      <c r="K282" s="185"/>
      <c r="M282" s="141" t="str">
        <f t="shared" si="50"/>
        <v/>
      </c>
      <c r="N282" s="141" t="str">
        <f t="shared" si="51"/>
        <v/>
      </c>
    </row>
    <row r="283" spans="1:14">
      <c r="A283" s="145" t="str">
        <f>IF(C283="","",VLOOKUP('Opći dio'!$C$3,'Opći dio'!$L$6:$U$136,10,FALSE))</f>
        <v/>
      </c>
      <c r="B283" s="145" t="str">
        <f>IF(C283="","",VLOOKUP('Opći dio'!$C$3,'Opći dio'!$L$6:$U$136,9,FALSE))</f>
        <v/>
      </c>
      <c r="C283" s="151"/>
      <c r="D283" s="146" t="str">
        <f t="shared" si="47"/>
        <v/>
      </c>
      <c r="E283" s="151"/>
      <c r="F283" s="146" t="str">
        <f t="shared" si="48"/>
        <v/>
      </c>
      <c r="G283" s="186"/>
      <c r="H283" s="146" t="str">
        <f t="shared" si="49"/>
        <v/>
      </c>
      <c r="I283" s="185"/>
      <c r="J283" s="185"/>
      <c r="K283" s="185"/>
      <c r="M283" s="141" t="str">
        <f t="shared" si="50"/>
        <v/>
      </c>
      <c r="N283" s="141" t="str">
        <f t="shared" si="51"/>
        <v/>
      </c>
    </row>
    <row r="284" spans="1:14">
      <c r="A284" s="145" t="str">
        <f>IF(C284="","",VLOOKUP('Opći dio'!$C$3,'Opći dio'!$L$6:$U$136,10,FALSE))</f>
        <v/>
      </c>
      <c r="B284" s="145" t="str">
        <f>IF(C284="","",VLOOKUP('Opći dio'!$C$3,'Opći dio'!$L$6:$U$136,9,FALSE))</f>
        <v/>
      </c>
      <c r="C284" s="151"/>
      <c r="D284" s="146" t="str">
        <f t="shared" si="47"/>
        <v/>
      </c>
      <c r="E284" s="151"/>
      <c r="F284" s="146" t="str">
        <f t="shared" si="48"/>
        <v/>
      </c>
      <c r="G284" s="186"/>
      <c r="H284" s="146" t="str">
        <f t="shared" si="49"/>
        <v/>
      </c>
      <c r="I284" s="185"/>
      <c r="J284" s="185"/>
      <c r="K284" s="185"/>
      <c r="M284" s="141" t="str">
        <f t="shared" si="50"/>
        <v/>
      </c>
      <c r="N284" s="141" t="str">
        <f t="shared" si="51"/>
        <v/>
      </c>
    </row>
    <row r="285" spans="1:14">
      <c r="A285" s="145" t="str">
        <f>IF(C285="","",VLOOKUP('Opći dio'!$C$3,'Opći dio'!$L$6:$U$136,10,FALSE))</f>
        <v/>
      </c>
      <c r="B285" s="145" t="str">
        <f>IF(C285="","",VLOOKUP('Opći dio'!$C$3,'Opći dio'!$L$6:$U$136,9,FALSE))</f>
        <v/>
      </c>
      <c r="C285" s="151"/>
      <c r="D285" s="146" t="str">
        <f t="shared" si="47"/>
        <v/>
      </c>
      <c r="E285" s="151"/>
      <c r="F285" s="146" t="str">
        <f t="shared" si="48"/>
        <v/>
      </c>
      <c r="G285" s="186"/>
      <c r="H285" s="146" t="str">
        <f t="shared" si="49"/>
        <v/>
      </c>
      <c r="I285" s="185"/>
      <c r="J285" s="185"/>
      <c r="K285" s="185"/>
      <c r="M285" s="141" t="str">
        <f t="shared" si="50"/>
        <v/>
      </c>
      <c r="N285" s="141" t="str">
        <f t="shared" si="51"/>
        <v/>
      </c>
    </row>
    <row r="286" spans="1:14">
      <c r="A286" s="145" t="str">
        <f>IF(C286="","",VLOOKUP('Opći dio'!$C$3,'Opći dio'!$L$6:$U$136,10,FALSE))</f>
        <v/>
      </c>
      <c r="B286" s="145" t="str">
        <f>IF(C286="","",VLOOKUP('Opći dio'!$C$3,'Opći dio'!$L$6:$U$136,9,FALSE))</f>
        <v/>
      </c>
      <c r="C286" s="151"/>
      <c r="D286" s="146" t="str">
        <f t="shared" si="47"/>
        <v/>
      </c>
      <c r="E286" s="151"/>
      <c r="F286" s="146" t="str">
        <f t="shared" si="48"/>
        <v/>
      </c>
      <c r="G286" s="186"/>
      <c r="H286" s="146" t="str">
        <f t="shared" si="49"/>
        <v/>
      </c>
      <c r="I286" s="185"/>
      <c r="J286" s="185"/>
      <c r="K286" s="185"/>
      <c r="M286" s="141" t="str">
        <f t="shared" si="50"/>
        <v/>
      </c>
      <c r="N286" s="141" t="str">
        <f t="shared" si="51"/>
        <v/>
      </c>
    </row>
    <row r="287" spans="1:14">
      <c r="A287" s="145" t="str">
        <f>IF(C287="","",VLOOKUP('Opći dio'!$C$3,'Opći dio'!$L$6:$U$136,10,FALSE))</f>
        <v/>
      </c>
      <c r="B287" s="145" t="str">
        <f>IF(C287="","",VLOOKUP('Opći dio'!$C$3,'Opći dio'!$L$6:$U$136,9,FALSE))</f>
        <v/>
      </c>
      <c r="C287" s="151"/>
      <c r="D287" s="146" t="str">
        <f t="shared" si="47"/>
        <v/>
      </c>
      <c r="E287" s="151"/>
      <c r="F287" s="146" t="str">
        <f t="shared" si="48"/>
        <v/>
      </c>
      <c r="G287" s="186"/>
      <c r="H287" s="146" t="str">
        <f t="shared" si="49"/>
        <v/>
      </c>
      <c r="I287" s="185"/>
      <c r="J287" s="185"/>
      <c r="K287" s="185"/>
      <c r="M287" s="141" t="str">
        <f t="shared" si="50"/>
        <v/>
      </c>
      <c r="N287" s="141" t="str">
        <f t="shared" si="51"/>
        <v/>
      </c>
    </row>
    <row r="288" spans="1:14">
      <c r="A288" s="145" t="str">
        <f>IF(C288="","",VLOOKUP('Opći dio'!$C$3,'Opći dio'!$L$6:$U$136,10,FALSE))</f>
        <v/>
      </c>
      <c r="B288" s="145" t="str">
        <f>IF(C288="","",VLOOKUP('Opći dio'!$C$3,'Opći dio'!$L$6:$U$136,9,FALSE))</f>
        <v/>
      </c>
      <c r="C288" s="151"/>
      <c r="D288" s="146" t="str">
        <f t="shared" si="47"/>
        <v/>
      </c>
      <c r="E288" s="151"/>
      <c r="F288" s="146" t="str">
        <f t="shared" si="48"/>
        <v/>
      </c>
      <c r="G288" s="186"/>
      <c r="H288" s="146" t="str">
        <f t="shared" si="49"/>
        <v/>
      </c>
      <c r="I288" s="185"/>
      <c r="J288" s="185"/>
      <c r="K288" s="185"/>
      <c r="M288" s="141" t="str">
        <f t="shared" si="50"/>
        <v/>
      </c>
      <c r="N288" s="141" t="str">
        <f t="shared" si="51"/>
        <v/>
      </c>
    </row>
    <row r="289" spans="1:14">
      <c r="A289" s="145" t="str">
        <f>IF(C289="","",VLOOKUP('Opći dio'!$C$3,'Opći dio'!$L$6:$U$136,10,FALSE))</f>
        <v/>
      </c>
      <c r="B289" s="145" t="str">
        <f>IF(C289="","",VLOOKUP('Opći dio'!$C$3,'Opći dio'!$L$6:$U$136,9,FALSE))</f>
        <v/>
      </c>
      <c r="C289" s="151"/>
      <c r="D289" s="146" t="str">
        <f t="shared" si="47"/>
        <v/>
      </c>
      <c r="E289" s="151"/>
      <c r="F289" s="146" t="str">
        <f t="shared" si="48"/>
        <v/>
      </c>
      <c r="G289" s="186"/>
      <c r="H289" s="146" t="str">
        <f t="shared" si="49"/>
        <v/>
      </c>
      <c r="I289" s="185"/>
      <c r="J289" s="185"/>
      <c r="K289" s="185"/>
      <c r="M289" s="141" t="str">
        <f t="shared" si="50"/>
        <v/>
      </c>
      <c r="N289" s="141" t="str">
        <f t="shared" si="51"/>
        <v/>
      </c>
    </row>
    <row r="290" spans="1:14">
      <c r="A290" s="145" t="str">
        <f>IF(C290="","",VLOOKUP('Opći dio'!$C$3,'Opći dio'!$L$6:$U$136,10,FALSE))</f>
        <v/>
      </c>
      <c r="B290" s="145" t="str">
        <f>IF(C290="","",VLOOKUP('Opći dio'!$C$3,'Opći dio'!$L$6:$U$136,9,FALSE))</f>
        <v/>
      </c>
      <c r="C290" s="151"/>
      <c r="D290" s="146" t="str">
        <f t="shared" si="47"/>
        <v/>
      </c>
      <c r="E290" s="151"/>
      <c r="F290" s="146" t="str">
        <f t="shared" si="48"/>
        <v/>
      </c>
      <c r="G290" s="186"/>
      <c r="H290" s="146" t="str">
        <f t="shared" si="49"/>
        <v/>
      </c>
      <c r="I290" s="185"/>
      <c r="J290" s="185"/>
      <c r="K290" s="185"/>
      <c r="M290" s="141" t="str">
        <f t="shared" si="50"/>
        <v/>
      </c>
      <c r="N290" s="141" t="str">
        <f t="shared" si="51"/>
        <v/>
      </c>
    </row>
    <row r="291" spans="1:14">
      <c r="A291" s="145" t="str">
        <f>IF(C291="","",VLOOKUP('Opći dio'!$C$3,'Opći dio'!$L$6:$U$136,10,FALSE))</f>
        <v/>
      </c>
      <c r="B291" s="145" t="str">
        <f>IF(C291="","",VLOOKUP('Opći dio'!$C$3,'Opći dio'!$L$6:$U$136,9,FALSE))</f>
        <v/>
      </c>
      <c r="C291" s="151"/>
      <c r="D291" s="146" t="str">
        <f t="shared" si="47"/>
        <v/>
      </c>
      <c r="E291" s="151"/>
      <c r="F291" s="146" t="str">
        <f t="shared" si="48"/>
        <v/>
      </c>
      <c r="G291" s="186"/>
      <c r="H291" s="146" t="str">
        <f t="shared" si="49"/>
        <v/>
      </c>
      <c r="I291" s="185"/>
      <c r="J291" s="185"/>
      <c r="K291" s="185"/>
      <c r="M291" s="141" t="str">
        <f t="shared" si="50"/>
        <v/>
      </c>
      <c r="N291" s="141" t="str">
        <f t="shared" si="51"/>
        <v/>
      </c>
    </row>
    <row r="292" spans="1:14">
      <c r="A292" s="145" t="str">
        <f>IF(C292="","",VLOOKUP('Opći dio'!$C$3,'Opći dio'!$L$6:$U$136,10,FALSE))</f>
        <v/>
      </c>
      <c r="B292" s="145" t="str">
        <f>IF(C292="","",VLOOKUP('Opći dio'!$C$3,'Opći dio'!$L$6:$U$136,9,FALSE))</f>
        <v/>
      </c>
      <c r="C292" s="151"/>
      <c r="D292" s="146" t="str">
        <f t="shared" si="47"/>
        <v/>
      </c>
      <c r="E292" s="151"/>
      <c r="F292" s="146" t="str">
        <f t="shared" si="48"/>
        <v/>
      </c>
      <c r="G292" s="186"/>
      <c r="H292" s="146" t="str">
        <f t="shared" si="49"/>
        <v/>
      </c>
      <c r="I292" s="185"/>
      <c r="J292" s="185"/>
      <c r="K292" s="185"/>
      <c r="M292" s="141" t="str">
        <f t="shared" si="50"/>
        <v/>
      </c>
      <c r="N292" s="141" t="str">
        <f t="shared" si="51"/>
        <v/>
      </c>
    </row>
    <row r="293" spans="1:14">
      <c r="A293" s="145" t="str">
        <f>IF(C293="","",VLOOKUP('Opći dio'!$C$3,'Opći dio'!$L$6:$U$136,10,FALSE))</f>
        <v/>
      </c>
      <c r="B293" s="145" t="str">
        <f>IF(C293="","",VLOOKUP('Opći dio'!$C$3,'Opći dio'!$L$6:$U$136,9,FALSE))</f>
        <v/>
      </c>
      <c r="C293" s="151"/>
      <c r="D293" s="146" t="str">
        <f t="shared" si="47"/>
        <v/>
      </c>
      <c r="E293" s="151"/>
      <c r="F293" s="146" t="str">
        <f t="shared" si="48"/>
        <v/>
      </c>
      <c r="G293" s="186"/>
      <c r="H293" s="146" t="str">
        <f t="shared" si="49"/>
        <v/>
      </c>
      <c r="I293" s="185"/>
      <c r="J293" s="185"/>
      <c r="K293" s="185"/>
      <c r="M293" s="141" t="str">
        <f t="shared" si="50"/>
        <v/>
      </c>
      <c r="N293" s="141" t="str">
        <f t="shared" si="51"/>
        <v/>
      </c>
    </row>
    <row r="294" spans="1:14">
      <c r="A294" s="145" t="str">
        <f>IF(C294="","",VLOOKUP('Opći dio'!$C$3,'Opći dio'!$L$6:$U$136,10,FALSE))</f>
        <v/>
      </c>
      <c r="B294" s="145" t="str">
        <f>IF(C294="","",VLOOKUP('Opći dio'!$C$3,'Opći dio'!$L$6:$U$136,9,FALSE))</f>
        <v/>
      </c>
      <c r="C294" s="151"/>
      <c r="D294" s="146" t="str">
        <f t="shared" si="47"/>
        <v/>
      </c>
      <c r="E294" s="151"/>
      <c r="F294" s="146" t="str">
        <f t="shared" si="48"/>
        <v/>
      </c>
      <c r="G294" s="186"/>
      <c r="H294" s="146" t="str">
        <f t="shared" si="49"/>
        <v/>
      </c>
      <c r="I294" s="185"/>
      <c r="J294" s="185"/>
      <c r="K294" s="185"/>
      <c r="M294" s="141" t="str">
        <f t="shared" si="50"/>
        <v/>
      </c>
      <c r="N294" s="141" t="str">
        <f t="shared" si="51"/>
        <v/>
      </c>
    </row>
    <row r="295" spans="1:14">
      <c r="A295" s="145" t="str">
        <f>IF(C295="","",VLOOKUP('Opći dio'!$C$3,'Opći dio'!$L$6:$U$136,10,FALSE))</f>
        <v/>
      </c>
      <c r="B295" s="145" t="str">
        <f>IF(C295="","",VLOOKUP('Opći dio'!$C$3,'Opći dio'!$L$6:$U$136,9,FALSE))</f>
        <v/>
      </c>
      <c r="C295" s="151"/>
      <c r="D295" s="146" t="str">
        <f t="shared" si="47"/>
        <v/>
      </c>
      <c r="E295" s="151"/>
      <c r="F295" s="146" t="str">
        <f t="shared" si="48"/>
        <v/>
      </c>
      <c r="G295" s="186"/>
      <c r="H295" s="146" t="str">
        <f t="shared" si="49"/>
        <v/>
      </c>
      <c r="I295" s="185"/>
      <c r="J295" s="185"/>
      <c r="K295" s="185"/>
      <c r="M295" s="141" t="str">
        <f t="shared" si="50"/>
        <v/>
      </c>
      <c r="N295" s="141" t="str">
        <f t="shared" si="51"/>
        <v/>
      </c>
    </row>
    <row r="296" spans="1:14">
      <c r="A296" s="145" t="str">
        <f>IF(C296="","",VLOOKUP('Opći dio'!$C$3,'Opći dio'!$L$6:$U$136,10,FALSE))</f>
        <v/>
      </c>
      <c r="B296" s="145" t="str">
        <f>IF(C296="","",VLOOKUP('Opći dio'!$C$3,'Opći dio'!$L$6:$U$136,9,FALSE))</f>
        <v/>
      </c>
      <c r="C296" s="151"/>
      <c r="D296" s="146" t="str">
        <f t="shared" si="47"/>
        <v/>
      </c>
      <c r="E296" s="151"/>
      <c r="F296" s="146" t="str">
        <f t="shared" si="48"/>
        <v/>
      </c>
      <c r="G296" s="186"/>
      <c r="H296" s="146" t="str">
        <f t="shared" si="49"/>
        <v/>
      </c>
      <c r="I296" s="185"/>
      <c r="J296" s="185"/>
      <c r="K296" s="185"/>
      <c r="M296" s="141" t="str">
        <f t="shared" si="50"/>
        <v/>
      </c>
      <c r="N296" s="141" t="str">
        <f t="shared" si="51"/>
        <v/>
      </c>
    </row>
    <row r="297" spans="1:14">
      <c r="A297" s="145" t="str">
        <f>IF(C297="","",VLOOKUP('Opći dio'!$C$3,'Opći dio'!$L$6:$U$136,10,FALSE))</f>
        <v/>
      </c>
      <c r="B297" s="145" t="str">
        <f>IF(C297="","",VLOOKUP('Opći dio'!$C$3,'Opći dio'!$L$6:$U$136,9,FALSE))</f>
        <v/>
      </c>
      <c r="C297" s="151"/>
      <c r="D297" s="146" t="str">
        <f t="shared" si="47"/>
        <v/>
      </c>
      <c r="E297" s="151"/>
      <c r="F297" s="146" t="str">
        <f t="shared" si="48"/>
        <v/>
      </c>
      <c r="G297" s="186"/>
      <c r="H297" s="146" t="str">
        <f t="shared" si="49"/>
        <v/>
      </c>
      <c r="I297" s="185"/>
      <c r="J297" s="185"/>
      <c r="K297" s="185"/>
      <c r="M297" s="141" t="str">
        <f t="shared" si="50"/>
        <v/>
      </c>
      <c r="N297" s="141" t="str">
        <f t="shared" si="51"/>
        <v/>
      </c>
    </row>
    <row r="298" spans="1:14">
      <c r="A298" s="145" t="str">
        <f>IF(C298="","",VLOOKUP('Opći dio'!$C$3,'Opći dio'!$L$6:$U$136,10,FALSE))</f>
        <v/>
      </c>
      <c r="B298" s="145" t="str">
        <f>IF(C298="","",VLOOKUP('Opći dio'!$C$3,'Opći dio'!$L$6:$U$136,9,FALSE))</f>
        <v/>
      </c>
      <c r="C298" s="151"/>
      <c r="D298" s="146" t="str">
        <f t="shared" si="47"/>
        <v/>
      </c>
      <c r="E298" s="151"/>
      <c r="F298" s="146" t="str">
        <f t="shared" si="48"/>
        <v/>
      </c>
      <c r="G298" s="186"/>
      <c r="H298" s="146" t="str">
        <f t="shared" si="49"/>
        <v/>
      </c>
      <c r="I298" s="185"/>
      <c r="J298" s="185"/>
      <c r="K298" s="185"/>
      <c r="M298" s="141" t="str">
        <f t="shared" si="50"/>
        <v/>
      </c>
      <c r="N298" s="141" t="str">
        <f t="shared" si="51"/>
        <v/>
      </c>
    </row>
    <row r="299" spans="1:14">
      <c r="A299" s="145" t="str">
        <f>IF(C299="","",VLOOKUP('Opći dio'!$C$3,'Opći dio'!$L$6:$U$136,10,FALSE))</f>
        <v/>
      </c>
      <c r="B299" s="145" t="str">
        <f>IF(C299="","",VLOOKUP('Opći dio'!$C$3,'Opći dio'!$L$6:$U$136,9,FALSE))</f>
        <v/>
      </c>
      <c r="C299" s="151"/>
      <c r="D299" s="146" t="str">
        <f t="shared" si="47"/>
        <v/>
      </c>
      <c r="E299" s="151"/>
      <c r="F299" s="146" t="str">
        <f t="shared" si="48"/>
        <v/>
      </c>
      <c r="G299" s="186"/>
      <c r="H299" s="146" t="str">
        <f t="shared" si="49"/>
        <v/>
      </c>
      <c r="I299" s="185"/>
      <c r="J299" s="185"/>
      <c r="K299" s="185"/>
      <c r="M299" s="141" t="str">
        <f t="shared" si="50"/>
        <v/>
      </c>
      <c r="N299" s="141" t="str">
        <f t="shared" si="51"/>
        <v/>
      </c>
    </row>
    <row r="300" spans="1:14">
      <c r="A300" s="145" t="str">
        <f>IF(C300="","",VLOOKUP('Opći dio'!$C$3,'Opći dio'!$L$6:$U$136,10,FALSE))</f>
        <v/>
      </c>
      <c r="B300" s="145" t="str">
        <f>IF(C300="","",VLOOKUP('Opći dio'!$C$3,'Opći dio'!$L$6:$U$136,9,FALSE))</f>
        <v/>
      </c>
      <c r="C300" s="151"/>
      <c r="D300" s="146" t="str">
        <f t="shared" si="47"/>
        <v/>
      </c>
      <c r="E300" s="151"/>
      <c r="F300" s="146" t="str">
        <f t="shared" si="48"/>
        <v/>
      </c>
      <c r="G300" s="186"/>
      <c r="H300" s="146" t="str">
        <f t="shared" si="49"/>
        <v/>
      </c>
      <c r="I300" s="185"/>
      <c r="J300" s="185"/>
      <c r="K300" s="185"/>
      <c r="M300" s="141" t="str">
        <f t="shared" si="50"/>
        <v/>
      </c>
      <c r="N300" s="141" t="str">
        <f t="shared" si="51"/>
        <v/>
      </c>
    </row>
    <row r="301" spans="1:14">
      <c r="A301" s="145" t="str">
        <f>IF(C301="","",VLOOKUP('Opći dio'!$C$3,'Opći dio'!$L$6:$U$136,10,FALSE))</f>
        <v/>
      </c>
      <c r="B301" s="145" t="str">
        <f>IF(C301="","",VLOOKUP('Opći dio'!$C$3,'Opći dio'!$L$6:$U$136,9,FALSE))</f>
        <v/>
      </c>
      <c r="C301" s="151"/>
      <c r="D301" s="146" t="str">
        <f t="shared" si="47"/>
        <v/>
      </c>
      <c r="E301" s="151"/>
      <c r="F301" s="146" t="str">
        <f t="shared" si="48"/>
        <v/>
      </c>
      <c r="G301" s="186"/>
      <c r="H301" s="146" t="str">
        <f t="shared" si="49"/>
        <v/>
      </c>
      <c r="I301" s="185"/>
      <c r="J301" s="185"/>
      <c r="K301" s="185"/>
      <c r="M301" s="141" t="str">
        <f t="shared" si="50"/>
        <v/>
      </c>
      <c r="N301" s="141" t="str">
        <f t="shared" si="51"/>
        <v/>
      </c>
    </row>
    <row r="302" spans="1:14">
      <c r="A302" s="145" t="str">
        <f>IF(C302="","",VLOOKUP('Opći dio'!$C$3,'Opći dio'!$L$6:$U$136,10,FALSE))</f>
        <v/>
      </c>
      <c r="B302" s="145" t="str">
        <f>IF(C302="","",VLOOKUP('Opći dio'!$C$3,'Opći dio'!$L$6:$U$136,9,FALSE))</f>
        <v/>
      </c>
      <c r="C302" s="151"/>
      <c r="D302" s="146" t="str">
        <f t="shared" si="47"/>
        <v/>
      </c>
      <c r="E302" s="151"/>
      <c r="F302" s="146" t="str">
        <f t="shared" si="48"/>
        <v/>
      </c>
      <c r="G302" s="186"/>
      <c r="H302" s="146" t="str">
        <f t="shared" si="49"/>
        <v/>
      </c>
      <c r="I302" s="185"/>
      <c r="J302" s="185"/>
      <c r="K302" s="185"/>
      <c r="M302" s="141" t="str">
        <f t="shared" si="50"/>
        <v/>
      </c>
      <c r="N302" s="141" t="str">
        <f t="shared" si="51"/>
        <v/>
      </c>
    </row>
    <row r="303" spans="1:14">
      <c r="A303" s="145" t="str">
        <f>IF(C303="","",VLOOKUP('Opći dio'!$C$3,'Opći dio'!$L$6:$U$136,10,FALSE))</f>
        <v/>
      </c>
      <c r="B303" s="145" t="str">
        <f>IF(C303="","",VLOOKUP('Opći dio'!$C$3,'Opći dio'!$L$6:$U$136,9,FALSE))</f>
        <v/>
      </c>
      <c r="C303" s="151"/>
      <c r="D303" s="146" t="str">
        <f t="shared" si="47"/>
        <v/>
      </c>
      <c r="E303" s="151"/>
      <c r="F303" s="146" t="str">
        <f t="shared" si="48"/>
        <v/>
      </c>
      <c r="G303" s="186"/>
      <c r="H303" s="146" t="str">
        <f t="shared" si="49"/>
        <v/>
      </c>
      <c r="I303" s="185"/>
      <c r="J303" s="185"/>
      <c r="K303" s="185"/>
      <c r="M303" s="141" t="str">
        <f t="shared" si="50"/>
        <v/>
      </c>
      <c r="N303" s="141" t="str">
        <f t="shared" si="51"/>
        <v/>
      </c>
    </row>
    <row r="304" spans="1:14">
      <c r="A304" s="145" t="str">
        <f>IF(C304="","",VLOOKUP('Opći dio'!$C$3,'Opći dio'!$L$6:$U$136,10,FALSE))</f>
        <v/>
      </c>
      <c r="B304" s="145" t="str">
        <f>IF(C304="","",VLOOKUP('Opći dio'!$C$3,'Opći dio'!$L$6:$U$136,9,FALSE))</f>
        <v/>
      </c>
      <c r="C304" s="151"/>
      <c r="D304" s="146" t="str">
        <f t="shared" si="47"/>
        <v/>
      </c>
      <c r="E304" s="151"/>
      <c r="F304" s="146" t="str">
        <f t="shared" si="48"/>
        <v/>
      </c>
      <c r="G304" s="186"/>
      <c r="H304" s="146" t="str">
        <f t="shared" si="49"/>
        <v/>
      </c>
      <c r="I304" s="185"/>
      <c r="J304" s="185"/>
      <c r="K304" s="185"/>
      <c r="M304" s="141" t="str">
        <f t="shared" si="50"/>
        <v/>
      </c>
      <c r="N304" s="141" t="str">
        <f t="shared" si="51"/>
        <v/>
      </c>
    </row>
    <row r="305" spans="1:14">
      <c r="A305" s="145" t="str">
        <f>IF(C305="","",VLOOKUP('Opći dio'!$C$3,'Opći dio'!$L$6:$U$136,10,FALSE))</f>
        <v/>
      </c>
      <c r="B305" s="145" t="str">
        <f>IF(C305="","",VLOOKUP('Opći dio'!$C$3,'Opći dio'!$L$6:$U$136,9,FALSE))</f>
        <v/>
      </c>
      <c r="C305" s="151"/>
      <c r="D305" s="146" t="str">
        <f t="shared" si="47"/>
        <v/>
      </c>
      <c r="E305" s="151"/>
      <c r="F305" s="146" t="str">
        <f t="shared" si="48"/>
        <v/>
      </c>
      <c r="G305" s="186"/>
      <c r="H305" s="146" t="str">
        <f t="shared" si="49"/>
        <v/>
      </c>
      <c r="I305" s="185"/>
      <c r="J305" s="185"/>
      <c r="K305" s="185"/>
      <c r="M305" s="141" t="str">
        <f t="shared" si="50"/>
        <v/>
      </c>
      <c r="N305" s="141" t="str">
        <f t="shared" si="51"/>
        <v/>
      </c>
    </row>
    <row r="306" spans="1:14">
      <c r="A306" s="145" t="str">
        <f>IF(C306="","",VLOOKUP('Opći dio'!$C$3,'Opći dio'!$L$6:$U$136,10,FALSE))</f>
        <v/>
      </c>
      <c r="B306" s="145" t="str">
        <f>IF(C306="","",VLOOKUP('Opći dio'!$C$3,'Opći dio'!$L$6:$U$136,9,FALSE))</f>
        <v/>
      </c>
      <c r="C306" s="151"/>
      <c r="D306" s="146" t="str">
        <f t="shared" si="47"/>
        <v/>
      </c>
      <c r="E306" s="151"/>
      <c r="F306" s="146" t="str">
        <f t="shared" si="48"/>
        <v/>
      </c>
      <c r="G306" s="186"/>
      <c r="H306" s="146" t="str">
        <f t="shared" si="49"/>
        <v/>
      </c>
      <c r="I306" s="185"/>
      <c r="J306" s="185"/>
      <c r="K306" s="185"/>
      <c r="M306" s="141" t="str">
        <f t="shared" si="50"/>
        <v/>
      </c>
      <c r="N306" s="141" t="str">
        <f t="shared" si="51"/>
        <v/>
      </c>
    </row>
    <row r="307" spans="1:14">
      <c r="A307" s="145" t="str">
        <f>IF(C307="","",VLOOKUP('Opći dio'!$C$3,'Opći dio'!$L$6:$U$136,10,FALSE))</f>
        <v/>
      </c>
      <c r="B307" s="145" t="str">
        <f>IF(C307="","",VLOOKUP('Opći dio'!$C$3,'Opći dio'!$L$6:$U$136,9,FALSE))</f>
        <v/>
      </c>
      <c r="C307" s="151"/>
      <c r="D307" s="146" t="str">
        <f t="shared" si="47"/>
        <v/>
      </c>
      <c r="E307" s="151"/>
      <c r="F307" s="146" t="str">
        <f t="shared" si="48"/>
        <v/>
      </c>
      <c r="G307" s="186"/>
      <c r="H307" s="146" t="str">
        <f t="shared" si="49"/>
        <v/>
      </c>
      <c r="I307" s="185"/>
      <c r="J307" s="185"/>
      <c r="K307" s="185"/>
      <c r="M307" s="141" t="str">
        <f t="shared" si="50"/>
        <v/>
      </c>
      <c r="N307" s="141" t="str">
        <f t="shared" si="51"/>
        <v/>
      </c>
    </row>
    <row r="308" spans="1:14">
      <c r="A308" s="145" t="str">
        <f>IF(C308="","",VLOOKUP('Opći dio'!$C$3,'Opći dio'!$L$6:$U$136,10,FALSE))</f>
        <v/>
      </c>
      <c r="B308" s="145" t="str">
        <f>IF(C308="","",VLOOKUP('Opći dio'!$C$3,'Opći dio'!$L$6:$U$136,9,FALSE))</f>
        <v/>
      </c>
      <c r="C308" s="151"/>
      <c r="D308" s="146" t="str">
        <f t="shared" si="47"/>
        <v/>
      </c>
      <c r="E308" s="151"/>
      <c r="F308" s="146" t="str">
        <f t="shared" si="48"/>
        <v/>
      </c>
      <c r="G308" s="186"/>
      <c r="H308" s="146" t="str">
        <f t="shared" si="49"/>
        <v/>
      </c>
      <c r="I308" s="185"/>
      <c r="J308" s="185"/>
      <c r="K308" s="185"/>
      <c r="M308" s="141" t="str">
        <f t="shared" si="50"/>
        <v/>
      </c>
      <c r="N308" s="141" t="str">
        <f t="shared" si="51"/>
        <v/>
      </c>
    </row>
    <row r="309" spans="1:14">
      <c r="A309" s="145" t="str">
        <f>IF(C309="","",VLOOKUP('Opći dio'!$C$3,'Opći dio'!$L$6:$U$136,10,FALSE))</f>
        <v/>
      </c>
      <c r="B309" s="145" t="str">
        <f>IF(C309="","",VLOOKUP('Opći dio'!$C$3,'Opći dio'!$L$6:$U$136,9,FALSE))</f>
        <v/>
      </c>
      <c r="C309" s="151"/>
      <c r="D309" s="146" t="str">
        <f t="shared" si="47"/>
        <v/>
      </c>
      <c r="E309" s="151"/>
      <c r="F309" s="146" t="str">
        <f t="shared" si="48"/>
        <v/>
      </c>
      <c r="G309" s="186"/>
      <c r="H309" s="146" t="str">
        <f t="shared" si="49"/>
        <v/>
      </c>
      <c r="I309" s="185"/>
      <c r="J309" s="185"/>
      <c r="K309" s="185"/>
      <c r="M309" s="141" t="str">
        <f t="shared" si="50"/>
        <v/>
      </c>
      <c r="N309" s="141" t="str">
        <f t="shared" si="51"/>
        <v/>
      </c>
    </row>
    <row r="310" spans="1:14">
      <c r="A310" s="145" t="str">
        <f>IF(C310="","",VLOOKUP('Opći dio'!$C$3,'Opći dio'!$L$6:$U$136,10,FALSE))</f>
        <v/>
      </c>
      <c r="B310" s="145" t="str">
        <f>IF(C310="","",VLOOKUP('Opći dio'!$C$3,'Opći dio'!$L$6:$U$136,9,FALSE))</f>
        <v/>
      </c>
      <c r="C310" s="151"/>
      <c r="D310" s="146" t="str">
        <f t="shared" si="47"/>
        <v/>
      </c>
      <c r="E310" s="151"/>
      <c r="F310" s="146" t="str">
        <f t="shared" si="48"/>
        <v/>
      </c>
      <c r="G310" s="186"/>
      <c r="H310" s="146" t="str">
        <f t="shared" si="49"/>
        <v/>
      </c>
      <c r="I310" s="185"/>
      <c r="J310" s="185"/>
      <c r="K310" s="185"/>
      <c r="M310" s="141" t="str">
        <f t="shared" si="50"/>
        <v/>
      </c>
      <c r="N310" s="141" t="str">
        <f t="shared" si="51"/>
        <v/>
      </c>
    </row>
    <row r="311" spans="1:14">
      <c r="A311" s="145" t="str">
        <f>IF(C311="","",VLOOKUP('Opći dio'!$C$3,'Opći dio'!$L$6:$U$136,10,FALSE))</f>
        <v/>
      </c>
      <c r="B311" s="145" t="str">
        <f>IF(C311="","",VLOOKUP('Opći dio'!$C$3,'Opći dio'!$L$6:$U$136,9,FALSE))</f>
        <v/>
      </c>
      <c r="C311" s="151"/>
      <c r="D311" s="146" t="str">
        <f t="shared" si="47"/>
        <v/>
      </c>
      <c r="E311" s="151"/>
      <c r="F311" s="146" t="str">
        <f t="shared" si="48"/>
        <v/>
      </c>
      <c r="G311" s="186"/>
      <c r="H311" s="146" t="str">
        <f t="shared" si="49"/>
        <v/>
      </c>
      <c r="I311" s="185"/>
      <c r="J311" s="185"/>
      <c r="K311" s="185"/>
      <c r="M311" s="141" t="str">
        <f t="shared" si="50"/>
        <v/>
      </c>
      <c r="N311" s="141" t="str">
        <f t="shared" si="51"/>
        <v/>
      </c>
    </row>
    <row r="312" spans="1:14">
      <c r="A312" s="145" t="str">
        <f>IF(C312="","",VLOOKUP('Opći dio'!$C$3,'Opći dio'!$L$6:$U$136,10,FALSE))</f>
        <v/>
      </c>
      <c r="B312" s="145" t="str">
        <f>IF(C312="","",VLOOKUP('Opći dio'!$C$3,'Opći dio'!$L$6:$U$136,9,FALSE))</f>
        <v/>
      </c>
      <c r="C312" s="151"/>
      <c r="D312" s="146" t="str">
        <f t="shared" si="47"/>
        <v/>
      </c>
      <c r="E312" s="151"/>
      <c r="F312" s="146" t="str">
        <f t="shared" si="48"/>
        <v/>
      </c>
      <c r="G312" s="186"/>
      <c r="H312" s="146" t="str">
        <f t="shared" si="49"/>
        <v/>
      </c>
      <c r="I312" s="185"/>
      <c r="J312" s="185"/>
      <c r="K312" s="185"/>
      <c r="M312" s="141" t="str">
        <f t="shared" si="50"/>
        <v/>
      </c>
      <c r="N312" s="141" t="str">
        <f t="shared" si="51"/>
        <v/>
      </c>
    </row>
    <row r="313" spans="1:14">
      <c r="A313" s="145" t="str">
        <f>IF(C313="","",VLOOKUP('Opći dio'!$C$3,'Opći dio'!$L$6:$U$136,10,FALSE))</f>
        <v/>
      </c>
      <c r="B313" s="145" t="str">
        <f>IF(C313="","",VLOOKUP('Opći dio'!$C$3,'Opći dio'!$L$6:$U$136,9,FALSE))</f>
        <v/>
      </c>
      <c r="C313" s="151"/>
      <c r="D313" s="146" t="str">
        <f t="shared" si="47"/>
        <v/>
      </c>
      <c r="E313" s="151"/>
      <c r="F313" s="146" t="str">
        <f t="shared" si="48"/>
        <v/>
      </c>
      <c r="G313" s="186"/>
      <c r="H313" s="146" t="str">
        <f t="shared" si="49"/>
        <v/>
      </c>
      <c r="I313" s="185"/>
      <c r="J313" s="185"/>
      <c r="K313" s="185"/>
      <c r="M313" s="141" t="str">
        <f t="shared" si="50"/>
        <v/>
      </c>
      <c r="N313" s="141" t="str">
        <f t="shared" si="51"/>
        <v/>
      </c>
    </row>
    <row r="314" spans="1:14">
      <c r="A314" s="145" t="str">
        <f>IF(C314="","",VLOOKUP('Opći dio'!$C$3,'Opći dio'!$L$6:$U$136,10,FALSE))</f>
        <v/>
      </c>
      <c r="B314" s="145" t="str">
        <f>IF(C314="","",VLOOKUP('Opći dio'!$C$3,'Opći dio'!$L$6:$U$136,9,FALSE))</f>
        <v/>
      </c>
      <c r="C314" s="151"/>
      <c r="D314" s="146" t="str">
        <f t="shared" si="47"/>
        <v/>
      </c>
      <c r="E314" s="151"/>
      <c r="F314" s="146" t="str">
        <f t="shared" si="48"/>
        <v/>
      </c>
      <c r="G314" s="186"/>
      <c r="H314" s="146" t="str">
        <f t="shared" si="49"/>
        <v/>
      </c>
      <c r="I314" s="185"/>
      <c r="J314" s="185"/>
      <c r="K314" s="185"/>
      <c r="M314" s="141" t="str">
        <f t="shared" si="50"/>
        <v/>
      </c>
      <c r="N314" s="141" t="str">
        <f t="shared" si="51"/>
        <v/>
      </c>
    </row>
    <row r="315" spans="1:14">
      <c r="A315" s="145" t="str">
        <f>IF(C315="","",VLOOKUP('Opći dio'!$C$3,'Opći dio'!$L$6:$U$136,10,FALSE))</f>
        <v/>
      </c>
      <c r="B315" s="145" t="str">
        <f>IF(C315="","",VLOOKUP('Opći dio'!$C$3,'Opći dio'!$L$6:$U$136,9,FALSE))</f>
        <v/>
      </c>
      <c r="C315" s="151"/>
      <c r="D315" s="146" t="str">
        <f t="shared" si="47"/>
        <v/>
      </c>
      <c r="E315" s="151"/>
      <c r="F315" s="146" t="str">
        <f t="shared" si="48"/>
        <v/>
      </c>
      <c r="G315" s="186"/>
      <c r="H315" s="146" t="str">
        <f t="shared" si="49"/>
        <v/>
      </c>
      <c r="I315" s="185"/>
      <c r="J315" s="185"/>
      <c r="K315" s="185"/>
      <c r="M315" s="141" t="str">
        <f t="shared" si="50"/>
        <v/>
      </c>
      <c r="N315" s="141" t="str">
        <f t="shared" si="51"/>
        <v/>
      </c>
    </row>
    <row r="316" spans="1:14">
      <c r="A316" s="145" t="str">
        <f>IF(C316="","",VLOOKUP('Opći dio'!$C$3,'Opći dio'!$L$6:$U$136,10,FALSE))</f>
        <v/>
      </c>
      <c r="B316" s="145" t="str">
        <f>IF(C316="","",VLOOKUP('Opći dio'!$C$3,'Opći dio'!$L$6:$U$136,9,FALSE))</f>
        <v/>
      </c>
      <c r="C316" s="151"/>
      <c r="D316" s="146" t="str">
        <f t="shared" si="47"/>
        <v/>
      </c>
      <c r="E316" s="151"/>
      <c r="F316" s="146" t="str">
        <f t="shared" si="48"/>
        <v/>
      </c>
      <c r="G316" s="186"/>
      <c r="H316" s="146" t="str">
        <f t="shared" si="49"/>
        <v/>
      </c>
      <c r="I316" s="185"/>
      <c r="J316" s="185"/>
      <c r="K316" s="185"/>
      <c r="M316" s="141" t="str">
        <f t="shared" si="50"/>
        <v/>
      </c>
      <c r="N316" s="141" t="str">
        <f t="shared" si="51"/>
        <v/>
      </c>
    </row>
    <row r="317" spans="1:14">
      <c r="A317" s="145" t="str">
        <f>IF(C317="","",VLOOKUP('Opći dio'!$C$3,'Opći dio'!$L$6:$U$136,10,FALSE))</f>
        <v/>
      </c>
      <c r="B317" s="145" t="str">
        <f>IF(C317="","",VLOOKUP('Opći dio'!$C$3,'Opći dio'!$L$6:$U$136,9,FALSE))</f>
        <v/>
      </c>
      <c r="C317" s="151"/>
      <c r="D317" s="146" t="str">
        <f t="shared" si="47"/>
        <v/>
      </c>
      <c r="E317" s="151"/>
      <c r="F317" s="146" t="str">
        <f t="shared" si="48"/>
        <v/>
      </c>
      <c r="G317" s="186"/>
      <c r="H317" s="146" t="str">
        <f t="shared" si="49"/>
        <v/>
      </c>
      <c r="I317" s="185"/>
      <c r="J317" s="185"/>
      <c r="K317" s="185"/>
      <c r="M317" s="141" t="str">
        <f t="shared" si="50"/>
        <v/>
      </c>
      <c r="N317" s="141" t="str">
        <f t="shared" si="51"/>
        <v/>
      </c>
    </row>
    <row r="318" spans="1:14">
      <c r="A318" s="145" t="str">
        <f>IF(C318="","",VLOOKUP('Opći dio'!$C$3,'Opći dio'!$L$6:$U$136,10,FALSE))</f>
        <v/>
      </c>
      <c r="B318" s="145" t="str">
        <f>IF(C318="","",VLOOKUP('Opći dio'!$C$3,'Opći dio'!$L$6:$U$136,9,FALSE))</f>
        <v/>
      </c>
      <c r="C318" s="151"/>
      <c r="D318" s="146" t="str">
        <f t="shared" si="47"/>
        <v/>
      </c>
      <c r="E318" s="151"/>
      <c r="F318" s="146" t="str">
        <f t="shared" si="48"/>
        <v/>
      </c>
      <c r="G318" s="186"/>
      <c r="H318" s="146" t="str">
        <f t="shared" si="49"/>
        <v/>
      </c>
      <c r="I318" s="185"/>
      <c r="J318" s="185"/>
      <c r="K318" s="185"/>
      <c r="M318" s="141" t="str">
        <f t="shared" si="50"/>
        <v/>
      </c>
      <c r="N318" s="141" t="str">
        <f t="shared" si="51"/>
        <v/>
      </c>
    </row>
    <row r="319" spans="1:14">
      <c r="A319" s="145" t="str">
        <f>IF(C319="","",VLOOKUP('Opći dio'!$C$3,'Opći dio'!$L$6:$U$136,10,FALSE))</f>
        <v/>
      </c>
      <c r="B319" s="145" t="str">
        <f>IF(C319="","",VLOOKUP('Opći dio'!$C$3,'Opći dio'!$L$6:$U$136,9,FALSE))</f>
        <v/>
      </c>
      <c r="C319" s="151"/>
      <c r="D319" s="146" t="str">
        <f t="shared" si="47"/>
        <v/>
      </c>
      <c r="E319" s="151"/>
      <c r="F319" s="146" t="str">
        <f t="shared" si="48"/>
        <v/>
      </c>
      <c r="G319" s="186"/>
      <c r="H319" s="146" t="str">
        <f t="shared" si="49"/>
        <v/>
      </c>
      <c r="I319" s="185"/>
      <c r="J319" s="185"/>
      <c r="K319" s="185"/>
      <c r="M319" s="141" t="str">
        <f t="shared" si="50"/>
        <v/>
      </c>
      <c r="N319" s="141" t="str">
        <f t="shared" si="51"/>
        <v/>
      </c>
    </row>
    <row r="320" spans="1:14">
      <c r="A320" s="145" t="str">
        <f>IF(C320="","",VLOOKUP('Opći dio'!$C$3,'Opći dio'!$L$6:$U$136,10,FALSE))</f>
        <v/>
      </c>
      <c r="B320" s="145" t="str">
        <f>IF(C320="","",VLOOKUP('Opći dio'!$C$3,'Opći dio'!$L$6:$U$136,9,FALSE))</f>
        <v/>
      </c>
      <c r="C320" s="151"/>
      <c r="D320" s="146" t="str">
        <f t="shared" si="47"/>
        <v/>
      </c>
      <c r="E320" s="151"/>
      <c r="F320" s="146" t="str">
        <f t="shared" si="48"/>
        <v/>
      </c>
      <c r="G320" s="186"/>
      <c r="H320" s="146" t="str">
        <f t="shared" si="49"/>
        <v/>
      </c>
      <c r="I320" s="185"/>
      <c r="J320" s="185"/>
      <c r="K320" s="185"/>
      <c r="M320" s="141" t="str">
        <f t="shared" si="50"/>
        <v/>
      </c>
      <c r="N320" s="141" t="str">
        <f t="shared" si="51"/>
        <v/>
      </c>
    </row>
    <row r="321" spans="1:14">
      <c r="A321" s="145" t="str">
        <f>IF(C321="","",VLOOKUP('Opći dio'!$C$3,'Opći dio'!$L$6:$U$136,10,FALSE))</f>
        <v/>
      </c>
      <c r="B321" s="145" t="str">
        <f>IF(C321="","",VLOOKUP('Opći dio'!$C$3,'Opći dio'!$L$6:$U$136,9,FALSE))</f>
        <v/>
      </c>
      <c r="C321" s="151"/>
      <c r="D321" s="146" t="str">
        <f t="shared" si="47"/>
        <v/>
      </c>
      <c r="E321" s="151"/>
      <c r="F321" s="146" t="str">
        <f t="shared" si="48"/>
        <v/>
      </c>
      <c r="G321" s="186"/>
      <c r="H321" s="146" t="str">
        <f t="shared" si="49"/>
        <v/>
      </c>
      <c r="I321" s="185"/>
      <c r="J321" s="185"/>
      <c r="K321" s="185"/>
      <c r="M321" s="141" t="str">
        <f t="shared" si="50"/>
        <v/>
      </c>
      <c r="N321" s="141" t="str">
        <f t="shared" si="51"/>
        <v/>
      </c>
    </row>
    <row r="322" spans="1:14">
      <c r="A322" s="145" t="str">
        <f>IF(C322="","",VLOOKUP('Opći dio'!$C$3,'Opći dio'!$L$6:$U$136,10,FALSE))</f>
        <v/>
      </c>
      <c r="B322" s="145" t="str">
        <f>IF(C322="","",VLOOKUP('Opći dio'!$C$3,'Opći dio'!$L$6:$U$136,9,FALSE))</f>
        <v/>
      </c>
      <c r="C322" s="151"/>
      <c r="D322" s="146" t="str">
        <f t="shared" si="47"/>
        <v/>
      </c>
      <c r="E322" s="151"/>
      <c r="F322" s="146" t="str">
        <f t="shared" si="48"/>
        <v/>
      </c>
      <c r="G322" s="186"/>
      <c r="H322" s="146" t="str">
        <f t="shared" si="49"/>
        <v/>
      </c>
      <c r="I322" s="185"/>
      <c r="J322" s="185"/>
      <c r="K322" s="185"/>
      <c r="M322" s="141" t="str">
        <f t="shared" si="50"/>
        <v/>
      </c>
      <c r="N322" s="141" t="str">
        <f t="shared" si="51"/>
        <v/>
      </c>
    </row>
    <row r="323" spans="1:14">
      <c r="A323" s="145" t="str">
        <f>IF(C323="","",VLOOKUP('Opći dio'!$C$3,'Opći dio'!$L$6:$U$136,10,FALSE))</f>
        <v/>
      </c>
      <c r="B323" s="145" t="str">
        <f>IF(C323="","",VLOOKUP('Opći dio'!$C$3,'Opći dio'!$L$6:$U$136,9,FALSE))</f>
        <v/>
      </c>
      <c r="C323" s="151"/>
      <c r="D323" s="146" t="str">
        <f t="shared" si="47"/>
        <v/>
      </c>
      <c r="E323" s="151"/>
      <c r="F323" s="146" t="str">
        <f t="shared" si="48"/>
        <v/>
      </c>
      <c r="G323" s="186"/>
      <c r="H323" s="146" t="str">
        <f t="shared" si="49"/>
        <v/>
      </c>
      <c r="I323" s="185"/>
      <c r="J323" s="185"/>
      <c r="K323" s="185"/>
      <c r="M323" s="141" t="str">
        <f t="shared" si="50"/>
        <v/>
      </c>
      <c r="N323" s="141" t="str">
        <f t="shared" si="51"/>
        <v/>
      </c>
    </row>
    <row r="324" spans="1:14">
      <c r="A324" s="145" t="str">
        <f>IF(C324="","",VLOOKUP('Opći dio'!$C$3,'Opći dio'!$L$6:$U$136,10,FALSE))</f>
        <v/>
      </c>
      <c r="B324" s="145" t="str">
        <f>IF(C324="","",VLOOKUP('Opći dio'!$C$3,'Opći dio'!$L$6:$U$136,9,FALSE))</f>
        <v/>
      </c>
      <c r="C324" s="151"/>
      <c r="D324" s="146" t="str">
        <f t="shared" ref="D324:D387" si="52">IFERROR(VLOOKUP(C324,$O$6:$P$23,2,FALSE),"")</f>
        <v/>
      </c>
      <c r="E324" s="151"/>
      <c r="F324" s="146" t="str">
        <f t="shared" ref="F324:F387" si="53">IFERROR(VLOOKUP(E324,$R$5:$T$129,2,FALSE),"")</f>
        <v/>
      </c>
      <c r="G324" s="186"/>
      <c r="H324" s="146" t="str">
        <f t="shared" ref="H324:H387" si="54">IFERROR(VLOOKUP(G324,$X$6:$Y$200,2,FALSE),"")</f>
        <v/>
      </c>
      <c r="I324" s="185"/>
      <c r="J324" s="185"/>
      <c r="K324" s="185"/>
      <c r="M324" s="141" t="str">
        <f t="shared" ref="M324:M387" si="55">LEFT(E324,3)</f>
        <v/>
      </c>
      <c r="N324" s="141" t="str">
        <f t="shared" ref="N324:N387" si="56">LEFT(E324,2)</f>
        <v/>
      </c>
    </row>
    <row r="325" spans="1:14">
      <c r="A325" s="145" t="str">
        <f>IF(C325="","",VLOOKUP('Opći dio'!$C$3,'Opći dio'!$L$6:$U$136,10,FALSE))</f>
        <v/>
      </c>
      <c r="B325" s="145" t="str">
        <f>IF(C325="","",VLOOKUP('Opći dio'!$C$3,'Opći dio'!$L$6:$U$136,9,FALSE))</f>
        <v/>
      </c>
      <c r="C325" s="151"/>
      <c r="D325" s="146" t="str">
        <f t="shared" si="52"/>
        <v/>
      </c>
      <c r="E325" s="151"/>
      <c r="F325" s="146" t="str">
        <f t="shared" si="53"/>
        <v/>
      </c>
      <c r="G325" s="186"/>
      <c r="H325" s="146" t="str">
        <f t="shared" si="54"/>
        <v/>
      </c>
      <c r="I325" s="185"/>
      <c r="J325" s="185"/>
      <c r="K325" s="185"/>
      <c r="M325" s="141" t="str">
        <f t="shared" si="55"/>
        <v/>
      </c>
      <c r="N325" s="141" t="str">
        <f t="shared" si="56"/>
        <v/>
      </c>
    </row>
    <row r="326" spans="1:14">
      <c r="A326" s="145" t="str">
        <f>IF(C326="","",VLOOKUP('Opći dio'!$C$3,'Opći dio'!$L$6:$U$136,10,FALSE))</f>
        <v/>
      </c>
      <c r="B326" s="145" t="str">
        <f>IF(C326="","",VLOOKUP('Opći dio'!$C$3,'Opći dio'!$L$6:$U$136,9,FALSE))</f>
        <v/>
      </c>
      <c r="C326" s="151"/>
      <c r="D326" s="146" t="str">
        <f t="shared" si="52"/>
        <v/>
      </c>
      <c r="E326" s="151"/>
      <c r="F326" s="146" t="str">
        <f t="shared" si="53"/>
        <v/>
      </c>
      <c r="G326" s="186"/>
      <c r="H326" s="146" t="str">
        <f t="shared" si="54"/>
        <v/>
      </c>
      <c r="I326" s="185"/>
      <c r="J326" s="185"/>
      <c r="K326" s="185"/>
      <c r="M326" s="141" t="str">
        <f t="shared" si="55"/>
        <v/>
      </c>
      <c r="N326" s="141" t="str">
        <f t="shared" si="56"/>
        <v/>
      </c>
    </row>
    <row r="327" spans="1:14">
      <c r="A327" s="145" t="str">
        <f>IF(C327="","",VLOOKUP('Opći dio'!$C$3,'Opći dio'!$L$6:$U$136,10,FALSE))</f>
        <v/>
      </c>
      <c r="B327" s="145" t="str">
        <f>IF(C327="","",VLOOKUP('Opći dio'!$C$3,'Opći dio'!$L$6:$U$136,9,FALSE))</f>
        <v/>
      </c>
      <c r="C327" s="151"/>
      <c r="D327" s="146" t="str">
        <f t="shared" si="52"/>
        <v/>
      </c>
      <c r="E327" s="151"/>
      <c r="F327" s="146" t="str">
        <f t="shared" si="53"/>
        <v/>
      </c>
      <c r="G327" s="186"/>
      <c r="H327" s="146" t="str">
        <f t="shared" si="54"/>
        <v/>
      </c>
      <c r="I327" s="185"/>
      <c r="J327" s="185"/>
      <c r="K327" s="185"/>
      <c r="M327" s="141" t="str">
        <f t="shared" si="55"/>
        <v/>
      </c>
      <c r="N327" s="141" t="str">
        <f t="shared" si="56"/>
        <v/>
      </c>
    </row>
    <row r="328" spans="1:14">
      <c r="A328" s="145" t="str">
        <f>IF(C328="","",VLOOKUP('Opći dio'!$C$3,'Opći dio'!$L$6:$U$136,10,FALSE))</f>
        <v/>
      </c>
      <c r="B328" s="145" t="str">
        <f>IF(C328="","",VLOOKUP('Opći dio'!$C$3,'Opći dio'!$L$6:$U$136,9,FALSE))</f>
        <v/>
      </c>
      <c r="C328" s="151"/>
      <c r="D328" s="146" t="str">
        <f t="shared" si="52"/>
        <v/>
      </c>
      <c r="E328" s="151"/>
      <c r="F328" s="146" t="str">
        <f t="shared" si="53"/>
        <v/>
      </c>
      <c r="G328" s="186"/>
      <c r="H328" s="146" t="str">
        <f t="shared" si="54"/>
        <v/>
      </c>
      <c r="I328" s="185"/>
      <c r="J328" s="185"/>
      <c r="K328" s="185"/>
      <c r="M328" s="141" t="str">
        <f t="shared" si="55"/>
        <v/>
      </c>
      <c r="N328" s="141" t="str">
        <f t="shared" si="56"/>
        <v/>
      </c>
    </row>
    <row r="329" spans="1:14">
      <c r="A329" s="145" t="str">
        <f>IF(C329="","",VLOOKUP('Opći dio'!$C$3,'Opći dio'!$L$6:$U$136,10,FALSE))</f>
        <v/>
      </c>
      <c r="B329" s="145" t="str">
        <f>IF(C329="","",VLOOKUP('Opći dio'!$C$3,'Opći dio'!$L$6:$U$136,9,FALSE))</f>
        <v/>
      </c>
      <c r="C329" s="151"/>
      <c r="D329" s="146" t="str">
        <f t="shared" si="52"/>
        <v/>
      </c>
      <c r="E329" s="151"/>
      <c r="F329" s="146" t="str">
        <f t="shared" si="53"/>
        <v/>
      </c>
      <c r="G329" s="186"/>
      <c r="H329" s="146" t="str">
        <f t="shared" si="54"/>
        <v/>
      </c>
      <c r="I329" s="185"/>
      <c r="J329" s="185"/>
      <c r="K329" s="185"/>
      <c r="M329" s="141" t="str">
        <f t="shared" si="55"/>
        <v/>
      </c>
      <c r="N329" s="141" t="str">
        <f t="shared" si="56"/>
        <v/>
      </c>
    </row>
    <row r="330" spans="1:14">
      <c r="A330" s="145" t="str">
        <f>IF(C330="","",VLOOKUP('Opći dio'!$C$3,'Opći dio'!$L$6:$U$136,10,FALSE))</f>
        <v/>
      </c>
      <c r="B330" s="145" t="str">
        <f>IF(C330="","",VLOOKUP('Opći dio'!$C$3,'Opći dio'!$L$6:$U$136,9,FALSE))</f>
        <v/>
      </c>
      <c r="C330" s="151"/>
      <c r="D330" s="146" t="str">
        <f t="shared" si="52"/>
        <v/>
      </c>
      <c r="E330" s="151"/>
      <c r="F330" s="146" t="str">
        <f t="shared" si="53"/>
        <v/>
      </c>
      <c r="G330" s="186"/>
      <c r="H330" s="146" t="str">
        <f t="shared" si="54"/>
        <v/>
      </c>
      <c r="I330" s="185"/>
      <c r="J330" s="185"/>
      <c r="K330" s="185"/>
      <c r="M330" s="141" t="str">
        <f t="shared" si="55"/>
        <v/>
      </c>
      <c r="N330" s="141" t="str">
        <f t="shared" si="56"/>
        <v/>
      </c>
    </row>
    <row r="331" spans="1:14">
      <c r="A331" s="145" t="str">
        <f>IF(C331="","",VLOOKUP('Opći dio'!$C$3,'Opći dio'!$L$6:$U$136,10,FALSE))</f>
        <v/>
      </c>
      <c r="B331" s="145" t="str">
        <f>IF(C331="","",VLOOKUP('Opći dio'!$C$3,'Opći dio'!$L$6:$U$136,9,FALSE))</f>
        <v/>
      </c>
      <c r="C331" s="151"/>
      <c r="D331" s="146" t="str">
        <f t="shared" si="52"/>
        <v/>
      </c>
      <c r="E331" s="151"/>
      <c r="F331" s="146" t="str">
        <f t="shared" si="53"/>
        <v/>
      </c>
      <c r="G331" s="186"/>
      <c r="H331" s="146" t="str">
        <f t="shared" si="54"/>
        <v/>
      </c>
      <c r="I331" s="185"/>
      <c r="J331" s="185"/>
      <c r="K331" s="185"/>
      <c r="M331" s="141" t="str">
        <f t="shared" si="55"/>
        <v/>
      </c>
      <c r="N331" s="141" t="str">
        <f t="shared" si="56"/>
        <v/>
      </c>
    </row>
    <row r="332" spans="1:14">
      <c r="A332" s="145" t="str">
        <f>IF(C332="","",VLOOKUP('Opći dio'!$C$3,'Opći dio'!$L$6:$U$136,10,FALSE))</f>
        <v/>
      </c>
      <c r="B332" s="145" t="str">
        <f>IF(C332="","",VLOOKUP('Opći dio'!$C$3,'Opći dio'!$L$6:$U$136,9,FALSE))</f>
        <v/>
      </c>
      <c r="C332" s="151"/>
      <c r="D332" s="146" t="str">
        <f t="shared" si="52"/>
        <v/>
      </c>
      <c r="E332" s="151"/>
      <c r="F332" s="146" t="str">
        <f t="shared" si="53"/>
        <v/>
      </c>
      <c r="G332" s="186"/>
      <c r="H332" s="146" t="str">
        <f t="shared" si="54"/>
        <v/>
      </c>
      <c r="I332" s="185"/>
      <c r="J332" s="185"/>
      <c r="K332" s="185"/>
      <c r="M332" s="141" t="str">
        <f t="shared" si="55"/>
        <v/>
      </c>
      <c r="N332" s="141" t="str">
        <f t="shared" si="56"/>
        <v/>
      </c>
    </row>
    <row r="333" spans="1:14">
      <c r="A333" s="145" t="str">
        <f>IF(C333="","",VLOOKUP('Opći dio'!$C$3,'Opći dio'!$L$6:$U$136,10,FALSE))</f>
        <v/>
      </c>
      <c r="B333" s="145" t="str">
        <f>IF(C333="","",VLOOKUP('Opći dio'!$C$3,'Opći dio'!$L$6:$U$136,9,FALSE))</f>
        <v/>
      </c>
      <c r="C333" s="151"/>
      <c r="D333" s="146" t="str">
        <f t="shared" si="52"/>
        <v/>
      </c>
      <c r="E333" s="151"/>
      <c r="F333" s="146" t="str">
        <f t="shared" si="53"/>
        <v/>
      </c>
      <c r="G333" s="186"/>
      <c r="H333" s="146" t="str">
        <f t="shared" si="54"/>
        <v/>
      </c>
      <c r="I333" s="185"/>
      <c r="J333" s="185"/>
      <c r="K333" s="185"/>
      <c r="M333" s="141" t="str">
        <f t="shared" si="55"/>
        <v/>
      </c>
      <c r="N333" s="141" t="str">
        <f t="shared" si="56"/>
        <v/>
      </c>
    </row>
    <row r="334" spans="1:14">
      <c r="A334" s="145" t="str">
        <f>IF(C334="","",VLOOKUP('Opći dio'!$C$3,'Opći dio'!$L$6:$U$136,10,FALSE))</f>
        <v/>
      </c>
      <c r="B334" s="145" t="str">
        <f>IF(C334="","",VLOOKUP('Opći dio'!$C$3,'Opći dio'!$L$6:$U$136,9,FALSE))</f>
        <v/>
      </c>
      <c r="C334" s="151"/>
      <c r="D334" s="146" t="str">
        <f t="shared" si="52"/>
        <v/>
      </c>
      <c r="E334" s="151"/>
      <c r="F334" s="146" t="str">
        <f t="shared" si="53"/>
        <v/>
      </c>
      <c r="G334" s="186"/>
      <c r="H334" s="146" t="str">
        <f t="shared" si="54"/>
        <v/>
      </c>
      <c r="I334" s="185"/>
      <c r="J334" s="185"/>
      <c r="K334" s="185"/>
      <c r="M334" s="141" t="str">
        <f t="shared" si="55"/>
        <v/>
      </c>
      <c r="N334" s="141" t="str">
        <f t="shared" si="56"/>
        <v/>
      </c>
    </row>
    <row r="335" spans="1:14">
      <c r="A335" s="145" t="str">
        <f>IF(C335="","",VLOOKUP('Opći dio'!$C$3,'Opći dio'!$L$6:$U$136,10,FALSE))</f>
        <v/>
      </c>
      <c r="B335" s="145" t="str">
        <f>IF(C335="","",VLOOKUP('Opći dio'!$C$3,'Opći dio'!$L$6:$U$136,9,FALSE))</f>
        <v/>
      </c>
      <c r="C335" s="151"/>
      <c r="D335" s="146" t="str">
        <f t="shared" si="52"/>
        <v/>
      </c>
      <c r="E335" s="151"/>
      <c r="F335" s="146" t="str">
        <f t="shared" si="53"/>
        <v/>
      </c>
      <c r="G335" s="186"/>
      <c r="H335" s="146" t="str">
        <f t="shared" si="54"/>
        <v/>
      </c>
      <c r="I335" s="185"/>
      <c r="J335" s="185"/>
      <c r="K335" s="185"/>
      <c r="M335" s="141" t="str">
        <f t="shared" si="55"/>
        <v/>
      </c>
      <c r="N335" s="141" t="str">
        <f t="shared" si="56"/>
        <v/>
      </c>
    </row>
    <row r="336" spans="1:14">
      <c r="A336" s="145" t="str">
        <f>IF(C336="","",VLOOKUP('Opći dio'!$C$3,'Opći dio'!$L$6:$U$136,10,FALSE))</f>
        <v/>
      </c>
      <c r="B336" s="145" t="str">
        <f>IF(C336="","",VLOOKUP('Opći dio'!$C$3,'Opći dio'!$L$6:$U$136,9,FALSE))</f>
        <v/>
      </c>
      <c r="C336" s="151"/>
      <c r="D336" s="146" t="str">
        <f t="shared" si="52"/>
        <v/>
      </c>
      <c r="E336" s="151"/>
      <c r="F336" s="146" t="str">
        <f t="shared" si="53"/>
        <v/>
      </c>
      <c r="G336" s="186"/>
      <c r="H336" s="146" t="str">
        <f t="shared" si="54"/>
        <v/>
      </c>
      <c r="I336" s="185"/>
      <c r="J336" s="185"/>
      <c r="K336" s="185"/>
      <c r="M336" s="141" t="str">
        <f t="shared" si="55"/>
        <v/>
      </c>
      <c r="N336" s="141" t="str">
        <f t="shared" si="56"/>
        <v/>
      </c>
    </row>
    <row r="337" spans="1:14">
      <c r="A337" s="145" t="str">
        <f>IF(C337="","",VLOOKUP('Opći dio'!$C$3,'Opći dio'!$L$6:$U$136,10,FALSE))</f>
        <v/>
      </c>
      <c r="B337" s="145" t="str">
        <f>IF(C337="","",VLOOKUP('Opći dio'!$C$3,'Opći dio'!$L$6:$U$136,9,FALSE))</f>
        <v/>
      </c>
      <c r="C337" s="151"/>
      <c r="D337" s="146" t="str">
        <f t="shared" si="52"/>
        <v/>
      </c>
      <c r="E337" s="151"/>
      <c r="F337" s="146" t="str">
        <f t="shared" si="53"/>
        <v/>
      </c>
      <c r="G337" s="186"/>
      <c r="H337" s="146" t="str">
        <f t="shared" si="54"/>
        <v/>
      </c>
      <c r="I337" s="185"/>
      <c r="J337" s="185"/>
      <c r="K337" s="185"/>
      <c r="M337" s="141" t="str">
        <f t="shared" si="55"/>
        <v/>
      </c>
      <c r="N337" s="141" t="str">
        <f t="shared" si="56"/>
        <v/>
      </c>
    </row>
    <row r="338" spans="1:14">
      <c r="A338" s="145" t="str">
        <f>IF(C338="","",VLOOKUP('Opći dio'!$C$3,'Opći dio'!$L$6:$U$136,10,FALSE))</f>
        <v/>
      </c>
      <c r="B338" s="145" t="str">
        <f>IF(C338="","",VLOOKUP('Opći dio'!$C$3,'Opći dio'!$L$6:$U$136,9,FALSE))</f>
        <v/>
      </c>
      <c r="C338" s="151"/>
      <c r="D338" s="146" t="str">
        <f t="shared" si="52"/>
        <v/>
      </c>
      <c r="E338" s="151"/>
      <c r="F338" s="146" t="str">
        <f t="shared" si="53"/>
        <v/>
      </c>
      <c r="G338" s="186"/>
      <c r="H338" s="146" t="str">
        <f t="shared" si="54"/>
        <v/>
      </c>
      <c r="I338" s="185"/>
      <c r="J338" s="185"/>
      <c r="K338" s="185"/>
      <c r="M338" s="141" t="str">
        <f t="shared" si="55"/>
        <v/>
      </c>
      <c r="N338" s="141" t="str">
        <f t="shared" si="56"/>
        <v/>
      </c>
    </row>
    <row r="339" spans="1:14">
      <c r="A339" s="145" t="str">
        <f>IF(C339="","",VLOOKUP('Opći dio'!$C$3,'Opći dio'!$L$6:$U$136,10,FALSE))</f>
        <v/>
      </c>
      <c r="B339" s="145" t="str">
        <f>IF(C339="","",VLOOKUP('Opći dio'!$C$3,'Opći dio'!$L$6:$U$136,9,FALSE))</f>
        <v/>
      </c>
      <c r="C339" s="151"/>
      <c r="D339" s="146" t="str">
        <f t="shared" si="52"/>
        <v/>
      </c>
      <c r="E339" s="151"/>
      <c r="F339" s="146" t="str">
        <f t="shared" si="53"/>
        <v/>
      </c>
      <c r="G339" s="186"/>
      <c r="H339" s="146" t="str">
        <f t="shared" si="54"/>
        <v/>
      </c>
      <c r="I339" s="185"/>
      <c r="J339" s="185"/>
      <c r="K339" s="185"/>
      <c r="M339" s="141" t="str">
        <f t="shared" si="55"/>
        <v/>
      </c>
      <c r="N339" s="141" t="str">
        <f t="shared" si="56"/>
        <v/>
      </c>
    </row>
    <row r="340" spans="1:14">
      <c r="A340" s="145" t="str">
        <f>IF(C340="","",VLOOKUP('Opći dio'!$C$3,'Opći dio'!$L$6:$U$136,10,FALSE))</f>
        <v/>
      </c>
      <c r="B340" s="145" t="str">
        <f>IF(C340="","",VLOOKUP('Opći dio'!$C$3,'Opći dio'!$L$6:$U$136,9,FALSE))</f>
        <v/>
      </c>
      <c r="C340" s="151"/>
      <c r="D340" s="146" t="str">
        <f t="shared" si="52"/>
        <v/>
      </c>
      <c r="E340" s="151"/>
      <c r="F340" s="146" t="str">
        <f t="shared" si="53"/>
        <v/>
      </c>
      <c r="G340" s="186"/>
      <c r="H340" s="146" t="str">
        <f t="shared" si="54"/>
        <v/>
      </c>
      <c r="I340" s="185"/>
      <c r="J340" s="185"/>
      <c r="K340" s="185"/>
      <c r="M340" s="141" t="str">
        <f t="shared" si="55"/>
        <v/>
      </c>
      <c r="N340" s="141" t="str">
        <f t="shared" si="56"/>
        <v/>
      </c>
    </row>
    <row r="341" spans="1:14">
      <c r="A341" s="145" t="str">
        <f>IF(C341="","",VLOOKUP('Opći dio'!$C$3,'Opći dio'!$L$6:$U$136,10,FALSE))</f>
        <v/>
      </c>
      <c r="B341" s="145" t="str">
        <f>IF(C341="","",VLOOKUP('Opći dio'!$C$3,'Opći dio'!$L$6:$U$136,9,FALSE))</f>
        <v/>
      </c>
      <c r="C341" s="151"/>
      <c r="D341" s="146" t="str">
        <f t="shared" si="52"/>
        <v/>
      </c>
      <c r="E341" s="151"/>
      <c r="F341" s="146" t="str">
        <f t="shared" si="53"/>
        <v/>
      </c>
      <c r="G341" s="186"/>
      <c r="H341" s="146" t="str">
        <f t="shared" si="54"/>
        <v/>
      </c>
      <c r="I341" s="185"/>
      <c r="J341" s="185"/>
      <c r="K341" s="185"/>
      <c r="M341" s="141" t="str">
        <f t="shared" si="55"/>
        <v/>
      </c>
      <c r="N341" s="141" t="str">
        <f t="shared" si="56"/>
        <v/>
      </c>
    </row>
    <row r="342" spans="1:14">
      <c r="A342" s="145" t="str">
        <f>IF(C342="","",VLOOKUP('Opći dio'!$C$3,'Opći dio'!$L$6:$U$136,10,FALSE))</f>
        <v/>
      </c>
      <c r="B342" s="145" t="str">
        <f>IF(C342="","",VLOOKUP('Opći dio'!$C$3,'Opći dio'!$L$6:$U$136,9,FALSE))</f>
        <v/>
      </c>
      <c r="C342" s="151"/>
      <c r="D342" s="146" t="str">
        <f t="shared" si="52"/>
        <v/>
      </c>
      <c r="E342" s="151"/>
      <c r="F342" s="146" t="str">
        <f t="shared" si="53"/>
        <v/>
      </c>
      <c r="G342" s="186"/>
      <c r="H342" s="146" t="str">
        <f t="shared" si="54"/>
        <v/>
      </c>
      <c r="I342" s="185"/>
      <c r="J342" s="185"/>
      <c r="K342" s="185"/>
      <c r="M342" s="141" t="str">
        <f t="shared" si="55"/>
        <v/>
      </c>
      <c r="N342" s="141" t="str">
        <f t="shared" si="56"/>
        <v/>
      </c>
    </row>
    <row r="343" spans="1:14">
      <c r="A343" s="145" t="str">
        <f>IF(C343="","",VLOOKUP('Opći dio'!$C$3,'Opći dio'!$L$6:$U$136,10,FALSE))</f>
        <v/>
      </c>
      <c r="B343" s="145" t="str">
        <f>IF(C343="","",VLOOKUP('Opći dio'!$C$3,'Opći dio'!$L$6:$U$136,9,FALSE))</f>
        <v/>
      </c>
      <c r="C343" s="151"/>
      <c r="D343" s="146" t="str">
        <f t="shared" si="52"/>
        <v/>
      </c>
      <c r="E343" s="151"/>
      <c r="F343" s="146" t="str">
        <f t="shared" si="53"/>
        <v/>
      </c>
      <c r="G343" s="186"/>
      <c r="H343" s="146" t="str">
        <f t="shared" si="54"/>
        <v/>
      </c>
      <c r="I343" s="185"/>
      <c r="J343" s="185"/>
      <c r="K343" s="185"/>
      <c r="M343" s="141" t="str">
        <f t="shared" si="55"/>
        <v/>
      </c>
      <c r="N343" s="141" t="str">
        <f t="shared" si="56"/>
        <v/>
      </c>
    </row>
    <row r="344" spans="1:14">
      <c r="A344" s="145" t="str">
        <f>IF(C344="","",VLOOKUP('Opći dio'!$C$3,'Opći dio'!$L$6:$U$136,10,FALSE))</f>
        <v/>
      </c>
      <c r="B344" s="145" t="str">
        <f>IF(C344="","",VLOOKUP('Opći dio'!$C$3,'Opći dio'!$L$6:$U$136,9,FALSE))</f>
        <v/>
      </c>
      <c r="C344" s="151"/>
      <c r="D344" s="146" t="str">
        <f t="shared" si="52"/>
        <v/>
      </c>
      <c r="E344" s="151"/>
      <c r="F344" s="146" t="str">
        <f t="shared" si="53"/>
        <v/>
      </c>
      <c r="G344" s="186"/>
      <c r="H344" s="146" t="str">
        <f t="shared" si="54"/>
        <v/>
      </c>
      <c r="I344" s="185"/>
      <c r="J344" s="185"/>
      <c r="K344" s="185"/>
      <c r="M344" s="141" t="str">
        <f t="shared" si="55"/>
        <v/>
      </c>
      <c r="N344" s="141" t="str">
        <f t="shared" si="56"/>
        <v/>
      </c>
    </row>
    <row r="345" spans="1:14">
      <c r="A345" s="145" t="str">
        <f>IF(C345="","",VLOOKUP('Opći dio'!$C$3,'Opći dio'!$L$6:$U$136,10,FALSE))</f>
        <v/>
      </c>
      <c r="B345" s="145" t="str">
        <f>IF(C345="","",VLOOKUP('Opći dio'!$C$3,'Opći dio'!$L$6:$U$136,9,FALSE))</f>
        <v/>
      </c>
      <c r="C345" s="151"/>
      <c r="D345" s="146" t="str">
        <f t="shared" si="52"/>
        <v/>
      </c>
      <c r="E345" s="151"/>
      <c r="F345" s="146" t="str">
        <f t="shared" si="53"/>
        <v/>
      </c>
      <c r="G345" s="186"/>
      <c r="H345" s="146" t="str">
        <f t="shared" si="54"/>
        <v/>
      </c>
      <c r="I345" s="185"/>
      <c r="J345" s="185"/>
      <c r="K345" s="185"/>
      <c r="M345" s="141" t="str">
        <f t="shared" si="55"/>
        <v/>
      </c>
      <c r="N345" s="141" t="str">
        <f t="shared" si="56"/>
        <v/>
      </c>
    </row>
    <row r="346" spans="1:14">
      <c r="A346" s="145" t="str">
        <f>IF(C346="","",VLOOKUP('Opći dio'!$C$3,'Opći dio'!$L$6:$U$136,10,FALSE))</f>
        <v/>
      </c>
      <c r="B346" s="145" t="str">
        <f>IF(C346="","",VLOOKUP('Opći dio'!$C$3,'Opći dio'!$L$6:$U$136,9,FALSE))</f>
        <v/>
      </c>
      <c r="C346" s="151"/>
      <c r="D346" s="146" t="str">
        <f t="shared" si="52"/>
        <v/>
      </c>
      <c r="E346" s="151"/>
      <c r="F346" s="146" t="str">
        <f t="shared" si="53"/>
        <v/>
      </c>
      <c r="G346" s="186"/>
      <c r="H346" s="146" t="str">
        <f t="shared" si="54"/>
        <v/>
      </c>
      <c r="I346" s="185"/>
      <c r="J346" s="185"/>
      <c r="K346" s="185"/>
      <c r="M346" s="141" t="str">
        <f t="shared" si="55"/>
        <v/>
      </c>
      <c r="N346" s="141" t="str">
        <f t="shared" si="56"/>
        <v/>
      </c>
    </row>
    <row r="347" spans="1:14">
      <c r="A347" s="145" t="str">
        <f>IF(C347="","",VLOOKUP('Opći dio'!$C$3,'Opći dio'!$L$6:$U$136,10,FALSE))</f>
        <v/>
      </c>
      <c r="B347" s="145" t="str">
        <f>IF(C347="","",VLOOKUP('Opći dio'!$C$3,'Opći dio'!$L$6:$U$136,9,FALSE))</f>
        <v/>
      </c>
      <c r="C347" s="151"/>
      <c r="D347" s="146" t="str">
        <f t="shared" si="52"/>
        <v/>
      </c>
      <c r="E347" s="151"/>
      <c r="F347" s="146" t="str">
        <f t="shared" si="53"/>
        <v/>
      </c>
      <c r="G347" s="186"/>
      <c r="H347" s="146" t="str">
        <f t="shared" si="54"/>
        <v/>
      </c>
      <c r="I347" s="185"/>
      <c r="J347" s="185"/>
      <c r="K347" s="185"/>
      <c r="M347" s="141" t="str">
        <f t="shared" si="55"/>
        <v/>
      </c>
      <c r="N347" s="141" t="str">
        <f t="shared" si="56"/>
        <v/>
      </c>
    </row>
    <row r="348" spans="1:14">
      <c r="A348" s="145" t="str">
        <f>IF(C348="","",VLOOKUP('Opći dio'!$C$3,'Opći dio'!$L$6:$U$136,10,FALSE))</f>
        <v/>
      </c>
      <c r="B348" s="145" t="str">
        <f>IF(C348="","",VLOOKUP('Opći dio'!$C$3,'Opći dio'!$L$6:$U$136,9,FALSE))</f>
        <v/>
      </c>
      <c r="C348" s="151"/>
      <c r="D348" s="146" t="str">
        <f t="shared" si="52"/>
        <v/>
      </c>
      <c r="E348" s="151"/>
      <c r="F348" s="146" t="str">
        <f t="shared" si="53"/>
        <v/>
      </c>
      <c r="G348" s="186"/>
      <c r="H348" s="146" t="str">
        <f t="shared" si="54"/>
        <v/>
      </c>
      <c r="I348" s="185"/>
      <c r="J348" s="185"/>
      <c r="K348" s="185"/>
      <c r="M348" s="141" t="str">
        <f t="shared" si="55"/>
        <v/>
      </c>
      <c r="N348" s="141" t="str">
        <f t="shared" si="56"/>
        <v/>
      </c>
    </row>
    <row r="349" spans="1:14">
      <c r="A349" s="145" t="str">
        <f>IF(C349="","",VLOOKUP('Opći dio'!$C$3,'Opći dio'!$L$6:$U$136,10,FALSE))</f>
        <v/>
      </c>
      <c r="B349" s="145" t="str">
        <f>IF(C349="","",VLOOKUP('Opći dio'!$C$3,'Opći dio'!$L$6:$U$136,9,FALSE))</f>
        <v/>
      </c>
      <c r="C349" s="151"/>
      <c r="D349" s="146" t="str">
        <f t="shared" si="52"/>
        <v/>
      </c>
      <c r="E349" s="151"/>
      <c r="F349" s="146" t="str">
        <f t="shared" si="53"/>
        <v/>
      </c>
      <c r="G349" s="186"/>
      <c r="H349" s="146" t="str">
        <f t="shared" si="54"/>
        <v/>
      </c>
      <c r="I349" s="185"/>
      <c r="J349" s="185"/>
      <c r="K349" s="185"/>
      <c r="M349" s="141" t="str">
        <f t="shared" si="55"/>
        <v/>
      </c>
      <c r="N349" s="141" t="str">
        <f t="shared" si="56"/>
        <v/>
      </c>
    </row>
    <row r="350" spans="1:14">
      <c r="A350" s="145" t="str">
        <f>IF(C350="","",VLOOKUP('Opći dio'!$C$3,'Opći dio'!$L$6:$U$136,10,FALSE))</f>
        <v/>
      </c>
      <c r="B350" s="145" t="str">
        <f>IF(C350="","",VLOOKUP('Opći dio'!$C$3,'Opći dio'!$L$6:$U$136,9,FALSE))</f>
        <v/>
      </c>
      <c r="C350" s="151"/>
      <c r="D350" s="146" t="str">
        <f t="shared" si="52"/>
        <v/>
      </c>
      <c r="E350" s="151"/>
      <c r="F350" s="146" t="str">
        <f t="shared" si="53"/>
        <v/>
      </c>
      <c r="G350" s="186"/>
      <c r="H350" s="146" t="str">
        <f t="shared" si="54"/>
        <v/>
      </c>
      <c r="I350" s="185"/>
      <c r="J350" s="185"/>
      <c r="K350" s="185"/>
      <c r="M350" s="141" t="str">
        <f t="shared" si="55"/>
        <v/>
      </c>
      <c r="N350" s="141" t="str">
        <f t="shared" si="56"/>
        <v/>
      </c>
    </row>
    <row r="351" spans="1:14">
      <c r="A351" s="145" t="str">
        <f>IF(C351="","",VLOOKUP('Opći dio'!$C$3,'Opći dio'!$L$6:$U$136,10,FALSE))</f>
        <v/>
      </c>
      <c r="B351" s="145" t="str">
        <f>IF(C351="","",VLOOKUP('Opći dio'!$C$3,'Opći dio'!$L$6:$U$136,9,FALSE))</f>
        <v/>
      </c>
      <c r="C351" s="151"/>
      <c r="D351" s="146" t="str">
        <f t="shared" si="52"/>
        <v/>
      </c>
      <c r="E351" s="151"/>
      <c r="F351" s="146" t="str">
        <f t="shared" si="53"/>
        <v/>
      </c>
      <c r="G351" s="186"/>
      <c r="H351" s="146" t="str">
        <f t="shared" si="54"/>
        <v/>
      </c>
      <c r="I351" s="185"/>
      <c r="J351" s="185"/>
      <c r="K351" s="185"/>
      <c r="M351" s="141" t="str">
        <f t="shared" si="55"/>
        <v/>
      </c>
      <c r="N351" s="141" t="str">
        <f t="shared" si="56"/>
        <v/>
      </c>
    </row>
    <row r="352" spans="1:14">
      <c r="A352" s="145" t="str">
        <f>IF(C352="","",VLOOKUP('Opći dio'!$C$3,'Opći dio'!$L$6:$U$136,10,FALSE))</f>
        <v/>
      </c>
      <c r="B352" s="145" t="str">
        <f>IF(C352="","",VLOOKUP('Opći dio'!$C$3,'Opći dio'!$L$6:$U$136,9,FALSE))</f>
        <v/>
      </c>
      <c r="C352" s="151"/>
      <c r="D352" s="146" t="str">
        <f t="shared" si="52"/>
        <v/>
      </c>
      <c r="E352" s="151"/>
      <c r="F352" s="146" t="str">
        <f t="shared" si="53"/>
        <v/>
      </c>
      <c r="G352" s="186"/>
      <c r="H352" s="146" t="str">
        <f t="shared" si="54"/>
        <v/>
      </c>
      <c r="I352" s="185"/>
      <c r="J352" s="185"/>
      <c r="K352" s="185"/>
      <c r="M352" s="141" t="str">
        <f t="shared" si="55"/>
        <v/>
      </c>
      <c r="N352" s="141" t="str">
        <f t="shared" si="56"/>
        <v/>
      </c>
    </row>
    <row r="353" spans="1:14">
      <c r="A353" s="145" t="str">
        <f>IF(C353="","",VLOOKUP('Opći dio'!$C$3,'Opći dio'!$L$6:$U$136,10,FALSE))</f>
        <v/>
      </c>
      <c r="B353" s="145" t="str">
        <f>IF(C353="","",VLOOKUP('Opći dio'!$C$3,'Opći dio'!$L$6:$U$136,9,FALSE))</f>
        <v/>
      </c>
      <c r="C353" s="151"/>
      <c r="D353" s="146" t="str">
        <f t="shared" si="52"/>
        <v/>
      </c>
      <c r="E353" s="151"/>
      <c r="F353" s="146" t="str">
        <f t="shared" si="53"/>
        <v/>
      </c>
      <c r="G353" s="186"/>
      <c r="H353" s="146" t="str">
        <f t="shared" si="54"/>
        <v/>
      </c>
      <c r="I353" s="185"/>
      <c r="J353" s="185"/>
      <c r="K353" s="185"/>
      <c r="M353" s="141" t="str">
        <f t="shared" si="55"/>
        <v/>
      </c>
      <c r="N353" s="141" t="str">
        <f t="shared" si="56"/>
        <v/>
      </c>
    </row>
    <row r="354" spans="1:14">
      <c r="A354" s="145" t="str">
        <f>IF(C354="","",VLOOKUP('Opći dio'!$C$3,'Opći dio'!$L$6:$U$136,10,FALSE))</f>
        <v/>
      </c>
      <c r="B354" s="145" t="str">
        <f>IF(C354="","",VLOOKUP('Opći dio'!$C$3,'Opći dio'!$L$6:$U$136,9,FALSE))</f>
        <v/>
      </c>
      <c r="C354" s="151"/>
      <c r="D354" s="146" t="str">
        <f t="shared" si="52"/>
        <v/>
      </c>
      <c r="E354" s="151"/>
      <c r="F354" s="146" t="str">
        <f t="shared" si="53"/>
        <v/>
      </c>
      <c r="G354" s="186"/>
      <c r="H354" s="146" t="str">
        <f t="shared" si="54"/>
        <v/>
      </c>
      <c r="I354" s="185"/>
      <c r="J354" s="185"/>
      <c r="K354" s="185"/>
      <c r="M354" s="141" t="str">
        <f t="shared" si="55"/>
        <v/>
      </c>
      <c r="N354" s="141" t="str">
        <f t="shared" si="56"/>
        <v/>
      </c>
    </row>
    <row r="355" spans="1:14">
      <c r="A355" s="145" t="str">
        <f>IF(C355="","",VLOOKUP('Opći dio'!$C$3,'Opći dio'!$L$6:$U$136,10,FALSE))</f>
        <v/>
      </c>
      <c r="B355" s="145" t="str">
        <f>IF(C355="","",VLOOKUP('Opći dio'!$C$3,'Opći dio'!$L$6:$U$136,9,FALSE))</f>
        <v/>
      </c>
      <c r="C355" s="151"/>
      <c r="D355" s="146" t="str">
        <f t="shared" si="52"/>
        <v/>
      </c>
      <c r="E355" s="151"/>
      <c r="F355" s="146" t="str">
        <f t="shared" si="53"/>
        <v/>
      </c>
      <c r="G355" s="186"/>
      <c r="H355" s="146" t="str">
        <f t="shared" si="54"/>
        <v/>
      </c>
      <c r="I355" s="185"/>
      <c r="J355" s="185"/>
      <c r="K355" s="185"/>
      <c r="M355" s="141" t="str">
        <f t="shared" si="55"/>
        <v/>
      </c>
      <c r="N355" s="141" t="str">
        <f t="shared" si="56"/>
        <v/>
      </c>
    </row>
    <row r="356" spans="1:14">
      <c r="A356" s="145" t="str">
        <f>IF(C356="","",VLOOKUP('Opći dio'!$C$3,'Opći dio'!$L$6:$U$136,10,FALSE))</f>
        <v/>
      </c>
      <c r="B356" s="145" t="str">
        <f>IF(C356="","",VLOOKUP('Opći dio'!$C$3,'Opći dio'!$L$6:$U$136,9,FALSE))</f>
        <v/>
      </c>
      <c r="C356" s="151"/>
      <c r="D356" s="146" t="str">
        <f t="shared" si="52"/>
        <v/>
      </c>
      <c r="E356" s="151"/>
      <c r="F356" s="146" t="str">
        <f t="shared" si="53"/>
        <v/>
      </c>
      <c r="G356" s="186"/>
      <c r="H356" s="146" t="str">
        <f t="shared" si="54"/>
        <v/>
      </c>
      <c r="I356" s="185"/>
      <c r="J356" s="185"/>
      <c r="K356" s="185"/>
      <c r="M356" s="141" t="str">
        <f t="shared" si="55"/>
        <v/>
      </c>
      <c r="N356" s="141" t="str">
        <f t="shared" si="56"/>
        <v/>
      </c>
    </row>
    <row r="357" spans="1:14">
      <c r="A357" s="145" t="str">
        <f>IF(C357="","",VLOOKUP('Opći dio'!$C$3,'Opći dio'!$L$6:$U$136,10,FALSE))</f>
        <v/>
      </c>
      <c r="B357" s="145" t="str">
        <f>IF(C357="","",VLOOKUP('Opći dio'!$C$3,'Opći dio'!$L$6:$U$136,9,FALSE))</f>
        <v/>
      </c>
      <c r="C357" s="151"/>
      <c r="D357" s="146" t="str">
        <f t="shared" si="52"/>
        <v/>
      </c>
      <c r="E357" s="151"/>
      <c r="F357" s="146" t="str">
        <f t="shared" si="53"/>
        <v/>
      </c>
      <c r="G357" s="186"/>
      <c r="H357" s="146" t="str">
        <f t="shared" si="54"/>
        <v/>
      </c>
      <c r="I357" s="185"/>
      <c r="J357" s="185"/>
      <c r="K357" s="185"/>
      <c r="M357" s="141" t="str">
        <f t="shared" si="55"/>
        <v/>
      </c>
      <c r="N357" s="141" t="str">
        <f t="shared" si="56"/>
        <v/>
      </c>
    </row>
    <row r="358" spans="1:14">
      <c r="A358" s="145" t="str">
        <f>IF(C358="","",VLOOKUP('Opći dio'!$C$3,'Opći dio'!$L$6:$U$136,10,FALSE))</f>
        <v/>
      </c>
      <c r="B358" s="145" t="str">
        <f>IF(C358="","",VLOOKUP('Opći dio'!$C$3,'Opći dio'!$L$6:$U$136,9,FALSE))</f>
        <v/>
      </c>
      <c r="C358" s="151"/>
      <c r="D358" s="146" t="str">
        <f t="shared" si="52"/>
        <v/>
      </c>
      <c r="E358" s="151"/>
      <c r="F358" s="146" t="str">
        <f t="shared" si="53"/>
        <v/>
      </c>
      <c r="G358" s="186"/>
      <c r="H358" s="146" t="str">
        <f t="shared" si="54"/>
        <v/>
      </c>
      <c r="I358" s="185"/>
      <c r="J358" s="185"/>
      <c r="K358" s="185"/>
      <c r="M358" s="141" t="str">
        <f t="shared" si="55"/>
        <v/>
      </c>
      <c r="N358" s="141" t="str">
        <f t="shared" si="56"/>
        <v/>
      </c>
    </row>
    <row r="359" spans="1:14">
      <c r="A359" s="145" t="str">
        <f>IF(C359="","",VLOOKUP('Opći dio'!$C$3,'Opći dio'!$L$6:$U$136,10,FALSE))</f>
        <v/>
      </c>
      <c r="B359" s="145" t="str">
        <f>IF(C359="","",VLOOKUP('Opći dio'!$C$3,'Opći dio'!$L$6:$U$136,9,FALSE))</f>
        <v/>
      </c>
      <c r="C359" s="151"/>
      <c r="D359" s="146" t="str">
        <f t="shared" si="52"/>
        <v/>
      </c>
      <c r="E359" s="151"/>
      <c r="F359" s="146" t="str">
        <f t="shared" si="53"/>
        <v/>
      </c>
      <c r="G359" s="186"/>
      <c r="H359" s="146" t="str">
        <f t="shared" si="54"/>
        <v/>
      </c>
      <c r="I359" s="185"/>
      <c r="J359" s="185"/>
      <c r="K359" s="185"/>
      <c r="M359" s="141" t="str">
        <f t="shared" si="55"/>
        <v/>
      </c>
      <c r="N359" s="141" t="str">
        <f t="shared" si="56"/>
        <v/>
      </c>
    </row>
    <row r="360" spans="1:14">
      <c r="A360" s="145" t="str">
        <f>IF(C360="","",VLOOKUP('Opći dio'!$C$3,'Opći dio'!$L$6:$U$136,10,FALSE))</f>
        <v/>
      </c>
      <c r="B360" s="145" t="str">
        <f>IF(C360="","",VLOOKUP('Opći dio'!$C$3,'Opći dio'!$L$6:$U$136,9,FALSE))</f>
        <v/>
      </c>
      <c r="C360" s="151"/>
      <c r="D360" s="146" t="str">
        <f t="shared" si="52"/>
        <v/>
      </c>
      <c r="E360" s="151"/>
      <c r="F360" s="146" t="str">
        <f t="shared" si="53"/>
        <v/>
      </c>
      <c r="G360" s="186"/>
      <c r="H360" s="146" t="str">
        <f t="shared" si="54"/>
        <v/>
      </c>
      <c r="I360" s="185"/>
      <c r="J360" s="185"/>
      <c r="K360" s="185"/>
      <c r="M360" s="141" t="str">
        <f t="shared" si="55"/>
        <v/>
      </c>
      <c r="N360" s="141" t="str">
        <f t="shared" si="56"/>
        <v/>
      </c>
    </row>
    <row r="361" spans="1:14">
      <c r="A361" s="145" t="str">
        <f>IF(C361="","",VLOOKUP('Opći dio'!$C$3,'Opći dio'!$L$6:$U$136,10,FALSE))</f>
        <v/>
      </c>
      <c r="B361" s="145" t="str">
        <f>IF(C361="","",VLOOKUP('Opći dio'!$C$3,'Opći dio'!$L$6:$U$136,9,FALSE))</f>
        <v/>
      </c>
      <c r="C361" s="151"/>
      <c r="D361" s="146" t="str">
        <f t="shared" si="52"/>
        <v/>
      </c>
      <c r="E361" s="151"/>
      <c r="F361" s="146" t="str">
        <f t="shared" si="53"/>
        <v/>
      </c>
      <c r="G361" s="186"/>
      <c r="H361" s="146" t="str">
        <f t="shared" si="54"/>
        <v/>
      </c>
      <c r="I361" s="185"/>
      <c r="J361" s="185"/>
      <c r="K361" s="185"/>
      <c r="M361" s="141" t="str">
        <f t="shared" si="55"/>
        <v/>
      </c>
      <c r="N361" s="141" t="str">
        <f t="shared" si="56"/>
        <v/>
      </c>
    </row>
    <row r="362" spans="1:14">
      <c r="A362" s="145" t="str">
        <f>IF(C362="","",VLOOKUP('Opći dio'!$C$3,'Opći dio'!$L$6:$U$136,10,FALSE))</f>
        <v/>
      </c>
      <c r="B362" s="145" t="str">
        <f>IF(C362="","",VLOOKUP('Opći dio'!$C$3,'Opći dio'!$L$6:$U$136,9,FALSE))</f>
        <v/>
      </c>
      <c r="C362" s="151"/>
      <c r="D362" s="146" t="str">
        <f t="shared" si="52"/>
        <v/>
      </c>
      <c r="E362" s="151"/>
      <c r="F362" s="146" t="str">
        <f t="shared" si="53"/>
        <v/>
      </c>
      <c r="G362" s="186"/>
      <c r="H362" s="146" t="str">
        <f t="shared" si="54"/>
        <v/>
      </c>
      <c r="I362" s="185"/>
      <c r="J362" s="185"/>
      <c r="K362" s="185"/>
      <c r="M362" s="141" t="str">
        <f t="shared" si="55"/>
        <v/>
      </c>
      <c r="N362" s="141" t="str">
        <f t="shared" si="56"/>
        <v/>
      </c>
    </row>
    <row r="363" spans="1:14">
      <c r="A363" s="145" t="str">
        <f>IF(C363="","",VLOOKUP('Opći dio'!$C$3,'Opći dio'!$L$6:$U$136,10,FALSE))</f>
        <v/>
      </c>
      <c r="B363" s="145" t="str">
        <f>IF(C363="","",VLOOKUP('Opći dio'!$C$3,'Opći dio'!$L$6:$U$136,9,FALSE))</f>
        <v/>
      </c>
      <c r="C363" s="151"/>
      <c r="D363" s="146" t="str">
        <f t="shared" si="52"/>
        <v/>
      </c>
      <c r="E363" s="151"/>
      <c r="F363" s="146" t="str">
        <f t="shared" si="53"/>
        <v/>
      </c>
      <c r="G363" s="186"/>
      <c r="H363" s="146" t="str">
        <f t="shared" si="54"/>
        <v/>
      </c>
      <c r="I363" s="185"/>
      <c r="J363" s="185"/>
      <c r="K363" s="185"/>
      <c r="M363" s="141" t="str">
        <f t="shared" si="55"/>
        <v/>
      </c>
      <c r="N363" s="141" t="str">
        <f t="shared" si="56"/>
        <v/>
      </c>
    </row>
    <row r="364" spans="1:14">
      <c r="A364" s="145" t="str">
        <f>IF(C364="","",VLOOKUP('Opći dio'!$C$3,'Opći dio'!$L$6:$U$136,10,FALSE))</f>
        <v/>
      </c>
      <c r="B364" s="145" t="str">
        <f>IF(C364="","",VLOOKUP('Opći dio'!$C$3,'Opći dio'!$L$6:$U$136,9,FALSE))</f>
        <v/>
      </c>
      <c r="C364" s="151"/>
      <c r="D364" s="146" t="str">
        <f t="shared" si="52"/>
        <v/>
      </c>
      <c r="E364" s="151"/>
      <c r="F364" s="146" t="str">
        <f t="shared" si="53"/>
        <v/>
      </c>
      <c r="G364" s="186"/>
      <c r="H364" s="146" t="str">
        <f t="shared" si="54"/>
        <v/>
      </c>
      <c r="I364" s="185"/>
      <c r="J364" s="185"/>
      <c r="K364" s="185"/>
      <c r="M364" s="141" t="str">
        <f t="shared" si="55"/>
        <v/>
      </c>
      <c r="N364" s="141" t="str">
        <f t="shared" si="56"/>
        <v/>
      </c>
    </row>
    <row r="365" spans="1:14">
      <c r="A365" s="145" t="str">
        <f>IF(C365="","",VLOOKUP('Opći dio'!$C$3,'Opći dio'!$L$6:$U$136,10,FALSE))</f>
        <v/>
      </c>
      <c r="B365" s="145" t="str">
        <f>IF(C365="","",VLOOKUP('Opći dio'!$C$3,'Opći dio'!$L$6:$U$136,9,FALSE))</f>
        <v/>
      </c>
      <c r="C365" s="151"/>
      <c r="D365" s="146" t="str">
        <f t="shared" si="52"/>
        <v/>
      </c>
      <c r="E365" s="151"/>
      <c r="F365" s="146" t="str">
        <f t="shared" si="53"/>
        <v/>
      </c>
      <c r="G365" s="186"/>
      <c r="H365" s="146" t="str">
        <f t="shared" si="54"/>
        <v/>
      </c>
      <c r="I365" s="185"/>
      <c r="J365" s="185"/>
      <c r="K365" s="185"/>
      <c r="M365" s="141" t="str">
        <f t="shared" si="55"/>
        <v/>
      </c>
      <c r="N365" s="141" t="str">
        <f t="shared" si="56"/>
        <v/>
      </c>
    </row>
    <row r="366" spans="1:14">
      <c r="A366" s="145" t="str">
        <f>IF(C366="","",VLOOKUP('Opći dio'!$C$3,'Opći dio'!$L$6:$U$136,10,FALSE))</f>
        <v/>
      </c>
      <c r="B366" s="145" t="str">
        <f>IF(C366="","",VLOOKUP('Opći dio'!$C$3,'Opći dio'!$L$6:$U$136,9,FALSE))</f>
        <v/>
      </c>
      <c r="C366" s="151"/>
      <c r="D366" s="146" t="str">
        <f t="shared" si="52"/>
        <v/>
      </c>
      <c r="E366" s="151"/>
      <c r="F366" s="146" t="str">
        <f t="shared" si="53"/>
        <v/>
      </c>
      <c r="G366" s="186"/>
      <c r="H366" s="146" t="str">
        <f t="shared" si="54"/>
        <v/>
      </c>
      <c r="I366" s="185"/>
      <c r="J366" s="185"/>
      <c r="K366" s="185"/>
      <c r="M366" s="141" t="str">
        <f t="shared" si="55"/>
        <v/>
      </c>
      <c r="N366" s="141" t="str">
        <f t="shared" si="56"/>
        <v/>
      </c>
    </row>
    <row r="367" spans="1:14">
      <c r="A367" s="145" t="str">
        <f>IF(C367="","",VLOOKUP('Opći dio'!$C$3,'Opći dio'!$L$6:$U$136,10,FALSE))</f>
        <v/>
      </c>
      <c r="B367" s="145" t="str">
        <f>IF(C367="","",VLOOKUP('Opći dio'!$C$3,'Opći dio'!$L$6:$U$136,9,FALSE))</f>
        <v/>
      </c>
      <c r="C367" s="151"/>
      <c r="D367" s="146" t="str">
        <f t="shared" si="52"/>
        <v/>
      </c>
      <c r="E367" s="151"/>
      <c r="F367" s="146" t="str">
        <f t="shared" si="53"/>
        <v/>
      </c>
      <c r="G367" s="186"/>
      <c r="H367" s="146" t="str">
        <f t="shared" si="54"/>
        <v/>
      </c>
      <c r="I367" s="185"/>
      <c r="J367" s="185"/>
      <c r="K367" s="185"/>
      <c r="M367" s="141" t="str">
        <f t="shared" si="55"/>
        <v/>
      </c>
      <c r="N367" s="141" t="str">
        <f t="shared" si="56"/>
        <v/>
      </c>
    </row>
    <row r="368" spans="1:14">
      <c r="A368" s="145" t="str">
        <f>IF(C368="","",VLOOKUP('Opći dio'!$C$3,'Opći dio'!$L$6:$U$136,10,FALSE))</f>
        <v/>
      </c>
      <c r="B368" s="145" t="str">
        <f>IF(C368="","",VLOOKUP('Opći dio'!$C$3,'Opći dio'!$L$6:$U$136,9,FALSE))</f>
        <v/>
      </c>
      <c r="C368" s="151"/>
      <c r="D368" s="146" t="str">
        <f t="shared" si="52"/>
        <v/>
      </c>
      <c r="E368" s="151"/>
      <c r="F368" s="146" t="str">
        <f t="shared" si="53"/>
        <v/>
      </c>
      <c r="G368" s="186"/>
      <c r="H368" s="146" t="str">
        <f t="shared" si="54"/>
        <v/>
      </c>
      <c r="I368" s="185"/>
      <c r="J368" s="185"/>
      <c r="K368" s="185"/>
      <c r="M368" s="141" t="str">
        <f t="shared" si="55"/>
        <v/>
      </c>
      <c r="N368" s="141" t="str">
        <f t="shared" si="56"/>
        <v/>
      </c>
    </row>
    <row r="369" spans="1:14">
      <c r="A369" s="145" t="str">
        <f>IF(C369="","",VLOOKUP('Opći dio'!$C$3,'Opći dio'!$L$6:$U$136,10,FALSE))</f>
        <v/>
      </c>
      <c r="B369" s="145" t="str">
        <f>IF(C369="","",VLOOKUP('Opći dio'!$C$3,'Opći dio'!$L$6:$U$136,9,FALSE))</f>
        <v/>
      </c>
      <c r="C369" s="151"/>
      <c r="D369" s="146" t="str">
        <f t="shared" si="52"/>
        <v/>
      </c>
      <c r="E369" s="151"/>
      <c r="F369" s="146" t="str">
        <f t="shared" si="53"/>
        <v/>
      </c>
      <c r="G369" s="186"/>
      <c r="H369" s="146" t="str">
        <f t="shared" si="54"/>
        <v/>
      </c>
      <c r="I369" s="185"/>
      <c r="J369" s="185"/>
      <c r="K369" s="185"/>
      <c r="M369" s="141" t="str">
        <f t="shared" si="55"/>
        <v/>
      </c>
      <c r="N369" s="141" t="str">
        <f t="shared" si="56"/>
        <v/>
      </c>
    </row>
    <row r="370" spans="1:14">
      <c r="A370" s="145" t="str">
        <f>IF(C370="","",VLOOKUP('Opći dio'!$C$3,'Opći dio'!$L$6:$U$136,10,FALSE))</f>
        <v/>
      </c>
      <c r="B370" s="145" t="str">
        <f>IF(C370="","",VLOOKUP('Opći dio'!$C$3,'Opći dio'!$L$6:$U$136,9,FALSE))</f>
        <v/>
      </c>
      <c r="C370" s="151"/>
      <c r="D370" s="146" t="str">
        <f t="shared" si="52"/>
        <v/>
      </c>
      <c r="E370" s="151"/>
      <c r="F370" s="146" t="str">
        <f t="shared" si="53"/>
        <v/>
      </c>
      <c r="G370" s="186"/>
      <c r="H370" s="146" t="str">
        <f t="shared" si="54"/>
        <v/>
      </c>
      <c r="I370" s="185"/>
      <c r="J370" s="185"/>
      <c r="K370" s="185"/>
      <c r="M370" s="141" t="str">
        <f t="shared" si="55"/>
        <v/>
      </c>
      <c r="N370" s="141" t="str">
        <f t="shared" si="56"/>
        <v/>
      </c>
    </row>
    <row r="371" spans="1:14">
      <c r="A371" s="145" t="str">
        <f>IF(C371="","",VLOOKUP('Opći dio'!$C$3,'Opći dio'!$L$6:$U$136,10,FALSE))</f>
        <v/>
      </c>
      <c r="B371" s="145" t="str">
        <f>IF(C371="","",VLOOKUP('Opći dio'!$C$3,'Opći dio'!$L$6:$U$136,9,FALSE))</f>
        <v/>
      </c>
      <c r="C371" s="151"/>
      <c r="D371" s="146" t="str">
        <f t="shared" si="52"/>
        <v/>
      </c>
      <c r="E371" s="151"/>
      <c r="F371" s="146" t="str">
        <f t="shared" si="53"/>
        <v/>
      </c>
      <c r="G371" s="186"/>
      <c r="H371" s="146" t="str">
        <f t="shared" si="54"/>
        <v/>
      </c>
      <c r="I371" s="185"/>
      <c r="J371" s="185"/>
      <c r="K371" s="185"/>
      <c r="M371" s="141" t="str">
        <f t="shared" si="55"/>
        <v/>
      </c>
      <c r="N371" s="141" t="str">
        <f t="shared" si="56"/>
        <v/>
      </c>
    </row>
    <row r="372" spans="1:14">
      <c r="A372" s="145" t="str">
        <f>IF(C372="","",VLOOKUP('Opći dio'!$C$3,'Opći dio'!$L$6:$U$136,10,FALSE))</f>
        <v/>
      </c>
      <c r="B372" s="145" t="str">
        <f>IF(C372="","",VLOOKUP('Opći dio'!$C$3,'Opći dio'!$L$6:$U$136,9,FALSE))</f>
        <v/>
      </c>
      <c r="C372" s="151"/>
      <c r="D372" s="146" t="str">
        <f t="shared" si="52"/>
        <v/>
      </c>
      <c r="E372" s="151"/>
      <c r="F372" s="146" t="str">
        <f t="shared" si="53"/>
        <v/>
      </c>
      <c r="G372" s="186"/>
      <c r="H372" s="146" t="str">
        <f t="shared" si="54"/>
        <v/>
      </c>
      <c r="I372" s="185"/>
      <c r="J372" s="185"/>
      <c r="K372" s="185"/>
      <c r="M372" s="141" t="str">
        <f t="shared" si="55"/>
        <v/>
      </c>
      <c r="N372" s="141" t="str">
        <f t="shared" si="56"/>
        <v/>
      </c>
    </row>
    <row r="373" spans="1:14">
      <c r="A373" s="145" t="str">
        <f>IF(C373="","",VLOOKUP('Opći dio'!$C$3,'Opći dio'!$L$6:$U$136,10,FALSE))</f>
        <v/>
      </c>
      <c r="B373" s="145" t="str">
        <f>IF(C373="","",VLOOKUP('Opći dio'!$C$3,'Opći dio'!$L$6:$U$136,9,FALSE))</f>
        <v/>
      </c>
      <c r="C373" s="151"/>
      <c r="D373" s="146" t="str">
        <f t="shared" si="52"/>
        <v/>
      </c>
      <c r="E373" s="151"/>
      <c r="F373" s="146" t="str">
        <f t="shared" si="53"/>
        <v/>
      </c>
      <c r="G373" s="186"/>
      <c r="H373" s="146" t="str">
        <f t="shared" si="54"/>
        <v/>
      </c>
      <c r="I373" s="185"/>
      <c r="J373" s="185"/>
      <c r="K373" s="185"/>
      <c r="M373" s="141" t="str">
        <f t="shared" si="55"/>
        <v/>
      </c>
      <c r="N373" s="141" t="str">
        <f t="shared" si="56"/>
        <v/>
      </c>
    </row>
    <row r="374" spans="1:14">
      <c r="A374" s="145" t="str">
        <f>IF(C374="","",VLOOKUP('Opći dio'!$C$3,'Opći dio'!$L$6:$U$136,10,FALSE))</f>
        <v/>
      </c>
      <c r="B374" s="145" t="str">
        <f>IF(C374="","",VLOOKUP('Opći dio'!$C$3,'Opći dio'!$L$6:$U$136,9,FALSE))</f>
        <v/>
      </c>
      <c r="C374" s="151"/>
      <c r="D374" s="146" t="str">
        <f t="shared" si="52"/>
        <v/>
      </c>
      <c r="E374" s="151"/>
      <c r="F374" s="146" t="str">
        <f t="shared" si="53"/>
        <v/>
      </c>
      <c r="G374" s="186"/>
      <c r="H374" s="146" t="str">
        <f t="shared" si="54"/>
        <v/>
      </c>
      <c r="I374" s="185"/>
      <c r="J374" s="185"/>
      <c r="K374" s="185"/>
      <c r="M374" s="141" t="str">
        <f t="shared" si="55"/>
        <v/>
      </c>
      <c r="N374" s="141" t="str">
        <f t="shared" si="56"/>
        <v/>
      </c>
    </row>
    <row r="375" spans="1:14">
      <c r="A375" s="145" t="str">
        <f>IF(C375="","",VLOOKUP('Opći dio'!$C$3,'Opći dio'!$L$6:$U$136,10,FALSE))</f>
        <v/>
      </c>
      <c r="B375" s="145" t="str">
        <f>IF(C375="","",VLOOKUP('Opći dio'!$C$3,'Opći dio'!$L$6:$U$136,9,FALSE))</f>
        <v/>
      </c>
      <c r="C375" s="151"/>
      <c r="D375" s="146" t="str">
        <f t="shared" si="52"/>
        <v/>
      </c>
      <c r="E375" s="151"/>
      <c r="F375" s="146" t="str">
        <f t="shared" si="53"/>
        <v/>
      </c>
      <c r="G375" s="186"/>
      <c r="H375" s="146" t="str">
        <f t="shared" si="54"/>
        <v/>
      </c>
      <c r="I375" s="185"/>
      <c r="J375" s="185"/>
      <c r="K375" s="185"/>
      <c r="M375" s="141" t="str">
        <f t="shared" si="55"/>
        <v/>
      </c>
      <c r="N375" s="141" t="str">
        <f t="shared" si="56"/>
        <v/>
      </c>
    </row>
    <row r="376" spans="1:14">
      <c r="A376" s="145" t="str">
        <f>IF(C376="","",VLOOKUP('Opći dio'!$C$3,'Opći dio'!$L$6:$U$136,10,FALSE))</f>
        <v/>
      </c>
      <c r="B376" s="145" t="str">
        <f>IF(C376="","",VLOOKUP('Opći dio'!$C$3,'Opći dio'!$L$6:$U$136,9,FALSE))</f>
        <v/>
      </c>
      <c r="C376" s="151"/>
      <c r="D376" s="146" t="str">
        <f t="shared" si="52"/>
        <v/>
      </c>
      <c r="E376" s="151"/>
      <c r="F376" s="146" t="str">
        <f t="shared" si="53"/>
        <v/>
      </c>
      <c r="G376" s="186"/>
      <c r="H376" s="146" t="str">
        <f t="shared" si="54"/>
        <v/>
      </c>
      <c r="I376" s="185"/>
      <c r="J376" s="185"/>
      <c r="K376" s="185"/>
      <c r="M376" s="141" t="str">
        <f t="shared" si="55"/>
        <v/>
      </c>
      <c r="N376" s="141" t="str">
        <f t="shared" si="56"/>
        <v/>
      </c>
    </row>
    <row r="377" spans="1:14">
      <c r="A377" s="145" t="str">
        <f>IF(C377="","",VLOOKUP('Opći dio'!$C$3,'Opći dio'!$L$6:$U$136,10,FALSE))</f>
        <v/>
      </c>
      <c r="B377" s="145" t="str">
        <f>IF(C377="","",VLOOKUP('Opći dio'!$C$3,'Opći dio'!$L$6:$U$136,9,FALSE))</f>
        <v/>
      </c>
      <c r="C377" s="151"/>
      <c r="D377" s="146" t="str">
        <f t="shared" si="52"/>
        <v/>
      </c>
      <c r="E377" s="151"/>
      <c r="F377" s="146" t="str">
        <f t="shared" si="53"/>
        <v/>
      </c>
      <c r="G377" s="186"/>
      <c r="H377" s="146" t="str">
        <f t="shared" si="54"/>
        <v/>
      </c>
      <c r="I377" s="185"/>
      <c r="J377" s="185"/>
      <c r="K377" s="185"/>
      <c r="M377" s="141" t="str">
        <f t="shared" si="55"/>
        <v/>
      </c>
      <c r="N377" s="141" t="str">
        <f t="shared" si="56"/>
        <v/>
      </c>
    </row>
    <row r="378" spans="1:14">
      <c r="A378" s="145" t="str">
        <f>IF(C378="","",VLOOKUP('Opći dio'!$C$3,'Opći dio'!$L$6:$U$136,10,FALSE))</f>
        <v/>
      </c>
      <c r="B378" s="145" t="str">
        <f>IF(C378="","",VLOOKUP('Opći dio'!$C$3,'Opći dio'!$L$6:$U$136,9,FALSE))</f>
        <v/>
      </c>
      <c r="C378" s="151"/>
      <c r="D378" s="146" t="str">
        <f t="shared" si="52"/>
        <v/>
      </c>
      <c r="E378" s="151"/>
      <c r="F378" s="146" t="str">
        <f t="shared" si="53"/>
        <v/>
      </c>
      <c r="G378" s="186"/>
      <c r="H378" s="146" t="str">
        <f t="shared" si="54"/>
        <v/>
      </c>
      <c r="I378" s="185"/>
      <c r="J378" s="185"/>
      <c r="K378" s="185"/>
      <c r="M378" s="141" t="str">
        <f t="shared" si="55"/>
        <v/>
      </c>
      <c r="N378" s="141" t="str">
        <f t="shared" si="56"/>
        <v/>
      </c>
    </row>
    <row r="379" spans="1:14">
      <c r="A379" s="145" t="str">
        <f>IF(C379="","",VLOOKUP('Opći dio'!$C$3,'Opći dio'!$L$6:$U$136,10,FALSE))</f>
        <v/>
      </c>
      <c r="B379" s="145" t="str">
        <f>IF(C379="","",VLOOKUP('Opći dio'!$C$3,'Opći dio'!$L$6:$U$136,9,FALSE))</f>
        <v/>
      </c>
      <c r="C379" s="151"/>
      <c r="D379" s="146" t="str">
        <f t="shared" si="52"/>
        <v/>
      </c>
      <c r="E379" s="151"/>
      <c r="F379" s="146" t="str">
        <f t="shared" si="53"/>
        <v/>
      </c>
      <c r="G379" s="186"/>
      <c r="H379" s="146" t="str">
        <f t="shared" si="54"/>
        <v/>
      </c>
      <c r="I379" s="185"/>
      <c r="J379" s="185"/>
      <c r="K379" s="185"/>
      <c r="M379" s="141" t="str">
        <f t="shared" si="55"/>
        <v/>
      </c>
      <c r="N379" s="141" t="str">
        <f t="shared" si="56"/>
        <v/>
      </c>
    </row>
    <row r="380" spans="1:14">
      <c r="A380" s="145" t="str">
        <f>IF(C380="","",VLOOKUP('Opći dio'!$C$3,'Opći dio'!$L$6:$U$136,10,FALSE))</f>
        <v/>
      </c>
      <c r="B380" s="145" t="str">
        <f>IF(C380="","",VLOOKUP('Opći dio'!$C$3,'Opći dio'!$L$6:$U$136,9,FALSE))</f>
        <v/>
      </c>
      <c r="C380" s="151"/>
      <c r="D380" s="146" t="str">
        <f t="shared" si="52"/>
        <v/>
      </c>
      <c r="E380" s="151"/>
      <c r="F380" s="146" t="str">
        <f t="shared" si="53"/>
        <v/>
      </c>
      <c r="G380" s="186"/>
      <c r="H380" s="146" t="str">
        <f t="shared" si="54"/>
        <v/>
      </c>
      <c r="I380" s="185"/>
      <c r="J380" s="185"/>
      <c r="K380" s="185"/>
      <c r="M380" s="141" t="str">
        <f t="shared" si="55"/>
        <v/>
      </c>
      <c r="N380" s="141" t="str">
        <f t="shared" si="56"/>
        <v/>
      </c>
    </row>
    <row r="381" spans="1:14">
      <c r="A381" s="145" t="str">
        <f>IF(C381="","",VLOOKUP('Opći dio'!$C$3,'Opći dio'!$L$6:$U$136,10,FALSE))</f>
        <v/>
      </c>
      <c r="B381" s="145" t="str">
        <f>IF(C381="","",VLOOKUP('Opći dio'!$C$3,'Opći dio'!$L$6:$U$136,9,FALSE))</f>
        <v/>
      </c>
      <c r="C381" s="151"/>
      <c r="D381" s="146" t="str">
        <f t="shared" si="52"/>
        <v/>
      </c>
      <c r="E381" s="151"/>
      <c r="F381" s="146" t="str">
        <f t="shared" si="53"/>
        <v/>
      </c>
      <c r="G381" s="186"/>
      <c r="H381" s="146" t="str">
        <f t="shared" si="54"/>
        <v/>
      </c>
      <c r="I381" s="185"/>
      <c r="J381" s="185"/>
      <c r="K381" s="185"/>
      <c r="M381" s="141" t="str">
        <f t="shared" si="55"/>
        <v/>
      </c>
      <c r="N381" s="141" t="str">
        <f t="shared" si="56"/>
        <v/>
      </c>
    </row>
    <row r="382" spans="1:14">
      <c r="A382" s="145" t="str">
        <f>IF(C382="","",VLOOKUP('Opći dio'!$C$3,'Opći dio'!$L$6:$U$136,10,FALSE))</f>
        <v/>
      </c>
      <c r="B382" s="145" t="str">
        <f>IF(C382="","",VLOOKUP('Opći dio'!$C$3,'Opći dio'!$L$6:$U$136,9,FALSE))</f>
        <v/>
      </c>
      <c r="C382" s="151"/>
      <c r="D382" s="146" t="str">
        <f t="shared" si="52"/>
        <v/>
      </c>
      <c r="E382" s="151"/>
      <c r="F382" s="146" t="str">
        <f t="shared" si="53"/>
        <v/>
      </c>
      <c r="G382" s="186"/>
      <c r="H382" s="146" t="str">
        <f t="shared" si="54"/>
        <v/>
      </c>
      <c r="I382" s="185"/>
      <c r="J382" s="185"/>
      <c r="K382" s="185"/>
      <c r="M382" s="141" t="str">
        <f t="shared" si="55"/>
        <v/>
      </c>
      <c r="N382" s="141" t="str">
        <f t="shared" si="56"/>
        <v/>
      </c>
    </row>
    <row r="383" spans="1:14">
      <c r="A383" s="145" t="str">
        <f>IF(C383="","",VLOOKUP('Opći dio'!$C$3,'Opći dio'!$L$6:$U$136,10,FALSE))</f>
        <v/>
      </c>
      <c r="B383" s="145" t="str">
        <f>IF(C383="","",VLOOKUP('Opći dio'!$C$3,'Opći dio'!$L$6:$U$136,9,FALSE))</f>
        <v/>
      </c>
      <c r="C383" s="151"/>
      <c r="D383" s="146" t="str">
        <f t="shared" si="52"/>
        <v/>
      </c>
      <c r="E383" s="151"/>
      <c r="F383" s="146" t="str">
        <f t="shared" si="53"/>
        <v/>
      </c>
      <c r="G383" s="186"/>
      <c r="H383" s="146" t="str">
        <f t="shared" si="54"/>
        <v/>
      </c>
      <c r="I383" s="185"/>
      <c r="J383" s="185"/>
      <c r="K383" s="185"/>
      <c r="M383" s="141" t="str">
        <f t="shared" si="55"/>
        <v/>
      </c>
      <c r="N383" s="141" t="str">
        <f t="shared" si="56"/>
        <v/>
      </c>
    </row>
    <row r="384" spans="1:14">
      <c r="A384" s="145" t="str">
        <f>IF(C384="","",VLOOKUP('Opći dio'!$C$3,'Opći dio'!$L$6:$U$136,10,FALSE))</f>
        <v/>
      </c>
      <c r="B384" s="145" t="str">
        <f>IF(C384="","",VLOOKUP('Opći dio'!$C$3,'Opći dio'!$L$6:$U$136,9,FALSE))</f>
        <v/>
      </c>
      <c r="C384" s="151"/>
      <c r="D384" s="146" t="str">
        <f t="shared" si="52"/>
        <v/>
      </c>
      <c r="E384" s="151"/>
      <c r="F384" s="146" t="str">
        <f t="shared" si="53"/>
        <v/>
      </c>
      <c r="G384" s="186"/>
      <c r="H384" s="146" t="str">
        <f t="shared" si="54"/>
        <v/>
      </c>
      <c r="I384" s="185"/>
      <c r="J384" s="185"/>
      <c r="K384" s="185"/>
      <c r="M384" s="141" t="str">
        <f t="shared" si="55"/>
        <v/>
      </c>
      <c r="N384" s="141" t="str">
        <f t="shared" si="56"/>
        <v/>
      </c>
    </row>
    <row r="385" spans="1:14">
      <c r="A385" s="145" t="str">
        <f>IF(C385="","",VLOOKUP('Opći dio'!$C$3,'Opći dio'!$L$6:$U$136,10,FALSE))</f>
        <v/>
      </c>
      <c r="B385" s="145" t="str">
        <f>IF(C385="","",VLOOKUP('Opći dio'!$C$3,'Opći dio'!$L$6:$U$136,9,FALSE))</f>
        <v/>
      </c>
      <c r="C385" s="151"/>
      <c r="D385" s="146" t="str">
        <f t="shared" si="52"/>
        <v/>
      </c>
      <c r="E385" s="151"/>
      <c r="F385" s="146" t="str">
        <f t="shared" si="53"/>
        <v/>
      </c>
      <c r="G385" s="186"/>
      <c r="H385" s="146" t="str">
        <f t="shared" si="54"/>
        <v/>
      </c>
      <c r="I385" s="185"/>
      <c r="J385" s="185"/>
      <c r="K385" s="185"/>
      <c r="M385" s="141" t="str">
        <f t="shared" si="55"/>
        <v/>
      </c>
      <c r="N385" s="141" t="str">
        <f t="shared" si="56"/>
        <v/>
      </c>
    </row>
    <row r="386" spans="1:14">
      <c r="A386" s="145" t="str">
        <f>IF(C386="","",VLOOKUP('Opći dio'!$C$3,'Opći dio'!$L$6:$U$136,10,FALSE))</f>
        <v/>
      </c>
      <c r="B386" s="145" t="str">
        <f>IF(C386="","",VLOOKUP('Opći dio'!$C$3,'Opći dio'!$L$6:$U$136,9,FALSE))</f>
        <v/>
      </c>
      <c r="C386" s="151"/>
      <c r="D386" s="146" t="str">
        <f t="shared" si="52"/>
        <v/>
      </c>
      <c r="E386" s="151"/>
      <c r="F386" s="146" t="str">
        <f t="shared" si="53"/>
        <v/>
      </c>
      <c r="G386" s="186"/>
      <c r="H386" s="146" t="str">
        <f t="shared" si="54"/>
        <v/>
      </c>
      <c r="I386" s="185"/>
      <c r="J386" s="185"/>
      <c r="K386" s="185"/>
      <c r="M386" s="141" t="str">
        <f t="shared" si="55"/>
        <v/>
      </c>
      <c r="N386" s="141" t="str">
        <f t="shared" si="56"/>
        <v/>
      </c>
    </row>
    <row r="387" spans="1:14">
      <c r="A387" s="145" t="str">
        <f>IF(C387="","",VLOOKUP('Opći dio'!$C$3,'Opći dio'!$L$6:$U$136,10,FALSE))</f>
        <v/>
      </c>
      <c r="B387" s="145" t="str">
        <f>IF(C387="","",VLOOKUP('Opći dio'!$C$3,'Opći dio'!$L$6:$U$136,9,FALSE))</f>
        <v/>
      </c>
      <c r="C387" s="151"/>
      <c r="D387" s="146" t="str">
        <f t="shared" si="52"/>
        <v/>
      </c>
      <c r="E387" s="151"/>
      <c r="F387" s="146" t="str">
        <f t="shared" si="53"/>
        <v/>
      </c>
      <c r="G387" s="186"/>
      <c r="H387" s="146" t="str">
        <f t="shared" si="54"/>
        <v/>
      </c>
      <c r="I387" s="185"/>
      <c r="J387" s="185"/>
      <c r="K387" s="185"/>
      <c r="M387" s="141" t="str">
        <f t="shared" si="55"/>
        <v/>
      </c>
      <c r="N387" s="141" t="str">
        <f t="shared" si="56"/>
        <v/>
      </c>
    </row>
    <row r="388" spans="1:14">
      <c r="A388" s="145" t="str">
        <f>IF(C388="","",VLOOKUP('Opći dio'!$C$3,'Opći dio'!$L$6:$U$136,10,FALSE))</f>
        <v/>
      </c>
      <c r="B388" s="145" t="str">
        <f>IF(C388="","",VLOOKUP('Opći dio'!$C$3,'Opći dio'!$L$6:$U$136,9,FALSE))</f>
        <v/>
      </c>
      <c r="C388" s="151"/>
      <c r="D388" s="146" t="str">
        <f t="shared" ref="D388:D451" si="57">IFERROR(VLOOKUP(C388,$O$6:$P$23,2,FALSE),"")</f>
        <v/>
      </c>
      <c r="E388" s="151"/>
      <c r="F388" s="146" t="str">
        <f t="shared" ref="F388:F451" si="58">IFERROR(VLOOKUP(E388,$R$5:$T$129,2,FALSE),"")</f>
        <v/>
      </c>
      <c r="G388" s="186"/>
      <c r="H388" s="146" t="str">
        <f t="shared" ref="H388:H451" si="59">IFERROR(VLOOKUP(G388,$X$6:$Y$200,2,FALSE),"")</f>
        <v/>
      </c>
      <c r="I388" s="185"/>
      <c r="J388" s="185"/>
      <c r="K388" s="185"/>
      <c r="M388" s="141" t="str">
        <f t="shared" ref="M388:M451" si="60">LEFT(E388,3)</f>
        <v/>
      </c>
      <c r="N388" s="141" t="str">
        <f t="shared" ref="N388:N451" si="61">LEFT(E388,2)</f>
        <v/>
      </c>
    </row>
    <row r="389" spans="1:14">
      <c r="A389" s="145" t="str">
        <f>IF(C389="","",VLOOKUP('Opći dio'!$C$3,'Opći dio'!$L$6:$U$136,10,FALSE))</f>
        <v/>
      </c>
      <c r="B389" s="145" t="str">
        <f>IF(C389="","",VLOOKUP('Opći dio'!$C$3,'Opći dio'!$L$6:$U$136,9,FALSE))</f>
        <v/>
      </c>
      <c r="C389" s="151"/>
      <c r="D389" s="146" t="str">
        <f t="shared" si="57"/>
        <v/>
      </c>
      <c r="E389" s="151"/>
      <c r="F389" s="146" t="str">
        <f t="shared" si="58"/>
        <v/>
      </c>
      <c r="G389" s="186"/>
      <c r="H389" s="146" t="str">
        <f t="shared" si="59"/>
        <v/>
      </c>
      <c r="I389" s="185"/>
      <c r="J389" s="185"/>
      <c r="K389" s="185"/>
      <c r="M389" s="141" t="str">
        <f t="shared" si="60"/>
        <v/>
      </c>
      <c r="N389" s="141" t="str">
        <f t="shared" si="61"/>
        <v/>
      </c>
    </row>
    <row r="390" spans="1:14">
      <c r="A390" s="145" t="str">
        <f>IF(C390="","",VLOOKUP('Opći dio'!$C$3,'Opći dio'!$L$6:$U$136,10,FALSE))</f>
        <v/>
      </c>
      <c r="B390" s="145" t="str">
        <f>IF(C390="","",VLOOKUP('Opći dio'!$C$3,'Opći dio'!$L$6:$U$136,9,FALSE))</f>
        <v/>
      </c>
      <c r="C390" s="151"/>
      <c r="D390" s="146" t="str">
        <f t="shared" si="57"/>
        <v/>
      </c>
      <c r="E390" s="151"/>
      <c r="F390" s="146" t="str">
        <f t="shared" si="58"/>
        <v/>
      </c>
      <c r="G390" s="186"/>
      <c r="H390" s="146" t="str">
        <f t="shared" si="59"/>
        <v/>
      </c>
      <c r="I390" s="185"/>
      <c r="J390" s="185"/>
      <c r="K390" s="185"/>
      <c r="M390" s="141" t="str">
        <f t="shared" si="60"/>
        <v/>
      </c>
      <c r="N390" s="141" t="str">
        <f t="shared" si="61"/>
        <v/>
      </c>
    </row>
    <row r="391" spans="1:14">
      <c r="A391" s="145" t="str">
        <f>IF(C391="","",VLOOKUP('Opći dio'!$C$3,'Opći dio'!$L$6:$U$136,10,FALSE))</f>
        <v/>
      </c>
      <c r="B391" s="145" t="str">
        <f>IF(C391="","",VLOOKUP('Opći dio'!$C$3,'Opći dio'!$L$6:$U$136,9,FALSE))</f>
        <v/>
      </c>
      <c r="C391" s="151"/>
      <c r="D391" s="146" t="str">
        <f t="shared" si="57"/>
        <v/>
      </c>
      <c r="E391" s="151"/>
      <c r="F391" s="146" t="str">
        <f t="shared" si="58"/>
        <v/>
      </c>
      <c r="G391" s="186"/>
      <c r="H391" s="146" t="str">
        <f t="shared" si="59"/>
        <v/>
      </c>
      <c r="I391" s="185"/>
      <c r="J391" s="185"/>
      <c r="K391" s="185"/>
      <c r="M391" s="141" t="str">
        <f t="shared" si="60"/>
        <v/>
      </c>
      <c r="N391" s="141" t="str">
        <f t="shared" si="61"/>
        <v/>
      </c>
    </row>
    <row r="392" spans="1:14">
      <c r="A392" s="145" t="str">
        <f>IF(C392="","",VLOOKUP('Opći dio'!$C$3,'Opći dio'!$L$6:$U$136,10,FALSE))</f>
        <v/>
      </c>
      <c r="B392" s="145" t="str">
        <f>IF(C392="","",VLOOKUP('Opći dio'!$C$3,'Opći dio'!$L$6:$U$136,9,FALSE))</f>
        <v/>
      </c>
      <c r="C392" s="151"/>
      <c r="D392" s="146" t="str">
        <f t="shared" si="57"/>
        <v/>
      </c>
      <c r="E392" s="151"/>
      <c r="F392" s="146" t="str">
        <f t="shared" si="58"/>
        <v/>
      </c>
      <c r="G392" s="186"/>
      <c r="H392" s="146" t="str">
        <f t="shared" si="59"/>
        <v/>
      </c>
      <c r="I392" s="185"/>
      <c r="J392" s="185"/>
      <c r="K392" s="185"/>
      <c r="M392" s="141" t="str">
        <f t="shared" si="60"/>
        <v/>
      </c>
      <c r="N392" s="141" t="str">
        <f t="shared" si="61"/>
        <v/>
      </c>
    </row>
    <row r="393" spans="1:14">
      <c r="A393" s="145" t="str">
        <f>IF(C393="","",VLOOKUP('Opći dio'!$C$3,'Opći dio'!$L$6:$U$136,10,FALSE))</f>
        <v/>
      </c>
      <c r="B393" s="145" t="str">
        <f>IF(C393="","",VLOOKUP('Opći dio'!$C$3,'Opći dio'!$L$6:$U$136,9,FALSE))</f>
        <v/>
      </c>
      <c r="C393" s="151"/>
      <c r="D393" s="146" t="str">
        <f t="shared" si="57"/>
        <v/>
      </c>
      <c r="E393" s="151"/>
      <c r="F393" s="146" t="str">
        <f t="shared" si="58"/>
        <v/>
      </c>
      <c r="G393" s="186"/>
      <c r="H393" s="146" t="str">
        <f t="shared" si="59"/>
        <v/>
      </c>
      <c r="I393" s="185"/>
      <c r="J393" s="185"/>
      <c r="K393" s="185"/>
      <c r="M393" s="141" t="str">
        <f t="shared" si="60"/>
        <v/>
      </c>
      <c r="N393" s="141" t="str">
        <f t="shared" si="61"/>
        <v/>
      </c>
    </row>
    <row r="394" spans="1:14">
      <c r="A394" s="145" t="str">
        <f>IF(C394="","",VLOOKUP('Opći dio'!$C$3,'Opći dio'!$L$6:$U$136,10,FALSE))</f>
        <v/>
      </c>
      <c r="B394" s="145" t="str">
        <f>IF(C394="","",VLOOKUP('Opći dio'!$C$3,'Opći dio'!$L$6:$U$136,9,FALSE))</f>
        <v/>
      </c>
      <c r="C394" s="151"/>
      <c r="D394" s="146" t="str">
        <f t="shared" si="57"/>
        <v/>
      </c>
      <c r="E394" s="151"/>
      <c r="F394" s="146" t="str">
        <f t="shared" si="58"/>
        <v/>
      </c>
      <c r="G394" s="186"/>
      <c r="H394" s="146" t="str">
        <f t="shared" si="59"/>
        <v/>
      </c>
      <c r="I394" s="185"/>
      <c r="J394" s="185"/>
      <c r="K394" s="185"/>
      <c r="M394" s="141" t="str">
        <f t="shared" si="60"/>
        <v/>
      </c>
      <c r="N394" s="141" t="str">
        <f t="shared" si="61"/>
        <v/>
      </c>
    </row>
    <row r="395" spans="1:14">
      <c r="A395" s="145" t="str">
        <f>IF(C395="","",VLOOKUP('Opći dio'!$C$3,'Opći dio'!$L$6:$U$136,10,FALSE))</f>
        <v/>
      </c>
      <c r="B395" s="145" t="str">
        <f>IF(C395="","",VLOOKUP('Opći dio'!$C$3,'Opći dio'!$L$6:$U$136,9,FALSE))</f>
        <v/>
      </c>
      <c r="C395" s="151"/>
      <c r="D395" s="146" t="str">
        <f t="shared" si="57"/>
        <v/>
      </c>
      <c r="E395" s="151"/>
      <c r="F395" s="146" t="str">
        <f t="shared" si="58"/>
        <v/>
      </c>
      <c r="G395" s="186"/>
      <c r="H395" s="146" t="str">
        <f t="shared" si="59"/>
        <v/>
      </c>
      <c r="I395" s="185"/>
      <c r="J395" s="185"/>
      <c r="K395" s="185"/>
      <c r="M395" s="141" t="str">
        <f t="shared" si="60"/>
        <v/>
      </c>
      <c r="N395" s="141" t="str">
        <f t="shared" si="61"/>
        <v/>
      </c>
    </row>
    <row r="396" spans="1:14">
      <c r="A396" s="145" t="str">
        <f>IF(C396="","",VLOOKUP('Opći dio'!$C$3,'Opći dio'!$L$6:$U$136,10,FALSE))</f>
        <v/>
      </c>
      <c r="B396" s="145" t="str">
        <f>IF(C396="","",VLOOKUP('Opći dio'!$C$3,'Opći dio'!$L$6:$U$136,9,FALSE))</f>
        <v/>
      </c>
      <c r="C396" s="151"/>
      <c r="D396" s="146" t="str">
        <f t="shared" si="57"/>
        <v/>
      </c>
      <c r="E396" s="151"/>
      <c r="F396" s="146" t="str">
        <f t="shared" si="58"/>
        <v/>
      </c>
      <c r="G396" s="186"/>
      <c r="H396" s="146" t="str">
        <f t="shared" si="59"/>
        <v/>
      </c>
      <c r="I396" s="185"/>
      <c r="J396" s="185"/>
      <c r="K396" s="185"/>
      <c r="M396" s="141" t="str">
        <f t="shared" si="60"/>
        <v/>
      </c>
      <c r="N396" s="141" t="str">
        <f t="shared" si="61"/>
        <v/>
      </c>
    </row>
    <row r="397" spans="1:14">
      <c r="A397" s="145" t="str">
        <f>IF(C397="","",VLOOKUP('Opći dio'!$C$3,'Opći dio'!$L$6:$U$136,10,FALSE))</f>
        <v/>
      </c>
      <c r="B397" s="145" t="str">
        <f>IF(C397="","",VLOOKUP('Opći dio'!$C$3,'Opći dio'!$L$6:$U$136,9,FALSE))</f>
        <v/>
      </c>
      <c r="C397" s="151"/>
      <c r="D397" s="146" t="str">
        <f t="shared" si="57"/>
        <v/>
      </c>
      <c r="E397" s="151"/>
      <c r="F397" s="146" t="str">
        <f t="shared" si="58"/>
        <v/>
      </c>
      <c r="G397" s="186"/>
      <c r="H397" s="146" t="str">
        <f t="shared" si="59"/>
        <v/>
      </c>
      <c r="I397" s="185"/>
      <c r="J397" s="185"/>
      <c r="K397" s="185"/>
      <c r="M397" s="141" t="str">
        <f t="shared" si="60"/>
        <v/>
      </c>
      <c r="N397" s="141" t="str">
        <f t="shared" si="61"/>
        <v/>
      </c>
    </row>
    <row r="398" spans="1:14">
      <c r="A398" s="145" t="str">
        <f>IF(C398="","",VLOOKUP('Opći dio'!$C$3,'Opći dio'!$L$6:$U$136,10,FALSE))</f>
        <v/>
      </c>
      <c r="B398" s="145" t="str">
        <f>IF(C398="","",VLOOKUP('Opći dio'!$C$3,'Opći dio'!$L$6:$U$136,9,FALSE))</f>
        <v/>
      </c>
      <c r="C398" s="151"/>
      <c r="D398" s="146" t="str">
        <f t="shared" si="57"/>
        <v/>
      </c>
      <c r="E398" s="151"/>
      <c r="F398" s="146" t="str">
        <f t="shared" si="58"/>
        <v/>
      </c>
      <c r="G398" s="186"/>
      <c r="H398" s="146" t="str">
        <f t="shared" si="59"/>
        <v/>
      </c>
      <c r="I398" s="185"/>
      <c r="J398" s="185"/>
      <c r="K398" s="185"/>
      <c r="M398" s="141" t="str">
        <f t="shared" si="60"/>
        <v/>
      </c>
      <c r="N398" s="141" t="str">
        <f t="shared" si="61"/>
        <v/>
      </c>
    </row>
    <row r="399" spans="1:14">
      <c r="A399" s="145" t="str">
        <f>IF(C399="","",VLOOKUP('Opći dio'!$C$3,'Opći dio'!$L$6:$U$136,10,FALSE))</f>
        <v/>
      </c>
      <c r="B399" s="145" t="str">
        <f>IF(C399="","",VLOOKUP('Opći dio'!$C$3,'Opći dio'!$L$6:$U$136,9,FALSE))</f>
        <v/>
      </c>
      <c r="C399" s="151"/>
      <c r="D399" s="146" t="str">
        <f t="shared" si="57"/>
        <v/>
      </c>
      <c r="E399" s="151"/>
      <c r="F399" s="146" t="str">
        <f t="shared" si="58"/>
        <v/>
      </c>
      <c r="G399" s="186"/>
      <c r="H399" s="146" t="str">
        <f t="shared" si="59"/>
        <v/>
      </c>
      <c r="I399" s="185"/>
      <c r="J399" s="185"/>
      <c r="K399" s="185"/>
      <c r="M399" s="141" t="str">
        <f t="shared" si="60"/>
        <v/>
      </c>
      <c r="N399" s="141" t="str">
        <f t="shared" si="61"/>
        <v/>
      </c>
    </row>
    <row r="400" spans="1:14">
      <c r="A400" s="145" t="str">
        <f>IF(C400="","",VLOOKUP('Opći dio'!$C$3,'Opći dio'!$L$6:$U$136,10,FALSE))</f>
        <v/>
      </c>
      <c r="B400" s="145" t="str">
        <f>IF(C400="","",VLOOKUP('Opći dio'!$C$3,'Opći dio'!$L$6:$U$136,9,FALSE))</f>
        <v/>
      </c>
      <c r="C400" s="151"/>
      <c r="D400" s="146" t="str">
        <f t="shared" si="57"/>
        <v/>
      </c>
      <c r="E400" s="151"/>
      <c r="F400" s="146" t="str">
        <f t="shared" si="58"/>
        <v/>
      </c>
      <c r="G400" s="186"/>
      <c r="H400" s="146" t="str">
        <f t="shared" si="59"/>
        <v/>
      </c>
      <c r="I400" s="185"/>
      <c r="J400" s="185"/>
      <c r="K400" s="185"/>
      <c r="M400" s="141" t="str">
        <f t="shared" si="60"/>
        <v/>
      </c>
      <c r="N400" s="141" t="str">
        <f t="shared" si="61"/>
        <v/>
      </c>
    </row>
    <row r="401" spans="1:14">
      <c r="A401" s="145" t="str">
        <f>IF(C401="","",VLOOKUP('Opći dio'!$C$3,'Opći dio'!$L$6:$U$136,10,FALSE))</f>
        <v/>
      </c>
      <c r="B401" s="145" t="str">
        <f>IF(C401="","",VLOOKUP('Opći dio'!$C$3,'Opći dio'!$L$6:$U$136,9,FALSE))</f>
        <v/>
      </c>
      <c r="C401" s="151"/>
      <c r="D401" s="146" t="str">
        <f t="shared" si="57"/>
        <v/>
      </c>
      <c r="E401" s="151"/>
      <c r="F401" s="146" t="str">
        <f t="shared" si="58"/>
        <v/>
      </c>
      <c r="G401" s="186"/>
      <c r="H401" s="146" t="str">
        <f t="shared" si="59"/>
        <v/>
      </c>
      <c r="I401" s="185"/>
      <c r="J401" s="185"/>
      <c r="K401" s="185"/>
      <c r="M401" s="141" t="str">
        <f t="shared" si="60"/>
        <v/>
      </c>
      <c r="N401" s="141" t="str">
        <f t="shared" si="61"/>
        <v/>
      </c>
    </row>
    <row r="402" spans="1:14">
      <c r="A402" s="145" t="str">
        <f>IF(C402="","",VLOOKUP('Opći dio'!$C$3,'Opći dio'!$L$6:$U$136,10,FALSE))</f>
        <v/>
      </c>
      <c r="B402" s="145" t="str">
        <f>IF(C402="","",VLOOKUP('Opći dio'!$C$3,'Opći dio'!$L$6:$U$136,9,FALSE))</f>
        <v/>
      </c>
      <c r="C402" s="151"/>
      <c r="D402" s="146" t="str">
        <f t="shared" si="57"/>
        <v/>
      </c>
      <c r="E402" s="151"/>
      <c r="F402" s="146" t="str">
        <f t="shared" si="58"/>
        <v/>
      </c>
      <c r="G402" s="186"/>
      <c r="H402" s="146" t="str">
        <f t="shared" si="59"/>
        <v/>
      </c>
      <c r="I402" s="185"/>
      <c r="J402" s="185"/>
      <c r="K402" s="185"/>
      <c r="M402" s="141" t="str">
        <f t="shared" si="60"/>
        <v/>
      </c>
      <c r="N402" s="141" t="str">
        <f t="shared" si="61"/>
        <v/>
      </c>
    </row>
    <row r="403" spans="1:14">
      <c r="A403" s="145" t="str">
        <f>IF(C403="","",VLOOKUP('Opći dio'!$C$3,'Opći dio'!$L$6:$U$136,10,FALSE))</f>
        <v/>
      </c>
      <c r="B403" s="145" t="str">
        <f>IF(C403="","",VLOOKUP('Opći dio'!$C$3,'Opći dio'!$L$6:$U$136,9,FALSE))</f>
        <v/>
      </c>
      <c r="C403" s="151"/>
      <c r="D403" s="146" t="str">
        <f t="shared" si="57"/>
        <v/>
      </c>
      <c r="E403" s="151"/>
      <c r="F403" s="146" t="str">
        <f t="shared" si="58"/>
        <v/>
      </c>
      <c r="G403" s="186"/>
      <c r="H403" s="146" t="str">
        <f t="shared" si="59"/>
        <v/>
      </c>
      <c r="I403" s="185"/>
      <c r="J403" s="185"/>
      <c r="K403" s="185"/>
      <c r="M403" s="141" t="str">
        <f t="shared" si="60"/>
        <v/>
      </c>
      <c r="N403" s="141" t="str">
        <f t="shared" si="61"/>
        <v/>
      </c>
    </row>
    <row r="404" spans="1:14">
      <c r="A404" s="145" t="str">
        <f>IF(C404="","",VLOOKUP('Opći dio'!$C$3,'Opći dio'!$L$6:$U$136,10,FALSE))</f>
        <v/>
      </c>
      <c r="B404" s="145" t="str">
        <f>IF(C404="","",VLOOKUP('Opći dio'!$C$3,'Opći dio'!$L$6:$U$136,9,FALSE))</f>
        <v/>
      </c>
      <c r="C404" s="151"/>
      <c r="D404" s="146" t="str">
        <f t="shared" si="57"/>
        <v/>
      </c>
      <c r="E404" s="151"/>
      <c r="F404" s="146" t="str">
        <f t="shared" si="58"/>
        <v/>
      </c>
      <c r="G404" s="186"/>
      <c r="H404" s="146" t="str">
        <f t="shared" si="59"/>
        <v/>
      </c>
      <c r="I404" s="185"/>
      <c r="J404" s="185"/>
      <c r="K404" s="185"/>
      <c r="M404" s="141" t="str">
        <f t="shared" si="60"/>
        <v/>
      </c>
      <c r="N404" s="141" t="str">
        <f t="shared" si="61"/>
        <v/>
      </c>
    </row>
    <row r="405" spans="1:14">
      <c r="A405" s="145" t="str">
        <f>IF(C405="","",VLOOKUP('Opći dio'!$C$3,'Opći dio'!$L$6:$U$136,10,FALSE))</f>
        <v/>
      </c>
      <c r="B405" s="145" t="str">
        <f>IF(C405="","",VLOOKUP('Opći dio'!$C$3,'Opći dio'!$L$6:$U$136,9,FALSE))</f>
        <v/>
      </c>
      <c r="C405" s="151"/>
      <c r="D405" s="146" t="str">
        <f t="shared" si="57"/>
        <v/>
      </c>
      <c r="E405" s="151"/>
      <c r="F405" s="146" t="str">
        <f t="shared" si="58"/>
        <v/>
      </c>
      <c r="G405" s="186"/>
      <c r="H405" s="146" t="str">
        <f t="shared" si="59"/>
        <v/>
      </c>
      <c r="I405" s="185"/>
      <c r="J405" s="185"/>
      <c r="K405" s="185"/>
      <c r="M405" s="141" t="str">
        <f t="shared" si="60"/>
        <v/>
      </c>
      <c r="N405" s="141" t="str">
        <f t="shared" si="61"/>
        <v/>
      </c>
    </row>
    <row r="406" spans="1:14">
      <c r="A406" s="145" t="str">
        <f>IF(C406="","",VLOOKUP('Opći dio'!$C$3,'Opći dio'!$L$6:$U$136,10,FALSE))</f>
        <v/>
      </c>
      <c r="B406" s="145" t="str">
        <f>IF(C406="","",VLOOKUP('Opći dio'!$C$3,'Opći dio'!$L$6:$U$136,9,FALSE))</f>
        <v/>
      </c>
      <c r="C406" s="151"/>
      <c r="D406" s="146" t="str">
        <f t="shared" si="57"/>
        <v/>
      </c>
      <c r="E406" s="151"/>
      <c r="F406" s="146" t="str">
        <f t="shared" si="58"/>
        <v/>
      </c>
      <c r="G406" s="186"/>
      <c r="H406" s="146" t="str">
        <f t="shared" si="59"/>
        <v/>
      </c>
      <c r="I406" s="185"/>
      <c r="J406" s="185"/>
      <c r="K406" s="185"/>
      <c r="M406" s="141" t="str">
        <f t="shared" si="60"/>
        <v/>
      </c>
      <c r="N406" s="141" t="str">
        <f t="shared" si="61"/>
        <v/>
      </c>
    </row>
    <row r="407" spans="1:14">
      <c r="A407" s="145" t="str">
        <f>IF(C407="","",VLOOKUP('Opći dio'!$C$3,'Opći dio'!$L$6:$U$136,10,FALSE))</f>
        <v/>
      </c>
      <c r="B407" s="145" t="str">
        <f>IF(C407="","",VLOOKUP('Opći dio'!$C$3,'Opći dio'!$L$6:$U$136,9,FALSE))</f>
        <v/>
      </c>
      <c r="C407" s="151"/>
      <c r="D407" s="146" t="str">
        <f t="shared" si="57"/>
        <v/>
      </c>
      <c r="E407" s="151"/>
      <c r="F407" s="146" t="str">
        <f t="shared" si="58"/>
        <v/>
      </c>
      <c r="G407" s="186"/>
      <c r="H407" s="146" t="str">
        <f t="shared" si="59"/>
        <v/>
      </c>
      <c r="I407" s="185"/>
      <c r="J407" s="185"/>
      <c r="K407" s="185"/>
      <c r="M407" s="141" t="str">
        <f t="shared" si="60"/>
        <v/>
      </c>
      <c r="N407" s="141" t="str">
        <f t="shared" si="61"/>
        <v/>
      </c>
    </row>
    <row r="408" spans="1:14">
      <c r="A408" s="145" t="str">
        <f>IF(C408="","",VLOOKUP('Opći dio'!$C$3,'Opći dio'!$L$6:$U$136,10,FALSE))</f>
        <v/>
      </c>
      <c r="B408" s="145" t="str">
        <f>IF(C408="","",VLOOKUP('Opći dio'!$C$3,'Opći dio'!$L$6:$U$136,9,FALSE))</f>
        <v/>
      </c>
      <c r="C408" s="151"/>
      <c r="D408" s="146" t="str">
        <f t="shared" si="57"/>
        <v/>
      </c>
      <c r="E408" s="151"/>
      <c r="F408" s="146" t="str">
        <f t="shared" si="58"/>
        <v/>
      </c>
      <c r="G408" s="186"/>
      <c r="H408" s="146" t="str">
        <f t="shared" si="59"/>
        <v/>
      </c>
      <c r="I408" s="185"/>
      <c r="J408" s="185"/>
      <c r="K408" s="185"/>
      <c r="M408" s="141" t="str">
        <f t="shared" si="60"/>
        <v/>
      </c>
      <c r="N408" s="141" t="str">
        <f t="shared" si="61"/>
        <v/>
      </c>
    </row>
    <row r="409" spans="1:14">
      <c r="A409" s="145" t="str">
        <f>IF(C409="","",VLOOKUP('Opći dio'!$C$3,'Opći dio'!$L$6:$U$136,10,FALSE))</f>
        <v/>
      </c>
      <c r="B409" s="145" t="str">
        <f>IF(C409="","",VLOOKUP('Opći dio'!$C$3,'Opći dio'!$L$6:$U$136,9,FALSE))</f>
        <v/>
      </c>
      <c r="C409" s="151"/>
      <c r="D409" s="146" t="str">
        <f t="shared" si="57"/>
        <v/>
      </c>
      <c r="E409" s="151"/>
      <c r="F409" s="146" t="str">
        <f t="shared" si="58"/>
        <v/>
      </c>
      <c r="G409" s="186"/>
      <c r="H409" s="146" t="str">
        <f t="shared" si="59"/>
        <v/>
      </c>
      <c r="I409" s="185"/>
      <c r="J409" s="185"/>
      <c r="K409" s="185"/>
      <c r="M409" s="141" t="str">
        <f t="shared" si="60"/>
        <v/>
      </c>
      <c r="N409" s="141" t="str">
        <f t="shared" si="61"/>
        <v/>
      </c>
    </row>
    <row r="410" spans="1:14">
      <c r="A410" s="145" t="str">
        <f>IF(C410="","",VLOOKUP('Opći dio'!$C$3,'Opći dio'!$L$6:$U$136,10,FALSE))</f>
        <v/>
      </c>
      <c r="B410" s="145" t="str">
        <f>IF(C410="","",VLOOKUP('Opći dio'!$C$3,'Opći dio'!$L$6:$U$136,9,FALSE))</f>
        <v/>
      </c>
      <c r="C410" s="151"/>
      <c r="D410" s="146" t="str">
        <f t="shared" si="57"/>
        <v/>
      </c>
      <c r="E410" s="151"/>
      <c r="F410" s="146" t="str">
        <f t="shared" si="58"/>
        <v/>
      </c>
      <c r="G410" s="186"/>
      <c r="H410" s="146" t="str">
        <f t="shared" si="59"/>
        <v/>
      </c>
      <c r="I410" s="185"/>
      <c r="J410" s="185"/>
      <c r="K410" s="185"/>
      <c r="M410" s="141" t="str">
        <f t="shared" si="60"/>
        <v/>
      </c>
      <c r="N410" s="141" t="str">
        <f t="shared" si="61"/>
        <v/>
      </c>
    </row>
    <row r="411" spans="1:14">
      <c r="A411" s="145" t="str">
        <f>IF(C411="","",VLOOKUP('Opći dio'!$C$3,'Opći dio'!$L$6:$U$136,10,FALSE))</f>
        <v/>
      </c>
      <c r="B411" s="145" t="str">
        <f>IF(C411="","",VLOOKUP('Opći dio'!$C$3,'Opći dio'!$L$6:$U$136,9,FALSE))</f>
        <v/>
      </c>
      <c r="C411" s="151"/>
      <c r="D411" s="146" t="str">
        <f t="shared" si="57"/>
        <v/>
      </c>
      <c r="E411" s="151"/>
      <c r="F411" s="146" t="str">
        <f t="shared" si="58"/>
        <v/>
      </c>
      <c r="G411" s="186"/>
      <c r="H411" s="146" t="str">
        <f t="shared" si="59"/>
        <v/>
      </c>
      <c r="I411" s="185"/>
      <c r="J411" s="185"/>
      <c r="K411" s="185"/>
      <c r="M411" s="141" t="str">
        <f t="shared" si="60"/>
        <v/>
      </c>
      <c r="N411" s="141" t="str">
        <f t="shared" si="61"/>
        <v/>
      </c>
    </row>
    <row r="412" spans="1:14">
      <c r="A412" s="145" t="str">
        <f>IF(C412="","",VLOOKUP('Opći dio'!$C$3,'Opći dio'!$L$6:$U$136,10,FALSE))</f>
        <v/>
      </c>
      <c r="B412" s="145" t="str">
        <f>IF(C412="","",VLOOKUP('Opći dio'!$C$3,'Opći dio'!$L$6:$U$136,9,FALSE))</f>
        <v/>
      </c>
      <c r="C412" s="151"/>
      <c r="D412" s="146" t="str">
        <f t="shared" si="57"/>
        <v/>
      </c>
      <c r="E412" s="151"/>
      <c r="F412" s="146" t="str">
        <f t="shared" si="58"/>
        <v/>
      </c>
      <c r="G412" s="186"/>
      <c r="H412" s="146" t="str">
        <f t="shared" si="59"/>
        <v/>
      </c>
      <c r="I412" s="185"/>
      <c r="J412" s="185"/>
      <c r="K412" s="185"/>
      <c r="M412" s="141" t="str">
        <f t="shared" si="60"/>
        <v/>
      </c>
      <c r="N412" s="141" t="str">
        <f t="shared" si="61"/>
        <v/>
      </c>
    </row>
    <row r="413" spans="1:14">
      <c r="A413" s="145" t="str">
        <f>IF(C413="","",VLOOKUP('Opći dio'!$C$3,'Opći dio'!$L$6:$U$136,10,FALSE))</f>
        <v/>
      </c>
      <c r="B413" s="145" t="str">
        <f>IF(C413="","",VLOOKUP('Opći dio'!$C$3,'Opći dio'!$L$6:$U$136,9,FALSE))</f>
        <v/>
      </c>
      <c r="C413" s="151"/>
      <c r="D413" s="146" t="str">
        <f t="shared" si="57"/>
        <v/>
      </c>
      <c r="E413" s="151"/>
      <c r="F413" s="146" t="str">
        <f t="shared" si="58"/>
        <v/>
      </c>
      <c r="G413" s="186"/>
      <c r="H413" s="146" t="str">
        <f t="shared" si="59"/>
        <v/>
      </c>
      <c r="I413" s="185"/>
      <c r="J413" s="185"/>
      <c r="K413" s="185"/>
      <c r="M413" s="141" t="str">
        <f t="shared" si="60"/>
        <v/>
      </c>
      <c r="N413" s="141" t="str">
        <f t="shared" si="61"/>
        <v/>
      </c>
    </row>
    <row r="414" spans="1:14">
      <c r="A414" s="145" t="str">
        <f>IF(C414="","",VLOOKUP('Opći dio'!$C$3,'Opći dio'!$L$6:$U$136,10,FALSE))</f>
        <v/>
      </c>
      <c r="B414" s="145" t="str">
        <f>IF(C414="","",VLOOKUP('Opći dio'!$C$3,'Opći dio'!$L$6:$U$136,9,FALSE))</f>
        <v/>
      </c>
      <c r="C414" s="151"/>
      <c r="D414" s="146" t="str">
        <f t="shared" si="57"/>
        <v/>
      </c>
      <c r="E414" s="151"/>
      <c r="F414" s="146" t="str">
        <f t="shared" si="58"/>
        <v/>
      </c>
      <c r="G414" s="186"/>
      <c r="H414" s="146" t="str">
        <f t="shared" si="59"/>
        <v/>
      </c>
      <c r="I414" s="185"/>
      <c r="J414" s="185"/>
      <c r="K414" s="185"/>
      <c r="M414" s="141" t="str">
        <f t="shared" si="60"/>
        <v/>
      </c>
      <c r="N414" s="141" t="str">
        <f t="shared" si="61"/>
        <v/>
      </c>
    </row>
    <row r="415" spans="1:14">
      <c r="A415" s="145" t="str">
        <f>IF(C415="","",VLOOKUP('Opći dio'!$C$3,'Opći dio'!$L$6:$U$136,10,FALSE))</f>
        <v/>
      </c>
      <c r="B415" s="145" t="str">
        <f>IF(C415="","",VLOOKUP('Opći dio'!$C$3,'Opći dio'!$L$6:$U$136,9,FALSE))</f>
        <v/>
      </c>
      <c r="C415" s="151"/>
      <c r="D415" s="146" t="str">
        <f t="shared" si="57"/>
        <v/>
      </c>
      <c r="E415" s="151"/>
      <c r="F415" s="146" t="str">
        <f t="shared" si="58"/>
        <v/>
      </c>
      <c r="G415" s="186"/>
      <c r="H415" s="146" t="str">
        <f t="shared" si="59"/>
        <v/>
      </c>
      <c r="I415" s="185"/>
      <c r="J415" s="185"/>
      <c r="K415" s="185"/>
      <c r="M415" s="141" t="str">
        <f t="shared" si="60"/>
        <v/>
      </c>
      <c r="N415" s="141" t="str">
        <f t="shared" si="61"/>
        <v/>
      </c>
    </row>
    <row r="416" spans="1:14">
      <c r="A416" s="145" t="str">
        <f>IF(C416="","",VLOOKUP('Opći dio'!$C$3,'Opći dio'!$L$6:$U$136,10,FALSE))</f>
        <v/>
      </c>
      <c r="B416" s="145" t="str">
        <f>IF(C416="","",VLOOKUP('Opći dio'!$C$3,'Opći dio'!$L$6:$U$136,9,FALSE))</f>
        <v/>
      </c>
      <c r="C416" s="151"/>
      <c r="D416" s="146" t="str">
        <f t="shared" si="57"/>
        <v/>
      </c>
      <c r="E416" s="151"/>
      <c r="F416" s="146" t="str">
        <f t="shared" si="58"/>
        <v/>
      </c>
      <c r="G416" s="186"/>
      <c r="H416" s="146" t="str">
        <f t="shared" si="59"/>
        <v/>
      </c>
      <c r="I416" s="185"/>
      <c r="J416" s="185"/>
      <c r="K416" s="185"/>
      <c r="M416" s="141" t="str">
        <f t="shared" si="60"/>
        <v/>
      </c>
      <c r="N416" s="141" t="str">
        <f t="shared" si="61"/>
        <v/>
      </c>
    </row>
    <row r="417" spans="1:14">
      <c r="A417" s="145" t="str">
        <f>IF(C417="","",VLOOKUP('Opći dio'!$C$3,'Opći dio'!$L$6:$U$136,10,FALSE))</f>
        <v/>
      </c>
      <c r="B417" s="145" t="str">
        <f>IF(C417="","",VLOOKUP('Opći dio'!$C$3,'Opći dio'!$L$6:$U$136,9,FALSE))</f>
        <v/>
      </c>
      <c r="C417" s="151"/>
      <c r="D417" s="146" t="str">
        <f t="shared" si="57"/>
        <v/>
      </c>
      <c r="E417" s="151"/>
      <c r="F417" s="146" t="str">
        <f t="shared" si="58"/>
        <v/>
      </c>
      <c r="G417" s="186"/>
      <c r="H417" s="146" t="str">
        <f t="shared" si="59"/>
        <v/>
      </c>
      <c r="I417" s="185"/>
      <c r="J417" s="185"/>
      <c r="K417" s="185"/>
      <c r="M417" s="141" t="str">
        <f t="shared" si="60"/>
        <v/>
      </c>
      <c r="N417" s="141" t="str">
        <f t="shared" si="61"/>
        <v/>
      </c>
    </row>
    <row r="418" spans="1:14">
      <c r="A418" s="145" t="str">
        <f>IF(C418="","",VLOOKUP('Opći dio'!$C$3,'Opći dio'!$L$6:$U$136,10,FALSE))</f>
        <v/>
      </c>
      <c r="B418" s="145" t="str">
        <f>IF(C418="","",VLOOKUP('Opći dio'!$C$3,'Opći dio'!$L$6:$U$136,9,FALSE))</f>
        <v/>
      </c>
      <c r="C418" s="151"/>
      <c r="D418" s="146" t="str">
        <f t="shared" si="57"/>
        <v/>
      </c>
      <c r="E418" s="151"/>
      <c r="F418" s="146" t="str">
        <f t="shared" si="58"/>
        <v/>
      </c>
      <c r="G418" s="186"/>
      <c r="H418" s="146" t="str">
        <f t="shared" si="59"/>
        <v/>
      </c>
      <c r="I418" s="185"/>
      <c r="J418" s="185"/>
      <c r="K418" s="185"/>
      <c r="M418" s="141" t="str">
        <f t="shared" si="60"/>
        <v/>
      </c>
      <c r="N418" s="141" t="str">
        <f t="shared" si="61"/>
        <v/>
      </c>
    </row>
    <row r="419" spans="1:14">
      <c r="A419" s="145" t="str">
        <f>IF(C419="","",VLOOKUP('Opći dio'!$C$3,'Opći dio'!$L$6:$U$136,10,FALSE))</f>
        <v/>
      </c>
      <c r="B419" s="145" t="str">
        <f>IF(C419="","",VLOOKUP('Opći dio'!$C$3,'Opći dio'!$L$6:$U$136,9,FALSE))</f>
        <v/>
      </c>
      <c r="C419" s="151"/>
      <c r="D419" s="146" t="str">
        <f t="shared" si="57"/>
        <v/>
      </c>
      <c r="E419" s="151"/>
      <c r="F419" s="146" t="str">
        <f t="shared" si="58"/>
        <v/>
      </c>
      <c r="G419" s="186"/>
      <c r="H419" s="146" t="str">
        <f t="shared" si="59"/>
        <v/>
      </c>
      <c r="I419" s="185"/>
      <c r="J419" s="185"/>
      <c r="K419" s="185"/>
      <c r="M419" s="141" t="str">
        <f t="shared" si="60"/>
        <v/>
      </c>
      <c r="N419" s="141" t="str">
        <f t="shared" si="61"/>
        <v/>
      </c>
    </row>
    <row r="420" spans="1:14">
      <c r="A420" s="145" t="str">
        <f>IF(C420="","",VLOOKUP('Opći dio'!$C$3,'Opći dio'!$L$6:$U$136,10,FALSE))</f>
        <v/>
      </c>
      <c r="B420" s="145" t="str">
        <f>IF(C420="","",VLOOKUP('Opći dio'!$C$3,'Opći dio'!$L$6:$U$136,9,FALSE))</f>
        <v/>
      </c>
      <c r="C420" s="151"/>
      <c r="D420" s="146" t="str">
        <f t="shared" si="57"/>
        <v/>
      </c>
      <c r="E420" s="151"/>
      <c r="F420" s="146" t="str">
        <f t="shared" si="58"/>
        <v/>
      </c>
      <c r="G420" s="186"/>
      <c r="H420" s="146" t="str">
        <f t="shared" si="59"/>
        <v/>
      </c>
      <c r="I420" s="185"/>
      <c r="J420" s="185"/>
      <c r="K420" s="185"/>
      <c r="M420" s="141" t="str">
        <f t="shared" si="60"/>
        <v/>
      </c>
      <c r="N420" s="141" t="str">
        <f t="shared" si="61"/>
        <v/>
      </c>
    </row>
    <row r="421" spans="1:14">
      <c r="A421" s="145" t="str">
        <f>IF(C421="","",VLOOKUP('Opći dio'!$C$3,'Opći dio'!$L$6:$U$136,10,FALSE))</f>
        <v/>
      </c>
      <c r="B421" s="145" t="str">
        <f>IF(C421="","",VLOOKUP('Opći dio'!$C$3,'Opći dio'!$L$6:$U$136,9,FALSE))</f>
        <v/>
      </c>
      <c r="C421" s="151"/>
      <c r="D421" s="146" t="str">
        <f t="shared" si="57"/>
        <v/>
      </c>
      <c r="E421" s="151"/>
      <c r="F421" s="146" t="str">
        <f t="shared" si="58"/>
        <v/>
      </c>
      <c r="G421" s="186"/>
      <c r="H421" s="146" t="str">
        <f t="shared" si="59"/>
        <v/>
      </c>
      <c r="I421" s="185"/>
      <c r="J421" s="185"/>
      <c r="K421" s="185"/>
      <c r="M421" s="141" t="str">
        <f t="shared" si="60"/>
        <v/>
      </c>
      <c r="N421" s="141" t="str">
        <f t="shared" si="61"/>
        <v/>
      </c>
    </row>
    <row r="422" spans="1:14">
      <c r="A422" s="145" t="str">
        <f>IF(C422="","",VLOOKUP('Opći dio'!$C$3,'Opći dio'!$L$6:$U$136,10,FALSE))</f>
        <v/>
      </c>
      <c r="B422" s="145" t="str">
        <f>IF(C422="","",VLOOKUP('Opći dio'!$C$3,'Opći dio'!$L$6:$U$136,9,FALSE))</f>
        <v/>
      </c>
      <c r="C422" s="151"/>
      <c r="D422" s="146" t="str">
        <f t="shared" si="57"/>
        <v/>
      </c>
      <c r="E422" s="151"/>
      <c r="F422" s="146" t="str">
        <f t="shared" si="58"/>
        <v/>
      </c>
      <c r="G422" s="186"/>
      <c r="H422" s="146" t="str">
        <f t="shared" si="59"/>
        <v/>
      </c>
      <c r="I422" s="185"/>
      <c r="J422" s="185"/>
      <c r="K422" s="185"/>
      <c r="M422" s="141" t="str">
        <f t="shared" si="60"/>
        <v/>
      </c>
      <c r="N422" s="141" t="str">
        <f t="shared" si="61"/>
        <v/>
      </c>
    </row>
    <row r="423" spans="1:14">
      <c r="A423" s="145" t="str">
        <f>IF(C423="","",VLOOKUP('Opći dio'!$C$3,'Opći dio'!$L$6:$U$136,10,FALSE))</f>
        <v/>
      </c>
      <c r="B423" s="145" t="str">
        <f>IF(C423="","",VLOOKUP('Opći dio'!$C$3,'Opći dio'!$L$6:$U$136,9,FALSE))</f>
        <v/>
      </c>
      <c r="C423" s="151"/>
      <c r="D423" s="146" t="str">
        <f t="shared" si="57"/>
        <v/>
      </c>
      <c r="E423" s="151"/>
      <c r="F423" s="146" t="str">
        <f t="shared" si="58"/>
        <v/>
      </c>
      <c r="G423" s="186"/>
      <c r="H423" s="146" t="str">
        <f t="shared" si="59"/>
        <v/>
      </c>
      <c r="I423" s="185"/>
      <c r="J423" s="185"/>
      <c r="K423" s="185"/>
      <c r="M423" s="141" t="str">
        <f t="shared" si="60"/>
        <v/>
      </c>
      <c r="N423" s="141" t="str">
        <f t="shared" si="61"/>
        <v/>
      </c>
    </row>
    <row r="424" spans="1:14">
      <c r="A424" s="145" t="str">
        <f>IF(C424="","",VLOOKUP('Opći dio'!$C$3,'Opći dio'!$L$6:$U$136,10,FALSE))</f>
        <v/>
      </c>
      <c r="B424" s="145" t="str">
        <f>IF(C424="","",VLOOKUP('Opći dio'!$C$3,'Opći dio'!$L$6:$U$136,9,FALSE))</f>
        <v/>
      </c>
      <c r="C424" s="151"/>
      <c r="D424" s="146" t="str">
        <f t="shared" si="57"/>
        <v/>
      </c>
      <c r="E424" s="151"/>
      <c r="F424" s="146" t="str">
        <f t="shared" si="58"/>
        <v/>
      </c>
      <c r="G424" s="186"/>
      <c r="H424" s="146" t="str">
        <f t="shared" si="59"/>
        <v/>
      </c>
      <c r="I424" s="185"/>
      <c r="J424" s="185"/>
      <c r="K424" s="185"/>
      <c r="M424" s="141" t="str">
        <f t="shared" si="60"/>
        <v/>
      </c>
      <c r="N424" s="141" t="str">
        <f t="shared" si="61"/>
        <v/>
      </c>
    </row>
    <row r="425" spans="1:14">
      <c r="A425" s="145" t="str">
        <f>IF(C425="","",VLOOKUP('Opći dio'!$C$3,'Opći dio'!$L$6:$U$136,10,FALSE))</f>
        <v/>
      </c>
      <c r="B425" s="145" t="str">
        <f>IF(C425="","",VLOOKUP('Opći dio'!$C$3,'Opći dio'!$L$6:$U$136,9,FALSE))</f>
        <v/>
      </c>
      <c r="C425" s="151"/>
      <c r="D425" s="146" t="str">
        <f t="shared" si="57"/>
        <v/>
      </c>
      <c r="E425" s="151"/>
      <c r="F425" s="146" t="str">
        <f t="shared" si="58"/>
        <v/>
      </c>
      <c r="G425" s="186"/>
      <c r="H425" s="146" t="str">
        <f t="shared" si="59"/>
        <v/>
      </c>
      <c r="I425" s="185"/>
      <c r="J425" s="185"/>
      <c r="K425" s="185"/>
      <c r="M425" s="141" t="str">
        <f t="shared" si="60"/>
        <v/>
      </c>
      <c r="N425" s="141" t="str">
        <f t="shared" si="61"/>
        <v/>
      </c>
    </row>
    <row r="426" spans="1:14">
      <c r="A426" s="145" t="str">
        <f>IF(C426="","",VLOOKUP('Opći dio'!$C$3,'Opći dio'!$L$6:$U$136,10,FALSE))</f>
        <v/>
      </c>
      <c r="B426" s="145" t="str">
        <f>IF(C426="","",VLOOKUP('Opći dio'!$C$3,'Opći dio'!$L$6:$U$136,9,FALSE))</f>
        <v/>
      </c>
      <c r="C426" s="151"/>
      <c r="D426" s="146" t="str">
        <f t="shared" si="57"/>
        <v/>
      </c>
      <c r="E426" s="151"/>
      <c r="F426" s="146" t="str">
        <f t="shared" si="58"/>
        <v/>
      </c>
      <c r="G426" s="186"/>
      <c r="H426" s="146" t="str">
        <f t="shared" si="59"/>
        <v/>
      </c>
      <c r="I426" s="185"/>
      <c r="J426" s="185"/>
      <c r="K426" s="185"/>
      <c r="M426" s="141" t="str">
        <f t="shared" si="60"/>
        <v/>
      </c>
      <c r="N426" s="141" t="str">
        <f t="shared" si="61"/>
        <v/>
      </c>
    </row>
    <row r="427" spans="1:14">
      <c r="A427" s="145" t="str">
        <f>IF(C427="","",VLOOKUP('Opći dio'!$C$3,'Opći dio'!$L$6:$U$136,10,FALSE))</f>
        <v/>
      </c>
      <c r="B427" s="145" t="str">
        <f>IF(C427="","",VLOOKUP('Opći dio'!$C$3,'Opći dio'!$L$6:$U$136,9,FALSE))</f>
        <v/>
      </c>
      <c r="C427" s="151"/>
      <c r="D427" s="146" t="str">
        <f t="shared" si="57"/>
        <v/>
      </c>
      <c r="E427" s="151"/>
      <c r="F427" s="146" t="str">
        <f t="shared" si="58"/>
        <v/>
      </c>
      <c r="G427" s="186"/>
      <c r="H427" s="146" t="str">
        <f t="shared" si="59"/>
        <v/>
      </c>
      <c r="I427" s="185"/>
      <c r="J427" s="185"/>
      <c r="K427" s="185"/>
      <c r="M427" s="141" t="str">
        <f t="shared" si="60"/>
        <v/>
      </c>
      <c r="N427" s="141" t="str">
        <f t="shared" si="61"/>
        <v/>
      </c>
    </row>
    <row r="428" spans="1:14">
      <c r="A428" s="145" t="str">
        <f>IF(C428="","",VLOOKUP('Opći dio'!$C$3,'Opći dio'!$L$6:$U$136,10,FALSE))</f>
        <v/>
      </c>
      <c r="B428" s="145" t="str">
        <f>IF(C428="","",VLOOKUP('Opći dio'!$C$3,'Opći dio'!$L$6:$U$136,9,FALSE))</f>
        <v/>
      </c>
      <c r="C428" s="151"/>
      <c r="D428" s="146" t="str">
        <f t="shared" si="57"/>
        <v/>
      </c>
      <c r="E428" s="151"/>
      <c r="F428" s="146" t="str">
        <f t="shared" si="58"/>
        <v/>
      </c>
      <c r="G428" s="186"/>
      <c r="H428" s="146" t="str">
        <f t="shared" si="59"/>
        <v/>
      </c>
      <c r="I428" s="185"/>
      <c r="J428" s="185"/>
      <c r="K428" s="185"/>
      <c r="M428" s="141" t="str">
        <f t="shared" si="60"/>
        <v/>
      </c>
      <c r="N428" s="141" t="str">
        <f t="shared" si="61"/>
        <v/>
      </c>
    </row>
    <row r="429" spans="1:14">
      <c r="A429" s="145" t="str">
        <f>IF(C429="","",VLOOKUP('Opći dio'!$C$3,'Opći dio'!$L$6:$U$136,10,FALSE))</f>
        <v/>
      </c>
      <c r="B429" s="145" t="str">
        <f>IF(C429="","",VLOOKUP('Opći dio'!$C$3,'Opći dio'!$L$6:$U$136,9,FALSE))</f>
        <v/>
      </c>
      <c r="C429" s="151"/>
      <c r="D429" s="146" t="str">
        <f t="shared" si="57"/>
        <v/>
      </c>
      <c r="E429" s="151"/>
      <c r="F429" s="146" t="str">
        <f t="shared" si="58"/>
        <v/>
      </c>
      <c r="G429" s="186"/>
      <c r="H429" s="146" t="str">
        <f t="shared" si="59"/>
        <v/>
      </c>
      <c r="I429" s="185"/>
      <c r="J429" s="185"/>
      <c r="K429" s="185"/>
      <c r="M429" s="141" t="str">
        <f t="shared" si="60"/>
        <v/>
      </c>
      <c r="N429" s="141" t="str">
        <f t="shared" si="61"/>
        <v/>
      </c>
    </row>
    <row r="430" spans="1:14">
      <c r="A430" s="145" t="str">
        <f>IF(C430="","",VLOOKUP('Opći dio'!$C$3,'Opći dio'!$L$6:$U$136,10,FALSE))</f>
        <v/>
      </c>
      <c r="B430" s="145" t="str">
        <f>IF(C430="","",VLOOKUP('Opći dio'!$C$3,'Opći dio'!$L$6:$U$136,9,FALSE))</f>
        <v/>
      </c>
      <c r="C430" s="151"/>
      <c r="D430" s="146" t="str">
        <f t="shared" si="57"/>
        <v/>
      </c>
      <c r="E430" s="151"/>
      <c r="F430" s="146" t="str">
        <f t="shared" si="58"/>
        <v/>
      </c>
      <c r="G430" s="186"/>
      <c r="H430" s="146" t="str">
        <f t="shared" si="59"/>
        <v/>
      </c>
      <c r="I430" s="185"/>
      <c r="J430" s="185"/>
      <c r="K430" s="185"/>
      <c r="M430" s="141" t="str">
        <f t="shared" si="60"/>
        <v/>
      </c>
      <c r="N430" s="141" t="str">
        <f t="shared" si="61"/>
        <v/>
      </c>
    </row>
    <row r="431" spans="1:14">
      <c r="A431" s="145" t="str">
        <f>IF(C431="","",VLOOKUP('Opći dio'!$C$3,'Opći dio'!$L$6:$U$136,10,FALSE))</f>
        <v/>
      </c>
      <c r="B431" s="145" t="str">
        <f>IF(C431="","",VLOOKUP('Opći dio'!$C$3,'Opći dio'!$L$6:$U$136,9,FALSE))</f>
        <v/>
      </c>
      <c r="C431" s="151"/>
      <c r="D431" s="146" t="str">
        <f t="shared" si="57"/>
        <v/>
      </c>
      <c r="E431" s="151"/>
      <c r="F431" s="146" t="str">
        <f t="shared" si="58"/>
        <v/>
      </c>
      <c r="G431" s="186"/>
      <c r="H431" s="146" t="str">
        <f t="shared" si="59"/>
        <v/>
      </c>
      <c r="I431" s="185"/>
      <c r="J431" s="185"/>
      <c r="K431" s="185"/>
      <c r="M431" s="141" t="str">
        <f t="shared" si="60"/>
        <v/>
      </c>
      <c r="N431" s="141" t="str">
        <f t="shared" si="61"/>
        <v/>
      </c>
    </row>
    <row r="432" spans="1:14">
      <c r="A432" s="145" t="str">
        <f>IF(C432="","",VLOOKUP('Opći dio'!$C$3,'Opći dio'!$L$6:$U$136,10,FALSE))</f>
        <v/>
      </c>
      <c r="B432" s="145" t="str">
        <f>IF(C432="","",VLOOKUP('Opći dio'!$C$3,'Opći dio'!$L$6:$U$136,9,FALSE))</f>
        <v/>
      </c>
      <c r="C432" s="151"/>
      <c r="D432" s="146" t="str">
        <f t="shared" si="57"/>
        <v/>
      </c>
      <c r="E432" s="151"/>
      <c r="F432" s="146" t="str">
        <f t="shared" si="58"/>
        <v/>
      </c>
      <c r="G432" s="186"/>
      <c r="H432" s="146" t="str">
        <f t="shared" si="59"/>
        <v/>
      </c>
      <c r="I432" s="185"/>
      <c r="J432" s="185"/>
      <c r="K432" s="185"/>
      <c r="M432" s="141" t="str">
        <f t="shared" si="60"/>
        <v/>
      </c>
      <c r="N432" s="141" t="str">
        <f t="shared" si="61"/>
        <v/>
      </c>
    </row>
    <row r="433" spans="1:14">
      <c r="A433" s="145" t="str">
        <f>IF(C433="","",VLOOKUP('Opći dio'!$C$3,'Opći dio'!$L$6:$U$136,10,FALSE))</f>
        <v/>
      </c>
      <c r="B433" s="145" t="str">
        <f>IF(C433="","",VLOOKUP('Opći dio'!$C$3,'Opći dio'!$L$6:$U$136,9,FALSE))</f>
        <v/>
      </c>
      <c r="C433" s="151"/>
      <c r="D433" s="146" t="str">
        <f t="shared" si="57"/>
        <v/>
      </c>
      <c r="E433" s="151"/>
      <c r="F433" s="146" t="str">
        <f t="shared" si="58"/>
        <v/>
      </c>
      <c r="G433" s="186"/>
      <c r="H433" s="146" t="str">
        <f t="shared" si="59"/>
        <v/>
      </c>
      <c r="I433" s="185"/>
      <c r="J433" s="185"/>
      <c r="K433" s="185"/>
      <c r="M433" s="141" t="str">
        <f t="shared" si="60"/>
        <v/>
      </c>
      <c r="N433" s="141" t="str">
        <f t="shared" si="61"/>
        <v/>
      </c>
    </row>
    <row r="434" spans="1:14">
      <c r="A434" s="145" t="str">
        <f>IF(C434="","",VLOOKUP('Opći dio'!$C$3,'Opći dio'!$L$6:$U$136,10,FALSE))</f>
        <v/>
      </c>
      <c r="B434" s="145" t="str">
        <f>IF(C434="","",VLOOKUP('Opći dio'!$C$3,'Opći dio'!$L$6:$U$136,9,FALSE))</f>
        <v/>
      </c>
      <c r="C434" s="151"/>
      <c r="D434" s="146" t="str">
        <f t="shared" si="57"/>
        <v/>
      </c>
      <c r="E434" s="151"/>
      <c r="F434" s="146" t="str">
        <f t="shared" si="58"/>
        <v/>
      </c>
      <c r="G434" s="186"/>
      <c r="H434" s="146" t="str">
        <f t="shared" si="59"/>
        <v/>
      </c>
      <c r="I434" s="185"/>
      <c r="J434" s="185"/>
      <c r="K434" s="185"/>
      <c r="M434" s="141" t="str">
        <f t="shared" si="60"/>
        <v/>
      </c>
      <c r="N434" s="141" t="str">
        <f t="shared" si="61"/>
        <v/>
      </c>
    </row>
    <row r="435" spans="1:14">
      <c r="A435" s="145" t="str">
        <f>IF(C435="","",VLOOKUP('Opći dio'!$C$3,'Opći dio'!$L$6:$U$136,10,FALSE))</f>
        <v/>
      </c>
      <c r="B435" s="145" t="str">
        <f>IF(C435="","",VLOOKUP('Opći dio'!$C$3,'Opći dio'!$L$6:$U$136,9,FALSE))</f>
        <v/>
      </c>
      <c r="C435" s="151"/>
      <c r="D435" s="146" t="str">
        <f t="shared" si="57"/>
        <v/>
      </c>
      <c r="E435" s="151"/>
      <c r="F435" s="146" t="str">
        <f t="shared" si="58"/>
        <v/>
      </c>
      <c r="G435" s="186"/>
      <c r="H435" s="146" t="str">
        <f t="shared" si="59"/>
        <v/>
      </c>
      <c r="I435" s="185"/>
      <c r="J435" s="185"/>
      <c r="K435" s="185"/>
      <c r="M435" s="141" t="str">
        <f t="shared" si="60"/>
        <v/>
      </c>
      <c r="N435" s="141" t="str">
        <f t="shared" si="61"/>
        <v/>
      </c>
    </row>
    <row r="436" spans="1:14">
      <c r="A436" s="145" t="str">
        <f>IF(C436="","",VLOOKUP('Opći dio'!$C$3,'Opći dio'!$L$6:$U$136,10,FALSE))</f>
        <v/>
      </c>
      <c r="B436" s="145" t="str">
        <f>IF(C436="","",VLOOKUP('Opći dio'!$C$3,'Opći dio'!$L$6:$U$136,9,FALSE))</f>
        <v/>
      </c>
      <c r="C436" s="151"/>
      <c r="D436" s="146" t="str">
        <f t="shared" si="57"/>
        <v/>
      </c>
      <c r="E436" s="151"/>
      <c r="F436" s="146" t="str">
        <f t="shared" si="58"/>
        <v/>
      </c>
      <c r="G436" s="186"/>
      <c r="H436" s="146" t="str">
        <f t="shared" si="59"/>
        <v/>
      </c>
      <c r="I436" s="185"/>
      <c r="J436" s="185"/>
      <c r="K436" s="185"/>
      <c r="M436" s="141" t="str">
        <f t="shared" si="60"/>
        <v/>
      </c>
      <c r="N436" s="141" t="str">
        <f t="shared" si="61"/>
        <v/>
      </c>
    </row>
    <row r="437" spans="1:14">
      <c r="A437" s="145" t="str">
        <f>IF(C437="","",VLOOKUP('Opći dio'!$C$3,'Opći dio'!$L$6:$U$136,10,FALSE))</f>
        <v/>
      </c>
      <c r="B437" s="145" t="str">
        <f>IF(C437="","",VLOOKUP('Opći dio'!$C$3,'Opći dio'!$L$6:$U$136,9,FALSE))</f>
        <v/>
      </c>
      <c r="C437" s="151"/>
      <c r="D437" s="146" t="str">
        <f t="shared" si="57"/>
        <v/>
      </c>
      <c r="E437" s="151"/>
      <c r="F437" s="146" t="str">
        <f t="shared" si="58"/>
        <v/>
      </c>
      <c r="G437" s="186"/>
      <c r="H437" s="146" t="str">
        <f t="shared" si="59"/>
        <v/>
      </c>
      <c r="I437" s="185"/>
      <c r="J437" s="185"/>
      <c r="K437" s="185"/>
      <c r="M437" s="141" t="str">
        <f t="shared" si="60"/>
        <v/>
      </c>
      <c r="N437" s="141" t="str">
        <f t="shared" si="61"/>
        <v/>
      </c>
    </row>
    <row r="438" spans="1:14">
      <c r="A438" s="145" t="str">
        <f>IF(C438="","",VLOOKUP('Opći dio'!$C$3,'Opći dio'!$L$6:$U$136,10,FALSE))</f>
        <v/>
      </c>
      <c r="B438" s="145" t="str">
        <f>IF(C438="","",VLOOKUP('Opći dio'!$C$3,'Opći dio'!$L$6:$U$136,9,FALSE))</f>
        <v/>
      </c>
      <c r="C438" s="151"/>
      <c r="D438" s="146" t="str">
        <f t="shared" si="57"/>
        <v/>
      </c>
      <c r="E438" s="151"/>
      <c r="F438" s="146" t="str">
        <f t="shared" si="58"/>
        <v/>
      </c>
      <c r="G438" s="186"/>
      <c r="H438" s="146" t="str">
        <f t="shared" si="59"/>
        <v/>
      </c>
      <c r="I438" s="185"/>
      <c r="J438" s="185"/>
      <c r="K438" s="185"/>
      <c r="M438" s="141" t="str">
        <f t="shared" si="60"/>
        <v/>
      </c>
      <c r="N438" s="141" t="str">
        <f t="shared" si="61"/>
        <v/>
      </c>
    </row>
    <row r="439" spans="1:14">
      <c r="A439" s="145" t="str">
        <f>IF(C439="","",VLOOKUP('Opći dio'!$C$3,'Opći dio'!$L$6:$U$136,10,FALSE))</f>
        <v/>
      </c>
      <c r="B439" s="145" t="str">
        <f>IF(C439="","",VLOOKUP('Opći dio'!$C$3,'Opći dio'!$L$6:$U$136,9,FALSE))</f>
        <v/>
      </c>
      <c r="C439" s="151"/>
      <c r="D439" s="146" t="str">
        <f t="shared" si="57"/>
        <v/>
      </c>
      <c r="E439" s="151"/>
      <c r="F439" s="146" t="str">
        <f t="shared" si="58"/>
        <v/>
      </c>
      <c r="G439" s="186"/>
      <c r="H439" s="146" t="str">
        <f t="shared" si="59"/>
        <v/>
      </c>
      <c r="I439" s="185"/>
      <c r="J439" s="185"/>
      <c r="K439" s="185"/>
      <c r="M439" s="141" t="str">
        <f t="shared" si="60"/>
        <v/>
      </c>
      <c r="N439" s="141" t="str">
        <f t="shared" si="61"/>
        <v/>
      </c>
    </row>
    <row r="440" spans="1:14">
      <c r="A440" s="145" t="str">
        <f>IF(C440="","",VLOOKUP('Opći dio'!$C$3,'Opći dio'!$L$6:$U$136,10,FALSE))</f>
        <v/>
      </c>
      <c r="B440" s="145" t="str">
        <f>IF(C440="","",VLOOKUP('Opći dio'!$C$3,'Opći dio'!$L$6:$U$136,9,FALSE))</f>
        <v/>
      </c>
      <c r="C440" s="151"/>
      <c r="D440" s="146" t="str">
        <f t="shared" si="57"/>
        <v/>
      </c>
      <c r="E440" s="151"/>
      <c r="F440" s="146" t="str">
        <f t="shared" si="58"/>
        <v/>
      </c>
      <c r="G440" s="186"/>
      <c r="H440" s="146" t="str">
        <f t="shared" si="59"/>
        <v/>
      </c>
      <c r="I440" s="185"/>
      <c r="J440" s="185"/>
      <c r="K440" s="185"/>
      <c r="M440" s="141" t="str">
        <f t="shared" si="60"/>
        <v/>
      </c>
      <c r="N440" s="141" t="str">
        <f t="shared" si="61"/>
        <v/>
      </c>
    </row>
    <row r="441" spans="1:14">
      <c r="A441" s="145" t="str">
        <f>IF(C441="","",VLOOKUP('Opći dio'!$C$3,'Opći dio'!$L$6:$U$136,10,FALSE))</f>
        <v/>
      </c>
      <c r="B441" s="145" t="str">
        <f>IF(C441="","",VLOOKUP('Opći dio'!$C$3,'Opći dio'!$L$6:$U$136,9,FALSE))</f>
        <v/>
      </c>
      <c r="C441" s="151"/>
      <c r="D441" s="146" t="str">
        <f t="shared" si="57"/>
        <v/>
      </c>
      <c r="E441" s="151"/>
      <c r="F441" s="146" t="str">
        <f t="shared" si="58"/>
        <v/>
      </c>
      <c r="G441" s="186"/>
      <c r="H441" s="146" t="str">
        <f t="shared" si="59"/>
        <v/>
      </c>
      <c r="I441" s="185"/>
      <c r="J441" s="185"/>
      <c r="K441" s="185"/>
      <c r="M441" s="141" t="str">
        <f t="shared" si="60"/>
        <v/>
      </c>
      <c r="N441" s="141" t="str">
        <f t="shared" si="61"/>
        <v/>
      </c>
    </row>
    <row r="442" spans="1:14">
      <c r="A442" s="145" t="str">
        <f>IF(C442="","",VLOOKUP('Opći dio'!$C$3,'Opći dio'!$L$6:$U$136,10,FALSE))</f>
        <v/>
      </c>
      <c r="B442" s="145" t="str">
        <f>IF(C442="","",VLOOKUP('Opći dio'!$C$3,'Opći dio'!$L$6:$U$136,9,FALSE))</f>
        <v/>
      </c>
      <c r="C442" s="151"/>
      <c r="D442" s="146" t="str">
        <f t="shared" si="57"/>
        <v/>
      </c>
      <c r="E442" s="151"/>
      <c r="F442" s="146" t="str">
        <f t="shared" si="58"/>
        <v/>
      </c>
      <c r="G442" s="186"/>
      <c r="H442" s="146" t="str">
        <f t="shared" si="59"/>
        <v/>
      </c>
      <c r="I442" s="185"/>
      <c r="J442" s="185"/>
      <c r="K442" s="185"/>
      <c r="M442" s="141" t="str">
        <f t="shared" si="60"/>
        <v/>
      </c>
      <c r="N442" s="141" t="str">
        <f t="shared" si="61"/>
        <v/>
      </c>
    </row>
    <row r="443" spans="1:14">
      <c r="A443" s="145" t="str">
        <f>IF(C443="","",VLOOKUP('Opći dio'!$C$3,'Opći dio'!$L$6:$U$136,10,FALSE))</f>
        <v/>
      </c>
      <c r="B443" s="145" t="str">
        <f>IF(C443="","",VLOOKUP('Opći dio'!$C$3,'Opći dio'!$L$6:$U$136,9,FALSE))</f>
        <v/>
      </c>
      <c r="C443" s="151"/>
      <c r="D443" s="146" t="str">
        <f t="shared" si="57"/>
        <v/>
      </c>
      <c r="E443" s="151"/>
      <c r="F443" s="146" t="str">
        <f t="shared" si="58"/>
        <v/>
      </c>
      <c r="G443" s="186"/>
      <c r="H443" s="146" t="str">
        <f t="shared" si="59"/>
        <v/>
      </c>
      <c r="I443" s="185"/>
      <c r="J443" s="185"/>
      <c r="K443" s="185"/>
      <c r="M443" s="141" t="str">
        <f t="shared" si="60"/>
        <v/>
      </c>
      <c r="N443" s="141" t="str">
        <f t="shared" si="61"/>
        <v/>
      </c>
    </row>
    <row r="444" spans="1:14">
      <c r="A444" s="145" t="str">
        <f>IF(C444="","",VLOOKUP('Opći dio'!$C$3,'Opći dio'!$L$6:$U$136,10,FALSE))</f>
        <v/>
      </c>
      <c r="B444" s="145" t="str">
        <f>IF(C444="","",VLOOKUP('Opći dio'!$C$3,'Opći dio'!$L$6:$U$136,9,FALSE))</f>
        <v/>
      </c>
      <c r="C444" s="151"/>
      <c r="D444" s="146" t="str">
        <f t="shared" si="57"/>
        <v/>
      </c>
      <c r="E444" s="151"/>
      <c r="F444" s="146" t="str">
        <f t="shared" si="58"/>
        <v/>
      </c>
      <c r="G444" s="186"/>
      <c r="H444" s="146" t="str">
        <f t="shared" si="59"/>
        <v/>
      </c>
      <c r="I444" s="185"/>
      <c r="J444" s="185"/>
      <c r="K444" s="185"/>
      <c r="M444" s="141" t="str">
        <f t="shared" si="60"/>
        <v/>
      </c>
      <c r="N444" s="141" t="str">
        <f t="shared" si="61"/>
        <v/>
      </c>
    </row>
    <row r="445" spans="1:14">
      <c r="A445" s="145" t="str">
        <f>IF(C445="","",VLOOKUP('Opći dio'!$C$3,'Opći dio'!$L$6:$U$136,10,FALSE))</f>
        <v/>
      </c>
      <c r="B445" s="145" t="str">
        <f>IF(C445="","",VLOOKUP('Opći dio'!$C$3,'Opći dio'!$L$6:$U$136,9,FALSE))</f>
        <v/>
      </c>
      <c r="C445" s="151"/>
      <c r="D445" s="146" t="str">
        <f t="shared" si="57"/>
        <v/>
      </c>
      <c r="E445" s="151"/>
      <c r="F445" s="146" t="str">
        <f t="shared" si="58"/>
        <v/>
      </c>
      <c r="G445" s="186"/>
      <c r="H445" s="146" t="str">
        <f t="shared" si="59"/>
        <v/>
      </c>
      <c r="I445" s="185"/>
      <c r="J445" s="185"/>
      <c r="K445" s="185"/>
      <c r="M445" s="141" t="str">
        <f t="shared" si="60"/>
        <v/>
      </c>
      <c r="N445" s="141" t="str">
        <f t="shared" si="61"/>
        <v/>
      </c>
    </row>
    <row r="446" spans="1:14">
      <c r="A446" s="145" t="str">
        <f>IF(C446="","",VLOOKUP('Opći dio'!$C$3,'Opći dio'!$L$6:$U$136,10,FALSE))</f>
        <v/>
      </c>
      <c r="B446" s="145" t="str">
        <f>IF(C446="","",VLOOKUP('Opći dio'!$C$3,'Opći dio'!$L$6:$U$136,9,FALSE))</f>
        <v/>
      </c>
      <c r="C446" s="151"/>
      <c r="D446" s="146" t="str">
        <f t="shared" si="57"/>
        <v/>
      </c>
      <c r="E446" s="151"/>
      <c r="F446" s="146" t="str">
        <f t="shared" si="58"/>
        <v/>
      </c>
      <c r="G446" s="186"/>
      <c r="H446" s="146" t="str">
        <f t="shared" si="59"/>
        <v/>
      </c>
      <c r="I446" s="185"/>
      <c r="J446" s="185"/>
      <c r="K446" s="185"/>
      <c r="M446" s="141" t="str">
        <f t="shared" si="60"/>
        <v/>
      </c>
      <c r="N446" s="141" t="str">
        <f t="shared" si="61"/>
        <v/>
      </c>
    </row>
    <row r="447" spans="1:14">
      <c r="A447" s="145" t="str">
        <f>IF(C447="","",VLOOKUP('Opći dio'!$C$3,'Opći dio'!$L$6:$U$136,10,FALSE))</f>
        <v/>
      </c>
      <c r="B447" s="145" t="str">
        <f>IF(C447="","",VLOOKUP('Opći dio'!$C$3,'Opći dio'!$L$6:$U$136,9,FALSE))</f>
        <v/>
      </c>
      <c r="C447" s="151"/>
      <c r="D447" s="146" t="str">
        <f t="shared" si="57"/>
        <v/>
      </c>
      <c r="E447" s="151"/>
      <c r="F447" s="146" t="str">
        <f t="shared" si="58"/>
        <v/>
      </c>
      <c r="G447" s="186"/>
      <c r="H447" s="146" t="str">
        <f t="shared" si="59"/>
        <v/>
      </c>
      <c r="I447" s="185"/>
      <c r="J447" s="185"/>
      <c r="K447" s="185"/>
      <c r="M447" s="141" t="str">
        <f t="shared" si="60"/>
        <v/>
      </c>
      <c r="N447" s="141" t="str">
        <f t="shared" si="61"/>
        <v/>
      </c>
    </row>
    <row r="448" spans="1:14">
      <c r="A448" s="145" t="str">
        <f>IF(C448="","",VLOOKUP('Opći dio'!$C$3,'Opći dio'!$L$6:$U$136,10,FALSE))</f>
        <v/>
      </c>
      <c r="B448" s="145" t="str">
        <f>IF(C448="","",VLOOKUP('Opći dio'!$C$3,'Opći dio'!$L$6:$U$136,9,FALSE))</f>
        <v/>
      </c>
      <c r="C448" s="151"/>
      <c r="D448" s="146" t="str">
        <f t="shared" si="57"/>
        <v/>
      </c>
      <c r="E448" s="151"/>
      <c r="F448" s="146" t="str">
        <f t="shared" si="58"/>
        <v/>
      </c>
      <c r="G448" s="186"/>
      <c r="H448" s="146" t="str">
        <f t="shared" si="59"/>
        <v/>
      </c>
      <c r="I448" s="185"/>
      <c r="J448" s="185"/>
      <c r="K448" s="185"/>
      <c r="M448" s="141" t="str">
        <f t="shared" si="60"/>
        <v/>
      </c>
      <c r="N448" s="141" t="str">
        <f t="shared" si="61"/>
        <v/>
      </c>
    </row>
    <row r="449" spans="1:14">
      <c r="A449" s="145" t="str">
        <f>IF(C449="","",VLOOKUP('Opći dio'!$C$3,'Opći dio'!$L$6:$U$136,10,FALSE))</f>
        <v/>
      </c>
      <c r="B449" s="145" t="str">
        <f>IF(C449="","",VLOOKUP('Opći dio'!$C$3,'Opći dio'!$L$6:$U$136,9,FALSE))</f>
        <v/>
      </c>
      <c r="C449" s="151"/>
      <c r="D449" s="146" t="str">
        <f t="shared" si="57"/>
        <v/>
      </c>
      <c r="E449" s="151"/>
      <c r="F449" s="146" t="str">
        <f t="shared" si="58"/>
        <v/>
      </c>
      <c r="G449" s="186"/>
      <c r="H449" s="146" t="str">
        <f t="shared" si="59"/>
        <v/>
      </c>
      <c r="I449" s="185"/>
      <c r="J449" s="185"/>
      <c r="K449" s="185"/>
      <c r="M449" s="141" t="str">
        <f t="shared" si="60"/>
        <v/>
      </c>
      <c r="N449" s="141" t="str">
        <f t="shared" si="61"/>
        <v/>
      </c>
    </row>
    <row r="450" spans="1:14">
      <c r="A450" s="145" t="str">
        <f>IF(C450="","",VLOOKUP('Opći dio'!$C$3,'Opći dio'!$L$6:$U$136,10,FALSE))</f>
        <v/>
      </c>
      <c r="B450" s="145" t="str">
        <f>IF(C450="","",VLOOKUP('Opći dio'!$C$3,'Opći dio'!$L$6:$U$136,9,FALSE))</f>
        <v/>
      </c>
      <c r="C450" s="151"/>
      <c r="D450" s="146" t="str">
        <f t="shared" si="57"/>
        <v/>
      </c>
      <c r="E450" s="151"/>
      <c r="F450" s="146" t="str">
        <f t="shared" si="58"/>
        <v/>
      </c>
      <c r="G450" s="186"/>
      <c r="H450" s="146" t="str">
        <f t="shared" si="59"/>
        <v/>
      </c>
      <c r="I450" s="185"/>
      <c r="J450" s="185"/>
      <c r="K450" s="185"/>
      <c r="M450" s="141" t="str">
        <f t="shared" si="60"/>
        <v/>
      </c>
      <c r="N450" s="141" t="str">
        <f t="shared" si="61"/>
        <v/>
      </c>
    </row>
    <row r="451" spans="1:14">
      <c r="A451" s="145" t="str">
        <f>IF(C451="","",VLOOKUP('Opći dio'!$C$3,'Opći dio'!$L$6:$U$136,10,FALSE))</f>
        <v/>
      </c>
      <c r="B451" s="145" t="str">
        <f>IF(C451="","",VLOOKUP('Opći dio'!$C$3,'Opći dio'!$L$6:$U$136,9,FALSE))</f>
        <v/>
      </c>
      <c r="C451" s="151"/>
      <c r="D451" s="146" t="str">
        <f t="shared" si="57"/>
        <v/>
      </c>
      <c r="E451" s="151"/>
      <c r="F451" s="146" t="str">
        <f t="shared" si="58"/>
        <v/>
      </c>
      <c r="G451" s="186"/>
      <c r="H451" s="146" t="str">
        <f t="shared" si="59"/>
        <v/>
      </c>
      <c r="I451" s="185"/>
      <c r="J451" s="185"/>
      <c r="K451" s="185"/>
      <c r="M451" s="141" t="str">
        <f t="shared" si="60"/>
        <v/>
      </c>
      <c r="N451" s="141" t="str">
        <f t="shared" si="61"/>
        <v/>
      </c>
    </row>
    <row r="452" spans="1:14">
      <c r="A452" s="145" t="str">
        <f>IF(C452="","",VLOOKUP('Opći dio'!$C$3,'Opći dio'!$L$6:$U$136,10,FALSE))</f>
        <v/>
      </c>
      <c r="B452" s="145" t="str">
        <f>IF(C452="","",VLOOKUP('Opći dio'!$C$3,'Opći dio'!$L$6:$U$136,9,FALSE))</f>
        <v/>
      </c>
      <c r="C452" s="151"/>
      <c r="D452" s="146" t="str">
        <f t="shared" ref="D452:D501" si="62">IFERROR(VLOOKUP(C452,$O$6:$P$23,2,FALSE),"")</f>
        <v/>
      </c>
      <c r="E452" s="151"/>
      <c r="F452" s="146" t="str">
        <f t="shared" ref="F452:F501" si="63">IFERROR(VLOOKUP(E452,$R$5:$T$129,2,FALSE),"")</f>
        <v/>
      </c>
      <c r="G452" s="186"/>
      <c r="H452" s="146" t="str">
        <f t="shared" ref="H452:H501" si="64">IFERROR(VLOOKUP(G452,$X$6:$Y$200,2,FALSE),"")</f>
        <v/>
      </c>
      <c r="I452" s="185"/>
      <c r="J452" s="185"/>
      <c r="K452" s="185"/>
      <c r="M452" s="141" t="str">
        <f t="shared" ref="M452:M501" si="65">LEFT(E452,3)</f>
        <v/>
      </c>
      <c r="N452" s="141" t="str">
        <f t="shared" ref="N452:N501" si="66">LEFT(E452,2)</f>
        <v/>
      </c>
    </row>
    <row r="453" spans="1:14">
      <c r="A453" s="145" t="str">
        <f>IF(C453="","",VLOOKUP('Opći dio'!$C$3,'Opći dio'!$L$6:$U$136,10,FALSE))</f>
        <v/>
      </c>
      <c r="B453" s="145" t="str">
        <f>IF(C453="","",VLOOKUP('Opći dio'!$C$3,'Opći dio'!$L$6:$U$136,9,FALSE))</f>
        <v/>
      </c>
      <c r="C453" s="151"/>
      <c r="D453" s="146" t="str">
        <f t="shared" si="62"/>
        <v/>
      </c>
      <c r="E453" s="151"/>
      <c r="F453" s="146" t="str">
        <f t="shared" si="63"/>
        <v/>
      </c>
      <c r="G453" s="186"/>
      <c r="H453" s="146" t="str">
        <f t="shared" si="64"/>
        <v/>
      </c>
      <c r="I453" s="185"/>
      <c r="J453" s="185"/>
      <c r="K453" s="185"/>
      <c r="M453" s="141" t="str">
        <f t="shared" si="65"/>
        <v/>
      </c>
      <c r="N453" s="141" t="str">
        <f t="shared" si="66"/>
        <v/>
      </c>
    </row>
    <row r="454" spans="1:14">
      <c r="A454" s="145" t="str">
        <f>IF(C454="","",VLOOKUP('Opći dio'!$C$3,'Opći dio'!$L$6:$U$136,10,FALSE))</f>
        <v/>
      </c>
      <c r="B454" s="145" t="str">
        <f>IF(C454="","",VLOOKUP('Opći dio'!$C$3,'Opći dio'!$L$6:$U$136,9,FALSE))</f>
        <v/>
      </c>
      <c r="C454" s="151"/>
      <c r="D454" s="146" t="str">
        <f t="shared" si="62"/>
        <v/>
      </c>
      <c r="E454" s="151"/>
      <c r="F454" s="146" t="str">
        <f t="shared" si="63"/>
        <v/>
      </c>
      <c r="G454" s="186"/>
      <c r="H454" s="146" t="str">
        <f t="shared" si="64"/>
        <v/>
      </c>
      <c r="I454" s="185"/>
      <c r="J454" s="185"/>
      <c r="K454" s="185"/>
      <c r="M454" s="141" t="str">
        <f t="shared" si="65"/>
        <v/>
      </c>
      <c r="N454" s="141" t="str">
        <f t="shared" si="66"/>
        <v/>
      </c>
    </row>
    <row r="455" spans="1:14">
      <c r="A455" s="145" t="str">
        <f>IF(C455="","",VLOOKUP('Opći dio'!$C$3,'Opći dio'!$L$6:$U$136,10,FALSE))</f>
        <v/>
      </c>
      <c r="B455" s="145" t="str">
        <f>IF(C455="","",VLOOKUP('Opći dio'!$C$3,'Opći dio'!$L$6:$U$136,9,FALSE))</f>
        <v/>
      </c>
      <c r="C455" s="151"/>
      <c r="D455" s="146" t="str">
        <f t="shared" si="62"/>
        <v/>
      </c>
      <c r="E455" s="151"/>
      <c r="F455" s="146" t="str">
        <f t="shared" si="63"/>
        <v/>
      </c>
      <c r="G455" s="186"/>
      <c r="H455" s="146" t="str">
        <f t="shared" si="64"/>
        <v/>
      </c>
      <c r="I455" s="185"/>
      <c r="J455" s="185"/>
      <c r="K455" s="185"/>
      <c r="M455" s="141" t="str">
        <f t="shared" si="65"/>
        <v/>
      </c>
      <c r="N455" s="141" t="str">
        <f t="shared" si="66"/>
        <v/>
      </c>
    </row>
    <row r="456" spans="1:14">
      <c r="A456" s="145" t="str">
        <f>IF(C456="","",VLOOKUP('Opći dio'!$C$3,'Opći dio'!$L$6:$U$136,10,FALSE))</f>
        <v/>
      </c>
      <c r="B456" s="145" t="str">
        <f>IF(C456="","",VLOOKUP('Opći dio'!$C$3,'Opći dio'!$L$6:$U$136,9,FALSE))</f>
        <v/>
      </c>
      <c r="C456" s="151"/>
      <c r="D456" s="146" t="str">
        <f t="shared" si="62"/>
        <v/>
      </c>
      <c r="E456" s="151"/>
      <c r="F456" s="146" t="str">
        <f t="shared" si="63"/>
        <v/>
      </c>
      <c r="G456" s="186"/>
      <c r="H456" s="146" t="str">
        <f t="shared" si="64"/>
        <v/>
      </c>
      <c r="I456" s="185"/>
      <c r="J456" s="185"/>
      <c r="K456" s="185"/>
      <c r="M456" s="141" t="str">
        <f t="shared" si="65"/>
        <v/>
      </c>
      <c r="N456" s="141" t="str">
        <f t="shared" si="66"/>
        <v/>
      </c>
    </row>
    <row r="457" spans="1:14">
      <c r="A457" s="145" t="str">
        <f>IF(C457="","",VLOOKUP('Opći dio'!$C$3,'Opći dio'!$L$6:$U$136,10,FALSE))</f>
        <v/>
      </c>
      <c r="B457" s="145" t="str">
        <f>IF(C457="","",VLOOKUP('Opći dio'!$C$3,'Opći dio'!$L$6:$U$136,9,FALSE))</f>
        <v/>
      </c>
      <c r="C457" s="151"/>
      <c r="D457" s="146" t="str">
        <f t="shared" si="62"/>
        <v/>
      </c>
      <c r="E457" s="151"/>
      <c r="F457" s="146" t="str">
        <f t="shared" si="63"/>
        <v/>
      </c>
      <c r="G457" s="186"/>
      <c r="H457" s="146" t="str">
        <f t="shared" si="64"/>
        <v/>
      </c>
      <c r="I457" s="185"/>
      <c r="J457" s="185"/>
      <c r="K457" s="185"/>
      <c r="M457" s="141" t="str">
        <f t="shared" si="65"/>
        <v/>
      </c>
      <c r="N457" s="141" t="str">
        <f t="shared" si="66"/>
        <v/>
      </c>
    </row>
    <row r="458" spans="1:14">
      <c r="A458" s="145" t="str">
        <f>IF(C458="","",VLOOKUP('Opći dio'!$C$3,'Opći dio'!$L$6:$U$136,10,FALSE))</f>
        <v/>
      </c>
      <c r="B458" s="145" t="str">
        <f>IF(C458="","",VLOOKUP('Opći dio'!$C$3,'Opći dio'!$L$6:$U$136,9,FALSE))</f>
        <v/>
      </c>
      <c r="C458" s="151"/>
      <c r="D458" s="146" t="str">
        <f t="shared" si="62"/>
        <v/>
      </c>
      <c r="E458" s="151"/>
      <c r="F458" s="146" t="str">
        <f t="shared" si="63"/>
        <v/>
      </c>
      <c r="G458" s="186"/>
      <c r="H458" s="146" t="str">
        <f t="shared" si="64"/>
        <v/>
      </c>
      <c r="I458" s="185"/>
      <c r="J458" s="185"/>
      <c r="K458" s="185"/>
      <c r="M458" s="141" t="str">
        <f t="shared" si="65"/>
        <v/>
      </c>
      <c r="N458" s="141" t="str">
        <f t="shared" si="66"/>
        <v/>
      </c>
    </row>
    <row r="459" spans="1:14">
      <c r="A459" s="145" t="str">
        <f>IF(C459="","",VLOOKUP('Opći dio'!$C$3,'Opći dio'!$L$6:$U$136,10,FALSE))</f>
        <v/>
      </c>
      <c r="B459" s="145" t="str">
        <f>IF(C459="","",VLOOKUP('Opći dio'!$C$3,'Opći dio'!$L$6:$U$136,9,FALSE))</f>
        <v/>
      </c>
      <c r="C459" s="151"/>
      <c r="D459" s="146" t="str">
        <f t="shared" si="62"/>
        <v/>
      </c>
      <c r="E459" s="151"/>
      <c r="F459" s="146" t="str">
        <f t="shared" si="63"/>
        <v/>
      </c>
      <c r="G459" s="186"/>
      <c r="H459" s="146" t="str">
        <f t="shared" si="64"/>
        <v/>
      </c>
      <c r="I459" s="185"/>
      <c r="J459" s="185"/>
      <c r="K459" s="185"/>
      <c r="M459" s="141" t="str">
        <f t="shared" si="65"/>
        <v/>
      </c>
      <c r="N459" s="141" t="str">
        <f t="shared" si="66"/>
        <v/>
      </c>
    </row>
    <row r="460" spans="1:14">
      <c r="A460" s="145" t="str">
        <f>IF(C460="","",VLOOKUP('Opći dio'!$C$3,'Opći dio'!$L$6:$U$136,10,FALSE))</f>
        <v/>
      </c>
      <c r="B460" s="145" t="str">
        <f>IF(C460="","",VLOOKUP('Opći dio'!$C$3,'Opći dio'!$L$6:$U$136,9,FALSE))</f>
        <v/>
      </c>
      <c r="C460" s="151"/>
      <c r="D460" s="146" t="str">
        <f t="shared" si="62"/>
        <v/>
      </c>
      <c r="E460" s="151"/>
      <c r="F460" s="146" t="str">
        <f t="shared" si="63"/>
        <v/>
      </c>
      <c r="G460" s="186"/>
      <c r="H460" s="146" t="str">
        <f t="shared" si="64"/>
        <v/>
      </c>
      <c r="I460" s="185"/>
      <c r="J460" s="185"/>
      <c r="K460" s="185"/>
      <c r="M460" s="141" t="str">
        <f t="shared" si="65"/>
        <v/>
      </c>
      <c r="N460" s="141" t="str">
        <f t="shared" si="66"/>
        <v/>
      </c>
    </row>
    <row r="461" spans="1:14">
      <c r="A461" s="145" t="str">
        <f>IF(C461="","",VLOOKUP('Opći dio'!$C$3,'Opći dio'!$L$6:$U$136,10,FALSE))</f>
        <v/>
      </c>
      <c r="B461" s="145" t="str">
        <f>IF(C461="","",VLOOKUP('Opći dio'!$C$3,'Opći dio'!$L$6:$U$136,9,FALSE))</f>
        <v/>
      </c>
      <c r="C461" s="151"/>
      <c r="D461" s="146" t="str">
        <f t="shared" si="62"/>
        <v/>
      </c>
      <c r="E461" s="151"/>
      <c r="F461" s="146" t="str">
        <f t="shared" si="63"/>
        <v/>
      </c>
      <c r="G461" s="186"/>
      <c r="H461" s="146" t="str">
        <f t="shared" si="64"/>
        <v/>
      </c>
      <c r="I461" s="185"/>
      <c r="J461" s="185"/>
      <c r="K461" s="185"/>
      <c r="M461" s="141" t="str">
        <f t="shared" si="65"/>
        <v/>
      </c>
      <c r="N461" s="141" t="str">
        <f t="shared" si="66"/>
        <v/>
      </c>
    </row>
    <row r="462" spans="1:14">
      <c r="A462" s="145" t="str">
        <f>IF(C462="","",VLOOKUP('Opći dio'!$C$3,'Opći dio'!$L$6:$U$136,10,FALSE))</f>
        <v/>
      </c>
      <c r="B462" s="145" t="str">
        <f>IF(C462="","",VLOOKUP('Opći dio'!$C$3,'Opći dio'!$L$6:$U$136,9,FALSE))</f>
        <v/>
      </c>
      <c r="C462" s="151"/>
      <c r="D462" s="146" t="str">
        <f t="shared" si="62"/>
        <v/>
      </c>
      <c r="E462" s="151"/>
      <c r="F462" s="146" t="str">
        <f t="shared" si="63"/>
        <v/>
      </c>
      <c r="G462" s="186"/>
      <c r="H462" s="146" t="str">
        <f t="shared" si="64"/>
        <v/>
      </c>
      <c r="I462" s="185"/>
      <c r="J462" s="185"/>
      <c r="K462" s="185"/>
      <c r="M462" s="141" t="str">
        <f t="shared" si="65"/>
        <v/>
      </c>
      <c r="N462" s="141" t="str">
        <f t="shared" si="66"/>
        <v/>
      </c>
    </row>
    <row r="463" spans="1:14">
      <c r="A463" s="145" t="str">
        <f>IF(C463="","",VLOOKUP('Opći dio'!$C$3,'Opći dio'!$L$6:$U$136,10,FALSE))</f>
        <v/>
      </c>
      <c r="B463" s="145" t="str">
        <f>IF(C463="","",VLOOKUP('Opći dio'!$C$3,'Opći dio'!$L$6:$U$136,9,FALSE))</f>
        <v/>
      </c>
      <c r="C463" s="151"/>
      <c r="D463" s="146" t="str">
        <f t="shared" si="62"/>
        <v/>
      </c>
      <c r="E463" s="151"/>
      <c r="F463" s="146" t="str">
        <f t="shared" si="63"/>
        <v/>
      </c>
      <c r="G463" s="186"/>
      <c r="H463" s="146" t="str">
        <f t="shared" si="64"/>
        <v/>
      </c>
      <c r="I463" s="185"/>
      <c r="J463" s="185"/>
      <c r="K463" s="185"/>
      <c r="M463" s="141" t="str">
        <f t="shared" si="65"/>
        <v/>
      </c>
      <c r="N463" s="141" t="str">
        <f t="shared" si="66"/>
        <v/>
      </c>
    </row>
    <row r="464" spans="1:14">
      <c r="A464" s="145" t="str">
        <f>IF(C464="","",VLOOKUP('Opći dio'!$C$3,'Opći dio'!$L$6:$U$136,10,FALSE))</f>
        <v/>
      </c>
      <c r="B464" s="145" t="str">
        <f>IF(C464="","",VLOOKUP('Opći dio'!$C$3,'Opći dio'!$L$6:$U$136,9,FALSE))</f>
        <v/>
      </c>
      <c r="C464" s="151"/>
      <c r="D464" s="146" t="str">
        <f t="shared" si="62"/>
        <v/>
      </c>
      <c r="E464" s="151"/>
      <c r="F464" s="146" t="str">
        <f t="shared" si="63"/>
        <v/>
      </c>
      <c r="G464" s="186"/>
      <c r="H464" s="146" t="str">
        <f t="shared" si="64"/>
        <v/>
      </c>
      <c r="I464" s="185"/>
      <c r="J464" s="185"/>
      <c r="K464" s="185"/>
      <c r="M464" s="141" t="str">
        <f t="shared" si="65"/>
        <v/>
      </c>
      <c r="N464" s="141" t="str">
        <f t="shared" si="66"/>
        <v/>
      </c>
    </row>
    <row r="465" spans="1:14">
      <c r="A465" s="145" t="str">
        <f>IF(C465="","",VLOOKUP('Opći dio'!$C$3,'Opći dio'!$L$6:$U$136,10,FALSE))</f>
        <v/>
      </c>
      <c r="B465" s="145" t="str">
        <f>IF(C465="","",VLOOKUP('Opći dio'!$C$3,'Opći dio'!$L$6:$U$136,9,FALSE))</f>
        <v/>
      </c>
      <c r="C465" s="151"/>
      <c r="D465" s="146" t="str">
        <f t="shared" si="62"/>
        <v/>
      </c>
      <c r="E465" s="151"/>
      <c r="F465" s="146" t="str">
        <f t="shared" si="63"/>
        <v/>
      </c>
      <c r="G465" s="186"/>
      <c r="H465" s="146" t="str">
        <f t="shared" si="64"/>
        <v/>
      </c>
      <c r="I465" s="185"/>
      <c r="J465" s="185"/>
      <c r="K465" s="185"/>
      <c r="M465" s="141" t="str">
        <f t="shared" si="65"/>
        <v/>
      </c>
      <c r="N465" s="141" t="str">
        <f t="shared" si="66"/>
        <v/>
      </c>
    </row>
    <row r="466" spans="1:14">
      <c r="A466" s="145" t="str">
        <f>IF(C466="","",VLOOKUP('Opći dio'!$C$3,'Opći dio'!$L$6:$U$136,10,FALSE))</f>
        <v/>
      </c>
      <c r="B466" s="145" t="str">
        <f>IF(C466="","",VLOOKUP('Opći dio'!$C$3,'Opći dio'!$L$6:$U$136,9,FALSE))</f>
        <v/>
      </c>
      <c r="C466" s="151"/>
      <c r="D466" s="146" t="str">
        <f t="shared" si="62"/>
        <v/>
      </c>
      <c r="E466" s="151"/>
      <c r="F466" s="146" t="str">
        <f t="shared" si="63"/>
        <v/>
      </c>
      <c r="G466" s="186"/>
      <c r="H466" s="146" t="str">
        <f t="shared" si="64"/>
        <v/>
      </c>
      <c r="I466" s="185"/>
      <c r="J466" s="185"/>
      <c r="K466" s="185"/>
      <c r="M466" s="141" t="str">
        <f t="shared" si="65"/>
        <v/>
      </c>
      <c r="N466" s="141" t="str">
        <f t="shared" si="66"/>
        <v/>
      </c>
    </row>
    <row r="467" spans="1:14">
      <c r="A467" s="145" t="str">
        <f>IF(C467="","",VLOOKUP('Opći dio'!$C$3,'Opći dio'!$L$6:$U$136,10,FALSE))</f>
        <v/>
      </c>
      <c r="B467" s="145" t="str">
        <f>IF(C467="","",VLOOKUP('Opći dio'!$C$3,'Opći dio'!$L$6:$U$136,9,FALSE))</f>
        <v/>
      </c>
      <c r="C467" s="151"/>
      <c r="D467" s="146" t="str">
        <f t="shared" si="62"/>
        <v/>
      </c>
      <c r="E467" s="151"/>
      <c r="F467" s="146" t="str">
        <f t="shared" si="63"/>
        <v/>
      </c>
      <c r="G467" s="186"/>
      <c r="H467" s="146" t="str">
        <f t="shared" si="64"/>
        <v/>
      </c>
      <c r="I467" s="185"/>
      <c r="J467" s="185"/>
      <c r="K467" s="185"/>
      <c r="M467" s="141" t="str">
        <f t="shared" si="65"/>
        <v/>
      </c>
      <c r="N467" s="141" t="str">
        <f t="shared" si="66"/>
        <v/>
      </c>
    </row>
    <row r="468" spans="1:14">
      <c r="A468" s="145" t="str">
        <f>IF(C468="","",VLOOKUP('Opći dio'!$C$3,'Opći dio'!$L$6:$U$136,10,FALSE))</f>
        <v/>
      </c>
      <c r="B468" s="145" t="str">
        <f>IF(C468="","",VLOOKUP('Opći dio'!$C$3,'Opći dio'!$L$6:$U$136,9,FALSE))</f>
        <v/>
      </c>
      <c r="C468" s="151"/>
      <c r="D468" s="146" t="str">
        <f t="shared" si="62"/>
        <v/>
      </c>
      <c r="E468" s="151"/>
      <c r="F468" s="146" t="str">
        <f t="shared" si="63"/>
        <v/>
      </c>
      <c r="G468" s="186"/>
      <c r="H468" s="146" t="str">
        <f t="shared" si="64"/>
        <v/>
      </c>
      <c r="I468" s="185"/>
      <c r="J468" s="185"/>
      <c r="K468" s="185"/>
      <c r="M468" s="141" t="str">
        <f t="shared" si="65"/>
        <v/>
      </c>
      <c r="N468" s="141" t="str">
        <f t="shared" si="66"/>
        <v/>
      </c>
    </row>
    <row r="469" spans="1:14">
      <c r="A469" s="145" t="str">
        <f>IF(C469="","",VLOOKUP('Opći dio'!$C$3,'Opći dio'!$L$6:$U$136,10,FALSE))</f>
        <v/>
      </c>
      <c r="B469" s="145" t="str">
        <f>IF(C469="","",VLOOKUP('Opći dio'!$C$3,'Opći dio'!$L$6:$U$136,9,FALSE))</f>
        <v/>
      </c>
      <c r="C469" s="151"/>
      <c r="D469" s="146" t="str">
        <f t="shared" si="62"/>
        <v/>
      </c>
      <c r="E469" s="151"/>
      <c r="F469" s="146" t="str">
        <f t="shared" si="63"/>
        <v/>
      </c>
      <c r="G469" s="186"/>
      <c r="H469" s="146" t="str">
        <f t="shared" si="64"/>
        <v/>
      </c>
      <c r="I469" s="185"/>
      <c r="J469" s="185"/>
      <c r="K469" s="185"/>
      <c r="M469" s="141" t="str">
        <f t="shared" si="65"/>
        <v/>
      </c>
      <c r="N469" s="141" t="str">
        <f t="shared" si="66"/>
        <v/>
      </c>
    </row>
    <row r="470" spans="1:14">
      <c r="A470" s="145" t="str">
        <f>IF(C470="","",VLOOKUP('Opći dio'!$C$3,'Opći dio'!$L$6:$U$136,10,FALSE))</f>
        <v/>
      </c>
      <c r="B470" s="145" t="str">
        <f>IF(C470="","",VLOOKUP('Opći dio'!$C$3,'Opći dio'!$L$6:$U$136,9,FALSE))</f>
        <v/>
      </c>
      <c r="C470" s="151"/>
      <c r="D470" s="146" t="str">
        <f t="shared" si="62"/>
        <v/>
      </c>
      <c r="E470" s="151"/>
      <c r="F470" s="146" t="str">
        <f t="shared" si="63"/>
        <v/>
      </c>
      <c r="G470" s="186"/>
      <c r="H470" s="146" t="str">
        <f t="shared" si="64"/>
        <v/>
      </c>
      <c r="I470" s="185"/>
      <c r="J470" s="185"/>
      <c r="K470" s="185"/>
      <c r="M470" s="141" t="str">
        <f t="shared" si="65"/>
        <v/>
      </c>
      <c r="N470" s="141" t="str">
        <f t="shared" si="66"/>
        <v/>
      </c>
    </row>
    <row r="471" spans="1:14">
      <c r="A471" s="145" t="str">
        <f>IF(C471="","",VLOOKUP('Opći dio'!$C$3,'Opći dio'!$L$6:$U$136,10,FALSE))</f>
        <v/>
      </c>
      <c r="B471" s="145" t="str">
        <f>IF(C471="","",VLOOKUP('Opći dio'!$C$3,'Opći dio'!$L$6:$U$136,9,FALSE))</f>
        <v/>
      </c>
      <c r="C471" s="151"/>
      <c r="D471" s="146" t="str">
        <f t="shared" si="62"/>
        <v/>
      </c>
      <c r="E471" s="151"/>
      <c r="F471" s="146" t="str">
        <f t="shared" si="63"/>
        <v/>
      </c>
      <c r="G471" s="186"/>
      <c r="H471" s="146" t="str">
        <f t="shared" si="64"/>
        <v/>
      </c>
      <c r="I471" s="185"/>
      <c r="J471" s="185"/>
      <c r="K471" s="185"/>
      <c r="M471" s="141" t="str">
        <f t="shared" si="65"/>
        <v/>
      </c>
      <c r="N471" s="141" t="str">
        <f t="shared" si="66"/>
        <v/>
      </c>
    </row>
    <row r="472" spans="1:14">
      <c r="A472" s="145" t="str">
        <f>IF(C472="","",VLOOKUP('Opći dio'!$C$3,'Opći dio'!$L$6:$U$136,10,FALSE))</f>
        <v/>
      </c>
      <c r="B472" s="145" t="str">
        <f>IF(C472="","",VLOOKUP('Opći dio'!$C$3,'Opći dio'!$L$6:$U$136,9,FALSE))</f>
        <v/>
      </c>
      <c r="C472" s="151"/>
      <c r="D472" s="146" t="str">
        <f t="shared" si="62"/>
        <v/>
      </c>
      <c r="E472" s="151"/>
      <c r="F472" s="146" t="str">
        <f t="shared" si="63"/>
        <v/>
      </c>
      <c r="G472" s="186"/>
      <c r="H472" s="146" t="str">
        <f t="shared" si="64"/>
        <v/>
      </c>
      <c r="I472" s="185"/>
      <c r="J472" s="185"/>
      <c r="K472" s="185"/>
      <c r="M472" s="141" t="str">
        <f t="shared" si="65"/>
        <v/>
      </c>
      <c r="N472" s="141" t="str">
        <f t="shared" si="66"/>
        <v/>
      </c>
    </row>
    <row r="473" spans="1:14">
      <c r="A473" s="145" t="str">
        <f>IF(C473="","",VLOOKUP('Opći dio'!$C$3,'Opći dio'!$L$6:$U$136,10,FALSE))</f>
        <v/>
      </c>
      <c r="B473" s="145" t="str">
        <f>IF(C473="","",VLOOKUP('Opći dio'!$C$3,'Opći dio'!$L$6:$U$136,9,FALSE))</f>
        <v/>
      </c>
      <c r="C473" s="151"/>
      <c r="D473" s="146" t="str">
        <f t="shared" si="62"/>
        <v/>
      </c>
      <c r="E473" s="151"/>
      <c r="F473" s="146" t="str">
        <f t="shared" si="63"/>
        <v/>
      </c>
      <c r="G473" s="186"/>
      <c r="H473" s="146" t="str">
        <f t="shared" si="64"/>
        <v/>
      </c>
      <c r="I473" s="185"/>
      <c r="J473" s="185"/>
      <c r="K473" s="185"/>
      <c r="M473" s="141" t="str">
        <f t="shared" si="65"/>
        <v/>
      </c>
      <c r="N473" s="141" t="str">
        <f t="shared" si="66"/>
        <v/>
      </c>
    </row>
    <row r="474" spans="1:14">
      <c r="A474" s="145" t="str">
        <f>IF(C474="","",VLOOKUP('Opći dio'!$C$3,'Opći dio'!$L$6:$U$136,10,FALSE))</f>
        <v/>
      </c>
      <c r="B474" s="145" t="str">
        <f>IF(C474="","",VLOOKUP('Opći dio'!$C$3,'Opći dio'!$L$6:$U$136,9,FALSE))</f>
        <v/>
      </c>
      <c r="C474" s="151"/>
      <c r="D474" s="146" t="str">
        <f t="shared" si="62"/>
        <v/>
      </c>
      <c r="E474" s="151"/>
      <c r="F474" s="146" t="str">
        <f t="shared" si="63"/>
        <v/>
      </c>
      <c r="G474" s="186"/>
      <c r="H474" s="146" t="str">
        <f t="shared" si="64"/>
        <v/>
      </c>
      <c r="I474" s="185"/>
      <c r="J474" s="185"/>
      <c r="K474" s="185"/>
      <c r="M474" s="141" t="str">
        <f t="shared" si="65"/>
        <v/>
      </c>
      <c r="N474" s="141" t="str">
        <f t="shared" si="66"/>
        <v/>
      </c>
    </row>
    <row r="475" spans="1:14">
      <c r="A475" s="145" t="str">
        <f>IF(C475="","",VLOOKUP('Opći dio'!$C$3,'Opći dio'!$L$6:$U$136,10,FALSE))</f>
        <v/>
      </c>
      <c r="B475" s="145" t="str">
        <f>IF(C475="","",VLOOKUP('Opći dio'!$C$3,'Opći dio'!$L$6:$U$136,9,FALSE))</f>
        <v/>
      </c>
      <c r="C475" s="151"/>
      <c r="D475" s="146" t="str">
        <f t="shared" si="62"/>
        <v/>
      </c>
      <c r="E475" s="151"/>
      <c r="F475" s="146" t="str">
        <f t="shared" si="63"/>
        <v/>
      </c>
      <c r="G475" s="186"/>
      <c r="H475" s="146" t="str">
        <f t="shared" si="64"/>
        <v/>
      </c>
      <c r="I475" s="185"/>
      <c r="J475" s="185"/>
      <c r="K475" s="185"/>
      <c r="M475" s="141" t="str">
        <f t="shared" si="65"/>
        <v/>
      </c>
      <c r="N475" s="141" t="str">
        <f t="shared" si="66"/>
        <v/>
      </c>
    </row>
    <row r="476" spans="1:14">
      <c r="A476" s="145" t="str">
        <f>IF(C476="","",VLOOKUP('Opći dio'!$C$3,'Opći dio'!$L$6:$U$136,10,FALSE))</f>
        <v/>
      </c>
      <c r="B476" s="145" t="str">
        <f>IF(C476="","",VLOOKUP('Opći dio'!$C$3,'Opći dio'!$L$6:$U$136,9,FALSE))</f>
        <v/>
      </c>
      <c r="C476" s="151"/>
      <c r="D476" s="146" t="str">
        <f t="shared" si="62"/>
        <v/>
      </c>
      <c r="E476" s="151"/>
      <c r="F476" s="146" t="str">
        <f t="shared" si="63"/>
        <v/>
      </c>
      <c r="G476" s="186"/>
      <c r="H476" s="146" t="str">
        <f t="shared" si="64"/>
        <v/>
      </c>
      <c r="I476" s="185"/>
      <c r="J476" s="185"/>
      <c r="K476" s="185"/>
      <c r="M476" s="141" t="str">
        <f t="shared" si="65"/>
        <v/>
      </c>
      <c r="N476" s="141" t="str">
        <f t="shared" si="66"/>
        <v/>
      </c>
    </row>
    <row r="477" spans="1:14">
      <c r="A477" s="145" t="str">
        <f>IF(C477="","",VLOOKUP('Opći dio'!$C$3,'Opći dio'!$L$6:$U$136,10,FALSE))</f>
        <v/>
      </c>
      <c r="B477" s="145" t="str">
        <f>IF(C477="","",VLOOKUP('Opći dio'!$C$3,'Opći dio'!$L$6:$U$136,9,FALSE))</f>
        <v/>
      </c>
      <c r="C477" s="151"/>
      <c r="D477" s="146" t="str">
        <f t="shared" si="62"/>
        <v/>
      </c>
      <c r="E477" s="151"/>
      <c r="F477" s="146" t="str">
        <f t="shared" si="63"/>
        <v/>
      </c>
      <c r="G477" s="186"/>
      <c r="H477" s="146" t="str">
        <f t="shared" si="64"/>
        <v/>
      </c>
      <c r="I477" s="185"/>
      <c r="J477" s="185"/>
      <c r="K477" s="185"/>
      <c r="M477" s="141" t="str">
        <f t="shared" si="65"/>
        <v/>
      </c>
      <c r="N477" s="141" t="str">
        <f t="shared" si="66"/>
        <v/>
      </c>
    </row>
    <row r="478" spans="1:14">
      <c r="A478" s="145" t="str">
        <f>IF(C478="","",VLOOKUP('Opći dio'!$C$3,'Opći dio'!$L$6:$U$136,10,FALSE))</f>
        <v/>
      </c>
      <c r="B478" s="145" t="str">
        <f>IF(C478="","",VLOOKUP('Opći dio'!$C$3,'Opći dio'!$L$6:$U$136,9,FALSE))</f>
        <v/>
      </c>
      <c r="C478" s="151"/>
      <c r="D478" s="146" t="str">
        <f t="shared" si="62"/>
        <v/>
      </c>
      <c r="E478" s="151"/>
      <c r="F478" s="146" t="str">
        <f t="shared" si="63"/>
        <v/>
      </c>
      <c r="G478" s="186"/>
      <c r="H478" s="146" t="str">
        <f t="shared" si="64"/>
        <v/>
      </c>
      <c r="I478" s="185"/>
      <c r="J478" s="185"/>
      <c r="K478" s="185"/>
      <c r="M478" s="141" t="str">
        <f t="shared" si="65"/>
        <v/>
      </c>
      <c r="N478" s="141" t="str">
        <f t="shared" si="66"/>
        <v/>
      </c>
    </row>
    <row r="479" spans="1:14">
      <c r="A479" s="145" t="str">
        <f>IF(C479="","",VLOOKUP('Opći dio'!$C$3,'Opći dio'!$L$6:$U$136,10,FALSE))</f>
        <v/>
      </c>
      <c r="B479" s="145" t="str">
        <f>IF(C479="","",VLOOKUP('Opći dio'!$C$3,'Opći dio'!$L$6:$U$136,9,FALSE))</f>
        <v/>
      </c>
      <c r="C479" s="151"/>
      <c r="D479" s="146" t="str">
        <f t="shared" si="62"/>
        <v/>
      </c>
      <c r="E479" s="151"/>
      <c r="F479" s="146" t="str">
        <f t="shared" si="63"/>
        <v/>
      </c>
      <c r="G479" s="186"/>
      <c r="H479" s="146" t="str">
        <f t="shared" si="64"/>
        <v/>
      </c>
      <c r="I479" s="185"/>
      <c r="J479" s="185"/>
      <c r="K479" s="185"/>
      <c r="M479" s="141" t="str">
        <f t="shared" si="65"/>
        <v/>
      </c>
      <c r="N479" s="141" t="str">
        <f t="shared" si="66"/>
        <v/>
      </c>
    </row>
    <row r="480" spans="1:14">
      <c r="A480" s="145" t="str">
        <f>IF(C480="","",VLOOKUP('Opći dio'!$C$3,'Opći dio'!$L$6:$U$136,10,FALSE))</f>
        <v/>
      </c>
      <c r="B480" s="145" t="str">
        <f>IF(C480="","",VLOOKUP('Opći dio'!$C$3,'Opći dio'!$L$6:$U$136,9,FALSE))</f>
        <v/>
      </c>
      <c r="C480" s="151"/>
      <c r="D480" s="146" t="str">
        <f t="shared" si="62"/>
        <v/>
      </c>
      <c r="E480" s="151"/>
      <c r="F480" s="146" t="str">
        <f t="shared" si="63"/>
        <v/>
      </c>
      <c r="G480" s="186"/>
      <c r="H480" s="146" t="str">
        <f t="shared" si="64"/>
        <v/>
      </c>
      <c r="I480" s="185"/>
      <c r="J480" s="185"/>
      <c r="K480" s="185"/>
      <c r="M480" s="141" t="str">
        <f t="shared" si="65"/>
        <v/>
      </c>
      <c r="N480" s="141" t="str">
        <f t="shared" si="66"/>
        <v/>
      </c>
    </row>
    <row r="481" spans="1:14">
      <c r="A481" s="145" t="str">
        <f>IF(C481="","",VLOOKUP('Opći dio'!$C$3,'Opći dio'!$L$6:$U$136,10,FALSE))</f>
        <v/>
      </c>
      <c r="B481" s="145" t="str">
        <f>IF(C481="","",VLOOKUP('Opći dio'!$C$3,'Opći dio'!$L$6:$U$136,9,FALSE))</f>
        <v/>
      </c>
      <c r="C481" s="151"/>
      <c r="D481" s="146" t="str">
        <f t="shared" si="62"/>
        <v/>
      </c>
      <c r="E481" s="151"/>
      <c r="F481" s="146" t="str">
        <f t="shared" si="63"/>
        <v/>
      </c>
      <c r="G481" s="186"/>
      <c r="H481" s="146" t="str">
        <f t="shared" si="64"/>
        <v/>
      </c>
      <c r="I481" s="185"/>
      <c r="J481" s="185"/>
      <c r="K481" s="185"/>
      <c r="M481" s="141" t="str">
        <f t="shared" si="65"/>
        <v/>
      </c>
      <c r="N481" s="141" t="str">
        <f t="shared" si="66"/>
        <v/>
      </c>
    </row>
    <row r="482" spans="1:14">
      <c r="A482" s="145" t="str">
        <f>IF(C482="","",VLOOKUP('Opći dio'!$C$3,'Opći dio'!$L$6:$U$136,10,FALSE))</f>
        <v/>
      </c>
      <c r="B482" s="145" t="str">
        <f>IF(C482="","",VLOOKUP('Opći dio'!$C$3,'Opći dio'!$L$6:$U$136,9,FALSE))</f>
        <v/>
      </c>
      <c r="C482" s="151"/>
      <c r="D482" s="146" t="str">
        <f t="shared" si="62"/>
        <v/>
      </c>
      <c r="E482" s="151"/>
      <c r="F482" s="146" t="str">
        <f t="shared" si="63"/>
        <v/>
      </c>
      <c r="G482" s="186"/>
      <c r="H482" s="146" t="str">
        <f t="shared" si="64"/>
        <v/>
      </c>
      <c r="I482" s="185"/>
      <c r="J482" s="185"/>
      <c r="K482" s="185"/>
      <c r="M482" s="141" t="str">
        <f t="shared" si="65"/>
        <v/>
      </c>
      <c r="N482" s="141" t="str">
        <f t="shared" si="66"/>
        <v/>
      </c>
    </row>
    <row r="483" spans="1:14">
      <c r="A483" s="145" t="str">
        <f>IF(C483="","",VLOOKUP('Opći dio'!$C$3,'Opći dio'!$L$6:$U$136,10,FALSE))</f>
        <v/>
      </c>
      <c r="B483" s="145" t="str">
        <f>IF(C483="","",VLOOKUP('Opći dio'!$C$3,'Opći dio'!$L$6:$U$136,9,FALSE))</f>
        <v/>
      </c>
      <c r="C483" s="151"/>
      <c r="D483" s="146" t="str">
        <f t="shared" si="62"/>
        <v/>
      </c>
      <c r="E483" s="151"/>
      <c r="F483" s="146" t="str">
        <f t="shared" si="63"/>
        <v/>
      </c>
      <c r="G483" s="186"/>
      <c r="H483" s="146" t="str">
        <f t="shared" si="64"/>
        <v/>
      </c>
      <c r="I483" s="185"/>
      <c r="J483" s="185"/>
      <c r="K483" s="185"/>
      <c r="M483" s="141" t="str">
        <f t="shared" si="65"/>
        <v/>
      </c>
      <c r="N483" s="141" t="str">
        <f t="shared" si="66"/>
        <v/>
      </c>
    </row>
    <row r="484" spans="1:14">
      <c r="A484" s="145" t="str">
        <f>IF(C484="","",VLOOKUP('Opći dio'!$C$3,'Opći dio'!$L$6:$U$136,10,FALSE))</f>
        <v/>
      </c>
      <c r="B484" s="145" t="str">
        <f>IF(C484="","",VLOOKUP('Opći dio'!$C$3,'Opći dio'!$L$6:$U$136,9,FALSE))</f>
        <v/>
      </c>
      <c r="C484" s="151"/>
      <c r="D484" s="146" t="str">
        <f t="shared" si="62"/>
        <v/>
      </c>
      <c r="E484" s="151"/>
      <c r="F484" s="146" t="str">
        <f t="shared" si="63"/>
        <v/>
      </c>
      <c r="G484" s="186"/>
      <c r="H484" s="146" t="str">
        <f t="shared" si="64"/>
        <v/>
      </c>
      <c r="I484" s="185"/>
      <c r="J484" s="185"/>
      <c r="K484" s="185"/>
      <c r="M484" s="141" t="str">
        <f t="shared" si="65"/>
        <v/>
      </c>
      <c r="N484" s="141" t="str">
        <f t="shared" si="66"/>
        <v/>
      </c>
    </row>
    <row r="485" spans="1:14">
      <c r="A485" s="145" t="str">
        <f>IF(C485="","",VLOOKUP('Opći dio'!$C$3,'Opći dio'!$L$6:$U$136,10,FALSE))</f>
        <v/>
      </c>
      <c r="B485" s="145" t="str">
        <f>IF(C485="","",VLOOKUP('Opći dio'!$C$3,'Opći dio'!$L$6:$U$136,9,FALSE))</f>
        <v/>
      </c>
      <c r="C485" s="151"/>
      <c r="D485" s="146" t="str">
        <f t="shared" si="62"/>
        <v/>
      </c>
      <c r="E485" s="151"/>
      <c r="F485" s="146" t="str">
        <f t="shared" si="63"/>
        <v/>
      </c>
      <c r="G485" s="186"/>
      <c r="H485" s="146" t="str">
        <f t="shared" si="64"/>
        <v/>
      </c>
      <c r="I485" s="185"/>
      <c r="J485" s="185"/>
      <c r="K485" s="185"/>
      <c r="M485" s="141" t="str">
        <f t="shared" si="65"/>
        <v/>
      </c>
      <c r="N485" s="141" t="str">
        <f t="shared" si="66"/>
        <v/>
      </c>
    </row>
    <row r="486" spans="1:14">
      <c r="A486" s="145" t="str">
        <f>IF(C486="","",VLOOKUP('Opći dio'!$C$3,'Opći dio'!$L$6:$U$136,10,FALSE))</f>
        <v/>
      </c>
      <c r="B486" s="145" t="str">
        <f>IF(C486="","",VLOOKUP('Opći dio'!$C$3,'Opći dio'!$L$6:$U$136,9,FALSE))</f>
        <v/>
      </c>
      <c r="C486" s="151"/>
      <c r="D486" s="146" t="str">
        <f t="shared" si="62"/>
        <v/>
      </c>
      <c r="E486" s="151"/>
      <c r="F486" s="146" t="str">
        <f t="shared" si="63"/>
        <v/>
      </c>
      <c r="G486" s="186"/>
      <c r="H486" s="146" t="str">
        <f t="shared" si="64"/>
        <v/>
      </c>
      <c r="I486" s="185"/>
      <c r="J486" s="185"/>
      <c r="K486" s="185"/>
      <c r="M486" s="141" t="str">
        <f t="shared" si="65"/>
        <v/>
      </c>
      <c r="N486" s="141" t="str">
        <f t="shared" si="66"/>
        <v/>
      </c>
    </row>
    <row r="487" spans="1:14">
      <c r="A487" s="145" t="str">
        <f>IF(C487="","",VLOOKUP('Opći dio'!$C$3,'Opći dio'!$L$6:$U$136,10,FALSE))</f>
        <v/>
      </c>
      <c r="B487" s="145" t="str">
        <f>IF(C487="","",VLOOKUP('Opći dio'!$C$3,'Opći dio'!$L$6:$U$136,9,FALSE))</f>
        <v/>
      </c>
      <c r="C487" s="151"/>
      <c r="D487" s="146" t="str">
        <f t="shared" si="62"/>
        <v/>
      </c>
      <c r="E487" s="151"/>
      <c r="F487" s="146" t="str">
        <f t="shared" si="63"/>
        <v/>
      </c>
      <c r="G487" s="186"/>
      <c r="H487" s="146" t="str">
        <f t="shared" si="64"/>
        <v/>
      </c>
      <c r="I487" s="185"/>
      <c r="J487" s="185"/>
      <c r="K487" s="185"/>
      <c r="M487" s="141" t="str">
        <f t="shared" si="65"/>
        <v/>
      </c>
      <c r="N487" s="141" t="str">
        <f t="shared" si="66"/>
        <v/>
      </c>
    </row>
    <row r="488" spans="1:14">
      <c r="A488" s="145" t="str">
        <f>IF(C488="","",VLOOKUP('Opći dio'!$C$3,'Opći dio'!$L$6:$U$136,10,FALSE))</f>
        <v/>
      </c>
      <c r="B488" s="145" t="str">
        <f>IF(C488="","",VLOOKUP('Opći dio'!$C$3,'Opći dio'!$L$6:$U$136,9,FALSE))</f>
        <v/>
      </c>
      <c r="C488" s="151"/>
      <c r="D488" s="146" t="str">
        <f t="shared" si="62"/>
        <v/>
      </c>
      <c r="E488" s="151"/>
      <c r="F488" s="146" t="str">
        <f t="shared" si="63"/>
        <v/>
      </c>
      <c r="G488" s="186"/>
      <c r="H488" s="146" t="str">
        <f t="shared" si="64"/>
        <v/>
      </c>
      <c r="I488" s="185"/>
      <c r="J488" s="185"/>
      <c r="K488" s="185"/>
      <c r="M488" s="141" t="str">
        <f t="shared" si="65"/>
        <v/>
      </c>
      <c r="N488" s="141" t="str">
        <f t="shared" si="66"/>
        <v/>
      </c>
    </row>
    <row r="489" spans="1:14">
      <c r="A489" s="145" t="str">
        <f>IF(C489="","",VLOOKUP('Opći dio'!$C$3,'Opći dio'!$L$6:$U$136,10,FALSE))</f>
        <v/>
      </c>
      <c r="B489" s="145" t="str">
        <f>IF(C489="","",VLOOKUP('Opći dio'!$C$3,'Opći dio'!$L$6:$U$136,9,FALSE))</f>
        <v/>
      </c>
      <c r="C489" s="151"/>
      <c r="D489" s="146" t="str">
        <f t="shared" si="62"/>
        <v/>
      </c>
      <c r="E489" s="151"/>
      <c r="F489" s="146" t="str">
        <f t="shared" si="63"/>
        <v/>
      </c>
      <c r="G489" s="186"/>
      <c r="H489" s="146" t="str">
        <f t="shared" si="64"/>
        <v/>
      </c>
      <c r="I489" s="185"/>
      <c r="J489" s="185"/>
      <c r="K489" s="185"/>
      <c r="M489" s="141" t="str">
        <f t="shared" si="65"/>
        <v/>
      </c>
      <c r="N489" s="141" t="str">
        <f t="shared" si="66"/>
        <v/>
      </c>
    </row>
    <row r="490" spans="1:14">
      <c r="A490" s="145" t="str">
        <f>IF(C490="","",VLOOKUP('Opći dio'!$C$3,'Opći dio'!$L$6:$U$136,10,FALSE))</f>
        <v/>
      </c>
      <c r="B490" s="145" t="str">
        <f>IF(C490="","",VLOOKUP('Opći dio'!$C$3,'Opći dio'!$L$6:$U$136,9,FALSE))</f>
        <v/>
      </c>
      <c r="C490" s="151"/>
      <c r="D490" s="146" t="str">
        <f t="shared" si="62"/>
        <v/>
      </c>
      <c r="E490" s="151"/>
      <c r="F490" s="146" t="str">
        <f t="shared" si="63"/>
        <v/>
      </c>
      <c r="G490" s="186"/>
      <c r="H490" s="146" t="str">
        <f t="shared" si="64"/>
        <v/>
      </c>
      <c r="I490" s="185"/>
      <c r="J490" s="185"/>
      <c r="K490" s="185"/>
      <c r="M490" s="141" t="str">
        <f t="shared" si="65"/>
        <v/>
      </c>
      <c r="N490" s="141" t="str">
        <f t="shared" si="66"/>
        <v/>
      </c>
    </row>
    <row r="491" spans="1:14">
      <c r="A491" s="145" t="str">
        <f>IF(C491="","",VLOOKUP('Opći dio'!$C$3,'Opći dio'!$L$6:$U$136,10,FALSE))</f>
        <v/>
      </c>
      <c r="B491" s="145" t="str">
        <f>IF(C491="","",VLOOKUP('Opći dio'!$C$3,'Opći dio'!$L$6:$U$136,9,FALSE))</f>
        <v/>
      </c>
      <c r="C491" s="151"/>
      <c r="D491" s="146" t="str">
        <f t="shared" si="62"/>
        <v/>
      </c>
      <c r="E491" s="151"/>
      <c r="F491" s="146" t="str">
        <f t="shared" si="63"/>
        <v/>
      </c>
      <c r="G491" s="186"/>
      <c r="H491" s="146" t="str">
        <f t="shared" si="64"/>
        <v/>
      </c>
      <c r="I491" s="185"/>
      <c r="J491" s="185"/>
      <c r="K491" s="185"/>
      <c r="M491" s="141" t="str">
        <f t="shared" si="65"/>
        <v/>
      </c>
      <c r="N491" s="141" t="str">
        <f t="shared" si="66"/>
        <v/>
      </c>
    </row>
    <row r="492" spans="1:14">
      <c r="A492" s="145" t="str">
        <f>IF(C492="","",VLOOKUP('Opći dio'!$C$3,'Opći dio'!$L$6:$U$136,10,FALSE))</f>
        <v/>
      </c>
      <c r="B492" s="145" t="str">
        <f>IF(C492="","",VLOOKUP('Opći dio'!$C$3,'Opći dio'!$L$6:$U$136,9,FALSE))</f>
        <v/>
      </c>
      <c r="C492" s="151"/>
      <c r="D492" s="146" t="str">
        <f t="shared" si="62"/>
        <v/>
      </c>
      <c r="E492" s="151"/>
      <c r="F492" s="146" t="str">
        <f t="shared" si="63"/>
        <v/>
      </c>
      <c r="G492" s="186"/>
      <c r="H492" s="146" t="str">
        <f t="shared" si="64"/>
        <v/>
      </c>
      <c r="I492" s="185"/>
      <c r="J492" s="185"/>
      <c r="K492" s="185"/>
      <c r="M492" s="141" t="str">
        <f t="shared" si="65"/>
        <v/>
      </c>
      <c r="N492" s="141" t="str">
        <f t="shared" si="66"/>
        <v/>
      </c>
    </row>
    <row r="493" spans="1:14">
      <c r="A493" s="145" t="str">
        <f>IF(C493="","",VLOOKUP('Opći dio'!$C$3,'Opći dio'!$L$6:$U$136,10,FALSE))</f>
        <v/>
      </c>
      <c r="B493" s="145" t="str">
        <f>IF(C493="","",VLOOKUP('Opći dio'!$C$3,'Opći dio'!$L$6:$U$136,9,FALSE))</f>
        <v/>
      </c>
      <c r="C493" s="151"/>
      <c r="D493" s="146" t="str">
        <f t="shared" si="62"/>
        <v/>
      </c>
      <c r="E493" s="151"/>
      <c r="F493" s="146" t="str">
        <f t="shared" si="63"/>
        <v/>
      </c>
      <c r="G493" s="186"/>
      <c r="H493" s="146" t="str">
        <f t="shared" si="64"/>
        <v/>
      </c>
      <c r="I493" s="185"/>
      <c r="J493" s="185"/>
      <c r="K493" s="185"/>
      <c r="M493" s="141" t="str">
        <f t="shared" si="65"/>
        <v/>
      </c>
      <c r="N493" s="141" t="str">
        <f t="shared" si="66"/>
        <v/>
      </c>
    </row>
    <row r="494" spans="1:14">
      <c r="A494" s="145" t="str">
        <f>IF(C494="","",VLOOKUP('Opći dio'!$C$3,'Opći dio'!$L$6:$U$136,10,FALSE))</f>
        <v/>
      </c>
      <c r="B494" s="145" t="str">
        <f>IF(C494="","",VLOOKUP('Opći dio'!$C$3,'Opći dio'!$L$6:$U$136,9,FALSE))</f>
        <v/>
      </c>
      <c r="C494" s="151"/>
      <c r="D494" s="146" t="str">
        <f t="shared" si="62"/>
        <v/>
      </c>
      <c r="E494" s="151"/>
      <c r="F494" s="146" t="str">
        <f t="shared" si="63"/>
        <v/>
      </c>
      <c r="G494" s="186"/>
      <c r="H494" s="146" t="str">
        <f t="shared" si="64"/>
        <v/>
      </c>
      <c r="I494" s="185"/>
      <c r="J494" s="185"/>
      <c r="K494" s="185"/>
      <c r="M494" s="141" t="str">
        <f t="shared" si="65"/>
        <v/>
      </c>
      <c r="N494" s="141" t="str">
        <f t="shared" si="66"/>
        <v/>
      </c>
    </row>
    <row r="495" spans="1:14">
      <c r="A495" s="145" t="str">
        <f>IF(C495="","",VLOOKUP('Opći dio'!$C$3,'Opći dio'!$L$6:$U$136,10,FALSE))</f>
        <v/>
      </c>
      <c r="B495" s="145" t="str">
        <f>IF(C495="","",VLOOKUP('Opći dio'!$C$3,'Opći dio'!$L$6:$U$136,9,FALSE))</f>
        <v/>
      </c>
      <c r="C495" s="151"/>
      <c r="D495" s="146" t="str">
        <f t="shared" si="62"/>
        <v/>
      </c>
      <c r="E495" s="151"/>
      <c r="F495" s="146" t="str">
        <f t="shared" si="63"/>
        <v/>
      </c>
      <c r="G495" s="186"/>
      <c r="H495" s="146" t="str">
        <f t="shared" si="64"/>
        <v/>
      </c>
      <c r="I495" s="185"/>
      <c r="J495" s="185"/>
      <c r="K495" s="185"/>
      <c r="M495" s="141" t="str">
        <f t="shared" si="65"/>
        <v/>
      </c>
      <c r="N495" s="141" t="str">
        <f t="shared" si="66"/>
        <v/>
      </c>
    </row>
    <row r="496" spans="1:14">
      <c r="A496" s="145" t="str">
        <f>IF(C496="","",VLOOKUP('Opći dio'!$C$3,'Opći dio'!$L$6:$U$136,10,FALSE))</f>
        <v/>
      </c>
      <c r="B496" s="145" t="str">
        <f>IF(C496="","",VLOOKUP('Opći dio'!$C$3,'Opći dio'!$L$6:$U$136,9,FALSE))</f>
        <v/>
      </c>
      <c r="C496" s="151"/>
      <c r="D496" s="146" t="str">
        <f t="shared" si="62"/>
        <v/>
      </c>
      <c r="E496" s="151"/>
      <c r="F496" s="146" t="str">
        <f t="shared" si="63"/>
        <v/>
      </c>
      <c r="G496" s="186"/>
      <c r="H496" s="146" t="str">
        <f t="shared" si="64"/>
        <v/>
      </c>
      <c r="I496" s="185"/>
      <c r="J496" s="185"/>
      <c r="K496" s="185"/>
      <c r="M496" s="141" t="str">
        <f t="shared" si="65"/>
        <v/>
      </c>
      <c r="N496" s="141" t="str">
        <f t="shared" si="66"/>
        <v/>
      </c>
    </row>
    <row r="497" spans="1:14">
      <c r="A497" s="145" t="str">
        <f>IF(C497="","",VLOOKUP('Opći dio'!$C$3,'Opći dio'!$L$6:$U$136,10,FALSE))</f>
        <v/>
      </c>
      <c r="B497" s="145" t="str">
        <f>IF(C497="","",VLOOKUP('Opći dio'!$C$3,'Opći dio'!$L$6:$U$136,9,FALSE))</f>
        <v/>
      </c>
      <c r="C497" s="151"/>
      <c r="D497" s="146" t="str">
        <f t="shared" si="62"/>
        <v/>
      </c>
      <c r="E497" s="151"/>
      <c r="F497" s="146" t="str">
        <f t="shared" si="63"/>
        <v/>
      </c>
      <c r="G497" s="186"/>
      <c r="H497" s="146" t="str">
        <f t="shared" si="64"/>
        <v/>
      </c>
      <c r="I497" s="185"/>
      <c r="J497" s="185"/>
      <c r="K497" s="185"/>
      <c r="M497" s="141" t="str">
        <f t="shared" si="65"/>
        <v/>
      </c>
      <c r="N497" s="141" t="str">
        <f t="shared" si="66"/>
        <v/>
      </c>
    </row>
    <row r="498" spans="1:14">
      <c r="A498" s="145" t="str">
        <f>IF(C498="","",VLOOKUP('Opći dio'!$C$3,'Opći dio'!$L$6:$U$136,10,FALSE))</f>
        <v/>
      </c>
      <c r="B498" s="145" t="str">
        <f>IF(C498="","",VLOOKUP('Opći dio'!$C$3,'Opći dio'!$L$6:$U$136,9,FALSE))</f>
        <v/>
      </c>
      <c r="C498" s="151"/>
      <c r="D498" s="146" t="str">
        <f t="shared" si="62"/>
        <v/>
      </c>
      <c r="E498" s="151"/>
      <c r="F498" s="146" t="str">
        <f t="shared" si="63"/>
        <v/>
      </c>
      <c r="G498" s="186"/>
      <c r="H498" s="146" t="str">
        <f t="shared" si="64"/>
        <v/>
      </c>
      <c r="I498" s="185"/>
      <c r="J498" s="185"/>
      <c r="K498" s="185"/>
      <c r="M498" s="141" t="str">
        <f t="shared" si="65"/>
        <v/>
      </c>
      <c r="N498" s="141" t="str">
        <f t="shared" si="66"/>
        <v/>
      </c>
    </row>
    <row r="499" spans="1:14">
      <c r="A499" s="145" t="str">
        <f>IF(C499="","",VLOOKUP('Opći dio'!$C$3,'Opći dio'!$L$6:$U$136,10,FALSE))</f>
        <v/>
      </c>
      <c r="B499" s="145" t="str">
        <f>IF(C499="","",VLOOKUP('Opći dio'!$C$3,'Opći dio'!$L$6:$U$136,9,FALSE))</f>
        <v/>
      </c>
      <c r="C499" s="151"/>
      <c r="D499" s="146" t="str">
        <f t="shared" si="62"/>
        <v/>
      </c>
      <c r="E499" s="151"/>
      <c r="F499" s="146" t="str">
        <f t="shared" si="63"/>
        <v/>
      </c>
      <c r="G499" s="186"/>
      <c r="H499" s="146" t="str">
        <f t="shared" si="64"/>
        <v/>
      </c>
      <c r="I499" s="185"/>
      <c r="J499" s="185"/>
      <c r="K499" s="185"/>
      <c r="M499" s="141" t="str">
        <f t="shared" si="65"/>
        <v/>
      </c>
      <c r="N499" s="141" t="str">
        <f t="shared" si="66"/>
        <v/>
      </c>
    </row>
    <row r="500" spans="1:14">
      <c r="A500" s="145" t="str">
        <f>IF(C500="","",VLOOKUP('Opći dio'!$C$3,'Opći dio'!$L$6:$U$136,10,FALSE))</f>
        <v/>
      </c>
      <c r="B500" s="145" t="str">
        <f>IF(C500="","",VLOOKUP('Opći dio'!$C$3,'Opći dio'!$L$6:$U$136,9,FALSE))</f>
        <v/>
      </c>
      <c r="C500" s="151"/>
      <c r="D500" s="146" t="str">
        <f t="shared" si="62"/>
        <v/>
      </c>
      <c r="E500" s="151"/>
      <c r="F500" s="146" t="str">
        <f t="shared" si="63"/>
        <v/>
      </c>
      <c r="G500" s="186"/>
      <c r="H500" s="146" t="str">
        <f t="shared" si="64"/>
        <v/>
      </c>
      <c r="I500" s="185"/>
      <c r="J500" s="185"/>
      <c r="K500" s="185"/>
      <c r="M500" s="141" t="str">
        <f t="shared" si="65"/>
        <v/>
      </c>
      <c r="N500" s="141" t="str">
        <f t="shared" si="66"/>
        <v/>
      </c>
    </row>
    <row r="501" spans="1:14">
      <c r="A501" s="145" t="str">
        <f>IF(C501="","",VLOOKUP('Opći dio'!$C$3,'Opći dio'!$L$6:$U$136,10,FALSE))</f>
        <v/>
      </c>
      <c r="B501" s="145" t="str">
        <f>IF(C501="","",VLOOKUP('Opći dio'!$C$3,'Opći dio'!$L$6:$U$136,9,FALSE))</f>
        <v/>
      </c>
      <c r="C501" s="151"/>
      <c r="D501" s="146" t="str">
        <f t="shared" si="62"/>
        <v/>
      </c>
      <c r="E501" s="151"/>
      <c r="F501" s="146" t="str">
        <f t="shared" si="63"/>
        <v/>
      </c>
      <c r="G501" s="186"/>
      <c r="H501" s="146" t="str">
        <f t="shared" si="64"/>
        <v/>
      </c>
      <c r="I501" s="185"/>
      <c r="J501" s="185"/>
      <c r="K501" s="185"/>
      <c r="M501" s="141" t="str">
        <f t="shared" si="65"/>
        <v/>
      </c>
      <c r="N501" s="141" t="str">
        <f t="shared" si="66"/>
        <v/>
      </c>
    </row>
    <row r="502" spans="1:14"/>
    <row r="503" spans="1:14" hidden="1"/>
    <row r="504" spans="1:14" hidden="1"/>
    <row r="505" spans="1:14" hidden="1"/>
    <row r="506" spans="1:14" hidden="1"/>
    <row r="507" spans="1:14" hidden="1"/>
  </sheetData>
  <sheetProtection password="DE31" sheet="1" objects="1" scenarios="1" selectLockedCells="1"/>
  <sortState ref="X9:Y71">
    <sortCondition ref="X6"/>
  </sortState>
  <mergeCells count="1">
    <mergeCell ref="A1:D1"/>
  </mergeCells>
  <dataValidations count="4">
    <dataValidation type="whole" allowBlank="1" showInputMessage="1" showErrorMessage="1" errorTitle="GREŠKA" error="U ovo polje je dozvoljen unos samo brojčanih vrijednosti (bez decimala!)" sqref="K3:K501 I3:J62 I68:J501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E3:E501">
      <formula1>$R$5:$R$129</formula1>
    </dataValidation>
    <dataValidation type="list" allowBlank="1" showInputMessage="1" showErrorMessage="1" errorTitle="GREŠKA" error="Za unos odaberite vrijednost iz padajućeg izbornika!" prompt="Molimo odaberite vrijednost iz padajućeg izbornika!" sqref="C3:C501">
      <formula1>$O$6:$O$23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G3:G501">
      <formula1>$X$6:$X$177</formula1>
    </dataValidation>
  </dataValidations>
  <pageMargins left="0.70866141732283472" right="0.70866141732283472" top="0.74803149606299213" bottom="0.74803149606299213" header="0.31496062992125984" footer="0.31496062992125984"/>
  <pageSetup paperSize="9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02"/>
  <sheetViews>
    <sheetView showGridLines="0" zoomScaleNormal="100" workbookViewId="0">
      <pane ySplit="2" topLeftCell="A21" activePane="bottomLeft" state="frozen"/>
      <selection pane="bottomLeft" activeCell="A39" sqref="A39"/>
    </sheetView>
  </sheetViews>
  <sheetFormatPr defaultColWidth="9.140625" defaultRowHeight="15" zeroHeight="1"/>
  <cols>
    <col min="1" max="1" width="11.5703125" style="141" customWidth="1"/>
    <col min="2" max="2" width="32.140625" style="141" customWidth="1"/>
    <col min="3" max="3" width="11.28515625" style="141" customWidth="1"/>
    <col min="4" max="4" width="25.42578125" style="141" customWidth="1"/>
    <col min="5" max="5" width="16.42578125" style="141" customWidth="1"/>
    <col min="6" max="6" width="27.140625" style="141" customWidth="1"/>
    <col min="7" max="7" width="16.42578125" style="142" customWidth="1"/>
    <col min="8" max="8" width="15.7109375" style="142" customWidth="1"/>
    <col min="9" max="9" width="15.140625" style="142" customWidth="1"/>
    <col min="10" max="10" width="33.7109375" style="142" customWidth="1"/>
    <col min="11" max="12" width="9.5703125" style="142" customWidth="1"/>
    <col min="13" max="13" width="15.140625" style="142" customWidth="1"/>
    <col min="14" max="14" width="18.28515625" style="142" customWidth="1"/>
    <col min="15" max="15" width="9.140625" style="141" customWidth="1"/>
    <col min="16" max="18" width="9.140625" style="141" hidden="1" customWidth="1"/>
    <col min="19" max="19" width="46.5703125" style="141" hidden="1" customWidth="1"/>
    <col min="20" max="21" width="9.140625" style="141" hidden="1" customWidth="1"/>
    <col min="22" max="22" width="58.85546875" style="141" hidden="1" customWidth="1"/>
    <col min="23" max="26" width="9.140625" style="141" hidden="1" customWidth="1"/>
    <col min="27" max="27" width="14.7109375" style="141" hidden="1" customWidth="1"/>
    <col min="28" max="28" width="9.140625" style="141" hidden="1" customWidth="1"/>
    <col min="29" max="30" width="9.140625" style="141" customWidth="1"/>
    <col min="31" max="16384" width="9.140625" style="141"/>
  </cols>
  <sheetData>
    <row r="1" spans="1:28" ht="35.25" customHeight="1">
      <c r="A1" s="298" t="s">
        <v>792</v>
      </c>
      <c r="B1" s="298"/>
      <c r="C1" s="190" t="str">
        <f>IF('Opći dio'!C3="odaberite -","Molimo odaberite proračunskog korisnika na radnom listu Opći podaci!","")</f>
        <v/>
      </c>
    </row>
    <row r="2" spans="1:28" ht="60">
      <c r="A2" s="202" t="s">
        <v>786</v>
      </c>
      <c r="B2" s="203" t="s">
        <v>46</v>
      </c>
      <c r="C2" s="202" t="s">
        <v>784</v>
      </c>
      <c r="D2" s="203" t="s">
        <v>785</v>
      </c>
      <c r="E2" s="202" t="s">
        <v>793</v>
      </c>
      <c r="F2" s="203" t="s">
        <v>48</v>
      </c>
      <c r="G2" s="192" t="s">
        <v>2141</v>
      </c>
      <c r="H2" s="192" t="s">
        <v>2142</v>
      </c>
      <c r="I2" s="192" t="s">
        <v>2143</v>
      </c>
      <c r="J2" s="204" t="s">
        <v>794</v>
      </c>
      <c r="K2" s="204" t="s">
        <v>795</v>
      </c>
      <c r="L2" s="204" t="s">
        <v>796</v>
      </c>
      <c r="M2" s="204" t="s">
        <v>797</v>
      </c>
      <c r="N2" s="204" t="s">
        <v>798</v>
      </c>
      <c r="P2" s="144" t="s">
        <v>759</v>
      </c>
      <c r="Q2" s="144" t="s">
        <v>760</v>
      </c>
    </row>
    <row r="3" spans="1:28">
      <c r="A3" s="151">
        <v>52</v>
      </c>
      <c r="B3" s="146" t="str">
        <f t="shared" ref="B3" si="0">IFERROR(VLOOKUP(A3,$R$6:$S$23,2,FALSE),"")</f>
        <v>Ostale pomoći</v>
      </c>
      <c r="C3" s="151">
        <v>3111</v>
      </c>
      <c r="D3" s="146" t="str">
        <f>IFERROR(VLOOKUP(C3,$U$5:$W$129,2,FALSE),"")</f>
        <v>Plaće za redovan rad</v>
      </c>
      <c r="E3" s="279" t="s">
        <v>1116</v>
      </c>
      <c r="F3" s="146" t="str">
        <f>IFERROR(VLOOKUP(E3,$AA$5:$AB$500,2,FALSE),"")</f>
        <v>Provedba HKO-a na razini visokog obrazovanja</v>
      </c>
      <c r="G3" s="185">
        <v>75875</v>
      </c>
      <c r="H3" s="185">
        <v>50591</v>
      </c>
      <c r="I3" s="185">
        <v>0</v>
      </c>
      <c r="J3" s="201"/>
      <c r="K3" s="200"/>
      <c r="L3" s="200"/>
      <c r="M3" s="201" t="s">
        <v>2340</v>
      </c>
      <c r="N3" s="280" t="s">
        <v>2341</v>
      </c>
      <c r="P3" s="141" t="str">
        <f>LEFT(C3,3)</f>
        <v>311</v>
      </c>
      <c r="Q3" s="141" t="str">
        <f>LEFT(C3,2)</f>
        <v>31</v>
      </c>
    </row>
    <row r="4" spans="1:28">
      <c r="A4" s="151">
        <v>52</v>
      </c>
      <c r="B4" s="146" t="str">
        <f t="shared" ref="B4:B67" si="1">IFERROR(VLOOKUP(A4,$R$6:$S$23,2,FALSE),"")</f>
        <v>Ostale pomoći</v>
      </c>
      <c r="C4" s="151">
        <v>3132</v>
      </c>
      <c r="D4" s="146" t="str">
        <f t="shared" ref="D4:D67" si="2">IFERROR(VLOOKUP(C4,$U$5:$W$129,2,FALSE),"")</f>
        <v>Doprinosi za obvezno zdravstveno osiguranje</v>
      </c>
      <c r="E4" s="279" t="s">
        <v>1116</v>
      </c>
      <c r="F4" s="146" t="str">
        <f t="shared" ref="F4:F67" si="3">IFERROR(VLOOKUP(E4,$AA$5:$AB$500,2,FALSE),"")</f>
        <v>Provedba HKO-a na razini visokog obrazovanja</v>
      </c>
      <c r="G4" s="185">
        <v>12519</v>
      </c>
      <c r="H4" s="185">
        <v>8348</v>
      </c>
      <c r="I4" s="185">
        <v>0</v>
      </c>
      <c r="J4" s="201"/>
      <c r="K4" s="200"/>
      <c r="L4" s="200"/>
      <c r="M4" s="201" t="s">
        <v>2340</v>
      </c>
      <c r="N4" s="201"/>
      <c r="P4" s="141" t="str">
        <f t="shared" ref="P4:P67" si="4">LEFT(C4,3)</f>
        <v>313</v>
      </c>
      <c r="Q4" s="141" t="str">
        <f t="shared" ref="Q4:Q67" si="5">LEFT(C4,2)</f>
        <v>31</v>
      </c>
      <c r="U4" s="147"/>
      <c r="V4" s="147"/>
    </row>
    <row r="5" spans="1:28">
      <c r="A5" s="151"/>
      <c r="B5" s="146" t="str">
        <f t="shared" si="1"/>
        <v/>
      </c>
      <c r="C5" s="151"/>
      <c r="D5" s="146" t="str">
        <f t="shared" si="2"/>
        <v/>
      </c>
      <c r="E5" s="279"/>
      <c r="F5" s="146" t="str">
        <f t="shared" si="3"/>
        <v/>
      </c>
      <c r="G5" s="185">
        <f>G3+G4</f>
        <v>88394</v>
      </c>
      <c r="H5" s="185">
        <f>H3+H4</f>
        <v>58939</v>
      </c>
      <c r="I5" s="185">
        <v>0</v>
      </c>
      <c r="J5" s="201"/>
      <c r="K5" s="200"/>
      <c r="L5" s="200"/>
      <c r="M5" s="201"/>
      <c r="N5" s="201"/>
      <c r="P5" s="141" t="str">
        <f t="shared" si="4"/>
        <v/>
      </c>
      <c r="Q5" s="141" t="str">
        <f t="shared" si="5"/>
        <v/>
      </c>
      <c r="R5" s="141" t="s">
        <v>45</v>
      </c>
      <c r="S5" s="141" t="s">
        <v>46</v>
      </c>
      <c r="U5" s="141">
        <v>3111</v>
      </c>
      <c r="V5" s="141" t="s">
        <v>54</v>
      </c>
      <c r="X5" s="141" t="str">
        <f t="shared" ref="X5:X68" si="6">LEFT(U5,2)</f>
        <v>31</v>
      </c>
      <c r="Y5" s="141" t="str">
        <f>LEFT(U5,3)</f>
        <v>311</v>
      </c>
      <c r="AA5" s="141" t="s">
        <v>47</v>
      </c>
      <c r="AB5" s="141" t="s">
        <v>48</v>
      </c>
    </row>
    <row r="6" spans="1:28">
      <c r="A6" s="151"/>
      <c r="B6" s="146" t="str">
        <f t="shared" si="1"/>
        <v/>
      </c>
      <c r="C6" s="151"/>
      <c r="D6" s="146" t="str">
        <f t="shared" si="2"/>
        <v/>
      </c>
      <c r="E6" s="279"/>
      <c r="F6" s="146" t="str">
        <f t="shared" si="3"/>
        <v/>
      </c>
      <c r="G6" s="185"/>
      <c r="H6" s="185"/>
      <c r="I6" s="185">
        <v>0</v>
      </c>
      <c r="J6" s="201"/>
      <c r="K6" s="200"/>
      <c r="L6" s="200"/>
      <c r="M6" s="201"/>
      <c r="N6" s="201"/>
      <c r="P6" s="141" t="str">
        <f t="shared" si="4"/>
        <v/>
      </c>
      <c r="Q6" s="141" t="str">
        <f t="shared" si="5"/>
        <v/>
      </c>
      <c r="R6" s="141">
        <v>11</v>
      </c>
      <c r="S6" s="141" t="s">
        <v>53</v>
      </c>
      <c r="U6" s="141">
        <v>3112</v>
      </c>
      <c r="V6" s="141" t="s">
        <v>153</v>
      </c>
      <c r="X6" s="141" t="str">
        <f t="shared" si="6"/>
        <v>31</v>
      </c>
      <c r="Y6" s="141" t="str">
        <f t="shared" ref="Y6:Y69" si="7">LEFT(U6,3)</f>
        <v>311</v>
      </c>
      <c r="AA6" s="141" t="s">
        <v>827</v>
      </c>
      <c r="AB6" s="141" t="s">
        <v>827</v>
      </c>
    </row>
    <row r="7" spans="1:28">
      <c r="A7" s="151"/>
      <c r="B7" s="146" t="str">
        <f t="shared" si="1"/>
        <v/>
      </c>
      <c r="C7" s="151"/>
      <c r="D7" s="146" t="str">
        <f t="shared" si="2"/>
        <v/>
      </c>
      <c r="E7" s="186"/>
      <c r="F7" s="146" t="str">
        <f t="shared" si="3"/>
        <v/>
      </c>
      <c r="G7" s="185"/>
      <c r="H7" s="185"/>
      <c r="I7" s="185">
        <v>0</v>
      </c>
      <c r="J7" s="201"/>
      <c r="K7" s="200"/>
      <c r="L7" s="200"/>
      <c r="M7" s="201"/>
      <c r="N7" s="201"/>
      <c r="P7" s="141" t="str">
        <f t="shared" si="4"/>
        <v/>
      </c>
      <c r="Q7" s="141" t="str">
        <f t="shared" si="5"/>
        <v/>
      </c>
      <c r="R7" s="141">
        <v>12</v>
      </c>
      <c r="S7" s="141" t="s">
        <v>263</v>
      </c>
      <c r="U7" s="141">
        <v>3113</v>
      </c>
      <c r="V7" s="141" t="s">
        <v>132</v>
      </c>
      <c r="X7" s="141" t="str">
        <f t="shared" si="6"/>
        <v>31</v>
      </c>
      <c r="Y7" s="141" t="str">
        <f t="shared" si="7"/>
        <v>311</v>
      </c>
      <c r="AA7" s="141" t="s">
        <v>1447</v>
      </c>
      <c r="AB7" s="141" t="s">
        <v>1448</v>
      </c>
    </row>
    <row r="8" spans="1:28" ht="15.75">
      <c r="A8" s="151">
        <v>51</v>
      </c>
      <c r="B8" s="146" t="str">
        <f t="shared" si="1"/>
        <v>Pomoći EU</v>
      </c>
      <c r="C8" s="151">
        <v>3237</v>
      </c>
      <c r="D8" s="146" t="str">
        <f t="shared" si="2"/>
        <v>Intelektualne i osobne usluge</v>
      </c>
      <c r="E8" s="186" t="s">
        <v>1624</v>
      </c>
      <c r="F8" s="146" t="str">
        <f t="shared" si="3"/>
        <v>H2020 Financijski nadzor i tehnološka usklađenost</v>
      </c>
      <c r="G8" s="185">
        <v>165750</v>
      </c>
      <c r="H8" s="185">
        <v>0</v>
      </c>
      <c r="I8" s="185">
        <v>0</v>
      </c>
      <c r="J8" s="201"/>
      <c r="K8" s="200">
        <v>43466</v>
      </c>
      <c r="L8" s="200" t="s">
        <v>2343</v>
      </c>
      <c r="M8" s="201" t="s">
        <v>2342</v>
      </c>
      <c r="N8" s="281" t="s">
        <v>2344</v>
      </c>
      <c r="P8" s="141" t="str">
        <f t="shared" si="4"/>
        <v>323</v>
      </c>
      <c r="Q8" s="141" t="str">
        <f t="shared" si="5"/>
        <v>32</v>
      </c>
      <c r="R8" s="141">
        <v>31</v>
      </c>
      <c r="S8" s="141" t="s">
        <v>98</v>
      </c>
      <c r="U8" s="141">
        <v>3114</v>
      </c>
      <c r="V8" s="141" t="s">
        <v>154</v>
      </c>
      <c r="X8" s="141" t="str">
        <f t="shared" si="6"/>
        <v>31</v>
      </c>
      <c r="Y8" s="141" t="str">
        <f t="shared" si="7"/>
        <v>311</v>
      </c>
      <c r="AA8" s="141" t="s">
        <v>1449</v>
      </c>
      <c r="AB8" s="141" t="s">
        <v>1450</v>
      </c>
    </row>
    <row r="9" spans="1:28">
      <c r="A9" s="151">
        <v>51</v>
      </c>
      <c r="B9" s="146" t="str">
        <f t="shared" si="1"/>
        <v>Pomoći EU</v>
      </c>
      <c r="C9" s="151">
        <v>3721</v>
      </c>
      <c r="D9" s="146" t="str">
        <f t="shared" si="2"/>
        <v>Naknade građanima i kućanstvima u novcu</v>
      </c>
      <c r="E9" s="186" t="s">
        <v>1624</v>
      </c>
      <c r="F9" s="146" t="str">
        <f t="shared" si="3"/>
        <v>H2020 Financijski nadzor i tehnološka usklađenost</v>
      </c>
      <c r="G9" s="185">
        <v>18750</v>
      </c>
      <c r="H9" s="185">
        <v>0</v>
      </c>
      <c r="I9" s="185">
        <v>0</v>
      </c>
      <c r="J9" s="201"/>
      <c r="K9" s="200">
        <v>43466</v>
      </c>
      <c r="L9" s="200" t="s">
        <v>2343</v>
      </c>
      <c r="M9" s="201" t="s">
        <v>2342</v>
      </c>
      <c r="N9" s="201"/>
      <c r="P9" s="141" t="str">
        <f t="shared" si="4"/>
        <v>372</v>
      </c>
      <c r="Q9" s="141" t="str">
        <f t="shared" si="5"/>
        <v>37</v>
      </c>
      <c r="R9" s="141">
        <v>41</v>
      </c>
      <c r="S9" s="141" t="s">
        <v>1537</v>
      </c>
      <c r="U9" s="141">
        <v>3121</v>
      </c>
      <c r="V9" s="141" t="s">
        <v>57</v>
      </c>
      <c r="X9" s="141" t="str">
        <f t="shared" si="6"/>
        <v>31</v>
      </c>
      <c r="Y9" s="141" t="str">
        <f t="shared" si="7"/>
        <v>312</v>
      </c>
      <c r="AA9" s="141" t="s">
        <v>1451</v>
      </c>
      <c r="AB9" s="141" t="s">
        <v>1452</v>
      </c>
    </row>
    <row r="10" spans="1:28">
      <c r="A10" s="151"/>
      <c r="B10" s="146" t="str">
        <f t="shared" si="1"/>
        <v/>
      </c>
      <c r="C10" s="151"/>
      <c r="D10" s="146" t="str">
        <f t="shared" si="2"/>
        <v/>
      </c>
      <c r="E10" s="186"/>
      <c r="F10" s="146" t="str">
        <f t="shared" si="3"/>
        <v/>
      </c>
      <c r="G10" s="185">
        <v>184500</v>
      </c>
      <c r="H10" s="185">
        <v>0</v>
      </c>
      <c r="I10" s="185">
        <v>0</v>
      </c>
      <c r="J10" s="201"/>
      <c r="K10" s="200"/>
      <c r="L10" s="200"/>
      <c r="M10" s="201"/>
      <c r="N10" s="201"/>
      <c r="P10" s="141" t="str">
        <f t="shared" si="4"/>
        <v/>
      </c>
      <c r="Q10" s="141" t="str">
        <f t="shared" si="5"/>
        <v/>
      </c>
      <c r="R10" s="141">
        <v>43</v>
      </c>
      <c r="S10" s="141" t="s">
        <v>103</v>
      </c>
      <c r="U10" s="195">
        <v>3132</v>
      </c>
      <c r="V10" s="195" t="s">
        <v>58</v>
      </c>
      <c r="W10" s="195"/>
      <c r="X10" s="195" t="str">
        <f t="shared" si="6"/>
        <v>31</v>
      </c>
      <c r="Y10" s="195" t="str">
        <f t="shared" si="7"/>
        <v>313</v>
      </c>
      <c r="AA10" s="141" t="s">
        <v>1453</v>
      </c>
      <c r="AB10" s="141" t="s">
        <v>1454</v>
      </c>
    </row>
    <row r="11" spans="1:28" ht="15.75">
      <c r="A11" s="151">
        <v>51</v>
      </c>
      <c r="B11" s="146" t="str">
        <f t="shared" si="1"/>
        <v>Pomoći EU</v>
      </c>
      <c r="C11" s="151">
        <v>3111</v>
      </c>
      <c r="D11" s="146" t="str">
        <f t="shared" si="2"/>
        <v>Plaće za redovan rad</v>
      </c>
      <c r="E11" s="186" t="s">
        <v>1628</v>
      </c>
      <c r="F11" s="146" t="str">
        <f t="shared" si="3"/>
        <v>ManuFacturing model upravljanja i osposobljavanja za industriju 4.0 u Jadransko-jonskoj regiji</v>
      </c>
      <c r="G11" s="185">
        <v>57900</v>
      </c>
      <c r="H11" s="185">
        <v>0</v>
      </c>
      <c r="I11" s="185">
        <v>0</v>
      </c>
      <c r="J11" s="201"/>
      <c r="K11" s="200"/>
      <c r="L11" s="200"/>
      <c r="M11" s="201" t="s">
        <v>2345</v>
      </c>
      <c r="N11" s="281" t="s">
        <v>2346</v>
      </c>
      <c r="P11" s="141" t="str">
        <f t="shared" si="4"/>
        <v>311</v>
      </c>
      <c r="Q11" s="141" t="str">
        <f t="shared" si="5"/>
        <v>31</v>
      </c>
      <c r="R11" s="141">
        <v>51</v>
      </c>
      <c r="S11" s="141" t="s">
        <v>93</v>
      </c>
      <c r="U11" s="141">
        <v>3211</v>
      </c>
      <c r="V11" s="141" t="s">
        <v>85</v>
      </c>
      <c r="X11" s="141" t="str">
        <f t="shared" si="6"/>
        <v>32</v>
      </c>
      <c r="Y11" s="141" t="str">
        <f t="shared" si="7"/>
        <v>321</v>
      </c>
      <c r="AA11" s="141" t="s">
        <v>1455</v>
      </c>
      <c r="AB11" s="141" t="s">
        <v>1456</v>
      </c>
    </row>
    <row r="12" spans="1:28">
      <c r="A12" s="151">
        <v>51</v>
      </c>
      <c r="B12" s="146" t="str">
        <f t="shared" si="1"/>
        <v>Pomoći EU</v>
      </c>
      <c r="C12" s="151">
        <v>3132</v>
      </c>
      <c r="D12" s="146" t="str">
        <f t="shared" si="2"/>
        <v>Doprinosi za obvezno zdravstveno osiguranje</v>
      </c>
      <c r="E12" s="186" t="s">
        <v>1628</v>
      </c>
      <c r="F12" s="146" t="str">
        <f t="shared" si="3"/>
        <v>ManuFacturing model upravljanja i osposobljavanja za industriju 4.0 u Jadransko-jonskoj regiji</v>
      </c>
      <c r="G12" s="185">
        <v>9600</v>
      </c>
      <c r="H12" s="185">
        <v>0</v>
      </c>
      <c r="I12" s="185">
        <v>0</v>
      </c>
      <c r="J12" s="201"/>
      <c r="K12" s="200"/>
      <c r="L12" s="200"/>
      <c r="M12" s="201" t="s">
        <v>2345</v>
      </c>
      <c r="N12" s="201"/>
      <c r="P12" s="141" t="str">
        <f t="shared" si="4"/>
        <v>313</v>
      </c>
      <c r="Q12" s="141" t="str">
        <f t="shared" si="5"/>
        <v>31</v>
      </c>
      <c r="R12" s="141">
        <v>52</v>
      </c>
      <c r="S12" s="141" t="s">
        <v>116</v>
      </c>
      <c r="U12" s="141">
        <v>3212</v>
      </c>
      <c r="V12" s="141" t="s">
        <v>59</v>
      </c>
      <c r="X12" s="141" t="str">
        <f t="shared" si="6"/>
        <v>32</v>
      </c>
      <c r="Y12" s="141" t="str">
        <f t="shared" si="7"/>
        <v>321</v>
      </c>
      <c r="AA12" s="141" t="s">
        <v>1457</v>
      </c>
      <c r="AB12" s="141" t="s">
        <v>1458</v>
      </c>
    </row>
    <row r="13" spans="1:28">
      <c r="A13" s="151">
        <v>51</v>
      </c>
      <c r="B13" s="146" t="str">
        <f t="shared" si="1"/>
        <v>Pomoći EU</v>
      </c>
      <c r="C13" s="151">
        <v>3221</v>
      </c>
      <c r="D13" s="146" t="str">
        <f t="shared" si="2"/>
        <v>Uredski materijal i ostali materijalni rashodi</v>
      </c>
      <c r="E13" s="186" t="s">
        <v>1628</v>
      </c>
      <c r="F13" s="146" t="str">
        <f t="shared" si="3"/>
        <v>ManuFacturing model upravljanja i osposobljavanja za industriju 4.0 u Jadransko-jonskoj regiji</v>
      </c>
      <c r="G13" s="185">
        <v>7500</v>
      </c>
      <c r="H13" s="185">
        <v>0</v>
      </c>
      <c r="I13" s="185">
        <v>0</v>
      </c>
      <c r="J13" s="201"/>
      <c r="K13" s="200"/>
      <c r="L13" s="200"/>
      <c r="M13" s="201" t="s">
        <v>2345</v>
      </c>
      <c r="N13" s="201"/>
      <c r="P13" s="141" t="str">
        <f t="shared" si="4"/>
        <v>322</v>
      </c>
      <c r="Q13" s="141" t="str">
        <f t="shared" si="5"/>
        <v>32</v>
      </c>
      <c r="R13" s="141">
        <v>552</v>
      </c>
      <c r="S13" s="141" t="s">
        <v>1538</v>
      </c>
      <c r="U13" s="141">
        <v>3213</v>
      </c>
      <c r="V13" s="141" t="s">
        <v>104</v>
      </c>
      <c r="X13" s="141" t="str">
        <f t="shared" si="6"/>
        <v>32</v>
      </c>
      <c r="Y13" s="141" t="str">
        <f t="shared" si="7"/>
        <v>321</v>
      </c>
      <c r="AA13" s="141" t="s">
        <v>1459</v>
      </c>
      <c r="AB13" s="141" t="s">
        <v>1115</v>
      </c>
    </row>
    <row r="14" spans="1:28">
      <c r="A14" s="151">
        <v>51</v>
      </c>
      <c r="B14" s="146" t="str">
        <f t="shared" si="1"/>
        <v>Pomoći EU</v>
      </c>
      <c r="C14" s="151">
        <v>3237</v>
      </c>
      <c r="D14" s="146" t="str">
        <f t="shared" si="2"/>
        <v>Intelektualne i osobne usluge</v>
      </c>
      <c r="E14" s="186" t="s">
        <v>1628</v>
      </c>
      <c r="F14" s="146" t="str">
        <f t="shared" si="3"/>
        <v>ManuFacturing model upravljanja i osposobljavanja za industriju 4.0 u Jadransko-jonskoj regiji</v>
      </c>
      <c r="G14" s="185">
        <v>3750</v>
      </c>
      <c r="H14" s="185">
        <v>0</v>
      </c>
      <c r="I14" s="185">
        <v>0</v>
      </c>
      <c r="J14" s="201"/>
      <c r="K14" s="200"/>
      <c r="L14" s="200"/>
      <c r="M14" s="201" t="s">
        <v>2345</v>
      </c>
      <c r="N14" s="201"/>
      <c r="P14" s="141" t="str">
        <f t="shared" si="4"/>
        <v>323</v>
      </c>
      <c r="Q14" s="141" t="str">
        <f t="shared" si="5"/>
        <v>32</v>
      </c>
      <c r="R14" s="141">
        <v>559</v>
      </c>
      <c r="S14" s="141" t="s">
        <v>1539</v>
      </c>
      <c r="U14" s="141">
        <v>3214</v>
      </c>
      <c r="V14" s="141" t="s">
        <v>133</v>
      </c>
      <c r="X14" s="141" t="str">
        <f t="shared" si="6"/>
        <v>32</v>
      </c>
      <c r="Y14" s="141" t="str">
        <f t="shared" si="7"/>
        <v>321</v>
      </c>
      <c r="AA14" s="141" t="s">
        <v>1460</v>
      </c>
      <c r="AB14" s="141" t="s">
        <v>1117</v>
      </c>
    </row>
    <row r="15" spans="1:28">
      <c r="A15" s="151"/>
      <c r="B15" s="146" t="str">
        <f t="shared" si="1"/>
        <v/>
      </c>
      <c r="C15" s="151"/>
      <c r="D15" s="146" t="str">
        <f t="shared" si="2"/>
        <v/>
      </c>
      <c r="E15" s="186"/>
      <c r="F15" s="146" t="str">
        <f t="shared" si="3"/>
        <v/>
      </c>
      <c r="G15" s="185">
        <f>G11+G12+G13+G14</f>
        <v>78750</v>
      </c>
      <c r="H15" s="185">
        <v>0</v>
      </c>
      <c r="I15" s="185">
        <v>0</v>
      </c>
      <c r="J15" s="201"/>
      <c r="K15" s="200"/>
      <c r="L15" s="200"/>
      <c r="M15" s="201"/>
      <c r="N15" s="201"/>
      <c r="P15" s="141" t="str">
        <f t="shared" si="4"/>
        <v/>
      </c>
      <c r="Q15" s="141" t="str">
        <f t="shared" si="5"/>
        <v/>
      </c>
      <c r="R15" s="141">
        <v>561</v>
      </c>
      <c r="S15" s="141" t="s">
        <v>118</v>
      </c>
      <c r="U15" s="141">
        <v>3221</v>
      </c>
      <c r="V15" s="141" t="s">
        <v>86</v>
      </c>
      <c r="X15" s="141" t="str">
        <f t="shared" si="6"/>
        <v>32</v>
      </c>
      <c r="Y15" s="141" t="str">
        <f t="shared" si="7"/>
        <v>322</v>
      </c>
      <c r="AA15" s="141" t="s">
        <v>1461</v>
      </c>
      <c r="AB15" s="141" t="s">
        <v>1119</v>
      </c>
    </row>
    <row r="16" spans="1:28">
      <c r="A16" s="151">
        <v>51</v>
      </c>
      <c r="B16" s="146" t="str">
        <f t="shared" si="1"/>
        <v>Pomoći EU</v>
      </c>
      <c r="C16" s="151">
        <v>3111</v>
      </c>
      <c r="D16" s="146" t="str">
        <f t="shared" si="2"/>
        <v>Plaće za redovan rad</v>
      </c>
      <c r="E16" s="186" t="s">
        <v>827</v>
      </c>
      <c r="F16" s="146" t="str">
        <f t="shared" si="3"/>
        <v>NOVI PODPROJEKT</v>
      </c>
      <c r="G16" s="185">
        <v>261750</v>
      </c>
      <c r="H16" s="185">
        <v>261750</v>
      </c>
      <c r="I16" s="185">
        <v>113000</v>
      </c>
      <c r="J16" s="201" t="s">
        <v>2349</v>
      </c>
      <c r="K16" s="200">
        <v>43770</v>
      </c>
      <c r="L16" s="200" t="s">
        <v>2348</v>
      </c>
      <c r="M16" s="282" t="s">
        <v>2347</v>
      </c>
      <c r="N16" s="201"/>
      <c r="P16" s="141" t="str">
        <f t="shared" si="4"/>
        <v>311</v>
      </c>
      <c r="Q16" s="141" t="str">
        <f t="shared" si="5"/>
        <v>31</v>
      </c>
      <c r="R16" s="141">
        <v>563</v>
      </c>
      <c r="S16" s="141" t="s">
        <v>120</v>
      </c>
      <c r="U16" s="141">
        <v>3222</v>
      </c>
      <c r="V16" s="141" t="s">
        <v>107</v>
      </c>
      <c r="X16" s="141" t="str">
        <f t="shared" si="6"/>
        <v>32</v>
      </c>
      <c r="Y16" s="141" t="str">
        <f t="shared" si="7"/>
        <v>322</v>
      </c>
      <c r="AA16" s="141" t="s">
        <v>1462</v>
      </c>
      <c r="AB16" s="141" t="s">
        <v>1463</v>
      </c>
    </row>
    <row r="17" spans="1:28">
      <c r="A17" s="151">
        <v>51</v>
      </c>
      <c r="B17" s="146" t="str">
        <f t="shared" si="1"/>
        <v>Pomoći EU</v>
      </c>
      <c r="C17" s="151">
        <v>3132</v>
      </c>
      <c r="D17" s="146" t="str">
        <f t="shared" si="2"/>
        <v>Doprinosi za obvezno zdravstveno osiguranje</v>
      </c>
      <c r="E17" s="186" t="s">
        <v>827</v>
      </c>
      <c r="F17" s="146" t="str">
        <f t="shared" si="3"/>
        <v>NOVI PODPROJEKT</v>
      </c>
      <c r="G17" s="185">
        <v>43500</v>
      </c>
      <c r="H17" s="185">
        <v>43500</v>
      </c>
      <c r="I17" s="185">
        <v>18325</v>
      </c>
      <c r="J17" s="201"/>
      <c r="K17" s="200">
        <v>43770</v>
      </c>
      <c r="L17" s="200" t="s">
        <v>2348</v>
      </c>
      <c r="M17" s="201"/>
      <c r="N17" s="201"/>
      <c r="P17" s="141" t="str">
        <f t="shared" si="4"/>
        <v>313</v>
      </c>
      <c r="Q17" s="141" t="str">
        <f t="shared" si="5"/>
        <v>31</v>
      </c>
      <c r="R17" s="141">
        <v>573</v>
      </c>
      <c r="S17" s="141" t="s">
        <v>1549</v>
      </c>
      <c r="U17" s="141">
        <v>3223</v>
      </c>
      <c r="V17" s="141" t="s">
        <v>95</v>
      </c>
      <c r="X17" s="141" t="str">
        <f t="shared" si="6"/>
        <v>32</v>
      </c>
      <c r="Y17" s="141" t="str">
        <f t="shared" si="7"/>
        <v>322</v>
      </c>
      <c r="AA17" s="141" t="s">
        <v>1464</v>
      </c>
      <c r="AB17" s="141" t="s">
        <v>1465</v>
      </c>
    </row>
    <row r="18" spans="1:28">
      <c r="A18" s="151">
        <v>51</v>
      </c>
      <c r="B18" s="146" t="str">
        <f t="shared" si="1"/>
        <v>Pomoći EU</v>
      </c>
      <c r="C18" s="151">
        <v>3211</v>
      </c>
      <c r="D18" s="146" t="str">
        <f t="shared" si="2"/>
        <v>Službena putovanja</v>
      </c>
      <c r="E18" s="186" t="s">
        <v>827</v>
      </c>
      <c r="F18" s="146" t="str">
        <f t="shared" si="3"/>
        <v>NOVI PODPROJEKT</v>
      </c>
      <c r="G18" s="185">
        <v>45637</v>
      </c>
      <c r="H18" s="185">
        <v>45637</v>
      </c>
      <c r="I18" s="185">
        <v>19280</v>
      </c>
      <c r="J18" s="201"/>
      <c r="K18" s="200">
        <v>43770</v>
      </c>
      <c r="L18" s="200" t="s">
        <v>2348</v>
      </c>
      <c r="M18" s="201"/>
      <c r="N18" s="201"/>
      <c r="P18" s="141" t="str">
        <f t="shared" si="4"/>
        <v>321</v>
      </c>
      <c r="Q18" s="141" t="str">
        <f t="shared" si="5"/>
        <v>32</v>
      </c>
      <c r="R18" s="141">
        <v>575</v>
      </c>
      <c r="S18" s="141" t="s">
        <v>1551</v>
      </c>
      <c r="U18" s="141">
        <v>3224</v>
      </c>
      <c r="V18" s="141" t="s">
        <v>100</v>
      </c>
      <c r="X18" s="141" t="str">
        <f t="shared" si="6"/>
        <v>32</v>
      </c>
      <c r="Y18" s="141" t="str">
        <f t="shared" si="7"/>
        <v>322</v>
      </c>
      <c r="AA18" s="141" t="s">
        <v>1466</v>
      </c>
      <c r="AB18" s="141" t="s">
        <v>1467</v>
      </c>
    </row>
    <row r="19" spans="1:28">
      <c r="A19" s="151">
        <v>51</v>
      </c>
      <c r="B19" s="146" t="str">
        <f t="shared" si="1"/>
        <v>Pomoći EU</v>
      </c>
      <c r="C19" s="151">
        <v>3221</v>
      </c>
      <c r="D19" s="146" t="str">
        <f t="shared" si="2"/>
        <v>Uredski materijal i ostali materijalni rashodi</v>
      </c>
      <c r="E19" s="186" t="s">
        <v>827</v>
      </c>
      <c r="F19" s="146" t="str">
        <f t="shared" si="3"/>
        <v>NOVI PODPROJEKT</v>
      </c>
      <c r="G19" s="185">
        <v>45638</v>
      </c>
      <c r="H19" s="185">
        <v>45638</v>
      </c>
      <c r="I19" s="185">
        <v>19280</v>
      </c>
      <c r="J19" s="201"/>
      <c r="K19" s="200">
        <v>43770</v>
      </c>
      <c r="L19" s="200" t="s">
        <v>2348</v>
      </c>
      <c r="M19" s="201"/>
      <c r="N19" s="201"/>
      <c r="P19" s="141" t="str">
        <f t="shared" si="4"/>
        <v>322</v>
      </c>
      <c r="Q19" s="141" t="str">
        <f t="shared" si="5"/>
        <v>32</v>
      </c>
      <c r="R19" s="141">
        <v>576</v>
      </c>
      <c r="S19" s="141" t="s">
        <v>2126</v>
      </c>
      <c r="U19" s="141">
        <v>3225</v>
      </c>
      <c r="V19" s="141" t="s">
        <v>108</v>
      </c>
      <c r="X19" s="141" t="str">
        <f t="shared" si="6"/>
        <v>32</v>
      </c>
      <c r="Y19" s="141" t="str">
        <f t="shared" si="7"/>
        <v>322</v>
      </c>
      <c r="AA19" s="141" t="s">
        <v>1468</v>
      </c>
      <c r="AB19" s="141" t="s">
        <v>1469</v>
      </c>
    </row>
    <row r="20" spans="1:28">
      <c r="A20" s="151">
        <v>51</v>
      </c>
      <c r="B20" s="146" t="str">
        <f t="shared" si="1"/>
        <v>Pomoći EU</v>
      </c>
      <c r="C20" s="151">
        <v>3237</v>
      </c>
      <c r="D20" s="146" t="str">
        <f t="shared" si="2"/>
        <v>Intelektualne i osobne usluge</v>
      </c>
      <c r="E20" s="186" t="s">
        <v>827</v>
      </c>
      <c r="F20" s="146" t="str">
        <f t="shared" si="3"/>
        <v>NOVI PODPROJEKT</v>
      </c>
      <c r="G20" s="185">
        <v>60000</v>
      </c>
      <c r="H20" s="185">
        <v>60000</v>
      </c>
      <c r="I20" s="185">
        <v>23000</v>
      </c>
      <c r="J20" s="201"/>
      <c r="K20" s="200">
        <v>43770</v>
      </c>
      <c r="L20" s="200" t="s">
        <v>2348</v>
      </c>
      <c r="M20" s="201"/>
      <c r="N20" s="201"/>
      <c r="P20" s="141" t="str">
        <f t="shared" si="4"/>
        <v>323</v>
      </c>
      <c r="Q20" s="141" t="str">
        <f t="shared" si="5"/>
        <v>32</v>
      </c>
      <c r="R20" s="141">
        <v>61</v>
      </c>
      <c r="S20" s="141" t="s">
        <v>122</v>
      </c>
      <c r="U20" s="141">
        <v>3226</v>
      </c>
      <c r="V20" s="141" t="s">
        <v>182</v>
      </c>
      <c r="X20" s="141" t="str">
        <f t="shared" si="6"/>
        <v>32</v>
      </c>
      <c r="Y20" s="141" t="str">
        <f t="shared" si="7"/>
        <v>322</v>
      </c>
      <c r="AA20" s="141" t="s">
        <v>1470</v>
      </c>
      <c r="AB20" s="141" t="s">
        <v>1471</v>
      </c>
    </row>
    <row r="21" spans="1:28">
      <c r="A21" s="151"/>
      <c r="B21" s="146" t="str">
        <f t="shared" si="1"/>
        <v/>
      </c>
      <c r="C21" s="151"/>
      <c r="D21" s="146" t="str">
        <f t="shared" si="2"/>
        <v/>
      </c>
      <c r="E21" s="186"/>
      <c r="F21" s="146" t="str">
        <f t="shared" si="3"/>
        <v/>
      </c>
      <c r="G21" s="185">
        <f>G16+G17+G18+G19+G20</f>
        <v>456525</v>
      </c>
      <c r="H21" s="185">
        <f t="shared" ref="H21:I21" si="8">H16+H17+H18+H19+H20</f>
        <v>456525</v>
      </c>
      <c r="I21" s="185">
        <f t="shared" si="8"/>
        <v>192885</v>
      </c>
      <c r="J21" s="201"/>
      <c r="K21" s="200"/>
      <c r="L21" s="200"/>
      <c r="M21" s="201"/>
      <c r="N21" s="201"/>
      <c r="P21" s="141" t="str">
        <f t="shared" si="4"/>
        <v/>
      </c>
      <c r="Q21" s="141" t="str">
        <f t="shared" si="5"/>
        <v/>
      </c>
      <c r="R21" s="141">
        <v>71</v>
      </c>
      <c r="S21" s="141" t="s">
        <v>180</v>
      </c>
      <c r="U21" s="141">
        <v>3227</v>
      </c>
      <c r="V21" s="141" t="s">
        <v>125</v>
      </c>
      <c r="X21" s="141" t="str">
        <f t="shared" si="6"/>
        <v>32</v>
      </c>
      <c r="Y21" s="141" t="str">
        <f t="shared" si="7"/>
        <v>322</v>
      </c>
      <c r="AA21" s="141" t="s">
        <v>1472</v>
      </c>
      <c r="AB21" s="141" t="s">
        <v>1473</v>
      </c>
    </row>
    <row r="22" spans="1:28">
      <c r="A22" s="151">
        <v>51</v>
      </c>
      <c r="B22" s="146" t="str">
        <f t="shared" si="1"/>
        <v>Pomoći EU</v>
      </c>
      <c r="C22" s="151">
        <v>3111</v>
      </c>
      <c r="D22" s="146" t="str">
        <f t="shared" si="2"/>
        <v>Plaće za redovan rad</v>
      </c>
      <c r="E22" s="186" t="s">
        <v>827</v>
      </c>
      <c r="F22" s="146" t="str">
        <f t="shared" si="3"/>
        <v>NOVI PODPROJEKT</v>
      </c>
      <c r="G22" s="185">
        <v>189750</v>
      </c>
      <c r="H22" s="185">
        <v>189750</v>
      </c>
      <c r="I22" s="185">
        <v>0</v>
      </c>
      <c r="J22" s="201" t="s">
        <v>2350</v>
      </c>
      <c r="K22" s="200"/>
      <c r="L22" s="200"/>
      <c r="M22" s="201" t="s">
        <v>2351</v>
      </c>
      <c r="N22" s="201"/>
      <c r="P22" s="141" t="str">
        <f t="shared" si="4"/>
        <v>311</v>
      </c>
      <c r="Q22" s="141" t="str">
        <f t="shared" si="5"/>
        <v>31</v>
      </c>
      <c r="R22" s="141">
        <v>81</v>
      </c>
      <c r="S22" s="141" t="s">
        <v>63</v>
      </c>
      <c r="U22" s="141">
        <v>3231</v>
      </c>
      <c r="V22" s="141" t="s">
        <v>109</v>
      </c>
      <c r="X22" s="141" t="str">
        <f t="shared" si="6"/>
        <v>32</v>
      </c>
      <c r="Y22" s="141" t="str">
        <f t="shared" si="7"/>
        <v>323</v>
      </c>
      <c r="AA22" s="141" t="s">
        <v>1474</v>
      </c>
      <c r="AB22" s="141" t="s">
        <v>1475</v>
      </c>
    </row>
    <row r="23" spans="1:28">
      <c r="A23" s="151">
        <v>51</v>
      </c>
      <c r="B23" s="146" t="str">
        <f t="shared" si="1"/>
        <v>Pomoći EU</v>
      </c>
      <c r="C23" s="151">
        <v>3132</v>
      </c>
      <c r="D23" s="146" t="str">
        <f t="shared" si="2"/>
        <v>Doprinosi za obvezno zdravstveno osiguranje</v>
      </c>
      <c r="E23" s="186" t="s">
        <v>827</v>
      </c>
      <c r="F23" s="146" t="str">
        <f t="shared" si="3"/>
        <v>NOVI PODPROJEKT</v>
      </c>
      <c r="G23" s="185">
        <v>31500</v>
      </c>
      <c r="H23" s="185">
        <v>31500</v>
      </c>
      <c r="I23" s="185">
        <v>0</v>
      </c>
      <c r="J23" s="201"/>
      <c r="K23" s="200"/>
      <c r="L23" s="200"/>
      <c r="M23" s="201" t="s">
        <v>2351</v>
      </c>
      <c r="N23" s="201"/>
      <c r="P23" s="141" t="str">
        <f t="shared" si="4"/>
        <v>313</v>
      </c>
      <c r="Q23" s="141" t="str">
        <f t="shared" si="5"/>
        <v>31</v>
      </c>
      <c r="R23" s="141">
        <v>83</v>
      </c>
      <c r="S23" s="141" t="s">
        <v>1540</v>
      </c>
      <c r="U23" s="141">
        <v>3232</v>
      </c>
      <c r="V23" s="141" t="s">
        <v>96</v>
      </c>
      <c r="X23" s="141" t="str">
        <f t="shared" si="6"/>
        <v>32</v>
      </c>
      <c r="Y23" s="141" t="str">
        <f t="shared" si="7"/>
        <v>323</v>
      </c>
      <c r="AA23" s="141" t="s">
        <v>1476</v>
      </c>
      <c r="AB23" s="141" t="s">
        <v>1477</v>
      </c>
    </row>
    <row r="24" spans="1:28">
      <c r="A24" s="151">
        <v>51</v>
      </c>
      <c r="B24" s="146" t="str">
        <f t="shared" si="1"/>
        <v>Pomoći EU</v>
      </c>
      <c r="C24" s="151">
        <v>3211</v>
      </c>
      <c r="D24" s="146" t="str">
        <f t="shared" si="2"/>
        <v>Službena putovanja</v>
      </c>
      <c r="E24" s="186" t="s">
        <v>827</v>
      </c>
      <c r="F24" s="146" t="str">
        <f t="shared" si="3"/>
        <v>NOVI PODPROJEKT</v>
      </c>
      <c r="G24" s="185">
        <v>67500</v>
      </c>
      <c r="H24" s="185">
        <v>67500</v>
      </c>
      <c r="I24" s="185">
        <v>0</v>
      </c>
      <c r="J24" s="201"/>
      <c r="K24" s="200"/>
      <c r="L24" s="200"/>
      <c r="M24" s="201" t="s">
        <v>2351</v>
      </c>
      <c r="N24" s="201"/>
      <c r="P24" s="141" t="str">
        <f t="shared" si="4"/>
        <v>321</v>
      </c>
      <c r="Q24" s="141" t="str">
        <f t="shared" si="5"/>
        <v>32</v>
      </c>
      <c r="U24" s="141">
        <v>3233</v>
      </c>
      <c r="V24" s="141" t="s">
        <v>84</v>
      </c>
      <c r="X24" s="141" t="str">
        <f t="shared" si="6"/>
        <v>32</v>
      </c>
      <c r="Y24" s="141" t="str">
        <f t="shared" si="7"/>
        <v>323</v>
      </c>
      <c r="AA24" s="141" t="s">
        <v>1478</v>
      </c>
      <c r="AB24" s="141" t="s">
        <v>1479</v>
      </c>
    </row>
    <row r="25" spans="1:28">
      <c r="A25" s="151">
        <v>51</v>
      </c>
      <c r="B25" s="146" t="str">
        <f t="shared" si="1"/>
        <v>Pomoći EU</v>
      </c>
      <c r="C25" s="151">
        <v>3221</v>
      </c>
      <c r="D25" s="146" t="str">
        <f t="shared" si="2"/>
        <v>Uredski materijal i ostali materijalni rashodi</v>
      </c>
      <c r="E25" s="186" t="s">
        <v>827</v>
      </c>
      <c r="F25" s="146" t="str">
        <f t="shared" si="3"/>
        <v>NOVI PODPROJEKT</v>
      </c>
      <c r="G25" s="185">
        <v>71250</v>
      </c>
      <c r="H25" s="185">
        <v>71250</v>
      </c>
      <c r="I25" s="185">
        <v>0</v>
      </c>
      <c r="J25" s="201"/>
      <c r="K25" s="200"/>
      <c r="L25" s="200"/>
      <c r="M25" s="201" t="s">
        <v>2351</v>
      </c>
      <c r="N25" s="201"/>
      <c r="P25" s="141" t="str">
        <f t="shared" si="4"/>
        <v>322</v>
      </c>
      <c r="Q25" s="141" t="str">
        <f t="shared" si="5"/>
        <v>32</v>
      </c>
      <c r="U25" s="141">
        <v>3234</v>
      </c>
      <c r="V25" s="141" t="s">
        <v>97</v>
      </c>
      <c r="X25" s="141" t="str">
        <f t="shared" si="6"/>
        <v>32</v>
      </c>
      <c r="Y25" s="141" t="str">
        <f t="shared" si="7"/>
        <v>323</v>
      </c>
      <c r="AA25" s="141" t="s">
        <v>1480</v>
      </c>
      <c r="AB25" s="141" t="s">
        <v>1481</v>
      </c>
    </row>
    <row r="26" spans="1:28">
      <c r="A26" s="151">
        <v>51</v>
      </c>
      <c r="B26" s="146" t="str">
        <f t="shared" si="1"/>
        <v>Pomoći EU</v>
      </c>
      <c r="C26" s="151">
        <v>3237</v>
      </c>
      <c r="D26" s="146" t="str">
        <f t="shared" si="2"/>
        <v>Intelektualne i osobne usluge</v>
      </c>
      <c r="E26" s="186" t="s">
        <v>827</v>
      </c>
      <c r="F26" s="146" t="str">
        <f t="shared" si="3"/>
        <v>NOVI PODPROJEKT</v>
      </c>
      <c r="G26" s="185">
        <v>356250</v>
      </c>
      <c r="H26" s="185">
        <v>356250</v>
      </c>
      <c r="I26" s="185">
        <v>0</v>
      </c>
      <c r="J26" s="201"/>
      <c r="K26" s="200"/>
      <c r="L26" s="200"/>
      <c r="M26" s="201" t="s">
        <v>2351</v>
      </c>
      <c r="N26" s="201"/>
      <c r="P26" s="141" t="str">
        <f t="shared" si="4"/>
        <v>323</v>
      </c>
      <c r="Q26" s="141" t="str">
        <f t="shared" si="5"/>
        <v>32</v>
      </c>
      <c r="U26" s="141">
        <v>3235</v>
      </c>
      <c r="V26" s="141" t="s">
        <v>117</v>
      </c>
      <c r="X26" s="141" t="str">
        <f t="shared" si="6"/>
        <v>32</v>
      </c>
      <c r="Y26" s="141" t="str">
        <f t="shared" si="7"/>
        <v>323</v>
      </c>
      <c r="AA26" s="141" t="s">
        <v>1482</v>
      </c>
      <c r="AB26" s="141" t="s">
        <v>1483</v>
      </c>
    </row>
    <row r="27" spans="1:28">
      <c r="A27" s="151"/>
      <c r="B27" s="146" t="str">
        <f t="shared" si="1"/>
        <v/>
      </c>
      <c r="C27" s="151"/>
      <c r="D27" s="146" t="str">
        <f t="shared" si="2"/>
        <v/>
      </c>
      <c r="E27" s="186"/>
      <c r="F27" s="146" t="str">
        <f t="shared" si="3"/>
        <v/>
      </c>
      <c r="G27" s="185">
        <f>G22+G23+G24+G25+G26</f>
        <v>716250</v>
      </c>
      <c r="H27" s="185">
        <f>H22+H23+H24+H25+H26</f>
        <v>716250</v>
      </c>
      <c r="I27" s="185">
        <v>0</v>
      </c>
      <c r="J27" s="201"/>
      <c r="K27" s="200"/>
      <c r="L27" s="200"/>
      <c r="M27" s="201"/>
      <c r="N27" s="201"/>
      <c r="P27" s="141" t="str">
        <f t="shared" si="4"/>
        <v/>
      </c>
      <c r="Q27" s="141" t="str">
        <f t="shared" si="5"/>
        <v/>
      </c>
      <c r="U27" s="141">
        <v>3236</v>
      </c>
      <c r="V27" s="141" t="s">
        <v>60</v>
      </c>
      <c r="X27" s="141" t="str">
        <f t="shared" si="6"/>
        <v>32</v>
      </c>
      <c r="Y27" s="141" t="str">
        <f t="shared" si="7"/>
        <v>323</v>
      </c>
      <c r="AA27" s="141" t="s">
        <v>1484</v>
      </c>
      <c r="AB27" s="141" t="s">
        <v>1485</v>
      </c>
    </row>
    <row r="28" spans="1:28">
      <c r="A28" s="151">
        <v>561</v>
      </c>
      <c r="B28" s="146" t="str">
        <f t="shared" si="1"/>
        <v>Europski socijalni fond (ESF)</v>
      </c>
      <c r="C28" s="151">
        <v>3237</v>
      </c>
      <c r="D28" s="146" t="str">
        <f t="shared" si="2"/>
        <v>Intelektualne i osobne usluge</v>
      </c>
      <c r="E28" s="186" t="s">
        <v>1118</v>
      </c>
      <c r="F28" s="146" t="str">
        <f t="shared" si="3"/>
        <v>Razvoj, unapređenje i provedba stručne prakse u visokom obrazovanju</v>
      </c>
      <c r="G28" s="185">
        <v>195060</v>
      </c>
      <c r="H28" s="185">
        <v>119094</v>
      </c>
      <c r="I28" s="185">
        <v>197000</v>
      </c>
      <c r="J28" s="283" t="s">
        <v>2352</v>
      </c>
      <c r="K28" s="200" t="s">
        <v>2358</v>
      </c>
      <c r="L28" s="200" t="s">
        <v>2359</v>
      </c>
      <c r="M28" s="201"/>
      <c r="N28" s="201"/>
      <c r="P28" s="141" t="str">
        <f t="shared" si="4"/>
        <v>323</v>
      </c>
      <c r="Q28" s="141" t="str">
        <f t="shared" si="5"/>
        <v>32</v>
      </c>
      <c r="U28" s="141">
        <v>3237</v>
      </c>
      <c r="V28" s="141" t="s">
        <v>73</v>
      </c>
      <c r="X28" s="141" t="str">
        <f t="shared" si="6"/>
        <v>32</v>
      </c>
      <c r="Y28" s="141" t="str">
        <f t="shared" si="7"/>
        <v>323</v>
      </c>
      <c r="AA28" s="141" t="s">
        <v>1486</v>
      </c>
      <c r="AB28" s="141" t="s">
        <v>1487</v>
      </c>
    </row>
    <row r="29" spans="1:28">
      <c r="A29" s="151">
        <v>561</v>
      </c>
      <c r="B29" s="146" t="str">
        <f t="shared" si="1"/>
        <v>Europski socijalni fond (ESF)</v>
      </c>
      <c r="C29" s="151">
        <v>3239</v>
      </c>
      <c r="D29" s="146" t="str">
        <f t="shared" si="2"/>
        <v>Ostale usluge</v>
      </c>
      <c r="E29" s="186" t="s">
        <v>1118</v>
      </c>
      <c r="F29" s="146" t="str">
        <f t="shared" si="3"/>
        <v>Razvoj, unapređenje i provedba stručne prakse u visokom obrazovanju</v>
      </c>
      <c r="G29" s="185">
        <v>22000</v>
      </c>
      <c r="H29" s="185">
        <v>25000</v>
      </c>
      <c r="I29" s="185">
        <v>26000</v>
      </c>
      <c r="J29" s="201"/>
      <c r="K29" s="200"/>
      <c r="L29" s="200"/>
      <c r="M29" s="201"/>
      <c r="N29" s="201"/>
      <c r="P29" s="141" t="str">
        <f t="shared" si="4"/>
        <v>323</v>
      </c>
      <c r="Q29" s="141" t="str">
        <f t="shared" si="5"/>
        <v>32</v>
      </c>
      <c r="U29" s="141">
        <v>3238</v>
      </c>
      <c r="V29" s="141" t="s">
        <v>110</v>
      </c>
      <c r="X29" s="141" t="str">
        <f t="shared" si="6"/>
        <v>32</v>
      </c>
      <c r="Y29" s="141" t="str">
        <f t="shared" si="7"/>
        <v>323</v>
      </c>
      <c r="AA29" s="141" t="s">
        <v>1488</v>
      </c>
      <c r="AB29" s="141" t="s">
        <v>1489</v>
      </c>
    </row>
    <row r="30" spans="1:28">
      <c r="A30" s="151">
        <v>561</v>
      </c>
      <c r="B30" s="146" t="str">
        <f t="shared" si="1"/>
        <v>Europski socijalni fond (ESF)</v>
      </c>
      <c r="C30" s="151">
        <v>3241</v>
      </c>
      <c r="D30" s="146" t="str">
        <f t="shared" si="2"/>
        <v>Naknade troškova osobama izvan radnog odnosa</v>
      </c>
      <c r="E30" s="186" t="s">
        <v>1118</v>
      </c>
      <c r="F30" s="146" t="str">
        <f t="shared" si="3"/>
        <v>Razvoj, unapređenje i provedba stručne prakse u visokom obrazovanju</v>
      </c>
      <c r="G30" s="185">
        <v>34218</v>
      </c>
      <c r="H30" s="185">
        <v>35000</v>
      </c>
      <c r="I30" s="185">
        <v>33000</v>
      </c>
      <c r="J30" s="201"/>
      <c r="K30" s="200"/>
      <c r="L30" s="200"/>
      <c r="M30" s="201"/>
      <c r="N30" s="201"/>
      <c r="P30" s="141" t="str">
        <f t="shared" si="4"/>
        <v>324</v>
      </c>
      <c r="Q30" s="141" t="str">
        <f t="shared" si="5"/>
        <v>32</v>
      </c>
      <c r="U30" s="141">
        <v>3239</v>
      </c>
      <c r="V30" s="141" t="s">
        <v>90</v>
      </c>
      <c r="X30" s="141" t="str">
        <f t="shared" si="6"/>
        <v>32</v>
      </c>
      <c r="Y30" s="141" t="str">
        <f t="shared" si="7"/>
        <v>323</v>
      </c>
      <c r="AA30" s="141" t="s">
        <v>1490</v>
      </c>
      <c r="AB30" s="141" t="s">
        <v>1491</v>
      </c>
    </row>
    <row r="31" spans="1:28">
      <c r="A31" s="151">
        <v>561</v>
      </c>
      <c r="B31" s="146" t="str">
        <f t="shared" si="1"/>
        <v>Europski socijalni fond (ESF)</v>
      </c>
      <c r="C31" s="151">
        <v>3238</v>
      </c>
      <c r="D31" s="146" t="str">
        <f t="shared" si="2"/>
        <v>Računalne usluge</v>
      </c>
      <c r="E31" s="186" t="s">
        <v>1118</v>
      </c>
      <c r="F31" s="146" t="str">
        <f t="shared" si="3"/>
        <v>Razvoj, unapređenje i provedba stručne prakse u visokom obrazovanju</v>
      </c>
      <c r="G31" s="185">
        <v>195000</v>
      </c>
      <c r="H31" s="185">
        <v>0</v>
      </c>
      <c r="I31" s="185">
        <v>0</v>
      </c>
      <c r="J31" s="201"/>
      <c r="K31" s="200"/>
      <c r="L31" s="200"/>
      <c r="M31" s="201"/>
      <c r="N31" s="201"/>
      <c r="P31" s="141" t="str">
        <f t="shared" si="4"/>
        <v>323</v>
      </c>
      <c r="Q31" s="141" t="str">
        <f t="shared" si="5"/>
        <v>32</v>
      </c>
      <c r="U31" s="141">
        <v>3241</v>
      </c>
      <c r="V31" s="141" t="s">
        <v>87</v>
      </c>
      <c r="X31" s="141" t="str">
        <f t="shared" si="6"/>
        <v>32</v>
      </c>
      <c r="Y31" s="141" t="str">
        <f t="shared" si="7"/>
        <v>324</v>
      </c>
      <c r="AA31" s="141" t="s">
        <v>1584</v>
      </c>
      <c r="AB31" s="141" t="s">
        <v>1585</v>
      </c>
    </row>
    <row r="32" spans="1:28">
      <c r="A32" s="151">
        <v>561</v>
      </c>
      <c r="B32" s="146" t="str">
        <f t="shared" si="1"/>
        <v>Europski socijalni fond (ESF)</v>
      </c>
      <c r="C32" s="151">
        <v>3111</v>
      </c>
      <c r="D32" s="146" t="str">
        <f t="shared" si="2"/>
        <v>Plaće za redovan rad</v>
      </c>
      <c r="E32" s="186" t="s">
        <v>1118</v>
      </c>
      <c r="F32" s="146" t="str">
        <f t="shared" si="3"/>
        <v>Razvoj, unapređenje i provedba stručne prakse u visokom obrazovanju</v>
      </c>
      <c r="G32" s="185">
        <v>269900</v>
      </c>
      <c r="H32" s="185">
        <v>273041</v>
      </c>
      <c r="I32" s="185">
        <v>250000</v>
      </c>
      <c r="J32" s="201"/>
      <c r="K32" s="200"/>
      <c r="L32" s="200"/>
      <c r="M32" s="201"/>
      <c r="N32" s="201"/>
      <c r="P32" s="141" t="str">
        <f t="shared" si="4"/>
        <v>311</v>
      </c>
      <c r="Q32" s="141" t="str">
        <f t="shared" si="5"/>
        <v>31</v>
      </c>
      <c r="U32" s="141">
        <v>3291</v>
      </c>
      <c r="V32" s="141" t="s">
        <v>88</v>
      </c>
      <c r="X32" s="141" t="str">
        <f t="shared" si="6"/>
        <v>32</v>
      </c>
      <c r="Y32" s="141" t="str">
        <f t="shared" si="7"/>
        <v>329</v>
      </c>
      <c r="AA32" s="141" t="s">
        <v>1586</v>
      </c>
      <c r="AB32" s="141" t="s">
        <v>1587</v>
      </c>
    </row>
    <row r="33" spans="1:28">
      <c r="A33" s="151">
        <v>561</v>
      </c>
      <c r="B33" s="146" t="str">
        <f t="shared" si="1"/>
        <v>Europski socijalni fond (ESF)</v>
      </c>
      <c r="C33" s="151">
        <v>3132</v>
      </c>
      <c r="D33" s="146" t="str">
        <f t="shared" si="2"/>
        <v>Doprinosi za obvezno zdravstveno osiguranje</v>
      </c>
      <c r="E33" s="186" t="s">
        <v>1118</v>
      </c>
      <c r="F33" s="146" t="str">
        <f t="shared" si="3"/>
        <v>Razvoj, unapređenje i provedba stručne prakse u visokom obrazovanju</v>
      </c>
      <c r="G33" s="185">
        <v>44534</v>
      </c>
      <c r="H33" s="185">
        <v>33000</v>
      </c>
      <c r="I33" s="185">
        <v>41250</v>
      </c>
      <c r="J33" s="201"/>
      <c r="K33" s="200"/>
      <c r="L33" s="200"/>
      <c r="M33" s="201"/>
      <c r="N33" s="201"/>
      <c r="P33" s="141" t="str">
        <f t="shared" si="4"/>
        <v>313</v>
      </c>
      <c r="Q33" s="141" t="str">
        <f t="shared" si="5"/>
        <v>31</v>
      </c>
      <c r="U33" s="141">
        <v>3292</v>
      </c>
      <c r="V33" s="141" t="s">
        <v>81</v>
      </c>
      <c r="X33" s="141" t="str">
        <f t="shared" si="6"/>
        <v>32</v>
      </c>
      <c r="Y33" s="141" t="str">
        <f t="shared" si="7"/>
        <v>329</v>
      </c>
      <c r="AA33" s="141" t="s">
        <v>1492</v>
      </c>
      <c r="AB33" s="141" t="s">
        <v>1493</v>
      </c>
    </row>
    <row r="34" spans="1:28">
      <c r="A34" s="151">
        <v>561</v>
      </c>
      <c r="B34" s="146" t="str">
        <f t="shared" si="1"/>
        <v>Europski socijalni fond (ESF)</v>
      </c>
      <c r="C34" s="151">
        <v>3221</v>
      </c>
      <c r="D34" s="146" t="str">
        <f t="shared" si="2"/>
        <v>Uredski materijal i ostali materijalni rashodi</v>
      </c>
      <c r="E34" s="186" t="s">
        <v>1118</v>
      </c>
      <c r="F34" s="146" t="str">
        <f t="shared" si="3"/>
        <v>Razvoj, unapređenje i provedba stručne prakse u visokom obrazovanju</v>
      </c>
      <c r="G34" s="185">
        <v>47165</v>
      </c>
      <c r="H34" s="185">
        <v>45906</v>
      </c>
      <c r="I34" s="185">
        <v>43687</v>
      </c>
      <c r="J34" s="201"/>
      <c r="K34" s="200"/>
      <c r="L34" s="200"/>
      <c r="M34" s="201"/>
      <c r="N34" s="201"/>
      <c r="P34" s="141" t="str">
        <f t="shared" si="4"/>
        <v>322</v>
      </c>
      <c r="Q34" s="141" t="str">
        <f t="shared" si="5"/>
        <v>32</v>
      </c>
      <c r="U34" s="141">
        <v>3293</v>
      </c>
      <c r="V34" s="141" t="s">
        <v>91</v>
      </c>
      <c r="X34" s="141" t="str">
        <f t="shared" si="6"/>
        <v>32</v>
      </c>
      <c r="Y34" s="141" t="str">
        <f t="shared" si="7"/>
        <v>329</v>
      </c>
      <c r="AA34" s="141" t="s">
        <v>1494</v>
      </c>
      <c r="AB34" s="141" t="s">
        <v>1495</v>
      </c>
    </row>
    <row r="35" spans="1:28">
      <c r="A35" s="151">
        <v>561</v>
      </c>
      <c r="B35" s="146" t="str">
        <f t="shared" si="1"/>
        <v>Europski socijalni fond (ESF)</v>
      </c>
      <c r="C35" s="151">
        <v>3299</v>
      </c>
      <c r="D35" s="146" t="str">
        <f t="shared" si="2"/>
        <v>Ostali nespomenuti rashodi poslovanja</v>
      </c>
      <c r="E35" s="186" t="s">
        <v>1118</v>
      </c>
      <c r="F35" s="146" t="str">
        <f t="shared" si="3"/>
        <v>Razvoj, unapređenje i provedba stručne prakse u visokom obrazovanju</v>
      </c>
      <c r="G35" s="185">
        <v>89963</v>
      </c>
      <c r="H35" s="185">
        <v>89000</v>
      </c>
      <c r="I35" s="185">
        <v>90000</v>
      </c>
      <c r="J35" s="201"/>
      <c r="K35" s="200"/>
      <c r="L35" s="200"/>
      <c r="M35" s="201"/>
      <c r="N35" s="201"/>
      <c r="P35" s="141" t="str">
        <f t="shared" si="4"/>
        <v>329</v>
      </c>
      <c r="Q35" s="141" t="str">
        <f t="shared" si="5"/>
        <v>32</v>
      </c>
      <c r="U35" s="141">
        <v>3293</v>
      </c>
      <c r="V35" s="141" t="s">
        <v>138</v>
      </c>
      <c r="X35" s="141" t="str">
        <f t="shared" si="6"/>
        <v>32</v>
      </c>
      <c r="Y35" s="141" t="str">
        <f t="shared" si="7"/>
        <v>329</v>
      </c>
      <c r="AA35" s="141" t="s">
        <v>1496</v>
      </c>
      <c r="AB35" s="141" t="s">
        <v>1497</v>
      </c>
    </row>
    <row r="36" spans="1:28" ht="89.25">
      <c r="A36" s="151"/>
      <c r="B36" s="146" t="str">
        <f t="shared" si="1"/>
        <v/>
      </c>
      <c r="C36" s="151"/>
      <c r="D36" s="146" t="str">
        <f t="shared" si="2"/>
        <v/>
      </c>
      <c r="E36" s="186"/>
      <c r="F36" s="146" t="str">
        <f t="shared" si="3"/>
        <v/>
      </c>
      <c r="G36" s="185">
        <f>G28+G29+G30+G31+G32+G33+G34+G35</f>
        <v>897840</v>
      </c>
      <c r="H36" s="185">
        <f t="shared" ref="H36:I36" si="9">H28+H29+H30+H31+H32+H33+H34+H35</f>
        <v>620041</v>
      </c>
      <c r="I36" s="185">
        <f t="shared" si="9"/>
        <v>680937</v>
      </c>
      <c r="J36" s="201"/>
      <c r="K36" s="200"/>
      <c r="L36" s="200"/>
      <c r="M36" s="201"/>
      <c r="N36" s="284" t="s">
        <v>2353</v>
      </c>
      <c r="P36" s="141" t="str">
        <f t="shared" si="4"/>
        <v/>
      </c>
      <c r="Q36" s="141" t="str">
        <f t="shared" si="5"/>
        <v/>
      </c>
      <c r="U36" s="141">
        <v>3294</v>
      </c>
      <c r="V36" s="141" t="s">
        <v>92</v>
      </c>
      <c r="X36" s="141" t="str">
        <f t="shared" si="6"/>
        <v>32</v>
      </c>
      <c r="Y36" s="141" t="str">
        <f t="shared" si="7"/>
        <v>329</v>
      </c>
      <c r="AA36" s="141" t="s">
        <v>1498</v>
      </c>
      <c r="AB36" s="141" t="s">
        <v>348</v>
      </c>
    </row>
    <row r="37" spans="1:28" ht="15.75">
      <c r="A37" s="151">
        <v>61</v>
      </c>
      <c r="B37" s="146" t="str">
        <f t="shared" si="1"/>
        <v>Donacije</v>
      </c>
      <c r="C37" s="151">
        <v>3111</v>
      </c>
      <c r="D37" s="146" t="str">
        <f t="shared" si="2"/>
        <v>Plaće za redovan rad</v>
      </c>
      <c r="E37" s="186" t="s">
        <v>827</v>
      </c>
      <c r="F37" s="146" t="str">
        <f t="shared" si="3"/>
        <v>NOVI PODPROJEKT</v>
      </c>
      <c r="G37" s="185">
        <v>77200</v>
      </c>
      <c r="H37" s="185">
        <v>116700</v>
      </c>
      <c r="I37" s="185">
        <v>0</v>
      </c>
      <c r="J37" s="286" t="s">
        <v>2354</v>
      </c>
      <c r="K37" s="200">
        <v>44075</v>
      </c>
      <c r="L37" s="200">
        <v>45139</v>
      </c>
      <c r="M37" s="286" t="s">
        <v>2355</v>
      </c>
      <c r="N37" s="285"/>
      <c r="P37" s="141" t="str">
        <f t="shared" si="4"/>
        <v>311</v>
      </c>
      <c r="Q37" s="141" t="str">
        <f t="shared" si="5"/>
        <v>31</v>
      </c>
      <c r="U37" s="141">
        <v>3295</v>
      </c>
      <c r="V37" s="141" t="s">
        <v>61</v>
      </c>
      <c r="X37" s="141" t="str">
        <f t="shared" si="6"/>
        <v>32</v>
      </c>
      <c r="Y37" s="141" t="str">
        <f t="shared" si="7"/>
        <v>329</v>
      </c>
      <c r="AA37" s="141" t="s">
        <v>1499</v>
      </c>
      <c r="AB37" s="141" t="s">
        <v>1500</v>
      </c>
    </row>
    <row r="38" spans="1:28">
      <c r="A38" s="151">
        <v>61</v>
      </c>
      <c r="B38" s="146" t="str">
        <f t="shared" si="1"/>
        <v>Donacije</v>
      </c>
      <c r="C38" s="151">
        <v>3132</v>
      </c>
      <c r="D38" s="146" t="str">
        <f t="shared" si="2"/>
        <v>Doprinosi za obvezno zdravstveno osiguranje</v>
      </c>
      <c r="E38" s="186" t="s">
        <v>827</v>
      </c>
      <c r="F38" s="146" t="str">
        <f t="shared" si="3"/>
        <v>NOVI PODPROJEKT</v>
      </c>
      <c r="G38" s="185">
        <v>12800</v>
      </c>
      <c r="H38" s="185">
        <v>19300</v>
      </c>
      <c r="I38" s="185">
        <v>0</v>
      </c>
      <c r="J38" s="201"/>
      <c r="K38" s="200"/>
      <c r="L38" s="200"/>
      <c r="M38" s="201"/>
      <c r="N38" s="201"/>
      <c r="P38" s="141" t="str">
        <f t="shared" si="4"/>
        <v>313</v>
      </c>
      <c r="Q38" s="141" t="str">
        <f t="shared" si="5"/>
        <v>31</v>
      </c>
      <c r="U38" s="141">
        <v>3296</v>
      </c>
      <c r="V38" s="141" t="s">
        <v>155</v>
      </c>
      <c r="X38" s="141" t="str">
        <f t="shared" si="6"/>
        <v>32</v>
      </c>
      <c r="Y38" s="141" t="str">
        <f t="shared" si="7"/>
        <v>329</v>
      </c>
      <c r="AA38" s="141" t="s">
        <v>1501</v>
      </c>
      <c r="AB38" s="141" t="s">
        <v>1502</v>
      </c>
    </row>
    <row r="39" spans="1:28">
      <c r="A39" s="151"/>
      <c r="B39" s="146" t="str">
        <f t="shared" si="1"/>
        <v/>
      </c>
      <c r="C39" s="151"/>
      <c r="D39" s="146" t="str">
        <f t="shared" si="2"/>
        <v/>
      </c>
      <c r="E39" s="186"/>
      <c r="F39" s="146" t="str">
        <f t="shared" si="3"/>
        <v/>
      </c>
      <c r="G39" s="185">
        <f>G37+G38</f>
        <v>90000</v>
      </c>
      <c r="H39" s="185">
        <f t="shared" ref="H39" si="10">H37+H38</f>
        <v>136000</v>
      </c>
      <c r="I39" s="185">
        <v>0</v>
      </c>
      <c r="J39" s="201"/>
      <c r="K39" s="200"/>
      <c r="L39" s="200"/>
      <c r="M39" s="201"/>
      <c r="N39" s="201" t="s">
        <v>2356</v>
      </c>
      <c r="P39" s="141" t="str">
        <f t="shared" si="4"/>
        <v/>
      </c>
      <c r="Q39" s="141" t="str">
        <f t="shared" si="5"/>
        <v/>
      </c>
      <c r="U39" s="141">
        <v>3299</v>
      </c>
      <c r="V39" s="141" t="s">
        <v>64</v>
      </c>
      <c r="X39" s="141" t="str">
        <f t="shared" si="6"/>
        <v>32</v>
      </c>
      <c r="Y39" s="141" t="str">
        <f t="shared" si="7"/>
        <v>329</v>
      </c>
      <c r="AA39" s="141" t="s">
        <v>1503</v>
      </c>
      <c r="AB39" s="141" t="s">
        <v>1504</v>
      </c>
    </row>
    <row r="40" spans="1:28">
      <c r="A40" s="151"/>
      <c r="B40" s="146" t="str">
        <f t="shared" si="1"/>
        <v/>
      </c>
      <c r="C40" s="151"/>
      <c r="D40" s="146" t="str">
        <f t="shared" si="2"/>
        <v/>
      </c>
      <c r="E40" s="186"/>
      <c r="F40" s="146" t="str">
        <f t="shared" si="3"/>
        <v/>
      </c>
      <c r="G40" s="185"/>
      <c r="H40" s="185"/>
      <c r="I40" s="185"/>
      <c r="J40" s="201"/>
      <c r="K40" s="200"/>
      <c r="L40" s="200"/>
      <c r="M40" s="201"/>
      <c r="N40" s="201" t="s">
        <v>2357</v>
      </c>
      <c r="P40" s="141" t="str">
        <f t="shared" si="4"/>
        <v/>
      </c>
      <c r="Q40" s="141" t="str">
        <f t="shared" si="5"/>
        <v/>
      </c>
      <c r="U40" s="141">
        <v>3411</v>
      </c>
      <c r="V40" s="141" t="s">
        <v>193</v>
      </c>
      <c r="X40" s="141" t="str">
        <f t="shared" si="6"/>
        <v>34</v>
      </c>
      <c r="Y40" s="141" t="str">
        <f t="shared" si="7"/>
        <v>341</v>
      </c>
      <c r="AA40" s="141" t="s">
        <v>1505</v>
      </c>
      <c r="AB40" s="141" t="s">
        <v>1506</v>
      </c>
    </row>
    <row r="41" spans="1:28">
      <c r="A41" s="151"/>
      <c r="B41" s="146" t="str">
        <f t="shared" si="1"/>
        <v/>
      </c>
      <c r="C41" s="151"/>
      <c r="D41" s="146" t="str">
        <f t="shared" si="2"/>
        <v/>
      </c>
      <c r="E41" s="186"/>
      <c r="F41" s="146" t="str">
        <f t="shared" si="3"/>
        <v/>
      </c>
      <c r="G41" s="185"/>
      <c r="H41" s="185"/>
      <c r="I41" s="185"/>
      <c r="J41" s="201"/>
      <c r="K41" s="200"/>
      <c r="L41" s="200"/>
      <c r="M41" s="201"/>
      <c r="N41" s="201"/>
      <c r="P41" s="141" t="str">
        <f t="shared" si="4"/>
        <v/>
      </c>
      <c r="Q41" s="141" t="str">
        <f t="shared" si="5"/>
        <v/>
      </c>
      <c r="U41" s="141">
        <v>3422</v>
      </c>
      <c r="V41" s="141" t="s">
        <v>156</v>
      </c>
      <c r="X41" s="141" t="str">
        <f t="shared" si="6"/>
        <v>34</v>
      </c>
      <c r="Y41" s="141" t="str">
        <f t="shared" si="7"/>
        <v>342</v>
      </c>
      <c r="AA41" s="141" t="s">
        <v>1507</v>
      </c>
      <c r="AB41" s="141" t="s">
        <v>1508</v>
      </c>
    </row>
    <row r="42" spans="1:28">
      <c r="A42" s="151"/>
      <c r="B42" s="146" t="str">
        <f t="shared" si="1"/>
        <v/>
      </c>
      <c r="C42" s="151"/>
      <c r="D42" s="146" t="str">
        <f t="shared" si="2"/>
        <v/>
      </c>
      <c r="E42" s="186"/>
      <c r="F42" s="146" t="str">
        <f t="shared" si="3"/>
        <v/>
      </c>
      <c r="G42" s="185"/>
      <c r="H42" s="185"/>
      <c r="I42" s="185"/>
      <c r="J42" s="201"/>
      <c r="K42" s="200"/>
      <c r="L42" s="200"/>
      <c r="M42" s="201"/>
      <c r="N42" s="201"/>
      <c r="P42" s="141" t="str">
        <f t="shared" si="4"/>
        <v/>
      </c>
      <c r="Q42" s="141" t="str">
        <f t="shared" si="5"/>
        <v/>
      </c>
      <c r="U42" s="141">
        <v>3423</v>
      </c>
      <c r="V42" s="141" t="s">
        <v>156</v>
      </c>
      <c r="X42" s="141" t="str">
        <f t="shared" si="6"/>
        <v>34</v>
      </c>
      <c r="Y42" s="141" t="str">
        <f t="shared" si="7"/>
        <v>342</v>
      </c>
      <c r="AA42" s="141" t="s">
        <v>828</v>
      </c>
      <c r="AB42" s="141" t="s">
        <v>829</v>
      </c>
    </row>
    <row r="43" spans="1:28">
      <c r="A43" s="151"/>
      <c r="B43" s="146" t="str">
        <f t="shared" si="1"/>
        <v/>
      </c>
      <c r="C43" s="151"/>
      <c r="D43" s="146" t="str">
        <f t="shared" si="2"/>
        <v/>
      </c>
      <c r="E43" s="186"/>
      <c r="F43" s="146" t="str">
        <f t="shared" si="3"/>
        <v/>
      </c>
      <c r="G43" s="185"/>
      <c r="H43" s="185"/>
      <c r="I43" s="185"/>
      <c r="J43" s="201"/>
      <c r="K43" s="200"/>
      <c r="L43" s="200"/>
      <c r="M43" s="201"/>
      <c r="N43" s="201"/>
      <c r="P43" s="141" t="str">
        <f t="shared" si="4"/>
        <v/>
      </c>
      <c r="Q43" s="141" t="str">
        <f t="shared" si="5"/>
        <v/>
      </c>
      <c r="U43" s="141">
        <v>3427</v>
      </c>
      <c r="V43" s="141" t="s">
        <v>195</v>
      </c>
      <c r="X43" s="141" t="str">
        <f t="shared" si="6"/>
        <v>34</v>
      </c>
      <c r="Y43" s="141" t="str">
        <f t="shared" si="7"/>
        <v>342</v>
      </c>
      <c r="AA43" s="141" t="s">
        <v>830</v>
      </c>
      <c r="AB43" s="141" t="s">
        <v>831</v>
      </c>
    </row>
    <row r="44" spans="1:28">
      <c r="A44" s="151"/>
      <c r="B44" s="146" t="str">
        <f t="shared" si="1"/>
        <v/>
      </c>
      <c r="C44" s="151"/>
      <c r="D44" s="146" t="str">
        <f t="shared" si="2"/>
        <v/>
      </c>
      <c r="E44" s="186"/>
      <c r="F44" s="146" t="str">
        <f t="shared" si="3"/>
        <v/>
      </c>
      <c r="G44" s="185"/>
      <c r="H44" s="185"/>
      <c r="I44" s="185"/>
      <c r="J44" s="201"/>
      <c r="K44" s="200"/>
      <c r="L44" s="200"/>
      <c r="M44" s="201"/>
      <c r="N44" s="201"/>
      <c r="P44" s="141" t="str">
        <f t="shared" si="4"/>
        <v/>
      </c>
      <c r="Q44" s="141" t="str">
        <f t="shared" si="5"/>
        <v/>
      </c>
      <c r="U44" s="141">
        <v>3431</v>
      </c>
      <c r="V44" s="141" t="s">
        <v>89</v>
      </c>
      <c r="X44" s="141" t="str">
        <f t="shared" si="6"/>
        <v>34</v>
      </c>
      <c r="Y44" s="141" t="str">
        <f t="shared" si="7"/>
        <v>343</v>
      </c>
      <c r="AA44" s="141" t="s">
        <v>832</v>
      </c>
      <c r="AB44" s="141" t="s">
        <v>833</v>
      </c>
    </row>
    <row r="45" spans="1:28">
      <c r="A45" s="151"/>
      <c r="B45" s="146" t="str">
        <f t="shared" si="1"/>
        <v/>
      </c>
      <c r="C45" s="151"/>
      <c r="D45" s="146" t="str">
        <f t="shared" si="2"/>
        <v/>
      </c>
      <c r="E45" s="186"/>
      <c r="F45" s="146" t="str">
        <f t="shared" si="3"/>
        <v/>
      </c>
      <c r="G45" s="185"/>
      <c r="H45" s="185"/>
      <c r="I45" s="185"/>
      <c r="J45" s="201"/>
      <c r="K45" s="200"/>
      <c r="L45" s="200"/>
      <c r="M45" s="201"/>
      <c r="N45" s="201"/>
      <c r="P45" s="141" t="str">
        <f t="shared" si="4"/>
        <v/>
      </c>
      <c r="Q45" s="141" t="str">
        <f t="shared" si="5"/>
        <v/>
      </c>
      <c r="U45" s="141">
        <v>3432</v>
      </c>
      <c r="V45" s="141" t="s">
        <v>105</v>
      </c>
      <c r="X45" s="141" t="str">
        <f t="shared" si="6"/>
        <v>34</v>
      </c>
      <c r="Y45" s="141" t="str">
        <f t="shared" si="7"/>
        <v>343</v>
      </c>
      <c r="AA45" s="141" t="s">
        <v>834</v>
      </c>
      <c r="AB45" s="141" t="s">
        <v>835</v>
      </c>
    </row>
    <row r="46" spans="1:28">
      <c r="A46" s="151"/>
      <c r="B46" s="146" t="str">
        <f t="shared" si="1"/>
        <v/>
      </c>
      <c r="C46" s="151"/>
      <c r="D46" s="146" t="str">
        <f t="shared" si="2"/>
        <v/>
      </c>
      <c r="E46" s="186"/>
      <c r="F46" s="146" t="str">
        <f t="shared" si="3"/>
        <v/>
      </c>
      <c r="G46" s="185"/>
      <c r="H46" s="185"/>
      <c r="I46" s="185"/>
      <c r="J46" s="201"/>
      <c r="K46" s="200"/>
      <c r="L46" s="200"/>
      <c r="M46" s="201"/>
      <c r="N46" s="201"/>
      <c r="P46" s="141" t="str">
        <f t="shared" si="4"/>
        <v/>
      </c>
      <c r="Q46" s="141" t="str">
        <f t="shared" si="5"/>
        <v/>
      </c>
      <c r="U46" s="141">
        <v>3433</v>
      </c>
      <c r="V46" s="141" t="s">
        <v>143</v>
      </c>
      <c r="X46" s="141" t="str">
        <f t="shared" si="6"/>
        <v>34</v>
      </c>
      <c r="Y46" s="141" t="str">
        <f t="shared" si="7"/>
        <v>343</v>
      </c>
      <c r="AA46" s="141" t="s">
        <v>836</v>
      </c>
      <c r="AB46" s="141" t="s">
        <v>837</v>
      </c>
    </row>
    <row r="47" spans="1:28">
      <c r="A47" s="151"/>
      <c r="B47" s="146" t="str">
        <f t="shared" si="1"/>
        <v/>
      </c>
      <c r="C47" s="151"/>
      <c r="D47" s="146" t="str">
        <f t="shared" si="2"/>
        <v/>
      </c>
      <c r="E47" s="186"/>
      <c r="F47" s="146" t="str">
        <f t="shared" si="3"/>
        <v/>
      </c>
      <c r="G47" s="185"/>
      <c r="H47" s="185"/>
      <c r="I47" s="185"/>
      <c r="J47" s="201"/>
      <c r="K47" s="200"/>
      <c r="L47" s="200"/>
      <c r="M47" s="201"/>
      <c r="N47" s="201"/>
      <c r="P47" s="141" t="str">
        <f t="shared" si="4"/>
        <v/>
      </c>
      <c r="Q47" s="141" t="str">
        <f t="shared" si="5"/>
        <v/>
      </c>
      <c r="U47" s="141">
        <v>3434</v>
      </c>
      <c r="V47" s="141" t="s">
        <v>74</v>
      </c>
      <c r="X47" s="141" t="str">
        <f t="shared" si="6"/>
        <v>34</v>
      </c>
      <c r="Y47" s="141" t="str">
        <f t="shared" si="7"/>
        <v>343</v>
      </c>
      <c r="AA47" s="141" t="s">
        <v>838</v>
      </c>
      <c r="AB47" s="141" t="s">
        <v>839</v>
      </c>
    </row>
    <row r="48" spans="1:28">
      <c r="A48" s="151"/>
      <c r="B48" s="146" t="str">
        <f t="shared" si="1"/>
        <v/>
      </c>
      <c r="C48" s="151"/>
      <c r="D48" s="146" t="str">
        <f t="shared" si="2"/>
        <v/>
      </c>
      <c r="E48" s="186"/>
      <c r="F48" s="146" t="str">
        <f t="shared" si="3"/>
        <v/>
      </c>
      <c r="G48" s="185"/>
      <c r="H48" s="185"/>
      <c r="I48" s="185"/>
      <c r="J48" s="201"/>
      <c r="K48" s="200"/>
      <c r="L48" s="200"/>
      <c r="M48" s="201"/>
      <c r="N48" s="201"/>
      <c r="P48" s="141" t="str">
        <f t="shared" si="4"/>
        <v/>
      </c>
      <c r="Q48" s="141" t="str">
        <f t="shared" si="5"/>
        <v/>
      </c>
      <c r="U48" s="141">
        <v>3511</v>
      </c>
      <c r="V48" s="141" t="s">
        <v>186</v>
      </c>
      <c r="X48" s="141" t="str">
        <f t="shared" si="6"/>
        <v>35</v>
      </c>
      <c r="Y48" s="141" t="str">
        <f t="shared" si="7"/>
        <v>351</v>
      </c>
      <c r="AA48" s="141" t="s">
        <v>840</v>
      </c>
      <c r="AB48" s="141" t="s">
        <v>841</v>
      </c>
    </row>
    <row r="49" spans="1:28">
      <c r="A49" s="151"/>
      <c r="B49" s="146" t="str">
        <f t="shared" si="1"/>
        <v/>
      </c>
      <c r="C49" s="151"/>
      <c r="D49" s="146" t="str">
        <f t="shared" si="2"/>
        <v/>
      </c>
      <c r="E49" s="186"/>
      <c r="F49" s="146" t="str">
        <f t="shared" si="3"/>
        <v/>
      </c>
      <c r="G49" s="185"/>
      <c r="H49" s="185"/>
      <c r="I49" s="185"/>
      <c r="J49" s="201"/>
      <c r="K49" s="200"/>
      <c r="L49" s="200"/>
      <c r="M49" s="201"/>
      <c r="N49" s="201"/>
      <c r="P49" s="141" t="str">
        <f t="shared" si="4"/>
        <v/>
      </c>
      <c r="Q49" s="141" t="str">
        <f t="shared" si="5"/>
        <v/>
      </c>
      <c r="U49" s="141">
        <v>3512</v>
      </c>
      <c r="V49" s="141" t="s">
        <v>188</v>
      </c>
      <c r="X49" s="141" t="str">
        <f t="shared" si="6"/>
        <v>35</v>
      </c>
      <c r="Y49" s="141" t="str">
        <f t="shared" si="7"/>
        <v>351</v>
      </c>
      <c r="AA49" s="141" t="s">
        <v>842</v>
      </c>
      <c r="AB49" s="141" t="s">
        <v>843</v>
      </c>
    </row>
    <row r="50" spans="1:28">
      <c r="A50" s="151"/>
      <c r="B50" s="146" t="str">
        <f t="shared" si="1"/>
        <v/>
      </c>
      <c r="C50" s="151"/>
      <c r="D50" s="146" t="str">
        <f t="shared" si="2"/>
        <v/>
      </c>
      <c r="E50" s="186"/>
      <c r="F50" s="146" t="str">
        <f t="shared" si="3"/>
        <v/>
      </c>
      <c r="G50" s="185"/>
      <c r="H50" s="185"/>
      <c r="I50" s="185"/>
      <c r="J50" s="201"/>
      <c r="K50" s="200"/>
      <c r="L50" s="200"/>
      <c r="M50" s="201"/>
      <c r="N50" s="201"/>
      <c r="P50" s="141" t="str">
        <f t="shared" si="4"/>
        <v/>
      </c>
      <c r="Q50" s="141" t="str">
        <f t="shared" si="5"/>
        <v/>
      </c>
      <c r="U50" s="141">
        <v>3522</v>
      </c>
      <c r="V50" s="141" t="s">
        <v>265</v>
      </c>
      <c r="X50" s="141" t="str">
        <f t="shared" si="6"/>
        <v>35</v>
      </c>
      <c r="Y50" s="141" t="str">
        <f t="shared" si="7"/>
        <v>352</v>
      </c>
      <c r="AA50" s="141" t="s">
        <v>844</v>
      </c>
      <c r="AB50" s="141" t="s">
        <v>845</v>
      </c>
    </row>
    <row r="51" spans="1:28">
      <c r="A51" s="151"/>
      <c r="B51" s="146" t="str">
        <f t="shared" si="1"/>
        <v/>
      </c>
      <c r="C51" s="151"/>
      <c r="D51" s="146" t="str">
        <f t="shared" si="2"/>
        <v/>
      </c>
      <c r="E51" s="186"/>
      <c r="F51" s="146" t="str">
        <f t="shared" si="3"/>
        <v/>
      </c>
      <c r="G51" s="185"/>
      <c r="H51" s="185"/>
      <c r="I51" s="185"/>
      <c r="J51" s="201"/>
      <c r="K51" s="200"/>
      <c r="L51" s="200"/>
      <c r="M51" s="201"/>
      <c r="N51" s="201"/>
      <c r="P51" s="141" t="str">
        <f t="shared" si="4"/>
        <v/>
      </c>
      <c r="Q51" s="141" t="str">
        <f t="shared" si="5"/>
        <v/>
      </c>
      <c r="U51" s="141">
        <v>3531</v>
      </c>
      <c r="V51" s="141" t="s">
        <v>140</v>
      </c>
      <c r="X51" s="141" t="str">
        <f t="shared" si="6"/>
        <v>35</v>
      </c>
      <c r="Y51" s="141" t="str">
        <f t="shared" si="7"/>
        <v>353</v>
      </c>
      <c r="AA51" s="141" t="s">
        <v>1588</v>
      </c>
      <c r="AB51" s="141" t="s">
        <v>1589</v>
      </c>
    </row>
    <row r="52" spans="1:28">
      <c r="A52" s="151"/>
      <c r="B52" s="146" t="str">
        <f t="shared" si="1"/>
        <v/>
      </c>
      <c r="C52" s="151"/>
      <c r="D52" s="146" t="str">
        <f t="shared" si="2"/>
        <v/>
      </c>
      <c r="E52" s="186"/>
      <c r="F52" s="146" t="str">
        <f t="shared" si="3"/>
        <v/>
      </c>
      <c r="G52" s="185"/>
      <c r="H52" s="185"/>
      <c r="I52" s="185"/>
      <c r="J52" s="201"/>
      <c r="K52" s="200"/>
      <c r="L52" s="200"/>
      <c r="M52" s="201"/>
      <c r="N52" s="201"/>
      <c r="P52" s="141" t="str">
        <f t="shared" si="4"/>
        <v/>
      </c>
      <c r="Q52" s="141" t="str">
        <f t="shared" si="5"/>
        <v/>
      </c>
      <c r="U52" s="141">
        <v>3611</v>
      </c>
      <c r="V52" s="141" t="s">
        <v>94</v>
      </c>
      <c r="X52" s="141" t="str">
        <f t="shared" si="6"/>
        <v>36</v>
      </c>
      <c r="Y52" s="141" t="str">
        <f t="shared" si="7"/>
        <v>361</v>
      </c>
      <c r="AA52" s="141" t="s">
        <v>1590</v>
      </c>
      <c r="AB52" s="141" t="s">
        <v>1591</v>
      </c>
    </row>
    <row r="53" spans="1:28">
      <c r="A53" s="151"/>
      <c r="B53" s="146" t="str">
        <f t="shared" si="1"/>
        <v/>
      </c>
      <c r="C53" s="151"/>
      <c r="D53" s="146" t="str">
        <f t="shared" si="2"/>
        <v/>
      </c>
      <c r="E53" s="186"/>
      <c r="F53" s="146" t="str">
        <f t="shared" si="3"/>
        <v/>
      </c>
      <c r="G53" s="185"/>
      <c r="H53" s="185"/>
      <c r="I53" s="185"/>
      <c r="J53" s="201"/>
      <c r="K53" s="200"/>
      <c r="L53" s="200"/>
      <c r="M53" s="201"/>
      <c r="N53" s="201"/>
      <c r="P53" s="141" t="str">
        <f t="shared" si="4"/>
        <v/>
      </c>
      <c r="Q53" s="141" t="str">
        <f t="shared" si="5"/>
        <v/>
      </c>
      <c r="U53" s="141">
        <v>3621</v>
      </c>
      <c r="V53" s="141" t="s">
        <v>144</v>
      </c>
      <c r="X53" s="141" t="str">
        <f t="shared" si="6"/>
        <v>36</v>
      </c>
      <c r="Y53" s="141" t="str">
        <f t="shared" si="7"/>
        <v>362</v>
      </c>
      <c r="AA53" s="141" t="s">
        <v>1592</v>
      </c>
      <c r="AB53" s="141" t="s">
        <v>1593</v>
      </c>
    </row>
    <row r="54" spans="1:28">
      <c r="A54" s="151"/>
      <c r="B54" s="146" t="str">
        <f t="shared" si="1"/>
        <v/>
      </c>
      <c r="C54" s="151"/>
      <c r="D54" s="146" t="str">
        <f t="shared" si="2"/>
        <v/>
      </c>
      <c r="E54" s="186"/>
      <c r="F54" s="146" t="str">
        <f t="shared" si="3"/>
        <v/>
      </c>
      <c r="G54" s="185"/>
      <c r="H54" s="185"/>
      <c r="I54" s="185"/>
      <c r="J54" s="201"/>
      <c r="K54" s="200"/>
      <c r="L54" s="200"/>
      <c r="M54" s="201"/>
      <c r="N54" s="201"/>
      <c r="P54" s="141" t="str">
        <f t="shared" si="4"/>
        <v/>
      </c>
      <c r="Q54" s="141" t="str">
        <f t="shared" si="5"/>
        <v/>
      </c>
      <c r="U54" s="141">
        <v>3631</v>
      </c>
      <c r="V54" s="141" t="s">
        <v>185</v>
      </c>
      <c r="X54" s="141" t="str">
        <f t="shared" si="6"/>
        <v>36</v>
      </c>
      <c r="Y54" s="141" t="str">
        <f t="shared" si="7"/>
        <v>363</v>
      </c>
      <c r="AA54" s="141" t="s">
        <v>1594</v>
      </c>
      <c r="AB54" s="141" t="s">
        <v>1595</v>
      </c>
    </row>
    <row r="55" spans="1:28">
      <c r="A55" s="151"/>
      <c r="B55" s="146" t="str">
        <f t="shared" si="1"/>
        <v/>
      </c>
      <c r="C55" s="151"/>
      <c r="D55" s="146" t="str">
        <f t="shared" si="2"/>
        <v/>
      </c>
      <c r="E55" s="186"/>
      <c r="F55" s="146" t="str">
        <f t="shared" si="3"/>
        <v/>
      </c>
      <c r="G55" s="185"/>
      <c r="H55" s="185"/>
      <c r="I55" s="185"/>
      <c r="J55" s="201"/>
      <c r="K55" s="200"/>
      <c r="L55" s="200"/>
      <c r="M55" s="201"/>
      <c r="N55" s="201"/>
      <c r="P55" s="141" t="str">
        <f t="shared" si="4"/>
        <v/>
      </c>
      <c r="Q55" s="141" t="str">
        <f t="shared" si="5"/>
        <v/>
      </c>
      <c r="U55" s="141">
        <v>3632</v>
      </c>
      <c r="V55" s="141" t="s">
        <v>266</v>
      </c>
      <c r="X55" s="141" t="str">
        <f t="shared" si="6"/>
        <v>36</v>
      </c>
      <c r="Y55" s="141" t="str">
        <f t="shared" si="7"/>
        <v>363</v>
      </c>
      <c r="AA55" s="141" t="s">
        <v>1596</v>
      </c>
      <c r="AB55" s="141" t="s">
        <v>1597</v>
      </c>
    </row>
    <row r="56" spans="1:28">
      <c r="A56" s="151"/>
      <c r="B56" s="146" t="str">
        <f t="shared" si="1"/>
        <v/>
      </c>
      <c r="C56" s="151"/>
      <c r="D56" s="146" t="str">
        <f t="shared" si="2"/>
        <v/>
      </c>
      <c r="E56" s="186"/>
      <c r="F56" s="146" t="str">
        <f t="shared" si="3"/>
        <v/>
      </c>
      <c r="G56" s="185"/>
      <c r="H56" s="185"/>
      <c r="I56" s="185"/>
      <c r="J56" s="201"/>
      <c r="K56" s="200"/>
      <c r="L56" s="200"/>
      <c r="M56" s="201"/>
      <c r="N56" s="201"/>
      <c r="P56" s="141" t="str">
        <f t="shared" si="4"/>
        <v/>
      </c>
      <c r="Q56" s="141" t="str">
        <f t="shared" si="5"/>
        <v/>
      </c>
      <c r="U56" s="141">
        <v>3661</v>
      </c>
      <c r="V56" s="141" t="s">
        <v>106</v>
      </c>
      <c r="X56" s="141" t="str">
        <f t="shared" si="6"/>
        <v>36</v>
      </c>
      <c r="Y56" s="141" t="str">
        <f t="shared" si="7"/>
        <v>366</v>
      </c>
      <c r="AA56" s="141" t="s">
        <v>1598</v>
      </c>
      <c r="AB56" s="141" t="s">
        <v>1599</v>
      </c>
    </row>
    <row r="57" spans="1:28">
      <c r="A57" s="151"/>
      <c r="B57" s="146" t="str">
        <f t="shared" si="1"/>
        <v/>
      </c>
      <c r="C57" s="151"/>
      <c r="D57" s="146" t="str">
        <f t="shared" si="2"/>
        <v/>
      </c>
      <c r="E57" s="186"/>
      <c r="F57" s="146" t="str">
        <f t="shared" si="3"/>
        <v/>
      </c>
      <c r="G57" s="185"/>
      <c r="H57" s="185"/>
      <c r="I57" s="185"/>
      <c r="J57" s="201"/>
      <c r="K57" s="200"/>
      <c r="L57" s="200"/>
      <c r="M57" s="201"/>
      <c r="N57" s="201"/>
      <c r="P57" s="141" t="str">
        <f t="shared" si="4"/>
        <v/>
      </c>
      <c r="Q57" s="141" t="str">
        <f t="shared" si="5"/>
        <v/>
      </c>
      <c r="U57" s="141">
        <v>3662</v>
      </c>
      <c r="V57" s="141" t="s">
        <v>189</v>
      </c>
      <c r="X57" s="141" t="str">
        <f t="shared" si="6"/>
        <v>36</v>
      </c>
      <c r="Y57" s="141" t="str">
        <f t="shared" si="7"/>
        <v>366</v>
      </c>
      <c r="AA57" s="141" t="s">
        <v>1600</v>
      </c>
      <c r="AB57" s="141" t="s">
        <v>1601</v>
      </c>
    </row>
    <row r="58" spans="1:28">
      <c r="A58" s="151"/>
      <c r="B58" s="146" t="str">
        <f t="shared" si="1"/>
        <v/>
      </c>
      <c r="C58" s="151"/>
      <c r="D58" s="146" t="str">
        <f t="shared" si="2"/>
        <v/>
      </c>
      <c r="E58" s="186"/>
      <c r="F58" s="146" t="str">
        <f t="shared" si="3"/>
        <v/>
      </c>
      <c r="G58" s="185"/>
      <c r="H58" s="185"/>
      <c r="I58" s="185"/>
      <c r="J58" s="201"/>
      <c r="K58" s="200"/>
      <c r="L58" s="200"/>
      <c r="M58" s="201"/>
      <c r="N58" s="201"/>
      <c r="P58" s="141" t="str">
        <f t="shared" si="4"/>
        <v/>
      </c>
      <c r="Q58" s="141" t="str">
        <f t="shared" si="5"/>
        <v/>
      </c>
      <c r="U58" s="141">
        <v>3681</v>
      </c>
      <c r="V58" s="141" t="s">
        <v>29</v>
      </c>
      <c r="X58" s="141" t="str">
        <f t="shared" si="6"/>
        <v>36</v>
      </c>
      <c r="Y58" s="141" t="str">
        <f t="shared" si="7"/>
        <v>368</v>
      </c>
      <c r="AA58" s="141" t="s">
        <v>1602</v>
      </c>
      <c r="AB58" s="141" t="s">
        <v>1603</v>
      </c>
    </row>
    <row r="59" spans="1:28">
      <c r="A59" s="151"/>
      <c r="B59" s="146" t="str">
        <f t="shared" si="1"/>
        <v/>
      </c>
      <c r="C59" s="151"/>
      <c r="D59" s="146" t="str">
        <f t="shared" si="2"/>
        <v/>
      </c>
      <c r="E59" s="186"/>
      <c r="F59" s="146" t="str">
        <f t="shared" si="3"/>
        <v/>
      </c>
      <c r="G59" s="185"/>
      <c r="H59" s="185"/>
      <c r="I59" s="185"/>
      <c r="J59" s="201"/>
      <c r="K59" s="200"/>
      <c r="L59" s="200"/>
      <c r="M59" s="201"/>
      <c r="N59" s="201"/>
      <c r="P59" s="141" t="str">
        <f t="shared" si="4"/>
        <v/>
      </c>
      <c r="Q59" s="141" t="str">
        <f t="shared" si="5"/>
        <v/>
      </c>
      <c r="U59" s="141">
        <v>3682</v>
      </c>
      <c r="V59" s="141" t="s">
        <v>30</v>
      </c>
      <c r="X59" s="141" t="str">
        <f t="shared" si="6"/>
        <v>36</v>
      </c>
      <c r="Y59" s="141" t="str">
        <f t="shared" si="7"/>
        <v>368</v>
      </c>
      <c r="AA59" s="141" t="s">
        <v>1604</v>
      </c>
      <c r="AB59" s="141" t="s">
        <v>1605</v>
      </c>
    </row>
    <row r="60" spans="1:28">
      <c r="A60" s="151"/>
      <c r="B60" s="146" t="str">
        <f t="shared" si="1"/>
        <v/>
      </c>
      <c r="C60" s="151"/>
      <c r="D60" s="146" t="str">
        <f t="shared" si="2"/>
        <v/>
      </c>
      <c r="E60" s="186"/>
      <c r="F60" s="146" t="str">
        <f t="shared" si="3"/>
        <v/>
      </c>
      <c r="G60" s="185"/>
      <c r="H60" s="185"/>
      <c r="I60" s="185"/>
      <c r="J60" s="201"/>
      <c r="K60" s="200"/>
      <c r="L60" s="200"/>
      <c r="M60" s="201"/>
      <c r="N60" s="201"/>
      <c r="P60" s="141" t="str">
        <f t="shared" si="4"/>
        <v/>
      </c>
      <c r="Q60" s="141" t="str">
        <f t="shared" si="5"/>
        <v/>
      </c>
      <c r="U60" s="141">
        <v>3691</v>
      </c>
      <c r="V60" s="141" t="s">
        <v>111</v>
      </c>
      <c r="X60" s="141" t="str">
        <f t="shared" si="6"/>
        <v>36</v>
      </c>
      <c r="Y60" s="141" t="str">
        <f t="shared" si="7"/>
        <v>369</v>
      </c>
      <c r="AA60" s="141" t="s">
        <v>1606</v>
      </c>
      <c r="AB60" s="141" t="s">
        <v>1607</v>
      </c>
    </row>
    <row r="61" spans="1:28">
      <c r="A61" s="151"/>
      <c r="B61" s="146" t="str">
        <f t="shared" si="1"/>
        <v/>
      </c>
      <c r="C61" s="151"/>
      <c r="D61" s="146" t="str">
        <f t="shared" si="2"/>
        <v/>
      </c>
      <c r="E61" s="186"/>
      <c r="F61" s="146" t="str">
        <f t="shared" si="3"/>
        <v/>
      </c>
      <c r="G61" s="185"/>
      <c r="H61" s="185"/>
      <c r="I61" s="185"/>
      <c r="J61" s="201"/>
      <c r="K61" s="200"/>
      <c r="L61" s="200"/>
      <c r="M61" s="201"/>
      <c r="N61" s="201"/>
      <c r="P61" s="141" t="str">
        <f t="shared" si="4"/>
        <v/>
      </c>
      <c r="Q61" s="141" t="str">
        <f t="shared" si="5"/>
        <v/>
      </c>
      <c r="U61" s="141">
        <v>3692</v>
      </c>
      <c r="V61" s="141" t="s">
        <v>183</v>
      </c>
      <c r="X61" s="141" t="str">
        <f t="shared" si="6"/>
        <v>36</v>
      </c>
      <c r="Y61" s="141" t="str">
        <f t="shared" si="7"/>
        <v>369</v>
      </c>
      <c r="AA61" s="141" t="s">
        <v>1608</v>
      </c>
      <c r="AB61" s="141" t="s">
        <v>1609</v>
      </c>
    </row>
    <row r="62" spans="1:28">
      <c r="A62" s="151"/>
      <c r="B62" s="146" t="str">
        <f t="shared" si="1"/>
        <v/>
      </c>
      <c r="C62" s="151"/>
      <c r="D62" s="146" t="str">
        <f t="shared" si="2"/>
        <v/>
      </c>
      <c r="E62" s="186"/>
      <c r="F62" s="146" t="str">
        <f t="shared" si="3"/>
        <v/>
      </c>
      <c r="G62" s="185"/>
      <c r="H62" s="185"/>
      <c r="I62" s="185"/>
      <c r="J62" s="201"/>
      <c r="K62" s="200"/>
      <c r="L62" s="200"/>
      <c r="M62" s="201"/>
      <c r="N62" s="201"/>
      <c r="P62" s="141" t="str">
        <f t="shared" si="4"/>
        <v/>
      </c>
      <c r="Q62" s="141" t="str">
        <f t="shared" si="5"/>
        <v/>
      </c>
      <c r="U62" s="141">
        <v>3693</v>
      </c>
      <c r="V62" s="141" t="s">
        <v>111</v>
      </c>
      <c r="X62" s="141" t="str">
        <f t="shared" si="6"/>
        <v>36</v>
      </c>
      <c r="Y62" s="141" t="str">
        <f t="shared" si="7"/>
        <v>369</v>
      </c>
      <c r="AA62" s="141" t="s">
        <v>1610</v>
      </c>
      <c r="AB62" s="141" t="s">
        <v>1611</v>
      </c>
    </row>
    <row r="63" spans="1:28">
      <c r="A63" s="151"/>
      <c r="B63" s="146" t="str">
        <f t="shared" si="1"/>
        <v/>
      </c>
      <c r="C63" s="151"/>
      <c r="D63" s="146" t="str">
        <f t="shared" si="2"/>
        <v/>
      </c>
      <c r="E63" s="186"/>
      <c r="F63" s="146" t="str">
        <f t="shared" si="3"/>
        <v/>
      </c>
      <c r="G63" s="185"/>
      <c r="H63" s="185"/>
      <c r="I63" s="185"/>
      <c r="J63" s="201"/>
      <c r="K63" s="200"/>
      <c r="L63" s="200"/>
      <c r="M63" s="201"/>
      <c r="N63" s="201"/>
      <c r="P63" s="141" t="str">
        <f t="shared" si="4"/>
        <v/>
      </c>
      <c r="Q63" s="141" t="str">
        <f t="shared" si="5"/>
        <v/>
      </c>
      <c r="U63" s="141">
        <v>3694</v>
      </c>
      <c r="V63" s="141" t="s">
        <v>183</v>
      </c>
      <c r="X63" s="141" t="str">
        <f t="shared" si="6"/>
        <v>36</v>
      </c>
      <c r="Y63" s="141" t="str">
        <f t="shared" si="7"/>
        <v>369</v>
      </c>
      <c r="AA63" s="141" t="s">
        <v>1612</v>
      </c>
      <c r="AB63" s="141" t="s">
        <v>1613</v>
      </c>
    </row>
    <row r="64" spans="1:28">
      <c r="A64" s="151"/>
      <c r="B64" s="146" t="str">
        <f t="shared" si="1"/>
        <v/>
      </c>
      <c r="C64" s="151"/>
      <c r="D64" s="146" t="str">
        <f t="shared" si="2"/>
        <v/>
      </c>
      <c r="E64" s="186"/>
      <c r="F64" s="146" t="str">
        <f t="shared" si="3"/>
        <v/>
      </c>
      <c r="G64" s="185"/>
      <c r="H64" s="185"/>
      <c r="I64" s="185"/>
      <c r="J64" s="201"/>
      <c r="K64" s="200"/>
      <c r="L64" s="200"/>
      <c r="M64" s="201"/>
      <c r="N64" s="201"/>
      <c r="P64" s="141" t="str">
        <f t="shared" si="4"/>
        <v/>
      </c>
      <c r="Q64" s="141" t="str">
        <f t="shared" si="5"/>
        <v/>
      </c>
      <c r="U64" s="141">
        <v>3711</v>
      </c>
      <c r="V64" s="141" t="s">
        <v>130</v>
      </c>
      <c r="X64" s="141" t="str">
        <f t="shared" si="6"/>
        <v>37</v>
      </c>
      <c r="Y64" s="141" t="str">
        <f t="shared" si="7"/>
        <v>371</v>
      </c>
      <c r="AA64" s="141" t="s">
        <v>1614</v>
      </c>
      <c r="AB64" s="141" t="s">
        <v>1615</v>
      </c>
    </row>
    <row r="65" spans="1:28">
      <c r="A65" s="151"/>
      <c r="B65" s="146" t="str">
        <f t="shared" si="1"/>
        <v/>
      </c>
      <c r="C65" s="151"/>
      <c r="D65" s="146" t="str">
        <f t="shared" si="2"/>
        <v/>
      </c>
      <c r="E65" s="186"/>
      <c r="F65" s="146" t="str">
        <f t="shared" si="3"/>
        <v/>
      </c>
      <c r="G65" s="185"/>
      <c r="H65" s="185"/>
      <c r="I65" s="185"/>
      <c r="J65" s="201"/>
      <c r="K65" s="200"/>
      <c r="L65" s="200"/>
      <c r="M65" s="201"/>
      <c r="N65" s="201"/>
      <c r="P65" s="141" t="str">
        <f t="shared" si="4"/>
        <v/>
      </c>
      <c r="Q65" s="141" t="str">
        <f t="shared" si="5"/>
        <v/>
      </c>
      <c r="U65" s="141">
        <v>3712</v>
      </c>
      <c r="V65" s="141" t="s">
        <v>148</v>
      </c>
      <c r="X65" s="141" t="str">
        <f t="shared" si="6"/>
        <v>37</v>
      </c>
      <c r="Y65" s="141" t="str">
        <f t="shared" si="7"/>
        <v>371</v>
      </c>
      <c r="AA65" s="141" t="s">
        <v>1616</v>
      </c>
      <c r="AB65" s="141" t="s">
        <v>1617</v>
      </c>
    </row>
    <row r="66" spans="1:28">
      <c r="A66" s="151"/>
      <c r="B66" s="146" t="str">
        <f t="shared" si="1"/>
        <v/>
      </c>
      <c r="C66" s="151"/>
      <c r="D66" s="146" t="str">
        <f t="shared" si="2"/>
        <v/>
      </c>
      <c r="E66" s="186"/>
      <c r="F66" s="146" t="str">
        <f t="shared" si="3"/>
        <v/>
      </c>
      <c r="G66" s="185"/>
      <c r="H66" s="185"/>
      <c r="I66" s="185"/>
      <c r="J66" s="201"/>
      <c r="K66" s="200"/>
      <c r="L66" s="200"/>
      <c r="M66" s="201"/>
      <c r="N66" s="201"/>
      <c r="P66" s="141" t="str">
        <f t="shared" si="4"/>
        <v/>
      </c>
      <c r="Q66" s="141" t="str">
        <f t="shared" si="5"/>
        <v/>
      </c>
      <c r="U66" s="141">
        <v>3713</v>
      </c>
      <c r="V66" s="141" t="s">
        <v>175</v>
      </c>
      <c r="X66" s="141" t="str">
        <f t="shared" si="6"/>
        <v>37</v>
      </c>
      <c r="Y66" s="141" t="str">
        <f t="shared" si="7"/>
        <v>371</v>
      </c>
      <c r="AA66" s="141" t="s">
        <v>846</v>
      </c>
      <c r="AB66" s="141" t="s">
        <v>847</v>
      </c>
    </row>
    <row r="67" spans="1:28">
      <c r="A67" s="151"/>
      <c r="B67" s="146" t="str">
        <f t="shared" si="1"/>
        <v/>
      </c>
      <c r="C67" s="151"/>
      <c r="D67" s="146" t="str">
        <f t="shared" si="2"/>
        <v/>
      </c>
      <c r="E67" s="186"/>
      <c r="F67" s="146" t="str">
        <f t="shared" si="3"/>
        <v/>
      </c>
      <c r="G67" s="185"/>
      <c r="H67" s="185"/>
      <c r="I67" s="185"/>
      <c r="J67" s="201"/>
      <c r="K67" s="200"/>
      <c r="L67" s="200"/>
      <c r="M67" s="201"/>
      <c r="N67" s="201"/>
      <c r="P67" s="141" t="str">
        <f t="shared" si="4"/>
        <v/>
      </c>
      <c r="Q67" s="141" t="str">
        <f t="shared" si="5"/>
        <v/>
      </c>
      <c r="U67" s="141">
        <v>3714</v>
      </c>
      <c r="V67" s="141" t="s">
        <v>196</v>
      </c>
      <c r="X67" s="141" t="str">
        <f t="shared" si="6"/>
        <v>37</v>
      </c>
      <c r="Y67" s="141" t="str">
        <f t="shared" si="7"/>
        <v>371</v>
      </c>
      <c r="AA67" s="141" t="s">
        <v>848</v>
      </c>
      <c r="AB67" s="141" t="s">
        <v>849</v>
      </c>
    </row>
    <row r="68" spans="1:28">
      <c r="A68" s="151"/>
      <c r="B68" s="146" t="str">
        <f t="shared" ref="B68:B131" si="11">IFERROR(VLOOKUP(A68,$R$6:$S$23,2,FALSE),"")</f>
        <v/>
      </c>
      <c r="C68" s="151"/>
      <c r="D68" s="146" t="str">
        <f t="shared" ref="D68:D131" si="12">IFERROR(VLOOKUP(C68,$U$5:$W$129,2,FALSE),"")</f>
        <v/>
      </c>
      <c r="E68" s="186"/>
      <c r="F68" s="146" t="str">
        <f t="shared" ref="F68:F131" si="13">IFERROR(VLOOKUP(E68,$AA$5:$AB$500,2,FALSE),"")</f>
        <v/>
      </c>
      <c r="G68" s="185"/>
      <c r="H68" s="185"/>
      <c r="I68" s="185"/>
      <c r="J68" s="201"/>
      <c r="K68" s="200"/>
      <c r="L68" s="200"/>
      <c r="M68" s="201"/>
      <c r="N68" s="201"/>
      <c r="P68" s="141" t="str">
        <f t="shared" ref="P68:P131" si="14">LEFT(C68,3)</f>
        <v/>
      </c>
      <c r="Q68" s="141" t="str">
        <f t="shared" ref="Q68:Q131" si="15">LEFT(C68,2)</f>
        <v/>
      </c>
      <c r="U68" s="141">
        <v>3715</v>
      </c>
      <c r="V68" s="141" t="s">
        <v>134</v>
      </c>
      <c r="X68" s="141" t="str">
        <f t="shared" si="6"/>
        <v>37</v>
      </c>
      <c r="Y68" s="141" t="str">
        <f t="shared" si="7"/>
        <v>371</v>
      </c>
      <c r="AA68" s="141" t="s">
        <v>850</v>
      </c>
      <c r="AB68" s="141" t="s">
        <v>851</v>
      </c>
    </row>
    <row r="69" spans="1:28">
      <c r="A69" s="151"/>
      <c r="B69" s="146" t="str">
        <f t="shared" si="11"/>
        <v/>
      </c>
      <c r="C69" s="151"/>
      <c r="D69" s="146" t="str">
        <f t="shared" si="12"/>
        <v/>
      </c>
      <c r="E69" s="186"/>
      <c r="F69" s="146" t="str">
        <f t="shared" si="13"/>
        <v/>
      </c>
      <c r="G69" s="185"/>
      <c r="H69" s="185"/>
      <c r="I69" s="185"/>
      <c r="J69" s="201"/>
      <c r="K69" s="200"/>
      <c r="L69" s="200"/>
      <c r="M69" s="201"/>
      <c r="N69" s="201"/>
      <c r="P69" s="141" t="str">
        <f t="shared" si="14"/>
        <v/>
      </c>
      <c r="Q69" s="141" t="str">
        <f t="shared" si="15"/>
        <v/>
      </c>
      <c r="U69" s="141">
        <v>3721</v>
      </c>
      <c r="V69" s="141" t="s">
        <v>72</v>
      </c>
      <c r="X69" s="141" t="str">
        <f t="shared" ref="X69:X129" si="16">LEFT(U69,2)</f>
        <v>37</v>
      </c>
      <c r="Y69" s="141" t="str">
        <f t="shared" si="7"/>
        <v>372</v>
      </c>
      <c r="AA69" s="141" t="s">
        <v>852</v>
      </c>
      <c r="AB69" s="141" t="s">
        <v>853</v>
      </c>
    </row>
    <row r="70" spans="1:28">
      <c r="A70" s="151"/>
      <c r="B70" s="146" t="str">
        <f t="shared" si="11"/>
        <v/>
      </c>
      <c r="C70" s="151"/>
      <c r="D70" s="146" t="str">
        <f t="shared" si="12"/>
        <v/>
      </c>
      <c r="E70" s="186"/>
      <c r="F70" s="146" t="str">
        <f t="shared" si="13"/>
        <v/>
      </c>
      <c r="G70" s="185"/>
      <c r="H70" s="185"/>
      <c r="I70" s="185"/>
      <c r="J70" s="201"/>
      <c r="K70" s="200"/>
      <c r="L70" s="200"/>
      <c r="M70" s="201"/>
      <c r="N70" s="201"/>
      <c r="P70" s="141" t="str">
        <f t="shared" si="14"/>
        <v/>
      </c>
      <c r="Q70" s="141" t="str">
        <f t="shared" si="15"/>
        <v/>
      </c>
      <c r="U70" s="141">
        <v>3722</v>
      </c>
      <c r="V70" s="141" t="s">
        <v>157</v>
      </c>
      <c r="X70" s="141" t="str">
        <f t="shared" si="16"/>
        <v>37</v>
      </c>
      <c r="Y70" s="141" t="str">
        <f t="shared" ref="Y70:Y129" si="17">LEFT(U70,3)</f>
        <v>372</v>
      </c>
      <c r="AA70" s="141" t="s">
        <v>854</v>
      </c>
      <c r="AB70" s="141" t="s">
        <v>855</v>
      </c>
    </row>
    <row r="71" spans="1:28">
      <c r="A71" s="151"/>
      <c r="B71" s="146" t="str">
        <f t="shared" si="11"/>
        <v/>
      </c>
      <c r="C71" s="151"/>
      <c r="D71" s="146" t="str">
        <f t="shared" si="12"/>
        <v/>
      </c>
      <c r="E71" s="186"/>
      <c r="F71" s="146" t="str">
        <f t="shared" si="13"/>
        <v/>
      </c>
      <c r="G71" s="185"/>
      <c r="H71" s="185"/>
      <c r="I71" s="185"/>
      <c r="J71" s="201"/>
      <c r="K71" s="200"/>
      <c r="L71" s="200"/>
      <c r="M71" s="201"/>
      <c r="N71" s="201"/>
      <c r="P71" s="141" t="str">
        <f t="shared" si="14"/>
        <v/>
      </c>
      <c r="Q71" s="141" t="str">
        <f t="shared" si="15"/>
        <v/>
      </c>
      <c r="U71" s="141">
        <v>3723</v>
      </c>
      <c r="V71" s="141" t="s">
        <v>112</v>
      </c>
      <c r="X71" s="141" t="str">
        <f t="shared" si="16"/>
        <v>37</v>
      </c>
      <c r="Y71" s="141" t="str">
        <f t="shared" si="17"/>
        <v>372</v>
      </c>
      <c r="AA71" s="141" t="s">
        <v>856</v>
      </c>
      <c r="AB71" s="141" t="s">
        <v>857</v>
      </c>
    </row>
    <row r="72" spans="1:28">
      <c r="A72" s="151"/>
      <c r="B72" s="146" t="str">
        <f t="shared" si="11"/>
        <v/>
      </c>
      <c r="C72" s="151"/>
      <c r="D72" s="146" t="str">
        <f t="shared" si="12"/>
        <v/>
      </c>
      <c r="E72" s="186"/>
      <c r="F72" s="146" t="str">
        <f t="shared" si="13"/>
        <v/>
      </c>
      <c r="G72" s="185"/>
      <c r="H72" s="185"/>
      <c r="I72" s="185"/>
      <c r="J72" s="201"/>
      <c r="K72" s="200"/>
      <c r="L72" s="200"/>
      <c r="M72" s="201"/>
      <c r="N72" s="201"/>
      <c r="P72" s="141" t="str">
        <f t="shared" si="14"/>
        <v/>
      </c>
      <c r="Q72" s="141" t="str">
        <f t="shared" si="15"/>
        <v/>
      </c>
      <c r="U72" s="141">
        <v>3811</v>
      </c>
      <c r="V72" s="141" t="s">
        <v>62</v>
      </c>
      <c r="X72" s="141" t="str">
        <f t="shared" si="16"/>
        <v>38</v>
      </c>
      <c r="Y72" s="141" t="str">
        <f t="shared" si="17"/>
        <v>381</v>
      </c>
      <c r="AA72" s="141" t="s">
        <v>858</v>
      </c>
      <c r="AB72" s="141" t="s">
        <v>859</v>
      </c>
    </row>
    <row r="73" spans="1:28">
      <c r="A73" s="151"/>
      <c r="B73" s="146" t="str">
        <f t="shared" si="11"/>
        <v/>
      </c>
      <c r="C73" s="151"/>
      <c r="D73" s="146" t="str">
        <f t="shared" si="12"/>
        <v/>
      </c>
      <c r="E73" s="186"/>
      <c r="F73" s="146" t="str">
        <f t="shared" si="13"/>
        <v/>
      </c>
      <c r="G73" s="185"/>
      <c r="H73" s="185"/>
      <c r="I73" s="185"/>
      <c r="J73" s="201"/>
      <c r="K73" s="200"/>
      <c r="L73" s="200"/>
      <c r="M73" s="201"/>
      <c r="N73" s="201"/>
      <c r="P73" s="141" t="str">
        <f t="shared" si="14"/>
        <v/>
      </c>
      <c r="Q73" s="141" t="str">
        <f t="shared" si="15"/>
        <v/>
      </c>
      <c r="U73" s="141">
        <v>3812</v>
      </c>
      <c r="V73" s="141" t="s">
        <v>158</v>
      </c>
      <c r="X73" s="141" t="str">
        <f t="shared" si="16"/>
        <v>38</v>
      </c>
      <c r="Y73" s="141" t="str">
        <f t="shared" si="17"/>
        <v>381</v>
      </c>
      <c r="AA73" s="141" t="s">
        <v>860</v>
      </c>
      <c r="AB73" s="141" t="s">
        <v>861</v>
      </c>
    </row>
    <row r="74" spans="1:28">
      <c r="A74" s="151"/>
      <c r="B74" s="146" t="str">
        <f t="shared" si="11"/>
        <v/>
      </c>
      <c r="C74" s="151"/>
      <c r="D74" s="146" t="str">
        <f t="shared" si="12"/>
        <v/>
      </c>
      <c r="E74" s="186"/>
      <c r="F74" s="146" t="str">
        <f t="shared" si="13"/>
        <v/>
      </c>
      <c r="G74" s="185"/>
      <c r="H74" s="185"/>
      <c r="I74" s="185"/>
      <c r="J74" s="201"/>
      <c r="K74" s="200"/>
      <c r="L74" s="200"/>
      <c r="M74" s="201"/>
      <c r="N74" s="201"/>
      <c r="P74" s="141" t="str">
        <f t="shared" si="14"/>
        <v/>
      </c>
      <c r="Q74" s="141" t="str">
        <f t="shared" si="15"/>
        <v/>
      </c>
      <c r="U74" s="141">
        <v>3813</v>
      </c>
      <c r="V74" s="141" t="s">
        <v>101</v>
      </c>
      <c r="X74" s="141" t="str">
        <f t="shared" si="16"/>
        <v>38</v>
      </c>
      <c r="Y74" s="141" t="str">
        <f t="shared" si="17"/>
        <v>381</v>
      </c>
      <c r="AA74" s="141" t="s">
        <v>862</v>
      </c>
      <c r="AB74" s="141" t="s">
        <v>863</v>
      </c>
    </row>
    <row r="75" spans="1:28">
      <c r="A75" s="151"/>
      <c r="B75" s="146" t="str">
        <f t="shared" si="11"/>
        <v/>
      </c>
      <c r="C75" s="151"/>
      <c r="D75" s="146" t="str">
        <f t="shared" si="12"/>
        <v/>
      </c>
      <c r="E75" s="186"/>
      <c r="F75" s="146" t="str">
        <f t="shared" si="13"/>
        <v/>
      </c>
      <c r="G75" s="185"/>
      <c r="H75" s="185"/>
      <c r="I75" s="185"/>
      <c r="J75" s="201"/>
      <c r="K75" s="200"/>
      <c r="L75" s="200"/>
      <c r="M75" s="201"/>
      <c r="N75" s="201"/>
      <c r="P75" s="141" t="str">
        <f t="shared" si="14"/>
        <v/>
      </c>
      <c r="Q75" s="141" t="str">
        <f t="shared" si="15"/>
        <v/>
      </c>
      <c r="U75" s="141">
        <v>3821</v>
      </c>
      <c r="V75" s="141" t="s">
        <v>176</v>
      </c>
      <c r="X75" s="141" t="str">
        <f t="shared" si="16"/>
        <v>38</v>
      </c>
      <c r="Y75" s="141" t="str">
        <f t="shared" si="17"/>
        <v>382</v>
      </c>
      <c r="AA75" s="141" t="s">
        <v>864</v>
      </c>
      <c r="AB75" s="141" t="s">
        <v>865</v>
      </c>
    </row>
    <row r="76" spans="1:28">
      <c r="A76" s="151"/>
      <c r="B76" s="146" t="str">
        <f t="shared" si="11"/>
        <v/>
      </c>
      <c r="C76" s="151"/>
      <c r="D76" s="146" t="str">
        <f t="shared" si="12"/>
        <v/>
      </c>
      <c r="E76" s="186"/>
      <c r="F76" s="146" t="str">
        <f t="shared" si="13"/>
        <v/>
      </c>
      <c r="G76" s="185"/>
      <c r="H76" s="185"/>
      <c r="I76" s="185"/>
      <c r="J76" s="201"/>
      <c r="K76" s="200"/>
      <c r="L76" s="200"/>
      <c r="M76" s="201"/>
      <c r="N76" s="201"/>
      <c r="P76" s="141" t="str">
        <f t="shared" si="14"/>
        <v/>
      </c>
      <c r="Q76" s="141" t="str">
        <f t="shared" si="15"/>
        <v/>
      </c>
      <c r="U76" s="141">
        <v>3831</v>
      </c>
      <c r="V76" s="141" t="s">
        <v>159</v>
      </c>
      <c r="X76" s="141" t="str">
        <f t="shared" si="16"/>
        <v>38</v>
      </c>
      <c r="Y76" s="141" t="str">
        <f t="shared" si="17"/>
        <v>383</v>
      </c>
      <c r="AA76" s="141" t="s">
        <v>866</v>
      </c>
      <c r="AB76" s="141" t="s">
        <v>867</v>
      </c>
    </row>
    <row r="77" spans="1:28">
      <c r="A77" s="151"/>
      <c r="B77" s="146" t="str">
        <f t="shared" si="11"/>
        <v/>
      </c>
      <c r="C77" s="151"/>
      <c r="D77" s="146" t="str">
        <f t="shared" si="12"/>
        <v/>
      </c>
      <c r="E77" s="186"/>
      <c r="F77" s="146" t="str">
        <f t="shared" si="13"/>
        <v/>
      </c>
      <c r="G77" s="185"/>
      <c r="H77" s="185"/>
      <c r="I77" s="185"/>
      <c r="J77" s="201"/>
      <c r="K77" s="200"/>
      <c r="L77" s="200"/>
      <c r="M77" s="201"/>
      <c r="N77" s="201"/>
      <c r="P77" s="141" t="str">
        <f t="shared" si="14"/>
        <v/>
      </c>
      <c r="Q77" s="141" t="str">
        <f t="shared" si="15"/>
        <v/>
      </c>
      <c r="U77" s="141">
        <v>3832</v>
      </c>
      <c r="V77" s="141" t="s">
        <v>199</v>
      </c>
      <c r="X77" s="141" t="str">
        <f t="shared" si="16"/>
        <v>38</v>
      </c>
      <c r="Y77" s="141" t="str">
        <f t="shared" si="17"/>
        <v>383</v>
      </c>
      <c r="AA77" s="141" t="s">
        <v>868</v>
      </c>
      <c r="AB77" s="141" t="s">
        <v>869</v>
      </c>
    </row>
    <row r="78" spans="1:28">
      <c r="A78" s="151"/>
      <c r="B78" s="146" t="str">
        <f t="shared" si="11"/>
        <v/>
      </c>
      <c r="C78" s="151"/>
      <c r="D78" s="146" t="str">
        <f t="shared" si="12"/>
        <v/>
      </c>
      <c r="E78" s="186"/>
      <c r="F78" s="146" t="str">
        <f t="shared" si="13"/>
        <v/>
      </c>
      <c r="G78" s="185"/>
      <c r="H78" s="185"/>
      <c r="I78" s="185"/>
      <c r="J78" s="201"/>
      <c r="K78" s="200"/>
      <c r="L78" s="200"/>
      <c r="M78" s="201"/>
      <c r="N78" s="201"/>
      <c r="P78" s="141" t="str">
        <f t="shared" si="14"/>
        <v/>
      </c>
      <c r="Q78" s="141" t="str">
        <f t="shared" si="15"/>
        <v/>
      </c>
      <c r="U78" s="141">
        <v>3833</v>
      </c>
      <c r="V78" s="141" t="s">
        <v>160</v>
      </c>
      <c r="X78" s="141" t="str">
        <f t="shared" si="16"/>
        <v>38</v>
      </c>
      <c r="Y78" s="141" t="str">
        <f t="shared" si="17"/>
        <v>383</v>
      </c>
      <c r="AA78" s="141" t="s">
        <v>870</v>
      </c>
      <c r="AB78" s="141" t="s">
        <v>871</v>
      </c>
    </row>
    <row r="79" spans="1:28">
      <c r="A79" s="151"/>
      <c r="B79" s="146" t="str">
        <f t="shared" si="11"/>
        <v/>
      </c>
      <c r="C79" s="151"/>
      <c r="D79" s="146" t="str">
        <f t="shared" si="12"/>
        <v/>
      </c>
      <c r="E79" s="186"/>
      <c r="F79" s="146" t="str">
        <f t="shared" si="13"/>
        <v/>
      </c>
      <c r="G79" s="185"/>
      <c r="H79" s="185"/>
      <c r="I79" s="185"/>
      <c r="J79" s="201"/>
      <c r="K79" s="200"/>
      <c r="L79" s="200"/>
      <c r="M79" s="201"/>
      <c r="N79" s="201"/>
      <c r="P79" s="141" t="str">
        <f t="shared" si="14"/>
        <v/>
      </c>
      <c r="Q79" s="141" t="str">
        <f t="shared" si="15"/>
        <v/>
      </c>
      <c r="U79" s="141">
        <v>3834</v>
      </c>
      <c r="V79" s="141" t="s">
        <v>161</v>
      </c>
      <c r="X79" s="141" t="str">
        <f t="shared" si="16"/>
        <v>38</v>
      </c>
      <c r="Y79" s="141" t="str">
        <f t="shared" si="17"/>
        <v>383</v>
      </c>
      <c r="AA79" s="141" t="s">
        <v>872</v>
      </c>
      <c r="AB79" s="141" t="s">
        <v>873</v>
      </c>
    </row>
    <row r="80" spans="1:28">
      <c r="A80" s="151"/>
      <c r="B80" s="146" t="str">
        <f t="shared" si="11"/>
        <v/>
      </c>
      <c r="C80" s="151"/>
      <c r="D80" s="146" t="str">
        <f t="shared" si="12"/>
        <v/>
      </c>
      <c r="E80" s="186"/>
      <c r="F80" s="146" t="str">
        <f t="shared" si="13"/>
        <v/>
      </c>
      <c r="G80" s="185"/>
      <c r="H80" s="185"/>
      <c r="I80" s="185"/>
      <c r="J80" s="201"/>
      <c r="K80" s="200"/>
      <c r="L80" s="200"/>
      <c r="M80" s="201"/>
      <c r="N80" s="201"/>
      <c r="P80" s="141" t="str">
        <f t="shared" si="14"/>
        <v/>
      </c>
      <c r="Q80" s="141" t="str">
        <f t="shared" si="15"/>
        <v/>
      </c>
      <c r="U80" s="141">
        <v>3835</v>
      </c>
      <c r="V80" s="141" t="s">
        <v>162</v>
      </c>
      <c r="X80" s="141" t="str">
        <f t="shared" si="16"/>
        <v>38</v>
      </c>
      <c r="Y80" s="141" t="str">
        <f t="shared" si="17"/>
        <v>383</v>
      </c>
      <c r="AA80" s="141" t="s">
        <v>874</v>
      </c>
      <c r="AB80" s="141" t="s">
        <v>875</v>
      </c>
    </row>
    <row r="81" spans="1:28">
      <c r="A81" s="151"/>
      <c r="B81" s="146" t="str">
        <f t="shared" si="11"/>
        <v/>
      </c>
      <c r="C81" s="151"/>
      <c r="D81" s="146" t="str">
        <f t="shared" si="12"/>
        <v/>
      </c>
      <c r="E81" s="186"/>
      <c r="F81" s="146" t="str">
        <f t="shared" si="13"/>
        <v/>
      </c>
      <c r="G81" s="185"/>
      <c r="H81" s="185"/>
      <c r="I81" s="185"/>
      <c r="J81" s="201"/>
      <c r="K81" s="200"/>
      <c r="L81" s="200"/>
      <c r="M81" s="201"/>
      <c r="N81" s="201"/>
      <c r="P81" s="141" t="str">
        <f t="shared" si="14"/>
        <v/>
      </c>
      <c r="Q81" s="141" t="str">
        <f t="shared" si="15"/>
        <v/>
      </c>
      <c r="U81" s="197">
        <v>3861</v>
      </c>
      <c r="V81" s="198" t="s">
        <v>788</v>
      </c>
      <c r="W81" s="197"/>
      <c r="X81" s="197" t="str">
        <f t="shared" si="16"/>
        <v>38</v>
      </c>
      <c r="Y81" s="197" t="str">
        <f t="shared" si="17"/>
        <v>386</v>
      </c>
      <c r="AA81" s="141" t="s">
        <v>876</v>
      </c>
      <c r="AB81" s="141" t="s">
        <v>877</v>
      </c>
    </row>
    <row r="82" spans="1:28">
      <c r="A82" s="151"/>
      <c r="B82" s="146" t="str">
        <f t="shared" si="11"/>
        <v/>
      </c>
      <c r="C82" s="151"/>
      <c r="D82" s="146" t="str">
        <f t="shared" si="12"/>
        <v/>
      </c>
      <c r="E82" s="186"/>
      <c r="F82" s="146" t="str">
        <f t="shared" si="13"/>
        <v/>
      </c>
      <c r="G82" s="185"/>
      <c r="H82" s="185"/>
      <c r="I82" s="185"/>
      <c r="J82" s="201"/>
      <c r="K82" s="200"/>
      <c r="L82" s="200"/>
      <c r="M82" s="201"/>
      <c r="N82" s="201"/>
      <c r="P82" s="141" t="str">
        <f t="shared" si="14"/>
        <v/>
      </c>
      <c r="Q82" s="141" t="str">
        <f t="shared" si="15"/>
        <v/>
      </c>
      <c r="U82" s="196">
        <v>3862</v>
      </c>
      <c r="V82" s="141" t="s">
        <v>789</v>
      </c>
      <c r="X82" s="141" t="str">
        <f t="shared" si="16"/>
        <v>38</v>
      </c>
      <c r="Y82" s="141" t="str">
        <f t="shared" si="17"/>
        <v>386</v>
      </c>
      <c r="AA82" s="141" t="s">
        <v>878</v>
      </c>
      <c r="AB82" s="141" t="s">
        <v>879</v>
      </c>
    </row>
    <row r="83" spans="1:28">
      <c r="A83" s="151"/>
      <c r="B83" s="146" t="str">
        <f t="shared" si="11"/>
        <v/>
      </c>
      <c r="C83" s="151"/>
      <c r="D83" s="146" t="str">
        <f t="shared" si="12"/>
        <v/>
      </c>
      <c r="E83" s="186"/>
      <c r="F83" s="146" t="str">
        <f t="shared" si="13"/>
        <v/>
      </c>
      <c r="G83" s="185"/>
      <c r="H83" s="185"/>
      <c r="I83" s="185"/>
      <c r="J83" s="201"/>
      <c r="K83" s="200"/>
      <c r="L83" s="200"/>
      <c r="M83" s="201"/>
      <c r="N83" s="201"/>
      <c r="P83" s="141" t="str">
        <f t="shared" si="14"/>
        <v/>
      </c>
      <c r="Q83" s="141" t="str">
        <f t="shared" si="15"/>
        <v/>
      </c>
      <c r="U83" s="196">
        <v>3863</v>
      </c>
      <c r="V83" s="141" t="s">
        <v>790</v>
      </c>
      <c r="X83" s="141" t="str">
        <f t="shared" si="16"/>
        <v>38</v>
      </c>
      <c r="Y83" s="141" t="str">
        <f t="shared" si="17"/>
        <v>386</v>
      </c>
      <c r="AA83" s="141" t="s">
        <v>880</v>
      </c>
      <c r="AB83" s="141" t="s">
        <v>881</v>
      </c>
    </row>
    <row r="84" spans="1:28">
      <c r="A84" s="151"/>
      <c r="B84" s="146" t="str">
        <f t="shared" si="11"/>
        <v/>
      </c>
      <c r="C84" s="151"/>
      <c r="D84" s="146" t="str">
        <f t="shared" si="12"/>
        <v/>
      </c>
      <c r="E84" s="186"/>
      <c r="F84" s="146" t="str">
        <f t="shared" si="13"/>
        <v/>
      </c>
      <c r="G84" s="185"/>
      <c r="H84" s="185"/>
      <c r="I84" s="185"/>
      <c r="J84" s="201"/>
      <c r="K84" s="200"/>
      <c r="L84" s="200"/>
      <c r="M84" s="201"/>
      <c r="N84" s="201"/>
      <c r="P84" s="141" t="str">
        <f t="shared" si="14"/>
        <v/>
      </c>
      <c r="Q84" s="141" t="str">
        <f t="shared" si="15"/>
        <v/>
      </c>
      <c r="U84" s="141">
        <v>4111</v>
      </c>
      <c r="V84" s="141" t="s">
        <v>163</v>
      </c>
      <c r="X84" s="141" t="str">
        <f t="shared" si="16"/>
        <v>41</v>
      </c>
      <c r="Y84" s="141" t="str">
        <f t="shared" si="17"/>
        <v>411</v>
      </c>
      <c r="AA84" s="141" t="s">
        <v>882</v>
      </c>
      <c r="AB84" s="141" t="s">
        <v>883</v>
      </c>
    </row>
    <row r="85" spans="1:28">
      <c r="A85" s="151"/>
      <c r="B85" s="146" t="str">
        <f t="shared" si="11"/>
        <v/>
      </c>
      <c r="C85" s="151"/>
      <c r="D85" s="146" t="str">
        <f t="shared" si="12"/>
        <v/>
      </c>
      <c r="E85" s="186"/>
      <c r="F85" s="146" t="str">
        <f t="shared" si="13"/>
        <v/>
      </c>
      <c r="G85" s="185"/>
      <c r="H85" s="185"/>
      <c r="I85" s="185"/>
      <c r="J85" s="201"/>
      <c r="K85" s="200"/>
      <c r="L85" s="200"/>
      <c r="M85" s="201"/>
      <c r="N85" s="201"/>
      <c r="P85" s="141" t="str">
        <f t="shared" si="14"/>
        <v/>
      </c>
      <c r="Q85" s="141" t="str">
        <f t="shared" si="15"/>
        <v/>
      </c>
      <c r="U85" s="141">
        <v>4113</v>
      </c>
      <c r="V85" s="141" t="s">
        <v>197</v>
      </c>
      <c r="X85" s="141" t="str">
        <f t="shared" si="16"/>
        <v>41</v>
      </c>
      <c r="Y85" s="141" t="str">
        <f t="shared" si="17"/>
        <v>411</v>
      </c>
      <c r="AA85" s="141" t="s">
        <v>884</v>
      </c>
      <c r="AB85" s="141" t="s">
        <v>885</v>
      </c>
    </row>
    <row r="86" spans="1:28">
      <c r="A86" s="151"/>
      <c r="B86" s="146" t="str">
        <f t="shared" si="11"/>
        <v/>
      </c>
      <c r="C86" s="151"/>
      <c r="D86" s="146" t="str">
        <f t="shared" si="12"/>
        <v/>
      </c>
      <c r="E86" s="186"/>
      <c r="F86" s="146" t="str">
        <f t="shared" si="13"/>
        <v/>
      </c>
      <c r="G86" s="185"/>
      <c r="H86" s="185"/>
      <c r="I86" s="185"/>
      <c r="J86" s="201"/>
      <c r="K86" s="200"/>
      <c r="L86" s="200"/>
      <c r="M86" s="201"/>
      <c r="N86" s="201"/>
      <c r="P86" s="141" t="str">
        <f t="shared" si="14"/>
        <v/>
      </c>
      <c r="Q86" s="141" t="str">
        <f t="shared" si="15"/>
        <v/>
      </c>
      <c r="U86" s="141">
        <v>4122</v>
      </c>
      <c r="V86" s="141" t="s">
        <v>164</v>
      </c>
      <c r="X86" s="141" t="str">
        <f t="shared" si="16"/>
        <v>41</v>
      </c>
      <c r="Y86" s="141" t="str">
        <f t="shared" si="17"/>
        <v>412</v>
      </c>
      <c r="AA86" s="141" t="s">
        <v>886</v>
      </c>
      <c r="AB86" s="141" t="s">
        <v>887</v>
      </c>
    </row>
    <row r="87" spans="1:28">
      <c r="A87" s="151"/>
      <c r="B87" s="146" t="str">
        <f t="shared" si="11"/>
        <v/>
      </c>
      <c r="C87" s="151"/>
      <c r="D87" s="146" t="str">
        <f t="shared" si="12"/>
        <v/>
      </c>
      <c r="E87" s="186"/>
      <c r="F87" s="146" t="str">
        <f t="shared" si="13"/>
        <v/>
      </c>
      <c r="G87" s="185"/>
      <c r="H87" s="185"/>
      <c r="I87" s="185"/>
      <c r="J87" s="201"/>
      <c r="K87" s="200"/>
      <c r="L87" s="200"/>
      <c r="M87" s="201"/>
      <c r="N87" s="201"/>
      <c r="P87" s="141" t="str">
        <f t="shared" si="14"/>
        <v/>
      </c>
      <c r="Q87" s="141" t="str">
        <f t="shared" si="15"/>
        <v/>
      </c>
      <c r="U87" s="141">
        <v>4123</v>
      </c>
      <c r="V87" s="141" t="s">
        <v>135</v>
      </c>
      <c r="X87" s="141" t="str">
        <f t="shared" si="16"/>
        <v>41</v>
      </c>
      <c r="Y87" s="141" t="str">
        <f t="shared" si="17"/>
        <v>412</v>
      </c>
      <c r="AA87" s="141" t="s">
        <v>888</v>
      </c>
      <c r="AB87" s="141" t="s">
        <v>889</v>
      </c>
    </row>
    <row r="88" spans="1:28">
      <c r="A88" s="151"/>
      <c r="B88" s="146" t="str">
        <f t="shared" si="11"/>
        <v/>
      </c>
      <c r="C88" s="151"/>
      <c r="D88" s="146" t="str">
        <f t="shared" si="12"/>
        <v/>
      </c>
      <c r="E88" s="186"/>
      <c r="F88" s="146" t="str">
        <f t="shared" si="13"/>
        <v/>
      </c>
      <c r="G88" s="185"/>
      <c r="H88" s="185"/>
      <c r="I88" s="185"/>
      <c r="J88" s="201"/>
      <c r="K88" s="200"/>
      <c r="L88" s="200"/>
      <c r="M88" s="201"/>
      <c r="N88" s="201"/>
      <c r="P88" s="141" t="str">
        <f t="shared" si="14"/>
        <v/>
      </c>
      <c r="Q88" s="141" t="str">
        <f t="shared" si="15"/>
        <v/>
      </c>
      <c r="U88" s="141">
        <v>4124</v>
      </c>
      <c r="V88" s="141" t="s">
        <v>121</v>
      </c>
      <c r="X88" s="141" t="str">
        <f t="shared" si="16"/>
        <v>41</v>
      </c>
      <c r="Y88" s="141" t="str">
        <f t="shared" si="17"/>
        <v>412</v>
      </c>
      <c r="AA88" s="141" t="s">
        <v>890</v>
      </c>
      <c r="AB88" s="141" t="s">
        <v>891</v>
      </c>
    </row>
    <row r="89" spans="1:28">
      <c r="A89" s="151"/>
      <c r="B89" s="146" t="str">
        <f t="shared" si="11"/>
        <v/>
      </c>
      <c r="C89" s="151"/>
      <c r="D89" s="146" t="str">
        <f t="shared" si="12"/>
        <v/>
      </c>
      <c r="E89" s="186"/>
      <c r="F89" s="146" t="str">
        <f t="shared" si="13"/>
        <v/>
      </c>
      <c r="G89" s="185"/>
      <c r="H89" s="185"/>
      <c r="I89" s="185"/>
      <c r="J89" s="201"/>
      <c r="K89" s="200"/>
      <c r="L89" s="200"/>
      <c r="M89" s="201"/>
      <c r="N89" s="201"/>
      <c r="P89" s="141" t="str">
        <f t="shared" si="14"/>
        <v/>
      </c>
      <c r="Q89" s="141" t="str">
        <f t="shared" si="15"/>
        <v/>
      </c>
      <c r="U89" s="141">
        <v>4126</v>
      </c>
      <c r="V89" s="141" t="s">
        <v>165</v>
      </c>
      <c r="X89" s="141" t="str">
        <f t="shared" si="16"/>
        <v>41</v>
      </c>
      <c r="Y89" s="141" t="str">
        <f t="shared" si="17"/>
        <v>412</v>
      </c>
      <c r="AA89" s="141" t="s">
        <v>1618</v>
      </c>
      <c r="AB89" s="141" t="s">
        <v>1619</v>
      </c>
    </row>
    <row r="90" spans="1:28">
      <c r="A90" s="151"/>
      <c r="B90" s="146" t="str">
        <f t="shared" si="11"/>
        <v/>
      </c>
      <c r="C90" s="151"/>
      <c r="D90" s="146" t="str">
        <f t="shared" si="12"/>
        <v/>
      </c>
      <c r="E90" s="186"/>
      <c r="F90" s="146" t="str">
        <f t="shared" si="13"/>
        <v/>
      </c>
      <c r="G90" s="185"/>
      <c r="H90" s="185"/>
      <c r="I90" s="185"/>
      <c r="J90" s="201"/>
      <c r="K90" s="200"/>
      <c r="L90" s="200"/>
      <c r="M90" s="201"/>
      <c r="N90" s="201"/>
      <c r="P90" s="141" t="str">
        <f t="shared" si="14"/>
        <v/>
      </c>
      <c r="Q90" s="141" t="str">
        <f t="shared" si="15"/>
        <v/>
      </c>
      <c r="U90" s="141">
        <v>4211</v>
      </c>
      <c r="V90" s="141" t="s">
        <v>179</v>
      </c>
      <c r="X90" s="141" t="str">
        <f t="shared" si="16"/>
        <v>42</v>
      </c>
      <c r="Y90" s="141" t="str">
        <f t="shared" si="17"/>
        <v>421</v>
      </c>
      <c r="AA90" s="141" t="s">
        <v>1620</v>
      </c>
      <c r="AB90" s="141" t="s">
        <v>1621</v>
      </c>
    </row>
    <row r="91" spans="1:28">
      <c r="A91" s="151"/>
      <c r="B91" s="146" t="str">
        <f t="shared" si="11"/>
        <v/>
      </c>
      <c r="C91" s="151"/>
      <c r="D91" s="146" t="str">
        <f t="shared" si="12"/>
        <v/>
      </c>
      <c r="E91" s="186"/>
      <c r="F91" s="146" t="str">
        <f t="shared" si="13"/>
        <v/>
      </c>
      <c r="G91" s="185"/>
      <c r="H91" s="185"/>
      <c r="I91" s="185"/>
      <c r="J91" s="201"/>
      <c r="K91" s="200"/>
      <c r="L91" s="200"/>
      <c r="M91" s="201"/>
      <c r="N91" s="201"/>
      <c r="P91" s="141" t="str">
        <f t="shared" si="14"/>
        <v/>
      </c>
      <c r="Q91" s="141" t="str">
        <f t="shared" si="15"/>
        <v/>
      </c>
      <c r="U91" s="141">
        <v>4212</v>
      </c>
      <c r="V91" s="141" t="s">
        <v>67</v>
      </c>
      <c r="X91" s="141" t="str">
        <f t="shared" si="16"/>
        <v>42</v>
      </c>
      <c r="Y91" s="141" t="str">
        <f t="shared" si="17"/>
        <v>421</v>
      </c>
      <c r="AA91" s="141" t="s">
        <v>1622</v>
      </c>
      <c r="AB91" s="141" t="s">
        <v>1623</v>
      </c>
    </row>
    <row r="92" spans="1:28">
      <c r="A92" s="151"/>
      <c r="B92" s="146" t="str">
        <f t="shared" si="11"/>
        <v/>
      </c>
      <c r="C92" s="151"/>
      <c r="D92" s="146" t="str">
        <f t="shared" si="12"/>
        <v/>
      </c>
      <c r="E92" s="186"/>
      <c r="F92" s="146" t="str">
        <f t="shared" si="13"/>
        <v/>
      </c>
      <c r="G92" s="185"/>
      <c r="H92" s="185"/>
      <c r="I92" s="185"/>
      <c r="J92" s="201"/>
      <c r="K92" s="200"/>
      <c r="L92" s="200"/>
      <c r="M92" s="201"/>
      <c r="N92" s="201"/>
      <c r="P92" s="141" t="str">
        <f t="shared" si="14"/>
        <v/>
      </c>
      <c r="Q92" s="141" t="str">
        <f t="shared" si="15"/>
        <v/>
      </c>
      <c r="U92" s="141">
        <v>4213</v>
      </c>
      <c r="V92" s="141" t="s">
        <v>166</v>
      </c>
      <c r="X92" s="141" t="str">
        <f t="shared" si="16"/>
        <v>42</v>
      </c>
      <c r="Y92" s="141" t="str">
        <f t="shared" si="17"/>
        <v>421</v>
      </c>
      <c r="AA92" s="141" t="s">
        <v>1624</v>
      </c>
      <c r="AB92" s="141" t="s">
        <v>1625</v>
      </c>
    </row>
    <row r="93" spans="1:28">
      <c r="A93" s="151"/>
      <c r="B93" s="146" t="str">
        <f t="shared" si="11"/>
        <v/>
      </c>
      <c r="C93" s="151"/>
      <c r="D93" s="146" t="str">
        <f t="shared" si="12"/>
        <v/>
      </c>
      <c r="E93" s="186"/>
      <c r="F93" s="146" t="str">
        <f t="shared" si="13"/>
        <v/>
      </c>
      <c r="G93" s="185"/>
      <c r="H93" s="185"/>
      <c r="I93" s="185"/>
      <c r="J93" s="201"/>
      <c r="K93" s="200"/>
      <c r="L93" s="200"/>
      <c r="M93" s="201"/>
      <c r="N93" s="201"/>
      <c r="P93" s="141" t="str">
        <f t="shared" si="14"/>
        <v/>
      </c>
      <c r="Q93" s="141" t="str">
        <f t="shared" si="15"/>
        <v/>
      </c>
      <c r="U93" s="141">
        <v>4214</v>
      </c>
      <c r="V93" s="141" t="s">
        <v>167</v>
      </c>
      <c r="X93" s="141" t="str">
        <f t="shared" si="16"/>
        <v>42</v>
      </c>
      <c r="Y93" s="141" t="str">
        <f t="shared" si="17"/>
        <v>421</v>
      </c>
      <c r="AA93" s="141" t="s">
        <v>1626</v>
      </c>
      <c r="AB93" s="141" t="s">
        <v>1627</v>
      </c>
    </row>
    <row r="94" spans="1:28">
      <c r="A94" s="151"/>
      <c r="B94" s="146" t="str">
        <f t="shared" si="11"/>
        <v/>
      </c>
      <c r="C94" s="151"/>
      <c r="D94" s="146" t="str">
        <f t="shared" si="12"/>
        <v/>
      </c>
      <c r="E94" s="186"/>
      <c r="F94" s="146" t="str">
        <f t="shared" si="13"/>
        <v/>
      </c>
      <c r="G94" s="185"/>
      <c r="H94" s="185"/>
      <c r="I94" s="185"/>
      <c r="J94" s="201"/>
      <c r="K94" s="200"/>
      <c r="L94" s="200"/>
      <c r="M94" s="201"/>
      <c r="N94" s="201"/>
      <c r="P94" s="141" t="str">
        <f t="shared" si="14"/>
        <v/>
      </c>
      <c r="Q94" s="141" t="str">
        <f t="shared" si="15"/>
        <v/>
      </c>
      <c r="U94" s="141">
        <v>4221</v>
      </c>
      <c r="V94" s="141" t="s">
        <v>102</v>
      </c>
      <c r="X94" s="141" t="str">
        <f t="shared" si="16"/>
        <v>42</v>
      </c>
      <c r="Y94" s="141" t="str">
        <f t="shared" si="17"/>
        <v>422</v>
      </c>
      <c r="AA94" s="141" t="s">
        <v>1628</v>
      </c>
      <c r="AB94" s="141" t="s">
        <v>1629</v>
      </c>
    </row>
    <row r="95" spans="1:28">
      <c r="A95" s="151"/>
      <c r="B95" s="146" t="str">
        <f t="shared" si="11"/>
        <v/>
      </c>
      <c r="C95" s="151"/>
      <c r="D95" s="146" t="str">
        <f t="shared" si="12"/>
        <v/>
      </c>
      <c r="E95" s="186"/>
      <c r="F95" s="146" t="str">
        <f t="shared" si="13"/>
        <v/>
      </c>
      <c r="G95" s="185"/>
      <c r="H95" s="185"/>
      <c r="I95" s="185"/>
      <c r="J95" s="201"/>
      <c r="K95" s="200"/>
      <c r="L95" s="200"/>
      <c r="M95" s="201"/>
      <c r="N95" s="201"/>
      <c r="P95" s="141" t="str">
        <f t="shared" si="14"/>
        <v/>
      </c>
      <c r="Q95" s="141" t="str">
        <f t="shared" si="15"/>
        <v/>
      </c>
      <c r="U95" s="141">
        <v>4222</v>
      </c>
      <c r="V95" s="141" t="s">
        <v>113</v>
      </c>
      <c r="X95" s="141" t="str">
        <f t="shared" si="16"/>
        <v>42</v>
      </c>
      <c r="Y95" s="141" t="str">
        <f t="shared" si="17"/>
        <v>422</v>
      </c>
      <c r="AA95" s="141" t="s">
        <v>1630</v>
      </c>
      <c r="AB95" s="141" t="s">
        <v>1631</v>
      </c>
    </row>
    <row r="96" spans="1:28">
      <c r="A96" s="151"/>
      <c r="B96" s="146" t="str">
        <f t="shared" si="11"/>
        <v/>
      </c>
      <c r="C96" s="151"/>
      <c r="D96" s="146" t="str">
        <f t="shared" si="12"/>
        <v/>
      </c>
      <c r="E96" s="186"/>
      <c r="F96" s="146" t="str">
        <f t="shared" si="13"/>
        <v/>
      </c>
      <c r="G96" s="185"/>
      <c r="H96" s="185"/>
      <c r="I96" s="185"/>
      <c r="J96" s="201"/>
      <c r="K96" s="200"/>
      <c r="L96" s="200"/>
      <c r="M96" s="201"/>
      <c r="N96" s="201"/>
      <c r="P96" s="141" t="str">
        <f t="shared" si="14"/>
        <v/>
      </c>
      <c r="Q96" s="141" t="str">
        <f t="shared" si="15"/>
        <v/>
      </c>
      <c r="U96" s="141">
        <v>4223</v>
      </c>
      <c r="V96" s="141" t="s">
        <v>126</v>
      </c>
      <c r="X96" s="141" t="str">
        <f t="shared" si="16"/>
        <v>42</v>
      </c>
      <c r="Y96" s="141" t="str">
        <f t="shared" si="17"/>
        <v>422</v>
      </c>
      <c r="AA96" s="141" t="s">
        <v>1632</v>
      </c>
      <c r="AB96" s="141" t="s">
        <v>1633</v>
      </c>
    </row>
    <row r="97" spans="1:28">
      <c r="A97" s="151"/>
      <c r="B97" s="146" t="str">
        <f t="shared" si="11"/>
        <v/>
      </c>
      <c r="C97" s="151"/>
      <c r="D97" s="146" t="str">
        <f t="shared" si="12"/>
        <v/>
      </c>
      <c r="E97" s="186"/>
      <c r="F97" s="146" t="str">
        <f t="shared" si="13"/>
        <v/>
      </c>
      <c r="G97" s="185"/>
      <c r="H97" s="185"/>
      <c r="I97" s="185"/>
      <c r="J97" s="201"/>
      <c r="K97" s="200"/>
      <c r="L97" s="200"/>
      <c r="M97" s="201"/>
      <c r="N97" s="201"/>
      <c r="P97" s="141" t="str">
        <f t="shared" si="14"/>
        <v/>
      </c>
      <c r="Q97" s="141" t="str">
        <f t="shared" si="15"/>
        <v/>
      </c>
      <c r="U97" s="141">
        <v>4224</v>
      </c>
      <c r="V97" s="141" t="s">
        <v>119</v>
      </c>
      <c r="X97" s="141" t="str">
        <f t="shared" si="16"/>
        <v>42</v>
      </c>
      <c r="Y97" s="141" t="str">
        <f t="shared" si="17"/>
        <v>422</v>
      </c>
      <c r="AA97" s="141" t="s">
        <v>1634</v>
      </c>
      <c r="AB97" s="141" t="s">
        <v>1635</v>
      </c>
    </row>
    <row r="98" spans="1:28">
      <c r="A98" s="151"/>
      <c r="B98" s="146" t="str">
        <f t="shared" si="11"/>
        <v/>
      </c>
      <c r="C98" s="151"/>
      <c r="D98" s="146" t="str">
        <f t="shared" si="12"/>
        <v/>
      </c>
      <c r="E98" s="186"/>
      <c r="F98" s="146" t="str">
        <f t="shared" si="13"/>
        <v/>
      </c>
      <c r="G98" s="185"/>
      <c r="H98" s="185"/>
      <c r="I98" s="185"/>
      <c r="J98" s="201"/>
      <c r="K98" s="200"/>
      <c r="L98" s="200"/>
      <c r="M98" s="201"/>
      <c r="N98" s="201"/>
      <c r="P98" s="141" t="str">
        <f t="shared" si="14"/>
        <v/>
      </c>
      <c r="Q98" s="141" t="str">
        <f t="shared" si="15"/>
        <v/>
      </c>
      <c r="U98" s="141">
        <v>4225</v>
      </c>
      <c r="V98" s="141" t="s">
        <v>123</v>
      </c>
      <c r="X98" s="141" t="str">
        <f t="shared" si="16"/>
        <v>42</v>
      </c>
      <c r="Y98" s="141" t="str">
        <f t="shared" si="17"/>
        <v>422</v>
      </c>
      <c r="AA98" s="141" t="s">
        <v>1636</v>
      </c>
      <c r="AB98" s="141" t="s">
        <v>1637</v>
      </c>
    </row>
    <row r="99" spans="1:28">
      <c r="A99" s="151"/>
      <c r="B99" s="146" t="str">
        <f t="shared" si="11"/>
        <v/>
      </c>
      <c r="C99" s="151"/>
      <c r="D99" s="146" t="str">
        <f t="shared" si="12"/>
        <v/>
      </c>
      <c r="E99" s="186"/>
      <c r="F99" s="146" t="str">
        <f t="shared" si="13"/>
        <v/>
      </c>
      <c r="G99" s="185"/>
      <c r="H99" s="185"/>
      <c r="I99" s="185"/>
      <c r="J99" s="201"/>
      <c r="K99" s="200"/>
      <c r="L99" s="200"/>
      <c r="M99" s="201"/>
      <c r="N99" s="201"/>
      <c r="P99" s="141" t="str">
        <f t="shared" si="14"/>
        <v/>
      </c>
      <c r="Q99" s="141" t="str">
        <f t="shared" si="15"/>
        <v/>
      </c>
      <c r="U99" s="141">
        <v>4226</v>
      </c>
      <c r="V99" s="141" t="s">
        <v>168</v>
      </c>
      <c r="X99" s="141" t="str">
        <f t="shared" si="16"/>
        <v>42</v>
      </c>
      <c r="Y99" s="141" t="str">
        <f t="shared" si="17"/>
        <v>422</v>
      </c>
      <c r="AA99" s="141" t="s">
        <v>1638</v>
      </c>
      <c r="AB99" s="141" t="s">
        <v>1639</v>
      </c>
    </row>
    <row r="100" spans="1:28">
      <c r="A100" s="151"/>
      <c r="B100" s="146" t="str">
        <f t="shared" si="11"/>
        <v/>
      </c>
      <c r="C100" s="151"/>
      <c r="D100" s="146" t="str">
        <f t="shared" si="12"/>
        <v/>
      </c>
      <c r="E100" s="186"/>
      <c r="F100" s="146" t="str">
        <f t="shared" si="13"/>
        <v/>
      </c>
      <c r="G100" s="185"/>
      <c r="H100" s="185"/>
      <c r="I100" s="185"/>
      <c r="J100" s="201"/>
      <c r="K100" s="200"/>
      <c r="L100" s="200"/>
      <c r="M100" s="201"/>
      <c r="N100" s="201"/>
      <c r="P100" s="141" t="str">
        <f t="shared" si="14"/>
        <v/>
      </c>
      <c r="Q100" s="141" t="str">
        <f t="shared" si="15"/>
        <v/>
      </c>
      <c r="U100" s="141">
        <v>4227</v>
      </c>
      <c r="V100" s="141" t="s">
        <v>136</v>
      </c>
      <c r="X100" s="141" t="str">
        <f t="shared" si="16"/>
        <v>42</v>
      </c>
      <c r="Y100" s="141" t="str">
        <f t="shared" si="17"/>
        <v>422</v>
      </c>
      <c r="AA100" s="141" t="s">
        <v>1640</v>
      </c>
      <c r="AB100" s="141" t="s">
        <v>1641</v>
      </c>
    </row>
    <row r="101" spans="1:28">
      <c r="A101" s="151"/>
      <c r="B101" s="146" t="str">
        <f t="shared" si="11"/>
        <v/>
      </c>
      <c r="C101" s="151"/>
      <c r="D101" s="146" t="str">
        <f t="shared" si="12"/>
        <v/>
      </c>
      <c r="E101" s="186"/>
      <c r="F101" s="146" t="str">
        <f t="shared" si="13"/>
        <v/>
      </c>
      <c r="G101" s="185"/>
      <c r="H101" s="185"/>
      <c r="I101" s="185"/>
      <c r="J101" s="201"/>
      <c r="K101" s="200"/>
      <c r="L101" s="200"/>
      <c r="M101" s="201"/>
      <c r="N101" s="201"/>
      <c r="P101" s="141" t="str">
        <f t="shared" si="14"/>
        <v/>
      </c>
      <c r="Q101" s="141" t="str">
        <f t="shared" si="15"/>
        <v/>
      </c>
      <c r="U101" s="141">
        <v>4231</v>
      </c>
      <c r="V101" s="141" t="s">
        <v>169</v>
      </c>
      <c r="X101" s="141" t="str">
        <f t="shared" si="16"/>
        <v>42</v>
      </c>
      <c r="Y101" s="141" t="str">
        <f t="shared" si="17"/>
        <v>423</v>
      </c>
      <c r="AA101" s="141" t="s">
        <v>1642</v>
      </c>
      <c r="AB101" s="141" t="s">
        <v>1643</v>
      </c>
    </row>
    <row r="102" spans="1:28">
      <c r="A102" s="151"/>
      <c r="B102" s="146" t="str">
        <f t="shared" si="11"/>
        <v/>
      </c>
      <c r="C102" s="151"/>
      <c r="D102" s="146" t="str">
        <f t="shared" si="12"/>
        <v/>
      </c>
      <c r="E102" s="186"/>
      <c r="F102" s="146" t="str">
        <f t="shared" si="13"/>
        <v/>
      </c>
      <c r="G102" s="185"/>
      <c r="H102" s="185"/>
      <c r="I102" s="185"/>
      <c r="J102" s="201"/>
      <c r="K102" s="200"/>
      <c r="L102" s="200"/>
      <c r="M102" s="201"/>
      <c r="N102" s="201"/>
      <c r="P102" s="141" t="str">
        <f t="shared" si="14"/>
        <v/>
      </c>
      <c r="Q102" s="141" t="str">
        <f t="shared" si="15"/>
        <v/>
      </c>
      <c r="U102" s="141">
        <v>4233</v>
      </c>
      <c r="V102" s="141" t="s">
        <v>177</v>
      </c>
      <c r="X102" s="141" t="str">
        <f t="shared" si="16"/>
        <v>42</v>
      </c>
      <c r="Y102" s="141" t="str">
        <f t="shared" si="17"/>
        <v>423</v>
      </c>
      <c r="AA102" s="141" t="s">
        <v>1644</v>
      </c>
      <c r="AB102" s="141" t="s">
        <v>1645</v>
      </c>
    </row>
    <row r="103" spans="1:28">
      <c r="A103" s="151"/>
      <c r="B103" s="146" t="str">
        <f t="shared" si="11"/>
        <v/>
      </c>
      <c r="C103" s="151"/>
      <c r="D103" s="146" t="str">
        <f t="shared" si="12"/>
        <v/>
      </c>
      <c r="E103" s="186"/>
      <c r="F103" s="146" t="str">
        <f t="shared" si="13"/>
        <v/>
      </c>
      <c r="G103" s="185"/>
      <c r="H103" s="185"/>
      <c r="I103" s="185"/>
      <c r="J103" s="201"/>
      <c r="K103" s="200"/>
      <c r="L103" s="200"/>
      <c r="M103" s="201"/>
      <c r="N103" s="201"/>
      <c r="P103" s="141" t="str">
        <f t="shared" si="14"/>
        <v/>
      </c>
      <c r="Q103" s="141" t="str">
        <f t="shared" si="15"/>
        <v/>
      </c>
      <c r="U103" s="141">
        <v>4241</v>
      </c>
      <c r="V103" s="141" t="s">
        <v>114</v>
      </c>
      <c r="X103" s="141" t="str">
        <f t="shared" si="16"/>
        <v>42</v>
      </c>
      <c r="Y103" s="141" t="str">
        <f t="shared" si="17"/>
        <v>424</v>
      </c>
      <c r="AA103" s="141" t="s">
        <v>1646</v>
      </c>
      <c r="AB103" s="141" t="s">
        <v>1647</v>
      </c>
    </row>
    <row r="104" spans="1:28">
      <c r="A104" s="151"/>
      <c r="B104" s="146" t="str">
        <f t="shared" si="11"/>
        <v/>
      </c>
      <c r="C104" s="151"/>
      <c r="D104" s="146" t="str">
        <f t="shared" si="12"/>
        <v/>
      </c>
      <c r="E104" s="186"/>
      <c r="F104" s="146" t="str">
        <f t="shared" si="13"/>
        <v/>
      </c>
      <c r="G104" s="185"/>
      <c r="H104" s="185"/>
      <c r="I104" s="185"/>
      <c r="J104" s="201"/>
      <c r="K104" s="200"/>
      <c r="L104" s="200"/>
      <c r="M104" s="201"/>
      <c r="N104" s="201"/>
      <c r="P104" s="141" t="str">
        <f t="shared" si="14"/>
        <v/>
      </c>
      <c r="Q104" s="141" t="str">
        <f t="shared" si="15"/>
        <v/>
      </c>
      <c r="U104" s="141">
        <v>4242</v>
      </c>
      <c r="V104" s="141" t="s">
        <v>146</v>
      </c>
      <c r="X104" s="141" t="str">
        <f t="shared" si="16"/>
        <v>42</v>
      </c>
      <c r="Y104" s="141" t="str">
        <f t="shared" si="17"/>
        <v>424</v>
      </c>
      <c r="AA104" s="141" t="s">
        <v>1648</v>
      </c>
      <c r="AB104" s="141" t="s">
        <v>1649</v>
      </c>
    </row>
    <row r="105" spans="1:28">
      <c r="A105" s="151"/>
      <c r="B105" s="146" t="str">
        <f t="shared" si="11"/>
        <v/>
      </c>
      <c r="C105" s="151"/>
      <c r="D105" s="146" t="str">
        <f t="shared" si="12"/>
        <v/>
      </c>
      <c r="E105" s="186"/>
      <c r="F105" s="146" t="str">
        <f t="shared" si="13"/>
        <v/>
      </c>
      <c r="G105" s="185"/>
      <c r="H105" s="185"/>
      <c r="I105" s="185"/>
      <c r="J105" s="201"/>
      <c r="K105" s="200"/>
      <c r="L105" s="200"/>
      <c r="M105" s="201"/>
      <c r="N105" s="201"/>
      <c r="P105" s="141" t="str">
        <f t="shared" si="14"/>
        <v/>
      </c>
      <c r="Q105" s="141" t="str">
        <f t="shared" si="15"/>
        <v/>
      </c>
      <c r="U105" s="141">
        <v>4244</v>
      </c>
      <c r="V105" s="141" t="s">
        <v>178</v>
      </c>
      <c r="X105" s="141" t="str">
        <f t="shared" si="16"/>
        <v>42</v>
      </c>
      <c r="Y105" s="141" t="str">
        <f t="shared" si="17"/>
        <v>424</v>
      </c>
      <c r="AA105" s="141" t="s">
        <v>1650</v>
      </c>
      <c r="AB105" s="141" t="s">
        <v>1651</v>
      </c>
    </row>
    <row r="106" spans="1:28">
      <c r="A106" s="151"/>
      <c r="B106" s="146" t="str">
        <f t="shared" si="11"/>
        <v/>
      </c>
      <c r="C106" s="151"/>
      <c r="D106" s="146" t="str">
        <f t="shared" si="12"/>
        <v/>
      </c>
      <c r="E106" s="186"/>
      <c r="F106" s="146" t="str">
        <f t="shared" si="13"/>
        <v/>
      </c>
      <c r="G106" s="185"/>
      <c r="H106" s="185"/>
      <c r="I106" s="185"/>
      <c r="J106" s="201"/>
      <c r="K106" s="200"/>
      <c r="L106" s="200"/>
      <c r="M106" s="201"/>
      <c r="N106" s="201"/>
      <c r="P106" s="141" t="str">
        <f t="shared" si="14"/>
        <v/>
      </c>
      <c r="Q106" s="141" t="str">
        <f t="shared" si="15"/>
        <v/>
      </c>
      <c r="U106" s="141">
        <v>4251</v>
      </c>
      <c r="V106" s="141" t="s">
        <v>170</v>
      </c>
      <c r="X106" s="141" t="str">
        <f t="shared" si="16"/>
        <v>42</v>
      </c>
      <c r="Y106" s="141" t="str">
        <f t="shared" si="17"/>
        <v>425</v>
      </c>
      <c r="AA106" s="141" t="s">
        <v>1652</v>
      </c>
      <c r="AB106" s="141" t="s">
        <v>1653</v>
      </c>
    </row>
    <row r="107" spans="1:28">
      <c r="A107" s="151"/>
      <c r="B107" s="146" t="str">
        <f t="shared" si="11"/>
        <v/>
      </c>
      <c r="C107" s="151"/>
      <c r="D107" s="146" t="str">
        <f t="shared" si="12"/>
        <v/>
      </c>
      <c r="E107" s="186"/>
      <c r="F107" s="146" t="str">
        <f t="shared" si="13"/>
        <v/>
      </c>
      <c r="G107" s="185"/>
      <c r="H107" s="185"/>
      <c r="I107" s="185"/>
      <c r="J107" s="201"/>
      <c r="K107" s="200"/>
      <c r="L107" s="200"/>
      <c r="M107" s="201"/>
      <c r="N107" s="201"/>
      <c r="P107" s="141" t="str">
        <f t="shared" si="14"/>
        <v/>
      </c>
      <c r="Q107" s="141" t="str">
        <f t="shared" si="15"/>
        <v/>
      </c>
      <c r="U107" s="141">
        <v>4252</v>
      </c>
      <c r="V107" s="141" t="s">
        <v>171</v>
      </c>
      <c r="X107" s="141" t="str">
        <f t="shared" si="16"/>
        <v>42</v>
      </c>
      <c r="Y107" s="141" t="str">
        <f t="shared" si="17"/>
        <v>425</v>
      </c>
      <c r="AA107" s="141" t="s">
        <v>1654</v>
      </c>
      <c r="AB107" s="141" t="s">
        <v>1655</v>
      </c>
    </row>
    <row r="108" spans="1:28">
      <c r="A108" s="151"/>
      <c r="B108" s="146" t="str">
        <f t="shared" si="11"/>
        <v/>
      </c>
      <c r="C108" s="151"/>
      <c r="D108" s="146" t="str">
        <f t="shared" si="12"/>
        <v/>
      </c>
      <c r="E108" s="186"/>
      <c r="F108" s="146" t="str">
        <f t="shared" si="13"/>
        <v/>
      </c>
      <c r="G108" s="185"/>
      <c r="H108" s="185"/>
      <c r="I108" s="185"/>
      <c r="J108" s="201"/>
      <c r="K108" s="200"/>
      <c r="L108" s="200"/>
      <c r="M108" s="201"/>
      <c r="N108" s="201"/>
      <c r="P108" s="141" t="str">
        <f t="shared" si="14"/>
        <v/>
      </c>
      <c r="Q108" s="141" t="str">
        <f t="shared" si="15"/>
        <v/>
      </c>
      <c r="U108" s="141">
        <v>4262</v>
      </c>
      <c r="V108" s="141" t="s">
        <v>115</v>
      </c>
      <c r="X108" s="141" t="str">
        <f t="shared" si="16"/>
        <v>42</v>
      </c>
      <c r="Y108" s="141" t="str">
        <f t="shared" si="17"/>
        <v>426</v>
      </c>
      <c r="AA108" s="141" t="s">
        <v>1656</v>
      </c>
      <c r="AB108" s="141" t="s">
        <v>1657</v>
      </c>
    </row>
    <row r="109" spans="1:28">
      <c r="A109" s="151"/>
      <c r="B109" s="146" t="str">
        <f t="shared" si="11"/>
        <v/>
      </c>
      <c r="C109" s="151"/>
      <c r="D109" s="146" t="str">
        <f t="shared" si="12"/>
        <v/>
      </c>
      <c r="E109" s="186"/>
      <c r="F109" s="146" t="str">
        <f t="shared" si="13"/>
        <v/>
      </c>
      <c r="G109" s="185"/>
      <c r="H109" s="185"/>
      <c r="I109" s="185"/>
      <c r="J109" s="201"/>
      <c r="K109" s="200"/>
      <c r="L109" s="200"/>
      <c r="M109" s="201"/>
      <c r="N109" s="201"/>
      <c r="P109" s="141" t="str">
        <f t="shared" si="14"/>
        <v/>
      </c>
      <c r="Q109" s="141" t="str">
        <f t="shared" si="15"/>
        <v/>
      </c>
      <c r="U109" s="141">
        <v>4263</v>
      </c>
      <c r="V109" s="141" t="s">
        <v>172</v>
      </c>
      <c r="X109" s="141" t="str">
        <f t="shared" si="16"/>
        <v>42</v>
      </c>
      <c r="Y109" s="141" t="str">
        <f t="shared" si="17"/>
        <v>426</v>
      </c>
      <c r="AA109" s="141" t="s">
        <v>1658</v>
      </c>
      <c r="AB109" s="141" t="s">
        <v>1659</v>
      </c>
    </row>
    <row r="110" spans="1:28">
      <c r="A110" s="151"/>
      <c r="B110" s="146" t="str">
        <f t="shared" si="11"/>
        <v/>
      </c>
      <c r="C110" s="151"/>
      <c r="D110" s="146" t="str">
        <f t="shared" si="12"/>
        <v/>
      </c>
      <c r="E110" s="186"/>
      <c r="F110" s="146" t="str">
        <f t="shared" si="13"/>
        <v/>
      </c>
      <c r="G110" s="185"/>
      <c r="H110" s="185"/>
      <c r="I110" s="185"/>
      <c r="J110" s="201"/>
      <c r="K110" s="200"/>
      <c r="L110" s="200"/>
      <c r="M110" s="201"/>
      <c r="N110" s="201"/>
      <c r="P110" s="141" t="str">
        <f t="shared" si="14"/>
        <v/>
      </c>
      <c r="Q110" s="141" t="str">
        <f t="shared" si="15"/>
        <v/>
      </c>
      <c r="U110" s="141">
        <v>4264</v>
      </c>
      <c r="V110" s="141" t="s">
        <v>127</v>
      </c>
      <c r="X110" s="141" t="str">
        <f t="shared" si="16"/>
        <v>42</v>
      </c>
      <c r="Y110" s="141" t="str">
        <f t="shared" si="17"/>
        <v>426</v>
      </c>
      <c r="AA110" s="141" t="s">
        <v>1660</v>
      </c>
      <c r="AB110" s="141" t="s">
        <v>1661</v>
      </c>
    </row>
    <row r="111" spans="1:28">
      <c r="A111" s="151"/>
      <c r="B111" s="146" t="str">
        <f t="shared" si="11"/>
        <v/>
      </c>
      <c r="C111" s="151"/>
      <c r="D111" s="146" t="str">
        <f t="shared" si="12"/>
        <v/>
      </c>
      <c r="E111" s="186"/>
      <c r="F111" s="146" t="str">
        <f t="shared" si="13"/>
        <v/>
      </c>
      <c r="G111" s="185"/>
      <c r="H111" s="185"/>
      <c r="I111" s="185"/>
      <c r="J111" s="201"/>
      <c r="K111" s="200"/>
      <c r="L111" s="200"/>
      <c r="M111" s="201"/>
      <c r="N111" s="201"/>
      <c r="P111" s="141" t="str">
        <f t="shared" si="14"/>
        <v/>
      </c>
      <c r="Q111" s="141" t="str">
        <f t="shared" si="15"/>
        <v/>
      </c>
      <c r="U111" s="141">
        <v>4312</v>
      </c>
      <c r="V111" s="141" t="s">
        <v>129</v>
      </c>
      <c r="X111" s="141" t="str">
        <f t="shared" si="16"/>
        <v>43</v>
      </c>
      <c r="Y111" s="141" t="str">
        <f t="shared" si="17"/>
        <v>431</v>
      </c>
      <c r="AA111" s="141" t="s">
        <v>1662</v>
      </c>
      <c r="AB111" s="141" t="s">
        <v>1663</v>
      </c>
    </row>
    <row r="112" spans="1:28">
      <c r="A112" s="151"/>
      <c r="B112" s="146" t="str">
        <f t="shared" si="11"/>
        <v/>
      </c>
      <c r="C112" s="151"/>
      <c r="D112" s="146" t="str">
        <f t="shared" si="12"/>
        <v/>
      </c>
      <c r="E112" s="186"/>
      <c r="F112" s="146" t="str">
        <f t="shared" si="13"/>
        <v/>
      </c>
      <c r="G112" s="185"/>
      <c r="H112" s="185"/>
      <c r="I112" s="185"/>
      <c r="J112" s="201"/>
      <c r="K112" s="200"/>
      <c r="L112" s="200"/>
      <c r="M112" s="201"/>
      <c r="N112" s="201"/>
      <c r="P112" s="141" t="str">
        <f t="shared" si="14"/>
        <v/>
      </c>
      <c r="Q112" s="141" t="str">
        <f t="shared" si="15"/>
        <v/>
      </c>
      <c r="U112" s="141">
        <v>4411</v>
      </c>
      <c r="V112" s="141" t="s">
        <v>173</v>
      </c>
      <c r="X112" s="141" t="str">
        <f t="shared" si="16"/>
        <v>44</v>
      </c>
      <c r="Y112" s="141" t="str">
        <f t="shared" si="17"/>
        <v>441</v>
      </c>
      <c r="AA112" s="141" t="s">
        <v>1664</v>
      </c>
      <c r="AB112" s="141" t="s">
        <v>1665</v>
      </c>
    </row>
    <row r="113" spans="1:28">
      <c r="A113" s="151"/>
      <c r="B113" s="146" t="str">
        <f t="shared" si="11"/>
        <v/>
      </c>
      <c r="C113" s="151"/>
      <c r="D113" s="146" t="str">
        <f t="shared" si="12"/>
        <v/>
      </c>
      <c r="E113" s="186"/>
      <c r="F113" s="146" t="str">
        <f t="shared" si="13"/>
        <v/>
      </c>
      <c r="G113" s="185"/>
      <c r="H113" s="185"/>
      <c r="I113" s="185"/>
      <c r="J113" s="201"/>
      <c r="K113" s="200"/>
      <c r="L113" s="200"/>
      <c r="M113" s="201"/>
      <c r="N113" s="201"/>
      <c r="P113" s="141" t="str">
        <f t="shared" si="14"/>
        <v/>
      </c>
      <c r="Q113" s="141" t="str">
        <f t="shared" si="15"/>
        <v/>
      </c>
      <c r="U113" s="141">
        <v>4511</v>
      </c>
      <c r="V113" s="141" t="s">
        <v>128</v>
      </c>
      <c r="X113" s="141" t="str">
        <f t="shared" si="16"/>
        <v>45</v>
      </c>
      <c r="Y113" s="141" t="str">
        <f t="shared" si="17"/>
        <v>451</v>
      </c>
      <c r="AA113" s="141" t="s">
        <v>1666</v>
      </c>
      <c r="AB113" s="141" t="s">
        <v>1667</v>
      </c>
    </row>
    <row r="114" spans="1:28">
      <c r="A114" s="151"/>
      <c r="B114" s="146" t="str">
        <f t="shared" si="11"/>
        <v/>
      </c>
      <c r="C114" s="151"/>
      <c r="D114" s="146" t="str">
        <f t="shared" si="12"/>
        <v/>
      </c>
      <c r="E114" s="186"/>
      <c r="F114" s="146" t="str">
        <f t="shared" si="13"/>
        <v/>
      </c>
      <c r="G114" s="185"/>
      <c r="H114" s="185"/>
      <c r="I114" s="185"/>
      <c r="J114" s="201"/>
      <c r="K114" s="200"/>
      <c r="L114" s="200"/>
      <c r="M114" s="201"/>
      <c r="N114" s="201"/>
      <c r="P114" s="141" t="str">
        <f t="shared" si="14"/>
        <v/>
      </c>
      <c r="Q114" s="141" t="str">
        <f t="shared" si="15"/>
        <v/>
      </c>
      <c r="U114" s="141">
        <v>4521</v>
      </c>
      <c r="V114" s="141" t="s">
        <v>147</v>
      </c>
      <c r="X114" s="141" t="str">
        <f t="shared" si="16"/>
        <v>45</v>
      </c>
      <c r="Y114" s="141" t="str">
        <f t="shared" si="17"/>
        <v>452</v>
      </c>
      <c r="AA114" s="141" t="s">
        <v>1668</v>
      </c>
      <c r="AB114" s="141" t="s">
        <v>1669</v>
      </c>
    </row>
    <row r="115" spans="1:28">
      <c r="A115" s="151"/>
      <c r="B115" s="146" t="str">
        <f t="shared" si="11"/>
        <v/>
      </c>
      <c r="C115" s="151"/>
      <c r="D115" s="146" t="str">
        <f t="shared" si="12"/>
        <v/>
      </c>
      <c r="E115" s="186"/>
      <c r="F115" s="146" t="str">
        <f t="shared" si="13"/>
        <v/>
      </c>
      <c r="G115" s="185"/>
      <c r="H115" s="185"/>
      <c r="I115" s="185"/>
      <c r="J115" s="201"/>
      <c r="K115" s="200"/>
      <c r="L115" s="200"/>
      <c r="M115" s="201"/>
      <c r="N115" s="201"/>
      <c r="P115" s="141" t="str">
        <f t="shared" si="14"/>
        <v/>
      </c>
      <c r="Q115" s="141" t="str">
        <f t="shared" si="15"/>
        <v/>
      </c>
      <c r="U115" s="141">
        <v>4531</v>
      </c>
      <c r="V115" s="141" t="s">
        <v>190</v>
      </c>
      <c r="X115" s="141" t="str">
        <f t="shared" si="16"/>
        <v>45</v>
      </c>
      <c r="Y115" s="141" t="str">
        <f t="shared" si="17"/>
        <v>453</v>
      </c>
      <c r="AA115" s="141" t="s">
        <v>1670</v>
      </c>
      <c r="AB115" s="141" t="s">
        <v>1671</v>
      </c>
    </row>
    <row r="116" spans="1:28">
      <c r="A116" s="151"/>
      <c r="B116" s="146" t="str">
        <f t="shared" si="11"/>
        <v/>
      </c>
      <c r="C116" s="151"/>
      <c r="D116" s="146" t="str">
        <f t="shared" si="12"/>
        <v/>
      </c>
      <c r="E116" s="186"/>
      <c r="F116" s="146" t="str">
        <f t="shared" si="13"/>
        <v/>
      </c>
      <c r="G116" s="185"/>
      <c r="H116" s="185"/>
      <c r="I116" s="185"/>
      <c r="J116" s="201"/>
      <c r="K116" s="200"/>
      <c r="L116" s="200"/>
      <c r="M116" s="201"/>
      <c r="N116" s="201"/>
      <c r="P116" s="141" t="str">
        <f t="shared" si="14"/>
        <v/>
      </c>
      <c r="Q116" s="141" t="str">
        <f t="shared" si="15"/>
        <v/>
      </c>
      <c r="U116" s="141">
        <v>4541</v>
      </c>
      <c r="V116" s="141" t="s">
        <v>142</v>
      </c>
      <c r="X116" s="141" t="str">
        <f t="shared" si="16"/>
        <v>45</v>
      </c>
      <c r="Y116" s="141" t="str">
        <f t="shared" si="17"/>
        <v>454</v>
      </c>
      <c r="AA116" s="141" t="s">
        <v>1672</v>
      </c>
      <c r="AB116" s="141" t="s">
        <v>1673</v>
      </c>
    </row>
    <row r="117" spans="1:28">
      <c r="A117" s="151"/>
      <c r="B117" s="146" t="str">
        <f t="shared" si="11"/>
        <v/>
      </c>
      <c r="C117" s="151"/>
      <c r="D117" s="146" t="str">
        <f t="shared" si="12"/>
        <v/>
      </c>
      <c r="E117" s="186"/>
      <c r="F117" s="146" t="str">
        <f t="shared" si="13"/>
        <v/>
      </c>
      <c r="G117" s="185"/>
      <c r="H117" s="185"/>
      <c r="I117" s="185"/>
      <c r="J117" s="201"/>
      <c r="K117" s="200"/>
      <c r="L117" s="200"/>
      <c r="M117" s="201"/>
      <c r="N117" s="201"/>
      <c r="P117" s="141" t="str">
        <f t="shared" si="14"/>
        <v/>
      </c>
      <c r="Q117" s="141" t="str">
        <f t="shared" si="15"/>
        <v/>
      </c>
      <c r="U117" s="141">
        <v>5121</v>
      </c>
      <c r="V117" s="141" t="s">
        <v>198</v>
      </c>
      <c r="X117" s="141" t="str">
        <f t="shared" si="16"/>
        <v>51</v>
      </c>
      <c r="Y117" s="141" t="str">
        <f t="shared" si="17"/>
        <v>512</v>
      </c>
      <c r="AA117" s="141" t="s">
        <v>1674</v>
      </c>
      <c r="AB117" s="141" t="s">
        <v>1675</v>
      </c>
    </row>
    <row r="118" spans="1:28">
      <c r="A118" s="151"/>
      <c r="B118" s="146" t="str">
        <f t="shared" si="11"/>
        <v/>
      </c>
      <c r="C118" s="151"/>
      <c r="D118" s="146" t="str">
        <f t="shared" si="12"/>
        <v/>
      </c>
      <c r="E118" s="186"/>
      <c r="F118" s="146" t="str">
        <f t="shared" si="13"/>
        <v/>
      </c>
      <c r="G118" s="185"/>
      <c r="H118" s="185"/>
      <c r="I118" s="185"/>
      <c r="J118" s="201"/>
      <c r="K118" s="200"/>
      <c r="L118" s="200"/>
      <c r="M118" s="201"/>
      <c r="N118" s="201"/>
      <c r="P118" s="141" t="str">
        <f t="shared" si="14"/>
        <v/>
      </c>
      <c r="Q118" s="141" t="str">
        <f t="shared" si="15"/>
        <v/>
      </c>
      <c r="U118" s="141">
        <v>5443</v>
      </c>
      <c r="V118" s="141" t="s">
        <v>174</v>
      </c>
      <c r="X118" s="141" t="str">
        <f t="shared" si="16"/>
        <v>54</v>
      </c>
      <c r="Y118" s="141" t="str">
        <f t="shared" si="17"/>
        <v>544</v>
      </c>
      <c r="AA118" s="141" t="s">
        <v>1676</v>
      </c>
      <c r="AB118" s="141" t="s">
        <v>1677</v>
      </c>
    </row>
    <row r="119" spans="1:28">
      <c r="A119" s="151"/>
      <c r="B119" s="146" t="str">
        <f t="shared" si="11"/>
        <v/>
      </c>
      <c r="C119" s="151"/>
      <c r="D119" s="146" t="str">
        <f t="shared" si="12"/>
        <v/>
      </c>
      <c r="E119" s="186"/>
      <c r="F119" s="146" t="str">
        <f t="shared" si="13"/>
        <v/>
      </c>
      <c r="G119" s="185"/>
      <c r="H119" s="185"/>
      <c r="I119" s="185"/>
      <c r="J119" s="201"/>
      <c r="K119" s="200"/>
      <c r="L119" s="200"/>
      <c r="M119" s="201"/>
      <c r="N119" s="201"/>
      <c r="P119" s="141" t="str">
        <f t="shared" si="14"/>
        <v/>
      </c>
      <c r="Q119" s="141" t="str">
        <f t="shared" si="15"/>
        <v/>
      </c>
      <c r="U119" s="141">
        <v>5121</v>
      </c>
      <c r="V119" s="141" t="s">
        <v>766</v>
      </c>
      <c r="X119" s="141" t="str">
        <f t="shared" si="16"/>
        <v>51</v>
      </c>
      <c r="Y119" s="141" t="str">
        <f t="shared" si="17"/>
        <v>512</v>
      </c>
      <c r="AA119" s="141" t="s">
        <v>1678</v>
      </c>
      <c r="AB119" s="141" t="s">
        <v>1679</v>
      </c>
    </row>
    <row r="120" spans="1:28">
      <c r="A120" s="151"/>
      <c r="B120" s="146" t="str">
        <f t="shared" si="11"/>
        <v/>
      </c>
      <c r="C120" s="151"/>
      <c r="D120" s="146" t="str">
        <f t="shared" si="12"/>
        <v/>
      </c>
      <c r="E120" s="186"/>
      <c r="F120" s="146" t="str">
        <f t="shared" si="13"/>
        <v/>
      </c>
      <c r="G120" s="185"/>
      <c r="H120" s="185"/>
      <c r="I120" s="185"/>
      <c r="J120" s="201"/>
      <c r="K120" s="200"/>
      <c r="L120" s="200"/>
      <c r="M120" s="201"/>
      <c r="N120" s="201"/>
      <c r="P120" s="141" t="str">
        <f t="shared" si="14"/>
        <v/>
      </c>
      <c r="Q120" s="141" t="str">
        <f t="shared" si="15"/>
        <v/>
      </c>
      <c r="U120" s="141">
        <v>5122</v>
      </c>
      <c r="V120" s="141" t="s">
        <v>767</v>
      </c>
      <c r="X120" s="141" t="str">
        <f t="shared" si="16"/>
        <v>51</v>
      </c>
      <c r="Y120" s="141" t="str">
        <f t="shared" si="17"/>
        <v>512</v>
      </c>
      <c r="AA120" s="141" t="s">
        <v>1680</v>
      </c>
      <c r="AB120" s="141" t="s">
        <v>1681</v>
      </c>
    </row>
    <row r="121" spans="1:28">
      <c r="A121" s="151"/>
      <c r="B121" s="146" t="str">
        <f t="shared" si="11"/>
        <v/>
      </c>
      <c r="C121" s="151"/>
      <c r="D121" s="146" t="str">
        <f t="shared" si="12"/>
        <v/>
      </c>
      <c r="E121" s="186"/>
      <c r="F121" s="146" t="str">
        <f t="shared" si="13"/>
        <v/>
      </c>
      <c r="G121" s="185"/>
      <c r="H121" s="185"/>
      <c r="I121" s="185"/>
      <c r="J121" s="201"/>
      <c r="K121" s="200"/>
      <c r="L121" s="200"/>
      <c r="M121" s="201"/>
      <c r="N121" s="201"/>
      <c r="P121" s="141" t="str">
        <f t="shared" si="14"/>
        <v/>
      </c>
      <c r="Q121" s="141" t="str">
        <f t="shared" si="15"/>
        <v/>
      </c>
      <c r="U121" s="141">
        <v>5141</v>
      </c>
      <c r="V121" s="141" t="s">
        <v>768</v>
      </c>
      <c r="X121" s="141" t="str">
        <f t="shared" si="16"/>
        <v>51</v>
      </c>
      <c r="Y121" s="141" t="str">
        <f t="shared" si="17"/>
        <v>514</v>
      </c>
      <c r="AA121" s="141" t="s">
        <v>1682</v>
      </c>
      <c r="AB121" s="141" t="s">
        <v>1683</v>
      </c>
    </row>
    <row r="122" spans="1:28">
      <c r="A122" s="151"/>
      <c r="B122" s="146" t="str">
        <f t="shared" si="11"/>
        <v/>
      </c>
      <c r="C122" s="151"/>
      <c r="D122" s="146" t="str">
        <f t="shared" si="12"/>
        <v/>
      </c>
      <c r="E122" s="186"/>
      <c r="F122" s="146" t="str">
        <f t="shared" si="13"/>
        <v/>
      </c>
      <c r="G122" s="185"/>
      <c r="H122" s="185"/>
      <c r="I122" s="185"/>
      <c r="J122" s="201"/>
      <c r="K122" s="200"/>
      <c r="L122" s="200"/>
      <c r="M122" s="201"/>
      <c r="N122" s="201"/>
      <c r="P122" s="141" t="str">
        <f t="shared" si="14"/>
        <v/>
      </c>
      <c r="Q122" s="141" t="str">
        <f t="shared" si="15"/>
        <v/>
      </c>
      <c r="U122" s="141">
        <v>5181</v>
      </c>
      <c r="V122" s="141" t="s">
        <v>769</v>
      </c>
      <c r="X122" s="141" t="str">
        <f t="shared" si="16"/>
        <v>51</v>
      </c>
      <c r="Y122" s="141" t="str">
        <f t="shared" si="17"/>
        <v>518</v>
      </c>
      <c r="AA122" s="141" t="s">
        <v>1684</v>
      </c>
      <c r="AB122" s="141" t="s">
        <v>1685</v>
      </c>
    </row>
    <row r="123" spans="1:28">
      <c r="A123" s="151"/>
      <c r="B123" s="146" t="str">
        <f t="shared" si="11"/>
        <v/>
      </c>
      <c r="C123" s="151"/>
      <c r="D123" s="146" t="str">
        <f t="shared" si="12"/>
        <v/>
      </c>
      <c r="E123" s="186"/>
      <c r="F123" s="146" t="str">
        <f t="shared" si="13"/>
        <v/>
      </c>
      <c r="G123" s="185"/>
      <c r="H123" s="185"/>
      <c r="I123" s="185"/>
      <c r="J123" s="201"/>
      <c r="K123" s="200"/>
      <c r="L123" s="200"/>
      <c r="M123" s="201"/>
      <c r="N123" s="201"/>
      <c r="P123" s="141" t="str">
        <f t="shared" si="14"/>
        <v/>
      </c>
      <c r="Q123" s="141" t="str">
        <f t="shared" si="15"/>
        <v/>
      </c>
      <c r="U123" s="141">
        <v>5183</v>
      </c>
      <c r="V123" s="141" t="s">
        <v>770</v>
      </c>
      <c r="X123" s="141" t="str">
        <f t="shared" si="16"/>
        <v>51</v>
      </c>
      <c r="Y123" s="141" t="str">
        <f t="shared" si="17"/>
        <v>518</v>
      </c>
      <c r="AA123" s="141" t="s">
        <v>1686</v>
      </c>
      <c r="AB123" s="141" t="s">
        <v>1687</v>
      </c>
    </row>
    <row r="124" spans="1:28">
      <c r="A124" s="151"/>
      <c r="B124" s="146" t="str">
        <f t="shared" si="11"/>
        <v/>
      </c>
      <c r="C124" s="151"/>
      <c r="D124" s="146" t="str">
        <f t="shared" si="12"/>
        <v/>
      </c>
      <c r="E124" s="186"/>
      <c r="F124" s="146" t="str">
        <f t="shared" si="13"/>
        <v/>
      </c>
      <c r="G124" s="185"/>
      <c r="H124" s="185"/>
      <c r="I124" s="185"/>
      <c r="J124" s="201"/>
      <c r="K124" s="200"/>
      <c r="L124" s="200"/>
      <c r="M124" s="201"/>
      <c r="N124" s="201"/>
      <c r="P124" s="141" t="str">
        <f t="shared" si="14"/>
        <v/>
      </c>
      <c r="Q124" s="141" t="str">
        <f t="shared" si="15"/>
        <v/>
      </c>
      <c r="U124" s="141">
        <v>5422</v>
      </c>
      <c r="V124" s="141" t="s">
        <v>771</v>
      </c>
      <c r="X124" s="141" t="str">
        <f t="shared" si="16"/>
        <v>54</v>
      </c>
      <c r="Y124" s="141" t="str">
        <f t="shared" si="17"/>
        <v>542</v>
      </c>
      <c r="AA124" s="141" t="s">
        <v>1688</v>
      </c>
      <c r="AB124" s="141" t="s">
        <v>1689</v>
      </c>
    </row>
    <row r="125" spans="1:28">
      <c r="A125" s="151"/>
      <c r="B125" s="146" t="str">
        <f t="shared" si="11"/>
        <v/>
      </c>
      <c r="C125" s="151"/>
      <c r="D125" s="146" t="str">
        <f t="shared" si="12"/>
        <v/>
      </c>
      <c r="E125" s="186"/>
      <c r="F125" s="146" t="str">
        <f t="shared" si="13"/>
        <v/>
      </c>
      <c r="G125" s="185"/>
      <c r="H125" s="185"/>
      <c r="I125" s="185"/>
      <c r="J125" s="201"/>
      <c r="K125" s="200"/>
      <c r="L125" s="200"/>
      <c r="M125" s="201"/>
      <c r="N125" s="201"/>
      <c r="P125" s="141" t="str">
        <f t="shared" si="14"/>
        <v/>
      </c>
      <c r="Q125" s="141" t="str">
        <f t="shared" si="15"/>
        <v/>
      </c>
      <c r="U125" s="141">
        <v>5431</v>
      </c>
      <c r="V125" s="141" t="s">
        <v>366</v>
      </c>
      <c r="X125" s="141" t="str">
        <f t="shared" si="16"/>
        <v>54</v>
      </c>
      <c r="Y125" s="141" t="str">
        <f t="shared" si="17"/>
        <v>543</v>
      </c>
      <c r="AA125" s="141" t="s">
        <v>1690</v>
      </c>
      <c r="AB125" s="141" t="s">
        <v>1691</v>
      </c>
    </row>
    <row r="126" spans="1:28">
      <c r="A126" s="151"/>
      <c r="B126" s="146" t="str">
        <f t="shared" si="11"/>
        <v/>
      </c>
      <c r="C126" s="151"/>
      <c r="D126" s="146" t="str">
        <f t="shared" si="12"/>
        <v/>
      </c>
      <c r="E126" s="186"/>
      <c r="F126" s="146" t="str">
        <f t="shared" si="13"/>
        <v/>
      </c>
      <c r="G126" s="185"/>
      <c r="H126" s="185"/>
      <c r="I126" s="185"/>
      <c r="J126" s="201"/>
      <c r="K126" s="200"/>
      <c r="L126" s="200"/>
      <c r="M126" s="201"/>
      <c r="N126" s="201"/>
      <c r="P126" s="141" t="str">
        <f t="shared" si="14"/>
        <v/>
      </c>
      <c r="Q126" s="141" t="str">
        <f t="shared" si="15"/>
        <v/>
      </c>
      <c r="U126" s="141">
        <v>5443</v>
      </c>
      <c r="V126" s="141" t="s">
        <v>772</v>
      </c>
      <c r="X126" s="141" t="str">
        <f t="shared" si="16"/>
        <v>54</v>
      </c>
      <c r="Y126" s="141" t="str">
        <f t="shared" si="17"/>
        <v>544</v>
      </c>
      <c r="AA126" s="141" t="s">
        <v>1692</v>
      </c>
      <c r="AB126" s="141" t="s">
        <v>1693</v>
      </c>
    </row>
    <row r="127" spans="1:28">
      <c r="A127" s="151"/>
      <c r="B127" s="146" t="str">
        <f t="shared" si="11"/>
        <v/>
      </c>
      <c r="C127" s="151"/>
      <c r="D127" s="146" t="str">
        <f t="shared" si="12"/>
        <v/>
      </c>
      <c r="E127" s="186"/>
      <c r="F127" s="146" t="str">
        <f t="shared" si="13"/>
        <v/>
      </c>
      <c r="G127" s="185"/>
      <c r="H127" s="185"/>
      <c r="I127" s="185"/>
      <c r="J127" s="201"/>
      <c r="K127" s="200"/>
      <c r="L127" s="200"/>
      <c r="M127" s="201"/>
      <c r="N127" s="201"/>
      <c r="P127" s="141" t="str">
        <f t="shared" si="14"/>
        <v/>
      </c>
      <c r="Q127" s="141" t="str">
        <f t="shared" si="15"/>
        <v/>
      </c>
      <c r="U127" s="141">
        <v>5445</v>
      </c>
      <c r="V127" s="141" t="s">
        <v>773</v>
      </c>
      <c r="X127" s="141" t="str">
        <f t="shared" si="16"/>
        <v>54</v>
      </c>
      <c r="Y127" s="141" t="str">
        <f t="shared" si="17"/>
        <v>544</v>
      </c>
      <c r="AA127" s="141" t="s">
        <v>1694</v>
      </c>
      <c r="AB127" s="141" t="s">
        <v>1695</v>
      </c>
    </row>
    <row r="128" spans="1:28">
      <c r="A128" s="151"/>
      <c r="B128" s="146" t="str">
        <f t="shared" si="11"/>
        <v/>
      </c>
      <c r="C128" s="151"/>
      <c r="D128" s="146" t="str">
        <f t="shared" si="12"/>
        <v/>
      </c>
      <c r="E128" s="186"/>
      <c r="F128" s="146" t="str">
        <f t="shared" si="13"/>
        <v/>
      </c>
      <c r="G128" s="185"/>
      <c r="H128" s="185"/>
      <c r="I128" s="185"/>
      <c r="J128" s="201"/>
      <c r="K128" s="200"/>
      <c r="L128" s="200"/>
      <c r="M128" s="201"/>
      <c r="N128" s="201"/>
      <c r="P128" s="141" t="str">
        <f t="shared" si="14"/>
        <v/>
      </c>
      <c r="Q128" s="141" t="str">
        <f t="shared" si="15"/>
        <v/>
      </c>
      <c r="U128" s="141">
        <v>5453</v>
      </c>
      <c r="V128" s="141" t="s">
        <v>774</v>
      </c>
      <c r="X128" s="141" t="str">
        <f t="shared" si="16"/>
        <v>54</v>
      </c>
      <c r="Y128" s="141" t="str">
        <f t="shared" si="17"/>
        <v>545</v>
      </c>
      <c r="AA128" s="141" t="s">
        <v>1696</v>
      </c>
      <c r="AB128" s="141" t="s">
        <v>1697</v>
      </c>
    </row>
    <row r="129" spans="1:28">
      <c r="A129" s="151"/>
      <c r="B129" s="146" t="str">
        <f t="shared" si="11"/>
        <v/>
      </c>
      <c r="C129" s="151"/>
      <c r="D129" s="146" t="str">
        <f t="shared" si="12"/>
        <v/>
      </c>
      <c r="E129" s="186"/>
      <c r="F129" s="146" t="str">
        <f t="shared" si="13"/>
        <v/>
      </c>
      <c r="G129" s="185"/>
      <c r="H129" s="185"/>
      <c r="I129" s="185"/>
      <c r="J129" s="201"/>
      <c r="K129" s="200"/>
      <c r="L129" s="200"/>
      <c r="M129" s="201"/>
      <c r="N129" s="201"/>
      <c r="P129" s="141" t="str">
        <f t="shared" si="14"/>
        <v/>
      </c>
      <c r="Q129" s="141" t="str">
        <f t="shared" si="15"/>
        <v/>
      </c>
      <c r="U129" s="141">
        <v>5472</v>
      </c>
      <c r="V129" s="141" t="s">
        <v>775</v>
      </c>
      <c r="X129" s="141" t="str">
        <f t="shared" si="16"/>
        <v>54</v>
      </c>
      <c r="Y129" s="141" t="str">
        <f t="shared" si="17"/>
        <v>547</v>
      </c>
      <c r="AA129" s="141" t="s">
        <v>1698</v>
      </c>
      <c r="AB129" s="141" t="s">
        <v>1699</v>
      </c>
    </row>
    <row r="130" spans="1:28">
      <c r="A130" s="151"/>
      <c r="B130" s="146" t="str">
        <f t="shared" si="11"/>
        <v/>
      </c>
      <c r="C130" s="151"/>
      <c r="D130" s="146" t="str">
        <f t="shared" si="12"/>
        <v/>
      </c>
      <c r="E130" s="186"/>
      <c r="F130" s="146" t="str">
        <f t="shared" si="13"/>
        <v/>
      </c>
      <c r="G130" s="185"/>
      <c r="H130" s="185"/>
      <c r="I130" s="185"/>
      <c r="J130" s="201"/>
      <c r="K130" s="200"/>
      <c r="L130" s="200"/>
      <c r="M130" s="201"/>
      <c r="N130" s="201"/>
      <c r="P130" s="141" t="str">
        <f t="shared" si="14"/>
        <v/>
      </c>
      <c r="Q130" s="141" t="str">
        <f t="shared" si="15"/>
        <v/>
      </c>
      <c r="AA130" s="141" t="s">
        <v>1700</v>
      </c>
      <c r="AB130" s="141" t="s">
        <v>1701</v>
      </c>
    </row>
    <row r="131" spans="1:28">
      <c r="A131" s="151"/>
      <c r="B131" s="146" t="str">
        <f t="shared" si="11"/>
        <v/>
      </c>
      <c r="C131" s="151"/>
      <c r="D131" s="146" t="str">
        <f t="shared" si="12"/>
        <v/>
      </c>
      <c r="E131" s="186"/>
      <c r="F131" s="146" t="str">
        <f t="shared" si="13"/>
        <v/>
      </c>
      <c r="G131" s="185"/>
      <c r="H131" s="185"/>
      <c r="I131" s="185"/>
      <c r="J131" s="201"/>
      <c r="K131" s="200"/>
      <c r="L131" s="200"/>
      <c r="M131" s="201"/>
      <c r="N131" s="201"/>
      <c r="P131" s="141" t="str">
        <f t="shared" si="14"/>
        <v/>
      </c>
      <c r="Q131" s="141" t="str">
        <f t="shared" si="15"/>
        <v/>
      </c>
      <c r="AA131" s="141" t="s">
        <v>892</v>
      </c>
      <c r="AB131" s="141" t="s">
        <v>893</v>
      </c>
    </row>
    <row r="132" spans="1:28">
      <c r="A132" s="151"/>
      <c r="B132" s="146" t="str">
        <f t="shared" ref="B132:B195" si="18">IFERROR(VLOOKUP(A132,$R$6:$S$23,2,FALSE),"")</f>
        <v/>
      </c>
      <c r="C132" s="151"/>
      <c r="D132" s="146" t="str">
        <f t="shared" ref="D132:D195" si="19">IFERROR(VLOOKUP(C132,$U$5:$W$129,2,FALSE),"")</f>
        <v/>
      </c>
      <c r="E132" s="186"/>
      <c r="F132" s="146" t="str">
        <f t="shared" ref="F132:F195" si="20">IFERROR(VLOOKUP(E132,$AA$5:$AB$500,2,FALSE),"")</f>
        <v/>
      </c>
      <c r="G132" s="185"/>
      <c r="H132" s="185"/>
      <c r="I132" s="185"/>
      <c r="J132" s="201"/>
      <c r="K132" s="200"/>
      <c r="L132" s="200"/>
      <c r="M132" s="201"/>
      <c r="N132" s="201"/>
      <c r="P132" s="141" t="str">
        <f t="shared" ref="P132:P195" si="21">LEFT(C132,3)</f>
        <v/>
      </c>
      <c r="Q132" s="141" t="str">
        <f t="shared" ref="Q132:Q195" si="22">LEFT(C132,2)</f>
        <v/>
      </c>
      <c r="AA132" s="141" t="s">
        <v>894</v>
      </c>
      <c r="AB132" s="141" t="s">
        <v>895</v>
      </c>
    </row>
    <row r="133" spans="1:28">
      <c r="A133" s="151"/>
      <c r="B133" s="146" t="str">
        <f t="shared" si="18"/>
        <v/>
      </c>
      <c r="C133" s="151"/>
      <c r="D133" s="146" t="str">
        <f t="shared" si="19"/>
        <v/>
      </c>
      <c r="E133" s="186"/>
      <c r="F133" s="146" t="str">
        <f t="shared" si="20"/>
        <v/>
      </c>
      <c r="G133" s="185"/>
      <c r="H133" s="185"/>
      <c r="I133" s="185"/>
      <c r="J133" s="201"/>
      <c r="K133" s="200"/>
      <c r="L133" s="200"/>
      <c r="M133" s="201"/>
      <c r="N133" s="201"/>
      <c r="P133" s="141" t="str">
        <f t="shared" si="21"/>
        <v/>
      </c>
      <c r="Q133" s="141" t="str">
        <f t="shared" si="22"/>
        <v/>
      </c>
      <c r="AA133" s="141" t="s">
        <v>896</v>
      </c>
      <c r="AB133" s="141" t="s">
        <v>897</v>
      </c>
    </row>
    <row r="134" spans="1:28">
      <c r="A134" s="151"/>
      <c r="B134" s="146" t="str">
        <f t="shared" si="18"/>
        <v/>
      </c>
      <c r="C134" s="151"/>
      <c r="D134" s="146" t="str">
        <f t="shared" si="19"/>
        <v/>
      </c>
      <c r="E134" s="186"/>
      <c r="F134" s="146" t="str">
        <f t="shared" si="20"/>
        <v/>
      </c>
      <c r="G134" s="185"/>
      <c r="H134" s="185"/>
      <c r="I134" s="185"/>
      <c r="J134" s="201"/>
      <c r="K134" s="200"/>
      <c r="L134" s="200"/>
      <c r="M134" s="201"/>
      <c r="N134" s="201"/>
      <c r="P134" s="141" t="str">
        <f t="shared" si="21"/>
        <v/>
      </c>
      <c r="Q134" s="141" t="str">
        <f t="shared" si="22"/>
        <v/>
      </c>
      <c r="AA134" s="141" t="s">
        <v>898</v>
      </c>
      <c r="AB134" s="141" t="s">
        <v>899</v>
      </c>
    </row>
    <row r="135" spans="1:28">
      <c r="A135" s="151"/>
      <c r="B135" s="146" t="str">
        <f t="shared" si="18"/>
        <v/>
      </c>
      <c r="C135" s="151"/>
      <c r="D135" s="146" t="str">
        <f t="shared" si="19"/>
        <v/>
      </c>
      <c r="E135" s="186"/>
      <c r="F135" s="146" t="str">
        <f t="shared" si="20"/>
        <v/>
      </c>
      <c r="G135" s="185"/>
      <c r="H135" s="185"/>
      <c r="I135" s="185"/>
      <c r="J135" s="201"/>
      <c r="K135" s="200"/>
      <c r="L135" s="200"/>
      <c r="M135" s="201"/>
      <c r="N135" s="201"/>
      <c r="P135" s="141" t="str">
        <f t="shared" si="21"/>
        <v/>
      </c>
      <c r="Q135" s="141" t="str">
        <f t="shared" si="22"/>
        <v/>
      </c>
      <c r="AA135" s="141" t="s">
        <v>900</v>
      </c>
      <c r="AB135" s="141" t="s">
        <v>901</v>
      </c>
    </row>
    <row r="136" spans="1:28">
      <c r="A136" s="151"/>
      <c r="B136" s="146" t="str">
        <f t="shared" si="18"/>
        <v/>
      </c>
      <c r="C136" s="151"/>
      <c r="D136" s="146" t="str">
        <f t="shared" si="19"/>
        <v/>
      </c>
      <c r="E136" s="186"/>
      <c r="F136" s="146" t="str">
        <f t="shared" si="20"/>
        <v/>
      </c>
      <c r="G136" s="185"/>
      <c r="H136" s="185"/>
      <c r="I136" s="185"/>
      <c r="J136" s="201"/>
      <c r="K136" s="200"/>
      <c r="L136" s="200"/>
      <c r="M136" s="201"/>
      <c r="N136" s="201"/>
      <c r="P136" s="141" t="str">
        <f t="shared" si="21"/>
        <v/>
      </c>
      <c r="Q136" s="141" t="str">
        <f t="shared" si="22"/>
        <v/>
      </c>
      <c r="AA136" s="141" t="s">
        <v>902</v>
      </c>
      <c r="AB136" s="141" t="s">
        <v>903</v>
      </c>
    </row>
    <row r="137" spans="1:28">
      <c r="A137" s="151"/>
      <c r="B137" s="146" t="str">
        <f t="shared" si="18"/>
        <v/>
      </c>
      <c r="C137" s="151"/>
      <c r="D137" s="146" t="str">
        <f t="shared" si="19"/>
        <v/>
      </c>
      <c r="E137" s="186"/>
      <c r="F137" s="146" t="str">
        <f t="shared" si="20"/>
        <v/>
      </c>
      <c r="G137" s="185"/>
      <c r="H137" s="185"/>
      <c r="I137" s="185"/>
      <c r="J137" s="201"/>
      <c r="K137" s="200"/>
      <c r="L137" s="200"/>
      <c r="M137" s="201"/>
      <c r="N137" s="201"/>
      <c r="P137" s="141" t="str">
        <f t="shared" si="21"/>
        <v/>
      </c>
      <c r="Q137" s="141" t="str">
        <f t="shared" si="22"/>
        <v/>
      </c>
      <c r="AA137" s="141" t="s">
        <v>904</v>
      </c>
      <c r="AB137" s="141" t="s">
        <v>905</v>
      </c>
    </row>
    <row r="138" spans="1:28">
      <c r="A138" s="151"/>
      <c r="B138" s="146" t="str">
        <f t="shared" si="18"/>
        <v/>
      </c>
      <c r="C138" s="151"/>
      <c r="D138" s="146" t="str">
        <f t="shared" si="19"/>
        <v/>
      </c>
      <c r="E138" s="186"/>
      <c r="F138" s="146" t="str">
        <f t="shared" si="20"/>
        <v/>
      </c>
      <c r="G138" s="185"/>
      <c r="H138" s="185"/>
      <c r="I138" s="185"/>
      <c r="J138" s="201"/>
      <c r="K138" s="200"/>
      <c r="L138" s="200"/>
      <c r="M138" s="201"/>
      <c r="N138" s="201"/>
      <c r="P138" s="141" t="str">
        <f t="shared" si="21"/>
        <v/>
      </c>
      <c r="Q138" s="141" t="str">
        <f t="shared" si="22"/>
        <v/>
      </c>
      <c r="AA138" s="141" t="s">
        <v>906</v>
      </c>
      <c r="AB138" s="141" t="s">
        <v>907</v>
      </c>
    </row>
    <row r="139" spans="1:28">
      <c r="A139" s="151"/>
      <c r="B139" s="146" t="str">
        <f t="shared" si="18"/>
        <v/>
      </c>
      <c r="C139" s="151"/>
      <c r="D139" s="146" t="str">
        <f t="shared" si="19"/>
        <v/>
      </c>
      <c r="E139" s="186"/>
      <c r="F139" s="146" t="str">
        <f t="shared" si="20"/>
        <v/>
      </c>
      <c r="G139" s="185"/>
      <c r="H139" s="185"/>
      <c r="I139" s="185"/>
      <c r="J139" s="201"/>
      <c r="K139" s="200"/>
      <c r="L139" s="200"/>
      <c r="M139" s="201"/>
      <c r="N139" s="201"/>
      <c r="P139" s="141" t="str">
        <f t="shared" si="21"/>
        <v/>
      </c>
      <c r="Q139" s="141" t="str">
        <f t="shared" si="22"/>
        <v/>
      </c>
      <c r="AA139" s="141" t="s">
        <v>1702</v>
      </c>
      <c r="AB139" s="141" t="s">
        <v>1703</v>
      </c>
    </row>
    <row r="140" spans="1:28">
      <c r="A140" s="151"/>
      <c r="B140" s="146" t="str">
        <f t="shared" si="18"/>
        <v/>
      </c>
      <c r="C140" s="151"/>
      <c r="D140" s="146" t="str">
        <f t="shared" si="19"/>
        <v/>
      </c>
      <c r="E140" s="186"/>
      <c r="F140" s="146" t="str">
        <f t="shared" si="20"/>
        <v/>
      </c>
      <c r="G140" s="185"/>
      <c r="H140" s="185"/>
      <c r="I140" s="185"/>
      <c r="J140" s="201"/>
      <c r="K140" s="200"/>
      <c r="L140" s="200"/>
      <c r="M140" s="201"/>
      <c r="N140" s="201"/>
      <c r="P140" s="141" t="str">
        <f t="shared" si="21"/>
        <v/>
      </c>
      <c r="Q140" s="141" t="str">
        <f t="shared" si="22"/>
        <v/>
      </c>
      <c r="AA140" s="141" t="s">
        <v>1704</v>
      </c>
      <c r="AB140" s="141" t="s">
        <v>1705</v>
      </c>
    </row>
    <row r="141" spans="1:28">
      <c r="A141" s="151"/>
      <c r="B141" s="146" t="str">
        <f t="shared" si="18"/>
        <v/>
      </c>
      <c r="C141" s="151"/>
      <c r="D141" s="146" t="str">
        <f t="shared" si="19"/>
        <v/>
      </c>
      <c r="E141" s="186"/>
      <c r="F141" s="146" t="str">
        <f t="shared" si="20"/>
        <v/>
      </c>
      <c r="G141" s="185"/>
      <c r="H141" s="185"/>
      <c r="I141" s="185"/>
      <c r="J141" s="201"/>
      <c r="K141" s="200"/>
      <c r="L141" s="200"/>
      <c r="M141" s="201"/>
      <c r="N141" s="201"/>
      <c r="P141" s="141" t="str">
        <f t="shared" si="21"/>
        <v/>
      </c>
      <c r="Q141" s="141" t="str">
        <f t="shared" si="22"/>
        <v/>
      </c>
      <c r="AA141" s="141" t="s">
        <v>1706</v>
      </c>
      <c r="AB141" s="141" t="s">
        <v>1707</v>
      </c>
    </row>
    <row r="142" spans="1:28">
      <c r="A142" s="151"/>
      <c r="B142" s="146" t="str">
        <f t="shared" si="18"/>
        <v/>
      </c>
      <c r="C142" s="151"/>
      <c r="D142" s="146" t="str">
        <f t="shared" si="19"/>
        <v/>
      </c>
      <c r="E142" s="186"/>
      <c r="F142" s="146" t="str">
        <f t="shared" si="20"/>
        <v/>
      </c>
      <c r="G142" s="185"/>
      <c r="H142" s="185"/>
      <c r="I142" s="185"/>
      <c r="J142" s="201"/>
      <c r="K142" s="200"/>
      <c r="L142" s="200"/>
      <c r="M142" s="201"/>
      <c r="N142" s="201"/>
      <c r="P142" s="141" t="str">
        <f t="shared" si="21"/>
        <v/>
      </c>
      <c r="Q142" s="141" t="str">
        <f t="shared" si="22"/>
        <v/>
      </c>
      <c r="AA142" s="141" t="s">
        <v>1708</v>
      </c>
      <c r="AB142" s="141" t="s">
        <v>1709</v>
      </c>
    </row>
    <row r="143" spans="1:28">
      <c r="A143" s="151"/>
      <c r="B143" s="146" t="str">
        <f t="shared" si="18"/>
        <v/>
      </c>
      <c r="C143" s="151"/>
      <c r="D143" s="146" t="str">
        <f t="shared" si="19"/>
        <v/>
      </c>
      <c r="E143" s="186"/>
      <c r="F143" s="146" t="str">
        <f t="shared" si="20"/>
        <v/>
      </c>
      <c r="G143" s="185"/>
      <c r="H143" s="185"/>
      <c r="I143" s="185"/>
      <c r="J143" s="201"/>
      <c r="K143" s="200"/>
      <c r="L143" s="200"/>
      <c r="M143" s="201"/>
      <c r="N143" s="201"/>
      <c r="P143" s="141" t="str">
        <f t="shared" si="21"/>
        <v/>
      </c>
      <c r="Q143" s="141" t="str">
        <f t="shared" si="22"/>
        <v/>
      </c>
      <c r="AA143" s="141" t="s">
        <v>1710</v>
      </c>
      <c r="AB143" s="141" t="s">
        <v>1711</v>
      </c>
    </row>
    <row r="144" spans="1:28">
      <c r="A144" s="151"/>
      <c r="B144" s="146" t="str">
        <f t="shared" si="18"/>
        <v/>
      </c>
      <c r="C144" s="151"/>
      <c r="D144" s="146" t="str">
        <f t="shared" si="19"/>
        <v/>
      </c>
      <c r="E144" s="186"/>
      <c r="F144" s="146" t="str">
        <f t="shared" si="20"/>
        <v/>
      </c>
      <c r="G144" s="185"/>
      <c r="H144" s="185"/>
      <c r="I144" s="185"/>
      <c r="J144" s="201"/>
      <c r="K144" s="200"/>
      <c r="L144" s="200"/>
      <c r="M144" s="201"/>
      <c r="N144" s="201"/>
      <c r="P144" s="141" t="str">
        <f t="shared" si="21"/>
        <v/>
      </c>
      <c r="Q144" s="141" t="str">
        <f t="shared" si="22"/>
        <v/>
      </c>
      <c r="AA144" s="141" t="s">
        <v>908</v>
      </c>
      <c r="AB144" s="141" t="s">
        <v>909</v>
      </c>
    </row>
    <row r="145" spans="1:28">
      <c r="A145" s="151"/>
      <c r="B145" s="146" t="str">
        <f t="shared" si="18"/>
        <v/>
      </c>
      <c r="C145" s="151"/>
      <c r="D145" s="146" t="str">
        <f t="shared" si="19"/>
        <v/>
      </c>
      <c r="E145" s="186"/>
      <c r="F145" s="146" t="str">
        <f t="shared" si="20"/>
        <v/>
      </c>
      <c r="G145" s="185"/>
      <c r="H145" s="185"/>
      <c r="I145" s="185"/>
      <c r="J145" s="201"/>
      <c r="K145" s="200"/>
      <c r="L145" s="200"/>
      <c r="M145" s="201"/>
      <c r="N145" s="201"/>
      <c r="P145" s="141" t="str">
        <f t="shared" si="21"/>
        <v/>
      </c>
      <c r="Q145" s="141" t="str">
        <f t="shared" si="22"/>
        <v/>
      </c>
      <c r="AA145" s="141" t="s">
        <v>910</v>
      </c>
      <c r="AB145" s="141" t="s">
        <v>911</v>
      </c>
    </row>
    <row r="146" spans="1:28">
      <c r="A146" s="151"/>
      <c r="B146" s="146" t="str">
        <f t="shared" si="18"/>
        <v/>
      </c>
      <c r="C146" s="151"/>
      <c r="D146" s="146" t="str">
        <f t="shared" si="19"/>
        <v/>
      </c>
      <c r="E146" s="186"/>
      <c r="F146" s="146" t="str">
        <f t="shared" si="20"/>
        <v/>
      </c>
      <c r="G146" s="185"/>
      <c r="H146" s="185"/>
      <c r="I146" s="185"/>
      <c r="J146" s="201"/>
      <c r="K146" s="200"/>
      <c r="L146" s="200"/>
      <c r="M146" s="201"/>
      <c r="N146" s="201"/>
      <c r="P146" s="141" t="str">
        <f t="shared" si="21"/>
        <v/>
      </c>
      <c r="Q146" s="141" t="str">
        <f t="shared" si="22"/>
        <v/>
      </c>
      <c r="AA146" s="141" t="s">
        <v>912</v>
      </c>
      <c r="AB146" s="141" t="s">
        <v>913</v>
      </c>
    </row>
    <row r="147" spans="1:28">
      <c r="A147" s="151"/>
      <c r="B147" s="146" t="str">
        <f t="shared" si="18"/>
        <v/>
      </c>
      <c r="C147" s="151"/>
      <c r="D147" s="146" t="str">
        <f t="shared" si="19"/>
        <v/>
      </c>
      <c r="E147" s="186"/>
      <c r="F147" s="146" t="str">
        <f t="shared" si="20"/>
        <v/>
      </c>
      <c r="G147" s="185"/>
      <c r="H147" s="185"/>
      <c r="I147" s="185"/>
      <c r="J147" s="201"/>
      <c r="K147" s="200"/>
      <c r="L147" s="200"/>
      <c r="M147" s="201"/>
      <c r="N147" s="201"/>
      <c r="P147" s="141" t="str">
        <f t="shared" si="21"/>
        <v/>
      </c>
      <c r="Q147" s="141" t="str">
        <f t="shared" si="22"/>
        <v/>
      </c>
      <c r="AA147" s="141" t="s">
        <v>914</v>
      </c>
      <c r="AB147" s="141" t="s">
        <v>915</v>
      </c>
    </row>
    <row r="148" spans="1:28">
      <c r="A148" s="151"/>
      <c r="B148" s="146" t="str">
        <f t="shared" si="18"/>
        <v/>
      </c>
      <c r="C148" s="151"/>
      <c r="D148" s="146" t="str">
        <f t="shared" si="19"/>
        <v/>
      </c>
      <c r="E148" s="186"/>
      <c r="F148" s="146" t="str">
        <f t="shared" si="20"/>
        <v/>
      </c>
      <c r="G148" s="185"/>
      <c r="H148" s="185"/>
      <c r="I148" s="185"/>
      <c r="J148" s="201"/>
      <c r="K148" s="200"/>
      <c r="L148" s="200"/>
      <c r="M148" s="201"/>
      <c r="N148" s="201"/>
      <c r="P148" s="141" t="str">
        <f t="shared" si="21"/>
        <v/>
      </c>
      <c r="Q148" s="141" t="str">
        <f t="shared" si="22"/>
        <v/>
      </c>
      <c r="AA148" s="141" t="s">
        <v>916</v>
      </c>
      <c r="AB148" s="141" t="s">
        <v>917</v>
      </c>
    </row>
    <row r="149" spans="1:28">
      <c r="A149" s="151"/>
      <c r="B149" s="146" t="str">
        <f t="shared" si="18"/>
        <v/>
      </c>
      <c r="C149" s="151"/>
      <c r="D149" s="146" t="str">
        <f t="shared" si="19"/>
        <v/>
      </c>
      <c r="E149" s="186"/>
      <c r="F149" s="146" t="str">
        <f t="shared" si="20"/>
        <v/>
      </c>
      <c r="G149" s="185"/>
      <c r="H149" s="185"/>
      <c r="I149" s="185"/>
      <c r="J149" s="201"/>
      <c r="K149" s="200"/>
      <c r="L149" s="200"/>
      <c r="M149" s="201"/>
      <c r="N149" s="201"/>
      <c r="P149" s="141" t="str">
        <f t="shared" si="21"/>
        <v/>
      </c>
      <c r="Q149" s="141" t="str">
        <f t="shared" si="22"/>
        <v/>
      </c>
      <c r="AA149" s="141" t="s">
        <v>918</v>
      </c>
      <c r="AB149" s="141" t="s">
        <v>919</v>
      </c>
    </row>
    <row r="150" spans="1:28">
      <c r="A150" s="151"/>
      <c r="B150" s="146" t="str">
        <f t="shared" si="18"/>
        <v/>
      </c>
      <c r="C150" s="151"/>
      <c r="D150" s="146" t="str">
        <f t="shared" si="19"/>
        <v/>
      </c>
      <c r="E150" s="186"/>
      <c r="F150" s="146" t="str">
        <f t="shared" si="20"/>
        <v/>
      </c>
      <c r="G150" s="185"/>
      <c r="H150" s="185"/>
      <c r="I150" s="185"/>
      <c r="J150" s="201"/>
      <c r="K150" s="200"/>
      <c r="L150" s="200"/>
      <c r="M150" s="201"/>
      <c r="N150" s="201"/>
      <c r="P150" s="141" t="str">
        <f t="shared" si="21"/>
        <v/>
      </c>
      <c r="Q150" s="141" t="str">
        <f t="shared" si="22"/>
        <v/>
      </c>
      <c r="AA150" s="141" t="s">
        <v>920</v>
      </c>
      <c r="AB150" s="141" t="s">
        <v>921</v>
      </c>
    </row>
    <row r="151" spans="1:28">
      <c r="A151" s="151"/>
      <c r="B151" s="146" t="str">
        <f t="shared" si="18"/>
        <v/>
      </c>
      <c r="C151" s="151"/>
      <c r="D151" s="146" t="str">
        <f t="shared" si="19"/>
        <v/>
      </c>
      <c r="E151" s="186"/>
      <c r="F151" s="146" t="str">
        <f t="shared" si="20"/>
        <v/>
      </c>
      <c r="G151" s="185"/>
      <c r="H151" s="185"/>
      <c r="I151" s="185"/>
      <c r="J151" s="201"/>
      <c r="K151" s="200"/>
      <c r="L151" s="200"/>
      <c r="M151" s="201"/>
      <c r="N151" s="201"/>
      <c r="P151" s="141" t="str">
        <f t="shared" si="21"/>
        <v/>
      </c>
      <c r="Q151" s="141" t="str">
        <f t="shared" si="22"/>
        <v/>
      </c>
      <c r="AA151" s="141" t="s">
        <v>922</v>
      </c>
      <c r="AB151" s="141" t="s">
        <v>923</v>
      </c>
    </row>
    <row r="152" spans="1:28">
      <c r="A152" s="151"/>
      <c r="B152" s="146" t="str">
        <f t="shared" si="18"/>
        <v/>
      </c>
      <c r="C152" s="151"/>
      <c r="D152" s="146" t="str">
        <f t="shared" si="19"/>
        <v/>
      </c>
      <c r="E152" s="186"/>
      <c r="F152" s="146" t="str">
        <f t="shared" si="20"/>
        <v/>
      </c>
      <c r="G152" s="185"/>
      <c r="H152" s="185"/>
      <c r="I152" s="185"/>
      <c r="J152" s="201"/>
      <c r="K152" s="200"/>
      <c r="L152" s="200"/>
      <c r="M152" s="201"/>
      <c r="N152" s="201"/>
      <c r="P152" s="141" t="str">
        <f t="shared" si="21"/>
        <v/>
      </c>
      <c r="Q152" s="141" t="str">
        <f t="shared" si="22"/>
        <v/>
      </c>
      <c r="AA152" s="141" t="s">
        <v>1712</v>
      </c>
      <c r="AB152" s="141" t="s">
        <v>1713</v>
      </c>
    </row>
    <row r="153" spans="1:28">
      <c r="A153" s="151"/>
      <c r="B153" s="146" t="str">
        <f t="shared" si="18"/>
        <v/>
      </c>
      <c r="C153" s="151"/>
      <c r="D153" s="146" t="str">
        <f t="shared" si="19"/>
        <v/>
      </c>
      <c r="E153" s="186"/>
      <c r="F153" s="146" t="str">
        <f t="shared" si="20"/>
        <v/>
      </c>
      <c r="G153" s="185"/>
      <c r="H153" s="185"/>
      <c r="I153" s="185"/>
      <c r="J153" s="201"/>
      <c r="K153" s="200"/>
      <c r="L153" s="200"/>
      <c r="M153" s="201"/>
      <c r="N153" s="201"/>
      <c r="P153" s="141" t="str">
        <f t="shared" si="21"/>
        <v/>
      </c>
      <c r="Q153" s="141" t="str">
        <f t="shared" si="22"/>
        <v/>
      </c>
      <c r="AA153" s="141" t="s">
        <v>1714</v>
      </c>
      <c r="AB153" s="141" t="s">
        <v>1715</v>
      </c>
    </row>
    <row r="154" spans="1:28">
      <c r="A154" s="151"/>
      <c r="B154" s="146" t="str">
        <f t="shared" si="18"/>
        <v/>
      </c>
      <c r="C154" s="151"/>
      <c r="D154" s="146" t="str">
        <f t="shared" si="19"/>
        <v/>
      </c>
      <c r="E154" s="186"/>
      <c r="F154" s="146" t="str">
        <f t="shared" si="20"/>
        <v/>
      </c>
      <c r="G154" s="185"/>
      <c r="H154" s="185"/>
      <c r="I154" s="185"/>
      <c r="J154" s="201"/>
      <c r="K154" s="200"/>
      <c r="L154" s="200"/>
      <c r="M154" s="201"/>
      <c r="N154" s="201"/>
      <c r="P154" s="141" t="str">
        <f t="shared" si="21"/>
        <v/>
      </c>
      <c r="Q154" s="141" t="str">
        <f t="shared" si="22"/>
        <v/>
      </c>
      <c r="AA154" s="141" t="s">
        <v>924</v>
      </c>
      <c r="AB154" s="141" t="s">
        <v>925</v>
      </c>
    </row>
    <row r="155" spans="1:28">
      <c r="A155" s="151"/>
      <c r="B155" s="146" t="str">
        <f t="shared" si="18"/>
        <v/>
      </c>
      <c r="C155" s="151"/>
      <c r="D155" s="146" t="str">
        <f t="shared" si="19"/>
        <v/>
      </c>
      <c r="E155" s="186"/>
      <c r="F155" s="146" t="str">
        <f t="shared" si="20"/>
        <v/>
      </c>
      <c r="G155" s="185"/>
      <c r="H155" s="185"/>
      <c r="I155" s="185"/>
      <c r="J155" s="201"/>
      <c r="K155" s="200"/>
      <c r="L155" s="200"/>
      <c r="M155" s="201"/>
      <c r="N155" s="201"/>
      <c r="P155" s="141" t="str">
        <f t="shared" si="21"/>
        <v/>
      </c>
      <c r="Q155" s="141" t="str">
        <f t="shared" si="22"/>
        <v/>
      </c>
      <c r="AA155" s="141" t="s">
        <v>926</v>
      </c>
      <c r="AB155" s="141" t="s">
        <v>927</v>
      </c>
    </row>
    <row r="156" spans="1:28">
      <c r="A156" s="151"/>
      <c r="B156" s="146" t="str">
        <f t="shared" si="18"/>
        <v/>
      </c>
      <c r="C156" s="151"/>
      <c r="D156" s="146" t="str">
        <f t="shared" si="19"/>
        <v/>
      </c>
      <c r="E156" s="186"/>
      <c r="F156" s="146" t="str">
        <f t="shared" si="20"/>
        <v/>
      </c>
      <c r="G156" s="185"/>
      <c r="H156" s="185"/>
      <c r="I156" s="185"/>
      <c r="J156" s="201"/>
      <c r="K156" s="200"/>
      <c r="L156" s="200"/>
      <c r="M156" s="201"/>
      <c r="N156" s="201"/>
      <c r="P156" s="141" t="str">
        <f t="shared" si="21"/>
        <v/>
      </c>
      <c r="Q156" s="141" t="str">
        <f t="shared" si="22"/>
        <v/>
      </c>
      <c r="AA156" s="141" t="s">
        <v>928</v>
      </c>
      <c r="AB156" s="141" t="s">
        <v>929</v>
      </c>
    </row>
    <row r="157" spans="1:28">
      <c r="A157" s="151"/>
      <c r="B157" s="146" t="str">
        <f t="shared" si="18"/>
        <v/>
      </c>
      <c r="C157" s="151"/>
      <c r="D157" s="146" t="str">
        <f t="shared" si="19"/>
        <v/>
      </c>
      <c r="E157" s="186"/>
      <c r="F157" s="146" t="str">
        <f t="shared" si="20"/>
        <v/>
      </c>
      <c r="G157" s="185"/>
      <c r="H157" s="185"/>
      <c r="I157" s="185"/>
      <c r="J157" s="201"/>
      <c r="K157" s="200"/>
      <c r="L157" s="200"/>
      <c r="M157" s="201"/>
      <c r="N157" s="201"/>
      <c r="P157" s="141" t="str">
        <f t="shared" si="21"/>
        <v/>
      </c>
      <c r="Q157" s="141" t="str">
        <f t="shared" si="22"/>
        <v/>
      </c>
      <c r="AA157" s="141" t="s">
        <v>930</v>
      </c>
      <c r="AB157" s="141" t="s">
        <v>931</v>
      </c>
    </row>
    <row r="158" spans="1:28">
      <c r="A158" s="151"/>
      <c r="B158" s="146" t="str">
        <f t="shared" si="18"/>
        <v/>
      </c>
      <c r="C158" s="151"/>
      <c r="D158" s="146" t="str">
        <f t="shared" si="19"/>
        <v/>
      </c>
      <c r="E158" s="186"/>
      <c r="F158" s="146" t="str">
        <f t="shared" si="20"/>
        <v/>
      </c>
      <c r="G158" s="185"/>
      <c r="H158" s="185"/>
      <c r="I158" s="185"/>
      <c r="J158" s="201"/>
      <c r="K158" s="200"/>
      <c r="L158" s="200"/>
      <c r="M158" s="201"/>
      <c r="N158" s="201"/>
      <c r="P158" s="141" t="str">
        <f t="shared" si="21"/>
        <v/>
      </c>
      <c r="Q158" s="141" t="str">
        <f t="shared" si="22"/>
        <v/>
      </c>
      <c r="AA158" s="141" t="s">
        <v>932</v>
      </c>
      <c r="AB158" s="141" t="s">
        <v>933</v>
      </c>
    </row>
    <row r="159" spans="1:28">
      <c r="A159" s="151"/>
      <c r="B159" s="146" t="str">
        <f t="shared" si="18"/>
        <v/>
      </c>
      <c r="C159" s="151"/>
      <c r="D159" s="146" t="str">
        <f t="shared" si="19"/>
        <v/>
      </c>
      <c r="E159" s="186"/>
      <c r="F159" s="146" t="str">
        <f t="shared" si="20"/>
        <v/>
      </c>
      <c r="G159" s="185"/>
      <c r="H159" s="185"/>
      <c r="I159" s="185"/>
      <c r="J159" s="201"/>
      <c r="K159" s="200"/>
      <c r="L159" s="200"/>
      <c r="M159" s="201"/>
      <c r="N159" s="201"/>
      <c r="P159" s="141" t="str">
        <f t="shared" si="21"/>
        <v/>
      </c>
      <c r="Q159" s="141" t="str">
        <f t="shared" si="22"/>
        <v/>
      </c>
      <c r="AA159" s="141" t="s">
        <v>934</v>
      </c>
      <c r="AB159" s="141" t="s">
        <v>935</v>
      </c>
    </row>
    <row r="160" spans="1:28">
      <c r="A160" s="151"/>
      <c r="B160" s="146" t="str">
        <f t="shared" si="18"/>
        <v/>
      </c>
      <c r="C160" s="151"/>
      <c r="D160" s="146" t="str">
        <f t="shared" si="19"/>
        <v/>
      </c>
      <c r="E160" s="186"/>
      <c r="F160" s="146" t="str">
        <f t="shared" si="20"/>
        <v/>
      </c>
      <c r="G160" s="185"/>
      <c r="H160" s="185"/>
      <c r="I160" s="185"/>
      <c r="J160" s="201"/>
      <c r="K160" s="200"/>
      <c r="L160" s="200"/>
      <c r="M160" s="201"/>
      <c r="N160" s="201"/>
      <c r="P160" s="141" t="str">
        <f t="shared" si="21"/>
        <v/>
      </c>
      <c r="Q160" s="141" t="str">
        <f t="shared" si="22"/>
        <v/>
      </c>
      <c r="AA160" s="141" t="s">
        <v>936</v>
      </c>
      <c r="AB160" s="141" t="s">
        <v>937</v>
      </c>
    </row>
    <row r="161" spans="1:28">
      <c r="A161" s="151"/>
      <c r="B161" s="146" t="str">
        <f t="shared" si="18"/>
        <v/>
      </c>
      <c r="C161" s="151"/>
      <c r="D161" s="146" t="str">
        <f t="shared" si="19"/>
        <v/>
      </c>
      <c r="E161" s="186"/>
      <c r="F161" s="146" t="str">
        <f t="shared" si="20"/>
        <v/>
      </c>
      <c r="G161" s="185"/>
      <c r="H161" s="185"/>
      <c r="I161" s="185"/>
      <c r="J161" s="201"/>
      <c r="K161" s="200"/>
      <c r="L161" s="200"/>
      <c r="M161" s="201"/>
      <c r="N161" s="201"/>
      <c r="P161" s="141" t="str">
        <f t="shared" si="21"/>
        <v/>
      </c>
      <c r="Q161" s="141" t="str">
        <f t="shared" si="22"/>
        <v/>
      </c>
      <c r="AA161" s="141" t="s">
        <v>938</v>
      </c>
      <c r="AB161" s="141" t="s">
        <v>939</v>
      </c>
    </row>
    <row r="162" spans="1:28">
      <c r="A162" s="151"/>
      <c r="B162" s="146" t="str">
        <f t="shared" si="18"/>
        <v/>
      </c>
      <c r="C162" s="151"/>
      <c r="D162" s="146" t="str">
        <f t="shared" si="19"/>
        <v/>
      </c>
      <c r="E162" s="186"/>
      <c r="F162" s="146" t="str">
        <f t="shared" si="20"/>
        <v/>
      </c>
      <c r="G162" s="185"/>
      <c r="H162" s="185"/>
      <c r="I162" s="185"/>
      <c r="J162" s="201"/>
      <c r="K162" s="200"/>
      <c r="L162" s="200"/>
      <c r="M162" s="201"/>
      <c r="N162" s="201"/>
      <c r="P162" s="141" t="str">
        <f t="shared" si="21"/>
        <v/>
      </c>
      <c r="Q162" s="141" t="str">
        <f t="shared" si="22"/>
        <v/>
      </c>
      <c r="AA162" s="141" t="s">
        <v>940</v>
      </c>
      <c r="AB162" s="141" t="s">
        <v>941</v>
      </c>
    </row>
    <row r="163" spans="1:28">
      <c r="A163" s="151"/>
      <c r="B163" s="146" t="str">
        <f t="shared" si="18"/>
        <v/>
      </c>
      <c r="C163" s="151"/>
      <c r="D163" s="146" t="str">
        <f t="shared" si="19"/>
        <v/>
      </c>
      <c r="E163" s="186"/>
      <c r="F163" s="146" t="str">
        <f t="shared" si="20"/>
        <v/>
      </c>
      <c r="G163" s="185"/>
      <c r="H163" s="185"/>
      <c r="I163" s="185"/>
      <c r="J163" s="201"/>
      <c r="K163" s="200"/>
      <c r="L163" s="200"/>
      <c r="M163" s="201"/>
      <c r="N163" s="201"/>
      <c r="P163" s="141" t="str">
        <f t="shared" si="21"/>
        <v/>
      </c>
      <c r="Q163" s="141" t="str">
        <f t="shared" si="22"/>
        <v/>
      </c>
      <c r="AA163" s="141" t="s">
        <v>942</v>
      </c>
      <c r="AB163" s="141" t="s">
        <v>943</v>
      </c>
    </row>
    <row r="164" spans="1:28">
      <c r="A164" s="151"/>
      <c r="B164" s="146" t="str">
        <f t="shared" si="18"/>
        <v/>
      </c>
      <c r="C164" s="151"/>
      <c r="D164" s="146" t="str">
        <f t="shared" si="19"/>
        <v/>
      </c>
      <c r="E164" s="186"/>
      <c r="F164" s="146" t="str">
        <f t="shared" si="20"/>
        <v/>
      </c>
      <c r="G164" s="185"/>
      <c r="H164" s="185"/>
      <c r="I164" s="185"/>
      <c r="J164" s="201"/>
      <c r="K164" s="200"/>
      <c r="L164" s="200"/>
      <c r="M164" s="201"/>
      <c r="N164" s="201"/>
      <c r="P164" s="141" t="str">
        <f t="shared" si="21"/>
        <v/>
      </c>
      <c r="Q164" s="141" t="str">
        <f t="shared" si="22"/>
        <v/>
      </c>
      <c r="AA164" s="141" t="s">
        <v>944</v>
      </c>
      <c r="AB164" s="141" t="s">
        <v>945</v>
      </c>
    </row>
    <row r="165" spans="1:28">
      <c r="A165" s="151"/>
      <c r="B165" s="146" t="str">
        <f t="shared" si="18"/>
        <v/>
      </c>
      <c r="C165" s="151"/>
      <c r="D165" s="146" t="str">
        <f t="shared" si="19"/>
        <v/>
      </c>
      <c r="E165" s="186"/>
      <c r="F165" s="146" t="str">
        <f t="shared" si="20"/>
        <v/>
      </c>
      <c r="G165" s="185"/>
      <c r="H165" s="185"/>
      <c r="I165" s="185"/>
      <c r="J165" s="201"/>
      <c r="K165" s="200"/>
      <c r="L165" s="200"/>
      <c r="M165" s="201"/>
      <c r="N165" s="201"/>
      <c r="P165" s="141" t="str">
        <f t="shared" si="21"/>
        <v/>
      </c>
      <c r="Q165" s="141" t="str">
        <f t="shared" si="22"/>
        <v/>
      </c>
      <c r="AA165" s="141" t="s">
        <v>946</v>
      </c>
      <c r="AB165" s="141" t="s">
        <v>947</v>
      </c>
    </row>
    <row r="166" spans="1:28">
      <c r="A166" s="151"/>
      <c r="B166" s="146" t="str">
        <f t="shared" si="18"/>
        <v/>
      </c>
      <c r="C166" s="151"/>
      <c r="D166" s="146" t="str">
        <f t="shared" si="19"/>
        <v/>
      </c>
      <c r="E166" s="186"/>
      <c r="F166" s="146" t="str">
        <f t="shared" si="20"/>
        <v/>
      </c>
      <c r="G166" s="185"/>
      <c r="H166" s="185"/>
      <c r="I166" s="185"/>
      <c r="J166" s="201"/>
      <c r="K166" s="200"/>
      <c r="L166" s="200"/>
      <c r="M166" s="201"/>
      <c r="N166" s="201"/>
      <c r="P166" s="141" t="str">
        <f t="shared" si="21"/>
        <v/>
      </c>
      <c r="Q166" s="141" t="str">
        <f t="shared" si="22"/>
        <v/>
      </c>
      <c r="AA166" s="141" t="s">
        <v>948</v>
      </c>
      <c r="AB166" s="141" t="s">
        <v>949</v>
      </c>
    </row>
    <row r="167" spans="1:28">
      <c r="A167" s="151"/>
      <c r="B167" s="146" t="str">
        <f t="shared" si="18"/>
        <v/>
      </c>
      <c r="C167" s="151"/>
      <c r="D167" s="146" t="str">
        <f t="shared" si="19"/>
        <v/>
      </c>
      <c r="E167" s="186"/>
      <c r="F167" s="146" t="str">
        <f t="shared" si="20"/>
        <v/>
      </c>
      <c r="G167" s="185"/>
      <c r="H167" s="185"/>
      <c r="I167" s="185"/>
      <c r="J167" s="201"/>
      <c r="K167" s="200"/>
      <c r="L167" s="200"/>
      <c r="M167" s="201"/>
      <c r="N167" s="201"/>
      <c r="P167" s="141" t="str">
        <f t="shared" si="21"/>
        <v/>
      </c>
      <c r="Q167" s="141" t="str">
        <f t="shared" si="22"/>
        <v/>
      </c>
      <c r="AA167" s="141" t="s">
        <v>950</v>
      </c>
      <c r="AB167" s="141" t="s">
        <v>951</v>
      </c>
    </row>
    <row r="168" spans="1:28">
      <c r="A168" s="151"/>
      <c r="B168" s="146" t="str">
        <f t="shared" si="18"/>
        <v/>
      </c>
      <c r="C168" s="151"/>
      <c r="D168" s="146" t="str">
        <f t="shared" si="19"/>
        <v/>
      </c>
      <c r="E168" s="186"/>
      <c r="F168" s="146" t="str">
        <f t="shared" si="20"/>
        <v/>
      </c>
      <c r="G168" s="185"/>
      <c r="H168" s="185"/>
      <c r="I168" s="185"/>
      <c r="J168" s="201"/>
      <c r="K168" s="200"/>
      <c r="L168" s="200"/>
      <c r="M168" s="201"/>
      <c r="N168" s="201"/>
      <c r="P168" s="141" t="str">
        <f t="shared" si="21"/>
        <v/>
      </c>
      <c r="Q168" s="141" t="str">
        <f t="shared" si="22"/>
        <v/>
      </c>
      <c r="AA168" s="141" t="s">
        <v>952</v>
      </c>
      <c r="AB168" s="141" t="s">
        <v>953</v>
      </c>
    </row>
    <row r="169" spans="1:28">
      <c r="A169" s="151"/>
      <c r="B169" s="146" t="str">
        <f t="shared" si="18"/>
        <v/>
      </c>
      <c r="C169" s="151"/>
      <c r="D169" s="146" t="str">
        <f t="shared" si="19"/>
        <v/>
      </c>
      <c r="E169" s="186"/>
      <c r="F169" s="146" t="str">
        <f t="shared" si="20"/>
        <v/>
      </c>
      <c r="G169" s="185"/>
      <c r="H169" s="185"/>
      <c r="I169" s="185"/>
      <c r="J169" s="201"/>
      <c r="K169" s="200"/>
      <c r="L169" s="200"/>
      <c r="M169" s="201"/>
      <c r="N169" s="201"/>
      <c r="P169" s="141" t="str">
        <f t="shared" si="21"/>
        <v/>
      </c>
      <c r="Q169" s="141" t="str">
        <f t="shared" si="22"/>
        <v/>
      </c>
      <c r="AA169" s="141" t="s">
        <v>954</v>
      </c>
      <c r="AB169" s="141" t="s">
        <v>955</v>
      </c>
    </row>
    <row r="170" spans="1:28">
      <c r="A170" s="151"/>
      <c r="B170" s="146" t="str">
        <f t="shared" si="18"/>
        <v/>
      </c>
      <c r="C170" s="151"/>
      <c r="D170" s="146" t="str">
        <f t="shared" si="19"/>
        <v/>
      </c>
      <c r="E170" s="186"/>
      <c r="F170" s="146" t="str">
        <f t="shared" si="20"/>
        <v/>
      </c>
      <c r="G170" s="185"/>
      <c r="H170" s="185"/>
      <c r="I170" s="185"/>
      <c r="J170" s="201"/>
      <c r="K170" s="200"/>
      <c r="L170" s="200"/>
      <c r="M170" s="201"/>
      <c r="N170" s="201"/>
      <c r="P170" s="141" t="str">
        <f t="shared" si="21"/>
        <v/>
      </c>
      <c r="Q170" s="141" t="str">
        <f t="shared" si="22"/>
        <v/>
      </c>
      <c r="AA170" s="141" t="s">
        <v>956</v>
      </c>
      <c r="AB170" s="141" t="s">
        <v>957</v>
      </c>
    </row>
    <row r="171" spans="1:28">
      <c r="A171" s="151"/>
      <c r="B171" s="146" t="str">
        <f t="shared" si="18"/>
        <v/>
      </c>
      <c r="C171" s="151"/>
      <c r="D171" s="146" t="str">
        <f t="shared" si="19"/>
        <v/>
      </c>
      <c r="E171" s="186"/>
      <c r="F171" s="146" t="str">
        <f t="shared" si="20"/>
        <v/>
      </c>
      <c r="G171" s="185"/>
      <c r="H171" s="185"/>
      <c r="I171" s="185"/>
      <c r="J171" s="201"/>
      <c r="K171" s="200"/>
      <c r="L171" s="200"/>
      <c r="M171" s="201"/>
      <c r="N171" s="201"/>
      <c r="P171" s="141" t="str">
        <f t="shared" si="21"/>
        <v/>
      </c>
      <c r="Q171" s="141" t="str">
        <f t="shared" si="22"/>
        <v/>
      </c>
      <c r="AA171" s="141" t="s">
        <v>958</v>
      </c>
      <c r="AB171" s="141" t="s">
        <v>959</v>
      </c>
    </row>
    <row r="172" spans="1:28">
      <c r="A172" s="151"/>
      <c r="B172" s="146" t="str">
        <f t="shared" si="18"/>
        <v/>
      </c>
      <c r="C172" s="151"/>
      <c r="D172" s="146" t="str">
        <f t="shared" si="19"/>
        <v/>
      </c>
      <c r="E172" s="186"/>
      <c r="F172" s="146" t="str">
        <f t="shared" si="20"/>
        <v/>
      </c>
      <c r="G172" s="185"/>
      <c r="H172" s="185"/>
      <c r="I172" s="185"/>
      <c r="J172" s="201"/>
      <c r="K172" s="200"/>
      <c r="L172" s="200"/>
      <c r="M172" s="201"/>
      <c r="N172" s="201"/>
      <c r="P172" s="141" t="str">
        <f t="shared" si="21"/>
        <v/>
      </c>
      <c r="Q172" s="141" t="str">
        <f t="shared" si="22"/>
        <v/>
      </c>
      <c r="AA172" s="141" t="s">
        <v>960</v>
      </c>
      <c r="AB172" s="141" t="s">
        <v>961</v>
      </c>
    </row>
    <row r="173" spans="1:28">
      <c r="A173" s="151"/>
      <c r="B173" s="146" t="str">
        <f t="shared" si="18"/>
        <v/>
      </c>
      <c r="C173" s="151"/>
      <c r="D173" s="146" t="str">
        <f t="shared" si="19"/>
        <v/>
      </c>
      <c r="E173" s="186"/>
      <c r="F173" s="146" t="str">
        <f t="shared" si="20"/>
        <v/>
      </c>
      <c r="G173" s="185"/>
      <c r="H173" s="185"/>
      <c r="I173" s="185"/>
      <c r="J173" s="201"/>
      <c r="K173" s="200"/>
      <c r="L173" s="200"/>
      <c r="M173" s="201"/>
      <c r="N173" s="201"/>
      <c r="P173" s="141" t="str">
        <f t="shared" si="21"/>
        <v/>
      </c>
      <c r="Q173" s="141" t="str">
        <f t="shared" si="22"/>
        <v/>
      </c>
      <c r="AA173" s="141" t="s">
        <v>962</v>
      </c>
      <c r="AB173" s="141" t="s">
        <v>963</v>
      </c>
    </row>
    <row r="174" spans="1:28">
      <c r="A174" s="151"/>
      <c r="B174" s="146" t="str">
        <f t="shared" si="18"/>
        <v/>
      </c>
      <c r="C174" s="151"/>
      <c r="D174" s="146" t="str">
        <f t="shared" si="19"/>
        <v/>
      </c>
      <c r="E174" s="186"/>
      <c r="F174" s="146" t="str">
        <f t="shared" si="20"/>
        <v/>
      </c>
      <c r="G174" s="185"/>
      <c r="H174" s="185"/>
      <c r="I174" s="185"/>
      <c r="J174" s="201"/>
      <c r="K174" s="200"/>
      <c r="L174" s="200"/>
      <c r="M174" s="201"/>
      <c r="N174" s="201"/>
      <c r="P174" s="141" t="str">
        <f t="shared" si="21"/>
        <v/>
      </c>
      <c r="Q174" s="141" t="str">
        <f t="shared" si="22"/>
        <v/>
      </c>
      <c r="AA174" s="141" t="s">
        <v>964</v>
      </c>
      <c r="AB174" s="141" t="s">
        <v>965</v>
      </c>
    </row>
    <row r="175" spans="1:28">
      <c r="A175" s="151"/>
      <c r="B175" s="146" t="str">
        <f t="shared" si="18"/>
        <v/>
      </c>
      <c r="C175" s="151"/>
      <c r="D175" s="146" t="str">
        <f t="shared" si="19"/>
        <v/>
      </c>
      <c r="E175" s="186"/>
      <c r="F175" s="146" t="str">
        <f t="shared" si="20"/>
        <v/>
      </c>
      <c r="G175" s="185"/>
      <c r="H175" s="185"/>
      <c r="I175" s="185"/>
      <c r="J175" s="201"/>
      <c r="K175" s="200"/>
      <c r="L175" s="200"/>
      <c r="M175" s="201"/>
      <c r="N175" s="201"/>
      <c r="P175" s="141" t="str">
        <f t="shared" si="21"/>
        <v/>
      </c>
      <c r="Q175" s="141" t="str">
        <f t="shared" si="22"/>
        <v/>
      </c>
      <c r="AA175" s="141" t="s">
        <v>966</v>
      </c>
      <c r="AB175" s="141" t="s">
        <v>967</v>
      </c>
    </row>
    <row r="176" spans="1:28">
      <c r="A176" s="151"/>
      <c r="B176" s="146" t="str">
        <f t="shared" si="18"/>
        <v/>
      </c>
      <c r="C176" s="151"/>
      <c r="D176" s="146" t="str">
        <f t="shared" si="19"/>
        <v/>
      </c>
      <c r="E176" s="186"/>
      <c r="F176" s="146" t="str">
        <f t="shared" si="20"/>
        <v/>
      </c>
      <c r="G176" s="185"/>
      <c r="H176" s="185"/>
      <c r="I176" s="185"/>
      <c r="J176" s="201"/>
      <c r="K176" s="200"/>
      <c r="L176" s="200"/>
      <c r="M176" s="201"/>
      <c r="N176" s="201"/>
      <c r="P176" s="141" t="str">
        <f t="shared" si="21"/>
        <v/>
      </c>
      <c r="Q176" s="141" t="str">
        <f t="shared" si="22"/>
        <v/>
      </c>
      <c r="AA176" s="141" t="s">
        <v>968</v>
      </c>
      <c r="AB176" s="141" t="s">
        <v>969</v>
      </c>
    </row>
    <row r="177" spans="1:28">
      <c r="A177" s="151"/>
      <c r="B177" s="146" t="str">
        <f t="shared" si="18"/>
        <v/>
      </c>
      <c r="C177" s="151"/>
      <c r="D177" s="146" t="str">
        <f t="shared" si="19"/>
        <v/>
      </c>
      <c r="E177" s="186"/>
      <c r="F177" s="146" t="str">
        <f t="shared" si="20"/>
        <v/>
      </c>
      <c r="G177" s="185"/>
      <c r="H177" s="185"/>
      <c r="I177" s="185"/>
      <c r="J177" s="201"/>
      <c r="K177" s="200"/>
      <c r="L177" s="200"/>
      <c r="M177" s="201"/>
      <c r="N177" s="201"/>
      <c r="P177" s="141" t="str">
        <f t="shared" si="21"/>
        <v/>
      </c>
      <c r="Q177" s="141" t="str">
        <f t="shared" si="22"/>
        <v/>
      </c>
      <c r="AA177" s="141" t="s">
        <v>970</v>
      </c>
      <c r="AB177" s="141" t="s">
        <v>971</v>
      </c>
    </row>
    <row r="178" spans="1:28">
      <c r="A178" s="151"/>
      <c r="B178" s="146" t="str">
        <f t="shared" si="18"/>
        <v/>
      </c>
      <c r="C178" s="151"/>
      <c r="D178" s="146" t="str">
        <f t="shared" si="19"/>
        <v/>
      </c>
      <c r="E178" s="186"/>
      <c r="F178" s="146" t="str">
        <f t="shared" si="20"/>
        <v/>
      </c>
      <c r="G178" s="185"/>
      <c r="H178" s="185"/>
      <c r="I178" s="185"/>
      <c r="J178" s="201"/>
      <c r="K178" s="200"/>
      <c r="L178" s="200"/>
      <c r="M178" s="201"/>
      <c r="N178" s="201"/>
      <c r="P178" s="141" t="str">
        <f t="shared" si="21"/>
        <v/>
      </c>
      <c r="Q178" s="141" t="str">
        <f t="shared" si="22"/>
        <v/>
      </c>
      <c r="AA178" s="141" t="s">
        <v>972</v>
      </c>
      <c r="AB178" s="141" t="s">
        <v>973</v>
      </c>
    </row>
    <row r="179" spans="1:28">
      <c r="A179" s="151"/>
      <c r="B179" s="146" t="str">
        <f t="shared" si="18"/>
        <v/>
      </c>
      <c r="C179" s="151"/>
      <c r="D179" s="146" t="str">
        <f t="shared" si="19"/>
        <v/>
      </c>
      <c r="E179" s="186"/>
      <c r="F179" s="146" t="str">
        <f t="shared" si="20"/>
        <v/>
      </c>
      <c r="G179" s="185"/>
      <c r="H179" s="185"/>
      <c r="I179" s="185"/>
      <c r="J179" s="201"/>
      <c r="K179" s="200"/>
      <c r="L179" s="200"/>
      <c r="M179" s="201"/>
      <c r="N179" s="201"/>
      <c r="P179" s="141" t="str">
        <f t="shared" si="21"/>
        <v/>
      </c>
      <c r="Q179" s="141" t="str">
        <f t="shared" si="22"/>
        <v/>
      </c>
      <c r="AA179" s="141" t="s">
        <v>974</v>
      </c>
      <c r="AB179" s="141" t="s">
        <v>975</v>
      </c>
    </row>
    <row r="180" spans="1:28">
      <c r="A180" s="151"/>
      <c r="B180" s="146" t="str">
        <f t="shared" si="18"/>
        <v/>
      </c>
      <c r="C180" s="151"/>
      <c r="D180" s="146" t="str">
        <f t="shared" si="19"/>
        <v/>
      </c>
      <c r="E180" s="186"/>
      <c r="F180" s="146" t="str">
        <f t="shared" si="20"/>
        <v/>
      </c>
      <c r="G180" s="185"/>
      <c r="H180" s="185"/>
      <c r="I180" s="185"/>
      <c r="J180" s="201"/>
      <c r="K180" s="200"/>
      <c r="L180" s="200"/>
      <c r="M180" s="201"/>
      <c r="N180" s="201"/>
      <c r="P180" s="141" t="str">
        <f t="shared" si="21"/>
        <v/>
      </c>
      <c r="Q180" s="141" t="str">
        <f t="shared" si="22"/>
        <v/>
      </c>
      <c r="AA180" s="141" t="s">
        <v>976</v>
      </c>
      <c r="AB180" s="141" t="s">
        <v>977</v>
      </c>
    </row>
    <row r="181" spans="1:28">
      <c r="A181" s="151"/>
      <c r="B181" s="146" t="str">
        <f t="shared" si="18"/>
        <v/>
      </c>
      <c r="C181" s="151"/>
      <c r="D181" s="146" t="str">
        <f t="shared" si="19"/>
        <v/>
      </c>
      <c r="E181" s="186"/>
      <c r="F181" s="146" t="str">
        <f t="shared" si="20"/>
        <v/>
      </c>
      <c r="G181" s="185"/>
      <c r="H181" s="185"/>
      <c r="I181" s="185"/>
      <c r="J181" s="201"/>
      <c r="K181" s="200"/>
      <c r="L181" s="200"/>
      <c r="M181" s="201"/>
      <c r="N181" s="201"/>
      <c r="P181" s="141" t="str">
        <f t="shared" si="21"/>
        <v/>
      </c>
      <c r="Q181" s="141" t="str">
        <f t="shared" si="22"/>
        <v/>
      </c>
      <c r="AA181" s="141" t="s">
        <v>978</v>
      </c>
      <c r="AB181" s="141" t="s">
        <v>979</v>
      </c>
    </row>
    <row r="182" spans="1:28">
      <c r="A182" s="151"/>
      <c r="B182" s="146" t="str">
        <f t="shared" si="18"/>
        <v/>
      </c>
      <c r="C182" s="151"/>
      <c r="D182" s="146" t="str">
        <f t="shared" si="19"/>
        <v/>
      </c>
      <c r="E182" s="186"/>
      <c r="F182" s="146" t="str">
        <f t="shared" si="20"/>
        <v/>
      </c>
      <c r="G182" s="185"/>
      <c r="H182" s="185"/>
      <c r="I182" s="185"/>
      <c r="J182" s="201"/>
      <c r="K182" s="200"/>
      <c r="L182" s="200"/>
      <c r="M182" s="201"/>
      <c r="N182" s="201"/>
      <c r="P182" s="141" t="str">
        <f t="shared" si="21"/>
        <v/>
      </c>
      <c r="Q182" s="141" t="str">
        <f t="shared" si="22"/>
        <v/>
      </c>
      <c r="AA182" s="141" t="s">
        <v>980</v>
      </c>
      <c r="AB182" s="141" t="s">
        <v>981</v>
      </c>
    </row>
    <row r="183" spans="1:28">
      <c r="A183" s="151"/>
      <c r="B183" s="146" t="str">
        <f t="shared" si="18"/>
        <v/>
      </c>
      <c r="C183" s="151"/>
      <c r="D183" s="146" t="str">
        <f t="shared" si="19"/>
        <v/>
      </c>
      <c r="E183" s="186"/>
      <c r="F183" s="146" t="str">
        <f t="shared" si="20"/>
        <v/>
      </c>
      <c r="G183" s="185"/>
      <c r="H183" s="185"/>
      <c r="I183" s="185"/>
      <c r="J183" s="201"/>
      <c r="K183" s="200"/>
      <c r="L183" s="200"/>
      <c r="M183" s="201"/>
      <c r="N183" s="201"/>
      <c r="P183" s="141" t="str">
        <f t="shared" si="21"/>
        <v/>
      </c>
      <c r="Q183" s="141" t="str">
        <f t="shared" si="22"/>
        <v/>
      </c>
      <c r="AA183" s="141" t="s">
        <v>982</v>
      </c>
      <c r="AB183" s="141" t="s">
        <v>983</v>
      </c>
    </row>
    <row r="184" spans="1:28">
      <c r="A184" s="151"/>
      <c r="B184" s="146" t="str">
        <f t="shared" si="18"/>
        <v/>
      </c>
      <c r="C184" s="151"/>
      <c r="D184" s="146" t="str">
        <f t="shared" si="19"/>
        <v/>
      </c>
      <c r="E184" s="186"/>
      <c r="F184" s="146" t="str">
        <f t="shared" si="20"/>
        <v/>
      </c>
      <c r="G184" s="185"/>
      <c r="H184" s="185"/>
      <c r="I184" s="185"/>
      <c r="J184" s="201"/>
      <c r="K184" s="200"/>
      <c r="L184" s="200"/>
      <c r="M184" s="201"/>
      <c r="N184" s="201"/>
      <c r="P184" s="141" t="str">
        <f t="shared" si="21"/>
        <v/>
      </c>
      <c r="Q184" s="141" t="str">
        <f t="shared" si="22"/>
        <v/>
      </c>
      <c r="AA184" s="141" t="s">
        <v>984</v>
      </c>
      <c r="AB184" s="141" t="s">
        <v>985</v>
      </c>
    </row>
    <row r="185" spans="1:28">
      <c r="A185" s="151"/>
      <c r="B185" s="146" t="str">
        <f t="shared" si="18"/>
        <v/>
      </c>
      <c r="C185" s="151"/>
      <c r="D185" s="146" t="str">
        <f t="shared" si="19"/>
        <v/>
      </c>
      <c r="E185" s="186"/>
      <c r="F185" s="146" t="str">
        <f t="shared" si="20"/>
        <v/>
      </c>
      <c r="G185" s="185"/>
      <c r="H185" s="185"/>
      <c r="I185" s="185"/>
      <c r="J185" s="201"/>
      <c r="K185" s="200"/>
      <c r="L185" s="200"/>
      <c r="M185" s="201"/>
      <c r="N185" s="201"/>
      <c r="P185" s="141" t="str">
        <f t="shared" si="21"/>
        <v/>
      </c>
      <c r="Q185" s="141" t="str">
        <f t="shared" si="22"/>
        <v/>
      </c>
      <c r="AA185" s="141" t="s">
        <v>986</v>
      </c>
      <c r="AB185" s="141" t="s">
        <v>985</v>
      </c>
    </row>
    <row r="186" spans="1:28">
      <c r="A186" s="151"/>
      <c r="B186" s="146" t="str">
        <f t="shared" si="18"/>
        <v/>
      </c>
      <c r="C186" s="151"/>
      <c r="D186" s="146" t="str">
        <f t="shared" si="19"/>
        <v/>
      </c>
      <c r="E186" s="186"/>
      <c r="F186" s="146" t="str">
        <f t="shared" si="20"/>
        <v/>
      </c>
      <c r="G186" s="185"/>
      <c r="H186" s="185"/>
      <c r="I186" s="185"/>
      <c r="J186" s="201"/>
      <c r="K186" s="200"/>
      <c r="L186" s="200"/>
      <c r="M186" s="201"/>
      <c r="N186" s="201"/>
      <c r="P186" s="141" t="str">
        <f t="shared" si="21"/>
        <v/>
      </c>
      <c r="Q186" s="141" t="str">
        <f t="shared" si="22"/>
        <v/>
      </c>
      <c r="AA186" s="141" t="s">
        <v>987</v>
      </c>
      <c r="AB186" s="141" t="s">
        <v>988</v>
      </c>
    </row>
    <row r="187" spans="1:28">
      <c r="A187" s="151"/>
      <c r="B187" s="146" t="str">
        <f t="shared" si="18"/>
        <v/>
      </c>
      <c r="C187" s="151"/>
      <c r="D187" s="146" t="str">
        <f t="shared" si="19"/>
        <v/>
      </c>
      <c r="E187" s="186"/>
      <c r="F187" s="146" t="str">
        <f t="shared" si="20"/>
        <v/>
      </c>
      <c r="G187" s="185"/>
      <c r="H187" s="185"/>
      <c r="I187" s="185"/>
      <c r="J187" s="201"/>
      <c r="K187" s="200"/>
      <c r="L187" s="200"/>
      <c r="M187" s="201"/>
      <c r="N187" s="201"/>
      <c r="P187" s="141" t="str">
        <f t="shared" si="21"/>
        <v/>
      </c>
      <c r="Q187" s="141" t="str">
        <f t="shared" si="22"/>
        <v/>
      </c>
      <c r="AA187" s="141" t="s">
        <v>989</v>
      </c>
      <c r="AB187" s="141" t="s">
        <v>990</v>
      </c>
    </row>
    <row r="188" spans="1:28">
      <c r="A188" s="151"/>
      <c r="B188" s="146" t="str">
        <f t="shared" si="18"/>
        <v/>
      </c>
      <c r="C188" s="151"/>
      <c r="D188" s="146" t="str">
        <f t="shared" si="19"/>
        <v/>
      </c>
      <c r="E188" s="186"/>
      <c r="F188" s="146" t="str">
        <f t="shared" si="20"/>
        <v/>
      </c>
      <c r="G188" s="185"/>
      <c r="H188" s="185"/>
      <c r="I188" s="185"/>
      <c r="J188" s="201"/>
      <c r="K188" s="200"/>
      <c r="L188" s="200"/>
      <c r="M188" s="201"/>
      <c r="N188" s="201"/>
      <c r="P188" s="141" t="str">
        <f t="shared" si="21"/>
        <v/>
      </c>
      <c r="Q188" s="141" t="str">
        <f t="shared" si="22"/>
        <v/>
      </c>
      <c r="AA188" s="141" t="s">
        <v>991</v>
      </c>
      <c r="AB188" s="141" t="s">
        <v>988</v>
      </c>
    </row>
    <row r="189" spans="1:28">
      <c r="A189" s="151"/>
      <c r="B189" s="146" t="str">
        <f t="shared" si="18"/>
        <v/>
      </c>
      <c r="C189" s="151"/>
      <c r="D189" s="146" t="str">
        <f t="shared" si="19"/>
        <v/>
      </c>
      <c r="E189" s="186"/>
      <c r="F189" s="146" t="str">
        <f t="shared" si="20"/>
        <v/>
      </c>
      <c r="G189" s="185"/>
      <c r="H189" s="185"/>
      <c r="I189" s="185"/>
      <c r="J189" s="201"/>
      <c r="K189" s="200"/>
      <c r="L189" s="200"/>
      <c r="M189" s="201"/>
      <c r="N189" s="201"/>
      <c r="P189" s="141" t="str">
        <f t="shared" si="21"/>
        <v/>
      </c>
      <c r="Q189" s="141" t="str">
        <f t="shared" si="22"/>
        <v/>
      </c>
      <c r="AA189" s="141" t="s">
        <v>1716</v>
      </c>
    </row>
    <row r="190" spans="1:28">
      <c r="A190" s="151"/>
      <c r="B190" s="146" t="str">
        <f t="shared" si="18"/>
        <v/>
      </c>
      <c r="C190" s="151"/>
      <c r="D190" s="146" t="str">
        <f t="shared" si="19"/>
        <v/>
      </c>
      <c r="E190" s="186"/>
      <c r="F190" s="146" t="str">
        <f t="shared" si="20"/>
        <v/>
      </c>
      <c r="G190" s="185"/>
      <c r="H190" s="185"/>
      <c r="I190" s="185"/>
      <c r="J190" s="201"/>
      <c r="K190" s="200"/>
      <c r="L190" s="200"/>
      <c r="M190" s="201"/>
      <c r="N190" s="201"/>
      <c r="P190" s="141" t="str">
        <f t="shared" si="21"/>
        <v/>
      </c>
      <c r="Q190" s="141" t="str">
        <f t="shared" si="22"/>
        <v/>
      </c>
      <c r="AA190" s="141" t="s">
        <v>1717</v>
      </c>
      <c r="AB190" s="141" t="s">
        <v>1718</v>
      </c>
    </row>
    <row r="191" spans="1:28">
      <c r="A191" s="151"/>
      <c r="B191" s="146" t="str">
        <f t="shared" si="18"/>
        <v/>
      </c>
      <c r="C191" s="151"/>
      <c r="D191" s="146" t="str">
        <f t="shared" si="19"/>
        <v/>
      </c>
      <c r="E191" s="186"/>
      <c r="F191" s="146" t="str">
        <f t="shared" si="20"/>
        <v/>
      </c>
      <c r="G191" s="185"/>
      <c r="H191" s="185"/>
      <c r="I191" s="185"/>
      <c r="J191" s="201"/>
      <c r="K191" s="200"/>
      <c r="L191" s="200"/>
      <c r="M191" s="201"/>
      <c r="N191" s="201"/>
      <c r="P191" s="141" t="str">
        <f t="shared" si="21"/>
        <v/>
      </c>
      <c r="Q191" s="141" t="str">
        <f t="shared" si="22"/>
        <v/>
      </c>
      <c r="AA191" s="141" t="s">
        <v>1719</v>
      </c>
      <c r="AB191" s="141" t="s">
        <v>1720</v>
      </c>
    </row>
    <row r="192" spans="1:28">
      <c r="A192" s="151"/>
      <c r="B192" s="146" t="str">
        <f t="shared" si="18"/>
        <v/>
      </c>
      <c r="C192" s="151"/>
      <c r="D192" s="146" t="str">
        <f t="shared" si="19"/>
        <v/>
      </c>
      <c r="E192" s="186"/>
      <c r="F192" s="146" t="str">
        <f t="shared" si="20"/>
        <v/>
      </c>
      <c r="G192" s="185"/>
      <c r="H192" s="185"/>
      <c r="I192" s="185"/>
      <c r="J192" s="201"/>
      <c r="K192" s="200"/>
      <c r="L192" s="200"/>
      <c r="M192" s="201"/>
      <c r="N192" s="201"/>
      <c r="P192" s="141" t="str">
        <f t="shared" si="21"/>
        <v/>
      </c>
      <c r="Q192" s="141" t="str">
        <f t="shared" si="22"/>
        <v/>
      </c>
      <c r="AA192" s="141" t="s">
        <v>1721</v>
      </c>
      <c r="AB192" s="141" t="s">
        <v>1722</v>
      </c>
    </row>
    <row r="193" spans="1:28">
      <c r="A193" s="151"/>
      <c r="B193" s="146" t="str">
        <f t="shared" si="18"/>
        <v/>
      </c>
      <c r="C193" s="151"/>
      <c r="D193" s="146" t="str">
        <f t="shared" si="19"/>
        <v/>
      </c>
      <c r="E193" s="186"/>
      <c r="F193" s="146" t="str">
        <f t="shared" si="20"/>
        <v/>
      </c>
      <c r="G193" s="185"/>
      <c r="H193" s="185"/>
      <c r="I193" s="185"/>
      <c r="J193" s="201"/>
      <c r="K193" s="200"/>
      <c r="L193" s="200"/>
      <c r="M193" s="201"/>
      <c r="N193" s="201"/>
      <c r="P193" s="141" t="str">
        <f t="shared" si="21"/>
        <v/>
      </c>
      <c r="Q193" s="141" t="str">
        <f t="shared" si="22"/>
        <v/>
      </c>
      <c r="AA193" s="141" t="s">
        <v>1723</v>
      </c>
      <c r="AB193" s="141" t="s">
        <v>1724</v>
      </c>
    </row>
    <row r="194" spans="1:28">
      <c r="A194" s="151"/>
      <c r="B194" s="146" t="str">
        <f t="shared" si="18"/>
        <v/>
      </c>
      <c r="C194" s="151"/>
      <c r="D194" s="146" t="str">
        <f t="shared" si="19"/>
        <v/>
      </c>
      <c r="E194" s="186"/>
      <c r="F194" s="146" t="str">
        <f t="shared" si="20"/>
        <v/>
      </c>
      <c r="G194" s="185"/>
      <c r="H194" s="185"/>
      <c r="I194" s="185"/>
      <c r="J194" s="201"/>
      <c r="K194" s="200"/>
      <c r="L194" s="200"/>
      <c r="M194" s="201"/>
      <c r="N194" s="201"/>
      <c r="P194" s="141" t="str">
        <f t="shared" si="21"/>
        <v/>
      </c>
      <c r="Q194" s="141" t="str">
        <f t="shared" si="22"/>
        <v/>
      </c>
      <c r="AA194" s="141" t="s">
        <v>1725</v>
      </c>
      <c r="AB194" s="141" t="s">
        <v>1726</v>
      </c>
    </row>
    <row r="195" spans="1:28">
      <c r="A195" s="151"/>
      <c r="B195" s="146" t="str">
        <f t="shared" si="18"/>
        <v/>
      </c>
      <c r="C195" s="151"/>
      <c r="D195" s="146" t="str">
        <f t="shared" si="19"/>
        <v/>
      </c>
      <c r="E195" s="186"/>
      <c r="F195" s="146" t="str">
        <f t="shared" si="20"/>
        <v/>
      </c>
      <c r="G195" s="185"/>
      <c r="H195" s="185"/>
      <c r="I195" s="185"/>
      <c r="J195" s="201"/>
      <c r="K195" s="200"/>
      <c r="L195" s="200"/>
      <c r="M195" s="201"/>
      <c r="N195" s="201"/>
      <c r="P195" s="141" t="str">
        <f t="shared" si="21"/>
        <v/>
      </c>
      <c r="Q195" s="141" t="str">
        <f t="shared" si="22"/>
        <v/>
      </c>
      <c r="AA195" s="141" t="s">
        <v>1727</v>
      </c>
      <c r="AB195" s="141" t="s">
        <v>1728</v>
      </c>
    </row>
    <row r="196" spans="1:28">
      <c r="A196" s="151"/>
      <c r="B196" s="146" t="str">
        <f t="shared" ref="B196:B259" si="23">IFERROR(VLOOKUP(A196,$R$6:$S$23,2,FALSE),"")</f>
        <v/>
      </c>
      <c r="C196" s="151"/>
      <c r="D196" s="146" t="str">
        <f t="shared" ref="D196:D259" si="24">IFERROR(VLOOKUP(C196,$U$5:$W$129,2,FALSE),"")</f>
        <v/>
      </c>
      <c r="E196" s="186"/>
      <c r="F196" s="146" t="str">
        <f t="shared" ref="F196:F259" si="25">IFERROR(VLOOKUP(E196,$AA$5:$AB$500,2,FALSE),"")</f>
        <v/>
      </c>
      <c r="G196" s="185"/>
      <c r="H196" s="185"/>
      <c r="I196" s="185"/>
      <c r="J196" s="201"/>
      <c r="K196" s="200"/>
      <c r="L196" s="200"/>
      <c r="M196" s="201"/>
      <c r="N196" s="201"/>
      <c r="P196" s="141" t="str">
        <f t="shared" ref="P196:P259" si="26">LEFT(C196,3)</f>
        <v/>
      </c>
      <c r="Q196" s="141" t="str">
        <f t="shared" ref="Q196:Q259" si="27">LEFT(C196,2)</f>
        <v/>
      </c>
      <c r="AA196" s="141" t="s">
        <v>1729</v>
      </c>
      <c r="AB196" s="141" t="s">
        <v>1730</v>
      </c>
    </row>
    <row r="197" spans="1:28">
      <c r="A197" s="151"/>
      <c r="B197" s="146" t="str">
        <f t="shared" si="23"/>
        <v/>
      </c>
      <c r="C197" s="151"/>
      <c r="D197" s="146" t="str">
        <f t="shared" si="24"/>
        <v/>
      </c>
      <c r="E197" s="186"/>
      <c r="F197" s="146" t="str">
        <f t="shared" si="25"/>
        <v/>
      </c>
      <c r="G197" s="185"/>
      <c r="H197" s="185"/>
      <c r="I197" s="185"/>
      <c r="J197" s="201"/>
      <c r="K197" s="200"/>
      <c r="L197" s="200"/>
      <c r="M197" s="201"/>
      <c r="N197" s="201"/>
      <c r="P197" s="141" t="str">
        <f t="shared" si="26"/>
        <v/>
      </c>
      <c r="Q197" s="141" t="str">
        <f t="shared" si="27"/>
        <v/>
      </c>
      <c r="AA197" s="141" t="s">
        <v>1731</v>
      </c>
      <c r="AB197" s="141" t="s">
        <v>1732</v>
      </c>
    </row>
    <row r="198" spans="1:28">
      <c r="A198" s="151"/>
      <c r="B198" s="146" t="str">
        <f t="shared" si="23"/>
        <v/>
      </c>
      <c r="C198" s="151"/>
      <c r="D198" s="146" t="str">
        <f t="shared" si="24"/>
        <v/>
      </c>
      <c r="E198" s="186"/>
      <c r="F198" s="146" t="str">
        <f t="shared" si="25"/>
        <v/>
      </c>
      <c r="G198" s="185"/>
      <c r="H198" s="185"/>
      <c r="I198" s="185"/>
      <c r="J198" s="201"/>
      <c r="K198" s="200"/>
      <c r="L198" s="200"/>
      <c r="M198" s="201"/>
      <c r="N198" s="201"/>
      <c r="P198" s="141" t="str">
        <f t="shared" si="26"/>
        <v/>
      </c>
      <c r="Q198" s="141" t="str">
        <f t="shared" si="27"/>
        <v/>
      </c>
      <c r="AA198" s="141" t="s">
        <v>1733</v>
      </c>
      <c r="AB198" s="141" t="s">
        <v>1734</v>
      </c>
    </row>
    <row r="199" spans="1:28">
      <c r="A199" s="151"/>
      <c r="B199" s="146" t="str">
        <f t="shared" si="23"/>
        <v/>
      </c>
      <c r="C199" s="151"/>
      <c r="D199" s="146" t="str">
        <f t="shared" si="24"/>
        <v/>
      </c>
      <c r="E199" s="186"/>
      <c r="F199" s="146" t="str">
        <f t="shared" si="25"/>
        <v/>
      </c>
      <c r="G199" s="185"/>
      <c r="H199" s="185"/>
      <c r="I199" s="185"/>
      <c r="J199" s="201"/>
      <c r="K199" s="200"/>
      <c r="L199" s="200"/>
      <c r="M199" s="201"/>
      <c r="N199" s="201"/>
      <c r="P199" s="141" t="str">
        <f t="shared" si="26"/>
        <v/>
      </c>
      <c r="Q199" s="141" t="str">
        <f t="shared" si="27"/>
        <v/>
      </c>
      <c r="AA199" s="141" t="s">
        <v>1735</v>
      </c>
      <c r="AB199" s="141" t="s">
        <v>1736</v>
      </c>
    </row>
    <row r="200" spans="1:28">
      <c r="A200" s="151"/>
      <c r="B200" s="146" t="str">
        <f t="shared" si="23"/>
        <v/>
      </c>
      <c r="C200" s="151"/>
      <c r="D200" s="146" t="str">
        <f t="shared" si="24"/>
        <v/>
      </c>
      <c r="E200" s="186"/>
      <c r="F200" s="146" t="str">
        <f t="shared" si="25"/>
        <v/>
      </c>
      <c r="G200" s="185"/>
      <c r="H200" s="185"/>
      <c r="I200" s="185"/>
      <c r="J200" s="201"/>
      <c r="K200" s="200"/>
      <c r="L200" s="200"/>
      <c r="M200" s="201"/>
      <c r="N200" s="201"/>
      <c r="P200" s="141" t="str">
        <f t="shared" si="26"/>
        <v/>
      </c>
      <c r="Q200" s="141" t="str">
        <f t="shared" si="27"/>
        <v/>
      </c>
      <c r="AA200" s="141" t="s">
        <v>1737</v>
      </c>
      <c r="AB200" s="141" t="s">
        <v>1738</v>
      </c>
    </row>
    <row r="201" spans="1:28">
      <c r="A201" s="151"/>
      <c r="B201" s="146" t="str">
        <f t="shared" si="23"/>
        <v/>
      </c>
      <c r="C201" s="151"/>
      <c r="D201" s="146" t="str">
        <f t="shared" si="24"/>
        <v/>
      </c>
      <c r="E201" s="186"/>
      <c r="F201" s="146" t="str">
        <f t="shared" si="25"/>
        <v/>
      </c>
      <c r="G201" s="185"/>
      <c r="H201" s="185"/>
      <c r="I201" s="185"/>
      <c r="J201" s="201"/>
      <c r="K201" s="200"/>
      <c r="L201" s="200"/>
      <c r="M201" s="201"/>
      <c r="N201" s="201"/>
      <c r="P201" s="141" t="str">
        <f t="shared" si="26"/>
        <v/>
      </c>
      <c r="Q201" s="141" t="str">
        <f t="shared" si="27"/>
        <v/>
      </c>
      <c r="AA201" s="141" t="s">
        <v>1739</v>
      </c>
      <c r="AB201" s="141" t="s">
        <v>1740</v>
      </c>
    </row>
    <row r="202" spans="1:28">
      <c r="A202" s="151"/>
      <c r="B202" s="146" t="str">
        <f t="shared" si="23"/>
        <v/>
      </c>
      <c r="C202" s="151"/>
      <c r="D202" s="146" t="str">
        <f t="shared" si="24"/>
        <v/>
      </c>
      <c r="E202" s="186"/>
      <c r="F202" s="146" t="str">
        <f t="shared" si="25"/>
        <v/>
      </c>
      <c r="G202" s="185"/>
      <c r="H202" s="185"/>
      <c r="I202" s="185"/>
      <c r="J202" s="201"/>
      <c r="K202" s="200"/>
      <c r="L202" s="200"/>
      <c r="M202" s="201"/>
      <c r="N202" s="201"/>
      <c r="P202" s="141" t="str">
        <f t="shared" si="26"/>
        <v/>
      </c>
      <c r="Q202" s="141" t="str">
        <f t="shared" si="27"/>
        <v/>
      </c>
      <c r="AA202" s="141" t="s">
        <v>1741</v>
      </c>
      <c r="AB202" s="141" t="s">
        <v>1742</v>
      </c>
    </row>
    <row r="203" spans="1:28">
      <c r="A203" s="151"/>
      <c r="B203" s="146" t="str">
        <f t="shared" si="23"/>
        <v/>
      </c>
      <c r="C203" s="151"/>
      <c r="D203" s="146" t="str">
        <f t="shared" si="24"/>
        <v/>
      </c>
      <c r="E203" s="186"/>
      <c r="F203" s="146" t="str">
        <f t="shared" si="25"/>
        <v/>
      </c>
      <c r="G203" s="185"/>
      <c r="H203" s="185"/>
      <c r="I203" s="185"/>
      <c r="J203" s="201"/>
      <c r="K203" s="200"/>
      <c r="L203" s="200"/>
      <c r="M203" s="201"/>
      <c r="N203" s="201"/>
      <c r="P203" s="141" t="str">
        <f t="shared" si="26"/>
        <v/>
      </c>
      <c r="Q203" s="141" t="str">
        <f t="shared" si="27"/>
        <v/>
      </c>
      <c r="AA203" s="141" t="s">
        <v>1743</v>
      </c>
      <c r="AB203" s="141" t="s">
        <v>1744</v>
      </c>
    </row>
    <row r="204" spans="1:28">
      <c r="A204" s="151"/>
      <c r="B204" s="146" t="str">
        <f t="shared" si="23"/>
        <v/>
      </c>
      <c r="C204" s="151"/>
      <c r="D204" s="146" t="str">
        <f t="shared" si="24"/>
        <v/>
      </c>
      <c r="E204" s="186"/>
      <c r="F204" s="146" t="str">
        <f t="shared" si="25"/>
        <v/>
      </c>
      <c r="G204" s="185"/>
      <c r="H204" s="185"/>
      <c r="I204" s="185"/>
      <c r="J204" s="201"/>
      <c r="K204" s="200"/>
      <c r="L204" s="200"/>
      <c r="M204" s="201"/>
      <c r="N204" s="201"/>
      <c r="P204" s="141" t="str">
        <f t="shared" si="26"/>
        <v/>
      </c>
      <c r="Q204" s="141" t="str">
        <f t="shared" si="27"/>
        <v/>
      </c>
      <c r="AA204" s="141" t="s">
        <v>1745</v>
      </c>
      <c r="AB204" s="141" t="s">
        <v>1746</v>
      </c>
    </row>
    <row r="205" spans="1:28">
      <c r="A205" s="151"/>
      <c r="B205" s="146" t="str">
        <f t="shared" si="23"/>
        <v/>
      </c>
      <c r="C205" s="151"/>
      <c r="D205" s="146" t="str">
        <f t="shared" si="24"/>
        <v/>
      </c>
      <c r="E205" s="186"/>
      <c r="F205" s="146" t="str">
        <f t="shared" si="25"/>
        <v/>
      </c>
      <c r="G205" s="185"/>
      <c r="H205" s="185"/>
      <c r="I205" s="185"/>
      <c r="J205" s="201"/>
      <c r="K205" s="200"/>
      <c r="L205" s="200"/>
      <c r="M205" s="201"/>
      <c r="N205" s="201"/>
      <c r="P205" s="141" t="str">
        <f t="shared" si="26"/>
        <v/>
      </c>
      <c r="Q205" s="141" t="str">
        <f t="shared" si="27"/>
        <v/>
      </c>
      <c r="AA205" s="141" t="s">
        <v>1747</v>
      </c>
      <c r="AB205" s="141" t="s">
        <v>1748</v>
      </c>
    </row>
    <row r="206" spans="1:28">
      <c r="A206" s="151"/>
      <c r="B206" s="146" t="str">
        <f t="shared" si="23"/>
        <v/>
      </c>
      <c r="C206" s="151"/>
      <c r="D206" s="146" t="str">
        <f t="shared" si="24"/>
        <v/>
      </c>
      <c r="E206" s="186"/>
      <c r="F206" s="146" t="str">
        <f t="shared" si="25"/>
        <v/>
      </c>
      <c r="G206" s="185"/>
      <c r="H206" s="185"/>
      <c r="I206" s="185"/>
      <c r="J206" s="201"/>
      <c r="K206" s="200"/>
      <c r="L206" s="200"/>
      <c r="M206" s="201"/>
      <c r="N206" s="201"/>
      <c r="P206" s="141" t="str">
        <f t="shared" si="26"/>
        <v/>
      </c>
      <c r="Q206" s="141" t="str">
        <f t="shared" si="27"/>
        <v/>
      </c>
      <c r="AA206" s="141" t="s">
        <v>1749</v>
      </c>
      <c r="AB206" s="141" t="s">
        <v>1750</v>
      </c>
    </row>
    <row r="207" spans="1:28">
      <c r="A207" s="151"/>
      <c r="B207" s="146" t="str">
        <f t="shared" si="23"/>
        <v/>
      </c>
      <c r="C207" s="151"/>
      <c r="D207" s="146" t="str">
        <f t="shared" si="24"/>
        <v/>
      </c>
      <c r="E207" s="186"/>
      <c r="F207" s="146" t="str">
        <f t="shared" si="25"/>
        <v/>
      </c>
      <c r="G207" s="185"/>
      <c r="H207" s="185"/>
      <c r="I207" s="185"/>
      <c r="J207" s="201"/>
      <c r="K207" s="200"/>
      <c r="L207" s="200"/>
      <c r="M207" s="201"/>
      <c r="N207" s="201"/>
      <c r="P207" s="141" t="str">
        <f t="shared" si="26"/>
        <v/>
      </c>
      <c r="Q207" s="141" t="str">
        <f t="shared" si="27"/>
        <v/>
      </c>
      <c r="AA207" s="141" t="s">
        <v>1751</v>
      </c>
      <c r="AB207" s="141" t="s">
        <v>1752</v>
      </c>
    </row>
    <row r="208" spans="1:28">
      <c r="A208" s="151"/>
      <c r="B208" s="146" t="str">
        <f t="shared" si="23"/>
        <v/>
      </c>
      <c r="C208" s="151"/>
      <c r="D208" s="146" t="str">
        <f t="shared" si="24"/>
        <v/>
      </c>
      <c r="E208" s="186"/>
      <c r="F208" s="146" t="str">
        <f t="shared" si="25"/>
        <v/>
      </c>
      <c r="G208" s="185"/>
      <c r="H208" s="185"/>
      <c r="I208" s="185"/>
      <c r="J208" s="201"/>
      <c r="K208" s="200"/>
      <c r="L208" s="200"/>
      <c r="M208" s="201"/>
      <c r="N208" s="201"/>
      <c r="P208" s="141" t="str">
        <f t="shared" si="26"/>
        <v/>
      </c>
      <c r="Q208" s="141" t="str">
        <f t="shared" si="27"/>
        <v/>
      </c>
      <c r="AA208" s="141" t="s">
        <v>1753</v>
      </c>
      <c r="AB208" s="141" t="s">
        <v>1754</v>
      </c>
    </row>
    <row r="209" spans="1:28">
      <c r="A209" s="151"/>
      <c r="B209" s="146" t="str">
        <f t="shared" si="23"/>
        <v/>
      </c>
      <c r="C209" s="151"/>
      <c r="D209" s="146" t="str">
        <f t="shared" si="24"/>
        <v/>
      </c>
      <c r="E209" s="186"/>
      <c r="F209" s="146" t="str">
        <f t="shared" si="25"/>
        <v/>
      </c>
      <c r="G209" s="185"/>
      <c r="H209" s="185"/>
      <c r="I209" s="185"/>
      <c r="J209" s="201"/>
      <c r="K209" s="200"/>
      <c r="L209" s="200"/>
      <c r="M209" s="201"/>
      <c r="N209" s="201"/>
      <c r="P209" s="141" t="str">
        <f t="shared" si="26"/>
        <v/>
      </c>
      <c r="Q209" s="141" t="str">
        <f t="shared" si="27"/>
        <v/>
      </c>
      <c r="AA209" s="141" t="s">
        <v>1755</v>
      </c>
      <c r="AB209" s="141" t="s">
        <v>1756</v>
      </c>
    </row>
    <row r="210" spans="1:28">
      <c r="A210" s="151"/>
      <c r="B210" s="146" t="str">
        <f t="shared" si="23"/>
        <v/>
      </c>
      <c r="C210" s="151"/>
      <c r="D210" s="146" t="str">
        <f t="shared" si="24"/>
        <v/>
      </c>
      <c r="E210" s="186"/>
      <c r="F210" s="146" t="str">
        <f t="shared" si="25"/>
        <v/>
      </c>
      <c r="G210" s="185"/>
      <c r="H210" s="185"/>
      <c r="I210" s="185"/>
      <c r="J210" s="201"/>
      <c r="K210" s="200"/>
      <c r="L210" s="200"/>
      <c r="M210" s="201"/>
      <c r="N210" s="201"/>
      <c r="P210" s="141" t="str">
        <f t="shared" si="26"/>
        <v/>
      </c>
      <c r="Q210" s="141" t="str">
        <f t="shared" si="27"/>
        <v/>
      </c>
      <c r="AA210" s="141" t="s">
        <v>1757</v>
      </c>
      <c r="AB210" s="141" t="s">
        <v>1758</v>
      </c>
    </row>
    <row r="211" spans="1:28">
      <c r="A211" s="151"/>
      <c r="B211" s="146" t="str">
        <f t="shared" si="23"/>
        <v/>
      </c>
      <c r="C211" s="151"/>
      <c r="D211" s="146" t="str">
        <f t="shared" si="24"/>
        <v/>
      </c>
      <c r="E211" s="186"/>
      <c r="F211" s="146" t="str">
        <f t="shared" si="25"/>
        <v/>
      </c>
      <c r="G211" s="185"/>
      <c r="H211" s="185"/>
      <c r="I211" s="185"/>
      <c r="J211" s="201"/>
      <c r="K211" s="200"/>
      <c r="L211" s="200"/>
      <c r="M211" s="201"/>
      <c r="N211" s="201"/>
      <c r="P211" s="141" t="str">
        <f t="shared" si="26"/>
        <v/>
      </c>
      <c r="Q211" s="141" t="str">
        <f t="shared" si="27"/>
        <v/>
      </c>
      <c r="AA211" s="141" t="s">
        <v>1759</v>
      </c>
      <c r="AB211" s="141" t="s">
        <v>1760</v>
      </c>
    </row>
    <row r="212" spans="1:28">
      <c r="A212" s="151"/>
      <c r="B212" s="146" t="str">
        <f t="shared" si="23"/>
        <v/>
      </c>
      <c r="C212" s="151"/>
      <c r="D212" s="146" t="str">
        <f t="shared" si="24"/>
        <v/>
      </c>
      <c r="E212" s="186"/>
      <c r="F212" s="146" t="str">
        <f t="shared" si="25"/>
        <v/>
      </c>
      <c r="G212" s="185"/>
      <c r="H212" s="185"/>
      <c r="I212" s="185"/>
      <c r="J212" s="201"/>
      <c r="K212" s="200"/>
      <c r="L212" s="200"/>
      <c r="M212" s="201"/>
      <c r="N212" s="201"/>
      <c r="P212" s="141" t="str">
        <f t="shared" si="26"/>
        <v/>
      </c>
      <c r="Q212" s="141" t="str">
        <f t="shared" si="27"/>
        <v/>
      </c>
      <c r="AA212" s="141" t="s">
        <v>1761</v>
      </c>
      <c r="AB212" s="141" t="s">
        <v>1762</v>
      </c>
    </row>
    <row r="213" spans="1:28">
      <c r="A213" s="151"/>
      <c r="B213" s="146" t="str">
        <f t="shared" si="23"/>
        <v/>
      </c>
      <c r="C213" s="151"/>
      <c r="D213" s="146" t="str">
        <f t="shared" si="24"/>
        <v/>
      </c>
      <c r="E213" s="186"/>
      <c r="F213" s="146" t="str">
        <f t="shared" si="25"/>
        <v/>
      </c>
      <c r="G213" s="185"/>
      <c r="H213" s="185"/>
      <c r="I213" s="185"/>
      <c r="J213" s="201"/>
      <c r="K213" s="200"/>
      <c r="L213" s="200"/>
      <c r="M213" s="201"/>
      <c r="N213" s="201"/>
      <c r="P213" s="141" t="str">
        <f t="shared" si="26"/>
        <v/>
      </c>
      <c r="Q213" s="141" t="str">
        <f t="shared" si="27"/>
        <v/>
      </c>
      <c r="AA213" s="141" t="s">
        <v>1763</v>
      </c>
      <c r="AB213" s="141" t="s">
        <v>1764</v>
      </c>
    </row>
    <row r="214" spans="1:28">
      <c r="A214" s="151"/>
      <c r="B214" s="146" t="str">
        <f t="shared" si="23"/>
        <v/>
      </c>
      <c r="C214" s="151"/>
      <c r="D214" s="146" t="str">
        <f t="shared" si="24"/>
        <v/>
      </c>
      <c r="E214" s="186"/>
      <c r="F214" s="146" t="str">
        <f t="shared" si="25"/>
        <v/>
      </c>
      <c r="G214" s="185"/>
      <c r="H214" s="185"/>
      <c r="I214" s="185"/>
      <c r="J214" s="201"/>
      <c r="K214" s="200"/>
      <c r="L214" s="200"/>
      <c r="M214" s="201"/>
      <c r="N214" s="201"/>
      <c r="P214" s="141" t="str">
        <f t="shared" si="26"/>
        <v/>
      </c>
      <c r="Q214" s="141" t="str">
        <f t="shared" si="27"/>
        <v/>
      </c>
      <c r="AA214" s="141" t="s">
        <v>1765</v>
      </c>
      <c r="AB214" s="141" t="s">
        <v>1766</v>
      </c>
    </row>
    <row r="215" spans="1:28">
      <c r="A215" s="151"/>
      <c r="B215" s="146" t="str">
        <f t="shared" si="23"/>
        <v/>
      </c>
      <c r="C215" s="151"/>
      <c r="D215" s="146" t="str">
        <f t="shared" si="24"/>
        <v/>
      </c>
      <c r="E215" s="186"/>
      <c r="F215" s="146" t="str">
        <f t="shared" si="25"/>
        <v/>
      </c>
      <c r="G215" s="185"/>
      <c r="H215" s="185"/>
      <c r="I215" s="185"/>
      <c r="J215" s="201"/>
      <c r="K215" s="200"/>
      <c r="L215" s="200"/>
      <c r="M215" s="201"/>
      <c r="N215" s="201"/>
      <c r="P215" s="141" t="str">
        <f t="shared" si="26"/>
        <v/>
      </c>
      <c r="Q215" s="141" t="str">
        <f t="shared" si="27"/>
        <v/>
      </c>
      <c r="AA215" s="141" t="s">
        <v>1767</v>
      </c>
      <c r="AB215" s="141" t="s">
        <v>1768</v>
      </c>
    </row>
    <row r="216" spans="1:28">
      <c r="A216" s="151"/>
      <c r="B216" s="146" t="str">
        <f t="shared" si="23"/>
        <v/>
      </c>
      <c r="C216" s="151"/>
      <c r="D216" s="146" t="str">
        <f t="shared" si="24"/>
        <v/>
      </c>
      <c r="E216" s="186"/>
      <c r="F216" s="146" t="str">
        <f t="shared" si="25"/>
        <v/>
      </c>
      <c r="G216" s="185"/>
      <c r="H216" s="185"/>
      <c r="I216" s="185"/>
      <c r="J216" s="201"/>
      <c r="K216" s="200"/>
      <c r="L216" s="200"/>
      <c r="M216" s="201"/>
      <c r="N216" s="201"/>
      <c r="P216" s="141" t="str">
        <f t="shared" si="26"/>
        <v/>
      </c>
      <c r="Q216" s="141" t="str">
        <f t="shared" si="27"/>
        <v/>
      </c>
      <c r="AA216" s="141" t="s">
        <v>1769</v>
      </c>
      <c r="AB216" s="141" t="s">
        <v>1770</v>
      </c>
    </row>
    <row r="217" spans="1:28">
      <c r="A217" s="151"/>
      <c r="B217" s="146" t="str">
        <f t="shared" si="23"/>
        <v/>
      </c>
      <c r="C217" s="151"/>
      <c r="D217" s="146" t="str">
        <f t="shared" si="24"/>
        <v/>
      </c>
      <c r="E217" s="186"/>
      <c r="F217" s="146" t="str">
        <f t="shared" si="25"/>
        <v/>
      </c>
      <c r="G217" s="185"/>
      <c r="H217" s="185"/>
      <c r="I217" s="185"/>
      <c r="J217" s="201"/>
      <c r="K217" s="200"/>
      <c r="L217" s="200"/>
      <c r="M217" s="201"/>
      <c r="N217" s="201"/>
      <c r="P217" s="141" t="str">
        <f t="shared" si="26"/>
        <v/>
      </c>
      <c r="Q217" s="141" t="str">
        <f t="shared" si="27"/>
        <v/>
      </c>
      <c r="AA217" s="141" t="s">
        <v>1771</v>
      </c>
      <c r="AB217" s="141" t="s">
        <v>1772</v>
      </c>
    </row>
    <row r="218" spans="1:28">
      <c r="A218" s="151"/>
      <c r="B218" s="146" t="str">
        <f t="shared" si="23"/>
        <v/>
      </c>
      <c r="C218" s="151"/>
      <c r="D218" s="146" t="str">
        <f t="shared" si="24"/>
        <v/>
      </c>
      <c r="E218" s="186"/>
      <c r="F218" s="146" t="str">
        <f t="shared" si="25"/>
        <v/>
      </c>
      <c r="G218" s="185"/>
      <c r="H218" s="185"/>
      <c r="I218" s="185"/>
      <c r="J218" s="201"/>
      <c r="K218" s="200"/>
      <c r="L218" s="200"/>
      <c r="M218" s="201"/>
      <c r="N218" s="201"/>
      <c r="P218" s="141" t="str">
        <f t="shared" si="26"/>
        <v/>
      </c>
      <c r="Q218" s="141" t="str">
        <f t="shared" si="27"/>
        <v/>
      </c>
      <c r="AA218" s="141" t="s">
        <v>1773</v>
      </c>
      <c r="AB218" s="141" t="s">
        <v>1774</v>
      </c>
    </row>
    <row r="219" spans="1:28">
      <c r="A219" s="151"/>
      <c r="B219" s="146" t="str">
        <f t="shared" si="23"/>
        <v/>
      </c>
      <c r="C219" s="151"/>
      <c r="D219" s="146" t="str">
        <f t="shared" si="24"/>
        <v/>
      </c>
      <c r="E219" s="186"/>
      <c r="F219" s="146" t="str">
        <f t="shared" si="25"/>
        <v/>
      </c>
      <c r="G219" s="185"/>
      <c r="H219" s="185"/>
      <c r="I219" s="185"/>
      <c r="J219" s="201"/>
      <c r="K219" s="200"/>
      <c r="L219" s="200"/>
      <c r="M219" s="201"/>
      <c r="N219" s="201"/>
      <c r="P219" s="141" t="str">
        <f t="shared" si="26"/>
        <v/>
      </c>
      <c r="Q219" s="141" t="str">
        <f t="shared" si="27"/>
        <v/>
      </c>
      <c r="AA219" s="141" t="s">
        <v>1775</v>
      </c>
      <c r="AB219" s="141" t="s">
        <v>1776</v>
      </c>
    </row>
    <row r="220" spans="1:28">
      <c r="A220" s="151"/>
      <c r="B220" s="146" t="str">
        <f t="shared" si="23"/>
        <v/>
      </c>
      <c r="C220" s="151"/>
      <c r="D220" s="146" t="str">
        <f t="shared" si="24"/>
        <v/>
      </c>
      <c r="E220" s="186"/>
      <c r="F220" s="146" t="str">
        <f t="shared" si="25"/>
        <v/>
      </c>
      <c r="G220" s="185"/>
      <c r="H220" s="185"/>
      <c r="I220" s="185"/>
      <c r="J220" s="201"/>
      <c r="K220" s="200"/>
      <c r="L220" s="200"/>
      <c r="M220" s="201"/>
      <c r="N220" s="201"/>
      <c r="P220" s="141" t="str">
        <f t="shared" si="26"/>
        <v/>
      </c>
      <c r="Q220" s="141" t="str">
        <f t="shared" si="27"/>
        <v/>
      </c>
      <c r="AA220" s="141" t="s">
        <v>1777</v>
      </c>
      <c r="AB220" s="141" t="s">
        <v>1778</v>
      </c>
    </row>
    <row r="221" spans="1:28">
      <c r="A221" s="151"/>
      <c r="B221" s="146" t="str">
        <f t="shared" si="23"/>
        <v/>
      </c>
      <c r="C221" s="151"/>
      <c r="D221" s="146" t="str">
        <f t="shared" si="24"/>
        <v/>
      </c>
      <c r="E221" s="186"/>
      <c r="F221" s="146" t="str">
        <f t="shared" si="25"/>
        <v/>
      </c>
      <c r="G221" s="185"/>
      <c r="H221" s="185"/>
      <c r="I221" s="185"/>
      <c r="J221" s="201"/>
      <c r="K221" s="200"/>
      <c r="L221" s="200"/>
      <c r="M221" s="201"/>
      <c r="N221" s="201"/>
      <c r="P221" s="141" t="str">
        <f t="shared" si="26"/>
        <v/>
      </c>
      <c r="Q221" s="141" t="str">
        <f t="shared" si="27"/>
        <v/>
      </c>
      <c r="AA221" s="141" t="s">
        <v>992</v>
      </c>
      <c r="AB221" s="141" t="s">
        <v>993</v>
      </c>
    </row>
    <row r="222" spans="1:28">
      <c r="A222" s="151"/>
      <c r="B222" s="146" t="str">
        <f t="shared" si="23"/>
        <v/>
      </c>
      <c r="C222" s="151"/>
      <c r="D222" s="146" t="str">
        <f t="shared" si="24"/>
        <v/>
      </c>
      <c r="E222" s="186"/>
      <c r="F222" s="146" t="str">
        <f t="shared" si="25"/>
        <v/>
      </c>
      <c r="G222" s="185"/>
      <c r="H222" s="185"/>
      <c r="I222" s="185"/>
      <c r="J222" s="201"/>
      <c r="K222" s="200"/>
      <c r="L222" s="200"/>
      <c r="M222" s="201"/>
      <c r="N222" s="201"/>
      <c r="P222" s="141" t="str">
        <f t="shared" si="26"/>
        <v/>
      </c>
      <c r="Q222" s="141" t="str">
        <f t="shared" si="27"/>
        <v/>
      </c>
      <c r="AA222" s="141" t="s">
        <v>994</v>
      </c>
      <c r="AB222" s="141" t="s">
        <v>995</v>
      </c>
    </row>
    <row r="223" spans="1:28">
      <c r="A223" s="151"/>
      <c r="B223" s="146" t="str">
        <f t="shared" si="23"/>
        <v/>
      </c>
      <c r="C223" s="151"/>
      <c r="D223" s="146" t="str">
        <f t="shared" si="24"/>
        <v/>
      </c>
      <c r="E223" s="186"/>
      <c r="F223" s="146" t="str">
        <f t="shared" si="25"/>
        <v/>
      </c>
      <c r="G223" s="185"/>
      <c r="H223" s="185"/>
      <c r="I223" s="185"/>
      <c r="J223" s="201"/>
      <c r="K223" s="200"/>
      <c r="L223" s="200"/>
      <c r="M223" s="201"/>
      <c r="N223" s="201"/>
      <c r="P223" s="141" t="str">
        <f t="shared" si="26"/>
        <v/>
      </c>
      <c r="Q223" s="141" t="str">
        <f t="shared" si="27"/>
        <v/>
      </c>
      <c r="AA223" s="141" t="s">
        <v>996</v>
      </c>
      <c r="AB223" s="141" t="s">
        <v>997</v>
      </c>
    </row>
    <row r="224" spans="1:28">
      <c r="A224" s="151"/>
      <c r="B224" s="146" t="str">
        <f t="shared" si="23"/>
        <v/>
      </c>
      <c r="C224" s="151"/>
      <c r="D224" s="146" t="str">
        <f t="shared" si="24"/>
        <v/>
      </c>
      <c r="E224" s="186"/>
      <c r="F224" s="146" t="str">
        <f t="shared" si="25"/>
        <v/>
      </c>
      <c r="G224" s="185"/>
      <c r="H224" s="185"/>
      <c r="I224" s="185"/>
      <c r="J224" s="201"/>
      <c r="K224" s="200"/>
      <c r="L224" s="200"/>
      <c r="M224" s="201"/>
      <c r="N224" s="201"/>
      <c r="P224" s="141" t="str">
        <f t="shared" si="26"/>
        <v/>
      </c>
      <c r="Q224" s="141" t="str">
        <f t="shared" si="27"/>
        <v/>
      </c>
      <c r="AA224" s="141" t="s">
        <v>998</v>
      </c>
      <c r="AB224" s="141" t="s">
        <v>999</v>
      </c>
    </row>
    <row r="225" spans="1:28">
      <c r="A225" s="151"/>
      <c r="B225" s="146" t="str">
        <f t="shared" si="23"/>
        <v/>
      </c>
      <c r="C225" s="151"/>
      <c r="D225" s="146" t="str">
        <f t="shared" si="24"/>
        <v/>
      </c>
      <c r="E225" s="186"/>
      <c r="F225" s="146" t="str">
        <f t="shared" si="25"/>
        <v/>
      </c>
      <c r="G225" s="185"/>
      <c r="H225" s="185"/>
      <c r="I225" s="185"/>
      <c r="J225" s="201"/>
      <c r="K225" s="200"/>
      <c r="L225" s="200"/>
      <c r="M225" s="201"/>
      <c r="N225" s="201"/>
      <c r="P225" s="141" t="str">
        <f t="shared" si="26"/>
        <v/>
      </c>
      <c r="Q225" s="141" t="str">
        <f t="shared" si="27"/>
        <v/>
      </c>
      <c r="AA225" s="141" t="s">
        <v>1000</v>
      </c>
      <c r="AB225" s="141" t="s">
        <v>1001</v>
      </c>
    </row>
    <row r="226" spans="1:28">
      <c r="A226" s="151"/>
      <c r="B226" s="146" t="str">
        <f t="shared" si="23"/>
        <v/>
      </c>
      <c r="C226" s="151"/>
      <c r="D226" s="146" t="str">
        <f t="shared" si="24"/>
        <v/>
      </c>
      <c r="E226" s="186"/>
      <c r="F226" s="146" t="str">
        <f t="shared" si="25"/>
        <v/>
      </c>
      <c r="G226" s="185"/>
      <c r="H226" s="185"/>
      <c r="I226" s="185"/>
      <c r="J226" s="201"/>
      <c r="K226" s="200"/>
      <c r="L226" s="200"/>
      <c r="M226" s="201"/>
      <c r="N226" s="201"/>
      <c r="P226" s="141" t="str">
        <f t="shared" si="26"/>
        <v/>
      </c>
      <c r="Q226" s="141" t="str">
        <f t="shared" si="27"/>
        <v/>
      </c>
      <c r="AA226" s="141" t="s">
        <v>1002</v>
      </c>
      <c r="AB226" s="141" t="s">
        <v>1003</v>
      </c>
    </row>
    <row r="227" spans="1:28">
      <c r="A227" s="151"/>
      <c r="B227" s="146" t="str">
        <f t="shared" si="23"/>
        <v/>
      </c>
      <c r="C227" s="151"/>
      <c r="D227" s="146" t="str">
        <f t="shared" si="24"/>
        <v/>
      </c>
      <c r="E227" s="186"/>
      <c r="F227" s="146" t="str">
        <f t="shared" si="25"/>
        <v/>
      </c>
      <c r="G227" s="185"/>
      <c r="H227" s="185"/>
      <c r="I227" s="185"/>
      <c r="J227" s="201"/>
      <c r="K227" s="200"/>
      <c r="L227" s="200"/>
      <c r="M227" s="201"/>
      <c r="N227" s="201"/>
      <c r="P227" s="141" t="str">
        <f t="shared" si="26"/>
        <v/>
      </c>
      <c r="Q227" s="141" t="str">
        <f t="shared" si="27"/>
        <v/>
      </c>
      <c r="AA227" s="141" t="s">
        <v>1004</v>
      </c>
      <c r="AB227" s="141" t="s">
        <v>1005</v>
      </c>
    </row>
    <row r="228" spans="1:28">
      <c r="A228" s="151"/>
      <c r="B228" s="146" t="str">
        <f t="shared" si="23"/>
        <v/>
      </c>
      <c r="C228" s="151"/>
      <c r="D228" s="146" t="str">
        <f t="shared" si="24"/>
        <v/>
      </c>
      <c r="E228" s="186"/>
      <c r="F228" s="146" t="str">
        <f t="shared" si="25"/>
        <v/>
      </c>
      <c r="G228" s="185"/>
      <c r="H228" s="185"/>
      <c r="I228" s="185"/>
      <c r="J228" s="201"/>
      <c r="K228" s="200"/>
      <c r="L228" s="200"/>
      <c r="M228" s="201"/>
      <c r="N228" s="201"/>
      <c r="P228" s="141" t="str">
        <f t="shared" si="26"/>
        <v/>
      </c>
      <c r="Q228" s="141" t="str">
        <f t="shared" si="27"/>
        <v/>
      </c>
      <c r="AA228" s="141" t="s">
        <v>1006</v>
      </c>
      <c r="AB228" s="141" t="s">
        <v>1007</v>
      </c>
    </row>
    <row r="229" spans="1:28">
      <c r="A229" s="151"/>
      <c r="B229" s="146" t="str">
        <f t="shared" si="23"/>
        <v/>
      </c>
      <c r="C229" s="151"/>
      <c r="D229" s="146" t="str">
        <f t="shared" si="24"/>
        <v/>
      </c>
      <c r="E229" s="186"/>
      <c r="F229" s="146" t="str">
        <f t="shared" si="25"/>
        <v/>
      </c>
      <c r="G229" s="185"/>
      <c r="H229" s="185"/>
      <c r="I229" s="185"/>
      <c r="J229" s="201"/>
      <c r="K229" s="200"/>
      <c r="L229" s="200"/>
      <c r="M229" s="201"/>
      <c r="N229" s="201"/>
      <c r="P229" s="141" t="str">
        <f t="shared" si="26"/>
        <v/>
      </c>
      <c r="Q229" s="141" t="str">
        <f t="shared" si="27"/>
        <v/>
      </c>
      <c r="AA229" s="141" t="s">
        <v>1008</v>
      </c>
      <c r="AB229" s="141" t="s">
        <v>1009</v>
      </c>
    </row>
    <row r="230" spans="1:28">
      <c r="A230" s="151"/>
      <c r="B230" s="146" t="str">
        <f t="shared" si="23"/>
        <v/>
      </c>
      <c r="C230" s="151"/>
      <c r="D230" s="146" t="str">
        <f t="shared" si="24"/>
        <v/>
      </c>
      <c r="E230" s="186"/>
      <c r="F230" s="146" t="str">
        <f t="shared" si="25"/>
        <v/>
      </c>
      <c r="G230" s="185"/>
      <c r="H230" s="185"/>
      <c r="I230" s="185"/>
      <c r="J230" s="201"/>
      <c r="K230" s="200"/>
      <c r="L230" s="200"/>
      <c r="M230" s="201"/>
      <c r="N230" s="201"/>
      <c r="P230" s="141" t="str">
        <f t="shared" si="26"/>
        <v/>
      </c>
      <c r="Q230" s="141" t="str">
        <f t="shared" si="27"/>
        <v/>
      </c>
      <c r="AA230" s="141" t="s">
        <v>1010</v>
      </c>
      <c r="AB230" s="141" t="s">
        <v>1011</v>
      </c>
    </row>
    <row r="231" spans="1:28">
      <c r="A231" s="151"/>
      <c r="B231" s="146" t="str">
        <f t="shared" si="23"/>
        <v/>
      </c>
      <c r="C231" s="151"/>
      <c r="D231" s="146" t="str">
        <f t="shared" si="24"/>
        <v/>
      </c>
      <c r="E231" s="186"/>
      <c r="F231" s="146" t="str">
        <f t="shared" si="25"/>
        <v/>
      </c>
      <c r="G231" s="185"/>
      <c r="H231" s="185"/>
      <c r="I231" s="185"/>
      <c r="J231" s="201"/>
      <c r="K231" s="200"/>
      <c r="L231" s="200"/>
      <c r="M231" s="201"/>
      <c r="N231" s="201"/>
      <c r="P231" s="141" t="str">
        <f t="shared" si="26"/>
        <v/>
      </c>
      <c r="Q231" s="141" t="str">
        <f t="shared" si="27"/>
        <v/>
      </c>
      <c r="AA231" s="141" t="s">
        <v>1012</v>
      </c>
      <c r="AB231" s="141" t="s">
        <v>1013</v>
      </c>
    </row>
    <row r="232" spans="1:28">
      <c r="A232" s="151"/>
      <c r="B232" s="146" t="str">
        <f t="shared" si="23"/>
        <v/>
      </c>
      <c r="C232" s="151"/>
      <c r="D232" s="146" t="str">
        <f t="shared" si="24"/>
        <v/>
      </c>
      <c r="E232" s="186"/>
      <c r="F232" s="146" t="str">
        <f t="shared" si="25"/>
        <v/>
      </c>
      <c r="G232" s="185"/>
      <c r="H232" s="185"/>
      <c r="I232" s="185"/>
      <c r="J232" s="201"/>
      <c r="K232" s="200"/>
      <c r="L232" s="200"/>
      <c r="M232" s="201"/>
      <c r="N232" s="201"/>
      <c r="P232" s="141" t="str">
        <f t="shared" si="26"/>
        <v/>
      </c>
      <c r="Q232" s="141" t="str">
        <f t="shared" si="27"/>
        <v/>
      </c>
      <c r="AA232" s="141" t="s">
        <v>1014</v>
      </c>
      <c r="AB232" s="141" t="s">
        <v>1015</v>
      </c>
    </row>
    <row r="233" spans="1:28">
      <c r="A233" s="151"/>
      <c r="B233" s="146" t="str">
        <f t="shared" si="23"/>
        <v/>
      </c>
      <c r="C233" s="151"/>
      <c r="D233" s="146" t="str">
        <f t="shared" si="24"/>
        <v/>
      </c>
      <c r="E233" s="186"/>
      <c r="F233" s="146" t="str">
        <f t="shared" si="25"/>
        <v/>
      </c>
      <c r="G233" s="185"/>
      <c r="H233" s="185"/>
      <c r="I233" s="185"/>
      <c r="J233" s="201"/>
      <c r="K233" s="200"/>
      <c r="L233" s="200"/>
      <c r="M233" s="201"/>
      <c r="N233" s="201"/>
      <c r="P233" s="141" t="str">
        <f t="shared" si="26"/>
        <v/>
      </c>
      <c r="Q233" s="141" t="str">
        <f t="shared" si="27"/>
        <v/>
      </c>
      <c r="AA233" s="141" t="s">
        <v>1016</v>
      </c>
      <c r="AB233" s="141" t="s">
        <v>1017</v>
      </c>
    </row>
    <row r="234" spans="1:28">
      <c r="A234" s="151"/>
      <c r="B234" s="146" t="str">
        <f t="shared" si="23"/>
        <v/>
      </c>
      <c r="C234" s="151"/>
      <c r="D234" s="146" t="str">
        <f t="shared" si="24"/>
        <v/>
      </c>
      <c r="E234" s="186"/>
      <c r="F234" s="146" t="str">
        <f t="shared" si="25"/>
        <v/>
      </c>
      <c r="G234" s="185"/>
      <c r="H234" s="185"/>
      <c r="I234" s="185"/>
      <c r="J234" s="201"/>
      <c r="K234" s="200"/>
      <c r="L234" s="200"/>
      <c r="M234" s="201"/>
      <c r="N234" s="201"/>
      <c r="P234" s="141" t="str">
        <f t="shared" si="26"/>
        <v/>
      </c>
      <c r="Q234" s="141" t="str">
        <f t="shared" si="27"/>
        <v/>
      </c>
      <c r="AA234" s="141" t="s">
        <v>1018</v>
      </c>
      <c r="AB234" s="141" t="s">
        <v>1019</v>
      </c>
    </row>
    <row r="235" spans="1:28">
      <c r="A235" s="151"/>
      <c r="B235" s="146" t="str">
        <f t="shared" si="23"/>
        <v/>
      </c>
      <c r="C235" s="151"/>
      <c r="D235" s="146" t="str">
        <f t="shared" si="24"/>
        <v/>
      </c>
      <c r="E235" s="186"/>
      <c r="F235" s="146" t="str">
        <f t="shared" si="25"/>
        <v/>
      </c>
      <c r="G235" s="185"/>
      <c r="H235" s="185"/>
      <c r="I235" s="185"/>
      <c r="J235" s="201"/>
      <c r="K235" s="200"/>
      <c r="L235" s="200"/>
      <c r="M235" s="201"/>
      <c r="N235" s="201"/>
      <c r="P235" s="141" t="str">
        <f t="shared" si="26"/>
        <v/>
      </c>
      <c r="Q235" s="141" t="str">
        <f t="shared" si="27"/>
        <v/>
      </c>
      <c r="AA235" s="141" t="s">
        <v>1020</v>
      </c>
      <c r="AB235" s="141" t="s">
        <v>1021</v>
      </c>
    </row>
    <row r="236" spans="1:28">
      <c r="A236" s="151"/>
      <c r="B236" s="146" t="str">
        <f t="shared" si="23"/>
        <v/>
      </c>
      <c r="C236" s="151"/>
      <c r="D236" s="146" t="str">
        <f t="shared" si="24"/>
        <v/>
      </c>
      <c r="E236" s="186"/>
      <c r="F236" s="146" t="str">
        <f t="shared" si="25"/>
        <v/>
      </c>
      <c r="G236" s="185"/>
      <c r="H236" s="185"/>
      <c r="I236" s="185"/>
      <c r="J236" s="201"/>
      <c r="K236" s="200"/>
      <c r="L236" s="200"/>
      <c r="M236" s="201"/>
      <c r="N236" s="201"/>
      <c r="P236" s="141" t="str">
        <f t="shared" si="26"/>
        <v/>
      </c>
      <c r="Q236" s="141" t="str">
        <f t="shared" si="27"/>
        <v/>
      </c>
      <c r="AA236" s="141" t="s">
        <v>1022</v>
      </c>
      <c r="AB236" s="141" t="s">
        <v>1023</v>
      </c>
    </row>
    <row r="237" spans="1:28">
      <c r="A237" s="151"/>
      <c r="B237" s="146" t="str">
        <f t="shared" si="23"/>
        <v/>
      </c>
      <c r="C237" s="151"/>
      <c r="D237" s="146" t="str">
        <f t="shared" si="24"/>
        <v/>
      </c>
      <c r="E237" s="186"/>
      <c r="F237" s="146" t="str">
        <f t="shared" si="25"/>
        <v/>
      </c>
      <c r="G237" s="185"/>
      <c r="H237" s="185"/>
      <c r="I237" s="185"/>
      <c r="J237" s="201"/>
      <c r="K237" s="200"/>
      <c r="L237" s="200"/>
      <c r="M237" s="201"/>
      <c r="N237" s="201"/>
      <c r="P237" s="141" t="str">
        <f t="shared" si="26"/>
        <v/>
      </c>
      <c r="Q237" s="141" t="str">
        <f t="shared" si="27"/>
        <v/>
      </c>
      <c r="AA237" s="141" t="s">
        <v>1024</v>
      </c>
      <c r="AB237" s="141" t="s">
        <v>1025</v>
      </c>
    </row>
    <row r="238" spans="1:28">
      <c r="A238" s="151"/>
      <c r="B238" s="146" t="str">
        <f t="shared" si="23"/>
        <v/>
      </c>
      <c r="C238" s="151"/>
      <c r="D238" s="146" t="str">
        <f t="shared" si="24"/>
        <v/>
      </c>
      <c r="E238" s="186"/>
      <c r="F238" s="146" t="str">
        <f t="shared" si="25"/>
        <v/>
      </c>
      <c r="G238" s="185"/>
      <c r="H238" s="185"/>
      <c r="I238" s="185"/>
      <c r="J238" s="201"/>
      <c r="K238" s="200"/>
      <c r="L238" s="200"/>
      <c r="M238" s="201"/>
      <c r="N238" s="201"/>
      <c r="P238" s="141" t="str">
        <f t="shared" si="26"/>
        <v/>
      </c>
      <c r="Q238" s="141" t="str">
        <f t="shared" si="27"/>
        <v/>
      </c>
      <c r="AA238" s="141" t="s">
        <v>1026</v>
      </c>
      <c r="AB238" s="141" t="s">
        <v>1027</v>
      </c>
    </row>
    <row r="239" spans="1:28">
      <c r="A239" s="151"/>
      <c r="B239" s="146" t="str">
        <f t="shared" si="23"/>
        <v/>
      </c>
      <c r="C239" s="151"/>
      <c r="D239" s="146" t="str">
        <f t="shared" si="24"/>
        <v/>
      </c>
      <c r="E239" s="186"/>
      <c r="F239" s="146" t="str">
        <f t="shared" si="25"/>
        <v/>
      </c>
      <c r="G239" s="185"/>
      <c r="H239" s="185"/>
      <c r="I239" s="185"/>
      <c r="J239" s="201"/>
      <c r="K239" s="200"/>
      <c r="L239" s="200"/>
      <c r="M239" s="201"/>
      <c r="N239" s="201"/>
      <c r="P239" s="141" t="str">
        <f t="shared" si="26"/>
        <v/>
      </c>
      <c r="Q239" s="141" t="str">
        <f t="shared" si="27"/>
        <v/>
      </c>
      <c r="AA239" s="141" t="s">
        <v>1028</v>
      </c>
      <c r="AB239" s="141" t="s">
        <v>1029</v>
      </c>
    </row>
    <row r="240" spans="1:28">
      <c r="A240" s="151"/>
      <c r="B240" s="146" t="str">
        <f t="shared" si="23"/>
        <v/>
      </c>
      <c r="C240" s="151"/>
      <c r="D240" s="146" t="str">
        <f t="shared" si="24"/>
        <v/>
      </c>
      <c r="E240" s="186"/>
      <c r="F240" s="146" t="str">
        <f t="shared" si="25"/>
        <v/>
      </c>
      <c r="G240" s="185"/>
      <c r="H240" s="185"/>
      <c r="I240" s="185"/>
      <c r="J240" s="201"/>
      <c r="K240" s="200"/>
      <c r="L240" s="200"/>
      <c r="M240" s="201"/>
      <c r="N240" s="201"/>
      <c r="P240" s="141" t="str">
        <f t="shared" si="26"/>
        <v/>
      </c>
      <c r="Q240" s="141" t="str">
        <f t="shared" si="27"/>
        <v/>
      </c>
      <c r="AA240" s="141" t="s">
        <v>1030</v>
      </c>
      <c r="AB240" s="141" t="s">
        <v>1031</v>
      </c>
    </row>
    <row r="241" spans="1:28">
      <c r="A241" s="151"/>
      <c r="B241" s="146" t="str">
        <f t="shared" si="23"/>
        <v/>
      </c>
      <c r="C241" s="151"/>
      <c r="D241" s="146" t="str">
        <f t="shared" si="24"/>
        <v/>
      </c>
      <c r="E241" s="186"/>
      <c r="F241" s="146" t="str">
        <f t="shared" si="25"/>
        <v/>
      </c>
      <c r="G241" s="185"/>
      <c r="H241" s="185"/>
      <c r="I241" s="185"/>
      <c r="J241" s="201"/>
      <c r="K241" s="200"/>
      <c r="L241" s="200"/>
      <c r="M241" s="201"/>
      <c r="N241" s="201"/>
      <c r="P241" s="141" t="str">
        <f t="shared" si="26"/>
        <v/>
      </c>
      <c r="Q241" s="141" t="str">
        <f t="shared" si="27"/>
        <v/>
      </c>
      <c r="AA241" s="141" t="s">
        <v>1032</v>
      </c>
      <c r="AB241" s="141" t="s">
        <v>1033</v>
      </c>
    </row>
    <row r="242" spans="1:28">
      <c r="A242" s="151"/>
      <c r="B242" s="146" t="str">
        <f t="shared" si="23"/>
        <v/>
      </c>
      <c r="C242" s="151"/>
      <c r="D242" s="146" t="str">
        <f t="shared" si="24"/>
        <v/>
      </c>
      <c r="E242" s="186"/>
      <c r="F242" s="146" t="str">
        <f t="shared" si="25"/>
        <v/>
      </c>
      <c r="G242" s="185"/>
      <c r="H242" s="185"/>
      <c r="I242" s="185"/>
      <c r="J242" s="201"/>
      <c r="K242" s="200"/>
      <c r="L242" s="200"/>
      <c r="M242" s="201"/>
      <c r="N242" s="201"/>
      <c r="P242" s="141" t="str">
        <f t="shared" si="26"/>
        <v/>
      </c>
      <c r="Q242" s="141" t="str">
        <f t="shared" si="27"/>
        <v/>
      </c>
      <c r="AA242" s="141" t="s">
        <v>1034</v>
      </c>
      <c r="AB242" s="141" t="s">
        <v>1035</v>
      </c>
    </row>
    <row r="243" spans="1:28">
      <c r="A243" s="151"/>
      <c r="B243" s="146" t="str">
        <f t="shared" si="23"/>
        <v/>
      </c>
      <c r="C243" s="151"/>
      <c r="D243" s="146" t="str">
        <f t="shared" si="24"/>
        <v/>
      </c>
      <c r="E243" s="186"/>
      <c r="F243" s="146" t="str">
        <f t="shared" si="25"/>
        <v/>
      </c>
      <c r="G243" s="185"/>
      <c r="H243" s="185"/>
      <c r="I243" s="185"/>
      <c r="J243" s="201"/>
      <c r="K243" s="200"/>
      <c r="L243" s="200"/>
      <c r="M243" s="201"/>
      <c r="N243" s="201"/>
      <c r="P243" s="141" t="str">
        <f t="shared" si="26"/>
        <v/>
      </c>
      <c r="Q243" s="141" t="str">
        <f t="shared" si="27"/>
        <v/>
      </c>
      <c r="AA243" s="141" t="s">
        <v>1036</v>
      </c>
      <c r="AB243" s="141" t="s">
        <v>1037</v>
      </c>
    </row>
    <row r="244" spans="1:28">
      <c r="A244" s="151"/>
      <c r="B244" s="146" t="str">
        <f t="shared" si="23"/>
        <v/>
      </c>
      <c r="C244" s="151"/>
      <c r="D244" s="146" t="str">
        <f t="shared" si="24"/>
        <v/>
      </c>
      <c r="E244" s="186"/>
      <c r="F244" s="146" t="str">
        <f t="shared" si="25"/>
        <v/>
      </c>
      <c r="G244" s="185"/>
      <c r="H244" s="185"/>
      <c r="I244" s="185"/>
      <c r="J244" s="201"/>
      <c r="K244" s="200"/>
      <c r="L244" s="200"/>
      <c r="M244" s="201"/>
      <c r="N244" s="201"/>
      <c r="P244" s="141" t="str">
        <f t="shared" si="26"/>
        <v/>
      </c>
      <c r="Q244" s="141" t="str">
        <f t="shared" si="27"/>
        <v/>
      </c>
      <c r="AA244" s="141" t="s">
        <v>1038</v>
      </c>
      <c r="AB244" s="141" t="s">
        <v>1039</v>
      </c>
    </row>
    <row r="245" spans="1:28">
      <c r="A245" s="151"/>
      <c r="B245" s="146" t="str">
        <f t="shared" si="23"/>
        <v/>
      </c>
      <c r="C245" s="151"/>
      <c r="D245" s="146" t="str">
        <f t="shared" si="24"/>
        <v/>
      </c>
      <c r="E245" s="186"/>
      <c r="F245" s="146" t="str">
        <f t="shared" si="25"/>
        <v/>
      </c>
      <c r="G245" s="185"/>
      <c r="H245" s="185"/>
      <c r="I245" s="185"/>
      <c r="J245" s="201"/>
      <c r="K245" s="200"/>
      <c r="L245" s="200"/>
      <c r="M245" s="201"/>
      <c r="N245" s="201"/>
      <c r="P245" s="141" t="str">
        <f t="shared" si="26"/>
        <v/>
      </c>
      <c r="Q245" s="141" t="str">
        <f t="shared" si="27"/>
        <v/>
      </c>
      <c r="AA245" s="141" t="s">
        <v>1040</v>
      </c>
      <c r="AB245" s="141" t="s">
        <v>1041</v>
      </c>
    </row>
    <row r="246" spans="1:28">
      <c r="A246" s="151"/>
      <c r="B246" s="146" t="str">
        <f t="shared" si="23"/>
        <v/>
      </c>
      <c r="C246" s="151"/>
      <c r="D246" s="146" t="str">
        <f t="shared" si="24"/>
        <v/>
      </c>
      <c r="E246" s="186"/>
      <c r="F246" s="146" t="str">
        <f t="shared" si="25"/>
        <v/>
      </c>
      <c r="G246" s="185"/>
      <c r="H246" s="185"/>
      <c r="I246" s="185"/>
      <c r="J246" s="201"/>
      <c r="K246" s="200"/>
      <c r="L246" s="200"/>
      <c r="M246" s="201"/>
      <c r="N246" s="201"/>
      <c r="P246" s="141" t="str">
        <f t="shared" si="26"/>
        <v/>
      </c>
      <c r="Q246" s="141" t="str">
        <f t="shared" si="27"/>
        <v/>
      </c>
      <c r="AA246" s="141" t="s">
        <v>1042</v>
      </c>
      <c r="AB246" s="141" t="s">
        <v>1043</v>
      </c>
    </row>
    <row r="247" spans="1:28">
      <c r="A247" s="151"/>
      <c r="B247" s="146" t="str">
        <f t="shared" si="23"/>
        <v/>
      </c>
      <c r="C247" s="151"/>
      <c r="D247" s="146" t="str">
        <f t="shared" si="24"/>
        <v/>
      </c>
      <c r="E247" s="186"/>
      <c r="F247" s="146" t="str">
        <f t="shared" si="25"/>
        <v/>
      </c>
      <c r="G247" s="185"/>
      <c r="H247" s="185"/>
      <c r="I247" s="185"/>
      <c r="J247" s="201"/>
      <c r="K247" s="200"/>
      <c r="L247" s="200"/>
      <c r="M247" s="201"/>
      <c r="N247" s="201"/>
      <c r="P247" s="141" t="str">
        <f t="shared" si="26"/>
        <v/>
      </c>
      <c r="Q247" s="141" t="str">
        <f t="shared" si="27"/>
        <v/>
      </c>
      <c r="AA247" s="141" t="s">
        <v>1044</v>
      </c>
      <c r="AB247" s="141" t="s">
        <v>1045</v>
      </c>
    </row>
    <row r="248" spans="1:28">
      <c r="A248" s="151"/>
      <c r="B248" s="146" t="str">
        <f t="shared" si="23"/>
        <v/>
      </c>
      <c r="C248" s="151"/>
      <c r="D248" s="146" t="str">
        <f t="shared" si="24"/>
        <v/>
      </c>
      <c r="E248" s="186"/>
      <c r="F248" s="146" t="str">
        <f t="shared" si="25"/>
        <v/>
      </c>
      <c r="G248" s="185"/>
      <c r="H248" s="185"/>
      <c r="I248" s="185"/>
      <c r="J248" s="201"/>
      <c r="K248" s="200"/>
      <c r="L248" s="200"/>
      <c r="M248" s="201"/>
      <c r="N248" s="201"/>
      <c r="P248" s="141" t="str">
        <f t="shared" si="26"/>
        <v/>
      </c>
      <c r="Q248" s="141" t="str">
        <f t="shared" si="27"/>
        <v/>
      </c>
      <c r="AA248" s="141" t="s">
        <v>1046</v>
      </c>
      <c r="AB248" s="141" t="s">
        <v>1047</v>
      </c>
    </row>
    <row r="249" spans="1:28">
      <c r="A249" s="151"/>
      <c r="B249" s="146" t="str">
        <f t="shared" si="23"/>
        <v/>
      </c>
      <c r="C249" s="151"/>
      <c r="D249" s="146" t="str">
        <f t="shared" si="24"/>
        <v/>
      </c>
      <c r="E249" s="186"/>
      <c r="F249" s="146" t="str">
        <f t="shared" si="25"/>
        <v/>
      </c>
      <c r="G249" s="185"/>
      <c r="H249" s="185"/>
      <c r="I249" s="185"/>
      <c r="J249" s="201"/>
      <c r="K249" s="200"/>
      <c r="L249" s="200"/>
      <c r="M249" s="201"/>
      <c r="N249" s="201"/>
      <c r="P249" s="141" t="str">
        <f t="shared" si="26"/>
        <v/>
      </c>
      <c r="Q249" s="141" t="str">
        <f t="shared" si="27"/>
        <v/>
      </c>
      <c r="AA249" s="141" t="s">
        <v>1048</v>
      </c>
      <c r="AB249" s="141" t="s">
        <v>1049</v>
      </c>
    </row>
    <row r="250" spans="1:28">
      <c r="A250" s="151"/>
      <c r="B250" s="146" t="str">
        <f t="shared" si="23"/>
        <v/>
      </c>
      <c r="C250" s="151"/>
      <c r="D250" s="146" t="str">
        <f t="shared" si="24"/>
        <v/>
      </c>
      <c r="E250" s="186"/>
      <c r="F250" s="146" t="str">
        <f t="shared" si="25"/>
        <v/>
      </c>
      <c r="G250" s="185"/>
      <c r="H250" s="185"/>
      <c r="I250" s="185"/>
      <c r="J250" s="201"/>
      <c r="K250" s="200"/>
      <c r="L250" s="200"/>
      <c r="M250" s="201"/>
      <c r="N250" s="201"/>
      <c r="P250" s="141" t="str">
        <f t="shared" si="26"/>
        <v/>
      </c>
      <c r="Q250" s="141" t="str">
        <f t="shared" si="27"/>
        <v/>
      </c>
      <c r="AA250" s="141" t="s">
        <v>1050</v>
      </c>
      <c r="AB250" s="141" t="s">
        <v>1051</v>
      </c>
    </row>
    <row r="251" spans="1:28">
      <c r="A251" s="151"/>
      <c r="B251" s="146" t="str">
        <f t="shared" si="23"/>
        <v/>
      </c>
      <c r="C251" s="151"/>
      <c r="D251" s="146" t="str">
        <f t="shared" si="24"/>
        <v/>
      </c>
      <c r="E251" s="186"/>
      <c r="F251" s="146" t="str">
        <f t="shared" si="25"/>
        <v/>
      </c>
      <c r="G251" s="185"/>
      <c r="H251" s="185"/>
      <c r="I251" s="185"/>
      <c r="J251" s="201"/>
      <c r="K251" s="200"/>
      <c r="L251" s="200"/>
      <c r="M251" s="201"/>
      <c r="N251" s="201"/>
      <c r="P251" s="141" t="str">
        <f t="shared" si="26"/>
        <v/>
      </c>
      <c r="Q251" s="141" t="str">
        <f t="shared" si="27"/>
        <v/>
      </c>
      <c r="AA251" s="141" t="s">
        <v>1052</v>
      </c>
      <c r="AB251" s="141" t="s">
        <v>1053</v>
      </c>
    </row>
    <row r="252" spans="1:28">
      <c r="A252" s="151"/>
      <c r="B252" s="146" t="str">
        <f t="shared" si="23"/>
        <v/>
      </c>
      <c r="C252" s="151"/>
      <c r="D252" s="146" t="str">
        <f t="shared" si="24"/>
        <v/>
      </c>
      <c r="E252" s="186"/>
      <c r="F252" s="146" t="str">
        <f t="shared" si="25"/>
        <v/>
      </c>
      <c r="G252" s="185"/>
      <c r="H252" s="185"/>
      <c r="I252" s="185"/>
      <c r="J252" s="201"/>
      <c r="K252" s="200"/>
      <c r="L252" s="200"/>
      <c r="M252" s="201"/>
      <c r="N252" s="201"/>
      <c r="P252" s="141" t="str">
        <f t="shared" si="26"/>
        <v/>
      </c>
      <c r="Q252" s="141" t="str">
        <f t="shared" si="27"/>
        <v/>
      </c>
      <c r="AA252" s="141" t="s">
        <v>1054</v>
      </c>
      <c r="AB252" s="141" t="s">
        <v>1055</v>
      </c>
    </row>
    <row r="253" spans="1:28">
      <c r="A253" s="151"/>
      <c r="B253" s="146" t="str">
        <f t="shared" si="23"/>
        <v/>
      </c>
      <c r="C253" s="151"/>
      <c r="D253" s="146" t="str">
        <f t="shared" si="24"/>
        <v/>
      </c>
      <c r="E253" s="186"/>
      <c r="F253" s="146" t="str">
        <f t="shared" si="25"/>
        <v/>
      </c>
      <c r="G253" s="185"/>
      <c r="H253" s="185"/>
      <c r="I253" s="185"/>
      <c r="J253" s="201"/>
      <c r="K253" s="200"/>
      <c r="L253" s="200"/>
      <c r="M253" s="201"/>
      <c r="N253" s="201"/>
      <c r="P253" s="141" t="str">
        <f t="shared" si="26"/>
        <v/>
      </c>
      <c r="Q253" s="141" t="str">
        <f t="shared" si="27"/>
        <v/>
      </c>
      <c r="AA253" s="141" t="s">
        <v>1056</v>
      </c>
      <c r="AB253" s="141" t="s">
        <v>1057</v>
      </c>
    </row>
    <row r="254" spans="1:28">
      <c r="A254" s="151"/>
      <c r="B254" s="146" t="str">
        <f t="shared" si="23"/>
        <v/>
      </c>
      <c r="C254" s="151"/>
      <c r="D254" s="146" t="str">
        <f t="shared" si="24"/>
        <v/>
      </c>
      <c r="E254" s="186"/>
      <c r="F254" s="146" t="str">
        <f t="shared" si="25"/>
        <v/>
      </c>
      <c r="G254" s="185"/>
      <c r="H254" s="185"/>
      <c r="I254" s="185"/>
      <c r="J254" s="201"/>
      <c r="K254" s="200"/>
      <c r="L254" s="200"/>
      <c r="M254" s="201"/>
      <c r="N254" s="201"/>
      <c r="P254" s="141" t="str">
        <f t="shared" si="26"/>
        <v/>
      </c>
      <c r="Q254" s="141" t="str">
        <f t="shared" si="27"/>
        <v/>
      </c>
      <c r="AA254" s="141" t="s">
        <v>1058</v>
      </c>
      <c r="AB254" s="141" t="s">
        <v>1059</v>
      </c>
    </row>
    <row r="255" spans="1:28">
      <c r="A255" s="151"/>
      <c r="B255" s="146" t="str">
        <f t="shared" si="23"/>
        <v/>
      </c>
      <c r="C255" s="151"/>
      <c r="D255" s="146" t="str">
        <f t="shared" si="24"/>
        <v/>
      </c>
      <c r="E255" s="186"/>
      <c r="F255" s="146" t="str">
        <f t="shared" si="25"/>
        <v/>
      </c>
      <c r="G255" s="185"/>
      <c r="H255" s="185"/>
      <c r="I255" s="185"/>
      <c r="J255" s="201"/>
      <c r="K255" s="200"/>
      <c r="L255" s="200"/>
      <c r="M255" s="201"/>
      <c r="N255" s="201"/>
      <c r="P255" s="141" t="str">
        <f t="shared" si="26"/>
        <v/>
      </c>
      <c r="Q255" s="141" t="str">
        <f t="shared" si="27"/>
        <v/>
      </c>
      <c r="AA255" s="141" t="s">
        <v>1060</v>
      </c>
      <c r="AB255" s="141" t="s">
        <v>1061</v>
      </c>
    </row>
    <row r="256" spans="1:28">
      <c r="A256" s="151"/>
      <c r="B256" s="146" t="str">
        <f t="shared" si="23"/>
        <v/>
      </c>
      <c r="C256" s="151"/>
      <c r="D256" s="146" t="str">
        <f t="shared" si="24"/>
        <v/>
      </c>
      <c r="E256" s="186"/>
      <c r="F256" s="146" t="str">
        <f t="shared" si="25"/>
        <v/>
      </c>
      <c r="G256" s="185"/>
      <c r="H256" s="185"/>
      <c r="I256" s="185"/>
      <c r="J256" s="201"/>
      <c r="K256" s="200"/>
      <c r="L256" s="200"/>
      <c r="M256" s="201"/>
      <c r="N256" s="201"/>
      <c r="P256" s="141" t="str">
        <f t="shared" si="26"/>
        <v/>
      </c>
      <c r="Q256" s="141" t="str">
        <f t="shared" si="27"/>
        <v/>
      </c>
      <c r="AA256" s="141" t="s">
        <v>1062</v>
      </c>
      <c r="AB256" s="141" t="s">
        <v>1063</v>
      </c>
    </row>
    <row r="257" spans="1:28">
      <c r="A257" s="151"/>
      <c r="B257" s="146" t="str">
        <f t="shared" si="23"/>
        <v/>
      </c>
      <c r="C257" s="151"/>
      <c r="D257" s="146" t="str">
        <f t="shared" si="24"/>
        <v/>
      </c>
      <c r="E257" s="186"/>
      <c r="F257" s="146" t="str">
        <f t="shared" si="25"/>
        <v/>
      </c>
      <c r="G257" s="185"/>
      <c r="H257" s="185"/>
      <c r="I257" s="185"/>
      <c r="J257" s="201"/>
      <c r="K257" s="200"/>
      <c r="L257" s="200"/>
      <c r="M257" s="201"/>
      <c r="N257" s="201"/>
      <c r="P257" s="141" t="str">
        <f t="shared" si="26"/>
        <v/>
      </c>
      <c r="Q257" s="141" t="str">
        <f t="shared" si="27"/>
        <v/>
      </c>
      <c r="AA257" s="141" t="s">
        <v>1064</v>
      </c>
      <c r="AB257" s="141" t="s">
        <v>1065</v>
      </c>
    </row>
    <row r="258" spans="1:28">
      <c r="A258" s="151"/>
      <c r="B258" s="146" t="str">
        <f t="shared" si="23"/>
        <v/>
      </c>
      <c r="C258" s="151"/>
      <c r="D258" s="146" t="str">
        <f t="shared" si="24"/>
        <v/>
      </c>
      <c r="E258" s="186"/>
      <c r="F258" s="146" t="str">
        <f t="shared" si="25"/>
        <v/>
      </c>
      <c r="G258" s="185"/>
      <c r="H258" s="185"/>
      <c r="I258" s="185"/>
      <c r="J258" s="201"/>
      <c r="K258" s="200"/>
      <c r="L258" s="200"/>
      <c r="M258" s="201"/>
      <c r="N258" s="201"/>
      <c r="P258" s="141" t="str">
        <f t="shared" si="26"/>
        <v/>
      </c>
      <c r="Q258" s="141" t="str">
        <f t="shared" si="27"/>
        <v/>
      </c>
      <c r="AA258" s="141" t="s">
        <v>1066</v>
      </c>
      <c r="AB258" s="141" t="s">
        <v>1067</v>
      </c>
    </row>
    <row r="259" spans="1:28">
      <c r="A259" s="151"/>
      <c r="B259" s="146" t="str">
        <f t="shared" si="23"/>
        <v/>
      </c>
      <c r="C259" s="151"/>
      <c r="D259" s="146" t="str">
        <f t="shared" si="24"/>
        <v/>
      </c>
      <c r="E259" s="186"/>
      <c r="F259" s="146" t="str">
        <f t="shared" si="25"/>
        <v/>
      </c>
      <c r="G259" s="185"/>
      <c r="H259" s="185"/>
      <c r="I259" s="185"/>
      <c r="J259" s="201"/>
      <c r="K259" s="200"/>
      <c r="L259" s="200"/>
      <c r="M259" s="201"/>
      <c r="N259" s="201"/>
      <c r="P259" s="141" t="str">
        <f t="shared" si="26"/>
        <v/>
      </c>
      <c r="Q259" s="141" t="str">
        <f t="shared" si="27"/>
        <v/>
      </c>
      <c r="AA259" s="141" t="s">
        <v>1068</v>
      </c>
      <c r="AB259" s="141" t="s">
        <v>1069</v>
      </c>
    </row>
    <row r="260" spans="1:28">
      <c r="A260" s="151"/>
      <c r="B260" s="146" t="str">
        <f t="shared" ref="B260:B323" si="28">IFERROR(VLOOKUP(A260,$R$6:$S$23,2,FALSE),"")</f>
        <v/>
      </c>
      <c r="C260" s="151"/>
      <c r="D260" s="146" t="str">
        <f t="shared" ref="D260:D323" si="29">IFERROR(VLOOKUP(C260,$U$5:$W$129,2,FALSE),"")</f>
        <v/>
      </c>
      <c r="E260" s="186"/>
      <c r="F260" s="146" t="str">
        <f t="shared" ref="F260:F323" si="30">IFERROR(VLOOKUP(E260,$AA$5:$AB$500,2,FALSE),"")</f>
        <v/>
      </c>
      <c r="G260" s="185"/>
      <c r="H260" s="185"/>
      <c r="I260" s="185"/>
      <c r="J260" s="201"/>
      <c r="K260" s="200"/>
      <c r="L260" s="200"/>
      <c r="M260" s="201"/>
      <c r="N260" s="201"/>
      <c r="P260" s="141" t="str">
        <f t="shared" ref="P260:P323" si="31">LEFT(C260,3)</f>
        <v/>
      </c>
      <c r="Q260" s="141" t="str">
        <f t="shared" ref="Q260:Q323" si="32">LEFT(C260,2)</f>
        <v/>
      </c>
      <c r="AA260" s="141" t="s">
        <v>1070</v>
      </c>
      <c r="AB260" s="141" t="s">
        <v>1071</v>
      </c>
    </row>
    <row r="261" spans="1:28">
      <c r="A261" s="151"/>
      <c r="B261" s="146" t="str">
        <f t="shared" si="28"/>
        <v/>
      </c>
      <c r="C261" s="151"/>
      <c r="D261" s="146" t="str">
        <f t="shared" si="29"/>
        <v/>
      </c>
      <c r="E261" s="186"/>
      <c r="F261" s="146" t="str">
        <f t="shared" si="30"/>
        <v/>
      </c>
      <c r="G261" s="185"/>
      <c r="H261" s="185"/>
      <c r="I261" s="185"/>
      <c r="J261" s="201"/>
      <c r="K261" s="200"/>
      <c r="L261" s="200"/>
      <c r="M261" s="201"/>
      <c r="N261" s="201"/>
      <c r="P261" s="141" t="str">
        <f t="shared" si="31"/>
        <v/>
      </c>
      <c r="Q261" s="141" t="str">
        <f t="shared" si="32"/>
        <v/>
      </c>
      <c r="AA261" s="141" t="s">
        <v>1072</v>
      </c>
      <c r="AB261" s="141" t="s">
        <v>1073</v>
      </c>
    </row>
    <row r="262" spans="1:28">
      <c r="A262" s="151"/>
      <c r="B262" s="146" t="str">
        <f t="shared" si="28"/>
        <v/>
      </c>
      <c r="C262" s="151"/>
      <c r="D262" s="146" t="str">
        <f t="shared" si="29"/>
        <v/>
      </c>
      <c r="E262" s="186"/>
      <c r="F262" s="146" t="str">
        <f t="shared" si="30"/>
        <v/>
      </c>
      <c r="G262" s="185"/>
      <c r="H262" s="185"/>
      <c r="I262" s="185"/>
      <c r="J262" s="201"/>
      <c r="K262" s="200"/>
      <c r="L262" s="200"/>
      <c r="M262" s="201"/>
      <c r="N262" s="201"/>
      <c r="P262" s="141" t="str">
        <f t="shared" si="31"/>
        <v/>
      </c>
      <c r="Q262" s="141" t="str">
        <f t="shared" si="32"/>
        <v/>
      </c>
      <c r="AA262" s="141" t="s">
        <v>1074</v>
      </c>
      <c r="AB262" s="141" t="s">
        <v>1075</v>
      </c>
    </row>
    <row r="263" spans="1:28">
      <c r="A263" s="151"/>
      <c r="B263" s="146" t="str">
        <f t="shared" si="28"/>
        <v/>
      </c>
      <c r="C263" s="151"/>
      <c r="D263" s="146" t="str">
        <f t="shared" si="29"/>
        <v/>
      </c>
      <c r="E263" s="186"/>
      <c r="F263" s="146" t="str">
        <f t="shared" si="30"/>
        <v/>
      </c>
      <c r="G263" s="185"/>
      <c r="H263" s="185"/>
      <c r="I263" s="185"/>
      <c r="J263" s="201"/>
      <c r="K263" s="200"/>
      <c r="L263" s="200"/>
      <c r="M263" s="201"/>
      <c r="N263" s="201"/>
      <c r="P263" s="141" t="str">
        <f t="shared" si="31"/>
        <v/>
      </c>
      <c r="Q263" s="141" t="str">
        <f t="shared" si="32"/>
        <v/>
      </c>
      <c r="AA263" s="141" t="s">
        <v>1076</v>
      </c>
      <c r="AB263" s="141" t="s">
        <v>1077</v>
      </c>
    </row>
    <row r="264" spans="1:28">
      <c r="A264" s="151"/>
      <c r="B264" s="146" t="str">
        <f t="shared" si="28"/>
        <v/>
      </c>
      <c r="C264" s="151"/>
      <c r="D264" s="146" t="str">
        <f t="shared" si="29"/>
        <v/>
      </c>
      <c r="E264" s="186"/>
      <c r="F264" s="146" t="str">
        <f t="shared" si="30"/>
        <v/>
      </c>
      <c r="G264" s="185"/>
      <c r="H264" s="185"/>
      <c r="I264" s="185"/>
      <c r="J264" s="201"/>
      <c r="K264" s="200"/>
      <c r="L264" s="200"/>
      <c r="M264" s="201"/>
      <c r="N264" s="201"/>
      <c r="P264" s="141" t="str">
        <f t="shared" si="31"/>
        <v/>
      </c>
      <c r="Q264" s="141" t="str">
        <f t="shared" si="32"/>
        <v/>
      </c>
      <c r="AA264" s="141" t="s">
        <v>1078</v>
      </c>
      <c r="AB264" s="141" t="s">
        <v>1079</v>
      </c>
    </row>
    <row r="265" spans="1:28">
      <c r="A265" s="151"/>
      <c r="B265" s="146" t="str">
        <f t="shared" si="28"/>
        <v/>
      </c>
      <c r="C265" s="151"/>
      <c r="D265" s="146" t="str">
        <f t="shared" si="29"/>
        <v/>
      </c>
      <c r="E265" s="186"/>
      <c r="F265" s="146" t="str">
        <f t="shared" si="30"/>
        <v/>
      </c>
      <c r="G265" s="185"/>
      <c r="H265" s="185"/>
      <c r="I265" s="185"/>
      <c r="J265" s="201"/>
      <c r="K265" s="200"/>
      <c r="L265" s="200"/>
      <c r="M265" s="201"/>
      <c r="N265" s="201"/>
      <c r="P265" s="141" t="str">
        <f t="shared" si="31"/>
        <v/>
      </c>
      <c r="Q265" s="141" t="str">
        <f t="shared" si="32"/>
        <v/>
      </c>
      <c r="AA265" s="141" t="s">
        <v>1080</v>
      </c>
      <c r="AB265" s="141" t="s">
        <v>1081</v>
      </c>
    </row>
    <row r="266" spans="1:28">
      <c r="A266" s="151"/>
      <c r="B266" s="146" t="str">
        <f t="shared" si="28"/>
        <v/>
      </c>
      <c r="C266" s="151"/>
      <c r="D266" s="146" t="str">
        <f t="shared" si="29"/>
        <v/>
      </c>
      <c r="E266" s="186"/>
      <c r="F266" s="146" t="str">
        <f t="shared" si="30"/>
        <v/>
      </c>
      <c r="G266" s="185"/>
      <c r="H266" s="185"/>
      <c r="I266" s="185"/>
      <c r="J266" s="201"/>
      <c r="K266" s="200"/>
      <c r="L266" s="200"/>
      <c r="M266" s="201"/>
      <c r="N266" s="201"/>
      <c r="P266" s="141" t="str">
        <f t="shared" si="31"/>
        <v/>
      </c>
      <c r="Q266" s="141" t="str">
        <f t="shared" si="32"/>
        <v/>
      </c>
      <c r="AA266" s="141" t="s">
        <v>1082</v>
      </c>
      <c r="AB266" s="141" t="s">
        <v>1083</v>
      </c>
    </row>
    <row r="267" spans="1:28">
      <c r="A267" s="151"/>
      <c r="B267" s="146" t="str">
        <f t="shared" si="28"/>
        <v/>
      </c>
      <c r="C267" s="151"/>
      <c r="D267" s="146" t="str">
        <f t="shared" si="29"/>
        <v/>
      </c>
      <c r="E267" s="186"/>
      <c r="F267" s="146" t="str">
        <f t="shared" si="30"/>
        <v/>
      </c>
      <c r="G267" s="185"/>
      <c r="H267" s="185"/>
      <c r="I267" s="185"/>
      <c r="J267" s="201"/>
      <c r="K267" s="200"/>
      <c r="L267" s="200"/>
      <c r="M267" s="201"/>
      <c r="N267" s="201"/>
      <c r="P267" s="141" t="str">
        <f t="shared" si="31"/>
        <v/>
      </c>
      <c r="Q267" s="141" t="str">
        <f t="shared" si="32"/>
        <v/>
      </c>
      <c r="AA267" s="141" t="s">
        <v>1084</v>
      </c>
      <c r="AB267" s="141" t="s">
        <v>1085</v>
      </c>
    </row>
    <row r="268" spans="1:28">
      <c r="A268" s="151"/>
      <c r="B268" s="146" t="str">
        <f t="shared" si="28"/>
        <v/>
      </c>
      <c r="C268" s="151"/>
      <c r="D268" s="146" t="str">
        <f t="shared" si="29"/>
        <v/>
      </c>
      <c r="E268" s="186"/>
      <c r="F268" s="146" t="str">
        <f t="shared" si="30"/>
        <v/>
      </c>
      <c r="G268" s="185"/>
      <c r="H268" s="185"/>
      <c r="I268" s="185"/>
      <c r="J268" s="201"/>
      <c r="K268" s="200"/>
      <c r="L268" s="200"/>
      <c r="M268" s="201"/>
      <c r="N268" s="201"/>
      <c r="P268" s="141" t="str">
        <f t="shared" si="31"/>
        <v/>
      </c>
      <c r="Q268" s="141" t="str">
        <f t="shared" si="32"/>
        <v/>
      </c>
      <c r="AA268" s="141" t="s">
        <v>1086</v>
      </c>
      <c r="AB268" s="141" t="s">
        <v>1087</v>
      </c>
    </row>
    <row r="269" spans="1:28">
      <c r="A269" s="151"/>
      <c r="B269" s="146" t="str">
        <f t="shared" si="28"/>
        <v/>
      </c>
      <c r="C269" s="151"/>
      <c r="D269" s="146" t="str">
        <f t="shared" si="29"/>
        <v/>
      </c>
      <c r="E269" s="186"/>
      <c r="F269" s="146" t="str">
        <f t="shared" si="30"/>
        <v/>
      </c>
      <c r="G269" s="185"/>
      <c r="H269" s="185"/>
      <c r="I269" s="185"/>
      <c r="J269" s="201"/>
      <c r="K269" s="200"/>
      <c r="L269" s="200"/>
      <c r="M269" s="201"/>
      <c r="N269" s="201"/>
      <c r="P269" s="141" t="str">
        <f t="shared" si="31"/>
        <v/>
      </c>
      <c r="Q269" s="141" t="str">
        <f t="shared" si="32"/>
        <v/>
      </c>
      <c r="AA269" s="141" t="s">
        <v>1088</v>
      </c>
      <c r="AB269" s="141" t="s">
        <v>1089</v>
      </c>
    </row>
    <row r="270" spans="1:28">
      <c r="A270" s="151"/>
      <c r="B270" s="146" t="str">
        <f t="shared" si="28"/>
        <v/>
      </c>
      <c r="C270" s="151"/>
      <c r="D270" s="146" t="str">
        <f t="shared" si="29"/>
        <v/>
      </c>
      <c r="E270" s="186"/>
      <c r="F270" s="146" t="str">
        <f t="shared" si="30"/>
        <v/>
      </c>
      <c r="G270" s="185"/>
      <c r="H270" s="185"/>
      <c r="I270" s="185"/>
      <c r="J270" s="201"/>
      <c r="K270" s="200"/>
      <c r="L270" s="200"/>
      <c r="M270" s="201"/>
      <c r="N270" s="201"/>
      <c r="P270" s="141" t="str">
        <f t="shared" si="31"/>
        <v/>
      </c>
      <c r="Q270" s="141" t="str">
        <f t="shared" si="32"/>
        <v/>
      </c>
      <c r="AA270" s="141" t="s">
        <v>1090</v>
      </c>
      <c r="AB270" s="141" t="s">
        <v>1091</v>
      </c>
    </row>
    <row r="271" spans="1:28">
      <c r="A271" s="151"/>
      <c r="B271" s="146" t="str">
        <f t="shared" si="28"/>
        <v/>
      </c>
      <c r="C271" s="151"/>
      <c r="D271" s="146" t="str">
        <f t="shared" si="29"/>
        <v/>
      </c>
      <c r="E271" s="186"/>
      <c r="F271" s="146" t="str">
        <f t="shared" si="30"/>
        <v/>
      </c>
      <c r="G271" s="185"/>
      <c r="H271" s="185"/>
      <c r="I271" s="185"/>
      <c r="J271" s="201"/>
      <c r="K271" s="200"/>
      <c r="L271" s="200"/>
      <c r="M271" s="201"/>
      <c r="N271" s="201"/>
      <c r="P271" s="141" t="str">
        <f t="shared" si="31"/>
        <v/>
      </c>
      <c r="Q271" s="141" t="str">
        <f t="shared" si="32"/>
        <v/>
      </c>
      <c r="AA271" s="141" t="s">
        <v>1092</v>
      </c>
      <c r="AB271" s="141" t="s">
        <v>1093</v>
      </c>
    </row>
    <row r="272" spans="1:28">
      <c r="A272" s="151"/>
      <c r="B272" s="146" t="str">
        <f t="shared" si="28"/>
        <v/>
      </c>
      <c r="C272" s="151"/>
      <c r="D272" s="146" t="str">
        <f t="shared" si="29"/>
        <v/>
      </c>
      <c r="E272" s="186"/>
      <c r="F272" s="146" t="str">
        <f t="shared" si="30"/>
        <v/>
      </c>
      <c r="G272" s="185"/>
      <c r="H272" s="185"/>
      <c r="I272" s="185"/>
      <c r="J272" s="201"/>
      <c r="K272" s="200"/>
      <c r="L272" s="200"/>
      <c r="M272" s="201"/>
      <c r="N272" s="201"/>
      <c r="P272" s="141" t="str">
        <f t="shared" si="31"/>
        <v/>
      </c>
      <c r="Q272" s="141" t="str">
        <f t="shared" si="32"/>
        <v/>
      </c>
      <c r="AA272" s="141" t="s">
        <v>1094</v>
      </c>
      <c r="AB272" s="141" t="s">
        <v>1095</v>
      </c>
    </row>
    <row r="273" spans="1:28">
      <c r="A273" s="151"/>
      <c r="B273" s="146" t="str">
        <f t="shared" si="28"/>
        <v/>
      </c>
      <c r="C273" s="151"/>
      <c r="D273" s="146" t="str">
        <f t="shared" si="29"/>
        <v/>
      </c>
      <c r="E273" s="186"/>
      <c r="F273" s="146" t="str">
        <f t="shared" si="30"/>
        <v/>
      </c>
      <c r="G273" s="185"/>
      <c r="H273" s="185"/>
      <c r="I273" s="185"/>
      <c r="J273" s="201"/>
      <c r="K273" s="200"/>
      <c r="L273" s="200"/>
      <c r="M273" s="201"/>
      <c r="N273" s="201"/>
      <c r="P273" s="141" t="str">
        <f t="shared" si="31"/>
        <v/>
      </c>
      <c r="Q273" s="141" t="str">
        <f t="shared" si="32"/>
        <v/>
      </c>
      <c r="AA273" s="141" t="s">
        <v>1096</v>
      </c>
      <c r="AB273" s="141" t="s">
        <v>1097</v>
      </c>
    </row>
    <row r="274" spans="1:28">
      <c r="A274" s="151"/>
      <c r="B274" s="146" t="str">
        <f t="shared" si="28"/>
        <v/>
      </c>
      <c r="C274" s="151"/>
      <c r="D274" s="146" t="str">
        <f t="shared" si="29"/>
        <v/>
      </c>
      <c r="E274" s="186"/>
      <c r="F274" s="146" t="str">
        <f t="shared" si="30"/>
        <v/>
      </c>
      <c r="G274" s="185"/>
      <c r="H274" s="185"/>
      <c r="I274" s="185"/>
      <c r="J274" s="201"/>
      <c r="K274" s="200"/>
      <c r="L274" s="200"/>
      <c r="M274" s="201"/>
      <c r="N274" s="201"/>
      <c r="P274" s="141" t="str">
        <f t="shared" si="31"/>
        <v/>
      </c>
      <c r="Q274" s="141" t="str">
        <f t="shared" si="32"/>
        <v/>
      </c>
      <c r="AA274" s="141" t="s">
        <v>1098</v>
      </c>
      <c r="AB274" s="141" t="s">
        <v>1099</v>
      </c>
    </row>
    <row r="275" spans="1:28">
      <c r="A275" s="151"/>
      <c r="B275" s="146" t="str">
        <f t="shared" si="28"/>
        <v/>
      </c>
      <c r="C275" s="151"/>
      <c r="D275" s="146" t="str">
        <f t="shared" si="29"/>
        <v/>
      </c>
      <c r="E275" s="186"/>
      <c r="F275" s="146" t="str">
        <f t="shared" si="30"/>
        <v/>
      </c>
      <c r="G275" s="185"/>
      <c r="H275" s="185"/>
      <c r="I275" s="185"/>
      <c r="J275" s="201"/>
      <c r="K275" s="200"/>
      <c r="L275" s="200"/>
      <c r="M275" s="201"/>
      <c r="N275" s="201"/>
      <c r="P275" s="141" t="str">
        <f t="shared" si="31"/>
        <v/>
      </c>
      <c r="Q275" s="141" t="str">
        <f t="shared" si="32"/>
        <v/>
      </c>
      <c r="AA275" s="141" t="s">
        <v>1779</v>
      </c>
      <c r="AB275" s="141" t="s">
        <v>1780</v>
      </c>
    </row>
    <row r="276" spans="1:28">
      <c r="A276" s="151"/>
      <c r="B276" s="146" t="str">
        <f t="shared" si="28"/>
        <v/>
      </c>
      <c r="C276" s="151"/>
      <c r="D276" s="146" t="str">
        <f t="shared" si="29"/>
        <v/>
      </c>
      <c r="E276" s="186"/>
      <c r="F276" s="146" t="str">
        <f t="shared" si="30"/>
        <v/>
      </c>
      <c r="G276" s="185"/>
      <c r="H276" s="185"/>
      <c r="I276" s="185"/>
      <c r="J276" s="201"/>
      <c r="K276" s="200"/>
      <c r="L276" s="200"/>
      <c r="M276" s="201"/>
      <c r="N276" s="201"/>
      <c r="P276" s="141" t="str">
        <f t="shared" si="31"/>
        <v/>
      </c>
      <c r="Q276" s="141" t="str">
        <f t="shared" si="32"/>
        <v/>
      </c>
      <c r="AA276" s="141" t="s">
        <v>1781</v>
      </c>
      <c r="AB276" s="141" t="s">
        <v>1782</v>
      </c>
    </row>
    <row r="277" spans="1:28">
      <c r="A277" s="151"/>
      <c r="B277" s="146" t="str">
        <f t="shared" si="28"/>
        <v/>
      </c>
      <c r="C277" s="151"/>
      <c r="D277" s="146" t="str">
        <f t="shared" si="29"/>
        <v/>
      </c>
      <c r="E277" s="186"/>
      <c r="F277" s="146" t="str">
        <f t="shared" si="30"/>
        <v/>
      </c>
      <c r="G277" s="185"/>
      <c r="H277" s="185"/>
      <c r="I277" s="185"/>
      <c r="J277" s="201"/>
      <c r="K277" s="200"/>
      <c r="L277" s="200"/>
      <c r="M277" s="201"/>
      <c r="N277" s="201"/>
      <c r="P277" s="141" t="str">
        <f t="shared" si="31"/>
        <v/>
      </c>
      <c r="Q277" s="141" t="str">
        <f t="shared" si="32"/>
        <v/>
      </c>
      <c r="AA277" s="141" t="s">
        <v>1783</v>
      </c>
      <c r="AB277" s="141" t="s">
        <v>1784</v>
      </c>
    </row>
    <row r="278" spans="1:28">
      <c r="A278" s="151"/>
      <c r="B278" s="146" t="str">
        <f t="shared" si="28"/>
        <v/>
      </c>
      <c r="C278" s="151"/>
      <c r="D278" s="146" t="str">
        <f t="shared" si="29"/>
        <v/>
      </c>
      <c r="E278" s="186"/>
      <c r="F278" s="146" t="str">
        <f t="shared" si="30"/>
        <v/>
      </c>
      <c r="G278" s="185"/>
      <c r="H278" s="185"/>
      <c r="I278" s="185"/>
      <c r="J278" s="201"/>
      <c r="K278" s="200"/>
      <c r="L278" s="200"/>
      <c r="M278" s="201"/>
      <c r="N278" s="201"/>
      <c r="P278" s="141" t="str">
        <f t="shared" si="31"/>
        <v/>
      </c>
      <c r="Q278" s="141" t="str">
        <f t="shared" si="32"/>
        <v/>
      </c>
      <c r="AA278" s="141" t="s">
        <v>1785</v>
      </c>
      <c r="AB278" s="141" t="s">
        <v>1786</v>
      </c>
    </row>
    <row r="279" spans="1:28">
      <c r="A279" s="151"/>
      <c r="B279" s="146" t="str">
        <f t="shared" si="28"/>
        <v/>
      </c>
      <c r="C279" s="151"/>
      <c r="D279" s="146" t="str">
        <f t="shared" si="29"/>
        <v/>
      </c>
      <c r="E279" s="186"/>
      <c r="F279" s="146" t="str">
        <f t="shared" si="30"/>
        <v/>
      </c>
      <c r="G279" s="185"/>
      <c r="H279" s="185"/>
      <c r="I279" s="185"/>
      <c r="J279" s="201"/>
      <c r="K279" s="200"/>
      <c r="L279" s="200"/>
      <c r="M279" s="201"/>
      <c r="N279" s="201"/>
      <c r="P279" s="141" t="str">
        <f t="shared" si="31"/>
        <v/>
      </c>
      <c r="Q279" s="141" t="str">
        <f t="shared" si="32"/>
        <v/>
      </c>
      <c r="AA279" s="141" t="s">
        <v>1787</v>
      </c>
      <c r="AB279" s="141" t="s">
        <v>1788</v>
      </c>
    </row>
    <row r="280" spans="1:28">
      <c r="A280" s="151"/>
      <c r="B280" s="146" t="str">
        <f t="shared" si="28"/>
        <v/>
      </c>
      <c r="C280" s="151"/>
      <c r="D280" s="146" t="str">
        <f t="shared" si="29"/>
        <v/>
      </c>
      <c r="E280" s="186"/>
      <c r="F280" s="146" t="str">
        <f t="shared" si="30"/>
        <v/>
      </c>
      <c r="G280" s="185"/>
      <c r="H280" s="185"/>
      <c r="I280" s="185"/>
      <c r="J280" s="201"/>
      <c r="K280" s="200"/>
      <c r="L280" s="200"/>
      <c r="M280" s="201"/>
      <c r="N280" s="201"/>
      <c r="P280" s="141" t="str">
        <f t="shared" si="31"/>
        <v/>
      </c>
      <c r="Q280" s="141" t="str">
        <f t="shared" si="32"/>
        <v/>
      </c>
      <c r="AA280" s="141" t="s">
        <v>1789</v>
      </c>
      <c r="AB280" s="141" t="s">
        <v>1790</v>
      </c>
    </row>
    <row r="281" spans="1:28">
      <c r="A281" s="151"/>
      <c r="B281" s="146" t="str">
        <f t="shared" si="28"/>
        <v/>
      </c>
      <c r="C281" s="151"/>
      <c r="D281" s="146" t="str">
        <f t="shared" si="29"/>
        <v/>
      </c>
      <c r="E281" s="186"/>
      <c r="F281" s="146" t="str">
        <f t="shared" si="30"/>
        <v/>
      </c>
      <c r="G281" s="185"/>
      <c r="H281" s="185"/>
      <c r="I281" s="185"/>
      <c r="J281" s="201"/>
      <c r="K281" s="200"/>
      <c r="L281" s="200"/>
      <c r="M281" s="201"/>
      <c r="N281" s="201"/>
      <c r="P281" s="141" t="str">
        <f t="shared" si="31"/>
        <v/>
      </c>
      <c r="Q281" s="141" t="str">
        <f t="shared" si="32"/>
        <v/>
      </c>
      <c r="AA281" s="141" t="s">
        <v>1791</v>
      </c>
      <c r="AB281" s="141" t="s">
        <v>1792</v>
      </c>
    </row>
    <row r="282" spans="1:28">
      <c r="A282" s="151"/>
      <c r="B282" s="146" t="str">
        <f t="shared" si="28"/>
        <v/>
      </c>
      <c r="C282" s="151"/>
      <c r="D282" s="146" t="str">
        <f t="shared" si="29"/>
        <v/>
      </c>
      <c r="E282" s="186"/>
      <c r="F282" s="146" t="str">
        <f t="shared" si="30"/>
        <v/>
      </c>
      <c r="G282" s="185"/>
      <c r="H282" s="185"/>
      <c r="I282" s="185"/>
      <c r="J282" s="201"/>
      <c r="K282" s="200"/>
      <c r="L282" s="200"/>
      <c r="M282" s="201"/>
      <c r="N282" s="201"/>
      <c r="P282" s="141" t="str">
        <f t="shared" si="31"/>
        <v/>
      </c>
      <c r="Q282" s="141" t="str">
        <f t="shared" si="32"/>
        <v/>
      </c>
      <c r="AA282" s="141" t="s">
        <v>1793</v>
      </c>
      <c r="AB282" s="141" t="s">
        <v>1794</v>
      </c>
    </row>
    <row r="283" spans="1:28">
      <c r="A283" s="151"/>
      <c r="B283" s="146" t="str">
        <f t="shared" si="28"/>
        <v/>
      </c>
      <c r="C283" s="151"/>
      <c r="D283" s="146" t="str">
        <f t="shared" si="29"/>
        <v/>
      </c>
      <c r="E283" s="186"/>
      <c r="F283" s="146" t="str">
        <f t="shared" si="30"/>
        <v/>
      </c>
      <c r="G283" s="185"/>
      <c r="H283" s="185"/>
      <c r="I283" s="185"/>
      <c r="J283" s="201"/>
      <c r="K283" s="200"/>
      <c r="L283" s="200"/>
      <c r="M283" s="201"/>
      <c r="N283" s="201"/>
      <c r="P283" s="141" t="str">
        <f t="shared" si="31"/>
        <v/>
      </c>
      <c r="Q283" s="141" t="str">
        <f t="shared" si="32"/>
        <v/>
      </c>
      <c r="AA283" s="141" t="s">
        <v>1795</v>
      </c>
      <c r="AB283" s="141" t="s">
        <v>1796</v>
      </c>
    </row>
    <row r="284" spans="1:28">
      <c r="A284" s="151"/>
      <c r="B284" s="146" t="str">
        <f t="shared" si="28"/>
        <v/>
      </c>
      <c r="C284" s="151"/>
      <c r="D284" s="146" t="str">
        <f t="shared" si="29"/>
        <v/>
      </c>
      <c r="E284" s="186"/>
      <c r="F284" s="146" t="str">
        <f t="shared" si="30"/>
        <v/>
      </c>
      <c r="G284" s="185"/>
      <c r="H284" s="185"/>
      <c r="I284" s="185"/>
      <c r="J284" s="201"/>
      <c r="K284" s="200"/>
      <c r="L284" s="200"/>
      <c r="M284" s="201"/>
      <c r="N284" s="201"/>
      <c r="P284" s="141" t="str">
        <f t="shared" si="31"/>
        <v/>
      </c>
      <c r="Q284" s="141" t="str">
        <f t="shared" si="32"/>
        <v/>
      </c>
      <c r="AA284" s="141" t="s">
        <v>1797</v>
      </c>
      <c r="AB284" s="141" t="s">
        <v>1798</v>
      </c>
    </row>
    <row r="285" spans="1:28">
      <c r="A285" s="151"/>
      <c r="B285" s="146" t="str">
        <f t="shared" si="28"/>
        <v/>
      </c>
      <c r="C285" s="151"/>
      <c r="D285" s="146" t="str">
        <f t="shared" si="29"/>
        <v/>
      </c>
      <c r="E285" s="186"/>
      <c r="F285" s="146" t="str">
        <f t="shared" si="30"/>
        <v/>
      </c>
      <c r="G285" s="185"/>
      <c r="H285" s="185"/>
      <c r="I285" s="185"/>
      <c r="J285" s="201"/>
      <c r="K285" s="200"/>
      <c r="L285" s="200"/>
      <c r="M285" s="201"/>
      <c r="N285" s="201"/>
      <c r="P285" s="141" t="str">
        <f t="shared" si="31"/>
        <v/>
      </c>
      <c r="Q285" s="141" t="str">
        <f t="shared" si="32"/>
        <v/>
      </c>
      <c r="AA285" s="141" t="s">
        <v>1799</v>
      </c>
      <c r="AB285" s="141" t="s">
        <v>1800</v>
      </c>
    </row>
    <row r="286" spans="1:28">
      <c r="A286" s="151"/>
      <c r="B286" s="146" t="str">
        <f t="shared" si="28"/>
        <v/>
      </c>
      <c r="C286" s="151"/>
      <c r="D286" s="146" t="str">
        <f t="shared" si="29"/>
        <v/>
      </c>
      <c r="E286" s="186"/>
      <c r="F286" s="146" t="str">
        <f t="shared" si="30"/>
        <v/>
      </c>
      <c r="G286" s="185"/>
      <c r="H286" s="185"/>
      <c r="I286" s="185"/>
      <c r="J286" s="201"/>
      <c r="K286" s="200"/>
      <c r="L286" s="200"/>
      <c r="M286" s="201"/>
      <c r="N286" s="201"/>
      <c r="P286" s="141" t="str">
        <f t="shared" si="31"/>
        <v/>
      </c>
      <c r="Q286" s="141" t="str">
        <f t="shared" si="32"/>
        <v/>
      </c>
      <c r="AA286" s="141" t="s">
        <v>1801</v>
      </c>
      <c r="AB286" s="141" t="s">
        <v>1802</v>
      </c>
    </row>
    <row r="287" spans="1:28">
      <c r="A287" s="151"/>
      <c r="B287" s="146" t="str">
        <f t="shared" si="28"/>
        <v/>
      </c>
      <c r="C287" s="151"/>
      <c r="D287" s="146" t="str">
        <f t="shared" si="29"/>
        <v/>
      </c>
      <c r="E287" s="186"/>
      <c r="F287" s="146" t="str">
        <f t="shared" si="30"/>
        <v/>
      </c>
      <c r="G287" s="185"/>
      <c r="H287" s="185"/>
      <c r="I287" s="185"/>
      <c r="J287" s="201"/>
      <c r="K287" s="200"/>
      <c r="L287" s="200"/>
      <c r="M287" s="201"/>
      <c r="N287" s="201"/>
      <c r="P287" s="141" t="str">
        <f t="shared" si="31"/>
        <v/>
      </c>
      <c r="Q287" s="141" t="str">
        <f t="shared" si="32"/>
        <v/>
      </c>
      <c r="AA287" s="141" t="s">
        <v>1803</v>
      </c>
      <c r="AB287" s="141" t="s">
        <v>1804</v>
      </c>
    </row>
    <row r="288" spans="1:28">
      <c r="A288" s="151"/>
      <c r="B288" s="146" t="str">
        <f t="shared" si="28"/>
        <v/>
      </c>
      <c r="C288" s="151"/>
      <c r="D288" s="146" t="str">
        <f t="shared" si="29"/>
        <v/>
      </c>
      <c r="E288" s="186"/>
      <c r="F288" s="146" t="str">
        <f t="shared" si="30"/>
        <v/>
      </c>
      <c r="G288" s="185"/>
      <c r="H288" s="185"/>
      <c r="I288" s="185"/>
      <c r="J288" s="201"/>
      <c r="K288" s="200"/>
      <c r="L288" s="200"/>
      <c r="M288" s="201"/>
      <c r="N288" s="201"/>
      <c r="P288" s="141" t="str">
        <f t="shared" si="31"/>
        <v/>
      </c>
      <c r="Q288" s="141" t="str">
        <f t="shared" si="32"/>
        <v/>
      </c>
      <c r="AA288" s="141" t="s">
        <v>1805</v>
      </c>
      <c r="AB288" s="141" t="s">
        <v>1806</v>
      </c>
    </row>
    <row r="289" spans="1:28">
      <c r="A289" s="151"/>
      <c r="B289" s="146" t="str">
        <f t="shared" si="28"/>
        <v/>
      </c>
      <c r="C289" s="151"/>
      <c r="D289" s="146" t="str">
        <f t="shared" si="29"/>
        <v/>
      </c>
      <c r="E289" s="186"/>
      <c r="F289" s="146" t="str">
        <f t="shared" si="30"/>
        <v/>
      </c>
      <c r="G289" s="185"/>
      <c r="H289" s="185"/>
      <c r="I289" s="185"/>
      <c r="J289" s="201"/>
      <c r="K289" s="200"/>
      <c r="L289" s="200"/>
      <c r="M289" s="201"/>
      <c r="N289" s="201"/>
      <c r="P289" s="141" t="str">
        <f t="shared" si="31"/>
        <v/>
      </c>
      <c r="Q289" s="141" t="str">
        <f t="shared" si="32"/>
        <v/>
      </c>
      <c r="AA289" s="141" t="s">
        <v>1807</v>
      </c>
      <c r="AB289" s="141" t="s">
        <v>1808</v>
      </c>
    </row>
    <row r="290" spans="1:28">
      <c r="A290" s="151"/>
      <c r="B290" s="146" t="str">
        <f t="shared" si="28"/>
        <v/>
      </c>
      <c r="C290" s="151"/>
      <c r="D290" s="146" t="str">
        <f t="shared" si="29"/>
        <v/>
      </c>
      <c r="E290" s="186"/>
      <c r="F290" s="146" t="str">
        <f t="shared" si="30"/>
        <v/>
      </c>
      <c r="G290" s="185"/>
      <c r="H290" s="185"/>
      <c r="I290" s="185"/>
      <c r="J290" s="201"/>
      <c r="K290" s="200"/>
      <c r="L290" s="200"/>
      <c r="M290" s="201"/>
      <c r="N290" s="201"/>
      <c r="P290" s="141" t="str">
        <f t="shared" si="31"/>
        <v/>
      </c>
      <c r="Q290" s="141" t="str">
        <f t="shared" si="32"/>
        <v/>
      </c>
      <c r="AA290" s="141" t="s">
        <v>1809</v>
      </c>
      <c r="AB290" s="141" t="s">
        <v>1810</v>
      </c>
    </row>
    <row r="291" spans="1:28">
      <c r="A291" s="151"/>
      <c r="B291" s="146" t="str">
        <f t="shared" si="28"/>
        <v/>
      </c>
      <c r="C291" s="151"/>
      <c r="D291" s="146" t="str">
        <f t="shared" si="29"/>
        <v/>
      </c>
      <c r="E291" s="186"/>
      <c r="F291" s="146" t="str">
        <f t="shared" si="30"/>
        <v/>
      </c>
      <c r="G291" s="185"/>
      <c r="H291" s="185"/>
      <c r="I291" s="185"/>
      <c r="J291" s="201"/>
      <c r="K291" s="200"/>
      <c r="L291" s="200"/>
      <c r="M291" s="201"/>
      <c r="N291" s="201"/>
      <c r="P291" s="141" t="str">
        <f t="shared" si="31"/>
        <v/>
      </c>
      <c r="Q291" s="141" t="str">
        <f t="shared" si="32"/>
        <v/>
      </c>
      <c r="AA291" s="141" t="s">
        <v>1811</v>
      </c>
      <c r="AB291" s="141" t="s">
        <v>1812</v>
      </c>
    </row>
    <row r="292" spans="1:28">
      <c r="A292" s="151"/>
      <c r="B292" s="146" t="str">
        <f t="shared" si="28"/>
        <v/>
      </c>
      <c r="C292" s="151"/>
      <c r="D292" s="146" t="str">
        <f t="shared" si="29"/>
        <v/>
      </c>
      <c r="E292" s="186"/>
      <c r="F292" s="146" t="str">
        <f t="shared" si="30"/>
        <v/>
      </c>
      <c r="G292" s="185"/>
      <c r="H292" s="185"/>
      <c r="I292" s="185"/>
      <c r="J292" s="201"/>
      <c r="K292" s="200"/>
      <c r="L292" s="200"/>
      <c r="M292" s="201"/>
      <c r="N292" s="201"/>
      <c r="P292" s="141" t="str">
        <f t="shared" si="31"/>
        <v/>
      </c>
      <c r="Q292" s="141" t="str">
        <f t="shared" si="32"/>
        <v/>
      </c>
      <c r="AA292" s="141" t="s">
        <v>1813</v>
      </c>
      <c r="AB292" s="141" t="s">
        <v>1814</v>
      </c>
    </row>
    <row r="293" spans="1:28">
      <c r="A293" s="151"/>
      <c r="B293" s="146" t="str">
        <f t="shared" si="28"/>
        <v/>
      </c>
      <c r="C293" s="151"/>
      <c r="D293" s="146" t="str">
        <f t="shared" si="29"/>
        <v/>
      </c>
      <c r="E293" s="186"/>
      <c r="F293" s="146" t="str">
        <f t="shared" si="30"/>
        <v/>
      </c>
      <c r="G293" s="185"/>
      <c r="H293" s="185"/>
      <c r="I293" s="185"/>
      <c r="J293" s="201"/>
      <c r="K293" s="200"/>
      <c r="L293" s="200"/>
      <c r="M293" s="201"/>
      <c r="N293" s="201"/>
      <c r="P293" s="141" t="str">
        <f t="shared" si="31"/>
        <v/>
      </c>
      <c r="Q293" s="141" t="str">
        <f t="shared" si="32"/>
        <v/>
      </c>
      <c r="AA293" s="141" t="s">
        <v>1815</v>
      </c>
      <c r="AB293" s="141" t="s">
        <v>1816</v>
      </c>
    </row>
    <row r="294" spans="1:28">
      <c r="A294" s="151"/>
      <c r="B294" s="146" t="str">
        <f t="shared" si="28"/>
        <v/>
      </c>
      <c r="C294" s="151"/>
      <c r="D294" s="146" t="str">
        <f t="shared" si="29"/>
        <v/>
      </c>
      <c r="E294" s="186"/>
      <c r="F294" s="146" t="str">
        <f t="shared" si="30"/>
        <v/>
      </c>
      <c r="G294" s="185"/>
      <c r="H294" s="185"/>
      <c r="I294" s="185"/>
      <c r="J294" s="201"/>
      <c r="K294" s="200"/>
      <c r="L294" s="200"/>
      <c r="M294" s="201"/>
      <c r="N294" s="201"/>
      <c r="P294" s="141" t="str">
        <f t="shared" si="31"/>
        <v/>
      </c>
      <c r="Q294" s="141" t="str">
        <f t="shared" si="32"/>
        <v/>
      </c>
      <c r="AA294" s="141" t="s">
        <v>1817</v>
      </c>
      <c r="AB294" s="141" t="s">
        <v>1818</v>
      </c>
    </row>
    <row r="295" spans="1:28">
      <c r="A295" s="151"/>
      <c r="B295" s="146" t="str">
        <f t="shared" si="28"/>
        <v/>
      </c>
      <c r="C295" s="151"/>
      <c r="D295" s="146" t="str">
        <f t="shared" si="29"/>
        <v/>
      </c>
      <c r="E295" s="186"/>
      <c r="F295" s="146" t="str">
        <f t="shared" si="30"/>
        <v/>
      </c>
      <c r="G295" s="185"/>
      <c r="H295" s="185"/>
      <c r="I295" s="185"/>
      <c r="J295" s="201"/>
      <c r="K295" s="200"/>
      <c r="L295" s="200"/>
      <c r="M295" s="201"/>
      <c r="N295" s="201"/>
      <c r="P295" s="141" t="str">
        <f t="shared" si="31"/>
        <v/>
      </c>
      <c r="Q295" s="141" t="str">
        <f t="shared" si="32"/>
        <v/>
      </c>
      <c r="AA295" s="141" t="s">
        <v>1819</v>
      </c>
      <c r="AB295" s="141" t="s">
        <v>1820</v>
      </c>
    </row>
    <row r="296" spans="1:28">
      <c r="A296" s="151"/>
      <c r="B296" s="146" t="str">
        <f t="shared" si="28"/>
        <v/>
      </c>
      <c r="C296" s="151"/>
      <c r="D296" s="146" t="str">
        <f t="shared" si="29"/>
        <v/>
      </c>
      <c r="E296" s="186"/>
      <c r="F296" s="146" t="str">
        <f t="shared" si="30"/>
        <v/>
      </c>
      <c r="G296" s="185"/>
      <c r="H296" s="185"/>
      <c r="I296" s="185"/>
      <c r="J296" s="201"/>
      <c r="K296" s="200"/>
      <c r="L296" s="200"/>
      <c r="M296" s="201"/>
      <c r="N296" s="201"/>
      <c r="P296" s="141" t="str">
        <f t="shared" si="31"/>
        <v/>
      </c>
      <c r="Q296" s="141" t="str">
        <f t="shared" si="32"/>
        <v/>
      </c>
      <c r="AA296" s="141" t="s">
        <v>1821</v>
      </c>
      <c r="AB296" s="141" t="s">
        <v>1822</v>
      </c>
    </row>
    <row r="297" spans="1:28">
      <c r="A297" s="151"/>
      <c r="B297" s="146" t="str">
        <f t="shared" si="28"/>
        <v/>
      </c>
      <c r="C297" s="151"/>
      <c r="D297" s="146" t="str">
        <f t="shared" si="29"/>
        <v/>
      </c>
      <c r="E297" s="186"/>
      <c r="F297" s="146" t="str">
        <f t="shared" si="30"/>
        <v/>
      </c>
      <c r="G297" s="185"/>
      <c r="H297" s="185"/>
      <c r="I297" s="185"/>
      <c r="J297" s="201"/>
      <c r="K297" s="200"/>
      <c r="L297" s="200"/>
      <c r="M297" s="201"/>
      <c r="N297" s="201"/>
      <c r="P297" s="141" t="str">
        <f t="shared" si="31"/>
        <v/>
      </c>
      <c r="Q297" s="141" t="str">
        <f t="shared" si="32"/>
        <v/>
      </c>
      <c r="AA297" s="141" t="s">
        <v>1823</v>
      </c>
      <c r="AB297" s="141" t="s">
        <v>1824</v>
      </c>
    </row>
    <row r="298" spans="1:28">
      <c r="A298" s="151"/>
      <c r="B298" s="146" t="str">
        <f t="shared" si="28"/>
        <v/>
      </c>
      <c r="C298" s="151"/>
      <c r="D298" s="146" t="str">
        <f t="shared" si="29"/>
        <v/>
      </c>
      <c r="E298" s="186"/>
      <c r="F298" s="146" t="str">
        <f t="shared" si="30"/>
        <v/>
      </c>
      <c r="G298" s="185"/>
      <c r="H298" s="185"/>
      <c r="I298" s="185"/>
      <c r="J298" s="201"/>
      <c r="K298" s="200"/>
      <c r="L298" s="200"/>
      <c r="M298" s="201"/>
      <c r="N298" s="201"/>
      <c r="P298" s="141" t="str">
        <f t="shared" si="31"/>
        <v/>
      </c>
      <c r="Q298" s="141" t="str">
        <f t="shared" si="32"/>
        <v/>
      </c>
      <c r="AA298" s="141" t="s">
        <v>1825</v>
      </c>
      <c r="AB298" s="141" t="s">
        <v>1826</v>
      </c>
    </row>
    <row r="299" spans="1:28">
      <c r="A299" s="151"/>
      <c r="B299" s="146" t="str">
        <f t="shared" si="28"/>
        <v/>
      </c>
      <c r="C299" s="151"/>
      <c r="D299" s="146" t="str">
        <f t="shared" si="29"/>
        <v/>
      </c>
      <c r="E299" s="186"/>
      <c r="F299" s="146" t="str">
        <f t="shared" si="30"/>
        <v/>
      </c>
      <c r="G299" s="185"/>
      <c r="H299" s="185"/>
      <c r="I299" s="185"/>
      <c r="J299" s="201"/>
      <c r="K299" s="200"/>
      <c r="L299" s="200"/>
      <c r="M299" s="201"/>
      <c r="N299" s="201"/>
      <c r="P299" s="141" t="str">
        <f t="shared" si="31"/>
        <v/>
      </c>
      <c r="Q299" s="141" t="str">
        <f t="shared" si="32"/>
        <v/>
      </c>
      <c r="AA299" s="141" t="s">
        <v>1827</v>
      </c>
      <c r="AB299" s="141" t="s">
        <v>1828</v>
      </c>
    </row>
    <row r="300" spans="1:28">
      <c r="A300" s="151"/>
      <c r="B300" s="146" t="str">
        <f t="shared" si="28"/>
        <v/>
      </c>
      <c r="C300" s="151"/>
      <c r="D300" s="146" t="str">
        <f t="shared" si="29"/>
        <v/>
      </c>
      <c r="E300" s="186"/>
      <c r="F300" s="146" t="str">
        <f t="shared" si="30"/>
        <v/>
      </c>
      <c r="G300" s="185"/>
      <c r="H300" s="185"/>
      <c r="I300" s="185"/>
      <c r="J300" s="201"/>
      <c r="K300" s="200"/>
      <c r="L300" s="200"/>
      <c r="M300" s="201"/>
      <c r="N300" s="201"/>
      <c r="P300" s="141" t="str">
        <f t="shared" si="31"/>
        <v/>
      </c>
      <c r="Q300" s="141" t="str">
        <f t="shared" si="32"/>
        <v/>
      </c>
      <c r="AA300" s="141" t="s">
        <v>1829</v>
      </c>
      <c r="AB300" s="141" t="s">
        <v>1830</v>
      </c>
    </row>
    <row r="301" spans="1:28">
      <c r="A301" s="151"/>
      <c r="B301" s="146" t="str">
        <f t="shared" si="28"/>
        <v/>
      </c>
      <c r="C301" s="151"/>
      <c r="D301" s="146" t="str">
        <f t="shared" si="29"/>
        <v/>
      </c>
      <c r="E301" s="186"/>
      <c r="F301" s="146" t="str">
        <f t="shared" si="30"/>
        <v/>
      </c>
      <c r="G301" s="185"/>
      <c r="H301" s="185"/>
      <c r="I301" s="185"/>
      <c r="J301" s="201"/>
      <c r="K301" s="200"/>
      <c r="L301" s="200"/>
      <c r="M301" s="201"/>
      <c r="N301" s="201"/>
      <c r="P301" s="141" t="str">
        <f t="shared" si="31"/>
        <v/>
      </c>
      <c r="Q301" s="141" t="str">
        <f t="shared" si="32"/>
        <v/>
      </c>
      <c r="AA301" s="141" t="s">
        <v>1831</v>
      </c>
      <c r="AB301" s="141" t="s">
        <v>1832</v>
      </c>
    </row>
    <row r="302" spans="1:28">
      <c r="A302" s="151"/>
      <c r="B302" s="146" t="str">
        <f t="shared" si="28"/>
        <v/>
      </c>
      <c r="C302" s="151"/>
      <c r="D302" s="146" t="str">
        <f t="shared" si="29"/>
        <v/>
      </c>
      <c r="E302" s="186"/>
      <c r="F302" s="146" t="str">
        <f t="shared" si="30"/>
        <v/>
      </c>
      <c r="G302" s="185"/>
      <c r="H302" s="185"/>
      <c r="I302" s="185"/>
      <c r="J302" s="201"/>
      <c r="K302" s="200"/>
      <c r="L302" s="200"/>
      <c r="M302" s="201"/>
      <c r="N302" s="201"/>
      <c r="P302" s="141" t="str">
        <f t="shared" si="31"/>
        <v/>
      </c>
      <c r="Q302" s="141" t="str">
        <f t="shared" si="32"/>
        <v/>
      </c>
      <c r="AA302" s="141" t="s">
        <v>1833</v>
      </c>
      <c r="AB302" s="141" t="s">
        <v>1834</v>
      </c>
    </row>
    <row r="303" spans="1:28">
      <c r="A303" s="151"/>
      <c r="B303" s="146" t="str">
        <f t="shared" si="28"/>
        <v/>
      </c>
      <c r="C303" s="151"/>
      <c r="D303" s="146" t="str">
        <f t="shared" si="29"/>
        <v/>
      </c>
      <c r="E303" s="186"/>
      <c r="F303" s="146" t="str">
        <f t="shared" si="30"/>
        <v/>
      </c>
      <c r="G303" s="185"/>
      <c r="H303" s="185"/>
      <c r="I303" s="185"/>
      <c r="J303" s="201"/>
      <c r="K303" s="200"/>
      <c r="L303" s="200"/>
      <c r="M303" s="201"/>
      <c r="N303" s="201"/>
      <c r="P303" s="141" t="str">
        <f t="shared" si="31"/>
        <v/>
      </c>
      <c r="Q303" s="141" t="str">
        <f t="shared" si="32"/>
        <v/>
      </c>
      <c r="AA303" s="141" t="s">
        <v>1835</v>
      </c>
      <c r="AB303" s="141" t="s">
        <v>1836</v>
      </c>
    </row>
    <row r="304" spans="1:28">
      <c r="A304" s="151"/>
      <c r="B304" s="146" t="str">
        <f t="shared" si="28"/>
        <v/>
      </c>
      <c r="C304" s="151"/>
      <c r="D304" s="146" t="str">
        <f t="shared" si="29"/>
        <v/>
      </c>
      <c r="E304" s="186"/>
      <c r="F304" s="146" t="str">
        <f t="shared" si="30"/>
        <v/>
      </c>
      <c r="G304" s="185"/>
      <c r="H304" s="185"/>
      <c r="I304" s="185"/>
      <c r="J304" s="201"/>
      <c r="K304" s="200"/>
      <c r="L304" s="200"/>
      <c r="M304" s="201"/>
      <c r="N304" s="201"/>
      <c r="P304" s="141" t="str">
        <f t="shared" si="31"/>
        <v/>
      </c>
      <c r="Q304" s="141" t="str">
        <f t="shared" si="32"/>
        <v/>
      </c>
      <c r="AA304" s="141" t="s">
        <v>1837</v>
      </c>
      <c r="AB304" s="141" t="s">
        <v>1838</v>
      </c>
    </row>
    <row r="305" spans="1:28">
      <c r="A305" s="151"/>
      <c r="B305" s="146" t="str">
        <f t="shared" si="28"/>
        <v/>
      </c>
      <c r="C305" s="151"/>
      <c r="D305" s="146" t="str">
        <f t="shared" si="29"/>
        <v/>
      </c>
      <c r="E305" s="186"/>
      <c r="F305" s="146" t="str">
        <f t="shared" si="30"/>
        <v/>
      </c>
      <c r="G305" s="185"/>
      <c r="H305" s="185"/>
      <c r="I305" s="185"/>
      <c r="J305" s="201"/>
      <c r="K305" s="200"/>
      <c r="L305" s="200"/>
      <c r="M305" s="201"/>
      <c r="N305" s="201"/>
      <c r="P305" s="141" t="str">
        <f t="shared" si="31"/>
        <v/>
      </c>
      <c r="Q305" s="141" t="str">
        <f t="shared" si="32"/>
        <v/>
      </c>
      <c r="AA305" s="141" t="s">
        <v>1839</v>
      </c>
      <c r="AB305" s="141" t="s">
        <v>1840</v>
      </c>
    </row>
    <row r="306" spans="1:28">
      <c r="A306" s="151"/>
      <c r="B306" s="146" t="str">
        <f t="shared" si="28"/>
        <v/>
      </c>
      <c r="C306" s="151"/>
      <c r="D306" s="146" t="str">
        <f t="shared" si="29"/>
        <v/>
      </c>
      <c r="E306" s="186"/>
      <c r="F306" s="146" t="str">
        <f t="shared" si="30"/>
        <v/>
      </c>
      <c r="G306" s="185"/>
      <c r="H306" s="185"/>
      <c r="I306" s="185"/>
      <c r="J306" s="201"/>
      <c r="K306" s="200"/>
      <c r="L306" s="200"/>
      <c r="M306" s="201"/>
      <c r="N306" s="201"/>
      <c r="P306" s="141" t="str">
        <f t="shared" si="31"/>
        <v/>
      </c>
      <c r="Q306" s="141" t="str">
        <f t="shared" si="32"/>
        <v/>
      </c>
      <c r="AA306" s="141" t="s">
        <v>1841</v>
      </c>
      <c r="AB306" s="141" t="s">
        <v>1842</v>
      </c>
    </row>
    <row r="307" spans="1:28">
      <c r="A307" s="151"/>
      <c r="B307" s="146" t="str">
        <f t="shared" si="28"/>
        <v/>
      </c>
      <c r="C307" s="151"/>
      <c r="D307" s="146" t="str">
        <f t="shared" si="29"/>
        <v/>
      </c>
      <c r="E307" s="186"/>
      <c r="F307" s="146" t="str">
        <f t="shared" si="30"/>
        <v/>
      </c>
      <c r="G307" s="185"/>
      <c r="H307" s="185"/>
      <c r="I307" s="185"/>
      <c r="J307" s="201"/>
      <c r="K307" s="200"/>
      <c r="L307" s="200"/>
      <c r="M307" s="201"/>
      <c r="N307" s="201"/>
      <c r="P307" s="141" t="str">
        <f t="shared" si="31"/>
        <v/>
      </c>
      <c r="Q307" s="141" t="str">
        <f t="shared" si="32"/>
        <v/>
      </c>
      <c r="AA307" s="141" t="s">
        <v>1843</v>
      </c>
      <c r="AB307" s="141" t="s">
        <v>1844</v>
      </c>
    </row>
    <row r="308" spans="1:28">
      <c r="A308" s="151"/>
      <c r="B308" s="146" t="str">
        <f t="shared" si="28"/>
        <v/>
      </c>
      <c r="C308" s="151"/>
      <c r="D308" s="146" t="str">
        <f t="shared" si="29"/>
        <v/>
      </c>
      <c r="E308" s="186"/>
      <c r="F308" s="146" t="str">
        <f t="shared" si="30"/>
        <v/>
      </c>
      <c r="G308" s="185"/>
      <c r="H308" s="185"/>
      <c r="I308" s="185"/>
      <c r="J308" s="201"/>
      <c r="K308" s="200"/>
      <c r="L308" s="200"/>
      <c r="M308" s="201"/>
      <c r="N308" s="201"/>
      <c r="P308" s="141" t="str">
        <f t="shared" si="31"/>
        <v/>
      </c>
      <c r="Q308" s="141" t="str">
        <f t="shared" si="32"/>
        <v/>
      </c>
      <c r="AA308" s="141" t="s">
        <v>1845</v>
      </c>
      <c r="AB308" s="141" t="s">
        <v>1846</v>
      </c>
    </row>
    <row r="309" spans="1:28">
      <c r="A309" s="151"/>
      <c r="B309" s="146" t="str">
        <f t="shared" si="28"/>
        <v/>
      </c>
      <c r="C309" s="151"/>
      <c r="D309" s="146" t="str">
        <f t="shared" si="29"/>
        <v/>
      </c>
      <c r="E309" s="186"/>
      <c r="F309" s="146" t="str">
        <f t="shared" si="30"/>
        <v/>
      </c>
      <c r="G309" s="185"/>
      <c r="H309" s="185"/>
      <c r="I309" s="185"/>
      <c r="J309" s="201"/>
      <c r="K309" s="200"/>
      <c r="L309" s="200"/>
      <c r="M309" s="201"/>
      <c r="N309" s="201"/>
      <c r="P309" s="141" t="str">
        <f t="shared" si="31"/>
        <v/>
      </c>
      <c r="Q309" s="141" t="str">
        <f t="shared" si="32"/>
        <v/>
      </c>
      <c r="AA309" s="141" t="s">
        <v>1847</v>
      </c>
      <c r="AB309" s="141" t="s">
        <v>1848</v>
      </c>
    </row>
    <row r="310" spans="1:28">
      <c r="A310" s="151"/>
      <c r="B310" s="146" t="str">
        <f t="shared" si="28"/>
        <v/>
      </c>
      <c r="C310" s="151"/>
      <c r="D310" s="146" t="str">
        <f t="shared" si="29"/>
        <v/>
      </c>
      <c r="E310" s="186"/>
      <c r="F310" s="146" t="str">
        <f t="shared" si="30"/>
        <v/>
      </c>
      <c r="G310" s="185"/>
      <c r="H310" s="185"/>
      <c r="I310" s="185"/>
      <c r="J310" s="201"/>
      <c r="K310" s="200"/>
      <c r="L310" s="200"/>
      <c r="M310" s="201"/>
      <c r="N310" s="201"/>
      <c r="P310" s="141" t="str">
        <f t="shared" si="31"/>
        <v/>
      </c>
      <c r="Q310" s="141" t="str">
        <f t="shared" si="32"/>
        <v/>
      </c>
      <c r="AA310" s="141" t="s">
        <v>1849</v>
      </c>
      <c r="AB310" s="141" t="s">
        <v>1850</v>
      </c>
    </row>
    <row r="311" spans="1:28">
      <c r="A311" s="151"/>
      <c r="B311" s="146" t="str">
        <f t="shared" si="28"/>
        <v/>
      </c>
      <c r="C311" s="151"/>
      <c r="D311" s="146" t="str">
        <f t="shared" si="29"/>
        <v/>
      </c>
      <c r="E311" s="186"/>
      <c r="F311" s="146" t="str">
        <f t="shared" si="30"/>
        <v/>
      </c>
      <c r="G311" s="185"/>
      <c r="H311" s="185"/>
      <c r="I311" s="185"/>
      <c r="J311" s="201"/>
      <c r="K311" s="200"/>
      <c r="L311" s="200"/>
      <c r="M311" s="201"/>
      <c r="N311" s="201"/>
      <c r="P311" s="141" t="str">
        <f t="shared" si="31"/>
        <v/>
      </c>
      <c r="Q311" s="141" t="str">
        <f t="shared" si="32"/>
        <v/>
      </c>
      <c r="AA311" s="141" t="s">
        <v>1851</v>
      </c>
      <c r="AB311" s="141" t="s">
        <v>1852</v>
      </c>
    </row>
    <row r="312" spans="1:28">
      <c r="A312" s="151"/>
      <c r="B312" s="146" t="str">
        <f t="shared" si="28"/>
        <v/>
      </c>
      <c r="C312" s="151"/>
      <c r="D312" s="146" t="str">
        <f t="shared" si="29"/>
        <v/>
      </c>
      <c r="E312" s="186"/>
      <c r="F312" s="146" t="str">
        <f t="shared" si="30"/>
        <v/>
      </c>
      <c r="G312" s="185"/>
      <c r="H312" s="185"/>
      <c r="I312" s="185"/>
      <c r="J312" s="201"/>
      <c r="K312" s="200"/>
      <c r="L312" s="200"/>
      <c r="M312" s="201"/>
      <c r="N312" s="201"/>
      <c r="P312" s="141" t="str">
        <f t="shared" si="31"/>
        <v/>
      </c>
      <c r="Q312" s="141" t="str">
        <f t="shared" si="32"/>
        <v/>
      </c>
      <c r="AA312" s="141" t="s">
        <v>1853</v>
      </c>
      <c r="AB312" s="141" t="s">
        <v>1854</v>
      </c>
    </row>
    <row r="313" spans="1:28">
      <c r="A313" s="151"/>
      <c r="B313" s="146" t="str">
        <f t="shared" si="28"/>
        <v/>
      </c>
      <c r="C313" s="151"/>
      <c r="D313" s="146" t="str">
        <f t="shared" si="29"/>
        <v/>
      </c>
      <c r="E313" s="186"/>
      <c r="F313" s="146" t="str">
        <f t="shared" si="30"/>
        <v/>
      </c>
      <c r="G313" s="185"/>
      <c r="H313" s="185"/>
      <c r="I313" s="185"/>
      <c r="J313" s="201"/>
      <c r="K313" s="200"/>
      <c r="L313" s="200"/>
      <c r="M313" s="201"/>
      <c r="N313" s="201"/>
      <c r="P313" s="141" t="str">
        <f t="shared" si="31"/>
        <v/>
      </c>
      <c r="Q313" s="141" t="str">
        <f t="shared" si="32"/>
        <v/>
      </c>
      <c r="AA313" s="141" t="s">
        <v>1855</v>
      </c>
      <c r="AB313" s="141" t="s">
        <v>1856</v>
      </c>
    </row>
    <row r="314" spans="1:28">
      <c r="A314" s="151"/>
      <c r="B314" s="146" t="str">
        <f t="shared" si="28"/>
        <v/>
      </c>
      <c r="C314" s="151"/>
      <c r="D314" s="146" t="str">
        <f t="shared" si="29"/>
        <v/>
      </c>
      <c r="E314" s="186"/>
      <c r="F314" s="146" t="str">
        <f t="shared" si="30"/>
        <v/>
      </c>
      <c r="G314" s="185"/>
      <c r="H314" s="185"/>
      <c r="I314" s="185"/>
      <c r="J314" s="201"/>
      <c r="K314" s="200"/>
      <c r="L314" s="200"/>
      <c r="M314" s="201"/>
      <c r="N314" s="201"/>
      <c r="P314" s="141" t="str">
        <f t="shared" si="31"/>
        <v/>
      </c>
      <c r="Q314" s="141" t="str">
        <f t="shared" si="32"/>
        <v/>
      </c>
      <c r="AA314" s="141" t="s">
        <v>1857</v>
      </c>
      <c r="AB314" s="141" t="s">
        <v>1858</v>
      </c>
    </row>
    <row r="315" spans="1:28">
      <c r="A315" s="151"/>
      <c r="B315" s="146" t="str">
        <f t="shared" si="28"/>
        <v/>
      </c>
      <c r="C315" s="151"/>
      <c r="D315" s="146" t="str">
        <f t="shared" si="29"/>
        <v/>
      </c>
      <c r="E315" s="186"/>
      <c r="F315" s="146" t="str">
        <f t="shared" si="30"/>
        <v/>
      </c>
      <c r="G315" s="185"/>
      <c r="H315" s="185"/>
      <c r="I315" s="185"/>
      <c r="J315" s="201"/>
      <c r="K315" s="200"/>
      <c r="L315" s="200"/>
      <c r="M315" s="201"/>
      <c r="N315" s="201"/>
      <c r="P315" s="141" t="str">
        <f t="shared" si="31"/>
        <v/>
      </c>
      <c r="Q315" s="141" t="str">
        <f t="shared" si="32"/>
        <v/>
      </c>
      <c r="AA315" s="141" t="s">
        <v>1859</v>
      </c>
      <c r="AB315" s="141" t="s">
        <v>1860</v>
      </c>
    </row>
    <row r="316" spans="1:28">
      <c r="A316" s="151"/>
      <c r="B316" s="146" t="str">
        <f t="shared" si="28"/>
        <v/>
      </c>
      <c r="C316" s="151"/>
      <c r="D316" s="146" t="str">
        <f t="shared" si="29"/>
        <v/>
      </c>
      <c r="E316" s="186"/>
      <c r="F316" s="146" t="str">
        <f t="shared" si="30"/>
        <v/>
      </c>
      <c r="G316" s="185"/>
      <c r="H316" s="185"/>
      <c r="I316" s="185"/>
      <c r="J316" s="201"/>
      <c r="K316" s="200"/>
      <c r="L316" s="200"/>
      <c r="M316" s="201"/>
      <c r="N316" s="201"/>
      <c r="P316" s="141" t="str">
        <f t="shared" si="31"/>
        <v/>
      </c>
      <c r="Q316" s="141" t="str">
        <f t="shared" si="32"/>
        <v/>
      </c>
      <c r="AA316" s="141" t="s">
        <v>1861</v>
      </c>
      <c r="AB316" s="141" t="s">
        <v>1862</v>
      </c>
    </row>
    <row r="317" spans="1:28">
      <c r="A317" s="151"/>
      <c r="B317" s="146" t="str">
        <f t="shared" si="28"/>
        <v/>
      </c>
      <c r="C317" s="151"/>
      <c r="D317" s="146" t="str">
        <f t="shared" si="29"/>
        <v/>
      </c>
      <c r="E317" s="186"/>
      <c r="F317" s="146" t="str">
        <f t="shared" si="30"/>
        <v/>
      </c>
      <c r="G317" s="185"/>
      <c r="H317" s="185"/>
      <c r="I317" s="185"/>
      <c r="J317" s="201"/>
      <c r="K317" s="200"/>
      <c r="L317" s="200"/>
      <c r="M317" s="201"/>
      <c r="N317" s="201"/>
      <c r="P317" s="141" t="str">
        <f t="shared" si="31"/>
        <v/>
      </c>
      <c r="Q317" s="141" t="str">
        <f t="shared" si="32"/>
        <v/>
      </c>
      <c r="AA317" s="141" t="s">
        <v>1863</v>
      </c>
      <c r="AB317" s="141" t="s">
        <v>1864</v>
      </c>
    </row>
    <row r="318" spans="1:28">
      <c r="A318" s="151"/>
      <c r="B318" s="146" t="str">
        <f t="shared" si="28"/>
        <v/>
      </c>
      <c r="C318" s="151"/>
      <c r="D318" s="146" t="str">
        <f t="shared" si="29"/>
        <v/>
      </c>
      <c r="E318" s="186"/>
      <c r="F318" s="146" t="str">
        <f t="shared" si="30"/>
        <v/>
      </c>
      <c r="G318" s="185"/>
      <c r="H318" s="185"/>
      <c r="I318" s="185"/>
      <c r="J318" s="201"/>
      <c r="K318" s="200"/>
      <c r="L318" s="200"/>
      <c r="M318" s="201"/>
      <c r="N318" s="201"/>
      <c r="P318" s="141" t="str">
        <f t="shared" si="31"/>
        <v/>
      </c>
      <c r="Q318" s="141" t="str">
        <f t="shared" si="32"/>
        <v/>
      </c>
      <c r="AA318" s="141" t="s">
        <v>1865</v>
      </c>
      <c r="AB318" s="141" t="s">
        <v>1866</v>
      </c>
    </row>
    <row r="319" spans="1:28">
      <c r="A319" s="151"/>
      <c r="B319" s="146" t="str">
        <f t="shared" si="28"/>
        <v/>
      </c>
      <c r="C319" s="151"/>
      <c r="D319" s="146" t="str">
        <f t="shared" si="29"/>
        <v/>
      </c>
      <c r="E319" s="186"/>
      <c r="F319" s="146" t="str">
        <f t="shared" si="30"/>
        <v/>
      </c>
      <c r="G319" s="185"/>
      <c r="H319" s="185"/>
      <c r="I319" s="185"/>
      <c r="J319" s="201"/>
      <c r="K319" s="200"/>
      <c r="L319" s="200"/>
      <c r="M319" s="201"/>
      <c r="N319" s="201"/>
      <c r="P319" s="141" t="str">
        <f t="shared" si="31"/>
        <v/>
      </c>
      <c r="Q319" s="141" t="str">
        <f t="shared" si="32"/>
        <v/>
      </c>
      <c r="AA319" s="141" t="s">
        <v>1867</v>
      </c>
      <c r="AB319" s="141" t="s">
        <v>1868</v>
      </c>
    </row>
    <row r="320" spans="1:28">
      <c r="A320" s="151"/>
      <c r="B320" s="146" t="str">
        <f t="shared" si="28"/>
        <v/>
      </c>
      <c r="C320" s="151"/>
      <c r="D320" s="146" t="str">
        <f t="shared" si="29"/>
        <v/>
      </c>
      <c r="E320" s="186"/>
      <c r="F320" s="146" t="str">
        <f t="shared" si="30"/>
        <v/>
      </c>
      <c r="G320" s="185"/>
      <c r="H320" s="185"/>
      <c r="I320" s="185"/>
      <c r="J320" s="201"/>
      <c r="K320" s="200"/>
      <c r="L320" s="200"/>
      <c r="M320" s="201"/>
      <c r="N320" s="201"/>
      <c r="P320" s="141" t="str">
        <f t="shared" si="31"/>
        <v/>
      </c>
      <c r="Q320" s="141" t="str">
        <f t="shared" si="32"/>
        <v/>
      </c>
      <c r="AA320" s="141" t="s">
        <v>1869</v>
      </c>
      <c r="AB320" s="141" t="s">
        <v>1870</v>
      </c>
    </row>
    <row r="321" spans="1:28">
      <c r="A321" s="151"/>
      <c r="B321" s="146" t="str">
        <f t="shared" si="28"/>
        <v/>
      </c>
      <c r="C321" s="151"/>
      <c r="D321" s="146" t="str">
        <f t="shared" si="29"/>
        <v/>
      </c>
      <c r="E321" s="186"/>
      <c r="F321" s="146" t="str">
        <f t="shared" si="30"/>
        <v/>
      </c>
      <c r="G321" s="185"/>
      <c r="H321" s="185"/>
      <c r="I321" s="185"/>
      <c r="J321" s="201"/>
      <c r="K321" s="200"/>
      <c r="L321" s="200"/>
      <c r="M321" s="201"/>
      <c r="N321" s="201"/>
      <c r="P321" s="141" t="str">
        <f t="shared" si="31"/>
        <v/>
      </c>
      <c r="Q321" s="141" t="str">
        <f t="shared" si="32"/>
        <v/>
      </c>
      <c r="AA321" s="141" t="s">
        <v>1871</v>
      </c>
      <c r="AB321" s="141" t="s">
        <v>1872</v>
      </c>
    </row>
    <row r="322" spans="1:28">
      <c r="A322" s="151"/>
      <c r="B322" s="146" t="str">
        <f t="shared" si="28"/>
        <v/>
      </c>
      <c r="C322" s="151"/>
      <c r="D322" s="146" t="str">
        <f t="shared" si="29"/>
        <v/>
      </c>
      <c r="E322" s="186"/>
      <c r="F322" s="146" t="str">
        <f t="shared" si="30"/>
        <v/>
      </c>
      <c r="G322" s="185"/>
      <c r="H322" s="185"/>
      <c r="I322" s="185"/>
      <c r="J322" s="201"/>
      <c r="K322" s="200"/>
      <c r="L322" s="200"/>
      <c r="M322" s="201"/>
      <c r="N322" s="201"/>
      <c r="P322" s="141" t="str">
        <f t="shared" si="31"/>
        <v/>
      </c>
      <c r="Q322" s="141" t="str">
        <f t="shared" si="32"/>
        <v/>
      </c>
      <c r="AA322" s="141" t="s">
        <v>1873</v>
      </c>
      <c r="AB322" s="141" t="s">
        <v>1874</v>
      </c>
    </row>
    <row r="323" spans="1:28">
      <c r="A323" s="151"/>
      <c r="B323" s="146" t="str">
        <f t="shared" si="28"/>
        <v/>
      </c>
      <c r="C323" s="151"/>
      <c r="D323" s="146" t="str">
        <f t="shared" si="29"/>
        <v/>
      </c>
      <c r="E323" s="186"/>
      <c r="F323" s="146" t="str">
        <f t="shared" si="30"/>
        <v/>
      </c>
      <c r="G323" s="185"/>
      <c r="H323" s="185"/>
      <c r="I323" s="185"/>
      <c r="J323" s="201"/>
      <c r="K323" s="200"/>
      <c r="L323" s="200"/>
      <c r="M323" s="201"/>
      <c r="N323" s="201"/>
      <c r="P323" s="141" t="str">
        <f t="shared" si="31"/>
        <v/>
      </c>
      <c r="Q323" s="141" t="str">
        <f t="shared" si="32"/>
        <v/>
      </c>
      <c r="AA323" s="141" t="s">
        <v>1875</v>
      </c>
      <c r="AB323" s="141" t="s">
        <v>1876</v>
      </c>
    </row>
    <row r="324" spans="1:28">
      <c r="A324" s="151"/>
      <c r="B324" s="146" t="str">
        <f t="shared" ref="B324:B387" si="33">IFERROR(VLOOKUP(A324,$R$6:$S$23,2,FALSE),"")</f>
        <v/>
      </c>
      <c r="C324" s="151"/>
      <c r="D324" s="146" t="str">
        <f t="shared" ref="D324:D387" si="34">IFERROR(VLOOKUP(C324,$U$5:$W$129,2,FALSE),"")</f>
        <v/>
      </c>
      <c r="E324" s="186"/>
      <c r="F324" s="146" t="str">
        <f t="shared" ref="F324:F387" si="35">IFERROR(VLOOKUP(E324,$AA$5:$AB$500,2,FALSE),"")</f>
        <v/>
      </c>
      <c r="G324" s="185"/>
      <c r="H324" s="185"/>
      <c r="I324" s="185"/>
      <c r="J324" s="201"/>
      <c r="K324" s="200"/>
      <c r="L324" s="200"/>
      <c r="M324" s="201"/>
      <c r="N324" s="201"/>
      <c r="P324" s="141" t="str">
        <f t="shared" ref="P324:P387" si="36">LEFT(C324,3)</f>
        <v/>
      </c>
      <c r="Q324" s="141" t="str">
        <f t="shared" ref="Q324:Q387" si="37">LEFT(C324,2)</f>
        <v/>
      </c>
      <c r="AA324" s="141" t="s">
        <v>1877</v>
      </c>
      <c r="AB324" s="141" t="s">
        <v>1878</v>
      </c>
    </row>
    <row r="325" spans="1:28">
      <c r="A325" s="151"/>
      <c r="B325" s="146" t="str">
        <f t="shared" si="33"/>
        <v/>
      </c>
      <c r="C325" s="151"/>
      <c r="D325" s="146" t="str">
        <f t="shared" si="34"/>
        <v/>
      </c>
      <c r="E325" s="186"/>
      <c r="F325" s="146" t="str">
        <f t="shared" si="35"/>
        <v/>
      </c>
      <c r="G325" s="185"/>
      <c r="H325" s="185"/>
      <c r="I325" s="185"/>
      <c r="J325" s="201"/>
      <c r="K325" s="200"/>
      <c r="L325" s="200"/>
      <c r="M325" s="201"/>
      <c r="N325" s="201"/>
      <c r="P325" s="141" t="str">
        <f t="shared" si="36"/>
        <v/>
      </c>
      <c r="Q325" s="141" t="str">
        <f t="shared" si="37"/>
        <v/>
      </c>
      <c r="AA325" s="141" t="s">
        <v>1879</v>
      </c>
      <c r="AB325" s="141" t="s">
        <v>1880</v>
      </c>
    </row>
    <row r="326" spans="1:28">
      <c r="A326" s="151"/>
      <c r="B326" s="146" t="str">
        <f t="shared" si="33"/>
        <v/>
      </c>
      <c r="C326" s="151"/>
      <c r="D326" s="146" t="str">
        <f t="shared" si="34"/>
        <v/>
      </c>
      <c r="E326" s="186"/>
      <c r="F326" s="146" t="str">
        <f t="shared" si="35"/>
        <v/>
      </c>
      <c r="G326" s="185"/>
      <c r="H326" s="185"/>
      <c r="I326" s="185"/>
      <c r="J326" s="201"/>
      <c r="K326" s="200"/>
      <c r="L326" s="200"/>
      <c r="M326" s="201"/>
      <c r="N326" s="201"/>
      <c r="P326" s="141" t="str">
        <f t="shared" si="36"/>
        <v/>
      </c>
      <c r="Q326" s="141" t="str">
        <f t="shared" si="37"/>
        <v/>
      </c>
      <c r="AA326" s="141" t="s">
        <v>1881</v>
      </c>
      <c r="AB326" s="141" t="s">
        <v>1882</v>
      </c>
    </row>
    <row r="327" spans="1:28">
      <c r="A327" s="151"/>
      <c r="B327" s="146" t="str">
        <f t="shared" si="33"/>
        <v/>
      </c>
      <c r="C327" s="151"/>
      <c r="D327" s="146" t="str">
        <f t="shared" si="34"/>
        <v/>
      </c>
      <c r="E327" s="186"/>
      <c r="F327" s="146" t="str">
        <f t="shared" si="35"/>
        <v/>
      </c>
      <c r="G327" s="185"/>
      <c r="H327" s="185"/>
      <c r="I327" s="185"/>
      <c r="J327" s="201"/>
      <c r="K327" s="200"/>
      <c r="L327" s="200"/>
      <c r="M327" s="201"/>
      <c r="N327" s="201"/>
      <c r="P327" s="141" t="str">
        <f t="shared" si="36"/>
        <v/>
      </c>
      <c r="Q327" s="141" t="str">
        <f t="shared" si="37"/>
        <v/>
      </c>
      <c r="AA327" s="141" t="s">
        <v>1883</v>
      </c>
      <c r="AB327" s="141" t="s">
        <v>1884</v>
      </c>
    </row>
    <row r="328" spans="1:28">
      <c r="A328" s="151"/>
      <c r="B328" s="146" t="str">
        <f t="shared" si="33"/>
        <v/>
      </c>
      <c r="C328" s="151"/>
      <c r="D328" s="146" t="str">
        <f t="shared" si="34"/>
        <v/>
      </c>
      <c r="E328" s="186"/>
      <c r="F328" s="146" t="str">
        <f t="shared" si="35"/>
        <v/>
      </c>
      <c r="G328" s="185"/>
      <c r="H328" s="185"/>
      <c r="I328" s="185"/>
      <c r="J328" s="201"/>
      <c r="K328" s="200"/>
      <c r="L328" s="200"/>
      <c r="M328" s="201"/>
      <c r="N328" s="201"/>
      <c r="P328" s="141" t="str">
        <f t="shared" si="36"/>
        <v/>
      </c>
      <c r="Q328" s="141" t="str">
        <f t="shared" si="37"/>
        <v/>
      </c>
      <c r="AA328" s="141" t="s">
        <v>1885</v>
      </c>
      <c r="AB328" s="141" t="s">
        <v>1886</v>
      </c>
    </row>
    <row r="329" spans="1:28">
      <c r="A329" s="151"/>
      <c r="B329" s="146" t="str">
        <f t="shared" si="33"/>
        <v/>
      </c>
      <c r="C329" s="151"/>
      <c r="D329" s="146" t="str">
        <f t="shared" si="34"/>
        <v/>
      </c>
      <c r="E329" s="186"/>
      <c r="F329" s="146" t="str">
        <f t="shared" si="35"/>
        <v/>
      </c>
      <c r="G329" s="185"/>
      <c r="H329" s="185"/>
      <c r="I329" s="185"/>
      <c r="J329" s="201"/>
      <c r="K329" s="200"/>
      <c r="L329" s="200"/>
      <c r="M329" s="201"/>
      <c r="N329" s="201"/>
      <c r="P329" s="141" t="str">
        <f t="shared" si="36"/>
        <v/>
      </c>
      <c r="Q329" s="141" t="str">
        <f t="shared" si="37"/>
        <v/>
      </c>
      <c r="AA329" s="141" t="s">
        <v>1887</v>
      </c>
      <c r="AB329" s="141" t="s">
        <v>1888</v>
      </c>
    </row>
    <row r="330" spans="1:28">
      <c r="A330" s="151"/>
      <c r="B330" s="146" t="str">
        <f t="shared" si="33"/>
        <v/>
      </c>
      <c r="C330" s="151"/>
      <c r="D330" s="146" t="str">
        <f t="shared" si="34"/>
        <v/>
      </c>
      <c r="E330" s="186"/>
      <c r="F330" s="146" t="str">
        <f t="shared" si="35"/>
        <v/>
      </c>
      <c r="G330" s="185"/>
      <c r="H330" s="185"/>
      <c r="I330" s="185"/>
      <c r="J330" s="201"/>
      <c r="K330" s="200"/>
      <c r="L330" s="200"/>
      <c r="M330" s="201"/>
      <c r="N330" s="201"/>
      <c r="P330" s="141" t="str">
        <f t="shared" si="36"/>
        <v/>
      </c>
      <c r="Q330" s="141" t="str">
        <f t="shared" si="37"/>
        <v/>
      </c>
      <c r="AA330" s="141" t="s">
        <v>1889</v>
      </c>
      <c r="AB330" s="141" t="s">
        <v>1890</v>
      </c>
    </row>
    <row r="331" spans="1:28">
      <c r="A331" s="151"/>
      <c r="B331" s="146" t="str">
        <f t="shared" si="33"/>
        <v/>
      </c>
      <c r="C331" s="151"/>
      <c r="D331" s="146" t="str">
        <f t="shared" si="34"/>
        <v/>
      </c>
      <c r="E331" s="186"/>
      <c r="F331" s="146" t="str">
        <f t="shared" si="35"/>
        <v/>
      </c>
      <c r="G331" s="185"/>
      <c r="H331" s="185"/>
      <c r="I331" s="185"/>
      <c r="J331" s="201"/>
      <c r="K331" s="200"/>
      <c r="L331" s="200"/>
      <c r="M331" s="201"/>
      <c r="N331" s="201"/>
      <c r="P331" s="141" t="str">
        <f t="shared" si="36"/>
        <v/>
      </c>
      <c r="Q331" s="141" t="str">
        <f t="shared" si="37"/>
        <v/>
      </c>
      <c r="AA331" s="141" t="s">
        <v>1891</v>
      </c>
      <c r="AB331" s="141" t="s">
        <v>1892</v>
      </c>
    </row>
    <row r="332" spans="1:28">
      <c r="A332" s="151"/>
      <c r="B332" s="146" t="str">
        <f t="shared" si="33"/>
        <v/>
      </c>
      <c r="C332" s="151"/>
      <c r="D332" s="146" t="str">
        <f t="shared" si="34"/>
        <v/>
      </c>
      <c r="E332" s="186"/>
      <c r="F332" s="146" t="str">
        <f t="shared" si="35"/>
        <v/>
      </c>
      <c r="G332" s="185"/>
      <c r="H332" s="185"/>
      <c r="I332" s="185"/>
      <c r="J332" s="201"/>
      <c r="K332" s="200"/>
      <c r="L332" s="200"/>
      <c r="M332" s="201"/>
      <c r="N332" s="201"/>
      <c r="P332" s="141" t="str">
        <f t="shared" si="36"/>
        <v/>
      </c>
      <c r="Q332" s="141" t="str">
        <f t="shared" si="37"/>
        <v/>
      </c>
      <c r="AA332" s="141" t="s">
        <v>1893</v>
      </c>
      <c r="AB332" s="141" t="s">
        <v>1894</v>
      </c>
    </row>
    <row r="333" spans="1:28">
      <c r="A333" s="151"/>
      <c r="B333" s="146" t="str">
        <f t="shared" si="33"/>
        <v/>
      </c>
      <c r="C333" s="151"/>
      <c r="D333" s="146" t="str">
        <f t="shared" si="34"/>
        <v/>
      </c>
      <c r="E333" s="186"/>
      <c r="F333" s="146" t="str">
        <f t="shared" si="35"/>
        <v/>
      </c>
      <c r="G333" s="185"/>
      <c r="H333" s="185"/>
      <c r="I333" s="185"/>
      <c r="J333" s="201"/>
      <c r="K333" s="200"/>
      <c r="L333" s="200"/>
      <c r="M333" s="201"/>
      <c r="N333" s="201"/>
      <c r="P333" s="141" t="str">
        <f t="shared" si="36"/>
        <v/>
      </c>
      <c r="Q333" s="141" t="str">
        <f t="shared" si="37"/>
        <v/>
      </c>
      <c r="AA333" s="141" t="s">
        <v>1895</v>
      </c>
      <c r="AB333" s="141" t="s">
        <v>1896</v>
      </c>
    </row>
    <row r="334" spans="1:28">
      <c r="A334" s="151"/>
      <c r="B334" s="146" t="str">
        <f t="shared" si="33"/>
        <v/>
      </c>
      <c r="C334" s="151"/>
      <c r="D334" s="146" t="str">
        <f t="shared" si="34"/>
        <v/>
      </c>
      <c r="E334" s="186"/>
      <c r="F334" s="146" t="str">
        <f t="shared" si="35"/>
        <v/>
      </c>
      <c r="G334" s="185"/>
      <c r="H334" s="185"/>
      <c r="I334" s="185"/>
      <c r="J334" s="201"/>
      <c r="K334" s="200"/>
      <c r="L334" s="200"/>
      <c r="M334" s="201"/>
      <c r="N334" s="201"/>
      <c r="P334" s="141" t="str">
        <f t="shared" si="36"/>
        <v/>
      </c>
      <c r="Q334" s="141" t="str">
        <f t="shared" si="37"/>
        <v/>
      </c>
      <c r="AA334" s="141" t="s">
        <v>1897</v>
      </c>
      <c r="AB334" s="141" t="s">
        <v>1898</v>
      </c>
    </row>
    <row r="335" spans="1:28">
      <c r="A335" s="151"/>
      <c r="B335" s="146" t="str">
        <f t="shared" si="33"/>
        <v/>
      </c>
      <c r="C335" s="151"/>
      <c r="D335" s="146" t="str">
        <f t="shared" si="34"/>
        <v/>
      </c>
      <c r="E335" s="186"/>
      <c r="F335" s="146" t="str">
        <f t="shared" si="35"/>
        <v/>
      </c>
      <c r="G335" s="185"/>
      <c r="H335" s="185"/>
      <c r="I335" s="185"/>
      <c r="J335" s="201"/>
      <c r="K335" s="200"/>
      <c r="L335" s="200"/>
      <c r="M335" s="201"/>
      <c r="N335" s="201"/>
      <c r="P335" s="141" t="str">
        <f t="shared" si="36"/>
        <v/>
      </c>
      <c r="Q335" s="141" t="str">
        <f t="shared" si="37"/>
        <v/>
      </c>
      <c r="AA335" s="141" t="s">
        <v>1899</v>
      </c>
      <c r="AB335" s="141" t="s">
        <v>1900</v>
      </c>
    </row>
    <row r="336" spans="1:28">
      <c r="A336" s="151"/>
      <c r="B336" s="146" t="str">
        <f t="shared" si="33"/>
        <v/>
      </c>
      <c r="C336" s="151"/>
      <c r="D336" s="146" t="str">
        <f t="shared" si="34"/>
        <v/>
      </c>
      <c r="E336" s="186"/>
      <c r="F336" s="146" t="str">
        <f t="shared" si="35"/>
        <v/>
      </c>
      <c r="G336" s="185"/>
      <c r="H336" s="185"/>
      <c r="I336" s="185"/>
      <c r="J336" s="201"/>
      <c r="K336" s="200"/>
      <c r="L336" s="200"/>
      <c r="M336" s="201"/>
      <c r="N336" s="201"/>
      <c r="P336" s="141" t="str">
        <f t="shared" si="36"/>
        <v/>
      </c>
      <c r="Q336" s="141" t="str">
        <f t="shared" si="37"/>
        <v/>
      </c>
      <c r="AA336" s="141" t="s">
        <v>1901</v>
      </c>
      <c r="AB336" s="141" t="s">
        <v>1902</v>
      </c>
    </row>
    <row r="337" spans="1:28">
      <c r="A337" s="151"/>
      <c r="B337" s="146" t="str">
        <f t="shared" si="33"/>
        <v/>
      </c>
      <c r="C337" s="151"/>
      <c r="D337" s="146" t="str">
        <f t="shared" si="34"/>
        <v/>
      </c>
      <c r="E337" s="186"/>
      <c r="F337" s="146" t="str">
        <f t="shared" si="35"/>
        <v/>
      </c>
      <c r="G337" s="185"/>
      <c r="H337" s="185"/>
      <c r="I337" s="185"/>
      <c r="J337" s="201"/>
      <c r="K337" s="200"/>
      <c r="L337" s="200"/>
      <c r="M337" s="201"/>
      <c r="N337" s="201"/>
      <c r="P337" s="141" t="str">
        <f t="shared" si="36"/>
        <v/>
      </c>
      <c r="Q337" s="141" t="str">
        <f t="shared" si="37"/>
        <v/>
      </c>
      <c r="AA337" s="141" t="s">
        <v>1903</v>
      </c>
      <c r="AB337" s="141" t="s">
        <v>1904</v>
      </c>
    </row>
    <row r="338" spans="1:28">
      <c r="A338" s="151"/>
      <c r="B338" s="146" t="str">
        <f t="shared" si="33"/>
        <v/>
      </c>
      <c r="C338" s="151"/>
      <c r="D338" s="146" t="str">
        <f t="shared" si="34"/>
        <v/>
      </c>
      <c r="E338" s="186"/>
      <c r="F338" s="146" t="str">
        <f t="shared" si="35"/>
        <v/>
      </c>
      <c r="G338" s="185"/>
      <c r="H338" s="185"/>
      <c r="I338" s="185"/>
      <c r="J338" s="201"/>
      <c r="K338" s="200"/>
      <c r="L338" s="200"/>
      <c r="M338" s="201"/>
      <c r="N338" s="201"/>
      <c r="P338" s="141" t="str">
        <f t="shared" si="36"/>
        <v/>
      </c>
      <c r="Q338" s="141" t="str">
        <f t="shared" si="37"/>
        <v/>
      </c>
      <c r="AA338" s="141" t="s">
        <v>1905</v>
      </c>
    </row>
    <row r="339" spans="1:28">
      <c r="A339" s="151"/>
      <c r="B339" s="146" t="str">
        <f t="shared" si="33"/>
        <v/>
      </c>
      <c r="C339" s="151"/>
      <c r="D339" s="146" t="str">
        <f t="shared" si="34"/>
        <v/>
      </c>
      <c r="E339" s="186"/>
      <c r="F339" s="146" t="str">
        <f t="shared" si="35"/>
        <v/>
      </c>
      <c r="G339" s="185"/>
      <c r="H339" s="185"/>
      <c r="I339" s="185"/>
      <c r="J339" s="201"/>
      <c r="K339" s="200"/>
      <c r="L339" s="200"/>
      <c r="M339" s="201"/>
      <c r="N339" s="201"/>
      <c r="P339" s="141" t="str">
        <f t="shared" si="36"/>
        <v/>
      </c>
      <c r="Q339" s="141" t="str">
        <f t="shared" si="37"/>
        <v/>
      </c>
      <c r="AA339" s="141" t="s">
        <v>1906</v>
      </c>
      <c r="AB339" s="141" t="s">
        <v>1907</v>
      </c>
    </row>
    <row r="340" spans="1:28">
      <c r="A340" s="151"/>
      <c r="B340" s="146" t="str">
        <f t="shared" si="33"/>
        <v/>
      </c>
      <c r="C340" s="151"/>
      <c r="D340" s="146" t="str">
        <f t="shared" si="34"/>
        <v/>
      </c>
      <c r="E340" s="186"/>
      <c r="F340" s="146" t="str">
        <f t="shared" si="35"/>
        <v/>
      </c>
      <c r="G340" s="185"/>
      <c r="H340" s="185"/>
      <c r="I340" s="185"/>
      <c r="J340" s="201"/>
      <c r="K340" s="200"/>
      <c r="L340" s="200"/>
      <c r="M340" s="201"/>
      <c r="N340" s="201"/>
      <c r="P340" s="141" t="str">
        <f t="shared" si="36"/>
        <v/>
      </c>
      <c r="Q340" s="141" t="str">
        <f t="shared" si="37"/>
        <v/>
      </c>
      <c r="AA340" s="141" t="s">
        <v>1908</v>
      </c>
      <c r="AB340" s="141" t="s">
        <v>1909</v>
      </c>
    </row>
    <row r="341" spans="1:28">
      <c r="A341" s="151"/>
      <c r="B341" s="146" t="str">
        <f t="shared" si="33"/>
        <v/>
      </c>
      <c r="C341" s="151"/>
      <c r="D341" s="146" t="str">
        <f t="shared" si="34"/>
        <v/>
      </c>
      <c r="E341" s="186"/>
      <c r="F341" s="146" t="str">
        <f t="shared" si="35"/>
        <v/>
      </c>
      <c r="G341" s="185"/>
      <c r="H341" s="185"/>
      <c r="I341" s="185"/>
      <c r="J341" s="201"/>
      <c r="K341" s="200"/>
      <c r="L341" s="200"/>
      <c r="M341" s="201"/>
      <c r="N341" s="201"/>
      <c r="P341" s="141" t="str">
        <f t="shared" si="36"/>
        <v/>
      </c>
      <c r="Q341" s="141" t="str">
        <f t="shared" si="37"/>
        <v/>
      </c>
      <c r="AA341" s="141" t="s">
        <v>1910</v>
      </c>
      <c r="AB341" s="141" t="s">
        <v>1911</v>
      </c>
    </row>
    <row r="342" spans="1:28">
      <c r="A342" s="151"/>
      <c r="B342" s="146" t="str">
        <f t="shared" si="33"/>
        <v/>
      </c>
      <c r="C342" s="151"/>
      <c r="D342" s="146" t="str">
        <f t="shared" si="34"/>
        <v/>
      </c>
      <c r="E342" s="186"/>
      <c r="F342" s="146" t="str">
        <f t="shared" si="35"/>
        <v/>
      </c>
      <c r="G342" s="185"/>
      <c r="H342" s="185"/>
      <c r="I342" s="185"/>
      <c r="J342" s="201"/>
      <c r="K342" s="200"/>
      <c r="L342" s="200"/>
      <c r="M342" s="201"/>
      <c r="N342" s="201"/>
      <c r="P342" s="141" t="str">
        <f t="shared" si="36"/>
        <v/>
      </c>
      <c r="Q342" s="141" t="str">
        <f t="shared" si="37"/>
        <v/>
      </c>
      <c r="AA342" s="141" t="s">
        <v>1912</v>
      </c>
      <c r="AB342" s="141" t="s">
        <v>1913</v>
      </c>
    </row>
    <row r="343" spans="1:28">
      <c r="A343" s="151"/>
      <c r="B343" s="146" t="str">
        <f t="shared" si="33"/>
        <v/>
      </c>
      <c r="C343" s="151"/>
      <c r="D343" s="146" t="str">
        <f t="shared" si="34"/>
        <v/>
      </c>
      <c r="E343" s="186"/>
      <c r="F343" s="146" t="str">
        <f t="shared" si="35"/>
        <v/>
      </c>
      <c r="G343" s="185"/>
      <c r="H343" s="185"/>
      <c r="I343" s="185"/>
      <c r="J343" s="201"/>
      <c r="K343" s="200"/>
      <c r="L343" s="200"/>
      <c r="M343" s="201"/>
      <c r="N343" s="201"/>
      <c r="P343" s="141" t="str">
        <f t="shared" si="36"/>
        <v/>
      </c>
      <c r="Q343" s="141" t="str">
        <f t="shared" si="37"/>
        <v/>
      </c>
      <c r="AA343" s="141" t="s">
        <v>1914</v>
      </c>
      <c r="AB343" s="141" t="s">
        <v>1915</v>
      </c>
    </row>
    <row r="344" spans="1:28">
      <c r="A344" s="151"/>
      <c r="B344" s="146" t="str">
        <f t="shared" si="33"/>
        <v/>
      </c>
      <c r="C344" s="151"/>
      <c r="D344" s="146" t="str">
        <f t="shared" si="34"/>
        <v/>
      </c>
      <c r="E344" s="186"/>
      <c r="F344" s="146" t="str">
        <f t="shared" si="35"/>
        <v/>
      </c>
      <c r="G344" s="185"/>
      <c r="H344" s="185"/>
      <c r="I344" s="185"/>
      <c r="J344" s="201"/>
      <c r="K344" s="200"/>
      <c r="L344" s="200"/>
      <c r="M344" s="201"/>
      <c r="N344" s="201"/>
      <c r="P344" s="141" t="str">
        <f t="shared" si="36"/>
        <v/>
      </c>
      <c r="Q344" s="141" t="str">
        <f t="shared" si="37"/>
        <v/>
      </c>
      <c r="AA344" s="141" t="s">
        <v>1916</v>
      </c>
      <c r="AB344" s="141" t="s">
        <v>1917</v>
      </c>
    </row>
    <row r="345" spans="1:28">
      <c r="A345" s="151"/>
      <c r="B345" s="146" t="str">
        <f t="shared" si="33"/>
        <v/>
      </c>
      <c r="C345" s="151"/>
      <c r="D345" s="146" t="str">
        <f t="shared" si="34"/>
        <v/>
      </c>
      <c r="E345" s="186"/>
      <c r="F345" s="146" t="str">
        <f t="shared" si="35"/>
        <v/>
      </c>
      <c r="G345" s="185"/>
      <c r="H345" s="185"/>
      <c r="I345" s="185"/>
      <c r="J345" s="201"/>
      <c r="K345" s="200"/>
      <c r="L345" s="200"/>
      <c r="M345" s="201"/>
      <c r="N345" s="201"/>
      <c r="P345" s="141" t="str">
        <f t="shared" si="36"/>
        <v/>
      </c>
      <c r="Q345" s="141" t="str">
        <f t="shared" si="37"/>
        <v/>
      </c>
      <c r="AA345" s="141" t="s">
        <v>1918</v>
      </c>
      <c r="AB345" s="141" t="s">
        <v>1919</v>
      </c>
    </row>
    <row r="346" spans="1:28">
      <c r="A346" s="151"/>
      <c r="B346" s="146" t="str">
        <f t="shared" si="33"/>
        <v/>
      </c>
      <c r="C346" s="151"/>
      <c r="D346" s="146" t="str">
        <f t="shared" si="34"/>
        <v/>
      </c>
      <c r="E346" s="186"/>
      <c r="F346" s="146" t="str">
        <f t="shared" si="35"/>
        <v/>
      </c>
      <c r="G346" s="185"/>
      <c r="H346" s="185"/>
      <c r="I346" s="185"/>
      <c r="J346" s="201"/>
      <c r="K346" s="200"/>
      <c r="L346" s="200"/>
      <c r="M346" s="201"/>
      <c r="N346" s="201"/>
      <c r="P346" s="141" t="str">
        <f t="shared" si="36"/>
        <v/>
      </c>
      <c r="Q346" s="141" t="str">
        <f t="shared" si="37"/>
        <v/>
      </c>
      <c r="AA346" s="141" t="s">
        <v>1920</v>
      </c>
      <c r="AB346" s="141" t="s">
        <v>1921</v>
      </c>
    </row>
    <row r="347" spans="1:28">
      <c r="A347" s="151"/>
      <c r="B347" s="146" t="str">
        <f t="shared" si="33"/>
        <v/>
      </c>
      <c r="C347" s="151"/>
      <c r="D347" s="146" t="str">
        <f t="shared" si="34"/>
        <v/>
      </c>
      <c r="E347" s="186"/>
      <c r="F347" s="146" t="str">
        <f t="shared" si="35"/>
        <v/>
      </c>
      <c r="G347" s="185"/>
      <c r="H347" s="185"/>
      <c r="I347" s="185"/>
      <c r="J347" s="201"/>
      <c r="K347" s="200"/>
      <c r="L347" s="200"/>
      <c r="M347" s="201"/>
      <c r="N347" s="201"/>
      <c r="P347" s="141" t="str">
        <f t="shared" si="36"/>
        <v/>
      </c>
      <c r="Q347" s="141" t="str">
        <f t="shared" si="37"/>
        <v/>
      </c>
      <c r="AA347" s="141" t="s">
        <v>1922</v>
      </c>
      <c r="AB347" s="141" t="s">
        <v>1923</v>
      </c>
    </row>
    <row r="348" spans="1:28">
      <c r="A348" s="151"/>
      <c r="B348" s="146" t="str">
        <f t="shared" si="33"/>
        <v/>
      </c>
      <c r="C348" s="151"/>
      <c r="D348" s="146" t="str">
        <f t="shared" si="34"/>
        <v/>
      </c>
      <c r="E348" s="186"/>
      <c r="F348" s="146" t="str">
        <f t="shared" si="35"/>
        <v/>
      </c>
      <c r="G348" s="185"/>
      <c r="H348" s="185"/>
      <c r="I348" s="185"/>
      <c r="J348" s="201"/>
      <c r="K348" s="200"/>
      <c r="L348" s="200"/>
      <c r="M348" s="201"/>
      <c r="N348" s="201"/>
      <c r="P348" s="141" t="str">
        <f t="shared" si="36"/>
        <v/>
      </c>
      <c r="Q348" s="141" t="str">
        <f t="shared" si="37"/>
        <v/>
      </c>
      <c r="AA348" s="141" t="s">
        <v>1924</v>
      </c>
      <c r="AB348" s="141" t="s">
        <v>1925</v>
      </c>
    </row>
    <row r="349" spans="1:28">
      <c r="A349" s="151"/>
      <c r="B349" s="146" t="str">
        <f t="shared" si="33"/>
        <v/>
      </c>
      <c r="C349" s="151"/>
      <c r="D349" s="146" t="str">
        <f t="shared" si="34"/>
        <v/>
      </c>
      <c r="E349" s="186"/>
      <c r="F349" s="146" t="str">
        <f t="shared" si="35"/>
        <v/>
      </c>
      <c r="G349" s="185"/>
      <c r="H349" s="185"/>
      <c r="I349" s="185"/>
      <c r="J349" s="201"/>
      <c r="K349" s="200"/>
      <c r="L349" s="200"/>
      <c r="M349" s="201"/>
      <c r="N349" s="201"/>
      <c r="P349" s="141" t="str">
        <f t="shared" si="36"/>
        <v/>
      </c>
      <c r="Q349" s="141" t="str">
        <f t="shared" si="37"/>
        <v/>
      </c>
      <c r="AA349" s="141" t="s">
        <v>1926</v>
      </c>
      <c r="AB349" s="141" t="s">
        <v>1927</v>
      </c>
    </row>
    <row r="350" spans="1:28">
      <c r="A350" s="151"/>
      <c r="B350" s="146" t="str">
        <f t="shared" si="33"/>
        <v/>
      </c>
      <c r="C350" s="151"/>
      <c r="D350" s="146" t="str">
        <f t="shared" si="34"/>
        <v/>
      </c>
      <c r="E350" s="186"/>
      <c r="F350" s="146" t="str">
        <f t="shared" si="35"/>
        <v/>
      </c>
      <c r="G350" s="185"/>
      <c r="H350" s="185"/>
      <c r="I350" s="185"/>
      <c r="J350" s="201"/>
      <c r="K350" s="200"/>
      <c r="L350" s="200"/>
      <c r="M350" s="201"/>
      <c r="N350" s="201"/>
      <c r="P350" s="141" t="str">
        <f t="shared" si="36"/>
        <v/>
      </c>
      <c r="Q350" s="141" t="str">
        <f t="shared" si="37"/>
        <v/>
      </c>
      <c r="AA350" s="141" t="s">
        <v>1928</v>
      </c>
      <c r="AB350" s="141" t="s">
        <v>1929</v>
      </c>
    </row>
    <row r="351" spans="1:28">
      <c r="A351" s="151"/>
      <c r="B351" s="146" t="str">
        <f t="shared" si="33"/>
        <v/>
      </c>
      <c r="C351" s="151"/>
      <c r="D351" s="146" t="str">
        <f t="shared" si="34"/>
        <v/>
      </c>
      <c r="E351" s="186"/>
      <c r="F351" s="146" t="str">
        <f t="shared" si="35"/>
        <v/>
      </c>
      <c r="G351" s="185"/>
      <c r="H351" s="185"/>
      <c r="I351" s="185"/>
      <c r="J351" s="201"/>
      <c r="K351" s="200"/>
      <c r="L351" s="200"/>
      <c r="M351" s="201"/>
      <c r="N351" s="201"/>
      <c r="P351" s="141" t="str">
        <f t="shared" si="36"/>
        <v/>
      </c>
      <c r="Q351" s="141" t="str">
        <f t="shared" si="37"/>
        <v/>
      </c>
      <c r="AA351" s="141" t="s">
        <v>1930</v>
      </c>
      <c r="AB351" s="141" t="s">
        <v>1931</v>
      </c>
    </row>
    <row r="352" spans="1:28">
      <c r="A352" s="151"/>
      <c r="B352" s="146" t="str">
        <f t="shared" si="33"/>
        <v/>
      </c>
      <c r="C352" s="151"/>
      <c r="D352" s="146" t="str">
        <f t="shared" si="34"/>
        <v/>
      </c>
      <c r="E352" s="186"/>
      <c r="F352" s="146" t="str">
        <f t="shared" si="35"/>
        <v/>
      </c>
      <c r="G352" s="185"/>
      <c r="H352" s="185"/>
      <c r="I352" s="185"/>
      <c r="J352" s="201"/>
      <c r="K352" s="200"/>
      <c r="L352" s="200"/>
      <c r="M352" s="201"/>
      <c r="N352" s="201"/>
      <c r="P352" s="141" t="str">
        <f t="shared" si="36"/>
        <v/>
      </c>
      <c r="Q352" s="141" t="str">
        <f t="shared" si="37"/>
        <v/>
      </c>
      <c r="AA352" s="141" t="s">
        <v>1932</v>
      </c>
      <c r="AB352" s="141" t="s">
        <v>1933</v>
      </c>
    </row>
    <row r="353" spans="1:28">
      <c r="A353" s="151"/>
      <c r="B353" s="146" t="str">
        <f t="shared" si="33"/>
        <v/>
      </c>
      <c r="C353" s="151"/>
      <c r="D353" s="146" t="str">
        <f t="shared" si="34"/>
        <v/>
      </c>
      <c r="E353" s="186"/>
      <c r="F353" s="146" t="str">
        <f t="shared" si="35"/>
        <v/>
      </c>
      <c r="G353" s="185"/>
      <c r="H353" s="185"/>
      <c r="I353" s="185"/>
      <c r="J353" s="201"/>
      <c r="K353" s="200"/>
      <c r="L353" s="200"/>
      <c r="M353" s="201"/>
      <c r="N353" s="201"/>
      <c r="P353" s="141" t="str">
        <f t="shared" si="36"/>
        <v/>
      </c>
      <c r="Q353" s="141" t="str">
        <f t="shared" si="37"/>
        <v/>
      </c>
      <c r="AA353" s="141" t="s">
        <v>1934</v>
      </c>
      <c r="AB353" s="141" t="s">
        <v>1935</v>
      </c>
    </row>
    <row r="354" spans="1:28">
      <c r="A354" s="151"/>
      <c r="B354" s="146" t="str">
        <f t="shared" si="33"/>
        <v/>
      </c>
      <c r="C354" s="151"/>
      <c r="D354" s="146" t="str">
        <f t="shared" si="34"/>
        <v/>
      </c>
      <c r="E354" s="186"/>
      <c r="F354" s="146" t="str">
        <f t="shared" si="35"/>
        <v/>
      </c>
      <c r="G354" s="185"/>
      <c r="H354" s="185"/>
      <c r="I354" s="185"/>
      <c r="J354" s="201"/>
      <c r="K354" s="200"/>
      <c r="L354" s="200"/>
      <c r="M354" s="201"/>
      <c r="N354" s="201"/>
      <c r="P354" s="141" t="str">
        <f t="shared" si="36"/>
        <v/>
      </c>
      <c r="Q354" s="141" t="str">
        <f t="shared" si="37"/>
        <v/>
      </c>
      <c r="AA354" s="141" t="s">
        <v>1936</v>
      </c>
      <c r="AB354" s="141" t="s">
        <v>1937</v>
      </c>
    </row>
    <row r="355" spans="1:28">
      <c r="A355" s="151"/>
      <c r="B355" s="146" t="str">
        <f t="shared" si="33"/>
        <v/>
      </c>
      <c r="C355" s="151"/>
      <c r="D355" s="146" t="str">
        <f t="shared" si="34"/>
        <v/>
      </c>
      <c r="E355" s="186"/>
      <c r="F355" s="146" t="str">
        <f t="shared" si="35"/>
        <v/>
      </c>
      <c r="G355" s="185"/>
      <c r="H355" s="185"/>
      <c r="I355" s="185"/>
      <c r="J355" s="201"/>
      <c r="K355" s="200"/>
      <c r="L355" s="200"/>
      <c r="M355" s="201"/>
      <c r="N355" s="201"/>
      <c r="P355" s="141" t="str">
        <f t="shared" si="36"/>
        <v/>
      </c>
      <c r="Q355" s="141" t="str">
        <f t="shared" si="37"/>
        <v/>
      </c>
      <c r="AA355" s="141" t="s">
        <v>1938</v>
      </c>
      <c r="AB355" s="141" t="s">
        <v>1939</v>
      </c>
    </row>
    <row r="356" spans="1:28">
      <c r="A356" s="151"/>
      <c r="B356" s="146" t="str">
        <f t="shared" si="33"/>
        <v/>
      </c>
      <c r="C356" s="151"/>
      <c r="D356" s="146" t="str">
        <f t="shared" si="34"/>
        <v/>
      </c>
      <c r="E356" s="186"/>
      <c r="F356" s="146" t="str">
        <f t="shared" si="35"/>
        <v/>
      </c>
      <c r="G356" s="185"/>
      <c r="H356" s="185"/>
      <c r="I356" s="185"/>
      <c r="J356" s="201"/>
      <c r="K356" s="200"/>
      <c r="L356" s="200"/>
      <c r="M356" s="201"/>
      <c r="N356" s="201"/>
      <c r="P356" s="141" t="str">
        <f t="shared" si="36"/>
        <v/>
      </c>
      <c r="Q356" s="141" t="str">
        <f t="shared" si="37"/>
        <v/>
      </c>
      <c r="AA356" s="141" t="s">
        <v>1940</v>
      </c>
      <c r="AB356" s="141" t="s">
        <v>1941</v>
      </c>
    </row>
    <row r="357" spans="1:28">
      <c r="A357" s="151"/>
      <c r="B357" s="146" t="str">
        <f t="shared" si="33"/>
        <v/>
      </c>
      <c r="C357" s="151"/>
      <c r="D357" s="146" t="str">
        <f t="shared" si="34"/>
        <v/>
      </c>
      <c r="E357" s="186"/>
      <c r="F357" s="146" t="str">
        <f t="shared" si="35"/>
        <v/>
      </c>
      <c r="G357" s="185"/>
      <c r="H357" s="185"/>
      <c r="I357" s="185"/>
      <c r="J357" s="201"/>
      <c r="K357" s="200"/>
      <c r="L357" s="200"/>
      <c r="M357" s="201"/>
      <c r="N357" s="201"/>
      <c r="P357" s="141" t="str">
        <f t="shared" si="36"/>
        <v/>
      </c>
      <c r="Q357" s="141" t="str">
        <f t="shared" si="37"/>
        <v/>
      </c>
      <c r="AA357" s="141" t="s">
        <v>1942</v>
      </c>
      <c r="AB357" s="141" t="s">
        <v>1943</v>
      </c>
    </row>
    <row r="358" spans="1:28">
      <c r="A358" s="151"/>
      <c r="B358" s="146" t="str">
        <f t="shared" si="33"/>
        <v/>
      </c>
      <c r="C358" s="151"/>
      <c r="D358" s="146" t="str">
        <f t="shared" si="34"/>
        <v/>
      </c>
      <c r="E358" s="186"/>
      <c r="F358" s="146" t="str">
        <f t="shared" si="35"/>
        <v/>
      </c>
      <c r="G358" s="185"/>
      <c r="H358" s="185"/>
      <c r="I358" s="185"/>
      <c r="J358" s="201"/>
      <c r="K358" s="200"/>
      <c r="L358" s="200"/>
      <c r="M358" s="201"/>
      <c r="N358" s="201"/>
      <c r="P358" s="141" t="str">
        <f t="shared" si="36"/>
        <v/>
      </c>
      <c r="Q358" s="141" t="str">
        <f t="shared" si="37"/>
        <v/>
      </c>
      <c r="AA358" s="141" t="s">
        <v>1944</v>
      </c>
      <c r="AB358" s="141" t="s">
        <v>1945</v>
      </c>
    </row>
    <row r="359" spans="1:28">
      <c r="A359" s="151"/>
      <c r="B359" s="146" t="str">
        <f t="shared" si="33"/>
        <v/>
      </c>
      <c r="C359" s="151"/>
      <c r="D359" s="146" t="str">
        <f t="shared" si="34"/>
        <v/>
      </c>
      <c r="E359" s="186"/>
      <c r="F359" s="146" t="str">
        <f t="shared" si="35"/>
        <v/>
      </c>
      <c r="G359" s="185"/>
      <c r="H359" s="185"/>
      <c r="I359" s="185"/>
      <c r="J359" s="201"/>
      <c r="K359" s="200"/>
      <c r="L359" s="200"/>
      <c r="M359" s="201"/>
      <c r="N359" s="201"/>
      <c r="P359" s="141" t="str">
        <f t="shared" si="36"/>
        <v/>
      </c>
      <c r="Q359" s="141" t="str">
        <f t="shared" si="37"/>
        <v/>
      </c>
      <c r="AA359" s="141" t="s">
        <v>1946</v>
      </c>
      <c r="AB359" s="141" t="s">
        <v>1947</v>
      </c>
    </row>
    <row r="360" spans="1:28">
      <c r="A360" s="151"/>
      <c r="B360" s="146" t="str">
        <f t="shared" si="33"/>
        <v/>
      </c>
      <c r="C360" s="151"/>
      <c r="D360" s="146" t="str">
        <f t="shared" si="34"/>
        <v/>
      </c>
      <c r="E360" s="186"/>
      <c r="F360" s="146" t="str">
        <f t="shared" si="35"/>
        <v/>
      </c>
      <c r="G360" s="185"/>
      <c r="H360" s="185"/>
      <c r="I360" s="185"/>
      <c r="J360" s="201"/>
      <c r="K360" s="200"/>
      <c r="L360" s="200"/>
      <c r="M360" s="201"/>
      <c r="N360" s="201"/>
      <c r="P360" s="141" t="str">
        <f t="shared" si="36"/>
        <v/>
      </c>
      <c r="Q360" s="141" t="str">
        <f t="shared" si="37"/>
        <v/>
      </c>
      <c r="AA360" s="141" t="s">
        <v>1948</v>
      </c>
      <c r="AB360" s="141" t="s">
        <v>1949</v>
      </c>
    </row>
    <row r="361" spans="1:28">
      <c r="A361" s="151"/>
      <c r="B361" s="146" t="str">
        <f t="shared" si="33"/>
        <v/>
      </c>
      <c r="C361" s="151"/>
      <c r="D361" s="146" t="str">
        <f t="shared" si="34"/>
        <v/>
      </c>
      <c r="E361" s="186"/>
      <c r="F361" s="146" t="str">
        <f t="shared" si="35"/>
        <v/>
      </c>
      <c r="G361" s="185"/>
      <c r="H361" s="185"/>
      <c r="I361" s="185"/>
      <c r="J361" s="201"/>
      <c r="K361" s="200"/>
      <c r="L361" s="200"/>
      <c r="M361" s="201"/>
      <c r="N361" s="201"/>
      <c r="P361" s="141" t="str">
        <f t="shared" si="36"/>
        <v/>
      </c>
      <c r="Q361" s="141" t="str">
        <f t="shared" si="37"/>
        <v/>
      </c>
      <c r="AA361" s="141" t="s">
        <v>1950</v>
      </c>
      <c r="AB361" s="141" t="s">
        <v>1951</v>
      </c>
    </row>
    <row r="362" spans="1:28">
      <c r="A362" s="151"/>
      <c r="B362" s="146" t="str">
        <f t="shared" si="33"/>
        <v/>
      </c>
      <c r="C362" s="151"/>
      <c r="D362" s="146" t="str">
        <f t="shared" si="34"/>
        <v/>
      </c>
      <c r="E362" s="186"/>
      <c r="F362" s="146" t="str">
        <f t="shared" si="35"/>
        <v/>
      </c>
      <c r="G362" s="185"/>
      <c r="H362" s="185"/>
      <c r="I362" s="185"/>
      <c r="J362" s="201"/>
      <c r="K362" s="200"/>
      <c r="L362" s="200"/>
      <c r="M362" s="201"/>
      <c r="N362" s="201"/>
      <c r="P362" s="141" t="str">
        <f t="shared" si="36"/>
        <v/>
      </c>
      <c r="Q362" s="141" t="str">
        <f t="shared" si="37"/>
        <v/>
      </c>
      <c r="AA362" s="141" t="s">
        <v>1952</v>
      </c>
      <c r="AB362" s="141" t="s">
        <v>1953</v>
      </c>
    </row>
    <row r="363" spans="1:28">
      <c r="A363" s="151"/>
      <c r="B363" s="146" t="str">
        <f t="shared" si="33"/>
        <v/>
      </c>
      <c r="C363" s="151"/>
      <c r="D363" s="146" t="str">
        <f t="shared" si="34"/>
        <v/>
      </c>
      <c r="E363" s="186"/>
      <c r="F363" s="146" t="str">
        <f t="shared" si="35"/>
        <v/>
      </c>
      <c r="G363" s="185"/>
      <c r="H363" s="185"/>
      <c r="I363" s="185"/>
      <c r="J363" s="201"/>
      <c r="K363" s="200"/>
      <c r="L363" s="200"/>
      <c r="M363" s="201"/>
      <c r="N363" s="201"/>
      <c r="P363" s="141" t="str">
        <f t="shared" si="36"/>
        <v/>
      </c>
      <c r="Q363" s="141" t="str">
        <f t="shared" si="37"/>
        <v/>
      </c>
      <c r="AA363" s="141" t="s">
        <v>1954</v>
      </c>
      <c r="AB363" s="141" t="s">
        <v>1955</v>
      </c>
    </row>
    <row r="364" spans="1:28">
      <c r="A364" s="151"/>
      <c r="B364" s="146" t="str">
        <f t="shared" si="33"/>
        <v/>
      </c>
      <c r="C364" s="151"/>
      <c r="D364" s="146" t="str">
        <f t="shared" si="34"/>
        <v/>
      </c>
      <c r="E364" s="186"/>
      <c r="F364" s="146" t="str">
        <f t="shared" si="35"/>
        <v/>
      </c>
      <c r="G364" s="185"/>
      <c r="H364" s="185"/>
      <c r="I364" s="185"/>
      <c r="J364" s="201"/>
      <c r="K364" s="200"/>
      <c r="L364" s="200"/>
      <c r="M364" s="201"/>
      <c r="N364" s="201"/>
      <c r="P364" s="141" t="str">
        <f t="shared" si="36"/>
        <v/>
      </c>
      <c r="Q364" s="141" t="str">
        <f t="shared" si="37"/>
        <v/>
      </c>
      <c r="AA364" s="141" t="s">
        <v>1956</v>
      </c>
      <c r="AB364" s="141" t="s">
        <v>1957</v>
      </c>
    </row>
    <row r="365" spans="1:28">
      <c r="A365" s="151"/>
      <c r="B365" s="146" t="str">
        <f t="shared" si="33"/>
        <v/>
      </c>
      <c r="C365" s="151"/>
      <c r="D365" s="146" t="str">
        <f t="shared" si="34"/>
        <v/>
      </c>
      <c r="E365" s="186"/>
      <c r="F365" s="146" t="str">
        <f t="shared" si="35"/>
        <v/>
      </c>
      <c r="G365" s="185"/>
      <c r="H365" s="185"/>
      <c r="I365" s="185"/>
      <c r="J365" s="201"/>
      <c r="K365" s="200"/>
      <c r="L365" s="200"/>
      <c r="M365" s="201"/>
      <c r="N365" s="201"/>
      <c r="P365" s="141" t="str">
        <f t="shared" si="36"/>
        <v/>
      </c>
      <c r="Q365" s="141" t="str">
        <f t="shared" si="37"/>
        <v/>
      </c>
      <c r="AA365" s="141" t="s">
        <v>1958</v>
      </c>
      <c r="AB365" s="141" t="s">
        <v>1959</v>
      </c>
    </row>
    <row r="366" spans="1:28">
      <c r="A366" s="151"/>
      <c r="B366" s="146" t="str">
        <f t="shared" si="33"/>
        <v/>
      </c>
      <c r="C366" s="151"/>
      <c r="D366" s="146" t="str">
        <f t="shared" si="34"/>
        <v/>
      </c>
      <c r="E366" s="186"/>
      <c r="F366" s="146" t="str">
        <f t="shared" si="35"/>
        <v/>
      </c>
      <c r="G366" s="185"/>
      <c r="H366" s="185"/>
      <c r="I366" s="185"/>
      <c r="J366" s="201"/>
      <c r="K366" s="200"/>
      <c r="L366" s="200"/>
      <c r="M366" s="201"/>
      <c r="N366" s="201"/>
      <c r="P366" s="141" t="str">
        <f t="shared" si="36"/>
        <v/>
      </c>
      <c r="Q366" s="141" t="str">
        <f t="shared" si="37"/>
        <v/>
      </c>
      <c r="AA366" s="141" t="s">
        <v>1960</v>
      </c>
      <c r="AB366" s="141" t="s">
        <v>1961</v>
      </c>
    </row>
    <row r="367" spans="1:28">
      <c r="A367" s="151"/>
      <c r="B367" s="146" t="str">
        <f t="shared" si="33"/>
        <v/>
      </c>
      <c r="C367" s="151"/>
      <c r="D367" s="146" t="str">
        <f t="shared" si="34"/>
        <v/>
      </c>
      <c r="E367" s="186"/>
      <c r="F367" s="146" t="str">
        <f t="shared" si="35"/>
        <v/>
      </c>
      <c r="G367" s="185"/>
      <c r="H367" s="185"/>
      <c r="I367" s="185"/>
      <c r="J367" s="201"/>
      <c r="K367" s="200"/>
      <c r="L367" s="200"/>
      <c r="M367" s="201"/>
      <c r="N367" s="201"/>
      <c r="P367" s="141" t="str">
        <f t="shared" si="36"/>
        <v/>
      </c>
      <c r="Q367" s="141" t="str">
        <f t="shared" si="37"/>
        <v/>
      </c>
      <c r="AA367" s="141" t="s">
        <v>1962</v>
      </c>
      <c r="AB367" s="141" t="s">
        <v>1963</v>
      </c>
    </row>
    <row r="368" spans="1:28">
      <c r="A368" s="151"/>
      <c r="B368" s="146" t="str">
        <f t="shared" si="33"/>
        <v/>
      </c>
      <c r="C368" s="151"/>
      <c r="D368" s="146" t="str">
        <f t="shared" si="34"/>
        <v/>
      </c>
      <c r="E368" s="186"/>
      <c r="F368" s="146" t="str">
        <f t="shared" si="35"/>
        <v/>
      </c>
      <c r="G368" s="185"/>
      <c r="H368" s="185"/>
      <c r="I368" s="185"/>
      <c r="J368" s="201"/>
      <c r="K368" s="200"/>
      <c r="L368" s="200"/>
      <c r="M368" s="201"/>
      <c r="N368" s="201"/>
      <c r="P368" s="141" t="str">
        <f t="shared" si="36"/>
        <v/>
      </c>
      <c r="Q368" s="141" t="str">
        <f t="shared" si="37"/>
        <v/>
      </c>
      <c r="AA368" s="141" t="s">
        <v>1964</v>
      </c>
      <c r="AB368" s="141" t="s">
        <v>1965</v>
      </c>
    </row>
    <row r="369" spans="1:28">
      <c r="A369" s="151"/>
      <c r="B369" s="146" t="str">
        <f t="shared" si="33"/>
        <v/>
      </c>
      <c r="C369" s="151"/>
      <c r="D369" s="146" t="str">
        <f t="shared" si="34"/>
        <v/>
      </c>
      <c r="E369" s="186"/>
      <c r="F369" s="146" t="str">
        <f t="shared" si="35"/>
        <v/>
      </c>
      <c r="G369" s="185"/>
      <c r="H369" s="185"/>
      <c r="I369" s="185"/>
      <c r="J369" s="201"/>
      <c r="K369" s="200"/>
      <c r="L369" s="200"/>
      <c r="M369" s="201"/>
      <c r="N369" s="201"/>
      <c r="P369" s="141" t="str">
        <f t="shared" si="36"/>
        <v/>
      </c>
      <c r="Q369" s="141" t="str">
        <f t="shared" si="37"/>
        <v/>
      </c>
      <c r="AA369" s="141" t="s">
        <v>1100</v>
      </c>
      <c r="AB369" s="141" t="s">
        <v>1101</v>
      </c>
    </row>
    <row r="370" spans="1:28">
      <c r="A370" s="151"/>
      <c r="B370" s="146" t="str">
        <f t="shared" si="33"/>
        <v/>
      </c>
      <c r="C370" s="151"/>
      <c r="D370" s="146" t="str">
        <f t="shared" si="34"/>
        <v/>
      </c>
      <c r="E370" s="186"/>
      <c r="F370" s="146" t="str">
        <f t="shared" si="35"/>
        <v/>
      </c>
      <c r="G370" s="185"/>
      <c r="H370" s="185"/>
      <c r="I370" s="185"/>
      <c r="J370" s="201"/>
      <c r="K370" s="200"/>
      <c r="L370" s="200"/>
      <c r="M370" s="201"/>
      <c r="N370" s="201"/>
      <c r="P370" s="141" t="str">
        <f t="shared" si="36"/>
        <v/>
      </c>
      <c r="Q370" s="141" t="str">
        <f t="shared" si="37"/>
        <v/>
      </c>
      <c r="AA370" s="141" t="s">
        <v>1102</v>
      </c>
      <c r="AB370" s="141" t="s">
        <v>1103</v>
      </c>
    </row>
    <row r="371" spans="1:28">
      <c r="A371" s="151"/>
      <c r="B371" s="146" t="str">
        <f t="shared" si="33"/>
        <v/>
      </c>
      <c r="C371" s="151"/>
      <c r="D371" s="146" t="str">
        <f t="shared" si="34"/>
        <v/>
      </c>
      <c r="E371" s="186"/>
      <c r="F371" s="146" t="str">
        <f t="shared" si="35"/>
        <v/>
      </c>
      <c r="G371" s="185"/>
      <c r="H371" s="185"/>
      <c r="I371" s="185"/>
      <c r="J371" s="201"/>
      <c r="K371" s="200"/>
      <c r="L371" s="200"/>
      <c r="M371" s="201"/>
      <c r="N371" s="201"/>
      <c r="P371" s="141" t="str">
        <f t="shared" si="36"/>
        <v/>
      </c>
      <c r="Q371" s="141" t="str">
        <f t="shared" si="37"/>
        <v/>
      </c>
      <c r="AA371" s="141" t="s">
        <v>1104</v>
      </c>
      <c r="AB371" s="141" t="s">
        <v>1105</v>
      </c>
    </row>
    <row r="372" spans="1:28">
      <c r="A372" s="151"/>
      <c r="B372" s="146" t="str">
        <f t="shared" si="33"/>
        <v/>
      </c>
      <c r="C372" s="151"/>
      <c r="D372" s="146" t="str">
        <f t="shared" si="34"/>
        <v/>
      </c>
      <c r="E372" s="186"/>
      <c r="F372" s="146" t="str">
        <f t="shared" si="35"/>
        <v/>
      </c>
      <c r="G372" s="185"/>
      <c r="H372" s="185"/>
      <c r="I372" s="185"/>
      <c r="J372" s="201"/>
      <c r="K372" s="200"/>
      <c r="L372" s="200"/>
      <c r="M372" s="201"/>
      <c r="N372" s="201"/>
      <c r="P372" s="141" t="str">
        <f t="shared" si="36"/>
        <v/>
      </c>
      <c r="Q372" s="141" t="str">
        <f t="shared" si="37"/>
        <v/>
      </c>
      <c r="AA372" s="141" t="s">
        <v>1106</v>
      </c>
      <c r="AB372" s="141" t="s">
        <v>1107</v>
      </c>
    </row>
    <row r="373" spans="1:28">
      <c r="A373" s="151"/>
      <c r="B373" s="146" t="str">
        <f t="shared" si="33"/>
        <v/>
      </c>
      <c r="C373" s="151"/>
      <c r="D373" s="146" t="str">
        <f t="shared" si="34"/>
        <v/>
      </c>
      <c r="E373" s="186"/>
      <c r="F373" s="146" t="str">
        <f t="shared" si="35"/>
        <v/>
      </c>
      <c r="G373" s="185"/>
      <c r="H373" s="185"/>
      <c r="I373" s="185"/>
      <c r="J373" s="201"/>
      <c r="K373" s="200"/>
      <c r="L373" s="200"/>
      <c r="M373" s="201"/>
      <c r="N373" s="201"/>
      <c r="P373" s="141" t="str">
        <f t="shared" si="36"/>
        <v/>
      </c>
      <c r="Q373" s="141" t="str">
        <f t="shared" si="37"/>
        <v/>
      </c>
      <c r="AA373" s="141" t="s">
        <v>1966</v>
      </c>
      <c r="AB373" s="141" t="s">
        <v>1967</v>
      </c>
    </row>
    <row r="374" spans="1:28">
      <c r="A374" s="151"/>
      <c r="B374" s="146" t="str">
        <f t="shared" si="33"/>
        <v/>
      </c>
      <c r="C374" s="151"/>
      <c r="D374" s="146" t="str">
        <f t="shared" si="34"/>
        <v/>
      </c>
      <c r="E374" s="186"/>
      <c r="F374" s="146" t="str">
        <f t="shared" si="35"/>
        <v/>
      </c>
      <c r="G374" s="185"/>
      <c r="H374" s="185"/>
      <c r="I374" s="185"/>
      <c r="J374" s="201"/>
      <c r="K374" s="200"/>
      <c r="L374" s="200"/>
      <c r="M374" s="201"/>
      <c r="N374" s="201"/>
      <c r="P374" s="141" t="str">
        <f t="shared" si="36"/>
        <v/>
      </c>
      <c r="Q374" s="141" t="str">
        <f t="shared" si="37"/>
        <v/>
      </c>
      <c r="AA374" s="141" t="s">
        <v>1968</v>
      </c>
      <c r="AB374" s="141" t="s">
        <v>1969</v>
      </c>
    </row>
    <row r="375" spans="1:28">
      <c r="A375" s="151"/>
      <c r="B375" s="146" t="str">
        <f t="shared" si="33"/>
        <v/>
      </c>
      <c r="C375" s="151"/>
      <c r="D375" s="146" t="str">
        <f t="shared" si="34"/>
        <v/>
      </c>
      <c r="E375" s="186"/>
      <c r="F375" s="146" t="str">
        <f t="shared" si="35"/>
        <v/>
      </c>
      <c r="G375" s="185"/>
      <c r="H375" s="185"/>
      <c r="I375" s="185"/>
      <c r="J375" s="201"/>
      <c r="K375" s="200"/>
      <c r="L375" s="200"/>
      <c r="M375" s="201"/>
      <c r="N375" s="201"/>
      <c r="P375" s="141" t="str">
        <f t="shared" si="36"/>
        <v/>
      </c>
      <c r="Q375" s="141" t="str">
        <f t="shared" si="37"/>
        <v/>
      </c>
      <c r="AA375" s="141" t="s">
        <v>1108</v>
      </c>
      <c r="AB375" s="141" t="s">
        <v>347</v>
      </c>
    </row>
    <row r="376" spans="1:28">
      <c r="A376" s="151"/>
      <c r="B376" s="146" t="str">
        <f t="shared" si="33"/>
        <v/>
      </c>
      <c r="C376" s="151"/>
      <c r="D376" s="146" t="str">
        <f t="shared" si="34"/>
        <v/>
      </c>
      <c r="E376" s="186"/>
      <c r="F376" s="146" t="str">
        <f t="shared" si="35"/>
        <v/>
      </c>
      <c r="G376" s="185"/>
      <c r="H376" s="185"/>
      <c r="I376" s="185"/>
      <c r="J376" s="201"/>
      <c r="K376" s="200"/>
      <c r="L376" s="200"/>
      <c r="M376" s="201"/>
      <c r="N376" s="201"/>
      <c r="P376" s="141" t="str">
        <f t="shared" si="36"/>
        <v/>
      </c>
      <c r="Q376" s="141" t="str">
        <f t="shared" si="37"/>
        <v/>
      </c>
      <c r="AA376" s="141" t="s">
        <v>1109</v>
      </c>
      <c r="AB376" s="141" t="s">
        <v>348</v>
      </c>
    </row>
    <row r="377" spans="1:28">
      <c r="A377" s="151"/>
      <c r="B377" s="146" t="str">
        <f t="shared" si="33"/>
        <v/>
      </c>
      <c r="C377" s="151"/>
      <c r="D377" s="146" t="str">
        <f t="shared" si="34"/>
        <v/>
      </c>
      <c r="E377" s="186"/>
      <c r="F377" s="146" t="str">
        <f t="shared" si="35"/>
        <v/>
      </c>
      <c r="G377" s="185"/>
      <c r="H377" s="185"/>
      <c r="I377" s="185"/>
      <c r="J377" s="201"/>
      <c r="K377" s="200"/>
      <c r="L377" s="200"/>
      <c r="M377" s="201"/>
      <c r="N377" s="201"/>
      <c r="P377" s="141" t="str">
        <f t="shared" si="36"/>
        <v/>
      </c>
      <c r="Q377" s="141" t="str">
        <f t="shared" si="37"/>
        <v/>
      </c>
      <c r="AA377" s="141" t="s">
        <v>1110</v>
      </c>
      <c r="AB377" s="141" t="s">
        <v>1111</v>
      </c>
    </row>
    <row r="378" spans="1:28">
      <c r="A378" s="151"/>
      <c r="B378" s="146" t="str">
        <f t="shared" si="33"/>
        <v/>
      </c>
      <c r="C378" s="151"/>
      <c r="D378" s="146" t="str">
        <f t="shared" si="34"/>
        <v/>
      </c>
      <c r="E378" s="186"/>
      <c r="F378" s="146" t="str">
        <f t="shared" si="35"/>
        <v/>
      </c>
      <c r="G378" s="185"/>
      <c r="H378" s="185"/>
      <c r="I378" s="185"/>
      <c r="J378" s="201"/>
      <c r="K378" s="200"/>
      <c r="L378" s="200"/>
      <c r="M378" s="201"/>
      <c r="N378" s="201"/>
      <c r="P378" s="141" t="str">
        <f t="shared" si="36"/>
        <v/>
      </c>
      <c r="Q378" s="141" t="str">
        <f t="shared" si="37"/>
        <v/>
      </c>
      <c r="AA378" s="141" t="s">
        <v>1112</v>
      </c>
      <c r="AB378" s="141" t="s">
        <v>1113</v>
      </c>
    </row>
    <row r="379" spans="1:28">
      <c r="A379" s="151"/>
      <c r="B379" s="146" t="str">
        <f t="shared" si="33"/>
        <v/>
      </c>
      <c r="C379" s="151"/>
      <c r="D379" s="146" t="str">
        <f t="shared" si="34"/>
        <v/>
      </c>
      <c r="E379" s="186"/>
      <c r="F379" s="146" t="str">
        <f t="shared" si="35"/>
        <v/>
      </c>
      <c r="G379" s="185"/>
      <c r="H379" s="185"/>
      <c r="I379" s="185"/>
      <c r="J379" s="201"/>
      <c r="K379" s="200"/>
      <c r="L379" s="200"/>
      <c r="M379" s="201"/>
      <c r="N379" s="201"/>
      <c r="P379" s="141" t="str">
        <f t="shared" si="36"/>
        <v/>
      </c>
      <c r="Q379" s="141" t="str">
        <f t="shared" si="37"/>
        <v/>
      </c>
      <c r="AA379" s="141" t="s">
        <v>1970</v>
      </c>
      <c r="AB379" s="141" t="s">
        <v>1495</v>
      </c>
    </row>
    <row r="380" spans="1:28">
      <c r="A380" s="151"/>
      <c r="B380" s="146" t="str">
        <f t="shared" si="33"/>
        <v/>
      </c>
      <c r="C380" s="151"/>
      <c r="D380" s="146" t="str">
        <f t="shared" si="34"/>
        <v/>
      </c>
      <c r="E380" s="186"/>
      <c r="F380" s="146" t="str">
        <f t="shared" si="35"/>
        <v/>
      </c>
      <c r="G380" s="185"/>
      <c r="H380" s="185"/>
      <c r="I380" s="185"/>
      <c r="J380" s="201"/>
      <c r="K380" s="200"/>
      <c r="L380" s="200"/>
      <c r="M380" s="201"/>
      <c r="N380" s="201"/>
      <c r="P380" s="141" t="str">
        <f t="shared" si="36"/>
        <v/>
      </c>
      <c r="Q380" s="141" t="str">
        <f t="shared" si="37"/>
        <v/>
      </c>
      <c r="AA380" s="141" t="s">
        <v>1114</v>
      </c>
      <c r="AB380" s="141" t="s">
        <v>1115</v>
      </c>
    </row>
    <row r="381" spans="1:28">
      <c r="A381" s="151"/>
      <c r="B381" s="146" t="str">
        <f t="shared" si="33"/>
        <v/>
      </c>
      <c r="C381" s="151"/>
      <c r="D381" s="146" t="str">
        <f t="shared" si="34"/>
        <v/>
      </c>
      <c r="E381" s="186"/>
      <c r="F381" s="146" t="str">
        <f t="shared" si="35"/>
        <v/>
      </c>
      <c r="G381" s="185"/>
      <c r="H381" s="185"/>
      <c r="I381" s="185"/>
      <c r="J381" s="201"/>
      <c r="K381" s="200"/>
      <c r="L381" s="200"/>
      <c r="M381" s="201"/>
      <c r="N381" s="201"/>
      <c r="P381" s="141" t="str">
        <f t="shared" si="36"/>
        <v/>
      </c>
      <c r="Q381" s="141" t="str">
        <f t="shared" si="37"/>
        <v/>
      </c>
      <c r="AA381" s="141" t="s">
        <v>1116</v>
      </c>
      <c r="AB381" s="141" t="s">
        <v>1117</v>
      </c>
    </row>
    <row r="382" spans="1:28">
      <c r="A382" s="151"/>
      <c r="B382" s="146" t="str">
        <f t="shared" si="33"/>
        <v/>
      </c>
      <c r="C382" s="151"/>
      <c r="D382" s="146" t="str">
        <f t="shared" si="34"/>
        <v/>
      </c>
      <c r="E382" s="186"/>
      <c r="F382" s="146" t="str">
        <f t="shared" si="35"/>
        <v/>
      </c>
      <c r="G382" s="185"/>
      <c r="H382" s="185"/>
      <c r="I382" s="185"/>
      <c r="J382" s="201"/>
      <c r="K382" s="200"/>
      <c r="L382" s="200"/>
      <c r="M382" s="201"/>
      <c r="N382" s="201"/>
      <c r="P382" s="141" t="str">
        <f t="shared" si="36"/>
        <v/>
      </c>
      <c r="Q382" s="141" t="str">
        <f t="shared" si="37"/>
        <v/>
      </c>
      <c r="AA382" s="141" t="s">
        <v>1118</v>
      </c>
      <c r="AB382" s="141" t="s">
        <v>1119</v>
      </c>
    </row>
    <row r="383" spans="1:28">
      <c r="A383" s="151"/>
      <c r="B383" s="146" t="str">
        <f t="shared" si="33"/>
        <v/>
      </c>
      <c r="C383" s="151"/>
      <c r="D383" s="146" t="str">
        <f t="shared" si="34"/>
        <v/>
      </c>
      <c r="E383" s="186"/>
      <c r="F383" s="146" t="str">
        <f t="shared" si="35"/>
        <v/>
      </c>
      <c r="G383" s="185"/>
      <c r="H383" s="185"/>
      <c r="I383" s="185"/>
      <c r="J383" s="201"/>
      <c r="K383" s="200"/>
      <c r="L383" s="200"/>
      <c r="M383" s="201"/>
      <c r="N383" s="201"/>
      <c r="P383" s="141" t="str">
        <f t="shared" si="36"/>
        <v/>
      </c>
      <c r="Q383" s="141" t="str">
        <f t="shared" si="37"/>
        <v/>
      </c>
      <c r="AA383" s="141" t="s">
        <v>1120</v>
      </c>
      <c r="AB383" s="141" t="s">
        <v>1121</v>
      </c>
    </row>
    <row r="384" spans="1:28">
      <c r="A384" s="151"/>
      <c r="B384" s="146" t="str">
        <f t="shared" si="33"/>
        <v/>
      </c>
      <c r="C384" s="151"/>
      <c r="D384" s="146" t="str">
        <f t="shared" si="34"/>
        <v/>
      </c>
      <c r="E384" s="186"/>
      <c r="F384" s="146" t="str">
        <f t="shared" si="35"/>
        <v/>
      </c>
      <c r="G384" s="185"/>
      <c r="H384" s="185"/>
      <c r="I384" s="185"/>
      <c r="J384" s="201"/>
      <c r="K384" s="200"/>
      <c r="L384" s="200"/>
      <c r="M384" s="201"/>
      <c r="N384" s="201"/>
      <c r="P384" s="141" t="str">
        <f t="shared" si="36"/>
        <v/>
      </c>
      <c r="Q384" s="141" t="str">
        <f t="shared" si="37"/>
        <v/>
      </c>
      <c r="AA384" s="141" t="s">
        <v>1122</v>
      </c>
      <c r="AB384" s="141" t="s">
        <v>1123</v>
      </c>
    </row>
    <row r="385" spans="1:28">
      <c r="A385" s="151"/>
      <c r="B385" s="146" t="str">
        <f t="shared" si="33"/>
        <v/>
      </c>
      <c r="C385" s="151"/>
      <c r="D385" s="146" t="str">
        <f t="shared" si="34"/>
        <v/>
      </c>
      <c r="E385" s="186"/>
      <c r="F385" s="146" t="str">
        <f t="shared" si="35"/>
        <v/>
      </c>
      <c r="G385" s="185"/>
      <c r="H385" s="185"/>
      <c r="I385" s="185"/>
      <c r="J385" s="201"/>
      <c r="K385" s="200"/>
      <c r="L385" s="200"/>
      <c r="M385" s="201"/>
      <c r="N385" s="201"/>
      <c r="P385" s="141" t="str">
        <f t="shared" si="36"/>
        <v/>
      </c>
      <c r="Q385" s="141" t="str">
        <f t="shared" si="37"/>
        <v/>
      </c>
      <c r="AA385" s="141" t="s">
        <v>1124</v>
      </c>
      <c r="AB385" s="141" t="s">
        <v>1125</v>
      </c>
    </row>
    <row r="386" spans="1:28">
      <c r="A386" s="151"/>
      <c r="B386" s="146" t="str">
        <f t="shared" si="33"/>
        <v/>
      </c>
      <c r="C386" s="151"/>
      <c r="D386" s="146" t="str">
        <f t="shared" si="34"/>
        <v/>
      </c>
      <c r="E386" s="186"/>
      <c r="F386" s="146" t="str">
        <f t="shared" si="35"/>
        <v/>
      </c>
      <c r="G386" s="185"/>
      <c r="H386" s="185"/>
      <c r="I386" s="185"/>
      <c r="J386" s="201"/>
      <c r="K386" s="200"/>
      <c r="L386" s="200"/>
      <c r="M386" s="201"/>
      <c r="N386" s="201"/>
      <c r="P386" s="141" t="str">
        <f t="shared" si="36"/>
        <v/>
      </c>
      <c r="Q386" s="141" t="str">
        <f t="shared" si="37"/>
        <v/>
      </c>
      <c r="AA386" s="141" t="s">
        <v>1126</v>
      </c>
      <c r="AB386" s="141" t="s">
        <v>1127</v>
      </c>
    </row>
    <row r="387" spans="1:28">
      <c r="A387" s="151"/>
      <c r="B387" s="146" t="str">
        <f t="shared" si="33"/>
        <v/>
      </c>
      <c r="C387" s="151"/>
      <c r="D387" s="146" t="str">
        <f t="shared" si="34"/>
        <v/>
      </c>
      <c r="E387" s="186"/>
      <c r="F387" s="146" t="str">
        <f t="shared" si="35"/>
        <v/>
      </c>
      <c r="G387" s="185"/>
      <c r="H387" s="185"/>
      <c r="I387" s="185"/>
      <c r="J387" s="201"/>
      <c r="K387" s="200"/>
      <c r="L387" s="200"/>
      <c r="M387" s="201"/>
      <c r="N387" s="201"/>
      <c r="P387" s="141" t="str">
        <f t="shared" si="36"/>
        <v/>
      </c>
      <c r="Q387" s="141" t="str">
        <f t="shared" si="37"/>
        <v/>
      </c>
      <c r="AA387" s="141" t="s">
        <v>1128</v>
      </c>
      <c r="AB387" s="141" t="s">
        <v>1129</v>
      </c>
    </row>
    <row r="388" spans="1:28">
      <c r="A388" s="151"/>
      <c r="B388" s="146" t="str">
        <f t="shared" ref="B388:B451" si="38">IFERROR(VLOOKUP(A388,$R$6:$S$23,2,FALSE),"")</f>
        <v/>
      </c>
      <c r="C388" s="151"/>
      <c r="D388" s="146" t="str">
        <f t="shared" ref="D388:D451" si="39">IFERROR(VLOOKUP(C388,$U$5:$W$129,2,FALSE),"")</f>
        <v/>
      </c>
      <c r="E388" s="186"/>
      <c r="F388" s="146" t="str">
        <f t="shared" ref="F388:F451" si="40">IFERROR(VLOOKUP(E388,$AA$5:$AB$500,2,FALSE),"")</f>
        <v/>
      </c>
      <c r="G388" s="185"/>
      <c r="H388" s="185"/>
      <c r="I388" s="185"/>
      <c r="J388" s="201"/>
      <c r="K388" s="200"/>
      <c r="L388" s="200"/>
      <c r="M388" s="201"/>
      <c r="N388" s="201"/>
      <c r="P388" s="141" t="str">
        <f t="shared" ref="P388:P451" si="41">LEFT(C388,3)</f>
        <v/>
      </c>
      <c r="Q388" s="141" t="str">
        <f t="shared" ref="Q388:Q451" si="42">LEFT(C388,2)</f>
        <v/>
      </c>
      <c r="AA388" s="141" t="s">
        <v>1130</v>
      </c>
      <c r="AB388" s="141" t="s">
        <v>1131</v>
      </c>
    </row>
    <row r="389" spans="1:28">
      <c r="A389" s="151"/>
      <c r="B389" s="146" t="str">
        <f t="shared" si="38"/>
        <v/>
      </c>
      <c r="C389" s="151"/>
      <c r="D389" s="146" t="str">
        <f t="shared" si="39"/>
        <v/>
      </c>
      <c r="E389" s="186"/>
      <c r="F389" s="146" t="str">
        <f t="shared" si="40"/>
        <v/>
      </c>
      <c r="G389" s="185"/>
      <c r="H389" s="185"/>
      <c r="I389" s="185"/>
      <c r="J389" s="201"/>
      <c r="K389" s="200"/>
      <c r="L389" s="200"/>
      <c r="M389" s="201"/>
      <c r="N389" s="201"/>
      <c r="P389" s="141" t="str">
        <f t="shared" si="41"/>
        <v/>
      </c>
      <c r="Q389" s="141" t="str">
        <f t="shared" si="42"/>
        <v/>
      </c>
      <c r="AA389" s="141" t="s">
        <v>1132</v>
      </c>
      <c r="AB389" s="141" t="s">
        <v>1133</v>
      </c>
    </row>
    <row r="390" spans="1:28">
      <c r="A390" s="151"/>
      <c r="B390" s="146" t="str">
        <f t="shared" si="38"/>
        <v/>
      </c>
      <c r="C390" s="151"/>
      <c r="D390" s="146" t="str">
        <f t="shared" si="39"/>
        <v/>
      </c>
      <c r="E390" s="186"/>
      <c r="F390" s="146" t="str">
        <f t="shared" si="40"/>
        <v/>
      </c>
      <c r="G390" s="185"/>
      <c r="H390" s="185"/>
      <c r="I390" s="185"/>
      <c r="J390" s="201"/>
      <c r="K390" s="200"/>
      <c r="L390" s="200"/>
      <c r="M390" s="201"/>
      <c r="N390" s="201"/>
      <c r="P390" s="141" t="str">
        <f t="shared" si="41"/>
        <v/>
      </c>
      <c r="Q390" s="141" t="str">
        <f t="shared" si="42"/>
        <v/>
      </c>
      <c r="AA390" s="141" t="s">
        <v>1134</v>
      </c>
      <c r="AB390" s="141" t="s">
        <v>1135</v>
      </c>
    </row>
    <row r="391" spans="1:28">
      <c r="A391" s="151"/>
      <c r="B391" s="146" t="str">
        <f t="shared" si="38"/>
        <v/>
      </c>
      <c r="C391" s="151"/>
      <c r="D391" s="146" t="str">
        <f t="shared" si="39"/>
        <v/>
      </c>
      <c r="E391" s="186"/>
      <c r="F391" s="146" t="str">
        <f t="shared" si="40"/>
        <v/>
      </c>
      <c r="G391" s="185"/>
      <c r="H391" s="185"/>
      <c r="I391" s="185"/>
      <c r="J391" s="201"/>
      <c r="K391" s="200"/>
      <c r="L391" s="200"/>
      <c r="M391" s="201"/>
      <c r="N391" s="201"/>
      <c r="P391" s="141" t="str">
        <f t="shared" si="41"/>
        <v/>
      </c>
      <c r="Q391" s="141" t="str">
        <f t="shared" si="42"/>
        <v/>
      </c>
      <c r="AA391" s="141" t="s">
        <v>1136</v>
      </c>
      <c r="AB391" s="141" t="s">
        <v>1137</v>
      </c>
    </row>
    <row r="392" spans="1:28">
      <c r="A392" s="151"/>
      <c r="B392" s="146" t="str">
        <f t="shared" si="38"/>
        <v/>
      </c>
      <c r="C392" s="151"/>
      <c r="D392" s="146" t="str">
        <f t="shared" si="39"/>
        <v/>
      </c>
      <c r="E392" s="186"/>
      <c r="F392" s="146" t="str">
        <f t="shared" si="40"/>
        <v/>
      </c>
      <c r="G392" s="185"/>
      <c r="H392" s="185"/>
      <c r="I392" s="185"/>
      <c r="J392" s="201"/>
      <c r="K392" s="200"/>
      <c r="L392" s="200"/>
      <c r="M392" s="201"/>
      <c r="N392" s="201"/>
      <c r="P392" s="141" t="str">
        <f t="shared" si="41"/>
        <v/>
      </c>
      <c r="Q392" s="141" t="str">
        <f t="shared" si="42"/>
        <v/>
      </c>
      <c r="AA392" s="141" t="s">
        <v>1138</v>
      </c>
      <c r="AB392" s="141" t="s">
        <v>1139</v>
      </c>
    </row>
    <row r="393" spans="1:28">
      <c r="A393" s="151"/>
      <c r="B393" s="146" t="str">
        <f t="shared" si="38"/>
        <v/>
      </c>
      <c r="C393" s="151"/>
      <c r="D393" s="146" t="str">
        <f t="shared" si="39"/>
        <v/>
      </c>
      <c r="E393" s="186"/>
      <c r="F393" s="146" t="str">
        <f t="shared" si="40"/>
        <v/>
      </c>
      <c r="G393" s="185"/>
      <c r="H393" s="185"/>
      <c r="I393" s="185"/>
      <c r="J393" s="201"/>
      <c r="K393" s="200"/>
      <c r="L393" s="200"/>
      <c r="M393" s="201"/>
      <c r="N393" s="201"/>
      <c r="P393" s="141" t="str">
        <f t="shared" si="41"/>
        <v/>
      </c>
      <c r="Q393" s="141" t="str">
        <f t="shared" si="42"/>
        <v/>
      </c>
      <c r="AA393" s="141" t="s">
        <v>1140</v>
      </c>
      <c r="AB393" s="141" t="s">
        <v>1141</v>
      </c>
    </row>
    <row r="394" spans="1:28">
      <c r="A394" s="151"/>
      <c r="B394" s="146" t="str">
        <f t="shared" si="38"/>
        <v/>
      </c>
      <c r="C394" s="151"/>
      <c r="D394" s="146" t="str">
        <f t="shared" si="39"/>
        <v/>
      </c>
      <c r="E394" s="186"/>
      <c r="F394" s="146" t="str">
        <f t="shared" si="40"/>
        <v/>
      </c>
      <c r="G394" s="185"/>
      <c r="H394" s="185"/>
      <c r="I394" s="185"/>
      <c r="J394" s="201"/>
      <c r="K394" s="200"/>
      <c r="L394" s="200"/>
      <c r="M394" s="201"/>
      <c r="N394" s="201"/>
      <c r="P394" s="141" t="str">
        <f t="shared" si="41"/>
        <v/>
      </c>
      <c r="Q394" s="141" t="str">
        <f t="shared" si="42"/>
        <v/>
      </c>
      <c r="AA394" s="141" t="s">
        <v>1142</v>
      </c>
      <c r="AB394" s="141" t="s">
        <v>1143</v>
      </c>
    </row>
    <row r="395" spans="1:28">
      <c r="A395" s="151"/>
      <c r="B395" s="146" t="str">
        <f t="shared" si="38"/>
        <v/>
      </c>
      <c r="C395" s="151"/>
      <c r="D395" s="146" t="str">
        <f t="shared" si="39"/>
        <v/>
      </c>
      <c r="E395" s="186"/>
      <c r="F395" s="146" t="str">
        <f t="shared" si="40"/>
        <v/>
      </c>
      <c r="G395" s="185"/>
      <c r="H395" s="185"/>
      <c r="I395" s="185"/>
      <c r="J395" s="201"/>
      <c r="K395" s="200"/>
      <c r="L395" s="200"/>
      <c r="M395" s="201"/>
      <c r="N395" s="201"/>
      <c r="P395" s="141" t="str">
        <f t="shared" si="41"/>
        <v/>
      </c>
      <c r="Q395" s="141" t="str">
        <f t="shared" si="42"/>
        <v/>
      </c>
      <c r="AA395" s="141" t="s">
        <v>1144</v>
      </c>
      <c r="AB395" s="141" t="s">
        <v>1145</v>
      </c>
    </row>
    <row r="396" spans="1:28">
      <c r="A396" s="151"/>
      <c r="B396" s="146" t="str">
        <f t="shared" si="38"/>
        <v/>
      </c>
      <c r="C396" s="151"/>
      <c r="D396" s="146" t="str">
        <f t="shared" si="39"/>
        <v/>
      </c>
      <c r="E396" s="186"/>
      <c r="F396" s="146" t="str">
        <f t="shared" si="40"/>
        <v/>
      </c>
      <c r="G396" s="185"/>
      <c r="H396" s="185"/>
      <c r="I396" s="185"/>
      <c r="J396" s="201"/>
      <c r="K396" s="200"/>
      <c r="L396" s="200"/>
      <c r="M396" s="201"/>
      <c r="N396" s="201"/>
      <c r="P396" s="141" t="str">
        <f t="shared" si="41"/>
        <v/>
      </c>
      <c r="Q396" s="141" t="str">
        <f t="shared" si="42"/>
        <v/>
      </c>
      <c r="AA396" s="141" t="s">
        <v>1146</v>
      </c>
      <c r="AB396" s="141" t="s">
        <v>1147</v>
      </c>
    </row>
    <row r="397" spans="1:28">
      <c r="A397" s="151"/>
      <c r="B397" s="146" t="str">
        <f t="shared" si="38"/>
        <v/>
      </c>
      <c r="C397" s="151"/>
      <c r="D397" s="146" t="str">
        <f t="shared" si="39"/>
        <v/>
      </c>
      <c r="E397" s="186"/>
      <c r="F397" s="146" t="str">
        <f t="shared" si="40"/>
        <v/>
      </c>
      <c r="G397" s="185"/>
      <c r="H397" s="185"/>
      <c r="I397" s="185"/>
      <c r="J397" s="201"/>
      <c r="K397" s="200"/>
      <c r="L397" s="200"/>
      <c r="M397" s="201"/>
      <c r="N397" s="201"/>
      <c r="P397" s="141" t="str">
        <f t="shared" si="41"/>
        <v/>
      </c>
      <c r="Q397" s="141" t="str">
        <f t="shared" si="42"/>
        <v/>
      </c>
      <c r="AA397" s="141" t="s">
        <v>1148</v>
      </c>
      <c r="AB397" s="141" t="s">
        <v>1149</v>
      </c>
    </row>
    <row r="398" spans="1:28">
      <c r="A398" s="151"/>
      <c r="B398" s="146" t="str">
        <f t="shared" si="38"/>
        <v/>
      </c>
      <c r="C398" s="151"/>
      <c r="D398" s="146" t="str">
        <f t="shared" si="39"/>
        <v/>
      </c>
      <c r="E398" s="186"/>
      <c r="F398" s="146" t="str">
        <f t="shared" si="40"/>
        <v/>
      </c>
      <c r="G398" s="185"/>
      <c r="H398" s="185"/>
      <c r="I398" s="185"/>
      <c r="J398" s="201"/>
      <c r="K398" s="200"/>
      <c r="L398" s="200"/>
      <c r="M398" s="201"/>
      <c r="N398" s="201"/>
      <c r="P398" s="141" t="str">
        <f t="shared" si="41"/>
        <v/>
      </c>
      <c r="Q398" s="141" t="str">
        <f t="shared" si="42"/>
        <v/>
      </c>
      <c r="AA398" s="141" t="s">
        <v>1150</v>
      </c>
      <c r="AB398" s="141" t="s">
        <v>1151</v>
      </c>
    </row>
    <row r="399" spans="1:28">
      <c r="A399" s="151"/>
      <c r="B399" s="146" t="str">
        <f t="shared" si="38"/>
        <v/>
      </c>
      <c r="C399" s="151"/>
      <c r="D399" s="146" t="str">
        <f t="shared" si="39"/>
        <v/>
      </c>
      <c r="E399" s="186"/>
      <c r="F399" s="146" t="str">
        <f t="shared" si="40"/>
        <v/>
      </c>
      <c r="G399" s="185"/>
      <c r="H399" s="185"/>
      <c r="I399" s="185"/>
      <c r="J399" s="201"/>
      <c r="K399" s="200"/>
      <c r="L399" s="200"/>
      <c r="M399" s="201"/>
      <c r="N399" s="201"/>
      <c r="P399" s="141" t="str">
        <f t="shared" si="41"/>
        <v/>
      </c>
      <c r="Q399" s="141" t="str">
        <f t="shared" si="42"/>
        <v/>
      </c>
      <c r="AA399" s="141" t="s">
        <v>1152</v>
      </c>
      <c r="AB399" s="141" t="s">
        <v>1153</v>
      </c>
    </row>
    <row r="400" spans="1:28">
      <c r="A400" s="151"/>
      <c r="B400" s="146" t="str">
        <f t="shared" si="38"/>
        <v/>
      </c>
      <c r="C400" s="151"/>
      <c r="D400" s="146" t="str">
        <f t="shared" si="39"/>
        <v/>
      </c>
      <c r="E400" s="186"/>
      <c r="F400" s="146" t="str">
        <f t="shared" si="40"/>
        <v/>
      </c>
      <c r="G400" s="185"/>
      <c r="H400" s="185"/>
      <c r="I400" s="185"/>
      <c r="J400" s="201"/>
      <c r="K400" s="200"/>
      <c r="L400" s="200"/>
      <c r="M400" s="201"/>
      <c r="N400" s="201"/>
      <c r="P400" s="141" t="str">
        <f t="shared" si="41"/>
        <v/>
      </c>
      <c r="Q400" s="141" t="str">
        <f t="shared" si="42"/>
        <v/>
      </c>
      <c r="AA400" s="141" t="s">
        <v>1154</v>
      </c>
      <c r="AB400" s="141" t="s">
        <v>1155</v>
      </c>
    </row>
    <row r="401" spans="1:28">
      <c r="A401" s="151"/>
      <c r="B401" s="146" t="str">
        <f t="shared" si="38"/>
        <v/>
      </c>
      <c r="C401" s="151"/>
      <c r="D401" s="146" t="str">
        <f t="shared" si="39"/>
        <v/>
      </c>
      <c r="E401" s="186"/>
      <c r="F401" s="146" t="str">
        <f t="shared" si="40"/>
        <v/>
      </c>
      <c r="G401" s="185"/>
      <c r="H401" s="185"/>
      <c r="I401" s="185"/>
      <c r="J401" s="201"/>
      <c r="K401" s="200"/>
      <c r="L401" s="200"/>
      <c r="M401" s="201"/>
      <c r="N401" s="201"/>
      <c r="P401" s="141" t="str">
        <f t="shared" si="41"/>
        <v/>
      </c>
      <c r="Q401" s="141" t="str">
        <f t="shared" si="42"/>
        <v/>
      </c>
      <c r="AA401" s="141" t="s">
        <v>1156</v>
      </c>
      <c r="AB401" s="141" t="s">
        <v>1157</v>
      </c>
    </row>
    <row r="402" spans="1:28">
      <c r="A402" s="151"/>
      <c r="B402" s="146" t="str">
        <f t="shared" si="38"/>
        <v/>
      </c>
      <c r="C402" s="151"/>
      <c r="D402" s="146" t="str">
        <f t="shared" si="39"/>
        <v/>
      </c>
      <c r="E402" s="186"/>
      <c r="F402" s="146" t="str">
        <f t="shared" si="40"/>
        <v/>
      </c>
      <c r="G402" s="185"/>
      <c r="H402" s="185"/>
      <c r="I402" s="185"/>
      <c r="J402" s="201"/>
      <c r="K402" s="200"/>
      <c r="L402" s="200"/>
      <c r="M402" s="201"/>
      <c r="N402" s="201"/>
      <c r="P402" s="141" t="str">
        <f t="shared" si="41"/>
        <v/>
      </c>
      <c r="Q402" s="141" t="str">
        <f t="shared" si="42"/>
        <v/>
      </c>
      <c r="AA402" s="141" t="s">
        <v>1158</v>
      </c>
      <c r="AB402" s="141" t="s">
        <v>1159</v>
      </c>
    </row>
    <row r="403" spans="1:28">
      <c r="A403" s="151"/>
      <c r="B403" s="146" t="str">
        <f t="shared" si="38"/>
        <v/>
      </c>
      <c r="C403" s="151"/>
      <c r="D403" s="146" t="str">
        <f t="shared" si="39"/>
        <v/>
      </c>
      <c r="E403" s="186"/>
      <c r="F403" s="146" t="str">
        <f t="shared" si="40"/>
        <v/>
      </c>
      <c r="G403" s="185"/>
      <c r="H403" s="185"/>
      <c r="I403" s="185"/>
      <c r="J403" s="201"/>
      <c r="K403" s="200"/>
      <c r="L403" s="200"/>
      <c r="M403" s="201"/>
      <c r="N403" s="201"/>
      <c r="P403" s="141" t="str">
        <f t="shared" si="41"/>
        <v/>
      </c>
      <c r="Q403" s="141" t="str">
        <f t="shared" si="42"/>
        <v/>
      </c>
      <c r="AA403" s="141" t="s">
        <v>1160</v>
      </c>
      <c r="AB403" s="141" t="s">
        <v>1161</v>
      </c>
    </row>
    <row r="404" spans="1:28">
      <c r="A404" s="151"/>
      <c r="B404" s="146" t="str">
        <f t="shared" si="38"/>
        <v/>
      </c>
      <c r="C404" s="151"/>
      <c r="D404" s="146" t="str">
        <f t="shared" si="39"/>
        <v/>
      </c>
      <c r="E404" s="186"/>
      <c r="F404" s="146" t="str">
        <f t="shared" si="40"/>
        <v/>
      </c>
      <c r="G404" s="185"/>
      <c r="H404" s="185"/>
      <c r="I404" s="185"/>
      <c r="J404" s="201"/>
      <c r="K404" s="200"/>
      <c r="L404" s="200"/>
      <c r="M404" s="201"/>
      <c r="N404" s="201"/>
      <c r="P404" s="141" t="str">
        <f t="shared" si="41"/>
        <v/>
      </c>
      <c r="Q404" s="141" t="str">
        <f t="shared" si="42"/>
        <v/>
      </c>
      <c r="AA404" s="141" t="s">
        <v>1162</v>
      </c>
      <c r="AB404" s="141" t="s">
        <v>1163</v>
      </c>
    </row>
    <row r="405" spans="1:28">
      <c r="A405" s="151"/>
      <c r="B405" s="146" t="str">
        <f t="shared" si="38"/>
        <v/>
      </c>
      <c r="C405" s="151"/>
      <c r="D405" s="146" t="str">
        <f t="shared" si="39"/>
        <v/>
      </c>
      <c r="E405" s="186"/>
      <c r="F405" s="146" t="str">
        <f t="shared" si="40"/>
        <v/>
      </c>
      <c r="G405" s="185"/>
      <c r="H405" s="185"/>
      <c r="I405" s="185"/>
      <c r="J405" s="201"/>
      <c r="K405" s="200"/>
      <c r="L405" s="200"/>
      <c r="M405" s="201"/>
      <c r="N405" s="201"/>
      <c r="P405" s="141" t="str">
        <f t="shared" si="41"/>
        <v/>
      </c>
      <c r="Q405" s="141" t="str">
        <f t="shared" si="42"/>
        <v/>
      </c>
      <c r="AA405" s="141" t="s">
        <v>1164</v>
      </c>
      <c r="AB405" s="141" t="s">
        <v>1165</v>
      </c>
    </row>
    <row r="406" spans="1:28">
      <c r="A406" s="151"/>
      <c r="B406" s="146" t="str">
        <f t="shared" si="38"/>
        <v/>
      </c>
      <c r="C406" s="151"/>
      <c r="D406" s="146" t="str">
        <f t="shared" si="39"/>
        <v/>
      </c>
      <c r="E406" s="186"/>
      <c r="F406" s="146" t="str">
        <f t="shared" si="40"/>
        <v/>
      </c>
      <c r="G406" s="185"/>
      <c r="H406" s="185"/>
      <c r="I406" s="185"/>
      <c r="J406" s="201"/>
      <c r="K406" s="200"/>
      <c r="L406" s="200"/>
      <c r="M406" s="201"/>
      <c r="N406" s="201"/>
      <c r="P406" s="141" t="str">
        <f t="shared" si="41"/>
        <v/>
      </c>
      <c r="Q406" s="141" t="str">
        <f t="shared" si="42"/>
        <v/>
      </c>
      <c r="AA406" s="141" t="s">
        <v>1166</v>
      </c>
      <c r="AB406" s="141" t="s">
        <v>1167</v>
      </c>
    </row>
    <row r="407" spans="1:28">
      <c r="A407" s="151"/>
      <c r="B407" s="146" t="str">
        <f t="shared" si="38"/>
        <v/>
      </c>
      <c r="C407" s="151"/>
      <c r="D407" s="146" t="str">
        <f t="shared" si="39"/>
        <v/>
      </c>
      <c r="E407" s="186"/>
      <c r="F407" s="146" t="str">
        <f t="shared" si="40"/>
        <v/>
      </c>
      <c r="G407" s="185"/>
      <c r="H407" s="185"/>
      <c r="I407" s="185"/>
      <c r="J407" s="201"/>
      <c r="K407" s="200"/>
      <c r="L407" s="200"/>
      <c r="M407" s="201"/>
      <c r="N407" s="201"/>
      <c r="P407" s="141" t="str">
        <f t="shared" si="41"/>
        <v/>
      </c>
      <c r="Q407" s="141" t="str">
        <f t="shared" si="42"/>
        <v/>
      </c>
      <c r="AA407" s="141" t="s">
        <v>1168</v>
      </c>
      <c r="AB407" s="141" t="s">
        <v>1169</v>
      </c>
    </row>
    <row r="408" spans="1:28">
      <c r="A408" s="151"/>
      <c r="B408" s="146" t="str">
        <f t="shared" si="38"/>
        <v/>
      </c>
      <c r="C408" s="151"/>
      <c r="D408" s="146" t="str">
        <f t="shared" si="39"/>
        <v/>
      </c>
      <c r="E408" s="186"/>
      <c r="F408" s="146" t="str">
        <f t="shared" si="40"/>
        <v/>
      </c>
      <c r="G408" s="185"/>
      <c r="H408" s="185"/>
      <c r="I408" s="185"/>
      <c r="J408" s="201"/>
      <c r="K408" s="200"/>
      <c r="L408" s="200"/>
      <c r="M408" s="201"/>
      <c r="N408" s="201"/>
      <c r="P408" s="141" t="str">
        <f t="shared" si="41"/>
        <v/>
      </c>
      <c r="Q408" s="141" t="str">
        <f t="shared" si="42"/>
        <v/>
      </c>
      <c r="AA408" s="141" t="s">
        <v>1170</v>
      </c>
      <c r="AB408" s="141" t="s">
        <v>1171</v>
      </c>
    </row>
    <row r="409" spans="1:28">
      <c r="A409" s="151"/>
      <c r="B409" s="146" t="str">
        <f t="shared" si="38"/>
        <v/>
      </c>
      <c r="C409" s="151"/>
      <c r="D409" s="146" t="str">
        <f t="shared" si="39"/>
        <v/>
      </c>
      <c r="E409" s="186"/>
      <c r="F409" s="146" t="str">
        <f t="shared" si="40"/>
        <v/>
      </c>
      <c r="G409" s="185"/>
      <c r="H409" s="185"/>
      <c r="I409" s="185"/>
      <c r="J409" s="201"/>
      <c r="K409" s="200"/>
      <c r="L409" s="200"/>
      <c r="M409" s="201"/>
      <c r="N409" s="201"/>
      <c r="P409" s="141" t="str">
        <f t="shared" si="41"/>
        <v/>
      </c>
      <c r="Q409" s="141" t="str">
        <f t="shared" si="42"/>
        <v/>
      </c>
      <c r="AA409" s="141" t="s">
        <v>1172</v>
      </c>
      <c r="AB409" s="141" t="s">
        <v>1173</v>
      </c>
    </row>
    <row r="410" spans="1:28">
      <c r="A410" s="151"/>
      <c r="B410" s="146" t="str">
        <f t="shared" si="38"/>
        <v/>
      </c>
      <c r="C410" s="151"/>
      <c r="D410" s="146" t="str">
        <f t="shared" si="39"/>
        <v/>
      </c>
      <c r="E410" s="186"/>
      <c r="F410" s="146" t="str">
        <f t="shared" si="40"/>
        <v/>
      </c>
      <c r="G410" s="185"/>
      <c r="H410" s="185"/>
      <c r="I410" s="185"/>
      <c r="J410" s="201"/>
      <c r="K410" s="200"/>
      <c r="L410" s="200"/>
      <c r="M410" s="201"/>
      <c r="N410" s="201"/>
      <c r="P410" s="141" t="str">
        <f t="shared" si="41"/>
        <v/>
      </c>
      <c r="Q410" s="141" t="str">
        <f t="shared" si="42"/>
        <v/>
      </c>
      <c r="AA410" s="141" t="s">
        <v>1174</v>
      </c>
      <c r="AB410" s="141" t="s">
        <v>1175</v>
      </c>
    </row>
    <row r="411" spans="1:28">
      <c r="A411" s="151"/>
      <c r="B411" s="146" t="str">
        <f t="shared" si="38"/>
        <v/>
      </c>
      <c r="C411" s="151"/>
      <c r="D411" s="146" t="str">
        <f t="shared" si="39"/>
        <v/>
      </c>
      <c r="E411" s="186"/>
      <c r="F411" s="146" t="str">
        <f t="shared" si="40"/>
        <v/>
      </c>
      <c r="G411" s="185"/>
      <c r="H411" s="185"/>
      <c r="I411" s="185"/>
      <c r="J411" s="201"/>
      <c r="K411" s="200"/>
      <c r="L411" s="200"/>
      <c r="M411" s="201"/>
      <c r="N411" s="201"/>
      <c r="P411" s="141" t="str">
        <f t="shared" si="41"/>
        <v/>
      </c>
      <c r="Q411" s="141" t="str">
        <f t="shared" si="42"/>
        <v/>
      </c>
      <c r="AA411" s="141" t="s">
        <v>1176</v>
      </c>
      <c r="AB411" s="141" t="s">
        <v>1177</v>
      </c>
    </row>
    <row r="412" spans="1:28">
      <c r="A412" s="151"/>
      <c r="B412" s="146" t="str">
        <f t="shared" si="38"/>
        <v/>
      </c>
      <c r="C412" s="151"/>
      <c r="D412" s="146" t="str">
        <f t="shared" si="39"/>
        <v/>
      </c>
      <c r="E412" s="186"/>
      <c r="F412" s="146" t="str">
        <f t="shared" si="40"/>
        <v/>
      </c>
      <c r="G412" s="185"/>
      <c r="H412" s="185"/>
      <c r="I412" s="185"/>
      <c r="J412" s="201"/>
      <c r="K412" s="200"/>
      <c r="L412" s="200"/>
      <c r="M412" s="201"/>
      <c r="N412" s="201"/>
      <c r="P412" s="141" t="str">
        <f t="shared" si="41"/>
        <v/>
      </c>
      <c r="Q412" s="141" t="str">
        <f t="shared" si="42"/>
        <v/>
      </c>
      <c r="AA412" s="141" t="s">
        <v>1178</v>
      </c>
      <c r="AB412" s="141" t="s">
        <v>1179</v>
      </c>
    </row>
    <row r="413" spans="1:28">
      <c r="A413" s="151"/>
      <c r="B413" s="146" t="str">
        <f t="shared" si="38"/>
        <v/>
      </c>
      <c r="C413" s="151"/>
      <c r="D413" s="146" t="str">
        <f t="shared" si="39"/>
        <v/>
      </c>
      <c r="E413" s="186"/>
      <c r="F413" s="146" t="str">
        <f t="shared" si="40"/>
        <v/>
      </c>
      <c r="G413" s="185"/>
      <c r="H413" s="185"/>
      <c r="I413" s="185"/>
      <c r="J413" s="201"/>
      <c r="K413" s="200"/>
      <c r="L413" s="200"/>
      <c r="M413" s="201"/>
      <c r="N413" s="201"/>
      <c r="P413" s="141" t="str">
        <f t="shared" si="41"/>
        <v/>
      </c>
      <c r="Q413" s="141" t="str">
        <f t="shared" si="42"/>
        <v/>
      </c>
      <c r="AA413" s="141" t="s">
        <v>1180</v>
      </c>
      <c r="AB413" s="141" t="s">
        <v>1181</v>
      </c>
    </row>
    <row r="414" spans="1:28">
      <c r="A414" s="151"/>
      <c r="B414" s="146" t="str">
        <f t="shared" si="38"/>
        <v/>
      </c>
      <c r="C414" s="151"/>
      <c r="D414" s="146" t="str">
        <f t="shared" si="39"/>
        <v/>
      </c>
      <c r="E414" s="186"/>
      <c r="F414" s="146" t="str">
        <f t="shared" si="40"/>
        <v/>
      </c>
      <c r="G414" s="185"/>
      <c r="H414" s="185"/>
      <c r="I414" s="185"/>
      <c r="J414" s="201"/>
      <c r="K414" s="200"/>
      <c r="L414" s="200"/>
      <c r="M414" s="201"/>
      <c r="N414" s="201"/>
      <c r="P414" s="141" t="str">
        <f t="shared" si="41"/>
        <v/>
      </c>
      <c r="Q414" s="141" t="str">
        <f t="shared" si="42"/>
        <v/>
      </c>
      <c r="AA414" s="141" t="s">
        <v>1182</v>
      </c>
      <c r="AB414" s="141" t="s">
        <v>1183</v>
      </c>
    </row>
    <row r="415" spans="1:28">
      <c r="A415" s="151"/>
      <c r="B415" s="146" t="str">
        <f t="shared" si="38"/>
        <v/>
      </c>
      <c r="C415" s="151"/>
      <c r="D415" s="146" t="str">
        <f t="shared" si="39"/>
        <v/>
      </c>
      <c r="E415" s="186"/>
      <c r="F415" s="146" t="str">
        <f t="shared" si="40"/>
        <v/>
      </c>
      <c r="G415" s="185"/>
      <c r="H415" s="185"/>
      <c r="I415" s="185"/>
      <c r="J415" s="201"/>
      <c r="K415" s="200"/>
      <c r="L415" s="200"/>
      <c r="M415" s="201"/>
      <c r="N415" s="201"/>
      <c r="P415" s="141" t="str">
        <f t="shared" si="41"/>
        <v/>
      </c>
      <c r="Q415" s="141" t="str">
        <f t="shared" si="42"/>
        <v/>
      </c>
      <c r="AA415" s="141" t="s">
        <v>1184</v>
      </c>
      <c r="AB415" s="141" t="s">
        <v>1185</v>
      </c>
    </row>
    <row r="416" spans="1:28">
      <c r="A416" s="151"/>
      <c r="B416" s="146" t="str">
        <f t="shared" si="38"/>
        <v/>
      </c>
      <c r="C416" s="151"/>
      <c r="D416" s="146" t="str">
        <f t="shared" si="39"/>
        <v/>
      </c>
      <c r="E416" s="186"/>
      <c r="F416" s="146" t="str">
        <f t="shared" si="40"/>
        <v/>
      </c>
      <c r="G416" s="185"/>
      <c r="H416" s="185"/>
      <c r="I416" s="185"/>
      <c r="J416" s="201"/>
      <c r="K416" s="200"/>
      <c r="L416" s="200"/>
      <c r="M416" s="201"/>
      <c r="N416" s="201"/>
      <c r="P416" s="141" t="str">
        <f t="shared" si="41"/>
        <v/>
      </c>
      <c r="Q416" s="141" t="str">
        <f t="shared" si="42"/>
        <v/>
      </c>
      <c r="AA416" s="141" t="s">
        <v>1186</v>
      </c>
      <c r="AB416" s="141" t="s">
        <v>1187</v>
      </c>
    </row>
    <row r="417" spans="1:28">
      <c r="A417" s="151"/>
      <c r="B417" s="146" t="str">
        <f t="shared" si="38"/>
        <v/>
      </c>
      <c r="C417" s="151"/>
      <c r="D417" s="146" t="str">
        <f t="shared" si="39"/>
        <v/>
      </c>
      <c r="E417" s="186"/>
      <c r="F417" s="146" t="str">
        <f t="shared" si="40"/>
        <v/>
      </c>
      <c r="G417" s="185"/>
      <c r="H417" s="185"/>
      <c r="I417" s="185"/>
      <c r="J417" s="201"/>
      <c r="K417" s="200"/>
      <c r="L417" s="200"/>
      <c r="M417" s="201"/>
      <c r="N417" s="201"/>
      <c r="P417" s="141" t="str">
        <f t="shared" si="41"/>
        <v/>
      </c>
      <c r="Q417" s="141" t="str">
        <f t="shared" si="42"/>
        <v/>
      </c>
      <c r="AA417" s="141" t="s">
        <v>1188</v>
      </c>
      <c r="AB417" s="141" t="s">
        <v>1189</v>
      </c>
    </row>
    <row r="418" spans="1:28">
      <c r="A418" s="151"/>
      <c r="B418" s="146" t="str">
        <f t="shared" si="38"/>
        <v/>
      </c>
      <c r="C418" s="151"/>
      <c r="D418" s="146" t="str">
        <f t="shared" si="39"/>
        <v/>
      </c>
      <c r="E418" s="186"/>
      <c r="F418" s="146" t="str">
        <f t="shared" si="40"/>
        <v/>
      </c>
      <c r="G418" s="185"/>
      <c r="H418" s="185"/>
      <c r="I418" s="185"/>
      <c r="J418" s="201"/>
      <c r="K418" s="200"/>
      <c r="L418" s="200"/>
      <c r="M418" s="201"/>
      <c r="N418" s="201"/>
      <c r="P418" s="141" t="str">
        <f t="shared" si="41"/>
        <v/>
      </c>
      <c r="Q418" s="141" t="str">
        <f t="shared" si="42"/>
        <v/>
      </c>
      <c r="AA418" s="141" t="s">
        <v>1971</v>
      </c>
      <c r="AB418" s="141" t="s">
        <v>1972</v>
      </c>
    </row>
    <row r="419" spans="1:28">
      <c r="A419" s="151"/>
      <c r="B419" s="146" t="str">
        <f t="shared" si="38"/>
        <v/>
      </c>
      <c r="C419" s="151"/>
      <c r="D419" s="146" t="str">
        <f t="shared" si="39"/>
        <v/>
      </c>
      <c r="E419" s="186"/>
      <c r="F419" s="146" t="str">
        <f t="shared" si="40"/>
        <v/>
      </c>
      <c r="G419" s="185"/>
      <c r="H419" s="185"/>
      <c r="I419" s="185"/>
      <c r="J419" s="201"/>
      <c r="K419" s="200"/>
      <c r="L419" s="200"/>
      <c r="M419" s="201"/>
      <c r="N419" s="201"/>
      <c r="P419" s="141" t="str">
        <f t="shared" si="41"/>
        <v/>
      </c>
      <c r="Q419" s="141" t="str">
        <f t="shared" si="42"/>
        <v/>
      </c>
      <c r="AA419" s="141" t="s">
        <v>1973</v>
      </c>
      <c r="AB419" s="141" t="s">
        <v>1974</v>
      </c>
    </row>
    <row r="420" spans="1:28">
      <c r="A420" s="151"/>
      <c r="B420" s="146" t="str">
        <f t="shared" si="38"/>
        <v/>
      </c>
      <c r="C420" s="151"/>
      <c r="D420" s="146" t="str">
        <f t="shared" si="39"/>
        <v/>
      </c>
      <c r="E420" s="186"/>
      <c r="F420" s="146" t="str">
        <f t="shared" si="40"/>
        <v/>
      </c>
      <c r="G420" s="185"/>
      <c r="H420" s="185"/>
      <c r="I420" s="185"/>
      <c r="J420" s="201"/>
      <c r="K420" s="200"/>
      <c r="L420" s="200"/>
      <c r="M420" s="201"/>
      <c r="N420" s="201"/>
      <c r="P420" s="141" t="str">
        <f t="shared" si="41"/>
        <v/>
      </c>
      <c r="Q420" s="141" t="str">
        <f t="shared" si="42"/>
        <v/>
      </c>
      <c r="AA420" s="141" t="s">
        <v>1975</v>
      </c>
      <c r="AB420" s="141" t="s">
        <v>1976</v>
      </c>
    </row>
    <row r="421" spans="1:28">
      <c r="A421" s="151"/>
      <c r="B421" s="146" t="str">
        <f t="shared" si="38"/>
        <v/>
      </c>
      <c r="C421" s="151"/>
      <c r="D421" s="146" t="str">
        <f t="shared" si="39"/>
        <v/>
      </c>
      <c r="E421" s="186"/>
      <c r="F421" s="146" t="str">
        <f t="shared" si="40"/>
        <v/>
      </c>
      <c r="G421" s="185"/>
      <c r="H421" s="185"/>
      <c r="I421" s="185"/>
      <c r="J421" s="201"/>
      <c r="K421" s="200"/>
      <c r="L421" s="200"/>
      <c r="M421" s="201"/>
      <c r="N421" s="201"/>
      <c r="P421" s="141" t="str">
        <f t="shared" si="41"/>
        <v/>
      </c>
      <c r="Q421" s="141" t="str">
        <f t="shared" si="42"/>
        <v/>
      </c>
      <c r="AA421" s="141" t="s">
        <v>1977</v>
      </c>
      <c r="AB421" s="141" t="s">
        <v>1978</v>
      </c>
    </row>
    <row r="422" spans="1:28">
      <c r="A422" s="151"/>
      <c r="B422" s="146" t="str">
        <f t="shared" si="38"/>
        <v/>
      </c>
      <c r="C422" s="151"/>
      <c r="D422" s="146" t="str">
        <f t="shared" si="39"/>
        <v/>
      </c>
      <c r="E422" s="186"/>
      <c r="F422" s="146" t="str">
        <f t="shared" si="40"/>
        <v/>
      </c>
      <c r="G422" s="185"/>
      <c r="H422" s="185"/>
      <c r="I422" s="185"/>
      <c r="J422" s="201"/>
      <c r="K422" s="200"/>
      <c r="L422" s="200"/>
      <c r="M422" s="201"/>
      <c r="N422" s="201"/>
      <c r="P422" s="141" t="str">
        <f t="shared" si="41"/>
        <v/>
      </c>
      <c r="Q422" s="141" t="str">
        <f t="shared" si="42"/>
        <v/>
      </c>
      <c r="AA422" s="141" t="s">
        <v>1979</v>
      </c>
      <c r="AB422" s="141" t="s">
        <v>1980</v>
      </c>
    </row>
    <row r="423" spans="1:28">
      <c r="A423" s="151"/>
      <c r="B423" s="146" t="str">
        <f t="shared" si="38"/>
        <v/>
      </c>
      <c r="C423" s="151"/>
      <c r="D423" s="146" t="str">
        <f t="shared" si="39"/>
        <v/>
      </c>
      <c r="E423" s="186"/>
      <c r="F423" s="146" t="str">
        <f t="shared" si="40"/>
        <v/>
      </c>
      <c r="G423" s="185"/>
      <c r="H423" s="185"/>
      <c r="I423" s="185"/>
      <c r="J423" s="201"/>
      <c r="K423" s="200"/>
      <c r="L423" s="200"/>
      <c r="M423" s="201"/>
      <c r="N423" s="201"/>
      <c r="P423" s="141" t="str">
        <f t="shared" si="41"/>
        <v/>
      </c>
      <c r="Q423" s="141" t="str">
        <f t="shared" si="42"/>
        <v/>
      </c>
      <c r="AA423" s="141" t="s">
        <v>1981</v>
      </c>
      <c r="AB423" s="141" t="s">
        <v>1982</v>
      </c>
    </row>
    <row r="424" spans="1:28">
      <c r="A424" s="151"/>
      <c r="B424" s="146" t="str">
        <f t="shared" si="38"/>
        <v/>
      </c>
      <c r="C424" s="151"/>
      <c r="D424" s="146" t="str">
        <f t="shared" si="39"/>
        <v/>
      </c>
      <c r="E424" s="186"/>
      <c r="F424" s="146" t="str">
        <f t="shared" si="40"/>
        <v/>
      </c>
      <c r="G424" s="185"/>
      <c r="H424" s="185"/>
      <c r="I424" s="185"/>
      <c r="J424" s="201"/>
      <c r="K424" s="200"/>
      <c r="L424" s="200"/>
      <c r="M424" s="201"/>
      <c r="N424" s="201"/>
      <c r="P424" s="141" t="str">
        <f t="shared" si="41"/>
        <v/>
      </c>
      <c r="Q424" s="141" t="str">
        <f t="shared" si="42"/>
        <v/>
      </c>
      <c r="AA424" s="141" t="s">
        <v>1983</v>
      </c>
      <c r="AB424" s="141" t="s">
        <v>1984</v>
      </c>
    </row>
    <row r="425" spans="1:28">
      <c r="A425" s="151"/>
      <c r="B425" s="146" t="str">
        <f t="shared" si="38"/>
        <v/>
      </c>
      <c r="C425" s="151"/>
      <c r="D425" s="146" t="str">
        <f t="shared" si="39"/>
        <v/>
      </c>
      <c r="E425" s="186"/>
      <c r="F425" s="146" t="str">
        <f t="shared" si="40"/>
        <v/>
      </c>
      <c r="G425" s="185"/>
      <c r="H425" s="185"/>
      <c r="I425" s="185"/>
      <c r="J425" s="201"/>
      <c r="K425" s="200"/>
      <c r="L425" s="200"/>
      <c r="M425" s="201"/>
      <c r="N425" s="201"/>
      <c r="P425" s="141" t="str">
        <f t="shared" si="41"/>
        <v/>
      </c>
      <c r="Q425" s="141" t="str">
        <f t="shared" si="42"/>
        <v/>
      </c>
      <c r="AA425" s="141" t="s">
        <v>1985</v>
      </c>
      <c r="AB425" s="141" t="s">
        <v>1986</v>
      </c>
    </row>
    <row r="426" spans="1:28">
      <c r="A426" s="151"/>
      <c r="B426" s="146" t="str">
        <f t="shared" si="38"/>
        <v/>
      </c>
      <c r="C426" s="151"/>
      <c r="D426" s="146" t="str">
        <f t="shared" si="39"/>
        <v/>
      </c>
      <c r="E426" s="186"/>
      <c r="F426" s="146" t="str">
        <f t="shared" si="40"/>
        <v/>
      </c>
      <c r="G426" s="185"/>
      <c r="H426" s="185"/>
      <c r="I426" s="185"/>
      <c r="J426" s="201"/>
      <c r="K426" s="200"/>
      <c r="L426" s="200"/>
      <c r="M426" s="201"/>
      <c r="N426" s="201"/>
      <c r="P426" s="141" t="str">
        <f t="shared" si="41"/>
        <v/>
      </c>
      <c r="Q426" s="141" t="str">
        <f t="shared" si="42"/>
        <v/>
      </c>
      <c r="AA426" s="141" t="s">
        <v>1987</v>
      </c>
      <c r="AB426" s="141" t="s">
        <v>1988</v>
      </c>
    </row>
    <row r="427" spans="1:28">
      <c r="A427" s="151"/>
      <c r="B427" s="146" t="str">
        <f t="shared" si="38"/>
        <v/>
      </c>
      <c r="C427" s="151"/>
      <c r="D427" s="146" t="str">
        <f t="shared" si="39"/>
        <v/>
      </c>
      <c r="E427" s="186"/>
      <c r="F427" s="146" t="str">
        <f t="shared" si="40"/>
        <v/>
      </c>
      <c r="G427" s="185"/>
      <c r="H427" s="185"/>
      <c r="I427" s="185"/>
      <c r="J427" s="201"/>
      <c r="K427" s="200"/>
      <c r="L427" s="200"/>
      <c r="M427" s="201"/>
      <c r="N427" s="201"/>
      <c r="P427" s="141" t="str">
        <f t="shared" si="41"/>
        <v/>
      </c>
      <c r="Q427" s="141" t="str">
        <f t="shared" si="42"/>
        <v/>
      </c>
      <c r="AA427" s="141" t="s">
        <v>1989</v>
      </c>
      <c r="AB427" s="141" t="s">
        <v>1990</v>
      </c>
    </row>
    <row r="428" spans="1:28">
      <c r="A428" s="151"/>
      <c r="B428" s="146" t="str">
        <f t="shared" si="38"/>
        <v/>
      </c>
      <c r="C428" s="151"/>
      <c r="D428" s="146" t="str">
        <f t="shared" si="39"/>
        <v/>
      </c>
      <c r="E428" s="186"/>
      <c r="F428" s="146" t="str">
        <f t="shared" si="40"/>
        <v/>
      </c>
      <c r="G428" s="185"/>
      <c r="H428" s="185"/>
      <c r="I428" s="185"/>
      <c r="J428" s="201"/>
      <c r="K428" s="200"/>
      <c r="L428" s="200"/>
      <c r="M428" s="201"/>
      <c r="N428" s="201"/>
      <c r="P428" s="141" t="str">
        <f t="shared" si="41"/>
        <v/>
      </c>
      <c r="Q428" s="141" t="str">
        <f t="shared" si="42"/>
        <v/>
      </c>
      <c r="AA428" s="141" t="s">
        <v>1991</v>
      </c>
      <c r="AB428" s="141" t="s">
        <v>1992</v>
      </c>
    </row>
    <row r="429" spans="1:28">
      <c r="A429" s="151"/>
      <c r="B429" s="146" t="str">
        <f t="shared" si="38"/>
        <v/>
      </c>
      <c r="C429" s="151"/>
      <c r="D429" s="146" t="str">
        <f t="shared" si="39"/>
        <v/>
      </c>
      <c r="E429" s="186"/>
      <c r="F429" s="146" t="str">
        <f t="shared" si="40"/>
        <v/>
      </c>
      <c r="G429" s="185"/>
      <c r="H429" s="185"/>
      <c r="I429" s="185"/>
      <c r="J429" s="201"/>
      <c r="K429" s="200"/>
      <c r="L429" s="200"/>
      <c r="M429" s="201"/>
      <c r="N429" s="201"/>
      <c r="P429" s="141" t="str">
        <f t="shared" si="41"/>
        <v/>
      </c>
      <c r="Q429" s="141" t="str">
        <f t="shared" si="42"/>
        <v/>
      </c>
      <c r="AA429" s="141" t="s">
        <v>1993</v>
      </c>
      <c r="AB429" s="141" t="s">
        <v>1994</v>
      </c>
    </row>
    <row r="430" spans="1:28">
      <c r="A430" s="151"/>
      <c r="B430" s="146" t="str">
        <f t="shared" si="38"/>
        <v/>
      </c>
      <c r="C430" s="151"/>
      <c r="D430" s="146" t="str">
        <f t="shared" si="39"/>
        <v/>
      </c>
      <c r="E430" s="186"/>
      <c r="F430" s="146" t="str">
        <f t="shared" si="40"/>
        <v/>
      </c>
      <c r="G430" s="185"/>
      <c r="H430" s="185"/>
      <c r="I430" s="185"/>
      <c r="J430" s="201"/>
      <c r="K430" s="200"/>
      <c r="L430" s="200"/>
      <c r="M430" s="201"/>
      <c r="N430" s="201"/>
      <c r="P430" s="141" t="str">
        <f t="shared" si="41"/>
        <v/>
      </c>
      <c r="Q430" s="141" t="str">
        <f t="shared" si="42"/>
        <v/>
      </c>
      <c r="AA430" s="141" t="s">
        <v>1995</v>
      </c>
      <c r="AB430" s="141" t="s">
        <v>1996</v>
      </c>
    </row>
    <row r="431" spans="1:28">
      <c r="A431" s="151"/>
      <c r="B431" s="146" t="str">
        <f t="shared" si="38"/>
        <v/>
      </c>
      <c r="C431" s="151"/>
      <c r="D431" s="146" t="str">
        <f t="shared" si="39"/>
        <v/>
      </c>
      <c r="E431" s="186"/>
      <c r="F431" s="146" t="str">
        <f t="shared" si="40"/>
        <v/>
      </c>
      <c r="G431" s="185"/>
      <c r="H431" s="185"/>
      <c r="I431" s="185"/>
      <c r="J431" s="201"/>
      <c r="K431" s="200"/>
      <c r="L431" s="200"/>
      <c r="M431" s="201"/>
      <c r="N431" s="201"/>
      <c r="P431" s="141" t="str">
        <f t="shared" si="41"/>
        <v/>
      </c>
      <c r="Q431" s="141" t="str">
        <f t="shared" si="42"/>
        <v/>
      </c>
      <c r="AA431" s="141" t="s">
        <v>1997</v>
      </c>
      <c r="AB431" s="141" t="s">
        <v>1998</v>
      </c>
    </row>
    <row r="432" spans="1:28">
      <c r="A432" s="151"/>
      <c r="B432" s="146" t="str">
        <f t="shared" si="38"/>
        <v/>
      </c>
      <c r="C432" s="151"/>
      <c r="D432" s="146" t="str">
        <f t="shared" si="39"/>
        <v/>
      </c>
      <c r="E432" s="186"/>
      <c r="F432" s="146" t="str">
        <f t="shared" si="40"/>
        <v/>
      </c>
      <c r="G432" s="185"/>
      <c r="H432" s="185"/>
      <c r="I432" s="185"/>
      <c r="J432" s="201"/>
      <c r="K432" s="200"/>
      <c r="L432" s="200"/>
      <c r="M432" s="201"/>
      <c r="N432" s="201"/>
      <c r="P432" s="141" t="str">
        <f t="shared" si="41"/>
        <v/>
      </c>
      <c r="Q432" s="141" t="str">
        <f t="shared" si="42"/>
        <v/>
      </c>
      <c r="AA432" s="141" t="s">
        <v>1999</v>
      </c>
      <c r="AB432" s="141" t="s">
        <v>2000</v>
      </c>
    </row>
    <row r="433" spans="1:28">
      <c r="A433" s="151"/>
      <c r="B433" s="146" t="str">
        <f t="shared" si="38"/>
        <v/>
      </c>
      <c r="C433" s="151"/>
      <c r="D433" s="146" t="str">
        <f t="shared" si="39"/>
        <v/>
      </c>
      <c r="E433" s="186"/>
      <c r="F433" s="146" t="str">
        <f t="shared" si="40"/>
        <v/>
      </c>
      <c r="G433" s="185"/>
      <c r="H433" s="185"/>
      <c r="I433" s="185"/>
      <c r="J433" s="201"/>
      <c r="K433" s="200"/>
      <c r="L433" s="200"/>
      <c r="M433" s="201"/>
      <c r="N433" s="201"/>
      <c r="P433" s="141" t="str">
        <f t="shared" si="41"/>
        <v/>
      </c>
      <c r="Q433" s="141" t="str">
        <f t="shared" si="42"/>
        <v/>
      </c>
      <c r="AA433" s="141" t="s">
        <v>2001</v>
      </c>
      <c r="AB433" s="141" t="s">
        <v>2002</v>
      </c>
    </row>
    <row r="434" spans="1:28">
      <c r="A434" s="151"/>
      <c r="B434" s="146" t="str">
        <f t="shared" si="38"/>
        <v/>
      </c>
      <c r="C434" s="151"/>
      <c r="D434" s="146" t="str">
        <f t="shared" si="39"/>
        <v/>
      </c>
      <c r="E434" s="186"/>
      <c r="F434" s="146" t="str">
        <f t="shared" si="40"/>
        <v/>
      </c>
      <c r="G434" s="185"/>
      <c r="H434" s="185"/>
      <c r="I434" s="185"/>
      <c r="J434" s="201"/>
      <c r="K434" s="200"/>
      <c r="L434" s="200"/>
      <c r="M434" s="201"/>
      <c r="N434" s="201"/>
      <c r="P434" s="141" t="str">
        <f t="shared" si="41"/>
        <v/>
      </c>
      <c r="Q434" s="141" t="str">
        <f t="shared" si="42"/>
        <v/>
      </c>
      <c r="AA434" s="141" t="s">
        <v>2003</v>
      </c>
      <c r="AB434" s="141" t="s">
        <v>2004</v>
      </c>
    </row>
    <row r="435" spans="1:28">
      <c r="A435" s="151"/>
      <c r="B435" s="146" t="str">
        <f t="shared" si="38"/>
        <v/>
      </c>
      <c r="C435" s="151"/>
      <c r="D435" s="146" t="str">
        <f t="shared" si="39"/>
        <v/>
      </c>
      <c r="E435" s="186"/>
      <c r="F435" s="146" t="str">
        <f t="shared" si="40"/>
        <v/>
      </c>
      <c r="G435" s="185"/>
      <c r="H435" s="185"/>
      <c r="I435" s="185"/>
      <c r="J435" s="201"/>
      <c r="K435" s="200"/>
      <c r="L435" s="200"/>
      <c r="M435" s="201"/>
      <c r="N435" s="201"/>
      <c r="P435" s="141" t="str">
        <f t="shared" si="41"/>
        <v/>
      </c>
      <c r="Q435" s="141" t="str">
        <f t="shared" si="42"/>
        <v/>
      </c>
      <c r="AA435" s="141" t="s">
        <v>2005</v>
      </c>
      <c r="AB435" s="141" t="s">
        <v>2006</v>
      </c>
    </row>
    <row r="436" spans="1:28">
      <c r="A436" s="151"/>
      <c r="B436" s="146" t="str">
        <f t="shared" si="38"/>
        <v/>
      </c>
      <c r="C436" s="151"/>
      <c r="D436" s="146" t="str">
        <f t="shared" si="39"/>
        <v/>
      </c>
      <c r="E436" s="186"/>
      <c r="F436" s="146" t="str">
        <f t="shared" si="40"/>
        <v/>
      </c>
      <c r="G436" s="185"/>
      <c r="H436" s="185"/>
      <c r="I436" s="185"/>
      <c r="J436" s="201"/>
      <c r="K436" s="200"/>
      <c r="L436" s="200"/>
      <c r="M436" s="201"/>
      <c r="N436" s="201"/>
      <c r="P436" s="141" t="str">
        <f t="shared" si="41"/>
        <v/>
      </c>
      <c r="Q436" s="141" t="str">
        <f t="shared" si="42"/>
        <v/>
      </c>
      <c r="AA436" s="141" t="s">
        <v>2007</v>
      </c>
      <c r="AB436" s="141" t="s">
        <v>2008</v>
      </c>
    </row>
    <row r="437" spans="1:28">
      <c r="A437" s="151"/>
      <c r="B437" s="146" t="str">
        <f t="shared" si="38"/>
        <v/>
      </c>
      <c r="C437" s="151"/>
      <c r="D437" s="146" t="str">
        <f t="shared" si="39"/>
        <v/>
      </c>
      <c r="E437" s="186"/>
      <c r="F437" s="146" t="str">
        <f t="shared" si="40"/>
        <v/>
      </c>
      <c r="G437" s="185"/>
      <c r="H437" s="185"/>
      <c r="I437" s="185"/>
      <c r="J437" s="201"/>
      <c r="K437" s="200"/>
      <c r="L437" s="200"/>
      <c r="M437" s="201"/>
      <c r="N437" s="201"/>
      <c r="P437" s="141" t="str">
        <f t="shared" si="41"/>
        <v/>
      </c>
      <c r="Q437" s="141" t="str">
        <f t="shared" si="42"/>
        <v/>
      </c>
      <c r="AA437" s="141" t="s">
        <v>2009</v>
      </c>
      <c r="AB437" s="141" t="s">
        <v>2010</v>
      </c>
    </row>
    <row r="438" spans="1:28">
      <c r="A438" s="151"/>
      <c r="B438" s="146" t="str">
        <f t="shared" si="38"/>
        <v/>
      </c>
      <c r="C438" s="151"/>
      <c r="D438" s="146" t="str">
        <f t="shared" si="39"/>
        <v/>
      </c>
      <c r="E438" s="186"/>
      <c r="F438" s="146" t="str">
        <f t="shared" si="40"/>
        <v/>
      </c>
      <c r="G438" s="185"/>
      <c r="H438" s="185"/>
      <c r="I438" s="185"/>
      <c r="J438" s="201"/>
      <c r="K438" s="200"/>
      <c r="L438" s="200"/>
      <c r="M438" s="201"/>
      <c r="N438" s="201"/>
      <c r="P438" s="141" t="str">
        <f t="shared" si="41"/>
        <v/>
      </c>
      <c r="Q438" s="141" t="str">
        <f t="shared" si="42"/>
        <v/>
      </c>
      <c r="AA438" s="141" t="s">
        <v>2011</v>
      </c>
      <c r="AB438" s="141" t="s">
        <v>2012</v>
      </c>
    </row>
    <row r="439" spans="1:28">
      <c r="A439" s="151"/>
      <c r="B439" s="146" t="str">
        <f t="shared" si="38"/>
        <v/>
      </c>
      <c r="C439" s="151"/>
      <c r="D439" s="146" t="str">
        <f t="shared" si="39"/>
        <v/>
      </c>
      <c r="E439" s="186"/>
      <c r="F439" s="146" t="str">
        <f t="shared" si="40"/>
        <v/>
      </c>
      <c r="G439" s="185"/>
      <c r="H439" s="185"/>
      <c r="I439" s="185"/>
      <c r="J439" s="201"/>
      <c r="K439" s="200"/>
      <c r="L439" s="200"/>
      <c r="M439" s="201"/>
      <c r="N439" s="201"/>
      <c r="P439" s="141" t="str">
        <f t="shared" si="41"/>
        <v/>
      </c>
      <c r="Q439" s="141" t="str">
        <f t="shared" si="42"/>
        <v/>
      </c>
      <c r="AA439" s="141" t="s">
        <v>2013</v>
      </c>
      <c r="AB439" s="141" t="s">
        <v>2014</v>
      </c>
    </row>
    <row r="440" spans="1:28">
      <c r="A440" s="151"/>
      <c r="B440" s="146" t="str">
        <f t="shared" si="38"/>
        <v/>
      </c>
      <c r="C440" s="151"/>
      <c r="D440" s="146" t="str">
        <f t="shared" si="39"/>
        <v/>
      </c>
      <c r="E440" s="186"/>
      <c r="F440" s="146" t="str">
        <f t="shared" si="40"/>
        <v/>
      </c>
      <c r="G440" s="185"/>
      <c r="H440" s="185"/>
      <c r="I440" s="185"/>
      <c r="J440" s="201"/>
      <c r="K440" s="200"/>
      <c r="L440" s="200"/>
      <c r="M440" s="201"/>
      <c r="N440" s="201"/>
      <c r="P440" s="141" t="str">
        <f t="shared" si="41"/>
        <v/>
      </c>
      <c r="Q440" s="141" t="str">
        <f t="shared" si="42"/>
        <v/>
      </c>
      <c r="AA440" s="141" t="s">
        <v>2015</v>
      </c>
      <c r="AB440" s="141" t="s">
        <v>2016</v>
      </c>
    </row>
    <row r="441" spans="1:28">
      <c r="A441" s="151"/>
      <c r="B441" s="146" t="str">
        <f t="shared" si="38"/>
        <v/>
      </c>
      <c r="C441" s="151"/>
      <c r="D441" s="146" t="str">
        <f t="shared" si="39"/>
        <v/>
      </c>
      <c r="E441" s="186"/>
      <c r="F441" s="146" t="str">
        <f t="shared" si="40"/>
        <v/>
      </c>
      <c r="G441" s="185"/>
      <c r="H441" s="185"/>
      <c r="I441" s="185"/>
      <c r="J441" s="201"/>
      <c r="K441" s="200"/>
      <c r="L441" s="200"/>
      <c r="M441" s="201"/>
      <c r="N441" s="201"/>
      <c r="P441" s="141" t="str">
        <f t="shared" si="41"/>
        <v/>
      </c>
      <c r="Q441" s="141" t="str">
        <f t="shared" si="42"/>
        <v/>
      </c>
      <c r="AA441" s="141" t="s">
        <v>2017</v>
      </c>
      <c r="AB441" s="141" t="s">
        <v>2018</v>
      </c>
    </row>
    <row r="442" spans="1:28">
      <c r="A442" s="151"/>
      <c r="B442" s="146" t="str">
        <f t="shared" si="38"/>
        <v/>
      </c>
      <c r="C442" s="151"/>
      <c r="D442" s="146" t="str">
        <f t="shared" si="39"/>
        <v/>
      </c>
      <c r="E442" s="186"/>
      <c r="F442" s="146" t="str">
        <f t="shared" si="40"/>
        <v/>
      </c>
      <c r="G442" s="185"/>
      <c r="H442" s="185"/>
      <c r="I442" s="185"/>
      <c r="J442" s="201"/>
      <c r="K442" s="200"/>
      <c r="L442" s="200"/>
      <c r="M442" s="201"/>
      <c r="N442" s="201"/>
      <c r="P442" s="141" t="str">
        <f t="shared" si="41"/>
        <v/>
      </c>
      <c r="Q442" s="141" t="str">
        <f t="shared" si="42"/>
        <v/>
      </c>
      <c r="AA442" s="141" t="s">
        <v>2019</v>
      </c>
      <c r="AB442" s="141" t="s">
        <v>2020</v>
      </c>
    </row>
    <row r="443" spans="1:28">
      <c r="A443" s="151"/>
      <c r="B443" s="146" t="str">
        <f t="shared" si="38"/>
        <v/>
      </c>
      <c r="C443" s="151"/>
      <c r="D443" s="146" t="str">
        <f t="shared" si="39"/>
        <v/>
      </c>
      <c r="E443" s="186"/>
      <c r="F443" s="146" t="str">
        <f t="shared" si="40"/>
        <v/>
      </c>
      <c r="G443" s="185"/>
      <c r="H443" s="185"/>
      <c r="I443" s="185"/>
      <c r="J443" s="201"/>
      <c r="K443" s="200"/>
      <c r="L443" s="200"/>
      <c r="M443" s="201"/>
      <c r="N443" s="201"/>
      <c r="P443" s="141" t="str">
        <f t="shared" si="41"/>
        <v/>
      </c>
      <c r="Q443" s="141" t="str">
        <f t="shared" si="42"/>
        <v/>
      </c>
      <c r="AA443" s="141" t="s">
        <v>2021</v>
      </c>
      <c r="AB443" s="141" t="s">
        <v>2022</v>
      </c>
    </row>
    <row r="444" spans="1:28">
      <c r="A444" s="151"/>
      <c r="B444" s="146" t="str">
        <f t="shared" si="38"/>
        <v/>
      </c>
      <c r="C444" s="151"/>
      <c r="D444" s="146" t="str">
        <f t="shared" si="39"/>
        <v/>
      </c>
      <c r="E444" s="186"/>
      <c r="F444" s="146" t="str">
        <f t="shared" si="40"/>
        <v/>
      </c>
      <c r="G444" s="185"/>
      <c r="H444" s="185"/>
      <c r="I444" s="185"/>
      <c r="J444" s="201"/>
      <c r="K444" s="200"/>
      <c r="L444" s="200"/>
      <c r="M444" s="201"/>
      <c r="N444" s="201"/>
      <c r="P444" s="141" t="str">
        <f t="shared" si="41"/>
        <v/>
      </c>
      <c r="Q444" s="141" t="str">
        <f t="shared" si="42"/>
        <v/>
      </c>
      <c r="AA444" s="141" t="s">
        <v>1190</v>
      </c>
      <c r="AB444" s="141" t="s">
        <v>347</v>
      </c>
    </row>
    <row r="445" spans="1:28">
      <c r="A445" s="151"/>
      <c r="B445" s="146" t="str">
        <f t="shared" si="38"/>
        <v/>
      </c>
      <c r="C445" s="151"/>
      <c r="D445" s="146" t="str">
        <f t="shared" si="39"/>
        <v/>
      </c>
      <c r="E445" s="186"/>
      <c r="F445" s="146" t="str">
        <f t="shared" si="40"/>
        <v/>
      </c>
      <c r="G445" s="185"/>
      <c r="H445" s="185"/>
      <c r="I445" s="185"/>
      <c r="J445" s="201"/>
      <c r="K445" s="200"/>
      <c r="L445" s="200"/>
      <c r="M445" s="201"/>
      <c r="N445" s="201"/>
      <c r="P445" s="141" t="str">
        <f t="shared" si="41"/>
        <v/>
      </c>
      <c r="Q445" s="141" t="str">
        <f t="shared" si="42"/>
        <v/>
      </c>
      <c r="AA445" s="141" t="s">
        <v>1191</v>
      </c>
      <c r="AB445" s="141" t="s">
        <v>348</v>
      </c>
    </row>
    <row r="446" spans="1:28">
      <c r="A446" s="151"/>
      <c r="B446" s="146" t="str">
        <f t="shared" si="38"/>
        <v/>
      </c>
      <c r="C446" s="151"/>
      <c r="D446" s="146" t="str">
        <f t="shared" si="39"/>
        <v/>
      </c>
      <c r="E446" s="186"/>
      <c r="F446" s="146" t="str">
        <f t="shared" si="40"/>
        <v/>
      </c>
      <c r="G446" s="185"/>
      <c r="H446" s="185"/>
      <c r="I446" s="185"/>
      <c r="J446" s="201"/>
      <c r="K446" s="200"/>
      <c r="L446" s="200"/>
      <c r="M446" s="201"/>
      <c r="N446" s="201"/>
      <c r="P446" s="141" t="str">
        <f t="shared" si="41"/>
        <v/>
      </c>
      <c r="Q446" s="141" t="str">
        <f t="shared" si="42"/>
        <v/>
      </c>
      <c r="AA446" s="141" t="s">
        <v>1192</v>
      </c>
      <c r="AB446" s="141" t="s">
        <v>1193</v>
      </c>
    </row>
    <row r="447" spans="1:28">
      <c r="A447" s="151"/>
      <c r="B447" s="146" t="str">
        <f t="shared" si="38"/>
        <v/>
      </c>
      <c r="C447" s="151"/>
      <c r="D447" s="146" t="str">
        <f t="shared" si="39"/>
        <v/>
      </c>
      <c r="E447" s="186"/>
      <c r="F447" s="146" t="str">
        <f t="shared" si="40"/>
        <v/>
      </c>
      <c r="G447" s="185"/>
      <c r="H447" s="185"/>
      <c r="I447" s="185"/>
      <c r="J447" s="201"/>
      <c r="K447" s="200"/>
      <c r="L447" s="200"/>
      <c r="M447" s="201"/>
      <c r="N447" s="201"/>
      <c r="P447" s="141" t="str">
        <f t="shared" si="41"/>
        <v/>
      </c>
      <c r="Q447" s="141" t="str">
        <f t="shared" si="42"/>
        <v/>
      </c>
      <c r="AA447" s="141" t="s">
        <v>1194</v>
      </c>
      <c r="AB447" s="141" t="s">
        <v>1111</v>
      </c>
    </row>
    <row r="448" spans="1:28">
      <c r="A448" s="151"/>
      <c r="B448" s="146" t="str">
        <f t="shared" si="38"/>
        <v/>
      </c>
      <c r="C448" s="151"/>
      <c r="D448" s="146" t="str">
        <f t="shared" si="39"/>
        <v/>
      </c>
      <c r="E448" s="186"/>
      <c r="F448" s="146" t="str">
        <f t="shared" si="40"/>
        <v/>
      </c>
      <c r="G448" s="185"/>
      <c r="H448" s="185"/>
      <c r="I448" s="185"/>
      <c r="J448" s="201"/>
      <c r="K448" s="200"/>
      <c r="L448" s="200"/>
      <c r="M448" s="201"/>
      <c r="N448" s="201"/>
      <c r="P448" s="141" t="str">
        <f t="shared" si="41"/>
        <v/>
      </c>
      <c r="Q448" s="141" t="str">
        <f t="shared" si="42"/>
        <v/>
      </c>
      <c r="AA448" s="141" t="s">
        <v>2023</v>
      </c>
    </row>
    <row r="449" spans="1:28">
      <c r="A449" s="151"/>
      <c r="B449" s="146" t="str">
        <f t="shared" si="38"/>
        <v/>
      </c>
      <c r="C449" s="151"/>
      <c r="D449" s="146" t="str">
        <f t="shared" si="39"/>
        <v/>
      </c>
      <c r="E449" s="186"/>
      <c r="F449" s="146" t="str">
        <f t="shared" si="40"/>
        <v/>
      </c>
      <c r="G449" s="185"/>
      <c r="H449" s="185"/>
      <c r="I449" s="185"/>
      <c r="J449" s="201"/>
      <c r="K449" s="200"/>
      <c r="L449" s="200"/>
      <c r="M449" s="201"/>
      <c r="N449" s="201"/>
      <c r="P449" s="141" t="str">
        <f t="shared" si="41"/>
        <v/>
      </c>
      <c r="Q449" s="141" t="str">
        <f t="shared" si="42"/>
        <v/>
      </c>
      <c r="AA449" s="141" t="s">
        <v>2024</v>
      </c>
    </row>
    <row r="450" spans="1:28">
      <c r="A450" s="151"/>
      <c r="B450" s="146" t="str">
        <f t="shared" si="38"/>
        <v/>
      </c>
      <c r="C450" s="151"/>
      <c r="D450" s="146" t="str">
        <f t="shared" si="39"/>
        <v/>
      </c>
      <c r="E450" s="186"/>
      <c r="F450" s="146" t="str">
        <f t="shared" si="40"/>
        <v/>
      </c>
      <c r="G450" s="185"/>
      <c r="H450" s="185"/>
      <c r="I450" s="185"/>
      <c r="J450" s="201"/>
      <c r="K450" s="200"/>
      <c r="L450" s="200"/>
      <c r="M450" s="201"/>
      <c r="N450" s="201"/>
      <c r="P450" s="141" t="str">
        <f t="shared" si="41"/>
        <v/>
      </c>
      <c r="Q450" s="141" t="str">
        <f t="shared" si="42"/>
        <v/>
      </c>
      <c r="AA450" s="141" t="s">
        <v>2025</v>
      </c>
      <c r="AB450" s="141" t="s">
        <v>2026</v>
      </c>
    </row>
    <row r="451" spans="1:28">
      <c r="A451" s="151"/>
      <c r="B451" s="146" t="str">
        <f t="shared" si="38"/>
        <v/>
      </c>
      <c r="C451" s="151"/>
      <c r="D451" s="146" t="str">
        <f t="shared" si="39"/>
        <v/>
      </c>
      <c r="E451" s="186"/>
      <c r="F451" s="146" t="str">
        <f t="shared" si="40"/>
        <v/>
      </c>
      <c r="G451" s="185"/>
      <c r="H451" s="185"/>
      <c r="I451" s="185"/>
      <c r="J451" s="201"/>
      <c r="K451" s="200"/>
      <c r="L451" s="200"/>
      <c r="M451" s="201"/>
      <c r="N451" s="201"/>
      <c r="P451" s="141" t="str">
        <f t="shared" si="41"/>
        <v/>
      </c>
      <c r="Q451" s="141" t="str">
        <f t="shared" si="42"/>
        <v/>
      </c>
      <c r="AA451" s="141" t="s">
        <v>2027</v>
      </c>
      <c r="AB451" s="141" t="s">
        <v>1495</v>
      </c>
    </row>
    <row r="452" spans="1:28">
      <c r="A452" s="151"/>
      <c r="B452" s="146" t="str">
        <f t="shared" ref="B452:B501" si="43">IFERROR(VLOOKUP(A452,$R$6:$S$23,2,FALSE),"")</f>
        <v/>
      </c>
      <c r="C452" s="151"/>
      <c r="D452" s="146" t="str">
        <f t="shared" ref="D452:D501" si="44">IFERROR(VLOOKUP(C452,$U$5:$W$129,2,FALSE),"")</f>
        <v/>
      </c>
      <c r="E452" s="186"/>
      <c r="F452" s="146" t="str">
        <f t="shared" ref="F452:F501" si="45">IFERROR(VLOOKUP(E452,$AA$5:$AB$500,2,FALSE),"")</f>
        <v/>
      </c>
      <c r="G452" s="185"/>
      <c r="H452" s="185"/>
      <c r="I452" s="185"/>
      <c r="J452" s="201"/>
      <c r="K452" s="200"/>
      <c r="L452" s="200"/>
      <c r="M452" s="201"/>
      <c r="N452" s="201"/>
      <c r="P452" s="141" t="str">
        <f t="shared" ref="P452:P501" si="46">LEFT(C452,3)</f>
        <v/>
      </c>
      <c r="Q452" s="141" t="str">
        <f t="shared" ref="Q452:Q501" si="47">LEFT(C452,2)</f>
        <v/>
      </c>
      <c r="AA452" s="141" t="s">
        <v>1509</v>
      </c>
      <c r="AB452" s="141" t="s">
        <v>1510</v>
      </c>
    </row>
    <row r="453" spans="1:28">
      <c r="A453" s="151"/>
      <c r="B453" s="146" t="str">
        <f t="shared" si="43"/>
        <v/>
      </c>
      <c r="C453" s="151"/>
      <c r="D453" s="146" t="str">
        <f t="shared" si="44"/>
        <v/>
      </c>
      <c r="E453" s="186"/>
      <c r="F453" s="146" t="str">
        <f t="shared" si="45"/>
        <v/>
      </c>
      <c r="G453" s="185"/>
      <c r="H453" s="185"/>
      <c r="I453" s="185"/>
      <c r="J453" s="201"/>
      <c r="K453" s="200"/>
      <c r="L453" s="200"/>
      <c r="M453" s="201"/>
      <c r="N453" s="201"/>
      <c r="P453" s="141" t="str">
        <f t="shared" si="46"/>
        <v/>
      </c>
      <c r="Q453" s="141" t="str">
        <f t="shared" si="47"/>
        <v/>
      </c>
      <c r="AA453" s="141" t="s">
        <v>1511</v>
      </c>
      <c r="AB453" s="141" t="s">
        <v>1512</v>
      </c>
    </row>
    <row r="454" spans="1:28">
      <c r="A454" s="151"/>
      <c r="B454" s="146" t="str">
        <f t="shared" si="43"/>
        <v/>
      </c>
      <c r="C454" s="151"/>
      <c r="D454" s="146" t="str">
        <f t="shared" si="44"/>
        <v/>
      </c>
      <c r="E454" s="186"/>
      <c r="F454" s="146" t="str">
        <f t="shared" si="45"/>
        <v/>
      </c>
      <c r="G454" s="185"/>
      <c r="H454" s="185"/>
      <c r="I454" s="185"/>
      <c r="J454" s="201"/>
      <c r="K454" s="200"/>
      <c r="L454" s="200"/>
      <c r="M454" s="201"/>
      <c r="N454" s="201"/>
      <c r="P454" s="141" t="str">
        <f t="shared" si="46"/>
        <v/>
      </c>
      <c r="Q454" s="141" t="str">
        <f t="shared" si="47"/>
        <v/>
      </c>
      <c r="AA454" s="141" t="s">
        <v>1513</v>
      </c>
      <c r="AB454" s="141" t="s">
        <v>1514</v>
      </c>
    </row>
    <row r="455" spans="1:28">
      <c r="A455" s="151"/>
      <c r="B455" s="146" t="str">
        <f t="shared" si="43"/>
        <v/>
      </c>
      <c r="C455" s="151"/>
      <c r="D455" s="146" t="str">
        <f t="shared" si="44"/>
        <v/>
      </c>
      <c r="E455" s="186"/>
      <c r="F455" s="146" t="str">
        <f t="shared" si="45"/>
        <v/>
      </c>
      <c r="G455" s="185"/>
      <c r="H455" s="185"/>
      <c r="I455" s="185"/>
      <c r="J455" s="201"/>
      <c r="K455" s="200"/>
      <c r="L455" s="200"/>
      <c r="M455" s="201"/>
      <c r="N455" s="201"/>
      <c r="P455" s="141" t="str">
        <f t="shared" si="46"/>
        <v/>
      </c>
      <c r="Q455" s="141" t="str">
        <f t="shared" si="47"/>
        <v/>
      </c>
      <c r="AA455" s="141" t="s">
        <v>1515</v>
      </c>
      <c r="AB455" s="141" t="s">
        <v>1516</v>
      </c>
    </row>
    <row r="456" spans="1:28">
      <c r="A456" s="151"/>
      <c r="B456" s="146" t="str">
        <f t="shared" si="43"/>
        <v/>
      </c>
      <c r="C456" s="151"/>
      <c r="D456" s="146" t="str">
        <f t="shared" si="44"/>
        <v/>
      </c>
      <c r="E456" s="186"/>
      <c r="F456" s="146" t="str">
        <f t="shared" si="45"/>
        <v/>
      </c>
      <c r="G456" s="185"/>
      <c r="H456" s="185"/>
      <c r="I456" s="185"/>
      <c r="J456" s="201"/>
      <c r="K456" s="200"/>
      <c r="L456" s="200"/>
      <c r="M456" s="201"/>
      <c r="N456" s="201"/>
      <c r="P456" s="141" t="str">
        <f t="shared" si="46"/>
        <v/>
      </c>
      <c r="Q456" s="141" t="str">
        <f t="shared" si="47"/>
        <v/>
      </c>
      <c r="AA456" s="141" t="s">
        <v>1517</v>
      </c>
      <c r="AB456" s="141" t="s">
        <v>1518</v>
      </c>
    </row>
    <row r="457" spans="1:28">
      <c r="A457" s="151"/>
      <c r="B457" s="146" t="str">
        <f t="shared" si="43"/>
        <v/>
      </c>
      <c r="C457" s="151"/>
      <c r="D457" s="146" t="str">
        <f t="shared" si="44"/>
        <v/>
      </c>
      <c r="E457" s="186"/>
      <c r="F457" s="146" t="str">
        <f t="shared" si="45"/>
        <v/>
      </c>
      <c r="G457" s="185"/>
      <c r="H457" s="185"/>
      <c r="I457" s="185"/>
      <c r="J457" s="201"/>
      <c r="K457" s="200"/>
      <c r="L457" s="200"/>
      <c r="M457" s="201"/>
      <c r="N457" s="201"/>
      <c r="P457" s="141" t="str">
        <f t="shared" si="46"/>
        <v/>
      </c>
      <c r="Q457" s="141" t="str">
        <f t="shared" si="47"/>
        <v/>
      </c>
      <c r="AA457" s="141" t="s">
        <v>1519</v>
      </c>
      <c r="AB457" s="141" t="s">
        <v>1520</v>
      </c>
    </row>
    <row r="458" spans="1:28">
      <c r="A458" s="151"/>
      <c r="B458" s="146" t="str">
        <f t="shared" si="43"/>
        <v/>
      </c>
      <c r="C458" s="151"/>
      <c r="D458" s="146" t="str">
        <f t="shared" si="44"/>
        <v/>
      </c>
      <c r="E458" s="186"/>
      <c r="F458" s="146" t="str">
        <f t="shared" si="45"/>
        <v/>
      </c>
      <c r="G458" s="185"/>
      <c r="H458" s="185"/>
      <c r="I458" s="185"/>
      <c r="J458" s="201"/>
      <c r="K458" s="200"/>
      <c r="L458" s="200"/>
      <c r="M458" s="201"/>
      <c r="N458" s="201"/>
      <c r="P458" s="141" t="str">
        <f t="shared" si="46"/>
        <v/>
      </c>
      <c r="Q458" s="141" t="str">
        <f t="shared" si="47"/>
        <v/>
      </c>
      <c r="AA458" s="141" t="s">
        <v>1521</v>
      </c>
      <c r="AB458" s="141" t="s">
        <v>1522</v>
      </c>
    </row>
    <row r="459" spans="1:28">
      <c r="A459" s="151"/>
      <c r="B459" s="146" t="str">
        <f t="shared" si="43"/>
        <v/>
      </c>
      <c r="C459" s="151"/>
      <c r="D459" s="146" t="str">
        <f t="shared" si="44"/>
        <v/>
      </c>
      <c r="E459" s="186"/>
      <c r="F459" s="146" t="str">
        <f t="shared" si="45"/>
        <v/>
      </c>
      <c r="G459" s="185"/>
      <c r="H459" s="185"/>
      <c r="I459" s="185"/>
      <c r="J459" s="201"/>
      <c r="K459" s="200"/>
      <c r="L459" s="200"/>
      <c r="M459" s="201"/>
      <c r="N459" s="201"/>
      <c r="P459" s="141" t="str">
        <f t="shared" si="46"/>
        <v/>
      </c>
      <c r="Q459" s="141" t="str">
        <f t="shared" si="47"/>
        <v/>
      </c>
      <c r="AA459" s="141" t="s">
        <v>1523</v>
      </c>
      <c r="AB459" s="141" t="s">
        <v>1524</v>
      </c>
    </row>
    <row r="460" spans="1:28">
      <c r="A460" s="151"/>
      <c r="B460" s="146" t="str">
        <f t="shared" si="43"/>
        <v/>
      </c>
      <c r="C460" s="151"/>
      <c r="D460" s="146" t="str">
        <f t="shared" si="44"/>
        <v/>
      </c>
      <c r="E460" s="186"/>
      <c r="F460" s="146" t="str">
        <f t="shared" si="45"/>
        <v/>
      </c>
      <c r="G460" s="185"/>
      <c r="H460" s="185"/>
      <c r="I460" s="185"/>
      <c r="J460" s="201"/>
      <c r="K460" s="200"/>
      <c r="L460" s="200"/>
      <c r="M460" s="201"/>
      <c r="N460" s="201"/>
      <c r="P460" s="141" t="str">
        <f t="shared" si="46"/>
        <v/>
      </c>
      <c r="Q460" s="141" t="str">
        <f t="shared" si="47"/>
        <v/>
      </c>
      <c r="AA460" s="141" t="s">
        <v>1525</v>
      </c>
      <c r="AB460" s="141" t="s">
        <v>1526</v>
      </c>
    </row>
    <row r="461" spans="1:28">
      <c r="A461" s="151"/>
      <c r="B461" s="146" t="str">
        <f t="shared" si="43"/>
        <v/>
      </c>
      <c r="C461" s="151"/>
      <c r="D461" s="146" t="str">
        <f t="shared" si="44"/>
        <v/>
      </c>
      <c r="E461" s="186"/>
      <c r="F461" s="146" t="str">
        <f t="shared" si="45"/>
        <v/>
      </c>
      <c r="G461" s="185"/>
      <c r="H461" s="185"/>
      <c r="I461" s="185"/>
      <c r="J461" s="201"/>
      <c r="K461" s="200"/>
      <c r="L461" s="200"/>
      <c r="M461" s="201"/>
      <c r="N461" s="201"/>
      <c r="P461" s="141" t="str">
        <f t="shared" si="46"/>
        <v/>
      </c>
      <c r="Q461" s="141" t="str">
        <f t="shared" si="47"/>
        <v/>
      </c>
      <c r="AA461" s="141" t="s">
        <v>1527</v>
      </c>
      <c r="AB461" s="141" t="s">
        <v>1528</v>
      </c>
    </row>
    <row r="462" spans="1:28">
      <c r="A462" s="151"/>
      <c r="B462" s="146" t="str">
        <f t="shared" si="43"/>
        <v/>
      </c>
      <c r="C462" s="151"/>
      <c r="D462" s="146" t="str">
        <f t="shared" si="44"/>
        <v/>
      </c>
      <c r="E462" s="186"/>
      <c r="F462" s="146" t="str">
        <f t="shared" si="45"/>
        <v/>
      </c>
      <c r="G462" s="185"/>
      <c r="H462" s="185"/>
      <c r="I462" s="185"/>
      <c r="J462" s="201"/>
      <c r="K462" s="200"/>
      <c r="L462" s="200"/>
      <c r="M462" s="201"/>
      <c r="N462" s="201"/>
      <c r="P462" s="141" t="str">
        <f t="shared" si="46"/>
        <v/>
      </c>
      <c r="Q462" s="141" t="str">
        <f t="shared" si="47"/>
        <v/>
      </c>
      <c r="AA462" s="141" t="s">
        <v>1529</v>
      </c>
      <c r="AB462" s="141" t="s">
        <v>1530</v>
      </c>
    </row>
    <row r="463" spans="1:28">
      <c r="A463" s="151"/>
      <c r="B463" s="146" t="str">
        <f t="shared" si="43"/>
        <v/>
      </c>
      <c r="C463" s="151"/>
      <c r="D463" s="146" t="str">
        <f t="shared" si="44"/>
        <v/>
      </c>
      <c r="E463" s="186"/>
      <c r="F463" s="146" t="str">
        <f t="shared" si="45"/>
        <v/>
      </c>
      <c r="G463" s="185"/>
      <c r="H463" s="185"/>
      <c r="I463" s="185"/>
      <c r="J463" s="201"/>
      <c r="K463" s="200"/>
      <c r="L463" s="200"/>
      <c r="M463" s="201"/>
      <c r="N463" s="201"/>
      <c r="P463" s="141" t="str">
        <f t="shared" si="46"/>
        <v/>
      </c>
      <c r="Q463" s="141" t="str">
        <f t="shared" si="47"/>
        <v/>
      </c>
      <c r="AA463" s="141" t="s">
        <v>1531</v>
      </c>
      <c r="AB463" s="141" t="s">
        <v>1532</v>
      </c>
    </row>
    <row r="464" spans="1:28">
      <c r="A464" s="151"/>
      <c r="B464" s="146" t="str">
        <f t="shared" si="43"/>
        <v/>
      </c>
      <c r="C464" s="151"/>
      <c r="D464" s="146" t="str">
        <f t="shared" si="44"/>
        <v/>
      </c>
      <c r="E464" s="186"/>
      <c r="F464" s="146" t="str">
        <f t="shared" si="45"/>
        <v/>
      </c>
      <c r="G464" s="185"/>
      <c r="H464" s="185"/>
      <c r="I464" s="185"/>
      <c r="J464" s="201"/>
      <c r="K464" s="200"/>
      <c r="L464" s="200"/>
      <c r="M464" s="201"/>
      <c r="N464" s="201"/>
      <c r="P464" s="141" t="str">
        <f t="shared" si="46"/>
        <v/>
      </c>
      <c r="Q464" s="141" t="str">
        <f t="shared" si="47"/>
        <v/>
      </c>
    </row>
    <row r="465" spans="1:17">
      <c r="A465" s="151"/>
      <c r="B465" s="146" t="str">
        <f t="shared" si="43"/>
        <v/>
      </c>
      <c r="C465" s="151"/>
      <c r="D465" s="146" t="str">
        <f t="shared" si="44"/>
        <v/>
      </c>
      <c r="E465" s="186"/>
      <c r="F465" s="146" t="str">
        <f t="shared" si="45"/>
        <v/>
      </c>
      <c r="G465" s="185"/>
      <c r="H465" s="185"/>
      <c r="I465" s="185"/>
      <c r="J465" s="201"/>
      <c r="K465" s="200"/>
      <c r="L465" s="200"/>
      <c r="M465" s="201"/>
      <c r="N465" s="201"/>
      <c r="P465" s="141" t="str">
        <f t="shared" si="46"/>
        <v/>
      </c>
      <c r="Q465" s="141" t="str">
        <f t="shared" si="47"/>
        <v/>
      </c>
    </row>
    <row r="466" spans="1:17">
      <c r="A466" s="151"/>
      <c r="B466" s="146" t="str">
        <f t="shared" si="43"/>
        <v/>
      </c>
      <c r="C466" s="151"/>
      <c r="D466" s="146" t="str">
        <f t="shared" si="44"/>
        <v/>
      </c>
      <c r="E466" s="186"/>
      <c r="F466" s="146" t="str">
        <f t="shared" si="45"/>
        <v/>
      </c>
      <c r="G466" s="185"/>
      <c r="H466" s="185"/>
      <c r="I466" s="185"/>
      <c r="J466" s="201"/>
      <c r="K466" s="200"/>
      <c r="L466" s="200"/>
      <c r="M466" s="201"/>
      <c r="N466" s="201"/>
      <c r="P466" s="141" t="str">
        <f t="shared" si="46"/>
        <v/>
      </c>
      <c r="Q466" s="141" t="str">
        <f t="shared" si="47"/>
        <v/>
      </c>
    </row>
    <row r="467" spans="1:17">
      <c r="A467" s="151"/>
      <c r="B467" s="146" t="str">
        <f t="shared" si="43"/>
        <v/>
      </c>
      <c r="C467" s="151"/>
      <c r="D467" s="146" t="str">
        <f t="shared" si="44"/>
        <v/>
      </c>
      <c r="E467" s="186"/>
      <c r="F467" s="146" t="str">
        <f t="shared" si="45"/>
        <v/>
      </c>
      <c r="G467" s="185"/>
      <c r="H467" s="185"/>
      <c r="I467" s="185"/>
      <c r="J467" s="201"/>
      <c r="K467" s="200"/>
      <c r="L467" s="200"/>
      <c r="M467" s="201"/>
      <c r="N467" s="201"/>
      <c r="P467" s="141" t="str">
        <f t="shared" si="46"/>
        <v/>
      </c>
      <c r="Q467" s="141" t="str">
        <f t="shared" si="47"/>
        <v/>
      </c>
    </row>
    <row r="468" spans="1:17">
      <c r="A468" s="151"/>
      <c r="B468" s="146" t="str">
        <f t="shared" si="43"/>
        <v/>
      </c>
      <c r="C468" s="151"/>
      <c r="D468" s="146" t="str">
        <f t="shared" si="44"/>
        <v/>
      </c>
      <c r="E468" s="186"/>
      <c r="F468" s="146" t="str">
        <f t="shared" si="45"/>
        <v/>
      </c>
      <c r="G468" s="185"/>
      <c r="H468" s="185"/>
      <c r="I468" s="185"/>
      <c r="J468" s="201"/>
      <c r="K468" s="200"/>
      <c r="L468" s="200"/>
      <c r="M468" s="201"/>
      <c r="N468" s="201"/>
      <c r="P468" s="141" t="str">
        <f t="shared" si="46"/>
        <v/>
      </c>
      <c r="Q468" s="141" t="str">
        <f t="shared" si="47"/>
        <v/>
      </c>
    </row>
    <row r="469" spans="1:17">
      <c r="A469" s="151"/>
      <c r="B469" s="146" t="str">
        <f t="shared" si="43"/>
        <v/>
      </c>
      <c r="C469" s="151"/>
      <c r="D469" s="146" t="str">
        <f t="shared" si="44"/>
        <v/>
      </c>
      <c r="E469" s="186"/>
      <c r="F469" s="146" t="str">
        <f t="shared" si="45"/>
        <v/>
      </c>
      <c r="G469" s="185"/>
      <c r="H469" s="185"/>
      <c r="I469" s="185"/>
      <c r="J469" s="201"/>
      <c r="K469" s="200"/>
      <c r="L469" s="200"/>
      <c r="M469" s="201"/>
      <c r="N469" s="201"/>
      <c r="P469" s="141" t="str">
        <f t="shared" si="46"/>
        <v/>
      </c>
      <c r="Q469" s="141" t="str">
        <f t="shared" si="47"/>
        <v/>
      </c>
    </row>
    <row r="470" spans="1:17">
      <c r="A470" s="151"/>
      <c r="B470" s="146" t="str">
        <f t="shared" si="43"/>
        <v/>
      </c>
      <c r="C470" s="151"/>
      <c r="D470" s="146" t="str">
        <f t="shared" si="44"/>
        <v/>
      </c>
      <c r="E470" s="186"/>
      <c r="F470" s="146" t="str">
        <f t="shared" si="45"/>
        <v/>
      </c>
      <c r="G470" s="185"/>
      <c r="H470" s="185"/>
      <c r="I470" s="185"/>
      <c r="J470" s="201"/>
      <c r="K470" s="200"/>
      <c r="L470" s="200"/>
      <c r="M470" s="201"/>
      <c r="N470" s="201"/>
      <c r="P470" s="141" t="str">
        <f t="shared" si="46"/>
        <v/>
      </c>
      <c r="Q470" s="141" t="str">
        <f t="shared" si="47"/>
        <v/>
      </c>
    </row>
    <row r="471" spans="1:17">
      <c r="A471" s="151"/>
      <c r="B471" s="146" t="str">
        <f t="shared" si="43"/>
        <v/>
      </c>
      <c r="C471" s="151"/>
      <c r="D471" s="146" t="str">
        <f t="shared" si="44"/>
        <v/>
      </c>
      <c r="E471" s="186"/>
      <c r="F471" s="146" t="str">
        <f t="shared" si="45"/>
        <v/>
      </c>
      <c r="G471" s="185"/>
      <c r="H471" s="185"/>
      <c r="I471" s="185"/>
      <c r="J471" s="201"/>
      <c r="K471" s="200"/>
      <c r="L471" s="200"/>
      <c r="M471" s="201"/>
      <c r="N471" s="201"/>
      <c r="P471" s="141" t="str">
        <f t="shared" si="46"/>
        <v/>
      </c>
      <c r="Q471" s="141" t="str">
        <f t="shared" si="47"/>
        <v/>
      </c>
    </row>
    <row r="472" spans="1:17">
      <c r="A472" s="151"/>
      <c r="B472" s="146" t="str">
        <f t="shared" si="43"/>
        <v/>
      </c>
      <c r="C472" s="151"/>
      <c r="D472" s="146" t="str">
        <f t="shared" si="44"/>
        <v/>
      </c>
      <c r="E472" s="186"/>
      <c r="F472" s="146" t="str">
        <f t="shared" si="45"/>
        <v/>
      </c>
      <c r="G472" s="185"/>
      <c r="H472" s="185"/>
      <c r="I472" s="185"/>
      <c r="J472" s="201"/>
      <c r="K472" s="200"/>
      <c r="L472" s="200"/>
      <c r="M472" s="201"/>
      <c r="N472" s="201"/>
      <c r="P472" s="141" t="str">
        <f t="shared" si="46"/>
        <v/>
      </c>
      <c r="Q472" s="141" t="str">
        <f t="shared" si="47"/>
        <v/>
      </c>
    </row>
    <row r="473" spans="1:17">
      <c r="A473" s="151"/>
      <c r="B473" s="146" t="str">
        <f t="shared" si="43"/>
        <v/>
      </c>
      <c r="C473" s="151"/>
      <c r="D473" s="146" t="str">
        <f t="shared" si="44"/>
        <v/>
      </c>
      <c r="E473" s="186"/>
      <c r="F473" s="146" t="str">
        <f t="shared" si="45"/>
        <v/>
      </c>
      <c r="G473" s="185"/>
      <c r="H473" s="185"/>
      <c r="I473" s="185"/>
      <c r="J473" s="201"/>
      <c r="K473" s="200"/>
      <c r="L473" s="200"/>
      <c r="M473" s="201"/>
      <c r="N473" s="201"/>
      <c r="P473" s="141" t="str">
        <f t="shared" si="46"/>
        <v/>
      </c>
      <c r="Q473" s="141" t="str">
        <f t="shared" si="47"/>
        <v/>
      </c>
    </row>
    <row r="474" spans="1:17">
      <c r="A474" s="151"/>
      <c r="B474" s="146" t="str">
        <f t="shared" si="43"/>
        <v/>
      </c>
      <c r="C474" s="151"/>
      <c r="D474" s="146" t="str">
        <f t="shared" si="44"/>
        <v/>
      </c>
      <c r="E474" s="186"/>
      <c r="F474" s="146" t="str">
        <f t="shared" si="45"/>
        <v/>
      </c>
      <c r="G474" s="185"/>
      <c r="H474" s="185"/>
      <c r="I474" s="185"/>
      <c r="J474" s="201"/>
      <c r="K474" s="200"/>
      <c r="L474" s="200"/>
      <c r="M474" s="201"/>
      <c r="N474" s="201"/>
      <c r="P474" s="141" t="str">
        <f t="shared" si="46"/>
        <v/>
      </c>
      <c r="Q474" s="141" t="str">
        <f t="shared" si="47"/>
        <v/>
      </c>
    </row>
    <row r="475" spans="1:17">
      <c r="A475" s="151"/>
      <c r="B475" s="146" t="str">
        <f t="shared" si="43"/>
        <v/>
      </c>
      <c r="C475" s="151"/>
      <c r="D475" s="146" t="str">
        <f t="shared" si="44"/>
        <v/>
      </c>
      <c r="E475" s="186"/>
      <c r="F475" s="146" t="str">
        <f t="shared" si="45"/>
        <v/>
      </c>
      <c r="G475" s="185"/>
      <c r="H475" s="185"/>
      <c r="I475" s="185"/>
      <c r="J475" s="201"/>
      <c r="K475" s="200"/>
      <c r="L475" s="200"/>
      <c r="M475" s="201"/>
      <c r="N475" s="201"/>
      <c r="P475" s="141" t="str">
        <f t="shared" si="46"/>
        <v/>
      </c>
      <c r="Q475" s="141" t="str">
        <f t="shared" si="47"/>
        <v/>
      </c>
    </row>
    <row r="476" spans="1:17">
      <c r="A476" s="151"/>
      <c r="B476" s="146" t="str">
        <f t="shared" si="43"/>
        <v/>
      </c>
      <c r="C476" s="151"/>
      <c r="D476" s="146" t="str">
        <f t="shared" si="44"/>
        <v/>
      </c>
      <c r="E476" s="186"/>
      <c r="F476" s="146" t="str">
        <f t="shared" si="45"/>
        <v/>
      </c>
      <c r="G476" s="185"/>
      <c r="H476" s="185"/>
      <c r="I476" s="185"/>
      <c r="J476" s="201"/>
      <c r="K476" s="200"/>
      <c r="L476" s="200"/>
      <c r="M476" s="201"/>
      <c r="N476" s="201"/>
      <c r="P476" s="141" t="str">
        <f t="shared" si="46"/>
        <v/>
      </c>
      <c r="Q476" s="141" t="str">
        <f t="shared" si="47"/>
        <v/>
      </c>
    </row>
    <row r="477" spans="1:17">
      <c r="A477" s="151"/>
      <c r="B477" s="146" t="str">
        <f t="shared" si="43"/>
        <v/>
      </c>
      <c r="C477" s="151"/>
      <c r="D477" s="146" t="str">
        <f t="shared" si="44"/>
        <v/>
      </c>
      <c r="E477" s="186"/>
      <c r="F477" s="146" t="str">
        <f t="shared" si="45"/>
        <v/>
      </c>
      <c r="G477" s="185"/>
      <c r="H477" s="185"/>
      <c r="I477" s="185"/>
      <c r="J477" s="201"/>
      <c r="K477" s="200"/>
      <c r="L477" s="200"/>
      <c r="M477" s="201"/>
      <c r="N477" s="201"/>
      <c r="P477" s="141" t="str">
        <f t="shared" si="46"/>
        <v/>
      </c>
      <c r="Q477" s="141" t="str">
        <f t="shared" si="47"/>
        <v/>
      </c>
    </row>
    <row r="478" spans="1:17">
      <c r="A478" s="151"/>
      <c r="B478" s="146" t="str">
        <f t="shared" si="43"/>
        <v/>
      </c>
      <c r="C478" s="151"/>
      <c r="D478" s="146" t="str">
        <f t="shared" si="44"/>
        <v/>
      </c>
      <c r="E478" s="186"/>
      <c r="F478" s="146" t="str">
        <f t="shared" si="45"/>
        <v/>
      </c>
      <c r="G478" s="185"/>
      <c r="H478" s="185"/>
      <c r="I478" s="185"/>
      <c r="J478" s="201"/>
      <c r="K478" s="200"/>
      <c r="L478" s="200"/>
      <c r="M478" s="201"/>
      <c r="N478" s="201"/>
      <c r="P478" s="141" t="str">
        <f t="shared" si="46"/>
        <v/>
      </c>
      <c r="Q478" s="141" t="str">
        <f t="shared" si="47"/>
        <v/>
      </c>
    </row>
    <row r="479" spans="1:17">
      <c r="A479" s="151"/>
      <c r="B479" s="146" t="str">
        <f t="shared" si="43"/>
        <v/>
      </c>
      <c r="C479" s="151"/>
      <c r="D479" s="146" t="str">
        <f t="shared" si="44"/>
        <v/>
      </c>
      <c r="E479" s="186"/>
      <c r="F479" s="146" t="str">
        <f t="shared" si="45"/>
        <v/>
      </c>
      <c r="G479" s="185"/>
      <c r="H479" s="185"/>
      <c r="I479" s="185"/>
      <c r="J479" s="201"/>
      <c r="K479" s="200"/>
      <c r="L479" s="200"/>
      <c r="M479" s="201"/>
      <c r="N479" s="201"/>
      <c r="P479" s="141" t="str">
        <f t="shared" si="46"/>
        <v/>
      </c>
      <c r="Q479" s="141" t="str">
        <f t="shared" si="47"/>
        <v/>
      </c>
    </row>
    <row r="480" spans="1:17">
      <c r="A480" s="151"/>
      <c r="B480" s="146" t="str">
        <f t="shared" si="43"/>
        <v/>
      </c>
      <c r="C480" s="151"/>
      <c r="D480" s="146" t="str">
        <f t="shared" si="44"/>
        <v/>
      </c>
      <c r="E480" s="186"/>
      <c r="F480" s="146" t="str">
        <f t="shared" si="45"/>
        <v/>
      </c>
      <c r="G480" s="185"/>
      <c r="H480" s="185"/>
      <c r="I480" s="185"/>
      <c r="J480" s="201"/>
      <c r="K480" s="200"/>
      <c r="L480" s="200"/>
      <c r="M480" s="201"/>
      <c r="N480" s="201"/>
      <c r="P480" s="141" t="str">
        <f t="shared" si="46"/>
        <v/>
      </c>
      <c r="Q480" s="141" t="str">
        <f t="shared" si="47"/>
        <v/>
      </c>
    </row>
    <row r="481" spans="1:17">
      <c r="A481" s="151"/>
      <c r="B481" s="146" t="str">
        <f t="shared" si="43"/>
        <v/>
      </c>
      <c r="C481" s="151"/>
      <c r="D481" s="146" t="str">
        <f t="shared" si="44"/>
        <v/>
      </c>
      <c r="E481" s="186"/>
      <c r="F481" s="146" t="str">
        <f t="shared" si="45"/>
        <v/>
      </c>
      <c r="G481" s="185"/>
      <c r="H481" s="185"/>
      <c r="I481" s="185"/>
      <c r="J481" s="201"/>
      <c r="K481" s="200"/>
      <c r="L481" s="200"/>
      <c r="M481" s="201"/>
      <c r="N481" s="201"/>
      <c r="P481" s="141" t="str">
        <f t="shared" si="46"/>
        <v/>
      </c>
      <c r="Q481" s="141" t="str">
        <f t="shared" si="47"/>
        <v/>
      </c>
    </row>
    <row r="482" spans="1:17">
      <c r="A482" s="151"/>
      <c r="B482" s="146" t="str">
        <f t="shared" si="43"/>
        <v/>
      </c>
      <c r="C482" s="151"/>
      <c r="D482" s="146" t="str">
        <f t="shared" si="44"/>
        <v/>
      </c>
      <c r="E482" s="186"/>
      <c r="F482" s="146" t="str">
        <f t="shared" si="45"/>
        <v/>
      </c>
      <c r="G482" s="185"/>
      <c r="H482" s="185"/>
      <c r="I482" s="185"/>
      <c r="J482" s="201"/>
      <c r="K482" s="200"/>
      <c r="L482" s="200"/>
      <c r="M482" s="201"/>
      <c r="N482" s="201"/>
      <c r="P482" s="141" t="str">
        <f t="shared" si="46"/>
        <v/>
      </c>
      <c r="Q482" s="141" t="str">
        <f t="shared" si="47"/>
        <v/>
      </c>
    </row>
    <row r="483" spans="1:17">
      <c r="A483" s="151"/>
      <c r="B483" s="146" t="str">
        <f t="shared" si="43"/>
        <v/>
      </c>
      <c r="C483" s="151"/>
      <c r="D483" s="146" t="str">
        <f t="shared" si="44"/>
        <v/>
      </c>
      <c r="E483" s="186"/>
      <c r="F483" s="146" t="str">
        <f t="shared" si="45"/>
        <v/>
      </c>
      <c r="G483" s="185"/>
      <c r="H483" s="185"/>
      <c r="I483" s="185"/>
      <c r="J483" s="201"/>
      <c r="K483" s="200"/>
      <c r="L483" s="200"/>
      <c r="M483" s="201"/>
      <c r="N483" s="201"/>
      <c r="P483" s="141" t="str">
        <f t="shared" si="46"/>
        <v/>
      </c>
      <c r="Q483" s="141" t="str">
        <f t="shared" si="47"/>
        <v/>
      </c>
    </row>
    <row r="484" spans="1:17">
      <c r="A484" s="151"/>
      <c r="B484" s="146" t="str">
        <f t="shared" si="43"/>
        <v/>
      </c>
      <c r="C484" s="151"/>
      <c r="D484" s="146" t="str">
        <f t="shared" si="44"/>
        <v/>
      </c>
      <c r="E484" s="186"/>
      <c r="F484" s="146" t="str">
        <f t="shared" si="45"/>
        <v/>
      </c>
      <c r="G484" s="185"/>
      <c r="H484" s="185"/>
      <c r="I484" s="185"/>
      <c r="J484" s="201"/>
      <c r="K484" s="200"/>
      <c r="L484" s="200"/>
      <c r="M484" s="201"/>
      <c r="N484" s="201"/>
      <c r="P484" s="141" t="str">
        <f t="shared" si="46"/>
        <v/>
      </c>
      <c r="Q484" s="141" t="str">
        <f t="shared" si="47"/>
        <v/>
      </c>
    </row>
    <row r="485" spans="1:17">
      <c r="A485" s="151"/>
      <c r="B485" s="146" t="str">
        <f t="shared" si="43"/>
        <v/>
      </c>
      <c r="C485" s="151"/>
      <c r="D485" s="146" t="str">
        <f t="shared" si="44"/>
        <v/>
      </c>
      <c r="E485" s="186"/>
      <c r="F485" s="146" t="str">
        <f t="shared" si="45"/>
        <v/>
      </c>
      <c r="G485" s="185"/>
      <c r="H485" s="185"/>
      <c r="I485" s="185"/>
      <c r="J485" s="201"/>
      <c r="K485" s="200"/>
      <c r="L485" s="200"/>
      <c r="M485" s="201"/>
      <c r="N485" s="201"/>
      <c r="P485" s="141" t="str">
        <f t="shared" si="46"/>
        <v/>
      </c>
      <c r="Q485" s="141" t="str">
        <f t="shared" si="47"/>
        <v/>
      </c>
    </row>
    <row r="486" spans="1:17">
      <c r="A486" s="151"/>
      <c r="B486" s="146" t="str">
        <f t="shared" si="43"/>
        <v/>
      </c>
      <c r="C486" s="151"/>
      <c r="D486" s="146" t="str">
        <f t="shared" si="44"/>
        <v/>
      </c>
      <c r="E486" s="186"/>
      <c r="F486" s="146" t="str">
        <f t="shared" si="45"/>
        <v/>
      </c>
      <c r="G486" s="185"/>
      <c r="H486" s="185"/>
      <c r="I486" s="185"/>
      <c r="J486" s="201"/>
      <c r="K486" s="200"/>
      <c r="L486" s="200"/>
      <c r="M486" s="201"/>
      <c r="N486" s="201"/>
      <c r="P486" s="141" t="str">
        <f t="shared" si="46"/>
        <v/>
      </c>
      <c r="Q486" s="141" t="str">
        <f t="shared" si="47"/>
        <v/>
      </c>
    </row>
    <row r="487" spans="1:17">
      <c r="A487" s="151"/>
      <c r="B487" s="146" t="str">
        <f t="shared" si="43"/>
        <v/>
      </c>
      <c r="C487" s="151"/>
      <c r="D487" s="146" t="str">
        <f t="shared" si="44"/>
        <v/>
      </c>
      <c r="E487" s="186"/>
      <c r="F487" s="146" t="str">
        <f t="shared" si="45"/>
        <v/>
      </c>
      <c r="G487" s="185"/>
      <c r="H487" s="185"/>
      <c r="I487" s="185"/>
      <c r="J487" s="201"/>
      <c r="K487" s="200"/>
      <c r="L487" s="200"/>
      <c r="M487" s="201"/>
      <c r="N487" s="201"/>
      <c r="P487" s="141" t="str">
        <f t="shared" si="46"/>
        <v/>
      </c>
      <c r="Q487" s="141" t="str">
        <f t="shared" si="47"/>
        <v/>
      </c>
    </row>
    <row r="488" spans="1:17">
      <c r="A488" s="151"/>
      <c r="B488" s="146" t="str">
        <f t="shared" si="43"/>
        <v/>
      </c>
      <c r="C488" s="151"/>
      <c r="D488" s="146" t="str">
        <f t="shared" si="44"/>
        <v/>
      </c>
      <c r="E488" s="186"/>
      <c r="F488" s="146" t="str">
        <f t="shared" si="45"/>
        <v/>
      </c>
      <c r="G488" s="185"/>
      <c r="H488" s="185"/>
      <c r="I488" s="185"/>
      <c r="J488" s="201"/>
      <c r="K488" s="200"/>
      <c r="L488" s="200"/>
      <c r="M488" s="201"/>
      <c r="N488" s="201"/>
      <c r="P488" s="141" t="str">
        <f t="shared" si="46"/>
        <v/>
      </c>
      <c r="Q488" s="141" t="str">
        <f t="shared" si="47"/>
        <v/>
      </c>
    </row>
    <row r="489" spans="1:17">
      <c r="A489" s="151"/>
      <c r="B489" s="146" t="str">
        <f t="shared" si="43"/>
        <v/>
      </c>
      <c r="C489" s="151"/>
      <c r="D489" s="146" t="str">
        <f t="shared" si="44"/>
        <v/>
      </c>
      <c r="E489" s="186"/>
      <c r="F489" s="146" t="str">
        <f t="shared" si="45"/>
        <v/>
      </c>
      <c r="G489" s="185"/>
      <c r="H489" s="185"/>
      <c r="I489" s="185"/>
      <c r="J489" s="201"/>
      <c r="K489" s="200"/>
      <c r="L489" s="200"/>
      <c r="M489" s="201"/>
      <c r="N489" s="201"/>
      <c r="P489" s="141" t="str">
        <f t="shared" si="46"/>
        <v/>
      </c>
      <c r="Q489" s="141" t="str">
        <f t="shared" si="47"/>
        <v/>
      </c>
    </row>
    <row r="490" spans="1:17">
      <c r="A490" s="151"/>
      <c r="B490" s="146" t="str">
        <f t="shared" si="43"/>
        <v/>
      </c>
      <c r="C490" s="151"/>
      <c r="D490" s="146" t="str">
        <f t="shared" si="44"/>
        <v/>
      </c>
      <c r="E490" s="186"/>
      <c r="F490" s="146" t="str">
        <f t="shared" si="45"/>
        <v/>
      </c>
      <c r="G490" s="185"/>
      <c r="H490" s="185"/>
      <c r="I490" s="185"/>
      <c r="J490" s="201"/>
      <c r="K490" s="200"/>
      <c r="L490" s="200"/>
      <c r="M490" s="201"/>
      <c r="N490" s="201"/>
      <c r="P490" s="141" t="str">
        <f t="shared" si="46"/>
        <v/>
      </c>
      <c r="Q490" s="141" t="str">
        <f t="shared" si="47"/>
        <v/>
      </c>
    </row>
    <row r="491" spans="1:17">
      <c r="A491" s="151"/>
      <c r="B491" s="146" t="str">
        <f t="shared" si="43"/>
        <v/>
      </c>
      <c r="C491" s="151"/>
      <c r="D491" s="146" t="str">
        <f t="shared" si="44"/>
        <v/>
      </c>
      <c r="E491" s="186"/>
      <c r="F491" s="146" t="str">
        <f t="shared" si="45"/>
        <v/>
      </c>
      <c r="G491" s="185"/>
      <c r="H491" s="185"/>
      <c r="I491" s="185"/>
      <c r="J491" s="201"/>
      <c r="K491" s="200"/>
      <c r="L491" s="200"/>
      <c r="M491" s="201"/>
      <c r="N491" s="201"/>
      <c r="P491" s="141" t="str">
        <f t="shared" si="46"/>
        <v/>
      </c>
      <c r="Q491" s="141" t="str">
        <f t="shared" si="47"/>
        <v/>
      </c>
    </row>
    <row r="492" spans="1:17">
      <c r="A492" s="151"/>
      <c r="B492" s="146" t="str">
        <f t="shared" si="43"/>
        <v/>
      </c>
      <c r="C492" s="151"/>
      <c r="D492" s="146" t="str">
        <f t="shared" si="44"/>
        <v/>
      </c>
      <c r="E492" s="186"/>
      <c r="F492" s="146" t="str">
        <f t="shared" si="45"/>
        <v/>
      </c>
      <c r="G492" s="185"/>
      <c r="H492" s="185"/>
      <c r="I492" s="185"/>
      <c r="J492" s="201"/>
      <c r="K492" s="200"/>
      <c r="L492" s="200"/>
      <c r="M492" s="201"/>
      <c r="N492" s="201"/>
      <c r="P492" s="141" t="str">
        <f t="shared" si="46"/>
        <v/>
      </c>
      <c r="Q492" s="141" t="str">
        <f t="shared" si="47"/>
        <v/>
      </c>
    </row>
    <row r="493" spans="1:17">
      <c r="A493" s="151"/>
      <c r="B493" s="146" t="str">
        <f t="shared" si="43"/>
        <v/>
      </c>
      <c r="C493" s="151"/>
      <c r="D493" s="146" t="str">
        <f t="shared" si="44"/>
        <v/>
      </c>
      <c r="E493" s="186"/>
      <c r="F493" s="146" t="str">
        <f t="shared" si="45"/>
        <v/>
      </c>
      <c r="G493" s="185"/>
      <c r="H493" s="185"/>
      <c r="I493" s="185"/>
      <c r="J493" s="201"/>
      <c r="K493" s="200"/>
      <c r="L493" s="200"/>
      <c r="M493" s="201"/>
      <c r="N493" s="201"/>
      <c r="P493" s="141" t="str">
        <f t="shared" si="46"/>
        <v/>
      </c>
      <c r="Q493" s="141" t="str">
        <f t="shared" si="47"/>
        <v/>
      </c>
    </row>
    <row r="494" spans="1:17">
      <c r="A494" s="151"/>
      <c r="B494" s="146" t="str">
        <f t="shared" si="43"/>
        <v/>
      </c>
      <c r="C494" s="151"/>
      <c r="D494" s="146" t="str">
        <f t="shared" si="44"/>
        <v/>
      </c>
      <c r="E494" s="186"/>
      <c r="F494" s="146" t="str">
        <f t="shared" si="45"/>
        <v/>
      </c>
      <c r="G494" s="185"/>
      <c r="H494" s="185"/>
      <c r="I494" s="185"/>
      <c r="J494" s="201"/>
      <c r="K494" s="200"/>
      <c r="L494" s="200"/>
      <c r="M494" s="201"/>
      <c r="N494" s="201"/>
      <c r="P494" s="141" t="str">
        <f t="shared" si="46"/>
        <v/>
      </c>
      <c r="Q494" s="141" t="str">
        <f t="shared" si="47"/>
        <v/>
      </c>
    </row>
    <row r="495" spans="1:17">
      <c r="A495" s="151"/>
      <c r="B495" s="146" t="str">
        <f t="shared" si="43"/>
        <v/>
      </c>
      <c r="C495" s="151"/>
      <c r="D495" s="146" t="str">
        <f t="shared" si="44"/>
        <v/>
      </c>
      <c r="E495" s="186"/>
      <c r="F495" s="146" t="str">
        <f t="shared" si="45"/>
        <v/>
      </c>
      <c r="G495" s="185"/>
      <c r="H495" s="185"/>
      <c r="I495" s="185"/>
      <c r="J495" s="201"/>
      <c r="K495" s="200"/>
      <c r="L495" s="200"/>
      <c r="M495" s="201"/>
      <c r="N495" s="201"/>
      <c r="P495" s="141" t="str">
        <f t="shared" si="46"/>
        <v/>
      </c>
      <c r="Q495" s="141" t="str">
        <f t="shared" si="47"/>
        <v/>
      </c>
    </row>
    <row r="496" spans="1:17">
      <c r="A496" s="151"/>
      <c r="B496" s="146" t="str">
        <f t="shared" si="43"/>
        <v/>
      </c>
      <c r="C496" s="151"/>
      <c r="D496" s="146" t="str">
        <f t="shared" si="44"/>
        <v/>
      </c>
      <c r="E496" s="186"/>
      <c r="F496" s="146" t="str">
        <f t="shared" si="45"/>
        <v/>
      </c>
      <c r="G496" s="185"/>
      <c r="H496" s="185"/>
      <c r="I496" s="185"/>
      <c r="J496" s="201"/>
      <c r="K496" s="200"/>
      <c r="L496" s="200"/>
      <c r="M496" s="201"/>
      <c r="N496" s="201"/>
      <c r="P496" s="141" t="str">
        <f t="shared" si="46"/>
        <v/>
      </c>
      <c r="Q496" s="141" t="str">
        <f t="shared" si="47"/>
        <v/>
      </c>
    </row>
    <row r="497" spans="1:17">
      <c r="A497" s="151"/>
      <c r="B497" s="146" t="str">
        <f t="shared" si="43"/>
        <v/>
      </c>
      <c r="C497" s="151"/>
      <c r="D497" s="146" t="str">
        <f t="shared" si="44"/>
        <v/>
      </c>
      <c r="E497" s="186"/>
      <c r="F497" s="146" t="str">
        <f t="shared" si="45"/>
        <v/>
      </c>
      <c r="G497" s="185"/>
      <c r="H497" s="185"/>
      <c r="I497" s="185"/>
      <c r="J497" s="201"/>
      <c r="K497" s="200"/>
      <c r="L497" s="200"/>
      <c r="M497" s="201"/>
      <c r="N497" s="201"/>
      <c r="P497" s="141" t="str">
        <f t="shared" si="46"/>
        <v/>
      </c>
      <c r="Q497" s="141" t="str">
        <f t="shared" si="47"/>
        <v/>
      </c>
    </row>
    <row r="498" spans="1:17">
      <c r="A498" s="151"/>
      <c r="B498" s="146" t="str">
        <f t="shared" si="43"/>
        <v/>
      </c>
      <c r="C498" s="151"/>
      <c r="D498" s="146" t="str">
        <f t="shared" si="44"/>
        <v/>
      </c>
      <c r="E498" s="186"/>
      <c r="F498" s="146" t="str">
        <f t="shared" si="45"/>
        <v/>
      </c>
      <c r="G498" s="185"/>
      <c r="H498" s="185"/>
      <c r="I498" s="185"/>
      <c r="J498" s="201"/>
      <c r="K498" s="200"/>
      <c r="L498" s="200"/>
      <c r="M498" s="201"/>
      <c r="N498" s="201"/>
      <c r="P498" s="141" t="str">
        <f t="shared" si="46"/>
        <v/>
      </c>
      <c r="Q498" s="141" t="str">
        <f t="shared" si="47"/>
        <v/>
      </c>
    </row>
    <row r="499" spans="1:17">
      <c r="A499" s="151"/>
      <c r="B499" s="146" t="str">
        <f t="shared" si="43"/>
        <v/>
      </c>
      <c r="C499" s="151"/>
      <c r="D499" s="146" t="str">
        <f t="shared" si="44"/>
        <v/>
      </c>
      <c r="E499" s="186"/>
      <c r="F499" s="146" t="str">
        <f t="shared" si="45"/>
        <v/>
      </c>
      <c r="G499" s="185"/>
      <c r="H499" s="185"/>
      <c r="I499" s="185"/>
      <c r="J499" s="201"/>
      <c r="K499" s="200"/>
      <c r="L499" s="200"/>
      <c r="M499" s="201"/>
      <c r="N499" s="201"/>
      <c r="P499" s="141" t="str">
        <f t="shared" si="46"/>
        <v/>
      </c>
      <c r="Q499" s="141" t="str">
        <f t="shared" si="47"/>
        <v/>
      </c>
    </row>
    <row r="500" spans="1:17">
      <c r="A500" s="151"/>
      <c r="B500" s="146" t="str">
        <f t="shared" si="43"/>
        <v/>
      </c>
      <c r="C500" s="151"/>
      <c r="D500" s="146" t="str">
        <f t="shared" si="44"/>
        <v/>
      </c>
      <c r="E500" s="186"/>
      <c r="F500" s="146" t="str">
        <f t="shared" si="45"/>
        <v/>
      </c>
      <c r="G500" s="185"/>
      <c r="H500" s="185"/>
      <c r="I500" s="185"/>
      <c r="J500" s="201"/>
      <c r="K500" s="200"/>
      <c r="L500" s="200"/>
      <c r="M500" s="201"/>
      <c r="N500" s="201"/>
      <c r="P500" s="141" t="str">
        <f t="shared" si="46"/>
        <v/>
      </c>
      <c r="Q500" s="141" t="str">
        <f t="shared" si="47"/>
        <v/>
      </c>
    </row>
    <row r="501" spans="1:17">
      <c r="A501" s="151"/>
      <c r="B501" s="146" t="str">
        <f t="shared" si="43"/>
        <v/>
      </c>
      <c r="C501" s="151"/>
      <c r="D501" s="146" t="str">
        <f t="shared" si="44"/>
        <v/>
      </c>
      <c r="E501" s="186"/>
      <c r="F501" s="146" t="str">
        <f t="shared" si="45"/>
        <v/>
      </c>
      <c r="G501" s="185"/>
      <c r="H501" s="185"/>
      <c r="I501" s="185"/>
      <c r="J501" s="201"/>
      <c r="K501" s="200"/>
      <c r="L501" s="200"/>
      <c r="M501" s="201"/>
      <c r="N501" s="201"/>
      <c r="P501" s="141" t="str">
        <f t="shared" si="46"/>
        <v/>
      </c>
      <c r="Q501" s="141" t="str">
        <f t="shared" si="47"/>
        <v/>
      </c>
    </row>
    <row r="502" spans="1:17" ht="15.75" customHeight="1"/>
  </sheetData>
  <sheetProtection password="DE31" sheet="1" objects="1" scenarios="1" selectLockedCells="1"/>
  <sortState ref="AA7:AB239">
    <sortCondition ref="AA7"/>
  </sortState>
  <mergeCells count="1">
    <mergeCell ref="A1:B1"/>
  </mergeCells>
  <dataValidations count="4">
    <dataValidation type="list" allowBlank="1" showInputMessage="1" showErrorMessage="1" errorTitle="GREŠKA" error="Za unos odaberite vrijednost iz padajućeg izbornika!" prompt="Molimo odaberite vrijednost iz padajućeg izbornika!" sqref="C3:C501">
      <formula1>$U$5:$U$129</formula1>
    </dataValidation>
    <dataValidation type="whole" allowBlank="1" showInputMessage="1" showErrorMessage="1" errorTitle="GREŠKA" error="U ovo polje je dozvoljen unos samo brojčanih vrijednosti (bez decimala!)" sqref="G3:I501">
      <formula1>0</formula1>
      <formula2>10000000000</formula2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E3:E501">
      <formula1>$AA$6:$AA$463</formula1>
    </dataValidation>
    <dataValidation type="list" allowBlank="1" showInputMessage="1" showErrorMessage="1" errorTitle="GREŠKA" error="Za unos odaberite vrijednost iz padajućeg izbornika!" prompt="Molimo odaberite vrijednost iz padajućeg izbornika!" sqref="A3:A501">
      <formula1>$R$6:$R$23</formula1>
    </dataValidation>
  </dataValidations>
  <hyperlinks>
    <hyperlink ref="M16" r:id="rId1" display="http://www.ezavod.si/en/about-e-institute"/>
  </hyperlinks>
  <pageMargins left="0.70866141732283472" right="0.70866141732283472" top="0.17" bottom="0.17" header="0.31496062992125984" footer="0.31496062992125984"/>
  <pageSetup paperSize="9" scale="50" fitToHeight="0" orientation="landscape" r:id="rId2"/>
  <colBreaks count="1" manualBreakCount="1">
    <brk id="1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36"/>
  <sheetViews>
    <sheetView showGridLines="0" topLeftCell="B1" zoomScale="80" zoomScaleNormal="80" workbookViewId="0">
      <pane ySplit="2" topLeftCell="A3" activePane="bottomLeft" state="frozen"/>
      <selection pane="bottomLeft" activeCell="T89" sqref="T89"/>
    </sheetView>
  </sheetViews>
  <sheetFormatPr defaultColWidth="11.42578125" defaultRowHeight="12.75"/>
  <cols>
    <col min="1" max="1" width="0" style="1" hidden="1" customWidth="1"/>
    <col min="2" max="2" width="4.85546875" style="1" customWidth="1"/>
    <col min="3" max="3" width="59" style="1" customWidth="1"/>
    <col min="4" max="4" width="14.85546875" style="1" customWidth="1"/>
    <col min="5" max="8" width="13.85546875" style="1" customWidth="1"/>
    <col min="9" max="9" width="13.85546875" style="65" customWidth="1"/>
    <col min="10" max="23" width="13.85546875" style="1" customWidth="1"/>
    <col min="24" max="24" width="7.85546875" style="1" customWidth="1"/>
    <col min="25" max="16384" width="11.42578125" style="1"/>
  </cols>
  <sheetData>
    <row r="1" spans="1:29" ht="15.6" customHeight="1">
      <c r="B1" s="299" t="s">
        <v>267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16"/>
    </row>
    <row r="2" spans="1:29" s="90" customFormat="1">
      <c r="B2" s="89"/>
      <c r="C2" s="89"/>
      <c r="D2" s="89"/>
      <c r="V2" s="91" t="s">
        <v>268</v>
      </c>
      <c r="W2" s="91"/>
    </row>
    <row r="3" spans="1:29" s="90" customFormat="1" ht="15.6" customHeight="1">
      <c r="B3" s="300" t="s">
        <v>269</v>
      </c>
      <c r="C3" s="301"/>
      <c r="D3" s="302" t="s">
        <v>42</v>
      </c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4"/>
      <c r="W3" s="218"/>
    </row>
    <row r="4" spans="1:29" s="90" customFormat="1" ht="89.25">
      <c r="A4" s="92" t="s">
        <v>2139</v>
      </c>
      <c r="B4" s="92" t="s">
        <v>270</v>
      </c>
      <c r="C4" s="92" t="s">
        <v>271</v>
      </c>
      <c r="D4" s="184" t="s">
        <v>272</v>
      </c>
      <c r="E4" s="219" t="s">
        <v>353</v>
      </c>
      <c r="F4" s="219" t="s">
        <v>325</v>
      </c>
      <c r="G4" s="220" t="s">
        <v>19</v>
      </c>
      <c r="H4" s="220" t="s">
        <v>1560</v>
      </c>
      <c r="I4" s="220" t="s">
        <v>20</v>
      </c>
      <c r="J4" s="220" t="s">
        <v>273</v>
      </c>
      <c r="K4" s="220" t="s">
        <v>274</v>
      </c>
      <c r="L4" s="220" t="s">
        <v>1561</v>
      </c>
      <c r="M4" s="220" t="s">
        <v>275</v>
      </c>
      <c r="N4" s="220" t="s">
        <v>276</v>
      </c>
      <c r="O4" s="220" t="s">
        <v>277</v>
      </c>
      <c r="P4" s="220" t="s">
        <v>1562</v>
      </c>
      <c r="Q4" s="220" t="s">
        <v>1563</v>
      </c>
      <c r="R4" s="220" t="s">
        <v>2133</v>
      </c>
      <c r="S4" s="220" t="s">
        <v>278</v>
      </c>
      <c r="T4" s="93" t="s">
        <v>279</v>
      </c>
      <c r="U4" s="93" t="s">
        <v>317</v>
      </c>
      <c r="V4" s="93" t="s">
        <v>1533</v>
      </c>
      <c r="W4" s="93" t="s">
        <v>1535</v>
      </c>
    </row>
    <row r="5" spans="1:29" s="90" customFormat="1" ht="19.5" customHeight="1">
      <c r="A5" s="90">
        <v>2021</v>
      </c>
      <c r="B5" s="95"/>
      <c r="C5" s="96" t="s">
        <v>11</v>
      </c>
      <c r="D5" s="70">
        <f>SUM(E5:W5)</f>
        <v>11717197</v>
      </c>
      <c r="E5" s="3"/>
      <c r="F5" s="3"/>
      <c r="G5" s="3">
        <v>7150030</v>
      </c>
      <c r="H5" s="3"/>
      <c r="I5" s="3">
        <v>3961818</v>
      </c>
      <c r="J5" s="3">
        <v>96286</v>
      </c>
      <c r="K5" s="3">
        <v>509063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94"/>
      <c r="Y5" s="94"/>
      <c r="Z5" s="94"/>
      <c r="AA5" s="94"/>
      <c r="AB5" s="94"/>
      <c r="AC5" s="94"/>
    </row>
    <row r="6" spans="1:29" s="90" customFormat="1">
      <c r="A6" s="90">
        <v>2021</v>
      </c>
      <c r="B6" s="114"/>
      <c r="C6" s="115" t="s">
        <v>349</v>
      </c>
      <c r="D6" s="70">
        <f>SUM(E6:W6)</f>
        <v>39459027</v>
      </c>
      <c r="E6" s="14">
        <f>+E27+E34</f>
        <v>24483630</v>
      </c>
      <c r="F6" s="14">
        <f t="shared" ref="F6:V6" si="0">+F27+F34</f>
        <v>0</v>
      </c>
      <c r="G6" s="14">
        <f t="shared" si="0"/>
        <v>3535000</v>
      </c>
      <c r="H6" s="14">
        <f>+H27+H34</f>
        <v>0</v>
      </c>
      <c r="I6" s="14">
        <f t="shared" si="0"/>
        <v>7073500</v>
      </c>
      <c r="J6" s="14">
        <f t="shared" si="0"/>
        <v>2186025</v>
      </c>
      <c r="K6" s="14">
        <f t="shared" si="0"/>
        <v>375144</v>
      </c>
      <c r="L6" s="14">
        <f>+L27+L34</f>
        <v>0</v>
      </c>
      <c r="M6" s="14">
        <f t="shared" si="0"/>
        <v>0</v>
      </c>
      <c r="N6" s="14">
        <f t="shared" si="0"/>
        <v>1675728</v>
      </c>
      <c r="O6" s="14">
        <f t="shared" si="0"/>
        <v>0</v>
      </c>
      <c r="P6" s="14">
        <f>+P27+P34</f>
        <v>0</v>
      </c>
      <c r="Q6" s="14">
        <f>+Q27+Q34</f>
        <v>0</v>
      </c>
      <c r="R6" s="14">
        <f>+R27+R34</f>
        <v>0</v>
      </c>
      <c r="S6" s="14">
        <f t="shared" si="0"/>
        <v>130000</v>
      </c>
      <c r="T6" s="14">
        <f t="shared" si="0"/>
        <v>0</v>
      </c>
      <c r="U6" s="14">
        <f t="shared" si="0"/>
        <v>0</v>
      </c>
      <c r="V6" s="14">
        <f t="shared" si="0"/>
        <v>0</v>
      </c>
      <c r="W6" s="14">
        <f>+W27+W34</f>
        <v>0</v>
      </c>
    </row>
    <row r="7" spans="1:29" s="90" customFormat="1" ht="21.75" customHeight="1">
      <c r="A7" s="90">
        <v>2021</v>
      </c>
      <c r="B7" s="95"/>
      <c r="C7" s="96" t="s">
        <v>352</v>
      </c>
      <c r="D7" s="70">
        <f t="shared" ref="D7:D41" si="1">SUM(E7:W7)</f>
        <v>-12833630</v>
      </c>
      <c r="E7" s="113">
        <v>0</v>
      </c>
      <c r="F7" s="113"/>
      <c r="G7" s="113">
        <v>-5963530</v>
      </c>
      <c r="H7" s="113"/>
      <c r="I7" s="113">
        <v>-4936863</v>
      </c>
      <c r="J7" s="113">
        <v>-846286</v>
      </c>
      <c r="K7" s="113">
        <v>-309063</v>
      </c>
      <c r="L7" s="113"/>
      <c r="M7" s="3"/>
      <c r="N7" s="113">
        <v>-777888</v>
      </c>
      <c r="O7" s="113"/>
      <c r="P7" s="113"/>
      <c r="Q7" s="113"/>
      <c r="R7" s="113"/>
      <c r="S7" s="113"/>
      <c r="T7" s="113"/>
      <c r="U7" s="113"/>
      <c r="V7" s="113"/>
      <c r="W7" s="113"/>
      <c r="X7" s="94"/>
      <c r="Y7" s="94"/>
      <c r="Z7" s="94"/>
      <c r="AA7" s="94"/>
      <c r="AB7" s="94"/>
      <c r="AC7" s="94"/>
    </row>
    <row r="8" spans="1:29" s="90" customFormat="1">
      <c r="A8" s="90">
        <v>2021</v>
      </c>
      <c r="B8" s="114"/>
      <c r="C8" s="115" t="s">
        <v>280</v>
      </c>
      <c r="D8" s="70">
        <f t="shared" si="1"/>
        <v>38342594</v>
      </c>
      <c r="E8" s="14">
        <f>+E5+E6+E7</f>
        <v>24483630</v>
      </c>
      <c r="F8" s="14">
        <f t="shared" ref="F8:V8" si="2">+F5+F6+F7</f>
        <v>0</v>
      </c>
      <c r="G8" s="14">
        <f t="shared" si="2"/>
        <v>4721500</v>
      </c>
      <c r="H8" s="14">
        <f>+H5+H6+H7</f>
        <v>0</v>
      </c>
      <c r="I8" s="14">
        <f t="shared" si="2"/>
        <v>6098455</v>
      </c>
      <c r="J8" s="14">
        <f t="shared" si="2"/>
        <v>1436025</v>
      </c>
      <c r="K8" s="14">
        <f t="shared" si="2"/>
        <v>575144</v>
      </c>
      <c r="L8" s="14">
        <f>+L5+L6+L7</f>
        <v>0</v>
      </c>
      <c r="M8" s="14">
        <f t="shared" si="2"/>
        <v>0</v>
      </c>
      <c r="N8" s="14">
        <f t="shared" si="2"/>
        <v>897840</v>
      </c>
      <c r="O8" s="14">
        <f t="shared" si="2"/>
        <v>0</v>
      </c>
      <c r="P8" s="14">
        <f>+P5+P6+P7</f>
        <v>0</v>
      </c>
      <c r="Q8" s="14">
        <f>+Q5+Q6+Q7</f>
        <v>0</v>
      </c>
      <c r="R8" s="14">
        <f>+R5+R6+R7</f>
        <v>0</v>
      </c>
      <c r="S8" s="14">
        <f t="shared" si="2"/>
        <v>130000</v>
      </c>
      <c r="T8" s="14">
        <f t="shared" si="2"/>
        <v>0</v>
      </c>
      <c r="U8" s="14">
        <f t="shared" si="2"/>
        <v>0</v>
      </c>
      <c r="V8" s="14">
        <f t="shared" si="2"/>
        <v>0</v>
      </c>
      <c r="W8" s="14">
        <f>+W5+W6+W7</f>
        <v>0</v>
      </c>
    </row>
    <row r="9" spans="1:29" s="90" customFormat="1">
      <c r="A9" s="90">
        <v>2021</v>
      </c>
      <c r="B9" s="111"/>
      <c r="C9" s="112" t="s">
        <v>235</v>
      </c>
      <c r="D9" s="70">
        <f t="shared" si="1"/>
        <v>38342594</v>
      </c>
      <c r="E9" s="136">
        <f>+'PLAN RASHODA I IZDATAKA'!E3</f>
        <v>24483630</v>
      </c>
      <c r="F9" s="136">
        <f>+'PLAN RASHODA I IZDATAKA'!F3</f>
        <v>0</v>
      </c>
      <c r="G9" s="136">
        <f>+'PLAN RASHODA I IZDATAKA'!G3</f>
        <v>4721500</v>
      </c>
      <c r="H9" s="136">
        <f>+'PLAN RASHODA I IZDATAKA'!H3</f>
        <v>0</v>
      </c>
      <c r="I9" s="136">
        <f>+'PLAN RASHODA I IZDATAKA'!I3</f>
        <v>6098455</v>
      </c>
      <c r="J9" s="136">
        <f>+'PLAN RASHODA I IZDATAKA'!J3</f>
        <v>1436025</v>
      </c>
      <c r="K9" s="136">
        <f>+'PLAN RASHODA I IZDATAKA'!K3</f>
        <v>575144</v>
      </c>
      <c r="L9" s="136">
        <f>+'PLAN RASHODA I IZDATAKA'!L3</f>
        <v>0</v>
      </c>
      <c r="M9" s="136">
        <f>+'PLAN RASHODA I IZDATAKA'!M3</f>
        <v>0</v>
      </c>
      <c r="N9" s="136">
        <f>+'PLAN RASHODA I IZDATAKA'!N3</f>
        <v>897840</v>
      </c>
      <c r="O9" s="136">
        <f>+'PLAN RASHODA I IZDATAKA'!O3</f>
        <v>0</v>
      </c>
      <c r="P9" s="136">
        <f>+'PLAN RASHODA I IZDATAKA'!P3</f>
        <v>0</v>
      </c>
      <c r="Q9" s="136">
        <f>+'PLAN RASHODA I IZDATAKA'!Q3</f>
        <v>0</v>
      </c>
      <c r="R9" s="136">
        <f>+'PLAN RASHODA I IZDATAKA'!R3</f>
        <v>0</v>
      </c>
      <c r="S9" s="136">
        <f>+'PLAN RASHODA I IZDATAKA'!S3</f>
        <v>130000</v>
      </c>
      <c r="T9" s="136">
        <f>+'PLAN RASHODA I IZDATAKA'!T3</f>
        <v>0</v>
      </c>
      <c r="U9" s="136">
        <f>+'PLAN RASHODA I IZDATAKA'!U3</f>
        <v>0</v>
      </c>
      <c r="V9" s="136">
        <f>+'PLAN RASHODA I IZDATAKA'!V3</f>
        <v>0</v>
      </c>
      <c r="W9" s="136">
        <f>+'PLAN RASHODA I IZDATAKA'!W3</f>
        <v>0</v>
      </c>
      <c r="X9" s="94"/>
      <c r="Y9" s="94"/>
      <c r="Z9" s="94"/>
      <c r="AA9" s="94"/>
      <c r="AB9" s="94"/>
      <c r="AC9" s="94"/>
    </row>
    <row r="10" spans="1:29" s="90" customFormat="1" ht="13.5" thickBot="1">
      <c r="A10" s="90">
        <v>2021</v>
      </c>
      <c r="B10" s="116"/>
      <c r="C10" s="117" t="s">
        <v>351</v>
      </c>
      <c r="D10" s="70">
        <f t="shared" si="1"/>
        <v>0</v>
      </c>
      <c r="E10" s="118">
        <f>+E8-E9</f>
        <v>0</v>
      </c>
      <c r="F10" s="118">
        <f t="shared" ref="F10:V10" si="3">+F8-F9</f>
        <v>0</v>
      </c>
      <c r="G10" s="118">
        <f t="shared" si="3"/>
        <v>0</v>
      </c>
      <c r="H10" s="118">
        <f>+H8-H9</f>
        <v>0</v>
      </c>
      <c r="I10" s="118">
        <f t="shared" si="3"/>
        <v>0</v>
      </c>
      <c r="J10" s="118">
        <f t="shared" si="3"/>
        <v>0</v>
      </c>
      <c r="K10" s="118">
        <f t="shared" si="3"/>
        <v>0</v>
      </c>
      <c r="L10" s="118">
        <f>+L8-L9</f>
        <v>0</v>
      </c>
      <c r="M10" s="118">
        <f t="shared" si="3"/>
        <v>0</v>
      </c>
      <c r="N10" s="118">
        <f t="shared" si="3"/>
        <v>0</v>
      </c>
      <c r="O10" s="118">
        <f t="shared" si="3"/>
        <v>0</v>
      </c>
      <c r="P10" s="118">
        <f>+P8-P9</f>
        <v>0</v>
      </c>
      <c r="Q10" s="118">
        <f>+Q8-Q9</f>
        <v>0</v>
      </c>
      <c r="R10" s="118">
        <f>+R8-R9</f>
        <v>0</v>
      </c>
      <c r="S10" s="118">
        <f t="shared" si="3"/>
        <v>0</v>
      </c>
      <c r="T10" s="118">
        <f t="shared" si="3"/>
        <v>0</v>
      </c>
      <c r="U10" s="118">
        <f t="shared" si="3"/>
        <v>0</v>
      </c>
      <c r="V10" s="118">
        <f t="shared" si="3"/>
        <v>0</v>
      </c>
      <c r="W10" s="118">
        <f>+W8-W9</f>
        <v>0</v>
      </c>
    </row>
    <row r="11" spans="1:29" s="90" customFormat="1">
      <c r="A11" s="90">
        <v>2021</v>
      </c>
      <c r="B11" s="97" t="s">
        <v>1565</v>
      </c>
      <c r="C11" s="110" t="s">
        <v>1566</v>
      </c>
      <c r="D11" s="70">
        <f>SUM(E11:W11)</f>
        <v>0</v>
      </c>
      <c r="E11" s="189">
        <f>SUMIFS('Plan prihoda za unos u SAP'!$G$3:$G$501,'Plan prihoda za unos u SAP'!$C$3:$C$501,"=11",'Plan prihoda za unos u SAP'!$K$3:$K$501,"=614")</f>
        <v>0</v>
      </c>
      <c r="F11" s="189">
        <f>SUMIFS('Plan prihoda za unos u SAP'!$G$3:$G$501,'Plan prihoda za unos u SAP'!$C$3:$C$501,"=12",'Plan prihoda za unos u SAP'!$K$3:$K$501,"=614")</f>
        <v>0</v>
      </c>
      <c r="G11" s="189">
        <f>SUMIFS('Plan prihoda za unos u SAP'!$G$3:$G$501,'Plan prihoda za unos u SAP'!$C$3:$C$501,"=31",'Plan prihoda za unos u SAP'!$K$3:$K$501,"=614")</f>
        <v>0</v>
      </c>
      <c r="H11" s="189">
        <f>SUMIFS('Plan prihoda za unos u SAP'!$G$3:$G$501,'Plan prihoda za unos u SAP'!$C$3:$C$501,"=41",'Plan prihoda za unos u SAP'!$K$3:$K$501,"=614")</f>
        <v>0</v>
      </c>
      <c r="I11" s="189">
        <f>SUMIFS('Plan prihoda za unos u SAP'!$G$3:$G$501,'Plan prihoda za unos u SAP'!$C$3:$C$501,"=43",'Plan prihoda za unos u SAP'!$K$3:$K$501,"=614")</f>
        <v>0</v>
      </c>
      <c r="J11" s="189">
        <f>SUMIFS('Plan prihoda za unos u SAP'!$G$3:$G$501,'Plan prihoda za unos u SAP'!$C$3:$C$501,"=51",'Plan prihoda za unos u SAP'!$K$3:$K$501,"=614")</f>
        <v>0</v>
      </c>
      <c r="K11" s="189">
        <f>SUMIFS('Plan prihoda za unos u SAP'!$G$3:$G$501,'Plan prihoda za unos u SAP'!$C$3:$C$501,"=52",'Plan prihoda za unos u SAP'!$K$3:$K$501,"=614")</f>
        <v>0</v>
      </c>
      <c r="L11" s="189">
        <f>SUMIFS('Plan prihoda za unos u SAP'!$G$3:$G$501,'Plan prihoda za unos u SAP'!$C$3:$C$501,"=552",'Plan prihoda za unos u SAP'!$K$3:$K$501,"=614")</f>
        <v>0</v>
      </c>
      <c r="M11" s="189">
        <f>SUMIFS('Plan prihoda za unos u SAP'!$G$3:$G$501,'Plan prihoda za unos u SAP'!$C$3:$C$501,"=559",'Plan prihoda za unos u SAP'!$K$3:$K$501,"=614")</f>
        <v>0</v>
      </c>
      <c r="N11" s="189">
        <f>SUMIFS('Plan prihoda za unos u SAP'!$G$3:$G$501,'Plan prihoda za unos u SAP'!$C$3:$C$501,"=561",'Plan prihoda za unos u SAP'!$K$3:$K$501,"=614")</f>
        <v>0</v>
      </c>
      <c r="O11" s="189">
        <f>SUMIFS('Plan prihoda za unos u SAP'!$G$3:$G$501,'Plan prihoda za unos u SAP'!$C$3:$C$501,"=563",'Plan prihoda za unos u SAP'!$K$3:$K$501,"=614")</f>
        <v>0</v>
      </c>
      <c r="P11" s="189">
        <f>SUMIFS('Plan prihoda za unos u SAP'!$G$3:$G$501,'Plan prihoda za unos u SAP'!$C$3:$C$501,"=573",'Plan prihoda za unos u SAP'!$K$3:$K$501,"=614")</f>
        <v>0</v>
      </c>
      <c r="Q11" s="189">
        <f>SUMIFS('Plan prihoda za unos u SAP'!$G$3:$G$501,'Plan prihoda za unos u SAP'!$C$3:$C$501,"=575",'Plan prihoda za unos u SAP'!$K$3:$K$501,"=614")</f>
        <v>0</v>
      </c>
      <c r="R11" s="189">
        <f>SUMIFS('Plan prihoda za unos u SAP'!$G$3:$G$501,'Plan prihoda za unos u SAP'!$C$3:$C$501,"=576",'Plan prihoda za unos u SAP'!$K$3:$K$501,"=614")</f>
        <v>0</v>
      </c>
      <c r="S11" s="189">
        <f>SUMIFS('Plan prihoda za unos u SAP'!$G$3:$G$501,'Plan prihoda za unos u SAP'!$C$3:$C$501,"=61",'Plan prihoda za unos u SAP'!$K$3:$K$501,"=614")</f>
        <v>0</v>
      </c>
      <c r="T11" s="189">
        <f>SUMIFS('Plan prihoda za unos u SAP'!$G$3:$G$501,'Plan prihoda za unos u SAP'!$C$3:$C$501,"=63",'Plan prihoda za unos u SAP'!$K$3:$K$501,"=614")</f>
        <v>0</v>
      </c>
      <c r="U11" s="189">
        <f>SUMIFS('Plan prihoda za unos u SAP'!$G$3:$G$501,'Plan prihoda za unos u SAP'!$C$3:$C$501,"=71",'Plan prihoda za unos u SAP'!$K$3:$K$501,"=614")</f>
        <v>0</v>
      </c>
      <c r="V11" s="189">
        <f>SUMIFS('Plan prihoda za unos u SAP'!$G$3:$G$501,'Plan prihoda za unos u SAP'!$C$3:$C$501,"=81",'Plan prihoda za unos u SAP'!$K$3:$K$501,"=614")</f>
        <v>0</v>
      </c>
      <c r="W11" s="189">
        <f>SUMIFS('Plan prihoda za unos u SAP'!$G$3:$G$501,'Plan prihoda za unos u SAP'!$C$3:$C$501,"=83",'Plan prihoda za unos u SAP'!$K$3:$K$501,"=614")</f>
        <v>0</v>
      </c>
    </row>
    <row r="12" spans="1:29" s="90" customFormat="1">
      <c r="A12" s="90">
        <v>2021</v>
      </c>
      <c r="B12" s="97" t="s">
        <v>281</v>
      </c>
      <c r="C12" s="110" t="s">
        <v>282</v>
      </c>
      <c r="D12" s="70">
        <f t="shared" si="1"/>
        <v>0</v>
      </c>
      <c r="E12" s="189">
        <f>SUMIFS('Plan prihoda za unos u SAP'!$G$3:$G$501,'Plan prihoda za unos u SAP'!$C$3:$C$501,"=11",'Plan prihoda za unos u SAP'!$K$3:$K$501,"=631")</f>
        <v>0</v>
      </c>
      <c r="F12" s="189">
        <f>SUMIFS('Plan prihoda za unos u SAP'!$G$3:$G$501,'Plan prihoda za unos u SAP'!$C$3:$C$501,"=12",'Plan prihoda za unos u SAP'!$K$3:$K$501,"=631")</f>
        <v>0</v>
      </c>
      <c r="G12" s="189">
        <f>SUMIFS('Plan prihoda za unos u SAP'!$G$3:$G$501,'Plan prihoda za unos u SAP'!$C$3:$C$501,"=31",'Plan prihoda za unos u SAP'!$K$3:$K$501,"=631")</f>
        <v>0</v>
      </c>
      <c r="H12" s="189">
        <f>SUMIFS('Plan prihoda za unos u SAP'!$G$3:$G$501,'Plan prihoda za unos u SAP'!$C$3:$C$501,"=41",'Plan prihoda za unos u SAP'!$K$3:$K$501,"=631")</f>
        <v>0</v>
      </c>
      <c r="I12" s="189">
        <f>SUMIFS('Plan prihoda za unos u SAP'!$G$3:$G$501,'Plan prihoda za unos u SAP'!$C$3:$C$501,"=43",'Plan prihoda za unos u SAP'!$K$3:$K$501,"=631")</f>
        <v>0</v>
      </c>
      <c r="J12" s="189">
        <f>SUMIFS('Plan prihoda za unos u SAP'!$G$3:$G$501,'Plan prihoda za unos u SAP'!$C$3:$C$501,"=51",'Plan prihoda za unos u SAP'!$K$3:$K$501,"=631")</f>
        <v>0</v>
      </c>
      <c r="K12" s="189">
        <f>SUMIFS('Plan prihoda za unos u SAP'!$G$3:$G$501,'Plan prihoda za unos u SAP'!$C$3:$C$501,"=52",'Plan prihoda za unos u SAP'!$K$3:$K$501,"=631")</f>
        <v>0</v>
      </c>
      <c r="L12" s="189">
        <f>SUMIFS('Plan prihoda za unos u SAP'!$G$3:$G$501,'Plan prihoda za unos u SAP'!$C$3:$C$501,"=552",'Plan prihoda za unos u SAP'!$K$3:$K$501,"=631")</f>
        <v>0</v>
      </c>
      <c r="M12" s="189">
        <f>SUMIFS('Plan prihoda za unos u SAP'!$G$3:$G$501,'Plan prihoda za unos u SAP'!$C$3:$C$501,"=559",'Plan prihoda za unos u SAP'!$K$3:$K$501,"=631")</f>
        <v>0</v>
      </c>
      <c r="N12" s="189">
        <f>SUMIFS('Plan prihoda za unos u SAP'!$G$3:$G$501,'Plan prihoda za unos u SAP'!$C$3:$C$501,"=561",'Plan prihoda za unos u SAP'!$K$3:$K$501,"=631")</f>
        <v>0</v>
      </c>
      <c r="O12" s="189">
        <f>SUMIFS('Plan prihoda za unos u SAP'!$G$3:$G$501,'Plan prihoda za unos u SAP'!$C$3:$C$501,"=563",'Plan prihoda za unos u SAP'!$K$3:$K$501,"=631")</f>
        <v>0</v>
      </c>
      <c r="P12" s="189">
        <f>SUMIFS('Plan prihoda za unos u SAP'!$G$3:$G$501,'Plan prihoda za unos u SAP'!$C$3:$C$501,"=573",'Plan prihoda za unos u SAP'!$K$3:$K$501,"=631")</f>
        <v>0</v>
      </c>
      <c r="Q12" s="189">
        <f>SUMIFS('Plan prihoda za unos u SAP'!$G$3:$G$501,'Plan prihoda za unos u SAP'!$C$3:$C$501,"=575",'Plan prihoda za unos u SAP'!$K$3:$K$501,"=631")</f>
        <v>0</v>
      </c>
      <c r="R12" s="189">
        <f>SUMIFS('Plan prihoda za unos u SAP'!$G$3:$G$501,'Plan prihoda za unos u SAP'!$C$3:$C$501,"=576",'Plan prihoda za unos u SAP'!$K$3:$K$501,"=631")</f>
        <v>0</v>
      </c>
      <c r="S12" s="189">
        <f>SUMIFS('Plan prihoda za unos u SAP'!$G$3:$G$501,'Plan prihoda za unos u SAP'!$C$3:$C$501,"=61",'Plan prihoda za unos u SAP'!$K$3:$K$501,"=631")</f>
        <v>0</v>
      </c>
      <c r="T12" s="189">
        <f>SUMIFS('Plan prihoda za unos u SAP'!$G$3:$G$501,'Plan prihoda za unos u SAP'!$C$3:$C$501,"=63",'Plan prihoda za unos u SAP'!$K$3:$K$501,"=631")</f>
        <v>0</v>
      </c>
      <c r="U12" s="189">
        <f>SUMIFS('Plan prihoda za unos u SAP'!$G$3:$G$501,'Plan prihoda za unos u SAP'!$C$3:$C$501,"=71",'Plan prihoda za unos u SAP'!$K$3:$K$501,"=631")</f>
        <v>0</v>
      </c>
      <c r="V12" s="189">
        <f>SUMIFS('Plan prihoda za unos u SAP'!$G$3:$G$501,'Plan prihoda za unos u SAP'!$C$3:$C$501,"=81",'Plan prihoda za unos u SAP'!$K$3:$K$501,"=631")</f>
        <v>0</v>
      </c>
      <c r="W12" s="189">
        <f>SUMIFS('Plan prihoda za unos u SAP'!$G$3:$G$501,'Plan prihoda za unos u SAP'!$C$3:$C$501,"=83",'Plan prihoda za unos u SAP'!$K$3:$K$501,"=631")</f>
        <v>0</v>
      </c>
    </row>
    <row r="13" spans="1:29" s="90" customFormat="1">
      <c r="A13" s="90">
        <v>2021</v>
      </c>
      <c r="B13" s="95" t="s">
        <v>283</v>
      </c>
      <c r="C13" s="96" t="s">
        <v>284</v>
      </c>
      <c r="D13" s="70">
        <f t="shared" si="1"/>
        <v>3861753</v>
      </c>
      <c r="E13" s="189">
        <f>SUMIFS('Plan prihoda za unos u SAP'!$G$3:$G$501,'Plan prihoda za unos u SAP'!$C$3:$C$501,"=11",'Plan prihoda za unos u SAP'!$K$3:$K$501,"=632")</f>
        <v>0</v>
      </c>
      <c r="F13" s="189">
        <f>SUMIFS('Plan prihoda za unos u SAP'!$G$3:$G$501,'Plan prihoda za unos u SAP'!$C$3:$C$501,"=12",'Plan prihoda za unos u SAP'!$K$3:$K$501,"=632")</f>
        <v>0</v>
      </c>
      <c r="G13" s="189">
        <f>SUMIFS('Plan prihoda za unos u SAP'!$G$3:$G$501,'Plan prihoda za unos u SAP'!$C$3:$C$501,"=31",'Plan prihoda za unos u SAP'!$K$3:$K$501,"=632")</f>
        <v>0</v>
      </c>
      <c r="H13" s="189">
        <f>SUMIFS('Plan prihoda za unos u SAP'!$G$3:$G$501,'Plan prihoda za unos u SAP'!$C$3:$C$501,"=41",'Plan prihoda za unos u SAP'!$K$3:$K$501,"=632")</f>
        <v>0</v>
      </c>
      <c r="I13" s="189">
        <f>SUMIFS('Plan prihoda za unos u SAP'!$G$3:$G$501,'Plan prihoda za unos u SAP'!$C$3:$C$501,"=43",'Plan prihoda za unos u SAP'!$K$3:$K$501,"=632")</f>
        <v>0</v>
      </c>
      <c r="J13" s="189">
        <f>SUMIFS('Plan prihoda za unos u SAP'!$G$3:$G$501,'Plan prihoda za unos u SAP'!$C$3:$C$501,"=51",'Plan prihoda za unos u SAP'!$K$3:$K$501,"=632")</f>
        <v>2186025</v>
      </c>
      <c r="K13" s="189">
        <f>SUMIFS('Plan prihoda za unos u SAP'!$G$3:$G$501,'Plan prihoda za unos u SAP'!$C$3:$C$501,"=52",'Plan prihoda za unos u SAP'!$K$3:$K$501,"=632")</f>
        <v>0</v>
      </c>
      <c r="L13" s="189">
        <f>SUMIFS('Plan prihoda za unos u SAP'!$G$3:$G$501,'Plan prihoda za unos u SAP'!$C$3:$C$501,"=552",'Plan prihoda za unos u SAP'!$K$3:$K$501,"=632")</f>
        <v>0</v>
      </c>
      <c r="M13" s="189">
        <f>SUMIFS('Plan prihoda za unos u SAP'!$G$3:$G$501,'Plan prihoda za unos u SAP'!$C$3:$C$501,"=559",'Plan prihoda za unos u SAP'!$K$3:$K$501,"=632")</f>
        <v>0</v>
      </c>
      <c r="N13" s="189">
        <f>SUMIFS('Plan prihoda za unos u SAP'!$G$3:$G$501,'Plan prihoda za unos u SAP'!$C$3:$C$501,"=561",'Plan prihoda za unos u SAP'!$K$3:$K$501,"=632")</f>
        <v>1675728</v>
      </c>
      <c r="O13" s="189">
        <f>SUMIFS('Plan prihoda za unos u SAP'!$G$3:$G$501,'Plan prihoda za unos u SAP'!$C$3:$C$501,"=563",'Plan prihoda za unos u SAP'!$K$3:$K$501,"=632")</f>
        <v>0</v>
      </c>
      <c r="P13" s="189">
        <f>SUMIFS('Plan prihoda za unos u SAP'!$G$3:$G$501,'Plan prihoda za unos u SAP'!$C$3:$C$501,"=573",'Plan prihoda za unos u SAP'!$K$3:$K$501,"=632")</f>
        <v>0</v>
      </c>
      <c r="Q13" s="189">
        <f>SUMIFS('Plan prihoda za unos u SAP'!$G$3:$G$501,'Plan prihoda za unos u SAP'!$C$3:$C$501,"=575",'Plan prihoda za unos u SAP'!$K$3:$K$501,"=632")</f>
        <v>0</v>
      </c>
      <c r="R13" s="189">
        <f>SUMIFS('Plan prihoda za unos u SAP'!$G$3:$G$501,'Plan prihoda za unos u SAP'!$C$3:$C$501,"=576",'Plan prihoda za unos u SAP'!$K$3:$K$501,"=632")</f>
        <v>0</v>
      </c>
      <c r="S13" s="189">
        <f>SUMIFS('Plan prihoda za unos u SAP'!$G$3:$G$501,'Plan prihoda za unos u SAP'!$C$3:$C$501,"=61",'Plan prihoda za unos u SAP'!$K$3:$K$501,"=632")</f>
        <v>0</v>
      </c>
      <c r="T13" s="189">
        <f>SUMIFS('Plan prihoda za unos u SAP'!$G$3:$G$501,'Plan prihoda za unos u SAP'!$C$3:$C$501,"=63",'Plan prihoda za unos u SAP'!$K$3:$K$501,"=632")</f>
        <v>0</v>
      </c>
      <c r="U13" s="189">
        <f>SUMIFS('Plan prihoda za unos u SAP'!$G$3:$G$501,'Plan prihoda za unos u SAP'!$C$3:$C$501,"=71",'Plan prihoda za unos u SAP'!$K$3:$K$501,"=632")</f>
        <v>0</v>
      </c>
      <c r="V13" s="189">
        <f>SUMIFS('Plan prihoda za unos u SAP'!$G$3:$G$501,'Plan prihoda za unos u SAP'!$C$3:$C$501,"=81",'Plan prihoda za unos u SAP'!$K$3:$K$501,"=632")</f>
        <v>0</v>
      </c>
      <c r="W13" s="189">
        <f>SUMIFS('Plan prihoda za unos u SAP'!$G$3:$G$501,'Plan prihoda za unos u SAP'!$C$3:$C$501,"=83",'Plan prihoda za unos u SAP'!$K$3:$K$501,"=632")</f>
        <v>0</v>
      </c>
    </row>
    <row r="14" spans="1:29" s="90" customFormat="1">
      <c r="A14" s="90">
        <v>2021</v>
      </c>
      <c r="B14" s="95" t="s">
        <v>285</v>
      </c>
      <c r="C14" s="96" t="s">
        <v>286</v>
      </c>
      <c r="D14" s="70">
        <f t="shared" si="1"/>
        <v>0</v>
      </c>
      <c r="E14" s="189">
        <f>SUMIFS('Plan prihoda za unos u SAP'!$G$3:$G$501,'Plan prihoda za unos u SAP'!$C$3:$C$501,"=11",'Plan prihoda za unos u SAP'!$K$3:$K$501,"=634")</f>
        <v>0</v>
      </c>
      <c r="F14" s="189">
        <f>SUMIFS('Plan prihoda za unos u SAP'!$G$3:$G$501,'Plan prihoda za unos u SAP'!$C$3:$C$501,"=12",'Plan prihoda za unos u SAP'!$K$3:$K$501,"=634")</f>
        <v>0</v>
      </c>
      <c r="G14" s="189">
        <f>SUMIFS('Plan prihoda za unos u SAP'!$G$3:$G$501,'Plan prihoda za unos u SAP'!$C$3:$C$501,"=31",'Plan prihoda za unos u SAP'!$K$3:$K$501,"=634")</f>
        <v>0</v>
      </c>
      <c r="H14" s="189">
        <f>SUMIFS('Plan prihoda za unos u SAP'!$G$3:$G$501,'Plan prihoda za unos u SAP'!$C$3:$C$501,"=41",'Plan prihoda za unos u SAP'!$K$3:$K$501,"=634")</f>
        <v>0</v>
      </c>
      <c r="I14" s="189">
        <f>SUMIFS('Plan prihoda za unos u SAP'!$G$3:$G$501,'Plan prihoda za unos u SAP'!$C$3:$C$501,"=43",'Plan prihoda za unos u SAP'!$K$3:$K$501,"=634")</f>
        <v>0</v>
      </c>
      <c r="J14" s="189">
        <f>SUMIFS('Plan prihoda za unos u SAP'!$G$3:$G$501,'Plan prihoda za unos u SAP'!$C$3:$C$501,"=51",'Plan prihoda za unos u SAP'!$K$3:$K$501,"=634")</f>
        <v>0</v>
      </c>
      <c r="K14" s="189">
        <f>SUMIFS('Plan prihoda za unos u SAP'!$G$3:$G$501,'Plan prihoda za unos u SAP'!$C$3:$C$501,"=52",'Plan prihoda za unos u SAP'!$K$3:$K$501,"=634")</f>
        <v>0</v>
      </c>
      <c r="L14" s="189">
        <f>SUMIFS('Plan prihoda za unos u SAP'!$G$3:$G$501,'Plan prihoda za unos u SAP'!$C$3:$C$501,"=552",'Plan prihoda za unos u SAP'!$K$3:$K$501,"=634")</f>
        <v>0</v>
      </c>
      <c r="M14" s="189">
        <f>SUMIFS('Plan prihoda za unos u SAP'!$G$3:$G$501,'Plan prihoda za unos u SAP'!$C$3:$C$501,"=559",'Plan prihoda za unos u SAP'!$K$3:$K$501,"=634")</f>
        <v>0</v>
      </c>
      <c r="N14" s="189">
        <f>SUMIFS('Plan prihoda za unos u SAP'!$G$3:$G$501,'Plan prihoda za unos u SAP'!$C$3:$C$501,"=561",'Plan prihoda za unos u SAP'!$K$3:$K$501,"=634")</f>
        <v>0</v>
      </c>
      <c r="O14" s="189">
        <f>SUMIFS('Plan prihoda za unos u SAP'!$G$3:$G$501,'Plan prihoda za unos u SAP'!$C$3:$C$501,"=563",'Plan prihoda za unos u SAP'!$K$3:$K$501,"=634")</f>
        <v>0</v>
      </c>
      <c r="P14" s="189">
        <f>SUMIFS('Plan prihoda za unos u SAP'!$G$3:$G$501,'Plan prihoda za unos u SAP'!$C$3:$C$501,"=573",'Plan prihoda za unos u SAP'!$K$3:$K$501,"=634")</f>
        <v>0</v>
      </c>
      <c r="Q14" s="189">
        <f>SUMIFS('Plan prihoda za unos u SAP'!$G$3:$G$501,'Plan prihoda za unos u SAP'!$C$3:$C$501,"=575",'Plan prihoda za unos u SAP'!$K$3:$K$501,"=634")</f>
        <v>0</v>
      </c>
      <c r="R14" s="189">
        <f>SUMIFS('Plan prihoda za unos u SAP'!$G$3:$G$501,'Plan prihoda za unos u SAP'!$C$3:$C$501,"=576",'Plan prihoda za unos u SAP'!$K$3:$K$501,"=634")</f>
        <v>0</v>
      </c>
      <c r="S14" s="189">
        <f>SUMIFS('Plan prihoda za unos u SAP'!$G$3:$G$501,'Plan prihoda za unos u SAP'!$C$3:$C$501,"=61",'Plan prihoda za unos u SAP'!$K$3:$K$501,"=634")</f>
        <v>0</v>
      </c>
      <c r="T14" s="189">
        <f>SUMIFS('Plan prihoda za unos u SAP'!$G$3:$G$501,'Plan prihoda za unos u SAP'!$C$3:$C$501,"=63",'Plan prihoda za unos u SAP'!$K$3:$K$501,"=634")</f>
        <v>0</v>
      </c>
      <c r="U14" s="189">
        <f>SUMIFS('Plan prihoda za unos u SAP'!$G$3:$G$501,'Plan prihoda za unos u SAP'!$C$3:$C$501,"=71",'Plan prihoda za unos u SAP'!$K$3:$K$501,"=634")</f>
        <v>0</v>
      </c>
      <c r="V14" s="189">
        <f>SUMIFS('Plan prihoda za unos u SAP'!$G$3:$G$501,'Plan prihoda za unos u SAP'!$C$3:$C$501,"=81",'Plan prihoda za unos u SAP'!$K$3:$K$501,"=634")</f>
        <v>0</v>
      </c>
      <c r="W14" s="189">
        <f>SUMIFS('Plan prihoda za unos u SAP'!$G$3:$G$501,'Plan prihoda za unos u SAP'!$C$3:$C$501,"=83",'Plan prihoda za unos u SAP'!$K$3:$K$501,"=634")</f>
        <v>0</v>
      </c>
    </row>
    <row r="15" spans="1:29" s="90" customFormat="1">
      <c r="A15" s="90">
        <v>2021</v>
      </c>
      <c r="B15" s="215" t="s">
        <v>762</v>
      </c>
      <c r="C15" s="96" t="s">
        <v>763</v>
      </c>
      <c r="D15" s="70">
        <f>SUM(E15:W15)</f>
        <v>0</v>
      </c>
      <c r="E15" s="189">
        <f>SUMIFS('Plan prihoda za unos u SAP'!$G$3:$G$501,'Plan prihoda za unos u SAP'!$C$3:$C$501,"=11",'Plan prihoda za unos u SAP'!$K$3:$K$501,"=636")</f>
        <v>0</v>
      </c>
      <c r="F15" s="189">
        <f>SUMIFS('Plan prihoda za unos u SAP'!$G$3:$G$501,'Plan prihoda za unos u SAP'!$C$3:$C$501,"=12",'Plan prihoda za unos u SAP'!$K$3:$K$501,"=636")</f>
        <v>0</v>
      </c>
      <c r="G15" s="189">
        <f>SUMIFS('Plan prihoda za unos u SAP'!$G$3:$G$501,'Plan prihoda za unos u SAP'!$C$3:$C$501,"=31",'Plan prihoda za unos u SAP'!$K$3:$K$501,"=636")</f>
        <v>0</v>
      </c>
      <c r="H15" s="189">
        <f>SUMIFS('Plan prihoda za unos u SAP'!$G$3:$G$501,'Plan prihoda za unos u SAP'!$C$3:$C$501,"=41",'Plan prihoda za unos u SAP'!$K$3:$K$501,"=636")</f>
        <v>0</v>
      </c>
      <c r="I15" s="189">
        <f>SUMIFS('Plan prihoda za unos u SAP'!$G$3:$G$501,'Plan prihoda za unos u SAP'!$C$3:$C$501,"=43",'Plan prihoda za unos u SAP'!$K$3:$K$501,"=636")</f>
        <v>0</v>
      </c>
      <c r="J15" s="189">
        <f>SUMIFS('Plan prihoda za unos u SAP'!$G$3:$G$501,'Plan prihoda za unos u SAP'!$C$3:$C$501,"=51",'Plan prihoda za unos u SAP'!$K$3:$K$501,"=636")</f>
        <v>0</v>
      </c>
      <c r="K15" s="189">
        <f>SUMIFS('Plan prihoda za unos u SAP'!$G$3:$G$501,'Plan prihoda za unos u SAP'!$C$3:$C$501,"=52",'Plan prihoda za unos u SAP'!$K$3:$K$501,"=636")</f>
        <v>0</v>
      </c>
      <c r="L15" s="189">
        <f>SUMIFS('Plan prihoda za unos u SAP'!$G$3:$G$501,'Plan prihoda za unos u SAP'!$C$3:$C$501,"=552",'Plan prihoda za unos u SAP'!$K$3:$K$501,"=636")</f>
        <v>0</v>
      </c>
      <c r="M15" s="189">
        <f>SUMIFS('Plan prihoda za unos u SAP'!$G$3:$G$501,'Plan prihoda za unos u SAP'!$C$3:$C$501,"=559",'Plan prihoda za unos u SAP'!$K$3:$K$501,"=636")</f>
        <v>0</v>
      </c>
      <c r="N15" s="189">
        <f>SUMIFS('Plan prihoda za unos u SAP'!$G$3:$G$501,'Plan prihoda za unos u SAP'!$C$3:$C$501,"=561",'Plan prihoda za unos u SAP'!$K$3:$K$501,"=636")</f>
        <v>0</v>
      </c>
      <c r="O15" s="189">
        <f>SUMIFS('Plan prihoda za unos u SAP'!$G$3:$G$501,'Plan prihoda za unos u SAP'!$C$3:$C$501,"=563",'Plan prihoda za unos u SAP'!$K$3:$K$501,"=636")</f>
        <v>0</v>
      </c>
      <c r="P15" s="189">
        <f>SUMIFS('Plan prihoda za unos u SAP'!$G$3:$G$501,'Plan prihoda za unos u SAP'!$C$3:$C$501,"=573",'Plan prihoda za unos u SAP'!$K$3:$K$501,"=636")</f>
        <v>0</v>
      </c>
      <c r="Q15" s="189">
        <f>SUMIFS('Plan prihoda za unos u SAP'!$G$3:$G$501,'Plan prihoda za unos u SAP'!$C$3:$C$501,"=575",'Plan prihoda za unos u SAP'!$K$3:$K$501,"=636")</f>
        <v>0</v>
      </c>
      <c r="R15" s="189">
        <f>SUMIFS('Plan prihoda za unos u SAP'!$G$3:$G$501,'Plan prihoda za unos u SAP'!$C$3:$C$501,"=576",'Plan prihoda za unos u SAP'!$K$3:$K$501,"=636")</f>
        <v>0</v>
      </c>
      <c r="S15" s="189">
        <f>SUMIFS('Plan prihoda za unos u SAP'!$G$3:$G$501,'Plan prihoda za unos u SAP'!$C$3:$C$501,"=61",'Plan prihoda za unos u SAP'!$K$3:$K$501,"=636")</f>
        <v>0</v>
      </c>
      <c r="T15" s="189">
        <f>SUMIFS('Plan prihoda za unos u SAP'!$G$3:$G$501,'Plan prihoda za unos u SAP'!$C$3:$C$501,"=63",'Plan prihoda za unos u SAP'!$K$3:$K$501,"=636")</f>
        <v>0</v>
      </c>
      <c r="U15" s="189">
        <f>SUMIFS('Plan prihoda za unos u SAP'!$G$3:$G$501,'Plan prihoda za unos u SAP'!$C$3:$C$501,"=71",'Plan prihoda za unos u SAP'!$K$3:$K$501,"=636")</f>
        <v>0</v>
      </c>
      <c r="V15" s="189">
        <f>SUMIFS('Plan prihoda za unos u SAP'!$G$3:$G$501,'Plan prihoda za unos u SAP'!$C$3:$C$501,"=81",'Plan prihoda za unos u SAP'!$K$3:$K$501,"=636")</f>
        <v>0</v>
      </c>
      <c r="W15" s="189">
        <f>SUMIFS('Plan prihoda za unos u SAP'!$G$3:$G$501,'Plan prihoda za unos u SAP'!$C$3:$C$501,"=83",'Plan prihoda za unos u SAP'!$K$3:$K$501,"=636")</f>
        <v>0</v>
      </c>
    </row>
    <row r="16" spans="1:29" s="90" customFormat="1">
      <c r="A16" s="90">
        <v>2021</v>
      </c>
      <c r="B16" s="95" t="s">
        <v>287</v>
      </c>
      <c r="C16" s="96" t="s">
        <v>288</v>
      </c>
      <c r="D16" s="70">
        <f t="shared" si="1"/>
        <v>0</v>
      </c>
      <c r="E16" s="189">
        <f>SUMIFS('Plan prihoda za unos u SAP'!$G$3:$G$501,'Plan prihoda za unos u SAP'!$C$3:$C$501,"=11",'Plan prihoda za unos u SAP'!$K$3:$K$501,"=638")</f>
        <v>0</v>
      </c>
      <c r="F16" s="189">
        <f>SUMIFS('Plan prihoda za unos u SAP'!$G$3:$G$501,'Plan prihoda za unos u SAP'!$C$3:$C$501,"=12",'Plan prihoda za unos u SAP'!$K$3:$K$501,"=638")</f>
        <v>0</v>
      </c>
      <c r="G16" s="189">
        <f>SUMIFS('Plan prihoda za unos u SAP'!$G$3:$G$501,'Plan prihoda za unos u SAP'!$C$3:$C$501,"=31",'Plan prihoda za unos u SAP'!$K$3:$K$501,"=638")</f>
        <v>0</v>
      </c>
      <c r="H16" s="189">
        <f>SUMIFS('Plan prihoda za unos u SAP'!$G$3:$G$501,'Plan prihoda za unos u SAP'!$C$3:$C$501,"=41",'Plan prihoda za unos u SAP'!$K$3:$K$501,"=638")</f>
        <v>0</v>
      </c>
      <c r="I16" s="189">
        <f>SUMIFS('Plan prihoda za unos u SAP'!$G$3:$G$501,'Plan prihoda za unos u SAP'!$C$3:$C$501,"=43",'Plan prihoda za unos u SAP'!$K$3:$K$501,"=638")</f>
        <v>0</v>
      </c>
      <c r="J16" s="189">
        <f>SUMIFS('Plan prihoda za unos u SAP'!$G$3:$G$501,'Plan prihoda za unos u SAP'!$C$3:$C$501,"=51",'Plan prihoda za unos u SAP'!$K$3:$K$501,"=638")</f>
        <v>0</v>
      </c>
      <c r="K16" s="189">
        <f>SUMIFS('Plan prihoda za unos u SAP'!$G$3:$G$501,'Plan prihoda za unos u SAP'!$C$3:$C$501,"=52",'Plan prihoda za unos u SAP'!$K$3:$K$501,"=638")</f>
        <v>0</v>
      </c>
      <c r="L16" s="189">
        <f>SUMIFS('Plan prihoda za unos u SAP'!$G$3:$G$501,'Plan prihoda za unos u SAP'!$C$3:$C$501,"=552",'Plan prihoda za unos u SAP'!$K$3:$K$501,"=638")</f>
        <v>0</v>
      </c>
      <c r="M16" s="189">
        <f>SUMIFS('Plan prihoda za unos u SAP'!$G$3:$G$501,'Plan prihoda za unos u SAP'!$C$3:$C$501,"=559",'Plan prihoda za unos u SAP'!$K$3:$K$501,"=638")</f>
        <v>0</v>
      </c>
      <c r="N16" s="189">
        <f>SUMIFS('Plan prihoda za unos u SAP'!$G$3:$G$501,'Plan prihoda za unos u SAP'!$C$3:$C$501,"=561",'Plan prihoda za unos u SAP'!$K$3:$K$501,"=638")</f>
        <v>0</v>
      </c>
      <c r="O16" s="189">
        <f>SUMIFS('Plan prihoda za unos u SAP'!$G$3:$G$501,'Plan prihoda za unos u SAP'!$C$3:$C$501,"=563",'Plan prihoda za unos u SAP'!$K$3:$K$501,"=638")</f>
        <v>0</v>
      </c>
      <c r="P16" s="189">
        <f>SUMIFS('Plan prihoda za unos u SAP'!$G$3:$G$501,'Plan prihoda za unos u SAP'!$C$3:$C$501,"=573",'Plan prihoda za unos u SAP'!$K$3:$K$501,"=638")</f>
        <v>0</v>
      </c>
      <c r="Q16" s="189">
        <f>SUMIFS('Plan prihoda za unos u SAP'!$G$3:$G$501,'Plan prihoda za unos u SAP'!$C$3:$C$501,"=575",'Plan prihoda za unos u SAP'!$K$3:$K$501,"=638")</f>
        <v>0</v>
      </c>
      <c r="R16" s="189">
        <f>SUMIFS('Plan prihoda za unos u SAP'!$G$3:$G$501,'Plan prihoda za unos u SAP'!$C$3:$C$501,"=576",'Plan prihoda za unos u SAP'!$K$3:$K$501,"=638")</f>
        <v>0</v>
      </c>
      <c r="S16" s="189">
        <f>SUMIFS('Plan prihoda za unos u SAP'!$G$3:$G$501,'Plan prihoda za unos u SAP'!$C$3:$C$501,"=61",'Plan prihoda za unos u SAP'!$K$3:$K$501,"=638")</f>
        <v>0</v>
      </c>
      <c r="T16" s="189">
        <f>SUMIFS('Plan prihoda za unos u SAP'!$G$3:$G$501,'Plan prihoda za unos u SAP'!$C$3:$C$501,"=63",'Plan prihoda za unos u SAP'!$K$3:$K$501,"=638")</f>
        <v>0</v>
      </c>
      <c r="U16" s="189">
        <f>SUMIFS('Plan prihoda za unos u SAP'!$G$3:$G$501,'Plan prihoda za unos u SAP'!$C$3:$C$501,"=71",'Plan prihoda za unos u SAP'!$K$3:$K$501,"=638")</f>
        <v>0</v>
      </c>
      <c r="V16" s="189">
        <f>SUMIFS('Plan prihoda za unos u SAP'!$G$3:$G$501,'Plan prihoda za unos u SAP'!$C$3:$C$501,"=81",'Plan prihoda za unos u SAP'!$K$3:$K$501,"=638")</f>
        <v>0</v>
      </c>
      <c r="W16" s="189">
        <f>SUMIFS('Plan prihoda za unos u SAP'!$G$3:$G$501,'Plan prihoda za unos u SAP'!$C$3:$C$501,"=83",'Plan prihoda za unos u SAP'!$K$3:$K$501,"=638")</f>
        <v>0</v>
      </c>
    </row>
    <row r="17" spans="1:23" s="90" customFormat="1">
      <c r="A17" s="90">
        <v>2021</v>
      </c>
      <c r="B17" s="95" t="s">
        <v>289</v>
      </c>
      <c r="C17" s="96" t="s">
        <v>41</v>
      </c>
      <c r="D17" s="70">
        <f t="shared" si="1"/>
        <v>375144</v>
      </c>
      <c r="E17" s="189">
        <f>SUMIFS('Plan prihoda za unos u SAP'!$G$3:$G$501,'Plan prihoda za unos u SAP'!$C$3:$C$501,"=11",'Plan prihoda za unos u SAP'!$K$3:$K$501,"=639")</f>
        <v>0</v>
      </c>
      <c r="F17" s="189">
        <f>SUMIFS('Plan prihoda za unos u SAP'!$G$3:$G$501,'Plan prihoda za unos u SAP'!$C$3:$C$501,"=12",'Plan prihoda za unos u SAP'!$K$3:$K$501,"=639")</f>
        <v>0</v>
      </c>
      <c r="G17" s="189">
        <f>SUMIFS('Plan prihoda za unos u SAP'!$G$3:$G$501,'Plan prihoda za unos u SAP'!$C$3:$C$501,"=31",'Plan prihoda za unos u SAP'!$K$3:$K$501,"=639")</f>
        <v>0</v>
      </c>
      <c r="H17" s="189">
        <f>SUMIFS('Plan prihoda za unos u SAP'!$G$3:$G$501,'Plan prihoda za unos u SAP'!$C$3:$C$501,"=41",'Plan prihoda za unos u SAP'!$K$3:$K$501,"=639")</f>
        <v>0</v>
      </c>
      <c r="I17" s="189">
        <f>SUMIFS('Plan prihoda za unos u SAP'!$G$3:$G$501,'Plan prihoda za unos u SAP'!$C$3:$C$501,"=43",'Plan prihoda za unos u SAP'!$K$3:$K$501,"=639")</f>
        <v>0</v>
      </c>
      <c r="J17" s="189">
        <f>SUMIFS('Plan prihoda za unos u SAP'!$G$3:$G$501,'Plan prihoda za unos u SAP'!$C$3:$C$501,"=51",'Plan prihoda za unos u SAP'!$K$3:$K$501,"=639")</f>
        <v>0</v>
      </c>
      <c r="K17" s="189">
        <f>SUMIFS('Plan prihoda za unos u SAP'!$G$3:$G$501,'Plan prihoda za unos u SAP'!$C$3:$C$501,"=52",'Plan prihoda za unos u SAP'!$K$3:$K$501,"=639")</f>
        <v>375144</v>
      </c>
      <c r="L17" s="189">
        <f>SUMIFS('Plan prihoda za unos u SAP'!$G$3:$G$501,'Plan prihoda za unos u SAP'!$C$3:$C$501,"=552",'Plan prihoda za unos u SAP'!$K$3:$K$501,"=639")</f>
        <v>0</v>
      </c>
      <c r="M17" s="189">
        <f>SUMIFS('Plan prihoda za unos u SAP'!$G$3:$G$501,'Plan prihoda za unos u SAP'!$C$3:$C$501,"=559",'Plan prihoda za unos u SAP'!$K$3:$K$501,"=639")</f>
        <v>0</v>
      </c>
      <c r="N17" s="189">
        <f>SUMIFS('Plan prihoda za unos u SAP'!$G$3:$G$501,'Plan prihoda za unos u SAP'!$C$3:$C$501,"=561",'Plan prihoda za unos u SAP'!$K$3:$K$501,"=639")</f>
        <v>0</v>
      </c>
      <c r="O17" s="189">
        <f>SUMIFS('Plan prihoda za unos u SAP'!$G$3:$G$501,'Plan prihoda za unos u SAP'!$C$3:$C$501,"=563",'Plan prihoda za unos u SAP'!$K$3:$K$501,"=639")</f>
        <v>0</v>
      </c>
      <c r="P17" s="189">
        <f>SUMIFS('Plan prihoda za unos u SAP'!$G$3:$G$501,'Plan prihoda za unos u SAP'!$C$3:$C$501,"=573",'Plan prihoda za unos u SAP'!$K$3:$K$501,"=639")</f>
        <v>0</v>
      </c>
      <c r="Q17" s="189">
        <f>SUMIFS('Plan prihoda za unos u SAP'!$G$3:$G$501,'Plan prihoda za unos u SAP'!$C$3:$C$501,"=575",'Plan prihoda za unos u SAP'!$K$3:$K$501,"=639")</f>
        <v>0</v>
      </c>
      <c r="R17" s="189">
        <f>SUMIFS('Plan prihoda za unos u SAP'!$G$3:$G$501,'Plan prihoda za unos u SAP'!$C$3:$C$501,"=576",'Plan prihoda za unos u SAP'!$K$3:$K$501,"=639")</f>
        <v>0</v>
      </c>
      <c r="S17" s="189">
        <f>SUMIFS('Plan prihoda za unos u SAP'!$G$3:$G$501,'Plan prihoda za unos u SAP'!$C$3:$C$501,"=61",'Plan prihoda za unos u SAP'!$K$3:$K$501,"=639")</f>
        <v>0</v>
      </c>
      <c r="T17" s="189">
        <f>SUMIFS('Plan prihoda za unos u SAP'!$G$3:$G$501,'Plan prihoda za unos u SAP'!$C$3:$C$501,"=63",'Plan prihoda za unos u SAP'!$K$3:$K$501,"=639")</f>
        <v>0</v>
      </c>
      <c r="U17" s="189">
        <f>SUMIFS('Plan prihoda za unos u SAP'!$G$3:$G$501,'Plan prihoda za unos u SAP'!$C$3:$C$501,"=71",'Plan prihoda za unos u SAP'!$K$3:$K$501,"=639")</f>
        <v>0</v>
      </c>
      <c r="V17" s="189">
        <f>SUMIFS('Plan prihoda za unos u SAP'!$G$3:$G$501,'Plan prihoda za unos u SAP'!$C$3:$C$501,"=81",'Plan prihoda za unos u SAP'!$K$3:$K$501,"=639")</f>
        <v>0</v>
      </c>
      <c r="W17" s="189">
        <f>SUMIFS('Plan prihoda za unos u SAP'!$G$3:$G$501,'Plan prihoda za unos u SAP'!$C$3:$C$501,"=83",'Plan prihoda za unos u SAP'!$K$3:$K$501,"=639")</f>
        <v>0</v>
      </c>
    </row>
    <row r="18" spans="1:23" s="90" customFormat="1">
      <c r="A18" s="90">
        <v>2021</v>
      </c>
      <c r="B18" s="95" t="s">
        <v>290</v>
      </c>
      <c r="C18" s="96" t="s">
        <v>291</v>
      </c>
      <c r="D18" s="70">
        <f t="shared" si="1"/>
        <v>35000</v>
      </c>
      <c r="E18" s="189">
        <f>SUMIFS('Plan prihoda za unos u SAP'!$G$3:$G$501,'Plan prihoda za unos u SAP'!$C$3:$C$501,"=11",'Plan prihoda za unos u SAP'!$K$3:$K$501,"=641")</f>
        <v>0</v>
      </c>
      <c r="F18" s="189">
        <f>SUMIFS('Plan prihoda za unos u SAP'!$G$3:$G$501,'Plan prihoda za unos u SAP'!$C$3:$C$501,"=12",'Plan prihoda za unos u SAP'!$K$3:$K$501,"=641")</f>
        <v>0</v>
      </c>
      <c r="G18" s="189">
        <f>SUMIFS('Plan prihoda za unos u SAP'!$G$3:$G$501,'Plan prihoda za unos u SAP'!$C$3:$C$501,"=31",'Plan prihoda za unos u SAP'!$K$3:$K$501,"=641")</f>
        <v>35000</v>
      </c>
      <c r="H18" s="189">
        <f>SUMIFS('Plan prihoda za unos u SAP'!$G$3:$G$501,'Plan prihoda za unos u SAP'!$C$3:$C$501,"=41",'Plan prihoda za unos u SAP'!$K$3:$K$501,"=641")</f>
        <v>0</v>
      </c>
      <c r="I18" s="189">
        <f>SUMIFS('Plan prihoda za unos u SAP'!$G$3:$G$501,'Plan prihoda za unos u SAP'!$C$3:$C$501,"=43",'Plan prihoda za unos u SAP'!$K$3:$K$501,"=641")</f>
        <v>0</v>
      </c>
      <c r="J18" s="189">
        <f>SUMIFS('Plan prihoda za unos u SAP'!$G$3:$G$501,'Plan prihoda za unos u SAP'!$C$3:$C$501,"=51",'Plan prihoda za unos u SAP'!$K$3:$K$501,"=641")</f>
        <v>0</v>
      </c>
      <c r="K18" s="189">
        <f>SUMIFS('Plan prihoda za unos u SAP'!$G$3:$G$501,'Plan prihoda za unos u SAP'!$C$3:$C$501,"=52",'Plan prihoda za unos u SAP'!$K$3:$K$501,"=641")</f>
        <v>0</v>
      </c>
      <c r="L18" s="189">
        <f>SUMIFS('Plan prihoda za unos u SAP'!$G$3:$G$501,'Plan prihoda za unos u SAP'!$C$3:$C$501,"=552",'Plan prihoda za unos u SAP'!$K$3:$K$501,"=641")</f>
        <v>0</v>
      </c>
      <c r="M18" s="189">
        <f>SUMIFS('Plan prihoda za unos u SAP'!$G$3:$G$501,'Plan prihoda za unos u SAP'!$C$3:$C$501,"=559",'Plan prihoda za unos u SAP'!$K$3:$K$501,"=641")</f>
        <v>0</v>
      </c>
      <c r="N18" s="189">
        <f>SUMIFS('Plan prihoda za unos u SAP'!$G$3:$G$501,'Plan prihoda za unos u SAP'!$C$3:$C$501,"=561",'Plan prihoda za unos u SAP'!$K$3:$K$501,"=641")</f>
        <v>0</v>
      </c>
      <c r="O18" s="189">
        <f>SUMIFS('Plan prihoda za unos u SAP'!$G$3:$G$501,'Plan prihoda za unos u SAP'!$C$3:$C$501,"=563",'Plan prihoda za unos u SAP'!$K$3:$K$501,"=641")</f>
        <v>0</v>
      </c>
      <c r="P18" s="189">
        <f>SUMIFS('Plan prihoda za unos u SAP'!$G$3:$G$501,'Plan prihoda za unos u SAP'!$C$3:$C$501,"=573",'Plan prihoda za unos u SAP'!$K$3:$K$501,"=641")</f>
        <v>0</v>
      </c>
      <c r="Q18" s="189">
        <f>SUMIFS('Plan prihoda za unos u SAP'!$G$3:$G$501,'Plan prihoda za unos u SAP'!$C$3:$C$501,"=575",'Plan prihoda za unos u SAP'!$K$3:$K$501,"=641")</f>
        <v>0</v>
      </c>
      <c r="R18" s="189">
        <f>SUMIFS('Plan prihoda za unos u SAP'!$G$3:$G$501,'Plan prihoda za unos u SAP'!$C$3:$C$501,"=576",'Plan prihoda za unos u SAP'!$K$3:$K$501,"=641")</f>
        <v>0</v>
      </c>
      <c r="S18" s="189">
        <f>SUMIFS('Plan prihoda za unos u SAP'!$G$3:$G$501,'Plan prihoda za unos u SAP'!$C$3:$C$501,"=61",'Plan prihoda za unos u SAP'!$K$3:$K$501,"=641")</f>
        <v>0</v>
      </c>
      <c r="T18" s="189">
        <f>SUMIFS('Plan prihoda za unos u SAP'!$G$3:$G$501,'Plan prihoda za unos u SAP'!$C$3:$C$501,"=63",'Plan prihoda za unos u SAP'!$K$3:$K$501,"=641")</f>
        <v>0</v>
      </c>
      <c r="U18" s="189">
        <f>SUMIFS('Plan prihoda za unos u SAP'!$G$3:$G$501,'Plan prihoda za unos u SAP'!$C$3:$C$501,"=71",'Plan prihoda za unos u SAP'!$K$3:$K$501,"=641")</f>
        <v>0</v>
      </c>
      <c r="V18" s="189">
        <f>SUMIFS('Plan prihoda za unos u SAP'!$G$3:$G$501,'Plan prihoda za unos u SAP'!$C$3:$C$501,"=81",'Plan prihoda za unos u SAP'!$K$3:$K$501,"=641")</f>
        <v>0</v>
      </c>
      <c r="W18" s="189">
        <f>SUMIFS('Plan prihoda za unos u SAP'!$G$3:$G$501,'Plan prihoda za unos u SAP'!$C$3:$C$501,"=83",'Plan prihoda za unos u SAP'!$K$3:$K$501,"=641")</f>
        <v>0</v>
      </c>
    </row>
    <row r="19" spans="1:23" s="90" customFormat="1">
      <c r="A19" s="90">
        <v>2021</v>
      </c>
      <c r="B19" s="95" t="s">
        <v>292</v>
      </c>
      <c r="C19" s="96" t="s">
        <v>293</v>
      </c>
      <c r="D19" s="70">
        <f t="shared" si="1"/>
        <v>0</v>
      </c>
      <c r="E19" s="189">
        <f>SUMIFS('Plan prihoda za unos u SAP'!$G$3:$G$501,'Plan prihoda za unos u SAP'!$C$3:$C$501,"=11",'Plan prihoda za unos u SAP'!$K$3:$K$501,"=642")</f>
        <v>0</v>
      </c>
      <c r="F19" s="189">
        <f>SUMIFS('Plan prihoda za unos u SAP'!$G$3:$G$501,'Plan prihoda za unos u SAP'!$C$3:$C$501,"=12",'Plan prihoda za unos u SAP'!$K$3:$K$501,"=642")</f>
        <v>0</v>
      </c>
      <c r="G19" s="189">
        <f>SUMIFS('Plan prihoda za unos u SAP'!$G$3:$G$501,'Plan prihoda za unos u SAP'!$C$3:$C$501,"=31",'Plan prihoda za unos u SAP'!$K$3:$K$501,"=642")</f>
        <v>0</v>
      </c>
      <c r="H19" s="189">
        <f>SUMIFS('Plan prihoda za unos u SAP'!$G$3:$G$501,'Plan prihoda za unos u SAP'!$C$3:$C$501,"=41",'Plan prihoda za unos u SAP'!$K$3:$K$501,"=642")</f>
        <v>0</v>
      </c>
      <c r="I19" s="189">
        <f>SUMIFS('Plan prihoda za unos u SAP'!$G$3:$G$501,'Plan prihoda za unos u SAP'!$C$3:$C$501,"=43",'Plan prihoda za unos u SAP'!$K$3:$K$501,"=642")</f>
        <v>0</v>
      </c>
      <c r="J19" s="189">
        <f>SUMIFS('Plan prihoda za unos u SAP'!$G$3:$G$501,'Plan prihoda za unos u SAP'!$C$3:$C$501,"=51",'Plan prihoda za unos u SAP'!$K$3:$K$501,"=642")</f>
        <v>0</v>
      </c>
      <c r="K19" s="189">
        <f>SUMIFS('Plan prihoda za unos u SAP'!$G$3:$G$501,'Plan prihoda za unos u SAP'!$C$3:$C$501,"=52",'Plan prihoda za unos u SAP'!$K$3:$K$501,"=642")</f>
        <v>0</v>
      </c>
      <c r="L19" s="189">
        <f>SUMIFS('Plan prihoda za unos u SAP'!$G$3:$G$501,'Plan prihoda za unos u SAP'!$C$3:$C$501,"=552",'Plan prihoda za unos u SAP'!$K$3:$K$501,"=642")</f>
        <v>0</v>
      </c>
      <c r="M19" s="189">
        <f>SUMIFS('Plan prihoda za unos u SAP'!$G$3:$G$501,'Plan prihoda za unos u SAP'!$C$3:$C$501,"=559",'Plan prihoda za unos u SAP'!$K$3:$K$501,"=642")</f>
        <v>0</v>
      </c>
      <c r="N19" s="189">
        <f>SUMIFS('Plan prihoda za unos u SAP'!$G$3:$G$501,'Plan prihoda za unos u SAP'!$C$3:$C$501,"=561",'Plan prihoda za unos u SAP'!$K$3:$K$501,"=642")</f>
        <v>0</v>
      </c>
      <c r="O19" s="189">
        <f>SUMIFS('Plan prihoda za unos u SAP'!$G$3:$G$501,'Plan prihoda za unos u SAP'!$C$3:$C$501,"=563",'Plan prihoda za unos u SAP'!$K$3:$K$501,"=642")</f>
        <v>0</v>
      </c>
      <c r="P19" s="189">
        <f>SUMIFS('Plan prihoda za unos u SAP'!$G$3:$G$501,'Plan prihoda za unos u SAP'!$C$3:$C$501,"=573",'Plan prihoda za unos u SAP'!$K$3:$K$501,"=642")</f>
        <v>0</v>
      </c>
      <c r="Q19" s="189">
        <f>SUMIFS('Plan prihoda za unos u SAP'!$G$3:$G$501,'Plan prihoda za unos u SAP'!$C$3:$C$501,"=575",'Plan prihoda za unos u SAP'!$K$3:$K$501,"=642")</f>
        <v>0</v>
      </c>
      <c r="R19" s="189">
        <f>SUMIFS('Plan prihoda za unos u SAP'!$G$3:$G$501,'Plan prihoda za unos u SAP'!$C$3:$C$501,"=576",'Plan prihoda za unos u SAP'!$K$3:$K$501,"=642")</f>
        <v>0</v>
      </c>
      <c r="S19" s="189">
        <f>SUMIFS('Plan prihoda za unos u SAP'!$G$3:$G$501,'Plan prihoda za unos u SAP'!$C$3:$C$501,"=61",'Plan prihoda za unos u SAP'!$K$3:$K$501,"=642")</f>
        <v>0</v>
      </c>
      <c r="T19" s="189">
        <f>SUMIFS('Plan prihoda za unos u SAP'!$G$3:$G$501,'Plan prihoda za unos u SAP'!$C$3:$C$501,"=63",'Plan prihoda za unos u SAP'!$K$3:$K$501,"=642")</f>
        <v>0</v>
      </c>
      <c r="U19" s="189">
        <f>SUMIFS('Plan prihoda za unos u SAP'!$G$3:$G$501,'Plan prihoda za unos u SAP'!$C$3:$C$501,"=71",'Plan prihoda za unos u SAP'!$K$3:$K$501,"=642")</f>
        <v>0</v>
      </c>
      <c r="V19" s="189">
        <f>SUMIFS('Plan prihoda za unos u SAP'!$G$3:$G$501,'Plan prihoda za unos u SAP'!$C$3:$C$501,"=81",'Plan prihoda za unos u SAP'!$K$3:$K$501,"=642")</f>
        <v>0</v>
      </c>
      <c r="W19" s="189">
        <f>SUMIFS('Plan prihoda za unos u SAP'!$G$3:$G$501,'Plan prihoda za unos u SAP'!$C$3:$C$501,"=83",'Plan prihoda za unos u SAP'!$K$3:$K$501,"=642")</f>
        <v>0</v>
      </c>
    </row>
    <row r="20" spans="1:23" s="90" customFormat="1">
      <c r="A20" s="90">
        <v>2021</v>
      </c>
      <c r="B20" s="215" t="s">
        <v>765</v>
      </c>
      <c r="C20" s="96" t="s">
        <v>764</v>
      </c>
      <c r="D20" s="70">
        <f t="shared" si="1"/>
        <v>0</v>
      </c>
      <c r="E20" s="189">
        <f>SUMIFS('Plan prihoda za unos u SAP'!$G$3:$G$501,'Plan prihoda za unos u SAP'!$C$3:$C$501,"=11",'Plan prihoda za unos u SAP'!$K$3:$K$501,"=651")</f>
        <v>0</v>
      </c>
      <c r="F20" s="189">
        <f>SUMIFS('Plan prihoda za unos u SAP'!$G$3:$G$501,'Plan prihoda za unos u SAP'!$C$3:$C$501,"=12",'Plan prihoda za unos u SAP'!$K$3:$K$501,"=651")</f>
        <v>0</v>
      </c>
      <c r="G20" s="189">
        <f>SUMIFS('Plan prihoda za unos u SAP'!$G$3:$G$501,'Plan prihoda za unos u SAP'!$C$3:$C$501,"=31",'Plan prihoda za unos u SAP'!$K$3:$K$501,"=651")</f>
        <v>0</v>
      </c>
      <c r="H20" s="189">
        <f>SUMIFS('Plan prihoda za unos u SAP'!$G$3:$G$501,'Plan prihoda za unos u SAP'!$C$3:$C$501,"=41",'Plan prihoda za unos u SAP'!$K$3:$K$501,"=651")</f>
        <v>0</v>
      </c>
      <c r="I20" s="189">
        <f>SUMIFS('Plan prihoda za unos u SAP'!$G$3:$G$501,'Plan prihoda za unos u SAP'!$C$3:$C$501,"=43",'Plan prihoda za unos u SAP'!$K$3:$K$501,"=651")</f>
        <v>0</v>
      </c>
      <c r="J20" s="189">
        <f>SUMIFS('Plan prihoda za unos u SAP'!$G$3:$G$501,'Plan prihoda za unos u SAP'!$C$3:$C$501,"=51",'Plan prihoda za unos u SAP'!$K$3:$K$501,"=651")</f>
        <v>0</v>
      </c>
      <c r="K20" s="189">
        <f>SUMIFS('Plan prihoda za unos u SAP'!$G$3:$G$501,'Plan prihoda za unos u SAP'!$C$3:$C$501,"=52",'Plan prihoda za unos u SAP'!$K$3:$K$501,"=651")</f>
        <v>0</v>
      </c>
      <c r="L20" s="189">
        <f>SUMIFS('Plan prihoda za unos u SAP'!$G$3:$G$501,'Plan prihoda za unos u SAP'!$C$3:$C$501,"=552",'Plan prihoda za unos u SAP'!$K$3:$K$501,"=651")</f>
        <v>0</v>
      </c>
      <c r="M20" s="189">
        <f>SUMIFS('Plan prihoda za unos u SAP'!$G$3:$G$501,'Plan prihoda za unos u SAP'!$C$3:$C$501,"=559",'Plan prihoda za unos u SAP'!$K$3:$K$501,"=651")</f>
        <v>0</v>
      </c>
      <c r="N20" s="189">
        <f>SUMIFS('Plan prihoda za unos u SAP'!$G$3:$G$501,'Plan prihoda za unos u SAP'!$C$3:$C$501,"=561",'Plan prihoda za unos u SAP'!$K$3:$K$501,"=651")</f>
        <v>0</v>
      </c>
      <c r="O20" s="189">
        <f>SUMIFS('Plan prihoda za unos u SAP'!$G$3:$G$501,'Plan prihoda za unos u SAP'!$C$3:$C$501,"=563",'Plan prihoda za unos u SAP'!$K$3:$K$501,"=651")</f>
        <v>0</v>
      </c>
      <c r="P20" s="189">
        <f>SUMIFS('Plan prihoda za unos u SAP'!$G$3:$G$501,'Plan prihoda za unos u SAP'!$C$3:$C$501,"=573",'Plan prihoda za unos u SAP'!$K$3:$K$501,"=651")</f>
        <v>0</v>
      </c>
      <c r="Q20" s="189">
        <f>SUMIFS('Plan prihoda za unos u SAP'!$G$3:$G$501,'Plan prihoda za unos u SAP'!$C$3:$C$501,"=575",'Plan prihoda za unos u SAP'!$K$3:$K$501,"=651")</f>
        <v>0</v>
      </c>
      <c r="R20" s="189">
        <f>SUMIFS('Plan prihoda za unos u SAP'!$G$3:$G$501,'Plan prihoda za unos u SAP'!$C$3:$C$501,"=576",'Plan prihoda za unos u SAP'!$K$3:$K$501,"=651")</f>
        <v>0</v>
      </c>
      <c r="S20" s="189">
        <f>SUMIFS('Plan prihoda za unos u SAP'!$G$3:$G$501,'Plan prihoda za unos u SAP'!$C$3:$C$501,"=61",'Plan prihoda za unos u SAP'!$K$3:$K$501,"=651")</f>
        <v>0</v>
      </c>
      <c r="T20" s="189">
        <f>SUMIFS('Plan prihoda za unos u SAP'!$G$3:$G$501,'Plan prihoda za unos u SAP'!$C$3:$C$501,"=63",'Plan prihoda za unos u SAP'!$K$3:$K$501,"=651")</f>
        <v>0</v>
      </c>
      <c r="U20" s="189">
        <f>SUMIFS('Plan prihoda za unos u SAP'!$G$3:$G$501,'Plan prihoda za unos u SAP'!$C$3:$C$501,"=71",'Plan prihoda za unos u SAP'!$K$3:$K$501,"=651")</f>
        <v>0</v>
      </c>
      <c r="V20" s="189">
        <f>SUMIFS('Plan prihoda za unos u SAP'!$G$3:$G$501,'Plan prihoda za unos u SAP'!$C$3:$C$501,"=81",'Plan prihoda za unos u SAP'!$K$3:$K$501,"=651")</f>
        <v>0</v>
      </c>
      <c r="W20" s="189">
        <f>SUMIFS('Plan prihoda za unos u SAP'!$G$3:$G$501,'Plan prihoda za unos u SAP'!$C$3:$C$501,"=83",'Plan prihoda za unos u SAP'!$K$3:$K$501,"=651")</f>
        <v>0</v>
      </c>
    </row>
    <row r="21" spans="1:23" s="90" customFormat="1">
      <c r="A21" s="90">
        <v>2021</v>
      </c>
      <c r="B21" s="95" t="s">
        <v>294</v>
      </c>
      <c r="C21" s="96" t="s">
        <v>295</v>
      </c>
      <c r="D21" s="70">
        <f t="shared" si="1"/>
        <v>6831500</v>
      </c>
      <c r="E21" s="189">
        <f>SUMIFS('Plan prihoda za unos u SAP'!$G$3:$G$501,'Plan prihoda za unos u SAP'!$C$3:$C$501,"=11",'Plan prihoda za unos u SAP'!$K$3:$K$501,"=652")</f>
        <v>0</v>
      </c>
      <c r="F21" s="189">
        <f>SUMIFS('Plan prihoda za unos u SAP'!$G$3:$G$501,'Plan prihoda za unos u SAP'!$C$3:$C$501,"=12",'Plan prihoda za unos u SAP'!$K$3:$K$501,"=652")</f>
        <v>0</v>
      </c>
      <c r="G21" s="189">
        <f>SUMIFS('Plan prihoda za unos u SAP'!$G$3:$G$501,'Plan prihoda za unos u SAP'!$C$3:$C$501,"=31",'Plan prihoda za unos u SAP'!$K$3:$K$501,"=652")</f>
        <v>0</v>
      </c>
      <c r="H21" s="189">
        <f>SUMIFS('Plan prihoda za unos u SAP'!$G$3:$G$501,'Plan prihoda za unos u SAP'!$C$3:$C$501,"=41",'Plan prihoda za unos u SAP'!$K$3:$K$501,"=652")</f>
        <v>0</v>
      </c>
      <c r="I21" s="189">
        <f>SUMIFS('Plan prihoda za unos u SAP'!$G$3:$G$501,'Plan prihoda za unos u SAP'!$C$3:$C$501,"=43",'Plan prihoda za unos u SAP'!$K$3:$K$501,"=652")</f>
        <v>6831500</v>
      </c>
      <c r="J21" s="189">
        <f>SUMIFS('Plan prihoda za unos u SAP'!$G$3:$G$501,'Plan prihoda za unos u SAP'!$C$3:$C$501,"=51",'Plan prihoda za unos u SAP'!$K$3:$K$501,"=652")</f>
        <v>0</v>
      </c>
      <c r="K21" s="189">
        <f>SUMIFS('Plan prihoda za unos u SAP'!$G$3:$G$501,'Plan prihoda za unos u SAP'!$C$3:$C$501,"=52",'Plan prihoda za unos u SAP'!$K$3:$K$501,"=652")</f>
        <v>0</v>
      </c>
      <c r="L21" s="189">
        <f>SUMIFS('Plan prihoda za unos u SAP'!$G$3:$G$501,'Plan prihoda za unos u SAP'!$C$3:$C$501,"=552",'Plan prihoda za unos u SAP'!$K$3:$K$501,"=652")</f>
        <v>0</v>
      </c>
      <c r="M21" s="189">
        <f>SUMIFS('Plan prihoda za unos u SAP'!$G$3:$G$501,'Plan prihoda za unos u SAP'!$C$3:$C$501,"=559",'Plan prihoda za unos u SAP'!$K$3:$K$501,"=652")</f>
        <v>0</v>
      </c>
      <c r="N21" s="189">
        <f>SUMIFS('Plan prihoda za unos u SAP'!$G$3:$G$501,'Plan prihoda za unos u SAP'!$C$3:$C$501,"=561",'Plan prihoda za unos u SAP'!$K$3:$K$501,"=652")</f>
        <v>0</v>
      </c>
      <c r="O21" s="189">
        <f>SUMIFS('Plan prihoda za unos u SAP'!$G$3:$G$501,'Plan prihoda za unos u SAP'!$C$3:$C$501,"=563",'Plan prihoda za unos u SAP'!$K$3:$K$501,"=652")</f>
        <v>0</v>
      </c>
      <c r="P21" s="189">
        <f>SUMIFS('Plan prihoda za unos u SAP'!$G$3:$G$501,'Plan prihoda za unos u SAP'!$C$3:$C$501,"=573",'Plan prihoda za unos u SAP'!$K$3:$K$501,"=652")</f>
        <v>0</v>
      </c>
      <c r="Q21" s="189">
        <f>SUMIFS('Plan prihoda za unos u SAP'!$G$3:$G$501,'Plan prihoda za unos u SAP'!$C$3:$C$501,"=575",'Plan prihoda za unos u SAP'!$K$3:$K$501,"=652")</f>
        <v>0</v>
      </c>
      <c r="R21" s="189">
        <f>SUMIFS('Plan prihoda za unos u SAP'!$G$3:$G$501,'Plan prihoda za unos u SAP'!$C$3:$C$501,"=576",'Plan prihoda za unos u SAP'!$K$3:$K$501,"=652")</f>
        <v>0</v>
      </c>
      <c r="S21" s="189">
        <f>SUMIFS('Plan prihoda za unos u SAP'!$G$3:$G$501,'Plan prihoda za unos u SAP'!$C$3:$C$501,"=61",'Plan prihoda za unos u SAP'!$K$3:$K$501,"=652")</f>
        <v>0</v>
      </c>
      <c r="T21" s="189">
        <f>SUMIFS('Plan prihoda za unos u SAP'!$G$3:$G$501,'Plan prihoda za unos u SAP'!$C$3:$C$501,"=63",'Plan prihoda za unos u SAP'!$K$3:$K$501,"=652")</f>
        <v>0</v>
      </c>
      <c r="U21" s="189">
        <f>SUMIFS('Plan prihoda za unos u SAP'!$G$3:$G$501,'Plan prihoda za unos u SAP'!$C$3:$C$501,"=71",'Plan prihoda za unos u SAP'!$K$3:$K$501,"=652")</f>
        <v>0</v>
      </c>
      <c r="V21" s="189">
        <f>SUMIFS('Plan prihoda za unos u SAP'!$G$3:$G$501,'Plan prihoda za unos u SAP'!$C$3:$C$501,"=81",'Plan prihoda za unos u SAP'!$K$3:$K$501,"=652")</f>
        <v>0</v>
      </c>
      <c r="W21" s="189">
        <f>SUMIFS('Plan prihoda za unos u SAP'!$G$3:$G$501,'Plan prihoda za unos u SAP'!$C$3:$C$501,"=83",'Plan prihoda za unos u SAP'!$K$3:$K$501,"=652")</f>
        <v>0</v>
      </c>
    </row>
    <row r="22" spans="1:23" s="90" customFormat="1">
      <c r="A22" s="90">
        <v>2021</v>
      </c>
      <c r="B22" s="95" t="s">
        <v>296</v>
      </c>
      <c r="C22" s="96" t="s">
        <v>297</v>
      </c>
      <c r="D22" s="70">
        <f t="shared" si="1"/>
        <v>3500000</v>
      </c>
      <c r="E22" s="189">
        <f>SUMIFS('Plan prihoda za unos u SAP'!$G$3:$G$501,'Plan prihoda za unos u SAP'!$C$3:$C$501,"=11",'Plan prihoda za unos u SAP'!$K$3:$K$501,"=661")</f>
        <v>0</v>
      </c>
      <c r="F22" s="189">
        <f>SUMIFS('Plan prihoda za unos u SAP'!$G$3:$G$501,'Plan prihoda za unos u SAP'!$C$3:$C$501,"=12",'Plan prihoda za unos u SAP'!$K$3:$K$501,"=661")</f>
        <v>0</v>
      </c>
      <c r="G22" s="189">
        <f>SUMIFS('Plan prihoda za unos u SAP'!$G$3:$G$501,'Plan prihoda za unos u SAP'!$C$3:$C$501,"=31",'Plan prihoda za unos u SAP'!$K$3:$K$501,"=661")</f>
        <v>3500000</v>
      </c>
      <c r="H22" s="189">
        <f>SUMIFS('Plan prihoda za unos u SAP'!$G$3:$G$501,'Plan prihoda za unos u SAP'!$C$3:$C$501,"=41",'Plan prihoda za unos u SAP'!$K$3:$K$501,"=661")</f>
        <v>0</v>
      </c>
      <c r="I22" s="189">
        <f>SUMIFS('Plan prihoda za unos u SAP'!$G$3:$G$501,'Plan prihoda za unos u SAP'!$C$3:$C$501,"=43",'Plan prihoda za unos u SAP'!$K$3:$K$501,"=661")</f>
        <v>0</v>
      </c>
      <c r="J22" s="189">
        <f>SUMIFS('Plan prihoda za unos u SAP'!$G$3:$G$501,'Plan prihoda za unos u SAP'!$C$3:$C$501,"=51",'Plan prihoda za unos u SAP'!$K$3:$K$501,"=661")</f>
        <v>0</v>
      </c>
      <c r="K22" s="189">
        <f>SUMIFS('Plan prihoda za unos u SAP'!$G$3:$G$501,'Plan prihoda za unos u SAP'!$C$3:$C$501,"=52",'Plan prihoda za unos u SAP'!$K$3:$K$501,"=661")</f>
        <v>0</v>
      </c>
      <c r="L22" s="189">
        <f>SUMIFS('Plan prihoda za unos u SAP'!$G$3:$G$501,'Plan prihoda za unos u SAP'!$C$3:$C$501,"=552",'Plan prihoda za unos u SAP'!$K$3:$K$501,"=661")</f>
        <v>0</v>
      </c>
      <c r="M22" s="189">
        <f>SUMIFS('Plan prihoda za unos u SAP'!$G$3:$G$501,'Plan prihoda za unos u SAP'!$C$3:$C$501,"=559",'Plan prihoda za unos u SAP'!$K$3:$K$501,"=661")</f>
        <v>0</v>
      </c>
      <c r="N22" s="189">
        <f>SUMIFS('Plan prihoda za unos u SAP'!$G$3:$G$501,'Plan prihoda za unos u SAP'!$C$3:$C$501,"=561",'Plan prihoda za unos u SAP'!$K$3:$K$501,"=661")</f>
        <v>0</v>
      </c>
      <c r="O22" s="189">
        <f>SUMIFS('Plan prihoda za unos u SAP'!$G$3:$G$501,'Plan prihoda za unos u SAP'!$C$3:$C$501,"=563",'Plan prihoda za unos u SAP'!$K$3:$K$501,"=661")</f>
        <v>0</v>
      </c>
      <c r="P22" s="189">
        <f>SUMIFS('Plan prihoda za unos u SAP'!$G$3:$G$501,'Plan prihoda za unos u SAP'!$C$3:$C$501,"=573",'Plan prihoda za unos u SAP'!$K$3:$K$501,"=661")</f>
        <v>0</v>
      </c>
      <c r="Q22" s="189">
        <f>SUMIFS('Plan prihoda za unos u SAP'!$G$3:$G$501,'Plan prihoda za unos u SAP'!$C$3:$C$501,"=575",'Plan prihoda za unos u SAP'!$K$3:$K$501,"=661")</f>
        <v>0</v>
      </c>
      <c r="R22" s="189">
        <f>SUMIFS('Plan prihoda za unos u SAP'!$G$3:$G$501,'Plan prihoda za unos u SAP'!$C$3:$C$501,"=576",'Plan prihoda za unos u SAP'!$K$3:$K$501,"=661")</f>
        <v>0</v>
      </c>
      <c r="S22" s="189">
        <f>SUMIFS('Plan prihoda za unos u SAP'!$G$3:$G$501,'Plan prihoda za unos u SAP'!$C$3:$C$501,"=61",'Plan prihoda za unos u SAP'!$K$3:$K$501,"=661")</f>
        <v>0</v>
      </c>
      <c r="T22" s="189">
        <f>SUMIFS('Plan prihoda za unos u SAP'!$G$3:$G$501,'Plan prihoda za unos u SAP'!$C$3:$C$501,"=63",'Plan prihoda za unos u SAP'!$K$3:$K$501,"=661")</f>
        <v>0</v>
      </c>
      <c r="U22" s="189">
        <f>SUMIFS('Plan prihoda za unos u SAP'!$G$3:$G$501,'Plan prihoda za unos u SAP'!$C$3:$C$501,"=71",'Plan prihoda za unos u SAP'!$K$3:$K$501,"=661")</f>
        <v>0</v>
      </c>
      <c r="V22" s="189">
        <f>SUMIFS('Plan prihoda za unos u SAP'!$G$3:$G$501,'Plan prihoda za unos u SAP'!$C$3:$C$501,"=81",'Plan prihoda za unos u SAP'!$K$3:$K$501,"=661")</f>
        <v>0</v>
      </c>
      <c r="W22" s="189">
        <f>SUMIFS('Plan prihoda za unos u SAP'!$G$3:$G$501,'Plan prihoda za unos u SAP'!$C$3:$C$501,"=83",'Plan prihoda za unos u SAP'!$K$3:$K$501,"=661")</f>
        <v>0</v>
      </c>
    </row>
    <row r="23" spans="1:23" s="90" customFormat="1">
      <c r="A23" s="90">
        <v>2021</v>
      </c>
      <c r="B23" s="95" t="s">
        <v>298</v>
      </c>
      <c r="C23" s="96" t="s">
        <v>299</v>
      </c>
      <c r="D23" s="70">
        <f t="shared" si="1"/>
        <v>130000</v>
      </c>
      <c r="E23" s="189">
        <f>SUMIFS('Plan prihoda za unos u SAP'!$G$3:$G$501,'Plan prihoda za unos u SAP'!$C$3:$C$501,"=11",'Plan prihoda za unos u SAP'!$K$3:$K$501,"=663")</f>
        <v>0</v>
      </c>
      <c r="F23" s="189">
        <f>SUMIFS('Plan prihoda za unos u SAP'!$G$3:$G$501,'Plan prihoda za unos u SAP'!$C$3:$C$501,"=12",'Plan prihoda za unos u SAP'!$K$3:$K$501,"=663")</f>
        <v>0</v>
      </c>
      <c r="G23" s="189">
        <f>SUMIFS('Plan prihoda za unos u SAP'!$G$3:$G$501,'Plan prihoda za unos u SAP'!$C$3:$C$501,"=31",'Plan prihoda za unos u SAP'!$K$3:$K$501,"=663")</f>
        <v>0</v>
      </c>
      <c r="H23" s="189">
        <f>SUMIFS('Plan prihoda za unos u SAP'!$G$3:$G$501,'Plan prihoda za unos u SAP'!$C$3:$C$501,"=41",'Plan prihoda za unos u SAP'!$K$3:$K$501,"=663")</f>
        <v>0</v>
      </c>
      <c r="I23" s="189">
        <f>SUMIFS('Plan prihoda za unos u SAP'!$G$3:$G$501,'Plan prihoda za unos u SAP'!$C$3:$C$501,"=43",'Plan prihoda za unos u SAP'!$K$3:$K$501,"=663")</f>
        <v>0</v>
      </c>
      <c r="J23" s="189">
        <f>SUMIFS('Plan prihoda za unos u SAP'!$G$3:$G$501,'Plan prihoda za unos u SAP'!$C$3:$C$501,"=51",'Plan prihoda za unos u SAP'!$K$3:$K$501,"=663")</f>
        <v>0</v>
      </c>
      <c r="K23" s="189">
        <f>SUMIFS('Plan prihoda za unos u SAP'!$G$3:$G$501,'Plan prihoda za unos u SAP'!$C$3:$C$501,"=52",'Plan prihoda za unos u SAP'!$K$3:$K$501,"=663")</f>
        <v>0</v>
      </c>
      <c r="L23" s="189">
        <f>SUMIFS('Plan prihoda za unos u SAP'!$G$3:$G$501,'Plan prihoda za unos u SAP'!$C$3:$C$501,"=552",'Plan prihoda za unos u SAP'!$K$3:$K$501,"=663")</f>
        <v>0</v>
      </c>
      <c r="M23" s="189">
        <f>SUMIFS('Plan prihoda za unos u SAP'!$G$3:$G$501,'Plan prihoda za unos u SAP'!$C$3:$C$501,"=559",'Plan prihoda za unos u SAP'!$K$3:$K$501,"=663")</f>
        <v>0</v>
      </c>
      <c r="N23" s="189">
        <f>SUMIFS('Plan prihoda za unos u SAP'!$G$3:$G$501,'Plan prihoda za unos u SAP'!$C$3:$C$501,"=561",'Plan prihoda za unos u SAP'!$K$3:$K$501,"=663")</f>
        <v>0</v>
      </c>
      <c r="O23" s="189">
        <f>SUMIFS('Plan prihoda za unos u SAP'!$G$3:$G$501,'Plan prihoda za unos u SAP'!$C$3:$C$501,"=563",'Plan prihoda za unos u SAP'!$K$3:$K$501,"=663")</f>
        <v>0</v>
      </c>
      <c r="P23" s="189">
        <f>SUMIFS('Plan prihoda za unos u SAP'!$G$3:$G$501,'Plan prihoda za unos u SAP'!$C$3:$C$501,"=573",'Plan prihoda za unos u SAP'!$K$3:$K$501,"=663")</f>
        <v>0</v>
      </c>
      <c r="Q23" s="189">
        <f>SUMIFS('Plan prihoda za unos u SAP'!$G$3:$G$501,'Plan prihoda za unos u SAP'!$C$3:$C$501,"=575",'Plan prihoda za unos u SAP'!$K$3:$K$501,"=663")</f>
        <v>0</v>
      </c>
      <c r="R23" s="189">
        <f>SUMIFS('Plan prihoda za unos u SAP'!$G$3:$G$501,'Plan prihoda za unos u SAP'!$C$3:$C$501,"=576",'Plan prihoda za unos u SAP'!$K$3:$K$501,"=663")</f>
        <v>0</v>
      </c>
      <c r="S23" s="189">
        <f>SUMIFS('Plan prihoda za unos u SAP'!$G$3:$G$501,'Plan prihoda za unos u SAP'!$C$3:$C$501,"=61",'Plan prihoda za unos u SAP'!$K$3:$K$501,"=663")</f>
        <v>130000</v>
      </c>
      <c r="T23" s="189">
        <f>SUMIFS('Plan prihoda za unos u SAP'!$G$3:$G$501,'Plan prihoda za unos u SAP'!$C$3:$C$501,"=63",'Plan prihoda za unos u SAP'!$K$3:$K$501,"=663")</f>
        <v>0</v>
      </c>
      <c r="U23" s="189">
        <f>SUMIFS('Plan prihoda za unos u SAP'!$G$3:$G$501,'Plan prihoda za unos u SAP'!$C$3:$C$501,"=71",'Plan prihoda za unos u SAP'!$K$3:$K$501,"=663")</f>
        <v>0</v>
      </c>
      <c r="V23" s="189">
        <f>SUMIFS('Plan prihoda za unos u SAP'!$G$3:$G$501,'Plan prihoda za unos u SAP'!$C$3:$C$501,"=81",'Plan prihoda za unos u SAP'!$K$3:$K$501,"=663")</f>
        <v>0</v>
      </c>
      <c r="W23" s="189">
        <f>SUMIFS('Plan prihoda za unos u SAP'!$G$3:$G$501,'Plan prihoda za unos u SAP'!$C$3:$C$501,"=83",'Plan prihoda za unos u SAP'!$K$3:$K$501,"=663")</f>
        <v>0</v>
      </c>
    </row>
    <row r="24" spans="1:23" s="90" customFormat="1" ht="25.5">
      <c r="A24" s="90">
        <v>2021</v>
      </c>
      <c r="B24" s="95" t="s">
        <v>300</v>
      </c>
      <c r="C24" s="96" t="s">
        <v>260</v>
      </c>
      <c r="D24" s="70">
        <f t="shared" si="1"/>
        <v>24483630</v>
      </c>
      <c r="E24" s="189">
        <f>SUMIFS('Plan prihoda za unos u SAP'!$G$3:$G$501,'Plan prihoda za unos u SAP'!$C$3:$C$501,"=11",'Plan prihoda za unos u SAP'!$K$3:$K$501,"=671")</f>
        <v>24483630</v>
      </c>
      <c r="F24" s="189">
        <f>SUMIFS('Plan prihoda za unos u SAP'!$G$3:$G$501,'Plan prihoda za unos u SAP'!$C$3:$C$501,"=12",'Plan prihoda za unos u SAP'!$K$3:$K$501,"=671")</f>
        <v>0</v>
      </c>
      <c r="G24" s="189">
        <f>SUMIFS('Plan prihoda za unos u SAP'!$G$3:$G$501,'Plan prihoda za unos u SAP'!$C$3:$C$501,"=31",'Plan prihoda za unos u SAP'!$K$3:$K$501,"=671")</f>
        <v>0</v>
      </c>
      <c r="H24" s="189">
        <f>SUMIFS('Plan prihoda za unos u SAP'!$G$3:$G$501,'Plan prihoda za unos u SAP'!$C$3:$C$501,"=41",'Plan prihoda za unos u SAP'!$K$3:$K$501,"=671")</f>
        <v>0</v>
      </c>
      <c r="I24" s="189">
        <f>SUMIFS('Plan prihoda za unos u SAP'!$G$3:$G$501,'Plan prihoda za unos u SAP'!$C$3:$C$501,"=43",'Plan prihoda za unos u SAP'!$K$3:$K$501,"=671")</f>
        <v>0</v>
      </c>
      <c r="J24" s="189">
        <f>SUMIFS('Plan prihoda za unos u SAP'!$G$3:$G$501,'Plan prihoda za unos u SAP'!$C$3:$C$501,"=51",'Plan prihoda za unos u SAP'!$K$3:$K$501,"=671")</f>
        <v>0</v>
      </c>
      <c r="K24" s="189">
        <f>SUMIFS('Plan prihoda za unos u SAP'!$G$3:$G$501,'Plan prihoda za unos u SAP'!$C$3:$C$501,"=52",'Plan prihoda za unos u SAP'!$K$3:$K$501,"=671")</f>
        <v>0</v>
      </c>
      <c r="L24" s="189">
        <f>SUMIFS('Plan prihoda za unos u SAP'!$G$3:$G$501,'Plan prihoda za unos u SAP'!$C$3:$C$501,"=552",'Plan prihoda za unos u SAP'!$K$3:$K$501,"=671")</f>
        <v>0</v>
      </c>
      <c r="M24" s="189">
        <f>SUMIFS('Plan prihoda za unos u SAP'!$G$3:$G$501,'Plan prihoda za unos u SAP'!$C$3:$C$501,"=559",'Plan prihoda za unos u SAP'!$K$3:$K$501,"=671")</f>
        <v>0</v>
      </c>
      <c r="N24" s="189">
        <f>SUMIFS('Plan prihoda za unos u SAP'!$G$3:$G$501,'Plan prihoda za unos u SAP'!$C$3:$C$501,"=561",'Plan prihoda za unos u SAP'!$K$3:$K$501,"=671")</f>
        <v>0</v>
      </c>
      <c r="O24" s="189">
        <f>SUMIFS('Plan prihoda za unos u SAP'!$G$3:$G$501,'Plan prihoda za unos u SAP'!$C$3:$C$501,"=563",'Plan prihoda za unos u SAP'!$K$3:$K$501,"=671")</f>
        <v>0</v>
      </c>
      <c r="P24" s="189">
        <f>SUMIFS('Plan prihoda za unos u SAP'!$G$3:$G$501,'Plan prihoda za unos u SAP'!$C$3:$C$501,"=573",'Plan prihoda za unos u SAP'!$K$3:$K$501,"=671")</f>
        <v>0</v>
      </c>
      <c r="Q24" s="189">
        <f>SUMIFS('Plan prihoda za unos u SAP'!$G$3:$G$501,'Plan prihoda za unos u SAP'!$C$3:$C$501,"=575",'Plan prihoda za unos u SAP'!$K$3:$K$501,"=671")</f>
        <v>0</v>
      </c>
      <c r="R24" s="189">
        <f>SUMIFS('Plan prihoda za unos u SAP'!$G$3:$G$501,'Plan prihoda za unos u SAP'!$C$3:$C$501,"=576",'Plan prihoda za unos u SAP'!$K$3:$K$501,"=671")</f>
        <v>0</v>
      </c>
      <c r="S24" s="189">
        <f>SUMIFS('Plan prihoda za unos u SAP'!$G$3:$G$501,'Plan prihoda za unos u SAP'!$C$3:$C$501,"=61",'Plan prihoda za unos u SAP'!$K$3:$K$501,"=671")</f>
        <v>0</v>
      </c>
      <c r="T24" s="189">
        <f>SUMIFS('Plan prihoda za unos u SAP'!$G$3:$G$501,'Plan prihoda za unos u SAP'!$C$3:$C$501,"=63",'Plan prihoda za unos u SAP'!$K$3:$K$501,"=671")</f>
        <v>0</v>
      </c>
      <c r="U24" s="189">
        <f>SUMIFS('Plan prihoda za unos u SAP'!$G$3:$G$501,'Plan prihoda za unos u SAP'!$C$3:$C$501,"=71",'Plan prihoda za unos u SAP'!$K$3:$K$501,"=671")</f>
        <v>0</v>
      </c>
      <c r="V24" s="189">
        <f>SUMIFS('Plan prihoda za unos u SAP'!$G$3:$G$501,'Plan prihoda za unos u SAP'!$C$3:$C$501,"=81",'Plan prihoda za unos u SAP'!$K$3:$K$501,"=671")</f>
        <v>0</v>
      </c>
      <c r="W24" s="189">
        <f>SUMIFS('Plan prihoda za unos u SAP'!$G$3:$G$501,'Plan prihoda za unos u SAP'!$C$3:$C$501,"=83",'Plan prihoda za unos u SAP'!$K$3:$K$501,"=671")</f>
        <v>0</v>
      </c>
    </row>
    <row r="25" spans="1:23" s="90" customFormat="1">
      <c r="A25" s="90">
        <v>2021</v>
      </c>
      <c r="B25" s="95" t="s">
        <v>301</v>
      </c>
      <c r="C25" s="96" t="s">
        <v>302</v>
      </c>
      <c r="D25" s="70">
        <f t="shared" si="1"/>
        <v>0</v>
      </c>
      <c r="E25" s="189">
        <f>SUMIFS('Plan prihoda za unos u SAP'!$G$3:$G$501,'Plan prihoda za unos u SAP'!$C$3:$C$501,"=11",'Plan prihoda za unos u SAP'!$K$3:$K$501,"=681")</f>
        <v>0</v>
      </c>
      <c r="F25" s="189">
        <f>SUMIFS('Plan prihoda za unos u SAP'!$G$3:$G$501,'Plan prihoda za unos u SAP'!$C$3:$C$501,"=12",'Plan prihoda za unos u SAP'!$K$3:$K$501,"=681")</f>
        <v>0</v>
      </c>
      <c r="G25" s="189">
        <f>SUMIFS('Plan prihoda za unos u SAP'!$G$3:$G$501,'Plan prihoda za unos u SAP'!$C$3:$C$501,"=31",'Plan prihoda za unos u SAP'!$K$3:$K$501,"=681")</f>
        <v>0</v>
      </c>
      <c r="H25" s="189">
        <f>SUMIFS('Plan prihoda za unos u SAP'!$G$3:$G$501,'Plan prihoda za unos u SAP'!$C$3:$C$501,"=41",'Plan prihoda za unos u SAP'!$K$3:$K$501,"=681")</f>
        <v>0</v>
      </c>
      <c r="I25" s="189">
        <f>SUMIFS('Plan prihoda za unos u SAP'!$G$3:$G$501,'Plan prihoda za unos u SAP'!$C$3:$C$501,"=43",'Plan prihoda za unos u SAP'!$K$3:$K$501,"=681")</f>
        <v>0</v>
      </c>
      <c r="J25" s="189">
        <f>SUMIFS('Plan prihoda za unos u SAP'!$G$3:$G$501,'Plan prihoda za unos u SAP'!$C$3:$C$501,"=51",'Plan prihoda za unos u SAP'!$K$3:$K$501,"=681")</f>
        <v>0</v>
      </c>
      <c r="K25" s="189">
        <f>SUMIFS('Plan prihoda za unos u SAP'!$G$3:$G$501,'Plan prihoda za unos u SAP'!$C$3:$C$501,"=52",'Plan prihoda za unos u SAP'!$K$3:$K$501,"=681")</f>
        <v>0</v>
      </c>
      <c r="L25" s="189">
        <f>SUMIFS('Plan prihoda za unos u SAP'!$G$3:$G$501,'Plan prihoda za unos u SAP'!$C$3:$C$501,"=552",'Plan prihoda za unos u SAP'!$K$3:$K$501,"=681")</f>
        <v>0</v>
      </c>
      <c r="M25" s="189">
        <f>SUMIFS('Plan prihoda za unos u SAP'!$G$3:$G$501,'Plan prihoda za unos u SAP'!$C$3:$C$501,"=559",'Plan prihoda za unos u SAP'!$K$3:$K$501,"=681")</f>
        <v>0</v>
      </c>
      <c r="N25" s="189">
        <f>SUMIFS('Plan prihoda za unos u SAP'!$G$3:$G$501,'Plan prihoda za unos u SAP'!$C$3:$C$501,"=561",'Plan prihoda za unos u SAP'!$K$3:$K$501,"=681")</f>
        <v>0</v>
      </c>
      <c r="O25" s="189">
        <f>SUMIFS('Plan prihoda za unos u SAP'!$G$3:$G$501,'Plan prihoda za unos u SAP'!$C$3:$C$501,"=563",'Plan prihoda za unos u SAP'!$K$3:$K$501,"=681")</f>
        <v>0</v>
      </c>
      <c r="P25" s="189">
        <f>SUMIFS('Plan prihoda za unos u SAP'!$G$3:$G$501,'Plan prihoda za unos u SAP'!$C$3:$C$501,"=573",'Plan prihoda za unos u SAP'!$K$3:$K$501,"=681")</f>
        <v>0</v>
      </c>
      <c r="Q25" s="189">
        <f>SUMIFS('Plan prihoda za unos u SAP'!$G$3:$G$501,'Plan prihoda za unos u SAP'!$C$3:$C$501,"=575",'Plan prihoda za unos u SAP'!$K$3:$K$501,"=681")</f>
        <v>0</v>
      </c>
      <c r="R25" s="189">
        <f>SUMIFS('Plan prihoda za unos u SAP'!$G$3:$G$501,'Plan prihoda za unos u SAP'!$C$3:$C$501,"=576",'Plan prihoda za unos u SAP'!$K$3:$K$501,"=681")</f>
        <v>0</v>
      </c>
      <c r="S25" s="189">
        <f>SUMIFS('Plan prihoda za unos u SAP'!$G$3:$G$501,'Plan prihoda za unos u SAP'!$C$3:$C$501,"=61",'Plan prihoda za unos u SAP'!$K$3:$K$501,"=681")</f>
        <v>0</v>
      </c>
      <c r="T25" s="189">
        <f>SUMIFS('Plan prihoda za unos u SAP'!$G$3:$G$501,'Plan prihoda za unos u SAP'!$C$3:$C$501,"=63",'Plan prihoda za unos u SAP'!$K$3:$K$501,"=681")</f>
        <v>0</v>
      </c>
      <c r="U25" s="189">
        <f>SUMIFS('Plan prihoda za unos u SAP'!$G$3:$G$501,'Plan prihoda za unos u SAP'!$C$3:$C$501,"=71",'Plan prihoda za unos u SAP'!$K$3:$K$501,"=681")</f>
        <v>0</v>
      </c>
      <c r="V25" s="189">
        <f>SUMIFS('Plan prihoda za unos u SAP'!$G$3:$G$501,'Plan prihoda za unos u SAP'!$C$3:$C$501,"=81",'Plan prihoda za unos u SAP'!$K$3:$K$501,"=681")</f>
        <v>0</v>
      </c>
      <c r="W25" s="189">
        <f>SUMIFS('Plan prihoda za unos u SAP'!$G$3:$G$501,'Plan prihoda za unos u SAP'!$C$3:$C$501,"=83",'Plan prihoda za unos u SAP'!$K$3:$K$501,"=681")</f>
        <v>0</v>
      </c>
    </row>
    <row r="26" spans="1:23" s="90" customFormat="1">
      <c r="A26" s="90">
        <v>2021</v>
      </c>
      <c r="B26" s="95" t="s">
        <v>303</v>
      </c>
      <c r="C26" s="96" t="s">
        <v>304</v>
      </c>
      <c r="D26" s="70">
        <f t="shared" si="1"/>
        <v>242000</v>
      </c>
      <c r="E26" s="189">
        <f>SUMIFS('Plan prihoda za unos u SAP'!$G$3:$G$501,'Plan prihoda za unos u SAP'!$C$3:$C$501,"=11",'Plan prihoda za unos u SAP'!$K$3:$K$501,"=683")</f>
        <v>0</v>
      </c>
      <c r="F26" s="189">
        <f>SUMIFS('Plan prihoda za unos u SAP'!$G$3:$G$501,'Plan prihoda za unos u SAP'!$C$3:$C$501,"=12",'Plan prihoda za unos u SAP'!$K$3:$K$501,"=683")</f>
        <v>0</v>
      </c>
      <c r="G26" s="189">
        <f>SUMIFS('Plan prihoda za unos u SAP'!$G$3:$G$501,'Plan prihoda za unos u SAP'!$C$3:$C$501,"=31",'Plan prihoda za unos u SAP'!$K$3:$K$501,"=683")</f>
        <v>0</v>
      </c>
      <c r="H26" s="189">
        <f>SUMIFS('Plan prihoda za unos u SAP'!$G$3:$G$501,'Plan prihoda za unos u SAP'!$C$3:$C$501,"=41",'Plan prihoda za unos u SAP'!$K$3:$K$501,"=683")</f>
        <v>0</v>
      </c>
      <c r="I26" s="189">
        <f>SUMIFS('Plan prihoda za unos u SAP'!$G$3:$G$501,'Plan prihoda za unos u SAP'!$C$3:$C$501,"=43",'Plan prihoda za unos u SAP'!$K$3:$K$501,"=683")</f>
        <v>242000</v>
      </c>
      <c r="J26" s="189">
        <f>SUMIFS('Plan prihoda za unos u SAP'!$G$3:$G$501,'Plan prihoda za unos u SAP'!$C$3:$C$501,"=51",'Plan prihoda za unos u SAP'!$K$3:$K$501,"=683")</f>
        <v>0</v>
      </c>
      <c r="K26" s="189">
        <f>SUMIFS('Plan prihoda za unos u SAP'!$G$3:$G$501,'Plan prihoda za unos u SAP'!$C$3:$C$501,"=52",'Plan prihoda za unos u SAP'!$K$3:$K$501,"=683")</f>
        <v>0</v>
      </c>
      <c r="L26" s="189">
        <f>SUMIFS('Plan prihoda za unos u SAP'!$G$3:$G$501,'Plan prihoda za unos u SAP'!$C$3:$C$501,"=552",'Plan prihoda za unos u SAP'!$K$3:$K$501,"=683")</f>
        <v>0</v>
      </c>
      <c r="M26" s="189">
        <f>SUMIFS('Plan prihoda za unos u SAP'!$G$3:$G$501,'Plan prihoda za unos u SAP'!$C$3:$C$501,"=559",'Plan prihoda za unos u SAP'!$K$3:$K$501,"=683")</f>
        <v>0</v>
      </c>
      <c r="N26" s="189">
        <f>SUMIFS('Plan prihoda za unos u SAP'!$G$3:$G$501,'Plan prihoda za unos u SAP'!$C$3:$C$501,"=561",'Plan prihoda za unos u SAP'!$K$3:$K$501,"=683")</f>
        <v>0</v>
      </c>
      <c r="O26" s="189">
        <f>SUMIFS('Plan prihoda za unos u SAP'!$G$3:$G$501,'Plan prihoda za unos u SAP'!$C$3:$C$501,"=563",'Plan prihoda za unos u SAP'!$K$3:$K$501,"=683")</f>
        <v>0</v>
      </c>
      <c r="P26" s="189">
        <f>SUMIFS('Plan prihoda za unos u SAP'!$G$3:$G$501,'Plan prihoda za unos u SAP'!$C$3:$C$501,"=573",'Plan prihoda za unos u SAP'!$K$3:$K$501,"=683")</f>
        <v>0</v>
      </c>
      <c r="Q26" s="189">
        <f>SUMIFS('Plan prihoda za unos u SAP'!$G$3:$G$501,'Plan prihoda za unos u SAP'!$C$3:$C$501,"=575",'Plan prihoda za unos u SAP'!$K$3:$K$501,"=683")</f>
        <v>0</v>
      </c>
      <c r="R26" s="189">
        <f>SUMIFS('Plan prihoda za unos u SAP'!$G$3:$G$501,'Plan prihoda za unos u SAP'!$C$3:$C$501,"=576",'Plan prihoda za unos u SAP'!$K$3:$K$501,"=683")</f>
        <v>0</v>
      </c>
      <c r="S26" s="189">
        <f>SUMIFS('Plan prihoda za unos u SAP'!$G$3:$G$501,'Plan prihoda za unos u SAP'!$C$3:$C$501,"=61",'Plan prihoda za unos u SAP'!$K$3:$K$501,"=683")</f>
        <v>0</v>
      </c>
      <c r="T26" s="189">
        <f>SUMIFS('Plan prihoda za unos u SAP'!$G$3:$G$501,'Plan prihoda za unos u SAP'!$C$3:$C$501,"=63",'Plan prihoda za unos u SAP'!$K$3:$K$501,"=683")</f>
        <v>0</v>
      </c>
      <c r="U26" s="189">
        <f>SUMIFS('Plan prihoda za unos u SAP'!$G$3:$G$501,'Plan prihoda za unos u SAP'!$C$3:$C$501,"=71",'Plan prihoda za unos u SAP'!$K$3:$K$501,"=683")</f>
        <v>0</v>
      </c>
      <c r="V26" s="189">
        <f>SUMIFS('Plan prihoda za unos u SAP'!$G$3:$G$501,'Plan prihoda za unos u SAP'!$C$3:$C$501,"=81",'Plan prihoda za unos u SAP'!$K$3:$K$501,"=683")</f>
        <v>0</v>
      </c>
      <c r="W26" s="189">
        <f>SUMIFS('Plan prihoda za unos u SAP'!$G$3:$G$501,'Plan prihoda za unos u SAP'!$C$3:$C$501,"=83",'Plan prihoda za unos u SAP'!$K$3:$K$501,"=683")</f>
        <v>0</v>
      </c>
    </row>
    <row r="27" spans="1:23" s="90" customFormat="1">
      <c r="A27" s="90">
        <v>2021</v>
      </c>
      <c r="B27" s="98" t="s">
        <v>305</v>
      </c>
      <c r="C27" s="99" t="s">
        <v>306</v>
      </c>
      <c r="D27" s="70">
        <f t="shared" si="1"/>
        <v>39459027</v>
      </c>
      <c r="E27" s="4">
        <f>SUM(E11:E26)</f>
        <v>24483630</v>
      </c>
      <c r="F27" s="4">
        <f t="shared" ref="F27:W27" si="4">SUM(F11:F26)</f>
        <v>0</v>
      </c>
      <c r="G27" s="4">
        <f t="shared" si="4"/>
        <v>3535000</v>
      </c>
      <c r="H27" s="4">
        <f t="shared" si="4"/>
        <v>0</v>
      </c>
      <c r="I27" s="4">
        <f t="shared" si="4"/>
        <v>7073500</v>
      </c>
      <c r="J27" s="4">
        <f t="shared" si="4"/>
        <v>2186025</v>
      </c>
      <c r="K27" s="4">
        <f t="shared" si="4"/>
        <v>375144</v>
      </c>
      <c r="L27" s="4">
        <f t="shared" si="4"/>
        <v>0</v>
      </c>
      <c r="M27" s="4">
        <f t="shared" si="4"/>
        <v>0</v>
      </c>
      <c r="N27" s="4">
        <f t="shared" si="4"/>
        <v>1675728</v>
      </c>
      <c r="O27" s="4">
        <f t="shared" si="4"/>
        <v>0</v>
      </c>
      <c r="P27" s="4">
        <f t="shared" si="4"/>
        <v>0</v>
      </c>
      <c r="Q27" s="4">
        <f>SUM(Q11:Q26)</f>
        <v>0</v>
      </c>
      <c r="R27" s="4">
        <f t="shared" ref="R27" si="5">SUM(R11:R26)</f>
        <v>0</v>
      </c>
      <c r="S27" s="4">
        <f>SUM(S11:S26)</f>
        <v>130000</v>
      </c>
      <c r="T27" s="4">
        <f t="shared" si="4"/>
        <v>0</v>
      </c>
      <c r="U27" s="4">
        <f t="shared" si="4"/>
        <v>0</v>
      </c>
      <c r="V27" s="4">
        <f t="shared" si="4"/>
        <v>0</v>
      </c>
      <c r="W27" s="4">
        <f t="shared" si="4"/>
        <v>0</v>
      </c>
    </row>
    <row r="28" spans="1:23" s="90" customFormat="1">
      <c r="A28" s="90">
        <v>2021</v>
      </c>
      <c r="B28" s="95" t="s">
        <v>318</v>
      </c>
      <c r="C28" s="100" t="s">
        <v>319</v>
      </c>
      <c r="D28" s="70">
        <f t="shared" si="1"/>
        <v>0</v>
      </c>
      <c r="E28" s="189">
        <f>SUMIFS('Plan prihoda za unos u SAP'!$G$3:$G$501,'Plan prihoda za unos u SAP'!$C$3:$C$501,"=11",'Plan prihoda za unos u SAP'!$K$3:$K$501,"=711")</f>
        <v>0</v>
      </c>
      <c r="F28" s="189">
        <f>SUMIFS('Plan prihoda za unos u SAP'!$G$3:$G$501,'Plan prihoda za unos u SAP'!$C$3:$C$501,"=12",'Plan prihoda za unos u SAP'!$K$3:$K$501,"=711")</f>
        <v>0</v>
      </c>
      <c r="G28" s="189">
        <f>SUMIFS('Plan prihoda za unos u SAP'!$G$3:$G$501,'Plan prihoda za unos u SAP'!$C$3:$C$501,"=31",'Plan prihoda za unos u SAP'!$K$3:$K$501,"=711")</f>
        <v>0</v>
      </c>
      <c r="H28" s="189">
        <f>SUMIFS('Plan prihoda za unos u SAP'!$G$3:$G$501,'Plan prihoda za unos u SAP'!$C$3:$C$501,"=41",'Plan prihoda za unos u SAP'!$K$3:$K$501,"=711")</f>
        <v>0</v>
      </c>
      <c r="I28" s="189">
        <f>SUMIFS('Plan prihoda za unos u SAP'!$G$3:$G$501,'Plan prihoda za unos u SAP'!$C$3:$C$501,"=43",'Plan prihoda za unos u SAP'!$K$3:$K$501,"=711")</f>
        <v>0</v>
      </c>
      <c r="J28" s="189">
        <f>SUMIFS('Plan prihoda za unos u SAP'!$G$3:$G$501,'Plan prihoda za unos u SAP'!$C$3:$C$501,"=51",'Plan prihoda za unos u SAP'!$K$3:$K$501,"=711")</f>
        <v>0</v>
      </c>
      <c r="K28" s="189">
        <f>SUMIFS('Plan prihoda za unos u SAP'!$G$3:$G$501,'Plan prihoda za unos u SAP'!$C$3:$C$501,"=52",'Plan prihoda za unos u SAP'!$K$3:$K$501,"=711")</f>
        <v>0</v>
      </c>
      <c r="L28" s="189">
        <f>SUMIFS('Plan prihoda za unos u SAP'!$G$3:$G$501,'Plan prihoda za unos u SAP'!$C$3:$C$501,"=552",'Plan prihoda za unos u SAP'!$K$3:$K$501,"=711")</f>
        <v>0</v>
      </c>
      <c r="M28" s="189">
        <f>SUMIFS('Plan prihoda za unos u SAP'!$G$3:$G$501,'Plan prihoda za unos u SAP'!$C$3:$C$501,"=559",'Plan prihoda za unos u SAP'!$K$3:$K$501,"=711")</f>
        <v>0</v>
      </c>
      <c r="N28" s="189">
        <f>SUMIFS('Plan prihoda za unos u SAP'!$G$3:$G$501,'Plan prihoda za unos u SAP'!$C$3:$C$501,"=561",'Plan prihoda za unos u SAP'!$K$3:$K$501,"=711")</f>
        <v>0</v>
      </c>
      <c r="O28" s="189">
        <f>SUMIFS('Plan prihoda za unos u SAP'!$G$3:$G$501,'Plan prihoda za unos u SAP'!$C$3:$C$501,"=563",'Plan prihoda za unos u SAP'!$K$3:$K$501,"=711")</f>
        <v>0</v>
      </c>
      <c r="P28" s="189">
        <f>SUMIFS('Plan prihoda za unos u SAP'!$G$3:$G$501,'Plan prihoda za unos u SAP'!$C$3:$C$501,"=573",'Plan prihoda za unos u SAP'!$K$3:$K$501,"=711")</f>
        <v>0</v>
      </c>
      <c r="Q28" s="189">
        <f>SUMIFS('Plan prihoda za unos u SAP'!$G$3:$G$501,'Plan prihoda za unos u SAP'!$C$3:$C$501,"=575",'Plan prihoda za unos u SAP'!$K$3:$K$501,"=711")</f>
        <v>0</v>
      </c>
      <c r="R28" s="189">
        <f>SUMIFS('Plan prihoda za unos u SAP'!$G$3:$G$501,'Plan prihoda za unos u SAP'!$C$3:$C$501,"=576",'Plan prihoda za unos u SAP'!$K$3:$K$501,"=711")</f>
        <v>0</v>
      </c>
      <c r="S28" s="189">
        <f>SUMIFS('Plan prihoda za unos u SAP'!$G$3:$G$501,'Plan prihoda za unos u SAP'!$C$3:$C$501,"=61",'Plan prihoda za unos u SAP'!$K$3:$K$501,"=711")</f>
        <v>0</v>
      </c>
      <c r="T28" s="189">
        <f>SUMIFS('Plan prihoda za unos u SAP'!$G$3:$G$501,'Plan prihoda za unos u SAP'!$C$3:$C$501,"=63",'Plan prihoda za unos u SAP'!$K$3:$K$501,"=711")</f>
        <v>0</v>
      </c>
      <c r="U28" s="189">
        <f>SUMIFS('Plan prihoda za unos u SAP'!$G$3:$G$501,'Plan prihoda za unos u SAP'!$C$3:$C$501,"=71",'Plan prihoda za unos u SAP'!$K$3:$K$501,"=711")</f>
        <v>0</v>
      </c>
      <c r="V28" s="189">
        <f>SUMIFS('Plan prihoda za unos u SAP'!$G$3:$G$501,'Plan prihoda za unos u SAP'!$C$3:$C$501,"=81",'Plan prihoda za unos u SAP'!$K$3:$K$501,"=711")</f>
        <v>0</v>
      </c>
      <c r="W28" s="189">
        <f>SUMIFS('Plan prihoda za unos u SAP'!$G$3:$G$501,'Plan prihoda za unos u SAP'!$C$3:$C$501,"=83",'Plan prihoda za unos u SAP'!$K$3:$K$501,"=711")</f>
        <v>0</v>
      </c>
    </row>
    <row r="29" spans="1:23" s="90" customFormat="1">
      <c r="A29" s="90">
        <v>2021</v>
      </c>
      <c r="B29" s="95" t="s">
        <v>320</v>
      </c>
      <c r="C29" s="100" t="s">
        <v>321</v>
      </c>
      <c r="D29" s="70">
        <f t="shared" si="1"/>
        <v>0</v>
      </c>
      <c r="E29" s="189">
        <f>SUMIFS('Plan prihoda za unos u SAP'!$G$3:$G$501,'Plan prihoda za unos u SAP'!$C$3:$C$501,"=11",'Plan prihoda za unos u SAP'!$K$3:$K$501,"=712")</f>
        <v>0</v>
      </c>
      <c r="F29" s="189">
        <f>SUMIFS('Plan prihoda za unos u SAP'!$G$3:$G$501,'Plan prihoda za unos u SAP'!$C$3:$C$501,"=12",'Plan prihoda za unos u SAP'!$K$3:$K$501,"=712")</f>
        <v>0</v>
      </c>
      <c r="G29" s="189">
        <f>SUMIFS('Plan prihoda za unos u SAP'!$G$3:$G$501,'Plan prihoda za unos u SAP'!$C$3:$C$501,"=31",'Plan prihoda za unos u SAP'!$K$3:$K$501,"=712")</f>
        <v>0</v>
      </c>
      <c r="H29" s="189">
        <f>SUMIFS('Plan prihoda za unos u SAP'!$G$3:$G$501,'Plan prihoda za unos u SAP'!$C$3:$C$501,"=41",'Plan prihoda za unos u SAP'!$K$3:$K$501,"=712")</f>
        <v>0</v>
      </c>
      <c r="I29" s="189">
        <f>SUMIFS('Plan prihoda za unos u SAP'!$G$3:$G$501,'Plan prihoda za unos u SAP'!$C$3:$C$501,"=43",'Plan prihoda za unos u SAP'!$K$3:$K$501,"=712")</f>
        <v>0</v>
      </c>
      <c r="J29" s="189">
        <f>SUMIFS('Plan prihoda za unos u SAP'!$G$3:$G$501,'Plan prihoda za unos u SAP'!$C$3:$C$501,"=51",'Plan prihoda za unos u SAP'!$K$3:$K$501,"=712")</f>
        <v>0</v>
      </c>
      <c r="K29" s="189">
        <f>SUMIFS('Plan prihoda za unos u SAP'!$G$3:$G$501,'Plan prihoda za unos u SAP'!$C$3:$C$501,"=52",'Plan prihoda za unos u SAP'!$K$3:$K$501,"=712")</f>
        <v>0</v>
      </c>
      <c r="L29" s="189">
        <f>SUMIFS('Plan prihoda za unos u SAP'!$G$3:$G$501,'Plan prihoda za unos u SAP'!$C$3:$C$501,"=552",'Plan prihoda za unos u SAP'!$K$3:$K$501,"=712")</f>
        <v>0</v>
      </c>
      <c r="M29" s="189">
        <f>SUMIFS('Plan prihoda za unos u SAP'!$G$3:$G$501,'Plan prihoda za unos u SAP'!$C$3:$C$501,"=559",'Plan prihoda za unos u SAP'!$K$3:$K$501,"=712")</f>
        <v>0</v>
      </c>
      <c r="N29" s="189">
        <f>SUMIFS('Plan prihoda za unos u SAP'!$G$3:$G$501,'Plan prihoda za unos u SAP'!$C$3:$C$501,"=561",'Plan prihoda za unos u SAP'!$K$3:$K$501,"=712")</f>
        <v>0</v>
      </c>
      <c r="O29" s="189">
        <f>SUMIFS('Plan prihoda za unos u SAP'!$G$3:$G$501,'Plan prihoda za unos u SAP'!$C$3:$C$501,"=563",'Plan prihoda za unos u SAP'!$K$3:$K$501,"=712")</f>
        <v>0</v>
      </c>
      <c r="P29" s="189">
        <f>SUMIFS('Plan prihoda za unos u SAP'!$G$3:$G$501,'Plan prihoda za unos u SAP'!$C$3:$C$501,"=573",'Plan prihoda za unos u SAP'!$K$3:$K$501,"=712")</f>
        <v>0</v>
      </c>
      <c r="Q29" s="189">
        <f>SUMIFS('Plan prihoda za unos u SAP'!$G$3:$G$501,'Plan prihoda za unos u SAP'!$C$3:$C$501,"=575",'Plan prihoda za unos u SAP'!$K$3:$K$501,"=712")</f>
        <v>0</v>
      </c>
      <c r="R29" s="189">
        <f>SUMIFS('Plan prihoda za unos u SAP'!$G$3:$G$501,'Plan prihoda za unos u SAP'!$C$3:$C$501,"=576",'Plan prihoda za unos u SAP'!$K$3:$K$501,"=712")</f>
        <v>0</v>
      </c>
      <c r="S29" s="189">
        <f>SUMIFS('Plan prihoda za unos u SAP'!$G$3:$G$501,'Plan prihoda za unos u SAP'!$C$3:$C$501,"=61",'Plan prihoda za unos u SAP'!$K$3:$K$501,"=712")</f>
        <v>0</v>
      </c>
      <c r="T29" s="189">
        <f>SUMIFS('Plan prihoda za unos u SAP'!$G$3:$G$501,'Plan prihoda za unos u SAP'!$C$3:$C$501,"=63",'Plan prihoda za unos u SAP'!$K$3:$K$501,"=712")</f>
        <v>0</v>
      </c>
      <c r="U29" s="189">
        <f>SUMIFS('Plan prihoda za unos u SAP'!$G$3:$G$501,'Plan prihoda za unos u SAP'!$C$3:$C$501,"=71",'Plan prihoda za unos u SAP'!$K$3:$K$501,"=712")</f>
        <v>0</v>
      </c>
      <c r="V29" s="189">
        <f>SUMIFS('Plan prihoda za unos u SAP'!$G$3:$G$501,'Plan prihoda za unos u SAP'!$C$3:$C$501,"=81",'Plan prihoda za unos u SAP'!$K$3:$K$501,"=712")</f>
        <v>0</v>
      </c>
      <c r="W29" s="189">
        <f>SUMIFS('Plan prihoda za unos u SAP'!$G$3:$G$501,'Plan prihoda za unos u SAP'!$C$3:$C$501,"=83",'Plan prihoda za unos u SAP'!$K$3:$K$501,"=712")</f>
        <v>0</v>
      </c>
    </row>
    <row r="30" spans="1:23" s="90" customFormat="1">
      <c r="A30" s="90">
        <v>2021</v>
      </c>
      <c r="B30" s="95" t="s">
        <v>307</v>
      </c>
      <c r="C30" s="100" t="s">
        <v>308</v>
      </c>
      <c r="D30" s="70">
        <f t="shared" si="1"/>
        <v>0</v>
      </c>
      <c r="E30" s="189">
        <f>SUMIFS('Plan prihoda za unos u SAP'!$G$3:$G$501,'Plan prihoda za unos u SAP'!$C$3:$C$501,"=11",'Plan prihoda za unos u SAP'!$K$3:$K$501,"=721")</f>
        <v>0</v>
      </c>
      <c r="F30" s="189">
        <f>SUMIFS('Plan prihoda za unos u SAP'!$G$3:$G$501,'Plan prihoda za unos u SAP'!$C$3:$C$501,"=12",'Plan prihoda za unos u SAP'!$K$3:$K$501,"=721")</f>
        <v>0</v>
      </c>
      <c r="G30" s="189">
        <f>SUMIFS('Plan prihoda za unos u SAP'!$G$3:$G$501,'Plan prihoda za unos u SAP'!$C$3:$C$501,"=31",'Plan prihoda za unos u SAP'!$K$3:$K$501,"=721")</f>
        <v>0</v>
      </c>
      <c r="H30" s="189">
        <f>SUMIFS('Plan prihoda za unos u SAP'!$G$3:$G$501,'Plan prihoda za unos u SAP'!$C$3:$C$501,"=41",'Plan prihoda za unos u SAP'!$K$3:$K$501,"=721")</f>
        <v>0</v>
      </c>
      <c r="I30" s="189">
        <f>SUMIFS('Plan prihoda za unos u SAP'!$G$3:$G$501,'Plan prihoda za unos u SAP'!$C$3:$C$501,"=43",'Plan prihoda za unos u SAP'!$K$3:$K$501,"=721")</f>
        <v>0</v>
      </c>
      <c r="J30" s="189">
        <f>SUMIFS('Plan prihoda za unos u SAP'!$G$3:$G$501,'Plan prihoda za unos u SAP'!$C$3:$C$501,"=51",'Plan prihoda za unos u SAP'!$K$3:$K$501,"=721")</f>
        <v>0</v>
      </c>
      <c r="K30" s="189">
        <f>SUMIFS('Plan prihoda za unos u SAP'!$G$3:$G$501,'Plan prihoda za unos u SAP'!$C$3:$C$501,"=52",'Plan prihoda za unos u SAP'!$K$3:$K$501,"=721")</f>
        <v>0</v>
      </c>
      <c r="L30" s="189">
        <f>SUMIFS('Plan prihoda za unos u SAP'!$G$3:$G$501,'Plan prihoda za unos u SAP'!$C$3:$C$501,"=552",'Plan prihoda za unos u SAP'!$K$3:$K$501,"=721")</f>
        <v>0</v>
      </c>
      <c r="M30" s="189">
        <f>SUMIFS('Plan prihoda za unos u SAP'!$G$3:$G$501,'Plan prihoda za unos u SAP'!$C$3:$C$501,"=559",'Plan prihoda za unos u SAP'!$K$3:$K$501,"=721")</f>
        <v>0</v>
      </c>
      <c r="N30" s="189">
        <f>SUMIFS('Plan prihoda za unos u SAP'!$G$3:$G$501,'Plan prihoda za unos u SAP'!$C$3:$C$501,"=561",'Plan prihoda za unos u SAP'!$K$3:$K$501,"=721")</f>
        <v>0</v>
      </c>
      <c r="O30" s="189">
        <f>SUMIFS('Plan prihoda za unos u SAP'!$G$3:$G$501,'Plan prihoda za unos u SAP'!$C$3:$C$501,"=563",'Plan prihoda za unos u SAP'!$K$3:$K$501,"=721")</f>
        <v>0</v>
      </c>
      <c r="P30" s="189">
        <f>SUMIFS('Plan prihoda za unos u SAP'!$G$3:$G$501,'Plan prihoda za unos u SAP'!$C$3:$C$501,"=573",'Plan prihoda za unos u SAP'!$K$3:$K$501,"=721")</f>
        <v>0</v>
      </c>
      <c r="Q30" s="189">
        <f>SUMIFS('Plan prihoda za unos u SAP'!$G$3:$G$501,'Plan prihoda za unos u SAP'!$C$3:$C$501,"=575",'Plan prihoda za unos u SAP'!$K$3:$K$501,"=721")</f>
        <v>0</v>
      </c>
      <c r="R30" s="189">
        <f>SUMIFS('Plan prihoda za unos u SAP'!$G$3:$G$501,'Plan prihoda za unos u SAP'!$C$3:$C$501,"=576",'Plan prihoda za unos u SAP'!$K$3:$K$501,"=721")</f>
        <v>0</v>
      </c>
      <c r="S30" s="189">
        <f>SUMIFS('Plan prihoda za unos u SAP'!$G$3:$G$501,'Plan prihoda za unos u SAP'!$C$3:$C$501,"=61",'Plan prihoda za unos u SAP'!$K$3:$K$501,"=721")</f>
        <v>0</v>
      </c>
      <c r="T30" s="189">
        <f>SUMIFS('Plan prihoda za unos u SAP'!$G$3:$G$501,'Plan prihoda za unos u SAP'!$C$3:$C$501,"=63",'Plan prihoda za unos u SAP'!$K$3:$K$501,"=721")</f>
        <v>0</v>
      </c>
      <c r="U30" s="189">
        <f>SUMIFS('Plan prihoda za unos u SAP'!$G$3:$G$501,'Plan prihoda za unos u SAP'!$C$3:$C$501,"=71",'Plan prihoda za unos u SAP'!$K$3:$K$501,"=721")</f>
        <v>0</v>
      </c>
      <c r="V30" s="189">
        <f>SUMIFS('Plan prihoda za unos u SAP'!$G$3:$G$501,'Plan prihoda za unos u SAP'!$C$3:$C$501,"=81",'Plan prihoda za unos u SAP'!$K$3:$K$501,"=721")</f>
        <v>0</v>
      </c>
      <c r="W30" s="189">
        <f>SUMIFS('Plan prihoda za unos u SAP'!$G$3:$G$501,'Plan prihoda za unos u SAP'!$C$3:$C$501,"=83",'Plan prihoda za unos u SAP'!$K$3:$K$501,"=721")</f>
        <v>0</v>
      </c>
    </row>
    <row r="31" spans="1:23" s="90" customFormat="1">
      <c r="A31" s="90">
        <v>2021</v>
      </c>
      <c r="B31" s="95" t="s">
        <v>309</v>
      </c>
      <c r="C31" s="100" t="s">
        <v>310</v>
      </c>
      <c r="D31" s="70">
        <f t="shared" si="1"/>
        <v>0</v>
      </c>
      <c r="E31" s="189">
        <f>SUMIFS('Plan prihoda za unos u SAP'!$G$3:$G$501,'Plan prihoda za unos u SAP'!$C$3:$C$501,"=11",'Plan prihoda za unos u SAP'!$K$3:$K$501,"=722")</f>
        <v>0</v>
      </c>
      <c r="F31" s="189">
        <f>SUMIFS('Plan prihoda za unos u SAP'!$G$3:$G$501,'Plan prihoda za unos u SAP'!$C$3:$C$501,"=12",'Plan prihoda za unos u SAP'!$K$3:$K$501,"=722")</f>
        <v>0</v>
      </c>
      <c r="G31" s="189">
        <f>SUMIFS('Plan prihoda za unos u SAP'!$G$3:$G$501,'Plan prihoda za unos u SAP'!$C$3:$C$501,"=31",'Plan prihoda za unos u SAP'!$K$3:$K$501,"=722")</f>
        <v>0</v>
      </c>
      <c r="H31" s="189">
        <f>SUMIFS('Plan prihoda za unos u SAP'!$G$3:$G$501,'Plan prihoda za unos u SAP'!$C$3:$C$501,"=41",'Plan prihoda za unos u SAP'!$K$3:$K$501,"=722")</f>
        <v>0</v>
      </c>
      <c r="I31" s="189">
        <f>SUMIFS('Plan prihoda za unos u SAP'!$G$3:$G$501,'Plan prihoda za unos u SAP'!$C$3:$C$501,"=43",'Plan prihoda za unos u SAP'!$K$3:$K$501,"=722")</f>
        <v>0</v>
      </c>
      <c r="J31" s="189">
        <f>SUMIFS('Plan prihoda za unos u SAP'!$G$3:$G$501,'Plan prihoda za unos u SAP'!$C$3:$C$501,"=51",'Plan prihoda za unos u SAP'!$K$3:$K$501,"=722")</f>
        <v>0</v>
      </c>
      <c r="K31" s="189">
        <f>SUMIFS('Plan prihoda za unos u SAP'!$G$3:$G$501,'Plan prihoda za unos u SAP'!$C$3:$C$501,"=52",'Plan prihoda za unos u SAP'!$K$3:$K$501,"=722")</f>
        <v>0</v>
      </c>
      <c r="L31" s="189">
        <f>SUMIFS('Plan prihoda za unos u SAP'!$G$3:$G$501,'Plan prihoda za unos u SAP'!$C$3:$C$501,"=552",'Plan prihoda za unos u SAP'!$K$3:$K$501,"=722")</f>
        <v>0</v>
      </c>
      <c r="M31" s="189">
        <f>SUMIFS('Plan prihoda za unos u SAP'!$G$3:$G$501,'Plan prihoda za unos u SAP'!$C$3:$C$501,"=559",'Plan prihoda za unos u SAP'!$K$3:$K$501,"=722")</f>
        <v>0</v>
      </c>
      <c r="N31" s="189">
        <f>SUMIFS('Plan prihoda za unos u SAP'!$G$3:$G$501,'Plan prihoda za unos u SAP'!$C$3:$C$501,"=561",'Plan prihoda za unos u SAP'!$K$3:$K$501,"=722")</f>
        <v>0</v>
      </c>
      <c r="O31" s="189">
        <f>SUMIFS('Plan prihoda za unos u SAP'!$G$3:$G$501,'Plan prihoda za unos u SAP'!$C$3:$C$501,"=563",'Plan prihoda za unos u SAP'!$K$3:$K$501,"=722")</f>
        <v>0</v>
      </c>
      <c r="P31" s="189">
        <f>SUMIFS('Plan prihoda za unos u SAP'!$G$3:$G$501,'Plan prihoda za unos u SAP'!$C$3:$C$501,"=573",'Plan prihoda za unos u SAP'!$K$3:$K$501,"=722")</f>
        <v>0</v>
      </c>
      <c r="Q31" s="189">
        <f>SUMIFS('Plan prihoda za unos u SAP'!$G$3:$G$501,'Plan prihoda za unos u SAP'!$C$3:$C$501,"=575",'Plan prihoda za unos u SAP'!$K$3:$K$501,"=722")</f>
        <v>0</v>
      </c>
      <c r="R31" s="189">
        <f>SUMIFS('Plan prihoda za unos u SAP'!$G$3:$G$501,'Plan prihoda za unos u SAP'!$C$3:$C$501,"=576",'Plan prihoda za unos u SAP'!$K$3:$K$501,"=722")</f>
        <v>0</v>
      </c>
      <c r="S31" s="189">
        <f>SUMIFS('Plan prihoda za unos u SAP'!$G$3:$G$501,'Plan prihoda za unos u SAP'!$C$3:$C$501,"=61",'Plan prihoda za unos u SAP'!$K$3:$K$501,"=722")</f>
        <v>0</v>
      </c>
      <c r="T31" s="189">
        <f>SUMIFS('Plan prihoda za unos u SAP'!$G$3:$G$501,'Plan prihoda za unos u SAP'!$C$3:$C$501,"=63",'Plan prihoda za unos u SAP'!$K$3:$K$501,"=722")</f>
        <v>0</v>
      </c>
      <c r="U31" s="189">
        <f>SUMIFS('Plan prihoda za unos u SAP'!$G$3:$G$501,'Plan prihoda za unos u SAP'!$C$3:$C$501,"=71",'Plan prihoda za unos u SAP'!$K$3:$K$501,"=722")</f>
        <v>0</v>
      </c>
      <c r="V31" s="189">
        <f>SUMIFS('Plan prihoda za unos u SAP'!$G$3:$G$501,'Plan prihoda za unos u SAP'!$C$3:$C$501,"=81",'Plan prihoda za unos u SAP'!$K$3:$K$501,"=722")</f>
        <v>0</v>
      </c>
      <c r="W31" s="189">
        <f>SUMIFS('Plan prihoda za unos u SAP'!$G$3:$G$501,'Plan prihoda za unos u SAP'!$C$3:$C$501,"=83",'Plan prihoda za unos u SAP'!$K$3:$K$501,"=722")</f>
        <v>0</v>
      </c>
    </row>
    <row r="32" spans="1:23" s="90" customFormat="1">
      <c r="A32" s="90">
        <v>2021</v>
      </c>
      <c r="B32" s="95" t="s">
        <v>311</v>
      </c>
      <c r="C32" s="100" t="s">
        <v>312</v>
      </c>
      <c r="D32" s="70">
        <f t="shared" si="1"/>
        <v>0</v>
      </c>
      <c r="E32" s="189">
        <f>SUMIFS('Plan prihoda za unos u SAP'!$G$3:$G$501,'Plan prihoda za unos u SAP'!$C$3:$C$501,"=11",'Plan prihoda za unos u SAP'!$K$3:$K$501,"=723")</f>
        <v>0</v>
      </c>
      <c r="F32" s="189">
        <f>SUMIFS('Plan prihoda za unos u SAP'!$G$3:$G$501,'Plan prihoda za unos u SAP'!$C$3:$C$501,"=12",'Plan prihoda za unos u SAP'!$K$3:$K$501,"=723")</f>
        <v>0</v>
      </c>
      <c r="G32" s="189">
        <f>SUMIFS('Plan prihoda za unos u SAP'!$G$3:$G$501,'Plan prihoda za unos u SAP'!$C$3:$C$501,"=31",'Plan prihoda za unos u SAP'!$K$3:$K$501,"=723")</f>
        <v>0</v>
      </c>
      <c r="H32" s="189">
        <f>SUMIFS('Plan prihoda za unos u SAP'!$G$3:$G$501,'Plan prihoda za unos u SAP'!$C$3:$C$501,"=41",'Plan prihoda za unos u SAP'!$K$3:$K$501,"=723")</f>
        <v>0</v>
      </c>
      <c r="I32" s="189">
        <f>SUMIFS('Plan prihoda za unos u SAP'!$G$3:$G$501,'Plan prihoda za unos u SAP'!$C$3:$C$501,"=43",'Plan prihoda za unos u SAP'!$K$3:$K$501,"=723")</f>
        <v>0</v>
      </c>
      <c r="J32" s="189">
        <f>SUMIFS('Plan prihoda za unos u SAP'!$G$3:$G$501,'Plan prihoda za unos u SAP'!$C$3:$C$501,"=51",'Plan prihoda za unos u SAP'!$K$3:$K$501,"=723")</f>
        <v>0</v>
      </c>
      <c r="K32" s="189">
        <f>SUMIFS('Plan prihoda za unos u SAP'!$G$3:$G$501,'Plan prihoda za unos u SAP'!$C$3:$C$501,"=52",'Plan prihoda za unos u SAP'!$K$3:$K$501,"=723")</f>
        <v>0</v>
      </c>
      <c r="L32" s="189">
        <f>SUMIFS('Plan prihoda za unos u SAP'!$G$3:$G$501,'Plan prihoda za unos u SAP'!$C$3:$C$501,"=552",'Plan prihoda za unos u SAP'!$K$3:$K$501,"=723")</f>
        <v>0</v>
      </c>
      <c r="M32" s="189">
        <f>SUMIFS('Plan prihoda za unos u SAP'!$G$3:$G$501,'Plan prihoda za unos u SAP'!$C$3:$C$501,"=559",'Plan prihoda za unos u SAP'!$K$3:$K$501,"=723")</f>
        <v>0</v>
      </c>
      <c r="N32" s="189">
        <f>SUMIFS('Plan prihoda za unos u SAP'!$G$3:$G$501,'Plan prihoda za unos u SAP'!$C$3:$C$501,"=561",'Plan prihoda za unos u SAP'!$K$3:$K$501,"=723")</f>
        <v>0</v>
      </c>
      <c r="O32" s="189">
        <f>SUMIFS('Plan prihoda za unos u SAP'!$G$3:$G$501,'Plan prihoda za unos u SAP'!$C$3:$C$501,"=563",'Plan prihoda za unos u SAP'!$K$3:$K$501,"=723")</f>
        <v>0</v>
      </c>
      <c r="P32" s="189">
        <f>SUMIFS('Plan prihoda za unos u SAP'!$G$3:$G$501,'Plan prihoda za unos u SAP'!$C$3:$C$501,"=573",'Plan prihoda za unos u SAP'!$K$3:$K$501,"=723")</f>
        <v>0</v>
      </c>
      <c r="Q32" s="189">
        <f>SUMIFS('Plan prihoda za unos u SAP'!$G$3:$G$501,'Plan prihoda za unos u SAP'!$C$3:$C$501,"=575",'Plan prihoda za unos u SAP'!$K$3:$K$501,"=723")</f>
        <v>0</v>
      </c>
      <c r="R32" s="189">
        <f>SUMIFS('Plan prihoda za unos u SAP'!$G$3:$G$501,'Plan prihoda za unos u SAP'!$C$3:$C$501,"=576",'Plan prihoda za unos u SAP'!$K$3:$K$501,"=723")</f>
        <v>0</v>
      </c>
      <c r="S32" s="189">
        <f>SUMIFS('Plan prihoda za unos u SAP'!$G$3:$G$501,'Plan prihoda za unos u SAP'!$C$3:$C$501,"=61",'Plan prihoda za unos u SAP'!$K$3:$K$501,"=723")</f>
        <v>0</v>
      </c>
      <c r="T32" s="189">
        <f>SUMIFS('Plan prihoda za unos u SAP'!$G$3:$G$501,'Plan prihoda za unos u SAP'!$C$3:$C$501,"=63",'Plan prihoda za unos u SAP'!$K$3:$K$501,"=723")</f>
        <v>0</v>
      </c>
      <c r="U32" s="189">
        <f>SUMIFS('Plan prihoda za unos u SAP'!$G$3:$G$501,'Plan prihoda za unos u SAP'!$C$3:$C$501,"=71",'Plan prihoda za unos u SAP'!$K$3:$K$501,"=723")</f>
        <v>0</v>
      </c>
      <c r="V32" s="189">
        <f>SUMIFS('Plan prihoda za unos u SAP'!$G$3:$G$501,'Plan prihoda za unos u SAP'!$C$3:$C$501,"=81",'Plan prihoda za unos u SAP'!$K$3:$K$501,"=723")</f>
        <v>0</v>
      </c>
      <c r="W32" s="189">
        <f>SUMIFS('Plan prihoda za unos u SAP'!$G$3:$G$501,'Plan prihoda za unos u SAP'!$C$3:$C$501,"=83",'Plan prihoda za unos u SAP'!$K$3:$K$501,"=723")</f>
        <v>0</v>
      </c>
    </row>
    <row r="33" spans="1:29" s="90" customFormat="1">
      <c r="A33" s="90">
        <v>2021</v>
      </c>
      <c r="B33" s="95" t="s">
        <v>322</v>
      </c>
      <c r="C33" s="100" t="s">
        <v>323</v>
      </c>
      <c r="D33" s="70">
        <f t="shared" si="1"/>
        <v>0</v>
      </c>
      <c r="E33" s="189">
        <f>SUMIFS('Plan prihoda za unos u SAP'!$G$3:$G$501,'Plan prihoda za unos u SAP'!$C$3:$C$501,"=11",'Plan prihoda za unos u SAP'!$K$3:$K$501,"=725")</f>
        <v>0</v>
      </c>
      <c r="F33" s="189">
        <f>SUMIFS('Plan prihoda za unos u SAP'!$G$3:$G$501,'Plan prihoda za unos u SAP'!$C$3:$C$501,"=12",'Plan prihoda za unos u SAP'!$K$3:$K$501,"=725")</f>
        <v>0</v>
      </c>
      <c r="G33" s="189">
        <f>SUMIFS('Plan prihoda za unos u SAP'!$G$3:$G$501,'Plan prihoda za unos u SAP'!$C$3:$C$501,"=31",'Plan prihoda za unos u SAP'!$K$3:$K$501,"=725")</f>
        <v>0</v>
      </c>
      <c r="H33" s="189">
        <f>SUMIFS('Plan prihoda za unos u SAP'!$G$3:$G$501,'Plan prihoda za unos u SAP'!$C$3:$C$501,"=41",'Plan prihoda za unos u SAP'!$K$3:$K$501,"=725")</f>
        <v>0</v>
      </c>
      <c r="I33" s="189">
        <f>SUMIFS('Plan prihoda za unos u SAP'!$G$3:$G$501,'Plan prihoda za unos u SAP'!$C$3:$C$501,"=43",'Plan prihoda za unos u SAP'!$K$3:$K$501,"=725")</f>
        <v>0</v>
      </c>
      <c r="J33" s="189">
        <f>SUMIFS('Plan prihoda za unos u SAP'!$G$3:$G$501,'Plan prihoda za unos u SAP'!$C$3:$C$501,"=51",'Plan prihoda za unos u SAP'!$K$3:$K$501,"=725")</f>
        <v>0</v>
      </c>
      <c r="K33" s="189">
        <f>SUMIFS('Plan prihoda za unos u SAP'!$G$3:$G$501,'Plan prihoda za unos u SAP'!$C$3:$C$501,"=52",'Plan prihoda za unos u SAP'!$K$3:$K$501,"=725")</f>
        <v>0</v>
      </c>
      <c r="L33" s="189">
        <f>SUMIFS('Plan prihoda za unos u SAP'!$G$3:$G$501,'Plan prihoda za unos u SAP'!$C$3:$C$501,"=552",'Plan prihoda za unos u SAP'!$K$3:$K$501,"=725")</f>
        <v>0</v>
      </c>
      <c r="M33" s="189">
        <f>SUMIFS('Plan prihoda za unos u SAP'!$G$3:$G$501,'Plan prihoda za unos u SAP'!$C$3:$C$501,"=559",'Plan prihoda za unos u SAP'!$K$3:$K$501,"=725")</f>
        <v>0</v>
      </c>
      <c r="N33" s="189">
        <f>SUMIFS('Plan prihoda za unos u SAP'!$G$3:$G$501,'Plan prihoda za unos u SAP'!$C$3:$C$501,"=561",'Plan prihoda za unos u SAP'!$K$3:$K$501,"=725")</f>
        <v>0</v>
      </c>
      <c r="O33" s="189">
        <f>SUMIFS('Plan prihoda za unos u SAP'!$G$3:$G$501,'Plan prihoda za unos u SAP'!$C$3:$C$501,"=563",'Plan prihoda za unos u SAP'!$K$3:$K$501,"=725")</f>
        <v>0</v>
      </c>
      <c r="P33" s="189">
        <f>SUMIFS('Plan prihoda za unos u SAP'!$G$3:$G$501,'Plan prihoda za unos u SAP'!$C$3:$C$501,"=573",'Plan prihoda za unos u SAP'!$K$3:$K$501,"=725")</f>
        <v>0</v>
      </c>
      <c r="Q33" s="189">
        <f>SUMIFS('Plan prihoda za unos u SAP'!$G$3:$G$501,'Plan prihoda za unos u SAP'!$C$3:$C$501,"=575",'Plan prihoda za unos u SAP'!$K$3:$K$501,"=725")</f>
        <v>0</v>
      </c>
      <c r="R33" s="189">
        <f>SUMIFS('Plan prihoda za unos u SAP'!$G$3:$G$501,'Plan prihoda za unos u SAP'!$C$3:$C$501,"=576",'Plan prihoda za unos u SAP'!$K$3:$K$501,"=725")</f>
        <v>0</v>
      </c>
      <c r="S33" s="189">
        <f>SUMIFS('Plan prihoda za unos u SAP'!$G$3:$G$501,'Plan prihoda za unos u SAP'!$C$3:$C$501,"=61",'Plan prihoda za unos u SAP'!$K$3:$K$501,"=725")</f>
        <v>0</v>
      </c>
      <c r="T33" s="189">
        <f>SUMIFS('Plan prihoda za unos u SAP'!$G$3:$G$501,'Plan prihoda za unos u SAP'!$C$3:$C$501,"=63",'Plan prihoda za unos u SAP'!$K$3:$K$501,"=725")</f>
        <v>0</v>
      </c>
      <c r="U33" s="189">
        <f>SUMIFS('Plan prihoda za unos u SAP'!$G$3:$G$501,'Plan prihoda za unos u SAP'!$C$3:$C$501,"=71",'Plan prihoda za unos u SAP'!$K$3:$K$501,"=725")</f>
        <v>0</v>
      </c>
      <c r="V33" s="189">
        <f>SUMIFS('Plan prihoda za unos u SAP'!$G$3:$G$501,'Plan prihoda za unos u SAP'!$C$3:$C$501,"=81",'Plan prihoda za unos u SAP'!$K$3:$K$501,"=725")</f>
        <v>0</v>
      </c>
      <c r="W33" s="189">
        <f>SUMIFS('Plan prihoda za unos u SAP'!$G$3:$G$501,'Plan prihoda za unos u SAP'!$C$3:$C$501,"=83",'Plan prihoda za unos u SAP'!$K$3:$K$501,"=725")</f>
        <v>0</v>
      </c>
    </row>
    <row r="34" spans="1:29" s="90" customFormat="1">
      <c r="A34" s="90">
        <v>2021</v>
      </c>
      <c r="B34" s="98" t="s">
        <v>313</v>
      </c>
      <c r="C34" s="99" t="s">
        <v>306</v>
      </c>
      <c r="D34" s="70">
        <f t="shared" si="1"/>
        <v>0</v>
      </c>
      <c r="E34" s="4">
        <f t="shared" ref="E34:V34" si="6">SUM(E28:E33)</f>
        <v>0</v>
      </c>
      <c r="F34" s="4">
        <f t="shared" si="6"/>
        <v>0</v>
      </c>
      <c r="G34" s="4">
        <f t="shared" si="6"/>
        <v>0</v>
      </c>
      <c r="H34" s="4">
        <f>SUM(H28:H33)</f>
        <v>0</v>
      </c>
      <c r="I34" s="4">
        <f t="shared" si="6"/>
        <v>0</v>
      </c>
      <c r="J34" s="4">
        <f t="shared" si="6"/>
        <v>0</v>
      </c>
      <c r="K34" s="4">
        <f t="shared" si="6"/>
        <v>0</v>
      </c>
      <c r="L34" s="4">
        <f>SUM(L28:L33)</f>
        <v>0</v>
      </c>
      <c r="M34" s="4">
        <f t="shared" si="6"/>
        <v>0</v>
      </c>
      <c r="N34" s="4">
        <f t="shared" si="6"/>
        <v>0</v>
      </c>
      <c r="O34" s="4">
        <f t="shared" si="6"/>
        <v>0</v>
      </c>
      <c r="P34" s="4">
        <f>SUM(P28:P33)</f>
        <v>0</v>
      </c>
      <c r="Q34" s="4">
        <f>SUM(Q28:Q33)</f>
        <v>0</v>
      </c>
      <c r="R34" s="4">
        <f>SUM(R28:R33)</f>
        <v>0</v>
      </c>
      <c r="S34" s="4">
        <f t="shared" si="6"/>
        <v>0</v>
      </c>
      <c r="T34" s="4">
        <f t="shared" si="6"/>
        <v>0</v>
      </c>
      <c r="U34" s="4">
        <f t="shared" si="6"/>
        <v>0</v>
      </c>
      <c r="V34" s="4">
        <f t="shared" si="6"/>
        <v>0</v>
      </c>
      <c r="W34" s="4">
        <f>SUM(W28:W33)</f>
        <v>0</v>
      </c>
    </row>
    <row r="35" spans="1:29" s="90" customFormat="1" ht="25.5">
      <c r="A35" s="90">
        <v>2021</v>
      </c>
      <c r="B35" s="101">
        <v>812</v>
      </c>
      <c r="C35" s="102" t="s">
        <v>314</v>
      </c>
      <c r="D35" s="70">
        <f t="shared" si="1"/>
        <v>0</v>
      </c>
      <c r="E35" s="189">
        <f>SUMIFS('Plan prihoda za unos u SAP'!$G$3:$G$501,'Plan prihoda za unos u SAP'!$C$3:$C$501,"=11",'Plan prihoda za unos u SAP'!$K$3:$K$501,"=812")</f>
        <v>0</v>
      </c>
      <c r="F35" s="189">
        <f>SUMIFS('Plan prihoda za unos u SAP'!$G$3:$G$501,'Plan prihoda za unos u SAP'!$C$3:$C$501,"=12",'Plan prihoda za unos u SAP'!$K$3:$K$501,"=812")</f>
        <v>0</v>
      </c>
      <c r="G35" s="189">
        <f>SUMIFS('Plan prihoda za unos u SAP'!$G$3:$G$501,'Plan prihoda za unos u SAP'!$C$3:$C$501,"=31",'Plan prihoda za unos u SAP'!$K$3:$K$501,"=812")</f>
        <v>0</v>
      </c>
      <c r="H35" s="189">
        <f>SUMIFS('Plan prihoda za unos u SAP'!$G$3:$G$501,'Plan prihoda za unos u SAP'!$C$3:$C$501,"=41",'Plan prihoda za unos u SAP'!$K$3:$K$501,"=812")</f>
        <v>0</v>
      </c>
      <c r="I35" s="189">
        <f>SUMIFS('Plan prihoda za unos u SAP'!$G$3:$G$501,'Plan prihoda za unos u SAP'!$C$3:$C$501,"=43",'Plan prihoda za unos u SAP'!$K$3:$K$501,"=812")</f>
        <v>0</v>
      </c>
      <c r="J35" s="189">
        <f>SUMIFS('Plan prihoda za unos u SAP'!$G$3:$G$501,'Plan prihoda za unos u SAP'!$C$3:$C$501,"=51",'Plan prihoda za unos u SAP'!$K$3:$K$501,"=812")</f>
        <v>0</v>
      </c>
      <c r="K35" s="189">
        <f>SUMIFS('Plan prihoda za unos u SAP'!$G$3:$G$501,'Plan prihoda za unos u SAP'!$C$3:$C$501,"=52",'Plan prihoda za unos u SAP'!$K$3:$K$501,"=812")</f>
        <v>0</v>
      </c>
      <c r="L35" s="189">
        <f>SUMIFS('Plan prihoda za unos u SAP'!$G$3:$G$501,'Plan prihoda za unos u SAP'!$C$3:$C$501,"=552",'Plan prihoda za unos u SAP'!$K$3:$K$501,"=812")</f>
        <v>0</v>
      </c>
      <c r="M35" s="189">
        <f>SUMIFS('Plan prihoda za unos u SAP'!$G$3:$G$501,'Plan prihoda za unos u SAP'!$C$3:$C$501,"=559",'Plan prihoda za unos u SAP'!$K$3:$K$501,"=812")</f>
        <v>0</v>
      </c>
      <c r="N35" s="189">
        <f>SUMIFS('Plan prihoda za unos u SAP'!$G$3:$G$501,'Plan prihoda za unos u SAP'!$C$3:$C$501,"=561",'Plan prihoda za unos u SAP'!$K$3:$K$501,"=812")</f>
        <v>0</v>
      </c>
      <c r="O35" s="189">
        <f>SUMIFS('Plan prihoda za unos u SAP'!$G$3:$G$501,'Plan prihoda za unos u SAP'!$C$3:$C$501,"=563",'Plan prihoda za unos u SAP'!$K$3:$K$501,"=812")</f>
        <v>0</v>
      </c>
      <c r="P35" s="189">
        <f>SUMIFS('Plan prihoda za unos u SAP'!$G$3:$G$501,'Plan prihoda za unos u SAP'!$C$3:$C$501,"=573",'Plan prihoda za unos u SAP'!$K$3:$K$501,"=812")</f>
        <v>0</v>
      </c>
      <c r="Q35" s="189">
        <f>SUMIFS('Plan prihoda za unos u SAP'!$G$3:$G$501,'Plan prihoda za unos u SAP'!$C$3:$C$501,"=575",'Plan prihoda za unos u SAP'!$K$3:$K$501,"=812")</f>
        <v>0</v>
      </c>
      <c r="R35" s="189">
        <f>SUMIFS('Plan prihoda za unos u SAP'!$G$3:$G$501,'Plan prihoda za unos u SAP'!$C$3:$C$501,"=576",'Plan prihoda za unos u SAP'!$K$3:$K$501,"=812")</f>
        <v>0</v>
      </c>
      <c r="S35" s="189">
        <f>SUMIFS('Plan prihoda za unos u SAP'!$G$3:$G$501,'Plan prihoda za unos u SAP'!$C$3:$C$501,"=61",'Plan prihoda za unos u SAP'!$K$3:$K$501,"=812")</f>
        <v>0</v>
      </c>
      <c r="T35" s="189">
        <f>SUMIFS('Plan prihoda za unos u SAP'!$G$3:$G$501,'Plan prihoda za unos u SAP'!$C$3:$C$501,"=63",'Plan prihoda za unos u SAP'!$K$3:$K$501,"=812")</f>
        <v>0</v>
      </c>
      <c r="U35" s="189">
        <f>SUMIFS('Plan prihoda za unos u SAP'!$G$3:$G$501,'Plan prihoda za unos u SAP'!$C$3:$C$501,"=71",'Plan prihoda za unos u SAP'!$K$3:$K$501,"=812")</f>
        <v>0</v>
      </c>
      <c r="V35" s="189">
        <f>SUMIFS('Plan prihoda za unos u SAP'!$G$3:$G$501,'Plan prihoda za unos u SAP'!$C$3:$C$501,"=81",'Plan prihoda za unos u SAP'!$K$3:$K$501,"=812")</f>
        <v>0</v>
      </c>
      <c r="W35" s="189">
        <f>SUMIFS('Plan prihoda za unos u SAP'!$G$3:$G$501,'Plan prihoda za unos u SAP'!$C$3:$C$501,"=83",'Plan prihoda za unos u SAP'!$K$3:$K$501,"=812")</f>
        <v>0</v>
      </c>
    </row>
    <row r="36" spans="1:29" s="90" customFormat="1">
      <c r="A36" s="90">
        <v>2021</v>
      </c>
      <c r="B36" s="101">
        <v>818</v>
      </c>
      <c r="C36" s="102" t="s">
        <v>1567</v>
      </c>
      <c r="D36" s="70">
        <f t="shared" si="1"/>
        <v>0</v>
      </c>
      <c r="E36" s="189">
        <f>SUMIFS('Plan prihoda za unos u SAP'!$G$3:$G$501,'Plan prihoda za unos u SAP'!$C$3:$C$501,"=11",'Plan prihoda za unos u SAP'!$K$3:$K$501,"=818")</f>
        <v>0</v>
      </c>
      <c r="F36" s="189">
        <f>SUMIFS('Plan prihoda za unos u SAP'!$G$3:$G$501,'Plan prihoda za unos u SAP'!$C$3:$C$501,"=12",'Plan prihoda za unos u SAP'!$K$3:$K$501,"=818")</f>
        <v>0</v>
      </c>
      <c r="G36" s="189">
        <f>SUMIFS('Plan prihoda za unos u SAP'!$G$3:$G$501,'Plan prihoda za unos u SAP'!$C$3:$C$501,"=31",'Plan prihoda za unos u SAP'!$K$3:$K$501,"=818")</f>
        <v>0</v>
      </c>
      <c r="H36" s="189">
        <f>SUMIFS('Plan prihoda za unos u SAP'!$G$3:$G$501,'Plan prihoda za unos u SAP'!$C$3:$C$501,"=41",'Plan prihoda za unos u SAP'!$K$3:$K$501,"=818")</f>
        <v>0</v>
      </c>
      <c r="I36" s="189">
        <f>SUMIFS('Plan prihoda za unos u SAP'!$G$3:$G$501,'Plan prihoda za unos u SAP'!$C$3:$C$501,"=43",'Plan prihoda za unos u SAP'!$K$3:$K$501,"=818")</f>
        <v>0</v>
      </c>
      <c r="J36" s="189">
        <f>SUMIFS('Plan prihoda za unos u SAP'!$G$3:$G$501,'Plan prihoda za unos u SAP'!$C$3:$C$501,"=51",'Plan prihoda za unos u SAP'!$K$3:$K$501,"=818")</f>
        <v>0</v>
      </c>
      <c r="K36" s="189">
        <f>SUMIFS('Plan prihoda za unos u SAP'!$G$3:$G$501,'Plan prihoda za unos u SAP'!$C$3:$C$501,"=52",'Plan prihoda za unos u SAP'!$K$3:$K$501,"=818")</f>
        <v>0</v>
      </c>
      <c r="L36" s="189">
        <f>SUMIFS('Plan prihoda za unos u SAP'!$G$3:$G$501,'Plan prihoda za unos u SAP'!$C$3:$C$501,"=552",'Plan prihoda za unos u SAP'!$K$3:$K$501,"=818")</f>
        <v>0</v>
      </c>
      <c r="M36" s="189">
        <f>SUMIFS('Plan prihoda za unos u SAP'!$G$3:$G$501,'Plan prihoda za unos u SAP'!$C$3:$C$501,"=559",'Plan prihoda za unos u SAP'!$K$3:$K$501,"=818")</f>
        <v>0</v>
      </c>
      <c r="N36" s="189">
        <f>SUMIFS('Plan prihoda za unos u SAP'!$G$3:$G$501,'Plan prihoda za unos u SAP'!$C$3:$C$501,"=561",'Plan prihoda za unos u SAP'!$K$3:$K$501,"=818")</f>
        <v>0</v>
      </c>
      <c r="O36" s="189">
        <f>SUMIFS('Plan prihoda za unos u SAP'!$G$3:$G$501,'Plan prihoda za unos u SAP'!$C$3:$C$501,"=563",'Plan prihoda za unos u SAP'!$K$3:$K$501,"=818")</f>
        <v>0</v>
      </c>
      <c r="P36" s="189">
        <f>SUMIFS('Plan prihoda za unos u SAP'!$G$3:$G$501,'Plan prihoda za unos u SAP'!$C$3:$C$501,"=573",'Plan prihoda za unos u SAP'!$K$3:$K$501,"=818")</f>
        <v>0</v>
      </c>
      <c r="Q36" s="189">
        <f>SUMIFS('Plan prihoda za unos u SAP'!$G$3:$G$501,'Plan prihoda za unos u SAP'!$C$3:$C$501,"=575",'Plan prihoda za unos u SAP'!$K$3:$K$501,"=818")</f>
        <v>0</v>
      </c>
      <c r="R36" s="189">
        <f>SUMIFS('Plan prihoda za unos u SAP'!$G$3:$G$501,'Plan prihoda za unos u SAP'!$C$3:$C$501,"=576",'Plan prihoda za unos u SAP'!$K$3:$K$501,"=818")</f>
        <v>0</v>
      </c>
      <c r="S36" s="189">
        <f>SUMIFS('Plan prihoda za unos u SAP'!$G$3:$G$501,'Plan prihoda za unos u SAP'!$C$3:$C$501,"=61",'Plan prihoda za unos u SAP'!$K$3:$K$501,"=818")</f>
        <v>0</v>
      </c>
      <c r="T36" s="189">
        <f>SUMIFS('Plan prihoda za unos u SAP'!$G$3:$G$501,'Plan prihoda za unos u SAP'!$C$3:$C$501,"=63",'Plan prihoda za unos u SAP'!$K$3:$K$501,"=818")</f>
        <v>0</v>
      </c>
      <c r="U36" s="189">
        <f>SUMIFS('Plan prihoda za unos u SAP'!$G$3:$G$501,'Plan prihoda za unos u SAP'!$C$3:$C$501,"=71",'Plan prihoda za unos u SAP'!$K$3:$K$501,"=818")</f>
        <v>0</v>
      </c>
      <c r="V36" s="189">
        <f>SUMIFS('Plan prihoda za unos u SAP'!$G$3:$G$501,'Plan prihoda za unos u SAP'!$C$3:$C$501,"=81",'Plan prihoda za unos u SAP'!$K$3:$K$501,"=818")</f>
        <v>0</v>
      </c>
      <c r="W36" s="189">
        <f>SUMIFS('Plan prihoda za unos u SAP'!$G$3:$G$501,'Plan prihoda za unos u SAP'!$C$3:$C$501,"=83",'Plan prihoda za unos u SAP'!$K$3:$K$501,"=818")</f>
        <v>0</v>
      </c>
    </row>
    <row r="37" spans="1:29" s="90" customFormat="1">
      <c r="A37" s="90">
        <v>2021</v>
      </c>
      <c r="B37" s="101">
        <v>832</v>
      </c>
      <c r="C37" s="102" t="s">
        <v>1568</v>
      </c>
      <c r="D37" s="70">
        <f t="shared" si="1"/>
        <v>0</v>
      </c>
      <c r="E37" s="189">
        <f>SUMIFS('Plan prihoda za unos u SAP'!$G$3:$G$501,'Plan prihoda za unos u SAP'!$C$3:$C$501,"=11",'Plan prihoda za unos u SAP'!$K$3:$K$501,"=832")</f>
        <v>0</v>
      </c>
      <c r="F37" s="189">
        <f>SUMIFS('Plan prihoda za unos u SAP'!$G$3:$G$501,'Plan prihoda za unos u SAP'!$C$3:$C$501,"=12",'Plan prihoda za unos u SAP'!$K$3:$K$501,"=832")</f>
        <v>0</v>
      </c>
      <c r="G37" s="189">
        <f>SUMIFS('Plan prihoda za unos u SAP'!$G$3:$G$501,'Plan prihoda za unos u SAP'!$C$3:$C$501,"=31",'Plan prihoda za unos u SAP'!$K$3:$K$501,"=832")</f>
        <v>0</v>
      </c>
      <c r="H37" s="189">
        <f>SUMIFS('Plan prihoda za unos u SAP'!$G$3:$G$501,'Plan prihoda za unos u SAP'!$C$3:$C$501,"=41",'Plan prihoda za unos u SAP'!$K$3:$K$501,"=832")</f>
        <v>0</v>
      </c>
      <c r="I37" s="189">
        <f>SUMIFS('Plan prihoda za unos u SAP'!$G$3:$G$501,'Plan prihoda za unos u SAP'!$C$3:$C$501,"=43",'Plan prihoda za unos u SAP'!$K$3:$K$501,"=832")</f>
        <v>0</v>
      </c>
      <c r="J37" s="189">
        <f>SUMIFS('Plan prihoda za unos u SAP'!$G$3:$G$501,'Plan prihoda za unos u SAP'!$C$3:$C$501,"=51",'Plan prihoda za unos u SAP'!$K$3:$K$501,"=832")</f>
        <v>0</v>
      </c>
      <c r="K37" s="189">
        <f>SUMIFS('Plan prihoda za unos u SAP'!$G$3:$G$501,'Plan prihoda za unos u SAP'!$C$3:$C$501,"=52",'Plan prihoda za unos u SAP'!$K$3:$K$501,"=832")</f>
        <v>0</v>
      </c>
      <c r="L37" s="189">
        <f>SUMIFS('Plan prihoda za unos u SAP'!$G$3:$G$501,'Plan prihoda za unos u SAP'!$C$3:$C$501,"=552",'Plan prihoda za unos u SAP'!$K$3:$K$501,"=832")</f>
        <v>0</v>
      </c>
      <c r="M37" s="189">
        <f>SUMIFS('Plan prihoda za unos u SAP'!$G$3:$G$501,'Plan prihoda za unos u SAP'!$C$3:$C$501,"=559",'Plan prihoda za unos u SAP'!$K$3:$K$501,"=832")</f>
        <v>0</v>
      </c>
      <c r="N37" s="189">
        <f>SUMIFS('Plan prihoda za unos u SAP'!$G$3:$G$501,'Plan prihoda za unos u SAP'!$C$3:$C$501,"=561",'Plan prihoda za unos u SAP'!$K$3:$K$501,"=832")</f>
        <v>0</v>
      </c>
      <c r="O37" s="189">
        <f>SUMIFS('Plan prihoda za unos u SAP'!$G$3:$G$501,'Plan prihoda za unos u SAP'!$C$3:$C$501,"=563",'Plan prihoda za unos u SAP'!$K$3:$K$501,"=832")</f>
        <v>0</v>
      </c>
      <c r="P37" s="189">
        <f>SUMIFS('Plan prihoda za unos u SAP'!$G$3:$G$501,'Plan prihoda za unos u SAP'!$C$3:$C$501,"=573",'Plan prihoda za unos u SAP'!$K$3:$K$501,"=832")</f>
        <v>0</v>
      </c>
      <c r="Q37" s="189">
        <f>SUMIFS('Plan prihoda za unos u SAP'!$G$3:$G$501,'Plan prihoda za unos u SAP'!$C$3:$C$501,"=575",'Plan prihoda za unos u SAP'!$K$3:$K$501,"=832")</f>
        <v>0</v>
      </c>
      <c r="R37" s="189">
        <f>SUMIFS('Plan prihoda za unos u SAP'!$G$3:$G$501,'Plan prihoda za unos u SAP'!$C$3:$C$501,"=576",'Plan prihoda za unos u SAP'!$K$3:$K$501,"=832")</f>
        <v>0</v>
      </c>
      <c r="S37" s="189">
        <f>SUMIFS('Plan prihoda za unos u SAP'!$G$3:$G$501,'Plan prihoda za unos u SAP'!$C$3:$C$501,"=61",'Plan prihoda za unos u SAP'!$K$3:$K$501,"=832")</f>
        <v>0</v>
      </c>
      <c r="T37" s="189">
        <f>SUMIFS('Plan prihoda za unos u SAP'!$G$3:$G$501,'Plan prihoda za unos u SAP'!$C$3:$C$501,"=63",'Plan prihoda za unos u SAP'!$K$3:$K$501,"=832")</f>
        <v>0</v>
      </c>
      <c r="U37" s="189">
        <f>SUMIFS('Plan prihoda za unos u SAP'!$G$3:$G$501,'Plan prihoda za unos u SAP'!$C$3:$C$501,"=71",'Plan prihoda za unos u SAP'!$K$3:$K$501,"=832")</f>
        <v>0</v>
      </c>
      <c r="V37" s="189">
        <f>SUMIFS('Plan prihoda za unos u SAP'!$G$3:$G$501,'Plan prihoda za unos u SAP'!$C$3:$C$501,"=81",'Plan prihoda za unos u SAP'!$K$3:$K$501,"=832")</f>
        <v>0</v>
      </c>
      <c r="W37" s="189">
        <f>SUMIFS('Plan prihoda za unos u SAP'!$G$3:$G$501,'Plan prihoda za unos u SAP'!$C$3:$C$501,"=83",'Plan prihoda za unos u SAP'!$K$3:$K$501,"=832")</f>
        <v>0</v>
      </c>
    </row>
    <row r="38" spans="1:29" s="90" customFormat="1" ht="25.5">
      <c r="A38" s="90">
        <v>2021</v>
      </c>
      <c r="B38" s="277">
        <v>833</v>
      </c>
      <c r="C38" s="102" t="s">
        <v>2136</v>
      </c>
      <c r="D38" s="70">
        <f t="shared" ref="D38" si="7">SUM(E38:W38)</f>
        <v>0</v>
      </c>
      <c r="E38" s="189">
        <f>SUMIFS('Plan prihoda za unos u SAP'!$G$3:$G$501,'Plan prihoda za unos u SAP'!$C$3:$C$501,"=11",'Plan prihoda za unos u SAP'!$K$3:$K$501,"=833")</f>
        <v>0</v>
      </c>
      <c r="F38" s="189">
        <f>SUMIFS('Plan prihoda za unos u SAP'!$G$3:$G$501,'Plan prihoda za unos u SAP'!$C$3:$C$501,"=12",'Plan prihoda za unos u SAP'!$K$3:$K$501,"=833")</f>
        <v>0</v>
      </c>
      <c r="G38" s="189">
        <f>SUMIFS('Plan prihoda za unos u SAP'!$G$3:$G$501,'Plan prihoda za unos u SAP'!$C$3:$C$501,"=31",'Plan prihoda za unos u SAP'!$K$3:$K$501,"=833")</f>
        <v>0</v>
      </c>
      <c r="H38" s="189">
        <f>SUMIFS('Plan prihoda za unos u SAP'!$G$3:$G$501,'Plan prihoda za unos u SAP'!$C$3:$C$501,"=41",'Plan prihoda za unos u SAP'!$K$3:$K$501,"=833")</f>
        <v>0</v>
      </c>
      <c r="I38" s="189">
        <f>SUMIFS('Plan prihoda za unos u SAP'!$G$3:$G$501,'Plan prihoda za unos u SAP'!$C$3:$C$501,"=43",'Plan prihoda za unos u SAP'!$K$3:$K$501,"=833")</f>
        <v>0</v>
      </c>
      <c r="J38" s="189">
        <f>SUMIFS('Plan prihoda za unos u SAP'!$G$3:$G$501,'Plan prihoda za unos u SAP'!$C$3:$C$501,"=51",'Plan prihoda za unos u SAP'!$K$3:$K$501,"=833")</f>
        <v>0</v>
      </c>
      <c r="K38" s="189">
        <f>SUMIFS('Plan prihoda za unos u SAP'!$G$3:$G$501,'Plan prihoda za unos u SAP'!$C$3:$C$501,"=52",'Plan prihoda za unos u SAP'!$K$3:$K$501,"=833")</f>
        <v>0</v>
      </c>
      <c r="L38" s="189">
        <f>SUMIFS('Plan prihoda za unos u SAP'!$G$3:$G$501,'Plan prihoda za unos u SAP'!$C$3:$C$501,"=552",'Plan prihoda za unos u SAP'!$K$3:$K$501,"=833")</f>
        <v>0</v>
      </c>
      <c r="M38" s="189">
        <f>SUMIFS('Plan prihoda za unos u SAP'!$G$3:$G$501,'Plan prihoda za unos u SAP'!$C$3:$C$501,"=559",'Plan prihoda za unos u SAP'!$K$3:$K$501,"=833")</f>
        <v>0</v>
      </c>
      <c r="N38" s="189">
        <f>SUMIFS('Plan prihoda za unos u SAP'!$G$3:$G$501,'Plan prihoda za unos u SAP'!$C$3:$C$501,"=561",'Plan prihoda za unos u SAP'!$K$3:$K$501,"=833")</f>
        <v>0</v>
      </c>
      <c r="O38" s="189">
        <f>SUMIFS('Plan prihoda za unos u SAP'!$G$3:$G$501,'Plan prihoda za unos u SAP'!$C$3:$C$501,"=563",'Plan prihoda za unos u SAP'!$K$3:$K$501,"=833")</f>
        <v>0</v>
      </c>
      <c r="P38" s="189">
        <f>SUMIFS('Plan prihoda za unos u SAP'!$G$3:$G$501,'Plan prihoda za unos u SAP'!$C$3:$C$501,"=573",'Plan prihoda za unos u SAP'!$K$3:$K$501,"=833")</f>
        <v>0</v>
      </c>
      <c r="Q38" s="189">
        <f>SUMIFS('Plan prihoda za unos u SAP'!$G$3:$G$501,'Plan prihoda za unos u SAP'!$C$3:$C$501,"=575",'Plan prihoda za unos u SAP'!$K$3:$K$501,"=833")</f>
        <v>0</v>
      </c>
      <c r="R38" s="189">
        <f>SUMIFS('Plan prihoda za unos u SAP'!$G$3:$G$501,'Plan prihoda za unos u SAP'!$C$3:$C$501,"=576",'Plan prihoda za unos u SAP'!$K$3:$K$501,"=833")</f>
        <v>0</v>
      </c>
      <c r="S38" s="189">
        <f>SUMIFS('Plan prihoda za unos u SAP'!$G$3:$G$501,'Plan prihoda za unos u SAP'!$C$3:$C$501,"=61",'Plan prihoda za unos u SAP'!$K$3:$K$501,"=833")</f>
        <v>0</v>
      </c>
      <c r="T38" s="189">
        <f>SUMIFS('Plan prihoda za unos u SAP'!$G$3:$G$501,'Plan prihoda za unos u SAP'!$C$3:$C$501,"=63",'Plan prihoda za unos u SAP'!$K$3:$K$501,"=833")</f>
        <v>0</v>
      </c>
      <c r="U38" s="189">
        <f>SUMIFS('Plan prihoda za unos u SAP'!$G$3:$G$501,'Plan prihoda za unos u SAP'!$C$3:$C$501,"=71",'Plan prihoda za unos u SAP'!$K$3:$K$501,"=833")</f>
        <v>0</v>
      </c>
      <c r="V38" s="189">
        <f>SUMIFS('Plan prihoda za unos u SAP'!$G$3:$G$501,'Plan prihoda za unos u SAP'!$C$3:$C$501,"=81",'Plan prihoda za unos u SAP'!$K$3:$K$501,"=833")</f>
        <v>0</v>
      </c>
      <c r="W38" s="189">
        <f>SUMIFS('Plan prihoda za unos u SAP'!$G$3:$G$501,'Plan prihoda za unos u SAP'!$C$3:$C$501,"=83",'Plan prihoda za unos u SAP'!$K$3:$K$501,"=833")</f>
        <v>0</v>
      </c>
    </row>
    <row r="39" spans="1:29" s="90" customFormat="1" ht="25.5">
      <c r="A39" s="90">
        <v>2021</v>
      </c>
      <c r="B39" s="101">
        <v>841</v>
      </c>
      <c r="C39" s="102" t="s">
        <v>1569</v>
      </c>
      <c r="D39" s="70">
        <f t="shared" si="1"/>
        <v>0</v>
      </c>
      <c r="E39" s="189">
        <f>SUMIFS('Plan prihoda za unos u SAP'!$G$3:$G$501,'Plan prihoda za unos u SAP'!$C$3:$C$501,"=11",'Plan prihoda za unos u SAP'!$K$3:$K$501,"=841")</f>
        <v>0</v>
      </c>
      <c r="F39" s="189">
        <f>SUMIFS('Plan prihoda za unos u SAP'!$G$3:$G$501,'Plan prihoda za unos u SAP'!$C$3:$C$501,"=12",'Plan prihoda za unos u SAP'!$K$3:$K$501,"=841")</f>
        <v>0</v>
      </c>
      <c r="G39" s="189">
        <f>SUMIFS('Plan prihoda za unos u SAP'!$G$3:$G$501,'Plan prihoda za unos u SAP'!$C$3:$C$501,"=31",'Plan prihoda za unos u SAP'!$K$3:$K$501,"=841")</f>
        <v>0</v>
      </c>
      <c r="H39" s="189">
        <f>SUMIFS('Plan prihoda za unos u SAP'!$G$3:$G$501,'Plan prihoda za unos u SAP'!$C$3:$C$501,"=41",'Plan prihoda za unos u SAP'!$K$3:$K$501,"=841")</f>
        <v>0</v>
      </c>
      <c r="I39" s="189">
        <f>SUMIFS('Plan prihoda za unos u SAP'!$G$3:$G$501,'Plan prihoda za unos u SAP'!$C$3:$C$501,"=43",'Plan prihoda za unos u SAP'!$K$3:$K$501,"=841")</f>
        <v>0</v>
      </c>
      <c r="J39" s="189">
        <f>SUMIFS('Plan prihoda za unos u SAP'!$G$3:$G$501,'Plan prihoda za unos u SAP'!$C$3:$C$501,"=51",'Plan prihoda za unos u SAP'!$K$3:$K$501,"=841")</f>
        <v>0</v>
      </c>
      <c r="K39" s="189">
        <f>SUMIFS('Plan prihoda za unos u SAP'!$G$3:$G$501,'Plan prihoda za unos u SAP'!$C$3:$C$501,"=52",'Plan prihoda za unos u SAP'!$K$3:$K$501,"=841")</f>
        <v>0</v>
      </c>
      <c r="L39" s="189">
        <f>SUMIFS('Plan prihoda za unos u SAP'!$G$3:$G$501,'Plan prihoda za unos u SAP'!$C$3:$C$501,"=552",'Plan prihoda za unos u SAP'!$K$3:$K$501,"=841")</f>
        <v>0</v>
      </c>
      <c r="M39" s="189">
        <f>SUMIFS('Plan prihoda za unos u SAP'!$G$3:$G$501,'Plan prihoda za unos u SAP'!$C$3:$C$501,"=559",'Plan prihoda za unos u SAP'!$K$3:$K$501,"=841")</f>
        <v>0</v>
      </c>
      <c r="N39" s="189">
        <f>SUMIFS('Plan prihoda za unos u SAP'!$G$3:$G$501,'Plan prihoda za unos u SAP'!$C$3:$C$501,"=561",'Plan prihoda za unos u SAP'!$K$3:$K$501,"=841")</f>
        <v>0</v>
      </c>
      <c r="O39" s="189">
        <f>SUMIFS('Plan prihoda za unos u SAP'!$G$3:$G$501,'Plan prihoda za unos u SAP'!$C$3:$C$501,"=563",'Plan prihoda za unos u SAP'!$K$3:$K$501,"=841")</f>
        <v>0</v>
      </c>
      <c r="P39" s="189">
        <f>SUMIFS('Plan prihoda za unos u SAP'!$G$3:$G$501,'Plan prihoda za unos u SAP'!$C$3:$C$501,"=573",'Plan prihoda za unos u SAP'!$K$3:$K$501,"=841")</f>
        <v>0</v>
      </c>
      <c r="Q39" s="189">
        <f>SUMIFS('Plan prihoda za unos u SAP'!$G$3:$G$501,'Plan prihoda za unos u SAP'!$C$3:$C$501,"=575",'Plan prihoda za unos u SAP'!$K$3:$K$501,"=841")</f>
        <v>0</v>
      </c>
      <c r="R39" s="189">
        <f>SUMIFS('Plan prihoda za unos u SAP'!$G$3:$G$501,'Plan prihoda za unos u SAP'!$C$3:$C$501,"=576",'Plan prihoda za unos u SAP'!$K$3:$K$501,"=841")</f>
        <v>0</v>
      </c>
      <c r="S39" s="189">
        <f>SUMIFS('Plan prihoda za unos u SAP'!$G$3:$G$501,'Plan prihoda za unos u SAP'!$C$3:$C$501,"=61",'Plan prihoda za unos u SAP'!$K$3:$K$501,"=841")</f>
        <v>0</v>
      </c>
      <c r="T39" s="189">
        <f>SUMIFS('Plan prihoda za unos u SAP'!$G$3:$G$501,'Plan prihoda za unos u SAP'!$C$3:$C$501,"=63",'Plan prihoda za unos u SAP'!$K$3:$K$501,"=841")</f>
        <v>0</v>
      </c>
      <c r="U39" s="189">
        <f>SUMIFS('Plan prihoda za unos u SAP'!$G$3:$G$501,'Plan prihoda za unos u SAP'!$C$3:$C$501,"=71",'Plan prihoda za unos u SAP'!$K$3:$K$501,"=841")</f>
        <v>0</v>
      </c>
      <c r="V39" s="189">
        <f>SUMIFS('Plan prihoda za unos u SAP'!$G$3:$G$501,'Plan prihoda za unos u SAP'!$C$3:$C$501,"=81",'Plan prihoda za unos u SAP'!$K$3:$K$501,"=841")</f>
        <v>0</v>
      </c>
      <c r="W39" s="189">
        <f>SUMIFS('Plan prihoda za unos u SAP'!$G$3:$G$501,'Plan prihoda za unos u SAP'!$C$3:$C$501,"=83",'Plan prihoda za unos u SAP'!$K$3:$K$501,"=841")</f>
        <v>0</v>
      </c>
    </row>
    <row r="40" spans="1:29" s="90" customFormat="1" ht="25.5">
      <c r="A40" s="90">
        <v>2021</v>
      </c>
      <c r="B40" s="101">
        <v>842</v>
      </c>
      <c r="C40" s="102" t="s">
        <v>324</v>
      </c>
      <c r="D40" s="70">
        <f>SUM(E40:W40)</f>
        <v>0</v>
      </c>
      <c r="E40" s="189">
        <f>SUMIFS('Plan prihoda za unos u SAP'!$G$3:$G$501,'Plan prihoda za unos u SAP'!$C$3:$C$501,"=11",'Plan prihoda za unos u SAP'!$K$3:$K$501,"=842")</f>
        <v>0</v>
      </c>
      <c r="F40" s="189">
        <f>SUMIFS('Plan prihoda za unos u SAP'!$G$3:$G$501,'Plan prihoda za unos u SAP'!$C$3:$C$501,"=12",'Plan prihoda za unos u SAP'!$K$3:$K$501,"=842")</f>
        <v>0</v>
      </c>
      <c r="G40" s="189">
        <f>SUMIFS('Plan prihoda za unos u SAP'!$G$3:$G$501,'Plan prihoda za unos u SAP'!$C$3:$C$501,"=31",'Plan prihoda za unos u SAP'!$K$3:$K$501,"=842")</f>
        <v>0</v>
      </c>
      <c r="H40" s="189">
        <f>SUMIFS('Plan prihoda za unos u SAP'!$G$3:$G$501,'Plan prihoda za unos u SAP'!$C$3:$C$501,"=41",'Plan prihoda za unos u SAP'!$K$3:$K$501,"=842")</f>
        <v>0</v>
      </c>
      <c r="I40" s="189">
        <f>SUMIFS('Plan prihoda za unos u SAP'!$G$3:$G$501,'Plan prihoda za unos u SAP'!$C$3:$C$501,"=43",'Plan prihoda za unos u SAP'!$K$3:$K$501,"=842")</f>
        <v>0</v>
      </c>
      <c r="J40" s="189">
        <f>SUMIFS('Plan prihoda za unos u SAP'!$G$3:$G$501,'Plan prihoda za unos u SAP'!$C$3:$C$501,"=51",'Plan prihoda za unos u SAP'!$K$3:$K$501,"=842")</f>
        <v>0</v>
      </c>
      <c r="K40" s="189">
        <f>SUMIFS('Plan prihoda za unos u SAP'!$G$3:$G$501,'Plan prihoda za unos u SAP'!$C$3:$C$501,"=52",'Plan prihoda za unos u SAP'!$K$3:$K$501,"=842")</f>
        <v>0</v>
      </c>
      <c r="L40" s="189">
        <f>SUMIFS('Plan prihoda za unos u SAP'!$G$3:$G$501,'Plan prihoda za unos u SAP'!$C$3:$C$501,"=552",'Plan prihoda za unos u SAP'!$K$3:$K$501,"=842")</f>
        <v>0</v>
      </c>
      <c r="M40" s="189">
        <f>SUMIFS('Plan prihoda za unos u SAP'!$G$3:$G$501,'Plan prihoda za unos u SAP'!$C$3:$C$501,"=559",'Plan prihoda za unos u SAP'!$K$3:$K$501,"=842")</f>
        <v>0</v>
      </c>
      <c r="N40" s="189">
        <f>SUMIFS('Plan prihoda za unos u SAP'!$G$3:$G$501,'Plan prihoda za unos u SAP'!$C$3:$C$501,"=561",'Plan prihoda za unos u SAP'!$K$3:$K$501,"=842")</f>
        <v>0</v>
      </c>
      <c r="O40" s="189">
        <f>SUMIFS('Plan prihoda za unos u SAP'!$G$3:$G$501,'Plan prihoda za unos u SAP'!$C$3:$C$501,"=563",'Plan prihoda za unos u SAP'!$K$3:$K$501,"=842")</f>
        <v>0</v>
      </c>
      <c r="P40" s="189">
        <f>SUMIFS('Plan prihoda za unos u SAP'!$G$3:$G$501,'Plan prihoda za unos u SAP'!$C$3:$C$501,"=573",'Plan prihoda za unos u SAP'!$K$3:$K$501,"=842")</f>
        <v>0</v>
      </c>
      <c r="Q40" s="189">
        <f>SUMIFS('Plan prihoda za unos u SAP'!$G$3:$G$501,'Plan prihoda za unos u SAP'!$C$3:$C$501,"=575",'Plan prihoda za unos u SAP'!$K$3:$K$501,"=842")</f>
        <v>0</v>
      </c>
      <c r="R40" s="189">
        <f>SUMIFS('Plan prihoda za unos u SAP'!$G$3:$G$501,'Plan prihoda za unos u SAP'!$C$3:$C$501,"=576",'Plan prihoda za unos u SAP'!$K$3:$K$501,"=842")</f>
        <v>0</v>
      </c>
      <c r="S40" s="189">
        <f>SUMIFS('Plan prihoda za unos u SAP'!$G$3:$G$501,'Plan prihoda za unos u SAP'!$C$3:$C$501,"=61",'Plan prihoda za unos u SAP'!$K$3:$K$501,"=842")</f>
        <v>0</v>
      </c>
      <c r="T40" s="189">
        <f>SUMIFS('Plan prihoda za unos u SAP'!$G$3:$G$501,'Plan prihoda za unos u SAP'!$C$3:$C$501,"=63",'Plan prihoda za unos u SAP'!$K$3:$K$501,"=842")</f>
        <v>0</v>
      </c>
      <c r="U40" s="189">
        <f>SUMIFS('Plan prihoda za unos u SAP'!$G$3:$G$501,'Plan prihoda za unos u SAP'!$C$3:$C$501,"=71",'Plan prihoda za unos u SAP'!$K$3:$K$501,"=842")</f>
        <v>0</v>
      </c>
      <c r="V40" s="189">
        <f>SUMIFS('Plan prihoda za unos u SAP'!$G$3:$G$501,'Plan prihoda za unos u SAP'!$C$3:$C$501,"=81",'Plan prihoda za unos u SAP'!$K$3:$K$501,"=842")</f>
        <v>0</v>
      </c>
      <c r="W40" s="189">
        <f>SUMIFS('Plan prihoda za unos u SAP'!$G$3:$G$501,'Plan prihoda za unos u SAP'!$C$3:$C$501,"=83",'Plan prihoda za unos u SAP'!$K$3:$K$501,"=842")</f>
        <v>0</v>
      </c>
    </row>
    <row r="41" spans="1:29" s="90" customFormat="1">
      <c r="A41" s="90">
        <v>2021</v>
      </c>
      <c r="B41" s="98" t="s">
        <v>315</v>
      </c>
      <c r="C41" s="99" t="s">
        <v>306</v>
      </c>
      <c r="D41" s="70">
        <f t="shared" si="1"/>
        <v>0</v>
      </c>
      <c r="E41" s="4">
        <f>SUM(E35:E40)</f>
        <v>0</v>
      </c>
      <c r="F41" s="4">
        <f t="shared" ref="F41:V41" si="8">SUM(F35:F40)</f>
        <v>0</v>
      </c>
      <c r="G41" s="4">
        <f t="shared" si="8"/>
        <v>0</v>
      </c>
      <c r="H41" s="4">
        <f>SUM(H35:H40)</f>
        <v>0</v>
      </c>
      <c r="I41" s="4">
        <f t="shared" si="8"/>
        <v>0</v>
      </c>
      <c r="J41" s="4">
        <f>SUM(J35:J40)</f>
        <v>0</v>
      </c>
      <c r="K41" s="4">
        <f t="shared" si="8"/>
        <v>0</v>
      </c>
      <c r="L41" s="4">
        <f>SUM(L35:L40)</f>
        <v>0</v>
      </c>
      <c r="M41" s="4">
        <f t="shared" si="8"/>
        <v>0</v>
      </c>
      <c r="N41" s="4">
        <f t="shared" si="8"/>
        <v>0</v>
      </c>
      <c r="O41" s="4">
        <f t="shared" si="8"/>
        <v>0</v>
      </c>
      <c r="P41" s="4">
        <f>SUM(P35:P40)</f>
        <v>0</v>
      </c>
      <c r="Q41" s="4">
        <f>SUM(Q35:Q40)</f>
        <v>0</v>
      </c>
      <c r="R41" s="4">
        <f>SUM(R35:R40)</f>
        <v>0</v>
      </c>
      <c r="S41" s="4">
        <f t="shared" si="8"/>
        <v>0</v>
      </c>
      <c r="T41" s="4">
        <f t="shared" si="8"/>
        <v>0</v>
      </c>
      <c r="U41" s="4">
        <f t="shared" si="8"/>
        <v>0</v>
      </c>
      <c r="V41" s="4">
        <f t="shared" si="8"/>
        <v>0</v>
      </c>
      <c r="W41" s="4">
        <f>SUM(W35:W40)</f>
        <v>0</v>
      </c>
    </row>
    <row r="42" spans="1:29" s="90" customFormat="1">
      <c r="A42" s="90">
        <v>2021</v>
      </c>
      <c r="B42" s="305" t="s">
        <v>316</v>
      </c>
      <c r="C42" s="305"/>
      <c r="D42" s="70">
        <f>SUM(E42:W42)</f>
        <v>39459027</v>
      </c>
      <c r="E42" s="71">
        <f>+E41+E34+E27</f>
        <v>24483630</v>
      </c>
      <c r="F42" s="71">
        <f t="shared" ref="F42:U42" si="9">+F41+F34+F27</f>
        <v>0</v>
      </c>
      <c r="G42" s="71">
        <f t="shared" si="9"/>
        <v>3535000</v>
      </c>
      <c r="H42" s="71">
        <f>+H41+H34+H27</f>
        <v>0</v>
      </c>
      <c r="I42" s="71">
        <f t="shared" si="9"/>
        <v>7073500</v>
      </c>
      <c r="J42" s="71">
        <f t="shared" si="9"/>
        <v>2186025</v>
      </c>
      <c r="K42" s="71">
        <f t="shared" si="9"/>
        <v>375144</v>
      </c>
      <c r="L42" s="71">
        <f>+L41+L34+L27</f>
        <v>0</v>
      </c>
      <c r="M42" s="71">
        <f>+M41+M34+M27</f>
        <v>0</v>
      </c>
      <c r="N42" s="71">
        <f t="shared" si="9"/>
        <v>1675728</v>
      </c>
      <c r="O42" s="71">
        <f t="shared" si="9"/>
        <v>0</v>
      </c>
      <c r="P42" s="71">
        <f>+P41+P34+P27</f>
        <v>0</v>
      </c>
      <c r="Q42" s="71">
        <f>+Q41+Q34+Q27</f>
        <v>0</v>
      </c>
      <c r="R42" s="71">
        <f>+R41+R34+R27</f>
        <v>0</v>
      </c>
      <c r="S42" s="71">
        <f t="shared" si="9"/>
        <v>130000</v>
      </c>
      <c r="T42" s="71">
        <f t="shared" si="9"/>
        <v>0</v>
      </c>
      <c r="U42" s="71">
        <f t="shared" si="9"/>
        <v>0</v>
      </c>
      <c r="V42" s="71">
        <f>+V41+V34+V27</f>
        <v>0</v>
      </c>
      <c r="W42" s="71">
        <f>+W41+W34+W27</f>
        <v>0</v>
      </c>
    </row>
    <row r="43" spans="1:29">
      <c r="B43" s="62"/>
      <c r="C43" s="62"/>
      <c r="D43" s="62"/>
      <c r="E43" s="62"/>
      <c r="F43" s="62"/>
      <c r="G43" s="62"/>
      <c r="H43" s="62"/>
      <c r="I43" s="103"/>
      <c r="J43" s="104"/>
      <c r="K43" s="104"/>
      <c r="L43" s="104"/>
      <c r="M43" s="104"/>
      <c r="N43" s="104"/>
      <c r="O43" s="104"/>
      <c r="P43" s="104"/>
      <c r="Q43" s="104"/>
      <c r="R43" s="104"/>
      <c r="V43" s="91"/>
      <c r="W43" s="91"/>
    </row>
    <row r="44" spans="1:29" s="90" customFormat="1" ht="15.75">
      <c r="B44" s="300" t="s">
        <v>269</v>
      </c>
      <c r="C44" s="301"/>
      <c r="D44" s="302" t="s">
        <v>783</v>
      </c>
      <c r="E44" s="303"/>
      <c r="F44" s="303"/>
      <c r="G44" s="303"/>
      <c r="H44" s="303"/>
      <c r="I44" s="303"/>
      <c r="J44" s="303"/>
      <c r="K44" s="303"/>
      <c r="L44" s="303"/>
      <c r="M44" s="303"/>
      <c r="N44" s="303"/>
      <c r="O44" s="303"/>
      <c r="P44" s="303"/>
      <c r="Q44" s="303"/>
      <c r="R44" s="303"/>
      <c r="S44" s="303"/>
      <c r="T44" s="303"/>
      <c r="U44" s="303"/>
      <c r="V44" s="304"/>
      <c r="W44" s="218"/>
    </row>
    <row r="45" spans="1:29" s="90" customFormat="1" ht="89.25">
      <c r="A45" s="92" t="s">
        <v>2139</v>
      </c>
      <c r="B45" s="92" t="s">
        <v>270</v>
      </c>
      <c r="C45" s="92" t="s">
        <v>271</v>
      </c>
      <c r="D45" s="184" t="s">
        <v>272</v>
      </c>
      <c r="E45" s="219" t="s">
        <v>353</v>
      </c>
      <c r="F45" s="219" t="s">
        <v>325</v>
      </c>
      <c r="G45" s="220" t="s">
        <v>19</v>
      </c>
      <c r="H45" s="220" t="s">
        <v>1560</v>
      </c>
      <c r="I45" s="220" t="s">
        <v>20</v>
      </c>
      <c r="J45" s="220" t="s">
        <v>273</v>
      </c>
      <c r="K45" s="220" t="s">
        <v>274</v>
      </c>
      <c r="L45" s="220" t="s">
        <v>1561</v>
      </c>
      <c r="M45" s="220" t="s">
        <v>275</v>
      </c>
      <c r="N45" s="220" t="s">
        <v>276</v>
      </c>
      <c r="O45" s="220" t="s">
        <v>277</v>
      </c>
      <c r="P45" s="220" t="s">
        <v>1562</v>
      </c>
      <c r="Q45" s="220" t="s">
        <v>1563</v>
      </c>
      <c r="R45" s="220" t="s">
        <v>2133</v>
      </c>
      <c r="S45" s="220" t="s">
        <v>278</v>
      </c>
      <c r="T45" s="93" t="s">
        <v>279</v>
      </c>
      <c r="U45" s="93" t="s">
        <v>317</v>
      </c>
      <c r="V45" s="93" t="s">
        <v>1533</v>
      </c>
      <c r="W45" s="93"/>
    </row>
    <row r="46" spans="1:29" s="90" customFormat="1">
      <c r="A46" s="90">
        <v>2022</v>
      </c>
      <c r="B46" s="95"/>
      <c r="C46" s="96" t="s">
        <v>11</v>
      </c>
      <c r="D46" s="70">
        <f>SUM(E46:W46)</f>
        <v>12833630</v>
      </c>
      <c r="E46" s="188">
        <f t="shared" ref="E46:W46" si="10">-E7</f>
        <v>0</v>
      </c>
      <c r="F46" s="188">
        <f t="shared" si="10"/>
        <v>0</v>
      </c>
      <c r="G46" s="188">
        <f t="shared" si="10"/>
        <v>5963530</v>
      </c>
      <c r="H46" s="188">
        <f t="shared" si="10"/>
        <v>0</v>
      </c>
      <c r="I46" s="188">
        <f t="shared" si="10"/>
        <v>4936863</v>
      </c>
      <c r="J46" s="188">
        <f t="shared" si="10"/>
        <v>846286</v>
      </c>
      <c r="K46" s="188">
        <f t="shared" si="10"/>
        <v>309063</v>
      </c>
      <c r="L46" s="188">
        <f t="shared" si="10"/>
        <v>0</v>
      </c>
      <c r="M46" s="188">
        <f t="shared" si="10"/>
        <v>0</v>
      </c>
      <c r="N46" s="188">
        <f t="shared" si="10"/>
        <v>777888</v>
      </c>
      <c r="O46" s="188">
        <f t="shared" si="10"/>
        <v>0</v>
      </c>
      <c r="P46" s="188">
        <f t="shared" si="10"/>
        <v>0</v>
      </c>
      <c r="Q46" s="188">
        <f t="shared" si="10"/>
        <v>0</v>
      </c>
      <c r="R46" s="188">
        <f t="shared" ref="R46" si="11">-R7</f>
        <v>0</v>
      </c>
      <c r="S46" s="188">
        <f t="shared" si="10"/>
        <v>0</v>
      </c>
      <c r="T46" s="188">
        <f t="shared" si="10"/>
        <v>0</v>
      </c>
      <c r="U46" s="188">
        <f t="shared" si="10"/>
        <v>0</v>
      </c>
      <c r="V46" s="188">
        <f t="shared" si="10"/>
        <v>0</v>
      </c>
      <c r="W46" s="188">
        <f t="shared" si="10"/>
        <v>0</v>
      </c>
      <c r="X46" s="94"/>
      <c r="Y46" s="94"/>
      <c r="Z46" s="94"/>
      <c r="AA46" s="94"/>
      <c r="AB46" s="94"/>
      <c r="AC46" s="94"/>
    </row>
    <row r="47" spans="1:29" s="90" customFormat="1">
      <c r="A47" s="90">
        <v>2022</v>
      </c>
      <c r="B47" s="114"/>
      <c r="C47" s="115" t="s">
        <v>349</v>
      </c>
      <c r="D47" s="70">
        <f t="shared" ref="D47:D80" si="12">SUM(E47:W47)</f>
        <v>39182445</v>
      </c>
      <c r="E47" s="14">
        <f t="shared" ref="E47:V47" si="13">+E68+E75</f>
        <v>25161690</v>
      </c>
      <c r="F47" s="14">
        <f t="shared" si="13"/>
        <v>0</v>
      </c>
      <c r="G47" s="14">
        <f t="shared" si="13"/>
        <v>4735000</v>
      </c>
      <c r="H47" s="14">
        <f>+H68+H75</f>
        <v>0</v>
      </c>
      <c r="I47" s="14">
        <f t="shared" si="13"/>
        <v>7184000</v>
      </c>
      <c r="J47" s="14">
        <f t="shared" si="13"/>
        <v>1172775</v>
      </c>
      <c r="K47" s="14">
        <f t="shared" si="13"/>
        <v>258939</v>
      </c>
      <c r="L47" s="14">
        <f>+L68+L75</f>
        <v>0</v>
      </c>
      <c r="M47" s="14">
        <f t="shared" si="13"/>
        <v>0</v>
      </c>
      <c r="N47" s="14">
        <f t="shared" si="13"/>
        <v>494041</v>
      </c>
      <c r="O47" s="14">
        <f t="shared" si="13"/>
        <v>0</v>
      </c>
      <c r="P47" s="14">
        <f>+P68+P75</f>
        <v>0</v>
      </c>
      <c r="Q47" s="14">
        <f>+Q68+Q75</f>
        <v>0</v>
      </c>
      <c r="R47" s="14">
        <f>+R68+R75</f>
        <v>0</v>
      </c>
      <c r="S47" s="14">
        <f t="shared" si="13"/>
        <v>176000</v>
      </c>
      <c r="T47" s="14">
        <f t="shared" si="13"/>
        <v>0</v>
      </c>
      <c r="U47" s="14">
        <f t="shared" si="13"/>
        <v>0</v>
      </c>
      <c r="V47" s="14">
        <f t="shared" si="13"/>
        <v>0</v>
      </c>
      <c r="W47" s="14">
        <f>+W68+W75</f>
        <v>0</v>
      </c>
    </row>
    <row r="48" spans="1:29" s="90" customFormat="1">
      <c r="A48" s="90">
        <v>2022</v>
      </c>
      <c r="B48" s="95"/>
      <c r="C48" s="96" t="s">
        <v>352</v>
      </c>
      <c r="D48" s="70">
        <f>SUM(E48:W48)</f>
        <v>-13846000</v>
      </c>
      <c r="E48" s="113"/>
      <c r="F48" s="113"/>
      <c r="G48" s="113">
        <v>-6183685</v>
      </c>
      <c r="H48" s="113"/>
      <c r="I48" s="113">
        <v>-5935078</v>
      </c>
      <c r="J48" s="113">
        <v>-846286</v>
      </c>
      <c r="K48" s="113">
        <v>-229063</v>
      </c>
      <c r="L48" s="113"/>
      <c r="M48" s="3"/>
      <c r="N48" s="113">
        <v>-651888</v>
      </c>
      <c r="O48" s="113"/>
      <c r="P48" s="113"/>
      <c r="Q48" s="113"/>
      <c r="R48" s="113"/>
      <c r="S48" s="113"/>
      <c r="T48" s="113"/>
      <c r="U48" s="113"/>
      <c r="V48" s="113"/>
      <c r="W48" s="113"/>
      <c r="X48" s="94"/>
      <c r="Y48" s="94"/>
      <c r="Z48" s="94"/>
      <c r="AA48" s="94"/>
      <c r="AB48" s="94"/>
      <c r="AC48" s="94"/>
    </row>
    <row r="49" spans="1:29" s="90" customFormat="1">
      <c r="A49" s="90">
        <v>2022</v>
      </c>
      <c r="B49" s="114"/>
      <c r="C49" s="115" t="s">
        <v>280</v>
      </c>
      <c r="D49" s="70">
        <f t="shared" si="12"/>
        <v>38170075</v>
      </c>
      <c r="E49" s="14">
        <f>+E46+E47+E48</f>
        <v>25161690</v>
      </c>
      <c r="F49" s="14">
        <f t="shared" ref="F49:V49" si="14">+F46+F47+F48</f>
        <v>0</v>
      </c>
      <c r="G49" s="14">
        <f t="shared" si="14"/>
        <v>4514845</v>
      </c>
      <c r="H49" s="14">
        <f>+H46+H47+H48</f>
        <v>0</v>
      </c>
      <c r="I49" s="14">
        <f t="shared" si="14"/>
        <v>6185785</v>
      </c>
      <c r="J49" s="14">
        <f t="shared" si="14"/>
        <v>1172775</v>
      </c>
      <c r="K49" s="14">
        <f t="shared" si="14"/>
        <v>338939</v>
      </c>
      <c r="L49" s="14">
        <f>+L46+L47+L48</f>
        <v>0</v>
      </c>
      <c r="M49" s="14">
        <f t="shared" si="14"/>
        <v>0</v>
      </c>
      <c r="N49" s="14">
        <f t="shared" si="14"/>
        <v>620041</v>
      </c>
      <c r="O49" s="14">
        <f t="shared" si="14"/>
        <v>0</v>
      </c>
      <c r="P49" s="14">
        <f>+P46+P47+P48</f>
        <v>0</v>
      </c>
      <c r="Q49" s="14">
        <f>+Q46+Q47+Q48</f>
        <v>0</v>
      </c>
      <c r="R49" s="14">
        <f>+R46+R47+R48</f>
        <v>0</v>
      </c>
      <c r="S49" s="14">
        <f t="shared" si="14"/>
        <v>176000</v>
      </c>
      <c r="T49" s="14">
        <f t="shared" si="14"/>
        <v>0</v>
      </c>
      <c r="U49" s="14">
        <f t="shared" si="14"/>
        <v>0</v>
      </c>
      <c r="V49" s="14">
        <f t="shared" si="14"/>
        <v>0</v>
      </c>
      <c r="W49" s="14">
        <f>+W46+W47+W48</f>
        <v>0</v>
      </c>
    </row>
    <row r="50" spans="1:29" s="90" customFormat="1">
      <c r="A50" s="90">
        <v>2022</v>
      </c>
      <c r="B50" s="111"/>
      <c r="C50" s="112" t="s">
        <v>235</v>
      </c>
      <c r="D50" s="70">
        <f t="shared" si="12"/>
        <v>38170074.899999999</v>
      </c>
      <c r="E50" s="136">
        <f>+'PLAN RASHODA I IZDATAKA'!E71</f>
        <v>25161690</v>
      </c>
      <c r="F50" s="136">
        <f>+'PLAN RASHODA I IZDATAKA'!F71</f>
        <v>0</v>
      </c>
      <c r="G50" s="136">
        <f>+'PLAN RASHODA I IZDATAKA'!G71</f>
        <v>4514845</v>
      </c>
      <c r="H50" s="136">
        <f>+'PLAN RASHODA I IZDATAKA'!H71</f>
        <v>0</v>
      </c>
      <c r="I50" s="136">
        <f>+'PLAN RASHODA I IZDATAKA'!I71</f>
        <v>6185784.9000000004</v>
      </c>
      <c r="J50" s="136">
        <f>+'PLAN RASHODA I IZDATAKA'!J71</f>
        <v>1172775</v>
      </c>
      <c r="K50" s="136">
        <f>+'PLAN RASHODA I IZDATAKA'!K71</f>
        <v>338939</v>
      </c>
      <c r="L50" s="136">
        <f>+'PLAN RASHODA I IZDATAKA'!L71</f>
        <v>0</v>
      </c>
      <c r="M50" s="136">
        <f>+'PLAN RASHODA I IZDATAKA'!M71</f>
        <v>0</v>
      </c>
      <c r="N50" s="136">
        <f>+'PLAN RASHODA I IZDATAKA'!N71</f>
        <v>620041</v>
      </c>
      <c r="O50" s="136">
        <f>+'PLAN RASHODA I IZDATAKA'!O71</f>
        <v>0</v>
      </c>
      <c r="P50" s="136">
        <f>+'PLAN RASHODA I IZDATAKA'!P71</f>
        <v>0</v>
      </c>
      <c r="Q50" s="136">
        <f>+'PLAN RASHODA I IZDATAKA'!Q71</f>
        <v>0</v>
      </c>
      <c r="R50" s="136">
        <f>+'PLAN RASHODA I IZDATAKA'!R71</f>
        <v>0</v>
      </c>
      <c r="S50" s="136">
        <f>+'PLAN RASHODA I IZDATAKA'!S71</f>
        <v>176000</v>
      </c>
      <c r="T50" s="136">
        <f>+'PLAN RASHODA I IZDATAKA'!T71</f>
        <v>0</v>
      </c>
      <c r="U50" s="136">
        <f>+'PLAN RASHODA I IZDATAKA'!U71</f>
        <v>0</v>
      </c>
      <c r="V50" s="136">
        <f>+'PLAN RASHODA I IZDATAKA'!V71</f>
        <v>0</v>
      </c>
      <c r="W50" s="136">
        <f>+'PLAN RASHODA I IZDATAKA'!W71</f>
        <v>0</v>
      </c>
      <c r="X50" s="94"/>
      <c r="Y50" s="94"/>
      <c r="Z50" s="94"/>
      <c r="AA50" s="94"/>
      <c r="AB50" s="94"/>
      <c r="AC50" s="94"/>
    </row>
    <row r="51" spans="1:29" s="90" customFormat="1" ht="13.5" thickBot="1">
      <c r="A51" s="90">
        <v>2022</v>
      </c>
      <c r="B51" s="116"/>
      <c r="C51" s="117" t="s">
        <v>351</v>
      </c>
      <c r="D51" s="69">
        <f t="shared" si="12"/>
        <v>9.999999962747097E-2</v>
      </c>
      <c r="E51" s="118">
        <f>+E49-E50</f>
        <v>0</v>
      </c>
      <c r="F51" s="118">
        <f t="shared" ref="F51:V51" si="15">+F49-F50</f>
        <v>0</v>
      </c>
      <c r="G51" s="118">
        <f t="shared" si="15"/>
        <v>0</v>
      </c>
      <c r="H51" s="118">
        <f>+H49-H50</f>
        <v>0</v>
      </c>
      <c r="I51" s="118">
        <f t="shared" si="15"/>
        <v>9.999999962747097E-2</v>
      </c>
      <c r="J51" s="118">
        <f t="shared" si="15"/>
        <v>0</v>
      </c>
      <c r="K51" s="118">
        <f t="shared" si="15"/>
        <v>0</v>
      </c>
      <c r="L51" s="118">
        <f>+L49-L50</f>
        <v>0</v>
      </c>
      <c r="M51" s="118">
        <f t="shared" si="15"/>
        <v>0</v>
      </c>
      <c r="N51" s="118">
        <f t="shared" si="15"/>
        <v>0</v>
      </c>
      <c r="O51" s="118">
        <f t="shared" si="15"/>
        <v>0</v>
      </c>
      <c r="P51" s="118">
        <f>+P49-P50</f>
        <v>0</v>
      </c>
      <c r="Q51" s="118">
        <f>+Q49-Q50</f>
        <v>0</v>
      </c>
      <c r="R51" s="118">
        <f>+R49-R50</f>
        <v>0</v>
      </c>
      <c r="S51" s="118">
        <f t="shared" si="15"/>
        <v>0</v>
      </c>
      <c r="T51" s="118">
        <f t="shared" si="15"/>
        <v>0</v>
      </c>
      <c r="U51" s="118">
        <f t="shared" si="15"/>
        <v>0</v>
      </c>
      <c r="V51" s="118">
        <f t="shared" si="15"/>
        <v>0</v>
      </c>
      <c r="W51" s="118">
        <f>+W49-W50</f>
        <v>0</v>
      </c>
    </row>
    <row r="52" spans="1:29" s="90" customFormat="1">
      <c r="A52" s="90">
        <v>2022</v>
      </c>
      <c r="B52" s="97" t="s">
        <v>1565</v>
      </c>
      <c r="C52" s="110" t="s">
        <v>1566</v>
      </c>
      <c r="D52" s="70">
        <f>SUM(E52:W52)</f>
        <v>0</v>
      </c>
      <c r="E52" s="189">
        <f>SUMIFS('Plan prihoda za unos u SAP'!$H$3:$H$501,'Plan prihoda za unos u SAP'!$C$3:$C$501,"=11",'Plan prihoda za unos u SAP'!$K$3:$K$501,"=614")</f>
        <v>0</v>
      </c>
      <c r="F52" s="189">
        <f>SUMIFS('Plan prihoda za unos u SAP'!$H$3:$H$501,'Plan prihoda za unos u SAP'!$C$3:$C$501,"=12",'Plan prihoda za unos u SAP'!$K$3:$K$501,"=614")</f>
        <v>0</v>
      </c>
      <c r="G52" s="189">
        <f>SUMIFS('Plan prihoda za unos u SAP'!$H$3:$H$501,'Plan prihoda za unos u SAP'!$C$3:$C$501,"=31",'Plan prihoda za unos u SAP'!$K$3:$K$501,"=614")</f>
        <v>0</v>
      </c>
      <c r="H52" s="189">
        <f>SUMIFS('Plan prihoda za unos u SAP'!$H$3:$H$501,'Plan prihoda za unos u SAP'!$C$3:$C$501,"=41",'Plan prihoda za unos u SAP'!$K$3:$K$501,"=614")</f>
        <v>0</v>
      </c>
      <c r="I52" s="189">
        <f>SUMIFS('Plan prihoda za unos u SAP'!$H$3:$H$501,'Plan prihoda za unos u SAP'!$C$3:$C$501,"=43",'Plan prihoda za unos u SAP'!$K$3:$K$501,"=614")</f>
        <v>0</v>
      </c>
      <c r="J52" s="189">
        <f>SUMIFS('Plan prihoda za unos u SAP'!$H$3:$H$501,'Plan prihoda za unos u SAP'!$C$3:$C$501,"=51",'Plan prihoda za unos u SAP'!$K$3:$K$501,"=614")</f>
        <v>0</v>
      </c>
      <c r="K52" s="189">
        <f>SUMIFS('Plan prihoda za unos u SAP'!$H$3:$H$501,'Plan prihoda za unos u SAP'!$C$3:$C$501,"=52",'Plan prihoda za unos u SAP'!$K$3:$K$501,"=614")</f>
        <v>0</v>
      </c>
      <c r="L52" s="189">
        <f>SUMIFS('Plan prihoda za unos u SAP'!$H$3:$H$501,'Plan prihoda za unos u SAP'!$C$3:$C$501,"=552",'Plan prihoda za unos u SAP'!$K$3:$K$501,"=614")</f>
        <v>0</v>
      </c>
      <c r="M52" s="189">
        <f>SUMIFS('Plan prihoda za unos u SAP'!$H$3:$H$501,'Plan prihoda za unos u SAP'!$C$3:$C$501,"=559",'Plan prihoda za unos u SAP'!$K$3:$K$501,"=614")</f>
        <v>0</v>
      </c>
      <c r="N52" s="189">
        <f>SUMIFS('Plan prihoda za unos u SAP'!$H$3:$H$501,'Plan prihoda za unos u SAP'!$C$3:$C$501,"=561",'Plan prihoda za unos u SAP'!$K$3:$K$501,"=614")</f>
        <v>0</v>
      </c>
      <c r="O52" s="189">
        <f>SUMIFS('Plan prihoda za unos u SAP'!$H$3:$H$501,'Plan prihoda za unos u SAP'!$C$3:$C$501,"=563",'Plan prihoda za unos u SAP'!$K$3:$K$501,"=614")</f>
        <v>0</v>
      </c>
      <c r="P52" s="189">
        <f>SUMIFS('Plan prihoda za unos u SAP'!$H$3:$H$501,'Plan prihoda za unos u SAP'!$C$3:$C$501,"=573",'Plan prihoda za unos u SAP'!$K$3:$K$501,"=614")</f>
        <v>0</v>
      </c>
      <c r="Q52" s="189">
        <f>SUMIFS('Plan prihoda za unos u SAP'!$H$3:$H$501,'Plan prihoda za unos u SAP'!$C$3:$C$501,"=575",'Plan prihoda za unos u SAP'!$K$3:$K$501,"=614")</f>
        <v>0</v>
      </c>
      <c r="R52" s="189">
        <f>SUMIFS('Plan prihoda za unos u SAP'!$H$3:$H$501,'Plan prihoda za unos u SAP'!$C$3:$C$501,"=576",'Plan prihoda za unos u SAP'!$K$3:$K$501,"=614")</f>
        <v>0</v>
      </c>
      <c r="S52" s="189">
        <f>SUMIFS('Plan prihoda za unos u SAP'!$H$3:$H$501,'Plan prihoda za unos u SAP'!$C$3:$C$501,"=61",'Plan prihoda za unos u SAP'!$K$3:$K$501,"=614")</f>
        <v>0</v>
      </c>
      <c r="T52" s="189">
        <f>SUMIFS('Plan prihoda za unos u SAP'!$H$3:$H$501,'Plan prihoda za unos u SAP'!$C$3:$C$501,"=63",'Plan prihoda za unos u SAP'!$K$3:$K$501,"=614")</f>
        <v>0</v>
      </c>
      <c r="U52" s="189">
        <f>SUMIFS('Plan prihoda za unos u SAP'!$H$3:$H$501,'Plan prihoda za unos u SAP'!$C$3:$C$501,"=71",'Plan prihoda za unos u SAP'!$K$3:$K$501,"=614")</f>
        <v>0</v>
      </c>
      <c r="V52" s="189">
        <f>SUMIFS('Plan prihoda za unos u SAP'!$H$3:$H$501,'Plan prihoda za unos u SAP'!$C$3:$C$501,"=81",'Plan prihoda za unos u SAP'!$K$3:$K$501,"=614")</f>
        <v>0</v>
      </c>
      <c r="W52" s="189">
        <f>SUMIFS('Plan prihoda za unos u SAP'!$H$3:$H$501,'Plan prihoda za unos u SAP'!$C$3:$C$501,"=83",'Plan prihoda za unos u SAP'!$K$3:$K$501,"=614")</f>
        <v>0</v>
      </c>
    </row>
    <row r="53" spans="1:29" s="90" customFormat="1">
      <c r="A53" s="90">
        <v>2022</v>
      </c>
      <c r="B53" s="97" t="s">
        <v>281</v>
      </c>
      <c r="C53" s="96" t="s">
        <v>282</v>
      </c>
      <c r="D53" s="70">
        <f t="shared" si="12"/>
        <v>0</v>
      </c>
      <c r="E53" s="189">
        <f>SUMIFS('Plan prihoda za unos u SAP'!$H$3:$H$501,'Plan prihoda za unos u SAP'!$C$3:$C$501,"=11",'Plan prihoda za unos u SAP'!$K$3:$K$501,"=631")</f>
        <v>0</v>
      </c>
      <c r="F53" s="189">
        <f>SUMIFS('Plan prihoda za unos u SAP'!$H$3:$H$501,'Plan prihoda za unos u SAP'!$C$3:$C$501,"=12",'Plan prihoda za unos u SAP'!$K$3:$K$501,"=631")</f>
        <v>0</v>
      </c>
      <c r="G53" s="189">
        <f>SUMIFS('Plan prihoda za unos u SAP'!$H$3:$H$501,'Plan prihoda za unos u SAP'!$C$3:$C$501,"=31",'Plan prihoda za unos u SAP'!$K$3:$K$501,"=631")</f>
        <v>0</v>
      </c>
      <c r="H53" s="189">
        <f>SUMIFS('Plan prihoda za unos u SAP'!$H$3:$H$501,'Plan prihoda za unos u SAP'!$C$3:$C$501,"=41",'Plan prihoda za unos u SAP'!$K$3:$K$501,"=631")</f>
        <v>0</v>
      </c>
      <c r="I53" s="189">
        <f>SUMIFS('Plan prihoda za unos u SAP'!$H$3:$H$501,'Plan prihoda za unos u SAP'!$C$3:$C$501,"=43",'Plan prihoda za unos u SAP'!$K$3:$K$501,"=631")</f>
        <v>0</v>
      </c>
      <c r="J53" s="189">
        <f>SUMIFS('Plan prihoda za unos u SAP'!$H$3:$H$501,'Plan prihoda za unos u SAP'!$C$3:$C$501,"=51",'Plan prihoda za unos u SAP'!$K$3:$K$501,"=631")</f>
        <v>0</v>
      </c>
      <c r="K53" s="189">
        <f>SUMIFS('Plan prihoda za unos u SAP'!$H$3:$H$501,'Plan prihoda za unos u SAP'!$C$3:$C$501,"=52",'Plan prihoda za unos u SAP'!$K$3:$K$501,"=631")</f>
        <v>0</v>
      </c>
      <c r="L53" s="189">
        <f>SUMIFS('Plan prihoda za unos u SAP'!$H$3:$H$501,'Plan prihoda za unos u SAP'!$C$3:$C$501,"=552",'Plan prihoda za unos u SAP'!$K$3:$K$501,"=631")</f>
        <v>0</v>
      </c>
      <c r="M53" s="189">
        <f>SUMIFS('Plan prihoda za unos u SAP'!$H$3:$H$501,'Plan prihoda za unos u SAP'!$C$3:$C$501,"=559",'Plan prihoda za unos u SAP'!$K$3:$K$501,"=631")</f>
        <v>0</v>
      </c>
      <c r="N53" s="189">
        <f>SUMIFS('Plan prihoda za unos u SAP'!$H$3:$H$501,'Plan prihoda za unos u SAP'!$C$3:$C$501,"=561",'Plan prihoda za unos u SAP'!$K$3:$K$501,"=631")</f>
        <v>0</v>
      </c>
      <c r="O53" s="189">
        <f>SUMIFS('Plan prihoda za unos u SAP'!$H$3:$H$501,'Plan prihoda za unos u SAP'!$C$3:$C$501,"=563",'Plan prihoda za unos u SAP'!$K$3:$K$501,"=631")</f>
        <v>0</v>
      </c>
      <c r="P53" s="189">
        <f>SUMIFS('Plan prihoda za unos u SAP'!$H$3:$H$501,'Plan prihoda za unos u SAP'!$C$3:$C$501,"=573",'Plan prihoda za unos u SAP'!$K$3:$K$501,"=631")</f>
        <v>0</v>
      </c>
      <c r="Q53" s="189">
        <f>SUMIFS('Plan prihoda za unos u SAP'!$H$3:$H$501,'Plan prihoda za unos u SAP'!$C$3:$C$501,"=575",'Plan prihoda za unos u SAP'!$K$3:$K$501,"=631")</f>
        <v>0</v>
      </c>
      <c r="R53" s="189">
        <f>SUMIFS('Plan prihoda za unos u SAP'!$H$3:$H$501,'Plan prihoda za unos u SAP'!$C$3:$C$501,"=576",'Plan prihoda za unos u SAP'!$K$3:$K$501,"=631")</f>
        <v>0</v>
      </c>
      <c r="S53" s="189">
        <f>SUMIFS('Plan prihoda za unos u SAP'!$H$3:$H$501,'Plan prihoda za unos u SAP'!$C$3:$C$501,"=61",'Plan prihoda za unos u SAP'!$K$3:$K$501,"=631")</f>
        <v>0</v>
      </c>
      <c r="T53" s="189">
        <f>SUMIFS('Plan prihoda za unos u SAP'!$H$3:$H$501,'Plan prihoda za unos u SAP'!$C$3:$C$501,"=63",'Plan prihoda za unos u SAP'!$K$3:$K$501,"=631")</f>
        <v>0</v>
      </c>
      <c r="U53" s="189">
        <f>SUMIFS('Plan prihoda za unos u SAP'!$H$3:$H$501,'Plan prihoda za unos u SAP'!$C$3:$C$501,"=71",'Plan prihoda za unos u SAP'!$K$3:$K$501,"=631")</f>
        <v>0</v>
      </c>
      <c r="V53" s="189">
        <f>SUMIFS('Plan prihoda za unos u SAP'!$H$3:$H$501,'Plan prihoda za unos u SAP'!$C$3:$C$501,"=81",'Plan prihoda za unos u SAP'!$K$3:$K$501,"=631")</f>
        <v>0</v>
      </c>
      <c r="W53" s="189">
        <f>SUMIFS('Plan prihoda za unos u SAP'!$H$3:$H$501,'Plan prihoda za unos u SAP'!$C$3:$C$501,"=83",'Plan prihoda za unos u SAP'!$K$3:$K$501,"=631")</f>
        <v>0</v>
      </c>
    </row>
    <row r="54" spans="1:29" s="90" customFormat="1">
      <c r="A54" s="90">
        <v>2022</v>
      </c>
      <c r="B54" s="95" t="s">
        <v>283</v>
      </c>
      <c r="C54" s="96" t="s">
        <v>284</v>
      </c>
      <c r="D54" s="70">
        <f t="shared" si="12"/>
        <v>1666816</v>
      </c>
      <c r="E54" s="189">
        <f>SUMIFS('Plan prihoda za unos u SAP'!$H$3:$H$501,'Plan prihoda za unos u SAP'!$C$3:$C$501,"=11",'Plan prihoda za unos u SAP'!$K$3:$K$501,"=632")</f>
        <v>0</v>
      </c>
      <c r="F54" s="189">
        <f>SUMIFS('Plan prihoda za unos u SAP'!$H$3:$H$501,'Plan prihoda za unos u SAP'!$C$3:$C$501,"=12",'Plan prihoda za unos u SAP'!$K$3:$K$501,"=632")</f>
        <v>0</v>
      </c>
      <c r="G54" s="189">
        <f>SUMIFS('Plan prihoda za unos u SAP'!$H$3:$H$501,'Plan prihoda za unos u SAP'!$C$3:$C$501,"=31",'Plan prihoda za unos u SAP'!$K$3:$K$501,"=632")</f>
        <v>0</v>
      </c>
      <c r="H54" s="189">
        <f>SUMIFS('Plan prihoda za unos u SAP'!$H$3:$H$501,'Plan prihoda za unos u SAP'!$C$3:$C$501,"=41",'Plan prihoda za unos u SAP'!$K$3:$K$501,"=632")</f>
        <v>0</v>
      </c>
      <c r="I54" s="189">
        <f>SUMIFS('Plan prihoda za unos u SAP'!$H$3:$H$501,'Plan prihoda za unos u SAP'!$C$3:$C$501,"=43",'Plan prihoda za unos u SAP'!$K$3:$K$501,"=632")</f>
        <v>0</v>
      </c>
      <c r="J54" s="189">
        <f>SUMIFS('Plan prihoda za unos u SAP'!$H$3:$H$501,'Plan prihoda za unos u SAP'!$C$3:$C$501,"=51",'Plan prihoda za unos u SAP'!$K$3:$K$501,"=632")</f>
        <v>1172775</v>
      </c>
      <c r="K54" s="189">
        <f>SUMIFS('Plan prihoda za unos u SAP'!$H$3:$H$501,'Plan prihoda za unos u SAP'!$C$3:$C$501,"=52",'Plan prihoda za unos u SAP'!$K$3:$K$501,"=632")</f>
        <v>0</v>
      </c>
      <c r="L54" s="189">
        <f>SUMIFS('Plan prihoda za unos u SAP'!$H$3:$H$501,'Plan prihoda za unos u SAP'!$C$3:$C$501,"=552",'Plan prihoda za unos u SAP'!$K$3:$K$501,"=632")</f>
        <v>0</v>
      </c>
      <c r="M54" s="189">
        <f>SUMIFS('Plan prihoda za unos u SAP'!$H$3:$H$501,'Plan prihoda za unos u SAP'!$C$3:$C$501,"=559",'Plan prihoda za unos u SAP'!$K$3:$K$501,"=632")</f>
        <v>0</v>
      </c>
      <c r="N54" s="189">
        <f>SUMIFS('Plan prihoda za unos u SAP'!$H$3:$H$501,'Plan prihoda za unos u SAP'!$C$3:$C$501,"=561",'Plan prihoda za unos u SAP'!$K$3:$K$501,"=632")</f>
        <v>494041</v>
      </c>
      <c r="O54" s="189">
        <f>SUMIFS('Plan prihoda za unos u SAP'!$H$3:$H$501,'Plan prihoda za unos u SAP'!$C$3:$C$501,"=563",'Plan prihoda za unos u SAP'!$K$3:$K$501,"=632")</f>
        <v>0</v>
      </c>
      <c r="P54" s="189">
        <f>SUMIFS('Plan prihoda za unos u SAP'!$H$3:$H$501,'Plan prihoda za unos u SAP'!$C$3:$C$501,"=573",'Plan prihoda za unos u SAP'!$K$3:$K$501,"=632")</f>
        <v>0</v>
      </c>
      <c r="Q54" s="189">
        <f>SUMIFS('Plan prihoda za unos u SAP'!$H$3:$H$501,'Plan prihoda za unos u SAP'!$C$3:$C$501,"=575",'Plan prihoda za unos u SAP'!$K$3:$K$501,"=632")</f>
        <v>0</v>
      </c>
      <c r="R54" s="189">
        <f>SUMIFS('Plan prihoda za unos u SAP'!$H$3:$H$501,'Plan prihoda za unos u SAP'!$C$3:$C$501,"=576",'Plan prihoda za unos u SAP'!$K$3:$K$501,"=632")</f>
        <v>0</v>
      </c>
      <c r="S54" s="189">
        <f>SUMIFS('Plan prihoda za unos u SAP'!$H$3:$H$501,'Plan prihoda za unos u SAP'!$C$3:$C$501,"=61",'Plan prihoda za unos u SAP'!$K$3:$K$501,"=632")</f>
        <v>0</v>
      </c>
      <c r="T54" s="189">
        <f>SUMIFS('Plan prihoda za unos u SAP'!$H$3:$H$501,'Plan prihoda za unos u SAP'!$C$3:$C$501,"=63",'Plan prihoda za unos u SAP'!$K$3:$K$501,"=632")</f>
        <v>0</v>
      </c>
      <c r="U54" s="189">
        <f>SUMIFS('Plan prihoda za unos u SAP'!$H$3:$H$501,'Plan prihoda za unos u SAP'!$C$3:$C$501,"=71",'Plan prihoda za unos u SAP'!$K$3:$K$501,"=632")</f>
        <v>0</v>
      </c>
      <c r="V54" s="189">
        <f>SUMIFS('Plan prihoda za unos u SAP'!$H$3:$H$501,'Plan prihoda za unos u SAP'!$C$3:$C$501,"=81",'Plan prihoda za unos u SAP'!$K$3:$K$501,"=632")</f>
        <v>0</v>
      </c>
      <c r="W54" s="189">
        <f>SUMIFS('Plan prihoda za unos u SAP'!$H$3:$H$501,'Plan prihoda za unos u SAP'!$C$3:$C$501,"=83",'Plan prihoda za unos u SAP'!$K$3:$K$501,"=632")</f>
        <v>0</v>
      </c>
    </row>
    <row r="55" spans="1:29" s="90" customFormat="1">
      <c r="A55" s="90">
        <v>2022</v>
      </c>
      <c r="B55" s="95" t="s">
        <v>285</v>
      </c>
      <c r="C55" s="96" t="s">
        <v>286</v>
      </c>
      <c r="D55" s="70">
        <f t="shared" si="12"/>
        <v>0</v>
      </c>
      <c r="E55" s="189">
        <f>SUMIFS('Plan prihoda za unos u SAP'!$H$3:$H$501,'Plan prihoda za unos u SAP'!$C$3:$C$501,"=11",'Plan prihoda za unos u SAP'!$K$3:$K$501,"=634")</f>
        <v>0</v>
      </c>
      <c r="F55" s="189">
        <f>SUMIFS('Plan prihoda za unos u SAP'!$H$3:$H$501,'Plan prihoda za unos u SAP'!$C$3:$C$501,"=12",'Plan prihoda za unos u SAP'!$K$3:$K$501,"=634")</f>
        <v>0</v>
      </c>
      <c r="G55" s="189">
        <f>SUMIFS('Plan prihoda za unos u SAP'!$H$3:$H$501,'Plan prihoda za unos u SAP'!$C$3:$C$501,"=31",'Plan prihoda za unos u SAP'!$K$3:$K$501,"=634")</f>
        <v>0</v>
      </c>
      <c r="H55" s="189">
        <f>SUMIFS('Plan prihoda za unos u SAP'!$H$3:$H$501,'Plan prihoda za unos u SAP'!$C$3:$C$501,"=41",'Plan prihoda za unos u SAP'!$K$3:$K$501,"=634")</f>
        <v>0</v>
      </c>
      <c r="I55" s="189">
        <f>SUMIFS('Plan prihoda za unos u SAP'!$H$3:$H$501,'Plan prihoda za unos u SAP'!$C$3:$C$501,"=43",'Plan prihoda za unos u SAP'!$K$3:$K$501,"=634")</f>
        <v>0</v>
      </c>
      <c r="J55" s="189">
        <f>SUMIFS('Plan prihoda za unos u SAP'!$H$3:$H$501,'Plan prihoda za unos u SAP'!$C$3:$C$501,"=51",'Plan prihoda za unos u SAP'!$K$3:$K$501,"=634")</f>
        <v>0</v>
      </c>
      <c r="K55" s="189">
        <f>SUMIFS('Plan prihoda za unos u SAP'!$H$3:$H$501,'Plan prihoda za unos u SAP'!$C$3:$C$501,"=52",'Plan prihoda za unos u SAP'!$K$3:$K$501,"=634")</f>
        <v>0</v>
      </c>
      <c r="L55" s="189">
        <f>SUMIFS('Plan prihoda za unos u SAP'!$H$3:$H$501,'Plan prihoda za unos u SAP'!$C$3:$C$501,"=552",'Plan prihoda za unos u SAP'!$K$3:$K$501,"=634")</f>
        <v>0</v>
      </c>
      <c r="M55" s="189">
        <f>SUMIFS('Plan prihoda za unos u SAP'!$H$3:$H$501,'Plan prihoda za unos u SAP'!$C$3:$C$501,"=559",'Plan prihoda za unos u SAP'!$K$3:$K$501,"=634")</f>
        <v>0</v>
      </c>
      <c r="N55" s="189">
        <f>SUMIFS('Plan prihoda za unos u SAP'!$H$3:$H$501,'Plan prihoda za unos u SAP'!$C$3:$C$501,"=561",'Plan prihoda za unos u SAP'!$K$3:$K$501,"=634")</f>
        <v>0</v>
      </c>
      <c r="O55" s="189">
        <f>SUMIFS('Plan prihoda za unos u SAP'!$H$3:$H$501,'Plan prihoda za unos u SAP'!$C$3:$C$501,"=563",'Plan prihoda za unos u SAP'!$K$3:$K$501,"=634")</f>
        <v>0</v>
      </c>
      <c r="P55" s="189">
        <f>SUMIFS('Plan prihoda za unos u SAP'!$H$3:$H$501,'Plan prihoda za unos u SAP'!$C$3:$C$501,"=573",'Plan prihoda za unos u SAP'!$K$3:$K$501,"=634")</f>
        <v>0</v>
      </c>
      <c r="Q55" s="189">
        <f>SUMIFS('Plan prihoda za unos u SAP'!$H$3:$H$501,'Plan prihoda za unos u SAP'!$C$3:$C$501,"=575",'Plan prihoda za unos u SAP'!$K$3:$K$501,"=634")</f>
        <v>0</v>
      </c>
      <c r="R55" s="189">
        <f>SUMIFS('Plan prihoda za unos u SAP'!$H$3:$H$501,'Plan prihoda za unos u SAP'!$C$3:$C$501,"=576",'Plan prihoda za unos u SAP'!$K$3:$K$501,"=634")</f>
        <v>0</v>
      </c>
      <c r="S55" s="189">
        <f>SUMIFS('Plan prihoda za unos u SAP'!$H$3:$H$501,'Plan prihoda za unos u SAP'!$C$3:$C$501,"=61",'Plan prihoda za unos u SAP'!$K$3:$K$501,"=634")</f>
        <v>0</v>
      </c>
      <c r="T55" s="189">
        <f>SUMIFS('Plan prihoda za unos u SAP'!$H$3:$H$501,'Plan prihoda za unos u SAP'!$C$3:$C$501,"=63",'Plan prihoda za unos u SAP'!$K$3:$K$501,"=634")</f>
        <v>0</v>
      </c>
      <c r="U55" s="189">
        <f>SUMIFS('Plan prihoda za unos u SAP'!$H$3:$H$501,'Plan prihoda za unos u SAP'!$C$3:$C$501,"=71",'Plan prihoda za unos u SAP'!$K$3:$K$501,"=634")</f>
        <v>0</v>
      </c>
      <c r="V55" s="189">
        <f>SUMIFS('Plan prihoda za unos u SAP'!$H$3:$H$501,'Plan prihoda za unos u SAP'!$C$3:$C$501,"=81",'Plan prihoda za unos u SAP'!$K$3:$K$501,"=634")</f>
        <v>0</v>
      </c>
      <c r="W55" s="189">
        <f>SUMIFS('Plan prihoda za unos u SAP'!$H$3:$H$501,'Plan prihoda za unos u SAP'!$C$3:$C$501,"=83",'Plan prihoda za unos u SAP'!$K$3:$K$501,"=634")</f>
        <v>0</v>
      </c>
    </row>
    <row r="56" spans="1:29" s="90" customFormat="1">
      <c r="A56" s="90">
        <v>2022</v>
      </c>
      <c r="B56" s="215" t="s">
        <v>762</v>
      </c>
      <c r="C56" s="96" t="s">
        <v>763</v>
      </c>
      <c r="D56" s="70">
        <f t="shared" si="12"/>
        <v>0</v>
      </c>
      <c r="E56" s="189">
        <f>SUMIFS('Plan prihoda za unos u SAP'!$H$3:$H$501,'Plan prihoda za unos u SAP'!$C$3:$C$501,"=11",'Plan prihoda za unos u SAP'!$K$3:$K$501,"=636")</f>
        <v>0</v>
      </c>
      <c r="F56" s="189">
        <f>SUMIFS('Plan prihoda za unos u SAP'!$H$3:$H$501,'Plan prihoda za unos u SAP'!$C$3:$C$501,"=12",'Plan prihoda za unos u SAP'!$K$3:$K$501,"=636")</f>
        <v>0</v>
      </c>
      <c r="G56" s="189">
        <f>SUMIFS('Plan prihoda za unos u SAP'!$H$3:$H$501,'Plan prihoda za unos u SAP'!$C$3:$C$501,"=31",'Plan prihoda za unos u SAP'!$K$3:$K$501,"=636")</f>
        <v>0</v>
      </c>
      <c r="H56" s="189">
        <f>SUMIFS('Plan prihoda za unos u SAP'!$H$3:$H$501,'Plan prihoda za unos u SAP'!$C$3:$C$501,"=41",'Plan prihoda za unos u SAP'!$K$3:$K$501,"=636")</f>
        <v>0</v>
      </c>
      <c r="I56" s="189">
        <f>SUMIFS('Plan prihoda za unos u SAP'!$H$3:$H$501,'Plan prihoda za unos u SAP'!$C$3:$C$501,"=43",'Plan prihoda za unos u SAP'!$K$3:$K$501,"=636")</f>
        <v>0</v>
      </c>
      <c r="J56" s="189">
        <f>SUMIFS('Plan prihoda za unos u SAP'!$H$3:$H$501,'Plan prihoda za unos u SAP'!$C$3:$C$501,"=51",'Plan prihoda za unos u SAP'!$K$3:$K$501,"=636")</f>
        <v>0</v>
      </c>
      <c r="K56" s="189">
        <f>SUMIFS('Plan prihoda za unos u SAP'!$H$3:$H$501,'Plan prihoda za unos u SAP'!$C$3:$C$501,"=52",'Plan prihoda za unos u SAP'!$K$3:$K$501,"=636")</f>
        <v>0</v>
      </c>
      <c r="L56" s="189">
        <f>SUMIFS('Plan prihoda za unos u SAP'!$H$3:$H$501,'Plan prihoda za unos u SAP'!$C$3:$C$501,"=552",'Plan prihoda za unos u SAP'!$K$3:$K$501,"=636")</f>
        <v>0</v>
      </c>
      <c r="M56" s="189">
        <f>SUMIFS('Plan prihoda za unos u SAP'!$H$3:$H$501,'Plan prihoda za unos u SAP'!$C$3:$C$501,"=559",'Plan prihoda za unos u SAP'!$K$3:$K$501,"=636")</f>
        <v>0</v>
      </c>
      <c r="N56" s="189">
        <f>SUMIFS('Plan prihoda za unos u SAP'!$H$3:$H$501,'Plan prihoda za unos u SAP'!$C$3:$C$501,"=561",'Plan prihoda za unos u SAP'!$K$3:$K$501,"=636")</f>
        <v>0</v>
      </c>
      <c r="O56" s="189">
        <f>SUMIFS('Plan prihoda za unos u SAP'!$H$3:$H$501,'Plan prihoda za unos u SAP'!$C$3:$C$501,"=563",'Plan prihoda za unos u SAP'!$K$3:$K$501,"=636")</f>
        <v>0</v>
      </c>
      <c r="P56" s="189">
        <f>SUMIFS('Plan prihoda za unos u SAP'!$H$3:$H$501,'Plan prihoda za unos u SAP'!$C$3:$C$501,"=573",'Plan prihoda za unos u SAP'!$K$3:$K$501,"=636")</f>
        <v>0</v>
      </c>
      <c r="Q56" s="189">
        <f>SUMIFS('Plan prihoda za unos u SAP'!$H$3:$H$501,'Plan prihoda za unos u SAP'!$C$3:$C$501,"=575",'Plan prihoda za unos u SAP'!$K$3:$K$501,"=636")</f>
        <v>0</v>
      </c>
      <c r="R56" s="189">
        <f>SUMIFS('Plan prihoda za unos u SAP'!$H$3:$H$501,'Plan prihoda za unos u SAP'!$C$3:$C$501,"=576",'Plan prihoda za unos u SAP'!$K$3:$K$501,"=636")</f>
        <v>0</v>
      </c>
      <c r="S56" s="189">
        <f>SUMIFS('Plan prihoda za unos u SAP'!$H$3:$H$501,'Plan prihoda za unos u SAP'!$C$3:$C$501,"=61",'Plan prihoda za unos u SAP'!$K$3:$K$501,"=636")</f>
        <v>0</v>
      </c>
      <c r="T56" s="189">
        <f>SUMIFS('Plan prihoda za unos u SAP'!$H$3:$H$501,'Plan prihoda za unos u SAP'!$C$3:$C$501,"=63",'Plan prihoda za unos u SAP'!$K$3:$K$501,"=636")</f>
        <v>0</v>
      </c>
      <c r="U56" s="189">
        <f>SUMIFS('Plan prihoda za unos u SAP'!$H$3:$H$501,'Plan prihoda za unos u SAP'!$C$3:$C$501,"=71",'Plan prihoda za unos u SAP'!$K$3:$K$501,"=636")</f>
        <v>0</v>
      </c>
      <c r="V56" s="189">
        <f>SUMIFS('Plan prihoda za unos u SAP'!$H$3:$H$501,'Plan prihoda za unos u SAP'!$C$3:$C$501,"=81",'Plan prihoda za unos u SAP'!$K$3:$K$501,"=636")</f>
        <v>0</v>
      </c>
      <c r="W56" s="189">
        <f>SUMIFS('Plan prihoda za unos u SAP'!$H$3:$H$501,'Plan prihoda za unos u SAP'!$C$3:$C$501,"=83",'Plan prihoda za unos u SAP'!$K$3:$K$501,"=636")</f>
        <v>0</v>
      </c>
    </row>
    <row r="57" spans="1:29" s="90" customFormat="1">
      <c r="A57" s="90">
        <v>2022</v>
      </c>
      <c r="B57" s="95" t="s">
        <v>287</v>
      </c>
      <c r="C57" s="96" t="s">
        <v>288</v>
      </c>
      <c r="D57" s="70">
        <f t="shared" si="12"/>
        <v>0</v>
      </c>
      <c r="E57" s="189">
        <f>SUMIFS('Plan prihoda za unos u SAP'!$H$3:$H$501,'Plan prihoda za unos u SAP'!$C$3:$C$501,"=11",'Plan prihoda za unos u SAP'!$K$3:$K$501,"=638")</f>
        <v>0</v>
      </c>
      <c r="F57" s="189">
        <f>SUMIFS('Plan prihoda za unos u SAP'!$H$3:$H$501,'Plan prihoda za unos u SAP'!$C$3:$C$501,"=12",'Plan prihoda za unos u SAP'!$K$3:$K$501,"=638")</f>
        <v>0</v>
      </c>
      <c r="G57" s="189">
        <f>SUMIFS('Plan prihoda za unos u SAP'!$H$3:$H$501,'Plan prihoda za unos u SAP'!$C$3:$C$501,"=31",'Plan prihoda za unos u SAP'!$K$3:$K$501,"=638")</f>
        <v>0</v>
      </c>
      <c r="H57" s="189">
        <f>SUMIFS('Plan prihoda za unos u SAP'!$H$3:$H$501,'Plan prihoda za unos u SAP'!$C$3:$C$501,"=41",'Plan prihoda za unos u SAP'!$K$3:$K$501,"=638")</f>
        <v>0</v>
      </c>
      <c r="I57" s="189">
        <f>SUMIFS('Plan prihoda za unos u SAP'!$H$3:$H$501,'Plan prihoda za unos u SAP'!$C$3:$C$501,"=43",'Plan prihoda za unos u SAP'!$K$3:$K$501,"=638")</f>
        <v>0</v>
      </c>
      <c r="J57" s="189">
        <f>SUMIFS('Plan prihoda za unos u SAP'!$H$3:$H$501,'Plan prihoda za unos u SAP'!$C$3:$C$501,"=51",'Plan prihoda za unos u SAP'!$K$3:$K$501,"=638")</f>
        <v>0</v>
      </c>
      <c r="K57" s="189">
        <f>SUMIFS('Plan prihoda za unos u SAP'!$H$3:$H$501,'Plan prihoda za unos u SAP'!$C$3:$C$501,"=52",'Plan prihoda za unos u SAP'!$K$3:$K$501,"=638")</f>
        <v>0</v>
      </c>
      <c r="L57" s="189">
        <f>SUMIFS('Plan prihoda za unos u SAP'!$H$3:$H$501,'Plan prihoda za unos u SAP'!$C$3:$C$501,"=552",'Plan prihoda za unos u SAP'!$K$3:$K$501,"=638")</f>
        <v>0</v>
      </c>
      <c r="M57" s="189">
        <f>SUMIFS('Plan prihoda za unos u SAP'!$H$3:$H$501,'Plan prihoda za unos u SAP'!$C$3:$C$501,"=559",'Plan prihoda za unos u SAP'!$K$3:$K$501,"=638")</f>
        <v>0</v>
      </c>
      <c r="N57" s="189">
        <f>SUMIFS('Plan prihoda za unos u SAP'!$H$3:$H$501,'Plan prihoda za unos u SAP'!$C$3:$C$501,"=561",'Plan prihoda za unos u SAP'!$K$3:$K$501,"=638")</f>
        <v>0</v>
      </c>
      <c r="O57" s="189">
        <f>SUMIFS('Plan prihoda za unos u SAP'!$H$3:$H$501,'Plan prihoda za unos u SAP'!$C$3:$C$501,"=563",'Plan prihoda za unos u SAP'!$K$3:$K$501,"=638")</f>
        <v>0</v>
      </c>
      <c r="P57" s="189">
        <f>SUMIFS('Plan prihoda za unos u SAP'!$H$3:$H$501,'Plan prihoda za unos u SAP'!$C$3:$C$501,"=573",'Plan prihoda za unos u SAP'!$K$3:$K$501,"=638")</f>
        <v>0</v>
      </c>
      <c r="Q57" s="189">
        <f>SUMIFS('Plan prihoda za unos u SAP'!$H$3:$H$501,'Plan prihoda za unos u SAP'!$C$3:$C$501,"=575",'Plan prihoda za unos u SAP'!$K$3:$K$501,"=638")</f>
        <v>0</v>
      </c>
      <c r="R57" s="189">
        <f>SUMIFS('Plan prihoda za unos u SAP'!$H$3:$H$501,'Plan prihoda za unos u SAP'!$C$3:$C$501,"=576",'Plan prihoda za unos u SAP'!$K$3:$K$501,"=638")</f>
        <v>0</v>
      </c>
      <c r="S57" s="189">
        <f>SUMIFS('Plan prihoda za unos u SAP'!$H$3:$H$501,'Plan prihoda za unos u SAP'!$C$3:$C$501,"=61",'Plan prihoda za unos u SAP'!$K$3:$K$501,"=638")</f>
        <v>0</v>
      </c>
      <c r="T57" s="189">
        <f>SUMIFS('Plan prihoda za unos u SAP'!$H$3:$H$501,'Plan prihoda za unos u SAP'!$C$3:$C$501,"=63",'Plan prihoda za unos u SAP'!$K$3:$K$501,"=638")</f>
        <v>0</v>
      </c>
      <c r="U57" s="189">
        <f>SUMIFS('Plan prihoda za unos u SAP'!$H$3:$H$501,'Plan prihoda za unos u SAP'!$C$3:$C$501,"=71",'Plan prihoda za unos u SAP'!$K$3:$K$501,"=638")</f>
        <v>0</v>
      </c>
      <c r="V57" s="189">
        <f>SUMIFS('Plan prihoda za unos u SAP'!$H$3:$H$501,'Plan prihoda za unos u SAP'!$C$3:$C$501,"=81",'Plan prihoda za unos u SAP'!$K$3:$K$501,"=638")</f>
        <v>0</v>
      </c>
      <c r="W57" s="189">
        <f>SUMIFS('Plan prihoda za unos u SAP'!$H$3:$H$501,'Plan prihoda za unos u SAP'!$C$3:$C$501,"=83",'Plan prihoda za unos u SAP'!$K$3:$K$501,"=638")</f>
        <v>0</v>
      </c>
    </row>
    <row r="58" spans="1:29" s="90" customFormat="1">
      <c r="A58" s="90">
        <v>2022</v>
      </c>
      <c r="B58" s="95" t="s">
        <v>289</v>
      </c>
      <c r="C58" s="96" t="s">
        <v>41</v>
      </c>
      <c r="D58" s="70">
        <f t="shared" si="12"/>
        <v>258939</v>
      </c>
      <c r="E58" s="189">
        <f>SUMIFS('Plan prihoda za unos u SAP'!$H$3:$H$501,'Plan prihoda za unos u SAP'!$C$3:$C$501,"=11",'Plan prihoda za unos u SAP'!$K$3:$K$501,"=639")</f>
        <v>0</v>
      </c>
      <c r="F58" s="189">
        <f>SUMIFS('Plan prihoda za unos u SAP'!$H$3:$H$501,'Plan prihoda za unos u SAP'!$C$3:$C$501,"=12",'Plan prihoda za unos u SAP'!$K$3:$K$501,"=639")</f>
        <v>0</v>
      </c>
      <c r="G58" s="189">
        <f>SUMIFS('Plan prihoda za unos u SAP'!$H$3:$H$501,'Plan prihoda za unos u SAP'!$C$3:$C$501,"=31",'Plan prihoda za unos u SAP'!$K$3:$K$501,"=639")</f>
        <v>0</v>
      </c>
      <c r="H58" s="189">
        <f>SUMIFS('Plan prihoda za unos u SAP'!$H$3:$H$501,'Plan prihoda za unos u SAP'!$C$3:$C$501,"=41",'Plan prihoda za unos u SAP'!$K$3:$K$501,"=639")</f>
        <v>0</v>
      </c>
      <c r="I58" s="189">
        <f>SUMIFS('Plan prihoda za unos u SAP'!$H$3:$H$501,'Plan prihoda za unos u SAP'!$C$3:$C$501,"=43",'Plan prihoda za unos u SAP'!$K$3:$K$501,"=639")</f>
        <v>0</v>
      </c>
      <c r="J58" s="189">
        <f>SUMIFS('Plan prihoda za unos u SAP'!$H$3:$H$501,'Plan prihoda za unos u SAP'!$C$3:$C$501,"=51",'Plan prihoda za unos u SAP'!$K$3:$K$501,"=639")</f>
        <v>0</v>
      </c>
      <c r="K58" s="189">
        <f>SUMIFS('Plan prihoda za unos u SAP'!$H$3:$H$501,'Plan prihoda za unos u SAP'!$C$3:$C$501,"=52",'Plan prihoda za unos u SAP'!$K$3:$K$501,"=639")</f>
        <v>258939</v>
      </c>
      <c r="L58" s="189">
        <f>SUMIFS('Plan prihoda za unos u SAP'!$H$3:$H$501,'Plan prihoda za unos u SAP'!$C$3:$C$501,"=552",'Plan prihoda za unos u SAP'!$K$3:$K$501,"=639")</f>
        <v>0</v>
      </c>
      <c r="M58" s="189">
        <f>SUMIFS('Plan prihoda za unos u SAP'!$H$3:$H$501,'Plan prihoda za unos u SAP'!$C$3:$C$501,"=559",'Plan prihoda za unos u SAP'!$K$3:$K$501,"=639")</f>
        <v>0</v>
      </c>
      <c r="N58" s="189">
        <f>SUMIFS('Plan prihoda za unos u SAP'!$H$3:$H$501,'Plan prihoda za unos u SAP'!$C$3:$C$501,"=561",'Plan prihoda za unos u SAP'!$K$3:$K$501,"=639")</f>
        <v>0</v>
      </c>
      <c r="O58" s="189">
        <f>SUMIFS('Plan prihoda za unos u SAP'!$H$3:$H$501,'Plan prihoda za unos u SAP'!$C$3:$C$501,"=563",'Plan prihoda za unos u SAP'!$K$3:$K$501,"=639")</f>
        <v>0</v>
      </c>
      <c r="P58" s="189">
        <f>SUMIFS('Plan prihoda za unos u SAP'!$H$3:$H$501,'Plan prihoda za unos u SAP'!$C$3:$C$501,"=573",'Plan prihoda za unos u SAP'!$K$3:$K$501,"=639")</f>
        <v>0</v>
      </c>
      <c r="Q58" s="189">
        <f>SUMIFS('Plan prihoda za unos u SAP'!$H$3:$H$501,'Plan prihoda za unos u SAP'!$C$3:$C$501,"=575",'Plan prihoda za unos u SAP'!$K$3:$K$501,"=639")</f>
        <v>0</v>
      </c>
      <c r="R58" s="189">
        <f>SUMIFS('Plan prihoda za unos u SAP'!$H$3:$H$501,'Plan prihoda za unos u SAP'!$C$3:$C$501,"=576",'Plan prihoda za unos u SAP'!$K$3:$K$501,"=639")</f>
        <v>0</v>
      </c>
      <c r="S58" s="189">
        <f>SUMIFS('Plan prihoda za unos u SAP'!$H$3:$H$501,'Plan prihoda za unos u SAP'!$C$3:$C$501,"=61",'Plan prihoda za unos u SAP'!$K$3:$K$501,"=639")</f>
        <v>0</v>
      </c>
      <c r="T58" s="189">
        <f>SUMIFS('Plan prihoda za unos u SAP'!$H$3:$H$501,'Plan prihoda za unos u SAP'!$C$3:$C$501,"=63",'Plan prihoda za unos u SAP'!$K$3:$K$501,"=639")</f>
        <v>0</v>
      </c>
      <c r="U58" s="189">
        <f>SUMIFS('Plan prihoda za unos u SAP'!$H$3:$H$501,'Plan prihoda za unos u SAP'!$C$3:$C$501,"=71",'Plan prihoda za unos u SAP'!$K$3:$K$501,"=639")</f>
        <v>0</v>
      </c>
      <c r="V58" s="189">
        <f>SUMIFS('Plan prihoda za unos u SAP'!$H$3:$H$501,'Plan prihoda za unos u SAP'!$C$3:$C$501,"=81",'Plan prihoda za unos u SAP'!$K$3:$K$501,"=639")</f>
        <v>0</v>
      </c>
      <c r="W58" s="189">
        <f>SUMIFS('Plan prihoda za unos u SAP'!$H$3:$H$501,'Plan prihoda za unos u SAP'!$C$3:$C$501,"=83",'Plan prihoda za unos u SAP'!$K$3:$K$501,"=639")</f>
        <v>0</v>
      </c>
    </row>
    <row r="59" spans="1:29" s="90" customFormat="1">
      <c r="A59" s="90">
        <v>2022</v>
      </c>
      <c r="B59" s="95" t="s">
        <v>290</v>
      </c>
      <c r="C59" s="96" t="s">
        <v>291</v>
      </c>
      <c r="D59" s="70">
        <f t="shared" si="12"/>
        <v>35000</v>
      </c>
      <c r="E59" s="189">
        <f>SUMIFS('Plan prihoda za unos u SAP'!$H$3:$H$501,'Plan prihoda za unos u SAP'!$C$3:$C$501,"=11",'Plan prihoda za unos u SAP'!$K$3:$K$501,"=641")</f>
        <v>0</v>
      </c>
      <c r="F59" s="189">
        <f>SUMIFS('Plan prihoda za unos u SAP'!$H$3:$H$501,'Plan prihoda za unos u SAP'!$C$3:$C$501,"=12",'Plan prihoda za unos u SAP'!$K$3:$K$501,"=641")</f>
        <v>0</v>
      </c>
      <c r="G59" s="189">
        <f>SUMIFS('Plan prihoda za unos u SAP'!$H$3:$H$501,'Plan prihoda za unos u SAP'!$C$3:$C$501,"=31",'Plan prihoda za unos u SAP'!$K$3:$K$501,"=641")</f>
        <v>35000</v>
      </c>
      <c r="H59" s="189">
        <f>SUMIFS('Plan prihoda za unos u SAP'!$H$3:$H$501,'Plan prihoda za unos u SAP'!$C$3:$C$501,"=41",'Plan prihoda za unos u SAP'!$K$3:$K$501,"=641")</f>
        <v>0</v>
      </c>
      <c r="I59" s="189">
        <f>SUMIFS('Plan prihoda za unos u SAP'!$H$3:$H$501,'Plan prihoda za unos u SAP'!$C$3:$C$501,"=43",'Plan prihoda za unos u SAP'!$K$3:$K$501,"=641")</f>
        <v>0</v>
      </c>
      <c r="J59" s="189">
        <f>SUMIFS('Plan prihoda za unos u SAP'!$H$3:$H$501,'Plan prihoda za unos u SAP'!$C$3:$C$501,"=51",'Plan prihoda za unos u SAP'!$K$3:$K$501,"=641")</f>
        <v>0</v>
      </c>
      <c r="K59" s="189">
        <f>SUMIFS('Plan prihoda za unos u SAP'!$H$3:$H$501,'Plan prihoda za unos u SAP'!$C$3:$C$501,"=52",'Plan prihoda za unos u SAP'!$K$3:$K$501,"=641")</f>
        <v>0</v>
      </c>
      <c r="L59" s="189">
        <f>SUMIFS('Plan prihoda za unos u SAP'!$H$3:$H$501,'Plan prihoda za unos u SAP'!$C$3:$C$501,"=552",'Plan prihoda za unos u SAP'!$K$3:$K$501,"=641")</f>
        <v>0</v>
      </c>
      <c r="M59" s="189">
        <f>SUMIFS('Plan prihoda za unos u SAP'!$H$3:$H$501,'Plan prihoda za unos u SAP'!$C$3:$C$501,"=559",'Plan prihoda za unos u SAP'!$K$3:$K$501,"=641")</f>
        <v>0</v>
      </c>
      <c r="N59" s="189">
        <f>SUMIFS('Plan prihoda za unos u SAP'!$H$3:$H$501,'Plan prihoda za unos u SAP'!$C$3:$C$501,"=561",'Plan prihoda za unos u SAP'!$K$3:$K$501,"=641")</f>
        <v>0</v>
      </c>
      <c r="O59" s="189">
        <f>SUMIFS('Plan prihoda za unos u SAP'!$H$3:$H$501,'Plan prihoda za unos u SAP'!$C$3:$C$501,"=563",'Plan prihoda za unos u SAP'!$K$3:$K$501,"=641")</f>
        <v>0</v>
      </c>
      <c r="P59" s="189">
        <f>SUMIFS('Plan prihoda za unos u SAP'!$H$3:$H$501,'Plan prihoda za unos u SAP'!$C$3:$C$501,"=573",'Plan prihoda za unos u SAP'!$K$3:$K$501,"=641")</f>
        <v>0</v>
      </c>
      <c r="Q59" s="189">
        <f>SUMIFS('Plan prihoda za unos u SAP'!$H$3:$H$501,'Plan prihoda za unos u SAP'!$C$3:$C$501,"=575",'Plan prihoda za unos u SAP'!$K$3:$K$501,"=641")</f>
        <v>0</v>
      </c>
      <c r="R59" s="189">
        <f>SUMIFS('Plan prihoda za unos u SAP'!$H$3:$H$501,'Plan prihoda za unos u SAP'!$C$3:$C$501,"=576",'Plan prihoda za unos u SAP'!$K$3:$K$501,"=641")</f>
        <v>0</v>
      </c>
      <c r="S59" s="189">
        <f>SUMIFS('Plan prihoda za unos u SAP'!$H$3:$H$501,'Plan prihoda za unos u SAP'!$C$3:$C$501,"=61",'Plan prihoda za unos u SAP'!$K$3:$K$501,"=641")</f>
        <v>0</v>
      </c>
      <c r="T59" s="189">
        <f>SUMIFS('Plan prihoda za unos u SAP'!$H$3:$H$501,'Plan prihoda za unos u SAP'!$C$3:$C$501,"=63",'Plan prihoda za unos u SAP'!$K$3:$K$501,"=641")</f>
        <v>0</v>
      </c>
      <c r="U59" s="189">
        <f>SUMIFS('Plan prihoda za unos u SAP'!$H$3:$H$501,'Plan prihoda za unos u SAP'!$C$3:$C$501,"=71",'Plan prihoda za unos u SAP'!$K$3:$K$501,"=641")</f>
        <v>0</v>
      </c>
      <c r="V59" s="189">
        <f>SUMIFS('Plan prihoda za unos u SAP'!$H$3:$H$501,'Plan prihoda za unos u SAP'!$C$3:$C$501,"=81",'Plan prihoda za unos u SAP'!$K$3:$K$501,"=641")</f>
        <v>0</v>
      </c>
      <c r="W59" s="189">
        <f>SUMIFS('Plan prihoda za unos u SAP'!$H$3:$H$501,'Plan prihoda za unos u SAP'!$C$3:$C$501,"=83",'Plan prihoda za unos u SAP'!$K$3:$K$501,"=641")</f>
        <v>0</v>
      </c>
    </row>
    <row r="60" spans="1:29" s="90" customFormat="1">
      <c r="A60" s="90">
        <v>2022</v>
      </c>
      <c r="B60" s="95" t="s">
        <v>292</v>
      </c>
      <c r="C60" s="96" t="s">
        <v>293</v>
      </c>
      <c r="D60" s="70">
        <f t="shared" si="12"/>
        <v>0</v>
      </c>
      <c r="E60" s="189">
        <f>SUMIFS('Plan prihoda za unos u SAP'!$H$3:$H$501,'Plan prihoda za unos u SAP'!$C$3:$C$501,"=11",'Plan prihoda za unos u SAP'!$K$3:$K$501,"=642")</f>
        <v>0</v>
      </c>
      <c r="F60" s="189">
        <f>SUMIFS('Plan prihoda za unos u SAP'!$H$3:$H$501,'Plan prihoda za unos u SAP'!$C$3:$C$501,"=12",'Plan prihoda za unos u SAP'!$K$3:$K$501,"=642")</f>
        <v>0</v>
      </c>
      <c r="G60" s="189">
        <f>SUMIFS('Plan prihoda za unos u SAP'!$H$3:$H$501,'Plan prihoda za unos u SAP'!$C$3:$C$501,"=31",'Plan prihoda za unos u SAP'!$K$3:$K$501,"=642")</f>
        <v>0</v>
      </c>
      <c r="H60" s="189">
        <f>SUMIFS('Plan prihoda za unos u SAP'!$H$3:$H$501,'Plan prihoda za unos u SAP'!$C$3:$C$501,"=41",'Plan prihoda za unos u SAP'!$K$3:$K$501,"=642")</f>
        <v>0</v>
      </c>
      <c r="I60" s="189">
        <f>SUMIFS('Plan prihoda za unos u SAP'!$H$3:$H$501,'Plan prihoda za unos u SAP'!$C$3:$C$501,"=43",'Plan prihoda za unos u SAP'!$K$3:$K$501,"=642")</f>
        <v>0</v>
      </c>
      <c r="J60" s="189">
        <f>SUMIFS('Plan prihoda za unos u SAP'!$H$3:$H$501,'Plan prihoda za unos u SAP'!$C$3:$C$501,"=51",'Plan prihoda za unos u SAP'!$K$3:$K$501,"=642")</f>
        <v>0</v>
      </c>
      <c r="K60" s="189">
        <f>SUMIFS('Plan prihoda za unos u SAP'!$H$3:$H$501,'Plan prihoda za unos u SAP'!$C$3:$C$501,"=52",'Plan prihoda za unos u SAP'!$K$3:$K$501,"=642")</f>
        <v>0</v>
      </c>
      <c r="L60" s="189">
        <f>SUMIFS('Plan prihoda za unos u SAP'!$H$3:$H$501,'Plan prihoda za unos u SAP'!$C$3:$C$501,"=552",'Plan prihoda za unos u SAP'!$K$3:$K$501,"=642")</f>
        <v>0</v>
      </c>
      <c r="M60" s="189">
        <f>SUMIFS('Plan prihoda za unos u SAP'!$H$3:$H$501,'Plan prihoda za unos u SAP'!$C$3:$C$501,"=559",'Plan prihoda za unos u SAP'!$K$3:$K$501,"=642")</f>
        <v>0</v>
      </c>
      <c r="N60" s="189">
        <f>SUMIFS('Plan prihoda za unos u SAP'!$H$3:$H$501,'Plan prihoda za unos u SAP'!$C$3:$C$501,"=561",'Plan prihoda za unos u SAP'!$K$3:$K$501,"=642")</f>
        <v>0</v>
      </c>
      <c r="O60" s="189">
        <f>SUMIFS('Plan prihoda za unos u SAP'!$H$3:$H$501,'Plan prihoda za unos u SAP'!$C$3:$C$501,"=563",'Plan prihoda za unos u SAP'!$K$3:$K$501,"=642")</f>
        <v>0</v>
      </c>
      <c r="P60" s="189">
        <f>SUMIFS('Plan prihoda za unos u SAP'!$H$3:$H$501,'Plan prihoda za unos u SAP'!$C$3:$C$501,"=573",'Plan prihoda za unos u SAP'!$K$3:$K$501,"=642")</f>
        <v>0</v>
      </c>
      <c r="Q60" s="189">
        <f>SUMIFS('Plan prihoda za unos u SAP'!$H$3:$H$501,'Plan prihoda za unos u SAP'!$C$3:$C$501,"=575",'Plan prihoda za unos u SAP'!$K$3:$K$501,"=642")</f>
        <v>0</v>
      </c>
      <c r="R60" s="189">
        <f>SUMIFS('Plan prihoda za unos u SAP'!$H$3:$H$501,'Plan prihoda za unos u SAP'!$C$3:$C$501,"=576",'Plan prihoda za unos u SAP'!$K$3:$K$501,"=642")</f>
        <v>0</v>
      </c>
      <c r="S60" s="189">
        <f>SUMIFS('Plan prihoda za unos u SAP'!$H$3:$H$501,'Plan prihoda za unos u SAP'!$C$3:$C$501,"=61",'Plan prihoda za unos u SAP'!$K$3:$K$501,"=642")</f>
        <v>0</v>
      </c>
      <c r="T60" s="189">
        <f>SUMIFS('Plan prihoda za unos u SAP'!$H$3:$H$501,'Plan prihoda za unos u SAP'!$C$3:$C$501,"=63",'Plan prihoda za unos u SAP'!$K$3:$K$501,"=642")</f>
        <v>0</v>
      </c>
      <c r="U60" s="189">
        <f>SUMIFS('Plan prihoda za unos u SAP'!$H$3:$H$501,'Plan prihoda za unos u SAP'!$C$3:$C$501,"=71",'Plan prihoda za unos u SAP'!$K$3:$K$501,"=642")</f>
        <v>0</v>
      </c>
      <c r="V60" s="189">
        <f>SUMIFS('Plan prihoda za unos u SAP'!$H$3:$H$501,'Plan prihoda za unos u SAP'!$C$3:$C$501,"=81",'Plan prihoda za unos u SAP'!$K$3:$K$501,"=642")</f>
        <v>0</v>
      </c>
      <c r="W60" s="189">
        <f>SUMIFS('Plan prihoda za unos u SAP'!$H$3:$H$501,'Plan prihoda za unos u SAP'!$C$3:$C$501,"=83",'Plan prihoda za unos u SAP'!$K$3:$K$501,"=642")</f>
        <v>0</v>
      </c>
    </row>
    <row r="61" spans="1:29" s="90" customFormat="1">
      <c r="A61" s="90">
        <v>2022</v>
      </c>
      <c r="B61" s="215" t="s">
        <v>765</v>
      </c>
      <c r="C61" s="96" t="s">
        <v>764</v>
      </c>
      <c r="D61" s="70">
        <f t="shared" si="12"/>
        <v>0</v>
      </c>
      <c r="E61" s="189">
        <f>SUMIFS('Plan prihoda za unos u SAP'!$H$3:$H$501,'Plan prihoda za unos u SAP'!$C$3:$C$501,"=11",'Plan prihoda za unos u SAP'!$K$3:$K$501,"=651")</f>
        <v>0</v>
      </c>
      <c r="F61" s="189">
        <f>SUMIFS('Plan prihoda za unos u SAP'!$H$3:$H$501,'Plan prihoda za unos u SAP'!$C$3:$C$501,"=12",'Plan prihoda za unos u SAP'!$K$3:$K$501,"=651")</f>
        <v>0</v>
      </c>
      <c r="G61" s="189">
        <f>SUMIFS('Plan prihoda za unos u SAP'!$H$3:$H$501,'Plan prihoda za unos u SAP'!$C$3:$C$501,"=31",'Plan prihoda za unos u SAP'!$K$3:$K$501,"=651")</f>
        <v>0</v>
      </c>
      <c r="H61" s="189">
        <f>SUMIFS('Plan prihoda za unos u SAP'!$H$3:$H$501,'Plan prihoda za unos u SAP'!$C$3:$C$501,"=41",'Plan prihoda za unos u SAP'!$K$3:$K$501,"=651")</f>
        <v>0</v>
      </c>
      <c r="I61" s="189">
        <f>SUMIFS('Plan prihoda za unos u SAP'!$H$3:$H$501,'Plan prihoda za unos u SAP'!$C$3:$C$501,"=43",'Plan prihoda za unos u SAP'!$K$3:$K$501,"=651")</f>
        <v>0</v>
      </c>
      <c r="J61" s="189">
        <f>SUMIFS('Plan prihoda za unos u SAP'!$H$3:$H$501,'Plan prihoda za unos u SAP'!$C$3:$C$501,"=51",'Plan prihoda za unos u SAP'!$K$3:$K$501,"=651")</f>
        <v>0</v>
      </c>
      <c r="K61" s="189">
        <f>SUMIFS('Plan prihoda za unos u SAP'!$H$3:$H$501,'Plan prihoda za unos u SAP'!$C$3:$C$501,"=52",'Plan prihoda za unos u SAP'!$K$3:$K$501,"=651")</f>
        <v>0</v>
      </c>
      <c r="L61" s="189">
        <f>SUMIFS('Plan prihoda za unos u SAP'!$H$3:$H$501,'Plan prihoda za unos u SAP'!$C$3:$C$501,"=552",'Plan prihoda za unos u SAP'!$K$3:$K$501,"=651")</f>
        <v>0</v>
      </c>
      <c r="M61" s="189">
        <f>SUMIFS('Plan prihoda za unos u SAP'!$H$3:$H$501,'Plan prihoda za unos u SAP'!$C$3:$C$501,"=559",'Plan prihoda za unos u SAP'!$K$3:$K$501,"=651")</f>
        <v>0</v>
      </c>
      <c r="N61" s="189">
        <f>SUMIFS('Plan prihoda za unos u SAP'!$H$3:$H$501,'Plan prihoda za unos u SAP'!$C$3:$C$501,"=561",'Plan prihoda za unos u SAP'!$K$3:$K$501,"=651")</f>
        <v>0</v>
      </c>
      <c r="O61" s="189">
        <f>SUMIFS('Plan prihoda za unos u SAP'!$H$3:$H$501,'Plan prihoda za unos u SAP'!$C$3:$C$501,"=563",'Plan prihoda za unos u SAP'!$K$3:$K$501,"=651")</f>
        <v>0</v>
      </c>
      <c r="P61" s="189">
        <f>SUMIFS('Plan prihoda za unos u SAP'!$H$3:$H$501,'Plan prihoda za unos u SAP'!$C$3:$C$501,"=573",'Plan prihoda za unos u SAP'!$K$3:$K$501,"=651")</f>
        <v>0</v>
      </c>
      <c r="Q61" s="189">
        <f>SUMIFS('Plan prihoda za unos u SAP'!$H$3:$H$501,'Plan prihoda za unos u SAP'!$C$3:$C$501,"=575",'Plan prihoda za unos u SAP'!$K$3:$K$501,"=651")</f>
        <v>0</v>
      </c>
      <c r="R61" s="189">
        <f>SUMIFS('Plan prihoda za unos u SAP'!$H$3:$H$501,'Plan prihoda za unos u SAP'!$C$3:$C$501,"=576",'Plan prihoda za unos u SAP'!$K$3:$K$501,"=651")</f>
        <v>0</v>
      </c>
      <c r="S61" s="189">
        <f>SUMIFS('Plan prihoda za unos u SAP'!$H$3:$H$501,'Plan prihoda za unos u SAP'!$C$3:$C$501,"=61",'Plan prihoda za unos u SAP'!$K$3:$K$501,"=651")</f>
        <v>0</v>
      </c>
      <c r="T61" s="189">
        <f>SUMIFS('Plan prihoda za unos u SAP'!$H$3:$H$501,'Plan prihoda za unos u SAP'!$C$3:$C$501,"=63",'Plan prihoda za unos u SAP'!$K$3:$K$501,"=651")</f>
        <v>0</v>
      </c>
      <c r="U61" s="189">
        <f>SUMIFS('Plan prihoda za unos u SAP'!$H$3:$H$501,'Plan prihoda za unos u SAP'!$C$3:$C$501,"=71",'Plan prihoda za unos u SAP'!$K$3:$K$501,"=651")</f>
        <v>0</v>
      </c>
      <c r="V61" s="189">
        <f>SUMIFS('Plan prihoda za unos u SAP'!$H$3:$H$501,'Plan prihoda za unos u SAP'!$C$3:$C$501,"=81",'Plan prihoda za unos u SAP'!$K$3:$K$501,"=651")</f>
        <v>0</v>
      </c>
      <c r="W61" s="189">
        <f>SUMIFS('Plan prihoda za unos u SAP'!$H$3:$H$501,'Plan prihoda za unos u SAP'!$C$3:$C$501,"=83",'Plan prihoda za unos u SAP'!$K$3:$K$501,"=651")</f>
        <v>0</v>
      </c>
    </row>
    <row r="62" spans="1:29" s="90" customFormat="1">
      <c r="A62" s="90">
        <v>2022</v>
      </c>
      <c r="B62" s="95" t="s">
        <v>294</v>
      </c>
      <c r="C62" s="96" t="s">
        <v>295</v>
      </c>
      <c r="D62" s="70">
        <f t="shared" si="12"/>
        <v>6939000</v>
      </c>
      <c r="E62" s="189">
        <f>SUMIFS('Plan prihoda za unos u SAP'!$H$3:$H$501,'Plan prihoda za unos u SAP'!$C$3:$C$501,"=11",'Plan prihoda za unos u SAP'!$K$3:$K$501,"=652")</f>
        <v>0</v>
      </c>
      <c r="F62" s="189">
        <f>SUMIFS('Plan prihoda za unos u SAP'!$H$3:$H$501,'Plan prihoda za unos u SAP'!$C$3:$C$501,"=12",'Plan prihoda za unos u SAP'!$K$3:$K$501,"=652")</f>
        <v>0</v>
      </c>
      <c r="G62" s="189">
        <f>SUMIFS('Plan prihoda za unos u SAP'!$H$3:$H$501,'Plan prihoda za unos u SAP'!$C$3:$C$501,"=31",'Plan prihoda za unos u SAP'!$K$3:$K$501,"=652")</f>
        <v>0</v>
      </c>
      <c r="H62" s="189">
        <f>SUMIFS('Plan prihoda za unos u SAP'!$H$3:$H$501,'Plan prihoda za unos u SAP'!$C$3:$C$501,"=41",'Plan prihoda za unos u SAP'!$K$3:$K$501,"=652")</f>
        <v>0</v>
      </c>
      <c r="I62" s="189">
        <f>SUMIFS('Plan prihoda za unos u SAP'!$H$3:$H$501,'Plan prihoda za unos u SAP'!$C$3:$C$501,"=43",'Plan prihoda za unos u SAP'!$K$3:$K$501,"=652")</f>
        <v>6939000</v>
      </c>
      <c r="J62" s="189">
        <f>SUMIFS('Plan prihoda za unos u SAP'!$H$3:$H$501,'Plan prihoda za unos u SAP'!$C$3:$C$501,"=51",'Plan prihoda za unos u SAP'!$K$3:$K$501,"=652")</f>
        <v>0</v>
      </c>
      <c r="K62" s="189">
        <f>SUMIFS('Plan prihoda za unos u SAP'!$H$3:$H$501,'Plan prihoda za unos u SAP'!$C$3:$C$501,"=52",'Plan prihoda za unos u SAP'!$K$3:$K$501,"=652")</f>
        <v>0</v>
      </c>
      <c r="L62" s="189">
        <f>SUMIFS('Plan prihoda za unos u SAP'!$H$3:$H$501,'Plan prihoda za unos u SAP'!$C$3:$C$501,"=552",'Plan prihoda za unos u SAP'!$K$3:$K$501,"=652")</f>
        <v>0</v>
      </c>
      <c r="M62" s="189">
        <f>SUMIFS('Plan prihoda za unos u SAP'!$H$3:$H$501,'Plan prihoda za unos u SAP'!$C$3:$C$501,"=559",'Plan prihoda za unos u SAP'!$K$3:$K$501,"=652")</f>
        <v>0</v>
      </c>
      <c r="N62" s="189">
        <f>SUMIFS('Plan prihoda za unos u SAP'!$H$3:$H$501,'Plan prihoda za unos u SAP'!$C$3:$C$501,"=561",'Plan prihoda za unos u SAP'!$K$3:$K$501,"=652")</f>
        <v>0</v>
      </c>
      <c r="O62" s="189">
        <f>SUMIFS('Plan prihoda za unos u SAP'!$H$3:$H$501,'Plan prihoda za unos u SAP'!$C$3:$C$501,"=563",'Plan prihoda za unos u SAP'!$K$3:$K$501,"=652")</f>
        <v>0</v>
      </c>
      <c r="P62" s="189">
        <f>SUMIFS('Plan prihoda za unos u SAP'!$H$3:$H$501,'Plan prihoda za unos u SAP'!$C$3:$C$501,"=573",'Plan prihoda za unos u SAP'!$K$3:$K$501,"=652")</f>
        <v>0</v>
      </c>
      <c r="Q62" s="189">
        <f>SUMIFS('Plan prihoda za unos u SAP'!$H$3:$H$501,'Plan prihoda za unos u SAP'!$C$3:$C$501,"=575",'Plan prihoda za unos u SAP'!$K$3:$K$501,"=652")</f>
        <v>0</v>
      </c>
      <c r="R62" s="189">
        <f>SUMIFS('Plan prihoda za unos u SAP'!$H$3:$H$501,'Plan prihoda za unos u SAP'!$C$3:$C$501,"=576",'Plan prihoda za unos u SAP'!$K$3:$K$501,"=652")</f>
        <v>0</v>
      </c>
      <c r="S62" s="189">
        <f>SUMIFS('Plan prihoda za unos u SAP'!$H$3:$H$501,'Plan prihoda za unos u SAP'!$C$3:$C$501,"=61",'Plan prihoda za unos u SAP'!$K$3:$K$501,"=652")</f>
        <v>0</v>
      </c>
      <c r="T62" s="189">
        <f>SUMIFS('Plan prihoda za unos u SAP'!$H$3:$H$501,'Plan prihoda za unos u SAP'!$C$3:$C$501,"=63",'Plan prihoda za unos u SAP'!$K$3:$K$501,"=652")</f>
        <v>0</v>
      </c>
      <c r="U62" s="189">
        <f>SUMIFS('Plan prihoda za unos u SAP'!$H$3:$H$501,'Plan prihoda za unos u SAP'!$C$3:$C$501,"=71",'Plan prihoda za unos u SAP'!$K$3:$K$501,"=652")</f>
        <v>0</v>
      </c>
      <c r="V62" s="189">
        <f>SUMIFS('Plan prihoda za unos u SAP'!$H$3:$H$501,'Plan prihoda za unos u SAP'!$C$3:$C$501,"=81",'Plan prihoda za unos u SAP'!$K$3:$K$501,"=652")</f>
        <v>0</v>
      </c>
      <c r="W62" s="189">
        <f>SUMIFS('Plan prihoda za unos u SAP'!$H$3:$H$501,'Plan prihoda za unos u SAP'!$C$3:$C$501,"=83",'Plan prihoda za unos u SAP'!$K$3:$K$501,"=652")</f>
        <v>0</v>
      </c>
    </row>
    <row r="63" spans="1:29" s="90" customFormat="1">
      <c r="A63" s="90">
        <v>2022</v>
      </c>
      <c r="B63" s="95" t="s">
        <v>296</v>
      </c>
      <c r="C63" s="96" t="s">
        <v>297</v>
      </c>
      <c r="D63" s="70">
        <f t="shared" si="12"/>
        <v>4700000</v>
      </c>
      <c r="E63" s="189">
        <f>SUMIFS('Plan prihoda za unos u SAP'!$H$3:$H$501,'Plan prihoda za unos u SAP'!$C$3:$C$501,"=11",'Plan prihoda za unos u SAP'!$K$3:$K$501,"=661")</f>
        <v>0</v>
      </c>
      <c r="F63" s="189">
        <f>SUMIFS('Plan prihoda za unos u SAP'!$H$3:$H$501,'Plan prihoda za unos u SAP'!$C$3:$C$501,"=12",'Plan prihoda za unos u SAP'!$K$3:$K$501,"=661")</f>
        <v>0</v>
      </c>
      <c r="G63" s="189">
        <f>SUMIFS('Plan prihoda za unos u SAP'!$H$3:$H$501,'Plan prihoda za unos u SAP'!$C$3:$C$501,"=31",'Plan prihoda za unos u SAP'!$K$3:$K$501,"=661")</f>
        <v>4700000</v>
      </c>
      <c r="H63" s="189">
        <f>SUMIFS('Plan prihoda za unos u SAP'!$H$3:$H$501,'Plan prihoda za unos u SAP'!$C$3:$C$501,"=41",'Plan prihoda za unos u SAP'!$K$3:$K$501,"=661")</f>
        <v>0</v>
      </c>
      <c r="I63" s="189">
        <f>SUMIFS('Plan prihoda za unos u SAP'!$H$3:$H$501,'Plan prihoda za unos u SAP'!$C$3:$C$501,"=43",'Plan prihoda za unos u SAP'!$K$3:$K$501,"=661")</f>
        <v>0</v>
      </c>
      <c r="J63" s="189">
        <f>SUMIFS('Plan prihoda za unos u SAP'!$H$3:$H$501,'Plan prihoda za unos u SAP'!$C$3:$C$501,"=51",'Plan prihoda za unos u SAP'!$K$3:$K$501,"=661")</f>
        <v>0</v>
      </c>
      <c r="K63" s="189">
        <f>SUMIFS('Plan prihoda za unos u SAP'!$H$3:$H$501,'Plan prihoda za unos u SAP'!$C$3:$C$501,"=52",'Plan prihoda za unos u SAP'!$K$3:$K$501,"=661")</f>
        <v>0</v>
      </c>
      <c r="L63" s="189">
        <f>SUMIFS('Plan prihoda za unos u SAP'!$H$3:$H$501,'Plan prihoda za unos u SAP'!$C$3:$C$501,"=552",'Plan prihoda za unos u SAP'!$K$3:$K$501,"=661")</f>
        <v>0</v>
      </c>
      <c r="M63" s="189">
        <f>SUMIFS('Plan prihoda za unos u SAP'!$H$3:$H$501,'Plan prihoda za unos u SAP'!$C$3:$C$501,"=559",'Plan prihoda za unos u SAP'!$K$3:$K$501,"=661")</f>
        <v>0</v>
      </c>
      <c r="N63" s="189">
        <f>SUMIFS('Plan prihoda za unos u SAP'!$H$3:$H$501,'Plan prihoda za unos u SAP'!$C$3:$C$501,"=561",'Plan prihoda za unos u SAP'!$K$3:$K$501,"=661")</f>
        <v>0</v>
      </c>
      <c r="O63" s="189">
        <f>SUMIFS('Plan prihoda za unos u SAP'!$H$3:$H$501,'Plan prihoda za unos u SAP'!$C$3:$C$501,"=563",'Plan prihoda za unos u SAP'!$K$3:$K$501,"=661")</f>
        <v>0</v>
      </c>
      <c r="P63" s="189">
        <f>SUMIFS('Plan prihoda za unos u SAP'!$H$3:$H$501,'Plan prihoda za unos u SAP'!$C$3:$C$501,"=573",'Plan prihoda za unos u SAP'!$K$3:$K$501,"=661")</f>
        <v>0</v>
      </c>
      <c r="Q63" s="189">
        <f>SUMIFS('Plan prihoda za unos u SAP'!$H$3:$H$501,'Plan prihoda za unos u SAP'!$C$3:$C$501,"=575",'Plan prihoda za unos u SAP'!$K$3:$K$501,"=661")</f>
        <v>0</v>
      </c>
      <c r="R63" s="189">
        <f>SUMIFS('Plan prihoda za unos u SAP'!$H$3:$H$501,'Plan prihoda za unos u SAP'!$C$3:$C$501,"=576",'Plan prihoda za unos u SAP'!$K$3:$K$501,"=661")</f>
        <v>0</v>
      </c>
      <c r="S63" s="189">
        <f>SUMIFS('Plan prihoda za unos u SAP'!$H$3:$H$501,'Plan prihoda za unos u SAP'!$C$3:$C$501,"=61",'Plan prihoda za unos u SAP'!$K$3:$K$501,"=661")</f>
        <v>0</v>
      </c>
      <c r="T63" s="189">
        <f>SUMIFS('Plan prihoda za unos u SAP'!$H$3:$H$501,'Plan prihoda za unos u SAP'!$C$3:$C$501,"=63",'Plan prihoda za unos u SAP'!$K$3:$K$501,"=661")</f>
        <v>0</v>
      </c>
      <c r="U63" s="189">
        <f>SUMIFS('Plan prihoda za unos u SAP'!$H$3:$H$501,'Plan prihoda za unos u SAP'!$C$3:$C$501,"=71",'Plan prihoda za unos u SAP'!$K$3:$K$501,"=661")</f>
        <v>0</v>
      </c>
      <c r="V63" s="189">
        <f>SUMIFS('Plan prihoda za unos u SAP'!$H$3:$H$501,'Plan prihoda za unos u SAP'!$C$3:$C$501,"=81",'Plan prihoda za unos u SAP'!$K$3:$K$501,"=661")</f>
        <v>0</v>
      </c>
      <c r="W63" s="189">
        <f>SUMIFS('Plan prihoda za unos u SAP'!$H$3:$H$501,'Plan prihoda za unos u SAP'!$C$3:$C$501,"=83",'Plan prihoda za unos u SAP'!$K$3:$K$501,"=661")</f>
        <v>0</v>
      </c>
    </row>
    <row r="64" spans="1:29" s="90" customFormat="1">
      <c r="A64" s="90">
        <v>2022</v>
      </c>
      <c r="B64" s="95" t="s">
        <v>298</v>
      </c>
      <c r="C64" s="96" t="s">
        <v>299</v>
      </c>
      <c r="D64" s="70">
        <f t="shared" si="12"/>
        <v>176000</v>
      </c>
      <c r="E64" s="189">
        <f>SUMIFS('Plan prihoda za unos u SAP'!$H$3:$H$501,'Plan prihoda za unos u SAP'!$C$3:$C$501,"=11",'Plan prihoda za unos u SAP'!$K$3:$K$501,"=663")</f>
        <v>0</v>
      </c>
      <c r="F64" s="189">
        <f>SUMIFS('Plan prihoda za unos u SAP'!$H$3:$H$501,'Plan prihoda za unos u SAP'!$C$3:$C$501,"=12",'Plan prihoda za unos u SAP'!$K$3:$K$501,"=663")</f>
        <v>0</v>
      </c>
      <c r="G64" s="189">
        <f>SUMIFS('Plan prihoda za unos u SAP'!$H$3:$H$501,'Plan prihoda za unos u SAP'!$C$3:$C$501,"=31",'Plan prihoda za unos u SAP'!$K$3:$K$501,"=663")</f>
        <v>0</v>
      </c>
      <c r="H64" s="189">
        <f>SUMIFS('Plan prihoda za unos u SAP'!$H$3:$H$501,'Plan prihoda za unos u SAP'!$C$3:$C$501,"=41",'Plan prihoda za unos u SAP'!$K$3:$K$501,"=663")</f>
        <v>0</v>
      </c>
      <c r="I64" s="189">
        <f>SUMIFS('Plan prihoda za unos u SAP'!$H$3:$H$501,'Plan prihoda za unos u SAP'!$C$3:$C$501,"=43",'Plan prihoda za unos u SAP'!$K$3:$K$501,"=663")</f>
        <v>0</v>
      </c>
      <c r="J64" s="189">
        <f>SUMIFS('Plan prihoda za unos u SAP'!$H$3:$H$501,'Plan prihoda za unos u SAP'!$C$3:$C$501,"=51",'Plan prihoda za unos u SAP'!$K$3:$K$501,"=663")</f>
        <v>0</v>
      </c>
      <c r="K64" s="189">
        <f>SUMIFS('Plan prihoda za unos u SAP'!$H$3:$H$501,'Plan prihoda za unos u SAP'!$C$3:$C$501,"=52",'Plan prihoda za unos u SAP'!$K$3:$K$501,"=663")</f>
        <v>0</v>
      </c>
      <c r="L64" s="189">
        <f>SUMIFS('Plan prihoda za unos u SAP'!$H$3:$H$501,'Plan prihoda za unos u SAP'!$C$3:$C$501,"=552",'Plan prihoda za unos u SAP'!$K$3:$K$501,"=663")</f>
        <v>0</v>
      </c>
      <c r="M64" s="189">
        <f>SUMIFS('Plan prihoda za unos u SAP'!$H$3:$H$501,'Plan prihoda za unos u SAP'!$C$3:$C$501,"=559",'Plan prihoda za unos u SAP'!$K$3:$K$501,"=663")</f>
        <v>0</v>
      </c>
      <c r="N64" s="189">
        <f>SUMIFS('Plan prihoda za unos u SAP'!$H$3:$H$501,'Plan prihoda za unos u SAP'!$C$3:$C$501,"=561",'Plan prihoda za unos u SAP'!$K$3:$K$501,"=663")</f>
        <v>0</v>
      </c>
      <c r="O64" s="189">
        <f>SUMIFS('Plan prihoda za unos u SAP'!$H$3:$H$501,'Plan prihoda za unos u SAP'!$C$3:$C$501,"=563",'Plan prihoda za unos u SAP'!$K$3:$K$501,"=663")</f>
        <v>0</v>
      </c>
      <c r="P64" s="189">
        <f>SUMIFS('Plan prihoda za unos u SAP'!$H$3:$H$501,'Plan prihoda za unos u SAP'!$C$3:$C$501,"=573",'Plan prihoda za unos u SAP'!$K$3:$K$501,"=663")</f>
        <v>0</v>
      </c>
      <c r="Q64" s="189">
        <f>SUMIFS('Plan prihoda za unos u SAP'!$H$3:$H$501,'Plan prihoda za unos u SAP'!$C$3:$C$501,"=575",'Plan prihoda za unos u SAP'!$K$3:$K$501,"=663")</f>
        <v>0</v>
      </c>
      <c r="R64" s="189">
        <f>SUMIFS('Plan prihoda za unos u SAP'!$H$3:$H$501,'Plan prihoda za unos u SAP'!$C$3:$C$501,"=576",'Plan prihoda za unos u SAP'!$K$3:$K$501,"=663")</f>
        <v>0</v>
      </c>
      <c r="S64" s="189">
        <f>SUMIFS('Plan prihoda za unos u SAP'!$H$3:$H$501,'Plan prihoda za unos u SAP'!$C$3:$C$501,"=61",'Plan prihoda za unos u SAP'!$K$3:$K$501,"=663")</f>
        <v>176000</v>
      </c>
      <c r="T64" s="189">
        <f>SUMIFS('Plan prihoda za unos u SAP'!$H$3:$H$501,'Plan prihoda za unos u SAP'!$C$3:$C$501,"=63",'Plan prihoda za unos u SAP'!$K$3:$K$501,"=663")</f>
        <v>0</v>
      </c>
      <c r="U64" s="189">
        <f>SUMIFS('Plan prihoda za unos u SAP'!$H$3:$H$501,'Plan prihoda za unos u SAP'!$C$3:$C$501,"=71",'Plan prihoda za unos u SAP'!$K$3:$K$501,"=663")</f>
        <v>0</v>
      </c>
      <c r="V64" s="189">
        <f>SUMIFS('Plan prihoda za unos u SAP'!$H$3:$H$501,'Plan prihoda za unos u SAP'!$C$3:$C$501,"=81",'Plan prihoda za unos u SAP'!$K$3:$K$501,"=663")</f>
        <v>0</v>
      </c>
      <c r="W64" s="189">
        <f>SUMIFS('Plan prihoda za unos u SAP'!$H$3:$H$501,'Plan prihoda za unos u SAP'!$C$3:$C$501,"=83",'Plan prihoda za unos u SAP'!$K$3:$K$501,"=663")</f>
        <v>0</v>
      </c>
    </row>
    <row r="65" spans="1:23" s="90" customFormat="1" ht="25.5">
      <c r="A65" s="90">
        <v>2022</v>
      </c>
      <c r="B65" s="95" t="s">
        <v>300</v>
      </c>
      <c r="C65" s="96" t="s">
        <v>260</v>
      </c>
      <c r="D65" s="70">
        <f t="shared" si="12"/>
        <v>25161690</v>
      </c>
      <c r="E65" s="189">
        <f>SUMIFS('Plan prihoda za unos u SAP'!$H$3:$H$501,'Plan prihoda za unos u SAP'!$C$3:$C$501,"=11",'Plan prihoda za unos u SAP'!$K$3:$K$501,"=671")</f>
        <v>25161690</v>
      </c>
      <c r="F65" s="189">
        <f>SUMIFS('Plan prihoda za unos u SAP'!$H$3:$H$501,'Plan prihoda za unos u SAP'!$C$3:$C$501,"=12",'Plan prihoda za unos u SAP'!$K$3:$K$501,"=671")</f>
        <v>0</v>
      </c>
      <c r="G65" s="189">
        <f>SUMIFS('Plan prihoda za unos u SAP'!$H$3:$H$501,'Plan prihoda za unos u SAP'!$C$3:$C$501,"=31",'Plan prihoda za unos u SAP'!$K$3:$K$501,"=671")</f>
        <v>0</v>
      </c>
      <c r="H65" s="189">
        <f>SUMIFS('Plan prihoda za unos u SAP'!$H$3:$H$501,'Plan prihoda za unos u SAP'!$C$3:$C$501,"=41",'Plan prihoda za unos u SAP'!$K$3:$K$501,"=671")</f>
        <v>0</v>
      </c>
      <c r="I65" s="189">
        <f>SUMIFS('Plan prihoda za unos u SAP'!$H$3:$H$501,'Plan prihoda za unos u SAP'!$C$3:$C$501,"=43",'Plan prihoda za unos u SAP'!$K$3:$K$501,"=671")</f>
        <v>0</v>
      </c>
      <c r="J65" s="189">
        <f>SUMIFS('Plan prihoda za unos u SAP'!$H$3:$H$501,'Plan prihoda za unos u SAP'!$C$3:$C$501,"=51",'Plan prihoda za unos u SAP'!$K$3:$K$501,"=671")</f>
        <v>0</v>
      </c>
      <c r="K65" s="189">
        <f>SUMIFS('Plan prihoda za unos u SAP'!$H$3:$H$501,'Plan prihoda za unos u SAP'!$C$3:$C$501,"=52",'Plan prihoda za unos u SAP'!$K$3:$K$501,"=671")</f>
        <v>0</v>
      </c>
      <c r="L65" s="189">
        <f>SUMIFS('Plan prihoda za unos u SAP'!$H$3:$H$501,'Plan prihoda za unos u SAP'!$C$3:$C$501,"=552",'Plan prihoda za unos u SAP'!$K$3:$K$501,"=671")</f>
        <v>0</v>
      </c>
      <c r="M65" s="189">
        <f>SUMIFS('Plan prihoda za unos u SAP'!$H$3:$H$501,'Plan prihoda za unos u SAP'!$C$3:$C$501,"=559",'Plan prihoda za unos u SAP'!$K$3:$K$501,"=671")</f>
        <v>0</v>
      </c>
      <c r="N65" s="189">
        <f>SUMIFS('Plan prihoda za unos u SAP'!$H$3:$H$501,'Plan prihoda za unos u SAP'!$C$3:$C$501,"=561",'Plan prihoda za unos u SAP'!$K$3:$K$501,"=671")</f>
        <v>0</v>
      </c>
      <c r="O65" s="189">
        <f>SUMIFS('Plan prihoda za unos u SAP'!$H$3:$H$501,'Plan prihoda za unos u SAP'!$C$3:$C$501,"=563",'Plan prihoda za unos u SAP'!$K$3:$K$501,"=671")</f>
        <v>0</v>
      </c>
      <c r="P65" s="189">
        <f>SUMIFS('Plan prihoda za unos u SAP'!$H$3:$H$501,'Plan prihoda za unos u SAP'!$C$3:$C$501,"=573",'Plan prihoda za unos u SAP'!$K$3:$K$501,"=671")</f>
        <v>0</v>
      </c>
      <c r="Q65" s="189">
        <f>SUMIFS('Plan prihoda za unos u SAP'!$H$3:$H$501,'Plan prihoda za unos u SAP'!$C$3:$C$501,"=575",'Plan prihoda za unos u SAP'!$K$3:$K$501,"=671")</f>
        <v>0</v>
      </c>
      <c r="R65" s="189">
        <f>SUMIFS('Plan prihoda za unos u SAP'!$H$3:$H$501,'Plan prihoda za unos u SAP'!$C$3:$C$501,"=576",'Plan prihoda za unos u SAP'!$K$3:$K$501,"=671")</f>
        <v>0</v>
      </c>
      <c r="S65" s="189">
        <f>SUMIFS('Plan prihoda za unos u SAP'!$H$3:$H$501,'Plan prihoda za unos u SAP'!$C$3:$C$501,"=61",'Plan prihoda za unos u SAP'!$K$3:$K$501,"=671")</f>
        <v>0</v>
      </c>
      <c r="T65" s="189">
        <f>SUMIFS('Plan prihoda za unos u SAP'!$H$3:$H$501,'Plan prihoda za unos u SAP'!$C$3:$C$501,"=63",'Plan prihoda za unos u SAP'!$K$3:$K$501,"=671")</f>
        <v>0</v>
      </c>
      <c r="U65" s="189">
        <f>SUMIFS('Plan prihoda za unos u SAP'!$H$3:$H$501,'Plan prihoda za unos u SAP'!$C$3:$C$501,"=71",'Plan prihoda za unos u SAP'!$K$3:$K$501,"=671")</f>
        <v>0</v>
      </c>
      <c r="V65" s="189">
        <f>SUMIFS('Plan prihoda za unos u SAP'!$H$3:$H$501,'Plan prihoda za unos u SAP'!$C$3:$C$501,"=81",'Plan prihoda za unos u SAP'!$K$3:$K$501,"=671")</f>
        <v>0</v>
      </c>
      <c r="W65" s="189">
        <f>SUMIFS('Plan prihoda za unos u SAP'!$H$3:$H$501,'Plan prihoda za unos u SAP'!$C$3:$C$501,"=83",'Plan prihoda za unos u SAP'!$K$3:$K$501,"=671")</f>
        <v>0</v>
      </c>
    </row>
    <row r="66" spans="1:23" s="90" customFormat="1">
      <c r="A66" s="90">
        <v>2022</v>
      </c>
      <c r="B66" s="95" t="s">
        <v>301</v>
      </c>
      <c r="C66" s="96" t="s">
        <v>302</v>
      </c>
      <c r="D66" s="70">
        <f t="shared" si="12"/>
        <v>0</v>
      </c>
      <c r="E66" s="189">
        <f>SUMIFS('Plan prihoda za unos u SAP'!$H$3:$H$501,'Plan prihoda za unos u SAP'!$C$3:$C$501,"=11",'Plan prihoda za unos u SAP'!$K$3:$K$501,"=681")</f>
        <v>0</v>
      </c>
      <c r="F66" s="189">
        <f>SUMIFS('Plan prihoda za unos u SAP'!$H$3:$H$501,'Plan prihoda za unos u SAP'!$C$3:$C$501,"=12",'Plan prihoda za unos u SAP'!$K$3:$K$501,"=681")</f>
        <v>0</v>
      </c>
      <c r="G66" s="189">
        <f>SUMIFS('Plan prihoda za unos u SAP'!$H$3:$H$501,'Plan prihoda za unos u SAP'!$C$3:$C$501,"=31",'Plan prihoda za unos u SAP'!$K$3:$K$501,"=681")</f>
        <v>0</v>
      </c>
      <c r="H66" s="189">
        <f>SUMIFS('Plan prihoda za unos u SAP'!$H$3:$H$501,'Plan prihoda za unos u SAP'!$C$3:$C$501,"=41",'Plan prihoda za unos u SAP'!$K$3:$K$501,"=681")</f>
        <v>0</v>
      </c>
      <c r="I66" s="189">
        <f>SUMIFS('Plan prihoda za unos u SAP'!$H$3:$H$501,'Plan prihoda za unos u SAP'!$C$3:$C$501,"=43",'Plan prihoda za unos u SAP'!$K$3:$K$501,"=681")</f>
        <v>0</v>
      </c>
      <c r="J66" s="189">
        <f>SUMIFS('Plan prihoda za unos u SAP'!$H$3:$H$501,'Plan prihoda za unos u SAP'!$C$3:$C$501,"=51",'Plan prihoda za unos u SAP'!$K$3:$K$501,"=681")</f>
        <v>0</v>
      </c>
      <c r="K66" s="189">
        <f>SUMIFS('Plan prihoda za unos u SAP'!$H$3:$H$501,'Plan prihoda za unos u SAP'!$C$3:$C$501,"=52",'Plan prihoda za unos u SAP'!$K$3:$K$501,"=681")</f>
        <v>0</v>
      </c>
      <c r="L66" s="189">
        <f>SUMIFS('Plan prihoda za unos u SAP'!$H$3:$H$501,'Plan prihoda za unos u SAP'!$C$3:$C$501,"=552",'Plan prihoda za unos u SAP'!$K$3:$K$501,"=681")</f>
        <v>0</v>
      </c>
      <c r="M66" s="189">
        <f>SUMIFS('Plan prihoda za unos u SAP'!$H$3:$H$501,'Plan prihoda za unos u SAP'!$C$3:$C$501,"=559",'Plan prihoda za unos u SAP'!$K$3:$K$501,"=681")</f>
        <v>0</v>
      </c>
      <c r="N66" s="189">
        <f>SUMIFS('Plan prihoda za unos u SAP'!$H$3:$H$501,'Plan prihoda za unos u SAP'!$C$3:$C$501,"=561",'Plan prihoda za unos u SAP'!$K$3:$K$501,"=681")</f>
        <v>0</v>
      </c>
      <c r="O66" s="189">
        <f>SUMIFS('Plan prihoda za unos u SAP'!$H$3:$H$501,'Plan prihoda za unos u SAP'!$C$3:$C$501,"=563",'Plan prihoda za unos u SAP'!$K$3:$K$501,"=681")</f>
        <v>0</v>
      </c>
      <c r="P66" s="189">
        <f>SUMIFS('Plan prihoda za unos u SAP'!$H$3:$H$501,'Plan prihoda za unos u SAP'!$C$3:$C$501,"=573",'Plan prihoda za unos u SAP'!$K$3:$K$501,"=681")</f>
        <v>0</v>
      </c>
      <c r="Q66" s="189">
        <f>SUMIFS('Plan prihoda za unos u SAP'!$H$3:$H$501,'Plan prihoda za unos u SAP'!$C$3:$C$501,"=575",'Plan prihoda za unos u SAP'!$K$3:$K$501,"=681")</f>
        <v>0</v>
      </c>
      <c r="R66" s="189">
        <f>SUMIFS('Plan prihoda za unos u SAP'!$H$3:$H$501,'Plan prihoda za unos u SAP'!$C$3:$C$501,"=576",'Plan prihoda za unos u SAP'!$K$3:$K$501,"=681")</f>
        <v>0</v>
      </c>
      <c r="S66" s="189">
        <f>SUMIFS('Plan prihoda za unos u SAP'!$H$3:$H$501,'Plan prihoda za unos u SAP'!$C$3:$C$501,"=61",'Plan prihoda za unos u SAP'!$K$3:$K$501,"=681")</f>
        <v>0</v>
      </c>
      <c r="T66" s="189">
        <f>SUMIFS('Plan prihoda za unos u SAP'!$H$3:$H$501,'Plan prihoda za unos u SAP'!$C$3:$C$501,"=63",'Plan prihoda za unos u SAP'!$K$3:$K$501,"=681")</f>
        <v>0</v>
      </c>
      <c r="U66" s="189">
        <f>SUMIFS('Plan prihoda za unos u SAP'!$H$3:$H$501,'Plan prihoda za unos u SAP'!$C$3:$C$501,"=71",'Plan prihoda za unos u SAP'!$K$3:$K$501,"=681")</f>
        <v>0</v>
      </c>
      <c r="V66" s="189">
        <f>SUMIFS('Plan prihoda za unos u SAP'!$H$3:$H$501,'Plan prihoda za unos u SAP'!$C$3:$C$501,"=81",'Plan prihoda za unos u SAP'!$K$3:$K$501,"=681")</f>
        <v>0</v>
      </c>
      <c r="W66" s="189">
        <f>SUMIFS('Plan prihoda za unos u SAP'!$H$3:$H$501,'Plan prihoda za unos u SAP'!$C$3:$C$501,"=83",'Plan prihoda za unos u SAP'!$K$3:$K$501,"=681")</f>
        <v>0</v>
      </c>
    </row>
    <row r="67" spans="1:23" s="90" customFormat="1">
      <c r="A67" s="90">
        <v>2022</v>
      </c>
      <c r="B67" s="95" t="s">
        <v>303</v>
      </c>
      <c r="C67" s="96" t="s">
        <v>304</v>
      </c>
      <c r="D67" s="70">
        <f t="shared" si="12"/>
        <v>245000</v>
      </c>
      <c r="E67" s="189">
        <f>SUMIFS('Plan prihoda za unos u SAP'!$H$3:$H$501,'Plan prihoda za unos u SAP'!$C$3:$C$501,"=11",'Plan prihoda za unos u SAP'!$K$3:$K$501,"=683")</f>
        <v>0</v>
      </c>
      <c r="F67" s="189">
        <f>SUMIFS('Plan prihoda za unos u SAP'!$H$3:$H$501,'Plan prihoda za unos u SAP'!$C$3:$C$501,"=12",'Plan prihoda za unos u SAP'!$K$3:$K$501,"=683")</f>
        <v>0</v>
      </c>
      <c r="G67" s="189">
        <f>SUMIFS('Plan prihoda za unos u SAP'!$H$3:$H$501,'Plan prihoda za unos u SAP'!$C$3:$C$501,"=31",'Plan prihoda za unos u SAP'!$K$3:$K$501,"=683")</f>
        <v>0</v>
      </c>
      <c r="H67" s="189">
        <f>SUMIFS('Plan prihoda za unos u SAP'!$H$3:$H$501,'Plan prihoda za unos u SAP'!$C$3:$C$501,"=41",'Plan prihoda za unos u SAP'!$K$3:$K$501,"=683")</f>
        <v>0</v>
      </c>
      <c r="I67" s="189">
        <f>SUMIFS('Plan prihoda za unos u SAP'!$H$3:$H$501,'Plan prihoda za unos u SAP'!$C$3:$C$501,"=43",'Plan prihoda za unos u SAP'!$K$3:$K$501,"=683")</f>
        <v>245000</v>
      </c>
      <c r="J67" s="189">
        <f>SUMIFS('Plan prihoda za unos u SAP'!$H$3:$H$501,'Plan prihoda za unos u SAP'!$C$3:$C$501,"=51",'Plan prihoda za unos u SAP'!$K$3:$K$501,"=683")</f>
        <v>0</v>
      </c>
      <c r="K67" s="189">
        <f>SUMIFS('Plan prihoda za unos u SAP'!$H$3:$H$501,'Plan prihoda za unos u SAP'!$C$3:$C$501,"=52",'Plan prihoda za unos u SAP'!$K$3:$K$501,"=683")</f>
        <v>0</v>
      </c>
      <c r="L67" s="189">
        <f>SUMIFS('Plan prihoda za unos u SAP'!$H$3:$H$501,'Plan prihoda za unos u SAP'!$C$3:$C$501,"=552",'Plan prihoda za unos u SAP'!$K$3:$K$501,"=683")</f>
        <v>0</v>
      </c>
      <c r="M67" s="189">
        <f>SUMIFS('Plan prihoda za unos u SAP'!$H$3:$H$501,'Plan prihoda za unos u SAP'!$C$3:$C$501,"=559",'Plan prihoda za unos u SAP'!$K$3:$K$501,"=683")</f>
        <v>0</v>
      </c>
      <c r="N67" s="189">
        <f>SUMIFS('Plan prihoda za unos u SAP'!$H$3:$H$501,'Plan prihoda za unos u SAP'!$C$3:$C$501,"=561",'Plan prihoda za unos u SAP'!$K$3:$K$501,"=683")</f>
        <v>0</v>
      </c>
      <c r="O67" s="189">
        <f>SUMIFS('Plan prihoda za unos u SAP'!$H$3:$H$501,'Plan prihoda za unos u SAP'!$C$3:$C$501,"=563",'Plan prihoda za unos u SAP'!$K$3:$K$501,"=683")</f>
        <v>0</v>
      </c>
      <c r="P67" s="189">
        <f>SUMIFS('Plan prihoda za unos u SAP'!$H$3:$H$501,'Plan prihoda za unos u SAP'!$C$3:$C$501,"=573",'Plan prihoda za unos u SAP'!$K$3:$K$501,"=683")</f>
        <v>0</v>
      </c>
      <c r="Q67" s="189">
        <f>SUMIFS('Plan prihoda za unos u SAP'!$H$3:$H$501,'Plan prihoda za unos u SAP'!$C$3:$C$501,"=575",'Plan prihoda za unos u SAP'!$K$3:$K$501,"=683")</f>
        <v>0</v>
      </c>
      <c r="R67" s="189">
        <f>SUMIFS('Plan prihoda za unos u SAP'!$H$3:$H$501,'Plan prihoda za unos u SAP'!$C$3:$C$501,"=576",'Plan prihoda za unos u SAP'!$K$3:$K$501,"=683")</f>
        <v>0</v>
      </c>
      <c r="S67" s="189">
        <f>SUMIFS('Plan prihoda za unos u SAP'!$H$3:$H$501,'Plan prihoda za unos u SAP'!$C$3:$C$501,"=61",'Plan prihoda za unos u SAP'!$K$3:$K$501,"=683")</f>
        <v>0</v>
      </c>
      <c r="T67" s="189">
        <f>SUMIFS('Plan prihoda za unos u SAP'!$H$3:$H$501,'Plan prihoda za unos u SAP'!$C$3:$C$501,"=63",'Plan prihoda za unos u SAP'!$K$3:$K$501,"=683")</f>
        <v>0</v>
      </c>
      <c r="U67" s="189">
        <f>SUMIFS('Plan prihoda za unos u SAP'!$H$3:$H$501,'Plan prihoda za unos u SAP'!$C$3:$C$501,"=71",'Plan prihoda za unos u SAP'!$K$3:$K$501,"=683")</f>
        <v>0</v>
      </c>
      <c r="V67" s="189">
        <f>SUMIFS('Plan prihoda za unos u SAP'!$H$3:$H$501,'Plan prihoda za unos u SAP'!$C$3:$C$501,"=81",'Plan prihoda za unos u SAP'!$K$3:$K$501,"=683")</f>
        <v>0</v>
      </c>
      <c r="W67" s="189">
        <f>SUMIFS('Plan prihoda za unos u SAP'!$H$3:$H$501,'Plan prihoda za unos u SAP'!$C$3:$C$501,"=83",'Plan prihoda za unos u SAP'!$K$3:$K$501,"=683")</f>
        <v>0</v>
      </c>
    </row>
    <row r="68" spans="1:23" s="90" customFormat="1">
      <c r="A68" s="90">
        <v>2022</v>
      </c>
      <c r="B68" s="98" t="s">
        <v>305</v>
      </c>
      <c r="C68" s="99" t="s">
        <v>306</v>
      </c>
      <c r="D68" s="70">
        <f t="shared" si="12"/>
        <v>39182445</v>
      </c>
      <c r="E68" s="4">
        <f>SUM(E52:E67)</f>
        <v>25161690</v>
      </c>
      <c r="F68" s="4">
        <f t="shared" ref="F68:W68" si="16">SUM(F52:F67)</f>
        <v>0</v>
      </c>
      <c r="G68" s="4">
        <f t="shared" si="16"/>
        <v>4735000</v>
      </c>
      <c r="H68" s="4">
        <f t="shared" si="16"/>
        <v>0</v>
      </c>
      <c r="I68" s="4">
        <f t="shared" si="16"/>
        <v>7184000</v>
      </c>
      <c r="J68" s="4">
        <f>SUM(J52:J67)</f>
        <v>1172775</v>
      </c>
      <c r="K68" s="4">
        <f t="shared" si="16"/>
        <v>258939</v>
      </c>
      <c r="L68" s="4">
        <f t="shared" si="16"/>
        <v>0</v>
      </c>
      <c r="M68" s="4">
        <f t="shared" si="16"/>
        <v>0</v>
      </c>
      <c r="N68" s="4">
        <f t="shared" si="16"/>
        <v>494041</v>
      </c>
      <c r="O68" s="4">
        <f t="shared" si="16"/>
        <v>0</v>
      </c>
      <c r="P68" s="4">
        <f t="shared" si="16"/>
        <v>0</v>
      </c>
      <c r="Q68" s="4">
        <f t="shared" si="16"/>
        <v>0</v>
      </c>
      <c r="R68" s="4">
        <f t="shared" ref="R68" si="17">SUM(R52:R67)</f>
        <v>0</v>
      </c>
      <c r="S68" s="4">
        <f t="shared" si="16"/>
        <v>176000</v>
      </c>
      <c r="T68" s="4">
        <f t="shared" si="16"/>
        <v>0</v>
      </c>
      <c r="U68" s="4">
        <f t="shared" si="16"/>
        <v>0</v>
      </c>
      <c r="V68" s="4">
        <f t="shared" si="16"/>
        <v>0</v>
      </c>
      <c r="W68" s="4">
        <f t="shared" si="16"/>
        <v>0</v>
      </c>
    </row>
    <row r="69" spans="1:23" s="90" customFormat="1">
      <c r="A69" s="90">
        <v>2022</v>
      </c>
      <c r="B69" s="95" t="s">
        <v>318</v>
      </c>
      <c r="C69" s="100" t="s">
        <v>319</v>
      </c>
      <c r="D69" s="70">
        <f t="shared" si="12"/>
        <v>0</v>
      </c>
      <c r="E69" s="189">
        <f>SUMIFS('Plan prihoda za unos u SAP'!$H$3:$H$501,'Plan prihoda za unos u SAP'!$C$3:$C$501,"=11",'Plan prihoda za unos u SAP'!$K$3:$K$501,"=711")</f>
        <v>0</v>
      </c>
      <c r="F69" s="189">
        <f>SUMIFS('Plan prihoda za unos u SAP'!$H$3:$H$501,'Plan prihoda za unos u SAP'!$C$3:$C$501,"=12",'Plan prihoda za unos u SAP'!$K$3:$K$501,"=711")</f>
        <v>0</v>
      </c>
      <c r="G69" s="189">
        <f>SUMIFS('Plan prihoda za unos u SAP'!$H$3:$H$501,'Plan prihoda za unos u SAP'!$C$3:$C$501,"=31",'Plan prihoda za unos u SAP'!$K$3:$K$501,"=711")</f>
        <v>0</v>
      </c>
      <c r="H69" s="189">
        <f>SUMIFS('Plan prihoda za unos u SAP'!$H$3:$H$501,'Plan prihoda za unos u SAP'!$C$3:$C$501,"=41",'Plan prihoda za unos u SAP'!$K$3:$K$501,"=711")</f>
        <v>0</v>
      </c>
      <c r="I69" s="189">
        <f>SUMIFS('Plan prihoda za unos u SAP'!$H$3:$H$501,'Plan prihoda za unos u SAP'!$C$3:$C$501,"=43",'Plan prihoda za unos u SAP'!$K$3:$K$501,"=711")</f>
        <v>0</v>
      </c>
      <c r="J69" s="189">
        <f>SUMIFS('Plan prihoda za unos u SAP'!$H$3:$H$501,'Plan prihoda za unos u SAP'!$C$3:$C$501,"=51",'Plan prihoda za unos u SAP'!$K$3:$K$501,"=711")</f>
        <v>0</v>
      </c>
      <c r="K69" s="189">
        <f>SUMIFS('Plan prihoda za unos u SAP'!$H$3:$H$501,'Plan prihoda za unos u SAP'!$C$3:$C$501,"=52",'Plan prihoda za unos u SAP'!$K$3:$K$501,"=711")</f>
        <v>0</v>
      </c>
      <c r="L69" s="189">
        <f>SUMIFS('Plan prihoda za unos u SAP'!$H$3:$H$501,'Plan prihoda za unos u SAP'!$C$3:$C$501,"=552",'Plan prihoda za unos u SAP'!$K$3:$K$501,"=711")</f>
        <v>0</v>
      </c>
      <c r="M69" s="189">
        <f>SUMIFS('Plan prihoda za unos u SAP'!$H$3:$H$501,'Plan prihoda za unos u SAP'!$C$3:$C$501,"=559",'Plan prihoda za unos u SAP'!$K$3:$K$501,"=711")</f>
        <v>0</v>
      </c>
      <c r="N69" s="189">
        <f>SUMIFS('Plan prihoda za unos u SAP'!$H$3:$H$501,'Plan prihoda za unos u SAP'!$C$3:$C$501,"=561",'Plan prihoda za unos u SAP'!$K$3:$K$501,"=711")</f>
        <v>0</v>
      </c>
      <c r="O69" s="189">
        <f>SUMIFS('Plan prihoda za unos u SAP'!$H$3:$H$501,'Plan prihoda za unos u SAP'!$C$3:$C$501,"=563",'Plan prihoda za unos u SAP'!$K$3:$K$501,"=711")</f>
        <v>0</v>
      </c>
      <c r="P69" s="189">
        <f>SUMIFS('Plan prihoda za unos u SAP'!$H$3:$H$501,'Plan prihoda za unos u SAP'!$C$3:$C$501,"=573",'Plan prihoda za unos u SAP'!$K$3:$K$501,"=711")</f>
        <v>0</v>
      </c>
      <c r="Q69" s="189">
        <f>SUMIFS('Plan prihoda za unos u SAP'!$H$3:$H$501,'Plan prihoda za unos u SAP'!$C$3:$C$501,"=575",'Plan prihoda za unos u SAP'!$K$3:$K$501,"=711")</f>
        <v>0</v>
      </c>
      <c r="R69" s="189">
        <f>SUMIFS('Plan prihoda za unos u SAP'!$H$3:$H$501,'Plan prihoda za unos u SAP'!$C$3:$C$501,"=576",'Plan prihoda za unos u SAP'!$K$3:$K$501,"=711")</f>
        <v>0</v>
      </c>
      <c r="S69" s="189">
        <f>SUMIFS('Plan prihoda za unos u SAP'!$H$3:$H$501,'Plan prihoda za unos u SAP'!$C$3:$C$501,"=61",'Plan prihoda za unos u SAP'!$K$3:$K$501,"=711")</f>
        <v>0</v>
      </c>
      <c r="T69" s="189">
        <f>SUMIFS('Plan prihoda za unos u SAP'!$H$3:$H$501,'Plan prihoda za unos u SAP'!$C$3:$C$501,"=63",'Plan prihoda za unos u SAP'!$K$3:$K$501,"=711")</f>
        <v>0</v>
      </c>
      <c r="U69" s="189">
        <f>SUMIFS('Plan prihoda za unos u SAP'!$H$3:$H$501,'Plan prihoda za unos u SAP'!$C$3:$C$501,"=71",'Plan prihoda za unos u SAP'!$K$3:$K$501,"=711")</f>
        <v>0</v>
      </c>
      <c r="V69" s="189">
        <f>SUMIFS('Plan prihoda za unos u SAP'!$H$3:$H$501,'Plan prihoda za unos u SAP'!$C$3:$C$501,"=81",'Plan prihoda za unos u SAP'!$K$3:$K$501,"=711")</f>
        <v>0</v>
      </c>
      <c r="W69" s="189">
        <f>SUMIFS('Plan prihoda za unos u SAP'!$H$3:$H$501,'Plan prihoda za unos u SAP'!$C$3:$C$501,"=83",'Plan prihoda za unos u SAP'!$K$3:$K$501,"=711")</f>
        <v>0</v>
      </c>
    </row>
    <row r="70" spans="1:23" s="90" customFormat="1">
      <c r="A70" s="90">
        <v>2022</v>
      </c>
      <c r="B70" s="95" t="s">
        <v>320</v>
      </c>
      <c r="C70" s="100" t="s">
        <v>321</v>
      </c>
      <c r="D70" s="70">
        <f t="shared" si="12"/>
        <v>0</v>
      </c>
      <c r="E70" s="189">
        <f>SUMIFS('Plan prihoda za unos u SAP'!$H$3:$H$501,'Plan prihoda za unos u SAP'!$C$3:$C$501,"=11",'Plan prihoda za unos u SAP'!$K$3:$K$501,"=712")</f>
        <v>0</v>
      </c>
      <c r="F70" s="189">
        <f>SUMIFS('Plan prihoda za unos u SAP'!$H$3:$H$501,'Plan prihoda za unos u SAP'!$C$3:$C$501,"=12",'Plan prihoda za unos u SAP'!$K$3:$K$501,"=712")</f>
        <v>0</v>
      </c>
      <c r="G70" s="189">
        <f>SUMIFS('Plan prihoda za unos u SAP'!$H$3:$H$501,'Plan prihoda za unos u SAP'!$C$3:$C$501,"=31",'Plan prihoda za unos u SAP'!$K$3:$K$501,"=712")</f>
        <v>0</v>
      </c>
      <c r="H70" s="189">
        <f>SUMIFS('Plan prihoda za unos u SAP'!$H$3:$H$501,'Plan prihoda za unos u SAP'!$C$3:$C$501,"=41",'Plan prihoda za unos u SAP'!$K$3:$K$501,"=712")</f>
        <v>0</v>
      </c>
      <c r="I70" s="189">
        <f>SUMIFS('Plan prihoda za unos u SAP'!$H$3:$H$501,'Plan prihoda za unos u SAP'!$C$3:$C$501,"=43",'Plan prihoda za unos u SAP'!$K$3:$K$501,"=712")</f>
        <v>0</v>
      </c>
      <c r="J70" s="189">
        <f>SUMIFS('Plan prihoda za unos u SAP'!$H$3:$H$501,'Plan prihoda za unos u SAP'!$C$3:$C$501,"=51",'Plan prihoda za unos u SAP'!$K$3:$K$501,"=712")</f>
        <v>0</v>
      </c>
      <c r="K70" s="189">
        <f>SUMIFS('Plan prihoda za unos u SAP'!$H$3:$H$501,'Plan prihoda za unos u SAP'!$C$3:$C$501,"=52",'Plan prihoda za unos u SAP'!$K$3:$K$501,"=712")</f>
        <v>0</v>
      </c>
      <c r="L70" s="189">
        <f>SUMIFS('Plan prihoda za unos u SAP'!$H$3:$H$501,'Plan prihoda za unos u SAP'!$C$3:$C$501,"=552",'Plan prihoda za unos u SAP'!$K$3:$K$501,"=712")</f>
        <v>0</v>
      </c>
      <c r="M70" s="189">
        <f>SUMIFS('Plan prihoda za unos u SAP'!$H$3:$H$501,'Plan prihoda za unos u SAP'!$C$3:$C$501,"=559",'Plan prihoda za unos u SAP'!$K$3:$K$501,"=712")</f>
        <v>0</v>
      </c>
      <c r="N70" s="189">
        <f>SUMIFS('Plan prihoda za unos u SAP'!$H$3:$H$501,'Plan prihoda za unos u SAP'!$C$3:$C$501,"=561",'Plan prihoda za unos u SAP'!$K$3:$K$501,"=712")</f>
        <v>0</v>
      </c>
      <c r="O70" s="189">
        <f>SUMIFS('Plan prihoda za unos u SAP'!$H$3:$H$501,'Plan prihoda za unos u SAP'!$C$3:$C$501,"=563",'Plan prihoda za unos u SAP'!$K$3:$K$501,"=712")</f>
        <v>0</v>
      </c>
      <c r="P70" s="189">
        <f>SUMIFS('Plan prihoda za unos u SAP'!$H$3:$H$501,'Plan prihoda za unos u SAP'!$C$3:$C$501,"=573",'Plan prihoda za unos u SAP'!$K$3:$K$501,"=712")</f>
        <v>0</v>
      </c>
      <c r="Q70" s="189">
        <f>SUMIFS('Plan prihoda za unos u SAP'!$H$3:$H$501,'Plan prihoda za unos u SAP'!$C$3:$C$501,"=575",'Plan prihoda za unos u SAP'!$K$3:$K$501,"=712")</f>
        <v>0</v>
      </c>
      <c r="R70" s="189">
        <f>SUMIFS('Plan prihoda za unos u SAP'!$H$3:$H$501,'Plan prihoda za unos u SAP'!$C$3:$C$501,"=576",'Plan prihoda za unos u SAP'!$K$3:$K$501,"=712")</f>
        <v>0</v>
      </c>
      <c r="S70" s="189">
        <f>SUMIFS('Plan prihoda za unos u SAP'!$H$3:$H$501,'Plan prihoda za unos u SAP'!$C$3:$C$501,"=61",'Plan prihoda za unos u SAP'!$K$3:$K$501,"=712")</f>
        <v>0</v>
      </c>
      <c r="T70" s="189">
        <f>SUMIFS('Plan prihoda za unos u SAP'!$H$3:$H$501,'Plan prihoda za unos u SAP'!$C$3:$C$501,"=63",'Plan prihoda za unos u SAP'!$K$3:$K$501,"=712")</f>
        <v>0</v>
      </c>
      <c r="U70" s="189">
        <f>SUMIFS('Plan prihoda za unos u SAP'!$H$3:$H$501,'Plan prihoda za unos u SAP'!$C$3:$C$501,"=71",'Plan prihoda za unos u SAP'!$K$3:$K$501,"=712")</f>
        <v>0</v>
      </c>
      <c r="V70" s="189">
        <f>SUMIFS('Plan prihoda za unos u SAP'!$H$3:$H$501,'Plan prihoda za unos u SAP'!$C$3:$C$501,"=81",'Plan prihoda za unos u SAP'!$K$3:$K$501,"=712")</f>
        <v>0</v>
      </c>
      <c r="W70" s="189">
        <f>SUMIFS('Plan prihoda za unos u SAP'!$H$3:$H$501,'Plan prihoda za unos u SAP'!$C$3:$C$501,"=83",'Plan prihoda za unos u SAP'!$K$3:$K$501,"=712")</f>
        <v>0</v>
      </c>
    </row>
    <row r="71" spans="1:23" s="90" customFormat="1">
      <c r="A71" s="90">
        <v>2022</v>
      </c>
      <c r="B71" s="95" t="s">
        <v>307</v>
      </c>
      <c r="C71" s="100" t="s">
        <v>308</v>
      </c>
      <c r="D71" s="70">
        <f t="shared" si="12"/>
        <v>0</v>
      </c>
      <c r="E71" s="189">
        <f>SUMIFS('Plan prihoda za unos u SAP'!$H$3:$H$501,'Plan prihoda za unos u SAP'!$C$3:$C$501,"=11",'Plan prihoda za unos u SAP'!$K$3:$K$501,"=721")</f>
        <v>0</v>
      </c>
      <c r="F71" s="189">
        <f>SUMIFS('Plan prihoda za unos u SAP'!$H$3:$H$501,'Plan prihoda za unos u SAP'!$C$3:$C$501,"=12",'Plan prihoda za unos u SAP'!$K$3:$K$501,"=721")</f>
        <v>0</v>
      </c>
      <c r="G71" s="189">
        <f>SUMIFS('Plan prihoda za unos u SAP'!$H$3:$H$501,'Plan prihoda za unos u SAP'!$C$3:$C$501,"=31",'Plan prihoda za unos u SAP'!$K$3:$K$501,"=721")</f>
        <v>0</v>
      </c>
      <c r="H71" s="189">
        <f>SUMIFS('Plan prihoda za unos u SAP'!$H$3:$H$501,'Plan prihoda za unos u SAP'!$C$3:$C$501,"=41",'Plan prihoda za unos u SAP'!$K$3:$K$501,"=721")</f>
        <v>0</v>
      </c>
      <c r="I71" s="189">
        <f>SUMIFS('Plan prihoda za unos u SAP'!$H$3:$H$501,'Plan prihoda za unos u SAP'!$C$3:$C$501,"=43",'Plan prihoda za unos u SAP'!$K$3:$K$501,"=721")</f>
        <v>0</v>
      </c>
      <c r="J71" s="189">
        <f>SUMIFS('Plan prihoda za unos u SAP'!$H$3:$H$501,'Plan prihoda za unos u SAP'!$C$3:$C$501,"=51",'Plan prihoda za unos u SAP'!$K$3:$K$501,"=721")</f>
        <v>0</v>
      </c>
      <c r="K71" s="189">
        <f>SUMIFS('Plan prihoda za unos u SAP'!$H$3:$H$501,'Plan prihoda za unos u SAP'!$C$3:$C$501,"=52",'Plan prihoda za unos u SAP'!$K$3:$K$501,"=721")</f>
        <v>0</v>
      </c>
      <c r="L71" s="189">
        <f>SUMIFS('Plan prihoda za unos u SAP'!$H$3:$H$501,'Plan prihoda za unos u SAP'!$C$3:$C$501,"=552",'Plan prihoda za unos u SAP'!$K$3:$K$501,"=721")</f>
        <v>0</v>
      </c>
      <c r="M71" s="189">
        <f>SUMIFS('Plan prihoda za unos u SAP'!$H$3:$H$501,'Plan prihoda za unos u SAP'!$C$3:$C$501,"=559",'Plan prihoda za unos u SAP'!$K$3:$K$501,"=721")</f>
        <v>0</v>
      </c>
      <c r="N71" s="189">
        <f>SUMIFS('Plan prihoda za unos u SAP'!$H$3:$H$501,'Plan prihoda za unos u SAP'!$C$3:$C$501,"=561",'Plan prihoda za unos u SAP'!$K$3:$K$501,"=721")</f>
        <v>0</v>
      </c>
      <c r="O71" s="189">
        <f>SUMIFS('Plan prihoda za unos u SAP'!$H$3:$H$501,'Plan prihoda za unos u SAP'!$C$3:$C$501,"=563",'Plan prihoda za unos u SAP'!$K$3:$K$501,"=721")</f>
        <v>0</v>
      </c>
      <c r="P71" s="189">
        <f>SUMIFS('Plan prihoda za unos u SAP'!$H$3:$H$501,'Plan prihoda za unos u SAP'!$C$3:$C$501,"=573",'Plan prihoda za unos u SAP'!$K$3:$K$501,"=721")</f>
        <v>0</v>
      </c>
      <c r="Q71" s="189">
        <f>SUMIFS('Plan prihoda za unos u SAP'!$H$3:$H$501,'Plan prihoda za unos u SAP'!$C$3:$C$501,"=575",'Plan prihoda za unos u SAP'!$K$3:$K$501,"=721")</f>
        <v>0</v>
      </c>
      <c r="R71" s="189">
        <f>SUMIFS('Plan prihoda za unos u SAP'!$H$3:$H$501,'Plan prihoda za unos u SAP'!$C$3:$C$501,"=576",'Plan prihoda za unos u SAP'!$K$3:$K$501,"=721")</f>
        <v>0</v>
      </c>
      <c r="S71" s="189">
        <f>SUMIFS('Plan prihoda za unos u SAP'!$H$3:$H$501,'Plan prihoda za unos u SAP'!$C$3:$C$501,"=61",'Plan prihoda za unos u SAP'!$K$3:$K$501,"=721")</f>
        <v>0</v>
      </c>
      <c r="T71" s="189">
        <f>SUMIFS('Plan prihoda za unos u SAP'!$H$3:$H$501,'Plan prihoda za unos u SAP'!$C$3:$C$501,"=63",'Plan prihoda za unos u SAP'!$K$3:$K$501,"=721")</f>
        <v>0</v>
      </c>
      <c r="U71" s="189">
        <f>SUMIFS('Plan prihoda za unos u SAP'!$H$3:$H$501,'Plan prihoda za unos u SAP'!$C$3:$C$501,"=71",'Plan prihoda za unos u SAP'!$K$3:$K$501,"=721")</f>
        <v>0</v>
      </c>
      <c r="V71" s="189">
        <f>SUMIFS('Plan prihoda za unos u SAP'!$H$3:$H$501,'Plan prihoda za unos u SAP'!$C$3:$C$501,"=81",'Plan prihoda za unos u SAP'!$K$3:$K$501,"=721")</f>
        <v>0</v>
      </c>
      <c r="W71" s="189">
        <f>SUMIFS('Plan prihoda za unos u SAP'!$H$3:$H$501,'Plan prihoda za unos u SAP'!$C$3:$C$501,"=83",'Plan prihoda za unos u SAP'!$K$3:$K$501,"=721")</f>
        <v>0</v>
      </c>
    </row>
    <row r="72" spans="1:23" s="90" customFormat="1">
      <c r="A72" s="90">
        <v>2022</v>
      </c>
      <c r="B72" s="95" t="s">
        <v>309</v>
      </c>
      <c r="C72" s="100" t="s">
        <v>310</v>
      </c>
      <c r="D72" s="70">
        <f t="shared" si="12"/>
        <v>0</v>
      </c>
      <c r="E72" s="189">
        <f>SUMIFS('Plan prihoda za unos u SAP'!$H$3:$H$501,'Plan prihoda za unos u SAP'!$C$3:$C$501,"=11",'Plan prihoda za unos u SAP'!$K$3:$K$501,"=722")</f>
        <v>0</v>
      </c>
      <c r="F72" s="189">
        <f>SUMIFS('Plan prihoda za unos u SAP'!$H$3:$H$501,'Plan prihoda za unos u SAP'!$C$3:$C$501,"=12",'Plan prihoda za unos u SAP'!$K$3:$K$501,"=722")</f>
        <v>0</v>
      </c>
      <c r="G72" s="189">
        <f>SUMIFS('Plan prihoda za unos u SAP'!$H$3:$H$501,'Plan prihoda za unos u SAP'!$C$3:$C$501,"=31",'Plan prihoda za unos u SAP'!$K$3:$K$501,"=722")</f>
        <v>0</v>
      </c>
      <c r="H72" s="189">
        <f>SUMIFS('Plan prihoda za unos u SAP'!$H$3:$H$501,'Plan prihoda za unos u SAP'!$C$3:$C$501,"=41",'Plan prihoda za unos u SAP'!$K$3:$K$501,"=722")</f>
        <v>0</v>
      </c>
      <c r="I72" s="189">
        <f>SUMIFS('Plan prihoda za unos u SAP'!$H$3:$H$501,'Plan prihoda za unos u SAP'!$C$3:$C$501,"=43",'Plan prihoda za unos u SAP'!$K$3:$K$501,"=722")</f>
        <v>0</v>
      </c>
      <c r="J72" s="189">
        <f>SUMIFS('Plan prihoda za unos u SAP'!$H$3:$H$501,'Plan prihoda za unos u SAP'!$C$3:$C$501,"=51",'Plan prihoda za unos u SAP'!$K$3:$K$501,"=722")</f>
        <v>0</v>
      </c>
      <c r="K72" s="189">
        <f>SUMIFS('Plan prihoda za unos u SAP'!$H$3:$H$501,'Plan prihoda za unos u SAP'!$C$3:$C$501,"=52",'Plan prihoda za unos u SAP'!$K$3:$K$501,"=722")</f>
        <v>0</v>
      </c>
      <c r="L72" s="189">
        <f>SUMIFS('Plan prihoda za unos u SAP'!$H$3:$H$501,'Plan prihoda za unos u SAP'!$C$3:$C$501,"=552",'Plan prihoda za unos u SAP'!$K$3:$K$501,"=722")</f>
        <v>0</v>
      </c>
      <c r="M72" s="189">
        <f>SUMIFS('Plan prihoda za unos u SAP'!$H$3:$H$501,'Plan prihoda za unos u SAP'!$C$3:$C$501,"=559",'Plan prihoda za unos u SAP'!$K$3:$K$501,"=722")</f>
        <v>0</v>
      </c>
      <c r="N72" s="189">
        <f>SUMIFS('Plan prihoda za unos u SAP'!$H$3:$H$501,'Plan prihoda za unos u SAP'!$C$3:$C$501,"=561",'Plan prihoda za unos u SAP'!$K$3:$K$501,"=722")</f>
        <v>0</v>
      </c>
      <c r="O72" s="189">
        <f>SUMIFS('Plan prihoda za unos u SAP'!$H$3:$H$501,'Plan prihoda za unos u SAP'!$C$3:$C$501,"=563",'Plan prihoda za unos u SAP'!$K$3:$K$501,"=722")</f>
        <v>0</v>
      </c>
      <c r="P72" s="189">
        <f>SUMIFS('Plan prihoda za unos u SAP'!$H$3:$H$501,'Plan prihoda za unos u SAP'!$C$3:$C$501,"=573",'Plan prihoda za unos u SAP'!$K$3:$K$501,"=722")</f>
        <v>0</v>
      </c>
      <c r="Q72" s="189">
        <f>SUMIFS('Plan prihoda za unos u SAP'!$H$3:$H$501,'Plan prihoda za unos u SAP'!$C$3:$C$501,"=575",'Plan prihoda za unos u SAP'!$K$3:$K$501,"=722")</f>
        <v>0</v>
      </c>
      <c r="R72" s="189">
        <f>SUMIFS('Plan prihoda za unos u SAP'!$H$3:$H$501,'Plan prihoda za unos u SAP'!$C$3:$C$501,"=576",'Plan prihoda za unos u SAP'!$K$3:$K$501,"=722")</f>
        <v>0</v>
      </c>
      <c r="S72" s="189">
        <f>SUMIFS('Plan prihoda za unos u SAP'!$H$3:$H$501,'Plan prihoda za unos u SAP'!$C$3:$C$501,"=61",'Plan prihoda za unos u SAP'!$K$3:$K$501,"=722")</f>
        <v>0</v>
      </c>
      <c r="T72" s="189">
        <f>SUMIFS('Plan prihoda za unos u SAP'!$H$3:$H$501,'Plan prihoda za unos u SAP'!$C$3:$C$501,"=63",'Plan prihoda za unos u SAP'!$K$3:$K$501,"=722")</f>
        <v>0</v>
      </c>
      <c r="U72" s="189">
        <f>SUMIFS('Plan prihoda za unos u SAP'!$H$3:$H$501,'Plan prihoda za unos u SAP'!$C$3:$C$501,"=71",'Plan prihoda za unos u SAP'!$K$3:$K$501,"=722")</f>
        <v>0</v>
      </c>
      <c r="V72" s="189">
        <f>SUMIFS('Plan prihoda za unos u SAP'!$H$3:$H$501,'Plan prihoda za unos u SAP'!$C$3:$C$501,"=81",'Plan prihoda za unos u SAP'!$K$3:$K$501,"=722")</f>
        <v>0</v>
      </c>
      <c r="W72" s="189">
        <f>SUMIFS('Plan prihoda za unos u SAP'!$H$3:$H$501,'Plan prihoda za unos u SAP'!$C$3:$C$501,"=83",'Plan prihoda za unos u SAP'!$K$3:$K$501,"=722")</f>
        <v>0</v>
      </c>
    </row>
    <row r="73" spans="1:23" s="90" customFormat="1">
      <c r="A73" s="90">
        <v>2022</v>
      </c>
      <c r="B73" s="95" t="s">
        <v>311</v>
      </c>
      <c r="C73" s="100" t="s">
        <v>312</v>
      </c>
      <c r="D73" s="70">
        <f t="shared" si="12"/>
        <v>0</v>
      </c>
      <c r="E73" s="189">
        <f>SUMIFS('Plan prihoda za unos u SAP'!$H$3:$H$501,'Plan prihoda za unos u SAP'!$C$3:$C$501,"=11",'Plan prihoda za unos u SAP'!$K$3:$K$501,"=723")</f>
        <v>0</v>
      </c>
      <c r="F73" s="189">
        <f>SUMIFS('Plan prihoda za unos u SAP'!$H$3:$H$501,'Plan prihoda za unos u SAP'!$C$3:$C$501,"=12",'Plan prihoda za unos u SAP'!$K$3:$K$501,"=723")</f>
        <v>0</v>
      </c>
      <c r="G73" s="189">
        <f>SUMIFS('Plan prihoda za unos u SAP'!$H$3:$H$501,'Plan prihoda za unos u SAP'!$C$3:$C$501,"=31",'Plan prihoda za unos u SAP'!$K$3:$K$501,"=723")</f>
        <v>0</v>
      </c>
      <c r="H73" s="189">
        <f>SUMIFS('Plan prihoda za unos u SAP'!$H$3:$H$501,'Plan prihoda za unos u SAP'!$C$3:$C$501,"=41",'Plan prihoda za unos u SAP'!$K$3:$K$501,"=723")</f>
        <v>0</v>
      </c>
      <c r="I73" s="189">
        <f>SUMIFS('Plan prihoda za unos u SAP'!$H$3:$H$501,'Plan prihoda za unos u SAP'!$C$3:$C$501,"=43",'Plan prihoda za unos u SAP'!$K$3:$K$501,"=723")</f>
        <v>0</v>
      </c>
      <c r="J73" s="189">
        <f>SUMIFS('Plan prihoda za unos u SAP'!$H$3:$H$501,'Plan prihoda za unos u SAP'!$C$3:$C$501,"=51",'Plan prihoda za unos u SAP'!$K$3:$K$501,"=723")</f>
        <v>0</v>
      </c>
      <c r="K73" s="189">
        <f>SUMIFS('Plan prihoda za unos u SAP'!$H$3:$H$501,'Plan prihoda za unos u SAP'!$C$3:$C$501,"=52",'Plan prihoda za unos u SAP'!$K$3:$K$501,"=723")</f>
        <v>0</v>
      </c>
      <c r="L73" s="189">
        <f>SUMIFS('Plan prihoda za unos u SAP'!$H$3:$H$501,'Plan prihoda za unos u SAP'!$C$3:$C$501,"=552",'Plan prihoda za unos u SAP'!$K$3:$K$501,"=723")</f>
        <v>0</v>
      </c>
      <c r="M73" s="189">
        <f>SUMIFS('Plan prihoda za unos u SAP'!$H$3:$H$501,'Plan prihoda za unos u SAP'!$C$3:$C$501,"=559",'Plan prihoda za unos u SAP'!$K$3:$K$501,"=723")</f>
        <v>0</v>
      </c>
      <c r="N73" s="189">
        <f>SUMIFS('Plan prihoda za unos u SAP'!$H$3:$H$501,'Plan prihoda za unos u SAP'!$C$3:$C$501,"=561",'Plan prihoda za unos u SAP'!$K$3:$K$501,"=723")</f>
        <v>0</v>
      </c>
      <c r="O73" s="189">
        <f>SUMIFS('Plan prihoda za unos u SAP'!$H$3:$H$501,'Plan prihoda za unos u SAP'!$C$3:$C$501,"=563",'Plan prihoda za unos u SAP'!$K$3:$K$501,"=723")</f>
        <v>0</v>
      </c>
      <c r="P73" s="189">
        <f>SUMIFS('Plan prihoda za unos u SAP'!$H$3:$H$501,'Plan prihoda za unos u SAP'!$C$3:$C$501,"=573",'Plan prihoda za unos u SAP'!$K$3:$K$501,"=723")</f>
        <v>0</v>
      </c>
      <c r="Q73" s="189">
        <f>SUMIFS('Plan prihoda za unos u SAP'!$H$3:$H$501,'Plan prihoda za unos u SAP'!$C$3:$C$501,"=575",'Plan prihoda za unos u SAP'!$K$3:$K$501,"=723")</f>
        <v>0</v>
      </c>
      <c r="R73" s="189">
        <f>SUMIFS('Plan prihoda za unos u SAP'!$H$3:$H$501,'Plan prihoda za unos u SAP'!$C$3:$C$501,"=576",'Plan prihoda za unos u SAP'!$K$3:$K$501,"=723")</f>
        <v>0</v>
      </c>
      <c r="S73" s="189">
        <f>SUMIFS('Plan prihoda za unos u SAP'!$H$3:$H$501,'Plan prihoda za unos u SAP'!$C$3:$C$501,"=61",'Plan prihoda za unos u SAP'!$K$3:$K$501,"=723")</f>
        <v>0</v>
      </c>
      <c r="T73" s="189">
        <f>SUMIFS('Plan prihoda za unos u SAP'!$H$3:$H$501,'Plan prihoda za unos u SAP'!$C$3:$C$501,"=63",'Plan prihoda za unos u SAP'!$K$3:$K$501,"=723")</f>
        <v>0</v>
      </c>
      <c r="U73" s="189">
        <f>SUMIFS('Plan prihoda za unos u SAP'!$H$3:$H$501,'Plan prihoda za unos u SAP'!$C$3:$C$501,"=71",'Plan prihoda za unos u SAP'!$K$3:$K$501,"=723")</f>
        <v>0</v>
      </c>
      <c r="V73" s="189">
        <f>SUMIFS('Plan prihoda za unos u SAP'!$H$3:$H$501,'Plan prihoda za unos u SAP'!$C$3:$C$501,"=81",'Plan prihoda za unos u SAP'!$K$3:$K$501,"=723")</f>
        <v>0</v>
      </c>
      <c r="W73" s="189">
        <f>SUMIFS('Plan prihoda za unos u SAP'!$H$3:$H$501,'Plan prihoda za unos u SAP'!$C$3:$C$501,"=83",'Plan prihoda za unos u SAP'!$K$3:$K$501,"=723")</f>
        <v>0</v>
      </c>
    </row>
    <row r="74" spans="1:23" s="90" customFormat="1">
      <c r="A74" s="90">
        <v>2022</v>
      </c>
      <c r="B74" s="95" t="s">
        <v>322</v>
      </c>
      <c r="C74" s="100" t="s">
        <v>323</v>
      </c>
      <c r="D74" s="70">
        <f t="shared" si="12"/>
        <v>0</v>
      </c>
      <c r="E74" s="189">
        <f>SUMIFS('Plan prihoda za unos u SAP'!$H$3:$H$501,'Plan prihoda za unos u SAP'!$C$3:$C$501,"=11",'Plan prihoda za unos u SAP'!$K$3:$K$501,"=725")</f>
        <v>0</v>
      </c>
      <c r="F74" s="189">
        <f>SUMIFS('Plan prihoda za unos u SAP'!$H$3:$H$501,'Plan prihoda za unos u SAP'!$C$3:$C$501,"=12",'Plan prihoda za unos u SAP'!$K$3:$K$501,"=725")</f>
        <v>0</v>
      </c>
      <c r="G74" s="189">
        <f>SUMIFS('Plan prihoda za unos u SAP'!$H$3:$H$501,'Plan prihoda za unos u SAP'!$C$3:$C$501,"=31",'Plan prihoda za unos u SAP'!$K$3:$K$501,"=725")</f>
        <v>0</v>
      </c>
      <c r="H74" s="189">
        <f>SUMIFS('Plan prihoda za unos u SAP'!$H$3:$H$501,'Plan prihoda za unos u SAP'!$C$3:$C$501,"=41",'Plan prihoda za unos u SAP'!$K$3:$K$501,"=725")</f>
        <v>0</v>
      </c>
      <c r="I74" s="189">
        <f>SUMIFS('Plan prihoda za unos u SAP'!$H$3:$H$501,'Plan prihoda za unos u SAP'!$C$3:$C$501,"=43",'Plan prihoda za unos u SAP'!$K$3:$K$501,"=725")</f>
        <v>0</v>
      </c>
      <c r="J74" s="189">
        <f>SUMIFS('Plan prihoda za unos u SAP'!$H$3:$H$501,'Plan prihoda za unos u SAP'!$C$3:$C$501,"=51",'Plan prihoda za unos u SAP'!$K$3:$K$501,"=725")</f>
        <v>0</v>
      </c>
      <c r="K74" s="189">
        <f>SUMIFS('Plan prihoda za unos u SAP'!$H$3:$H$501,'Plan prihoda za unos u SAP'!$C$3:$C$501,"=52",'Plan prihoda za unos u SAP'!$K$3:$K$501,"=725")</f>
        <v>0</v>
      </c>
      <c r="L74" s="189">
        <f>SUMIFS('Plan prihoda za unos u SAP'!$H$3:$H$501,'Plan prihoda za unos u SAP'!$C$3:$C$501,"=552",'Plan prihoda za unos u SAP'!$K$3:$K$501,"=725")</f>
        <v>0</v>
      </c>
      <c r="M74" s="189">
        <f>SUMIFS('Plan prihoda za unos u SAP'!$H$3:$H$501,'Plan prihoda za unos u SAP'!$C$3:$C$501,"=559",'Plan prihoda za unos u SAP'!$K$3:$K$501,"=725")</f>
        <v>0</v>
      </c>
      <c r="N74" s="189">
        <f>SUMIFS('Plan prihoda za unos u SAP'!$H$3:$H$501,'Plan prihoda za unos u SAP'!$C$3:$C$501,"=561",'Plan prihoda za unos u SAP'!$K$3:$K$501,"=725")</f>
        <v>0</v>
      </c>
      <c r="O74" s="189">
        <f>SUMIFS('Plan prihoda za unos u SAP'!$H$3:$H$501,'Plan prihoda za unos u SAP'!$C$3:$C$501,"=563",'Plan prihoda za unos u SAP'!$K$3:$K$501,"=725")</f>
        <v>0</v>
      </c>
      <c r="P74" s="189">
        <f>SUMIFS('Plan prihoda za unos u SAP'!$H$3:$H$501,'Plan prihoda za unos u SAP'!$C$3:$C$501,"=573",'Plan prihoda za unos u SAP'!$K$3:$K$501,"=725")</f>
        <v>0</v>
      </c>
      <c r="Q74" s="189">
        <f>SUMIFS('Plan prihoda za unos u SAP'!$H$3:$H$501,'Plan prihoda za unos u SAP'!$C$3:$C$501,"=575",'Plan prihoda za unos u SAP'!$K$3:$K$501,"=725")</f>
        <v>0</v>
      </c>
      <c r="R74" s="189">
        <f>SUMIFS('Plan prihoda za unos u SAP'!$H$3:$H$501,'Plan prihoda za unos u SAP'!$C$3:$C$501,"=576",'Plan prihoda za unos u SAP'!$K$3:$K$501,"=725")</f>
        <v>0</v>
      </c>
      <c r="S74" s="189">
        <f>SUMIFS('Plan prihoda za unos u SAP'!$H$3:$H$501,'Plan prihoda za unos u SAP'!$C$3:$C$501,"=61",'Plan prihoda za unos u SAP'!$K$3:$K$501,"=725")</f>
        <v>0</v>
      </c>
      <c r="T74" s="189">
        <f>SUMIFS('Plan prihoda za unos u SAP'!$H$3:$H$501,'Plan prihoda za unos u SAP'!$C$3:$C$501,"=63",'Plan prihoda za unos u SAP'!$K$3:$K$501,"=725")</f>
        <v>0</v>
      </c>
      <c r="U74" s="189">
        <f>SUMIFS('Plan prihoda za unos u SAP'!$H$3:$H$501,'Plan prihoda za unos u SAP'!$C$3:$C$501,"=71",'Plan prihoda za unos u SAP'!$K$3:$K$501,"=725")</f>
        <v>0</v>
      </c>
      <c r="V74" s="189">
        <f>SUMIFS('Plan prihoda za unos u SAP'!$H$3:$H$501,'Plan prihoda za unos u SAP'!$C$3:$C$501,"=81",'Plan prihoda za unos u SAP'!$K$3:$K$501,"=725")</f>
        <v>0</v>
      </c>
      <c r="W74" s="189">
        <f>SUMIFS('Plan prihoda za unos u SAP'!$H$3:$H$501,'Plan prihoda za unos u SAP'!$C$3:$C$501,"=83",'Plan prihoda za unos u SAP'!$K$3:$K$501,"=725")</f>
        <v>0</v>
      </c>
    </row>
    <row r="75" spans="1:23" s="90" customFormat="1">
      <c r="A75" s="90">
        <v>2022</v>
      </c>
      <c r="B75" s="98" t="s">
        <v>313</v>
      </c>
      <c r="C75" s="99" t="s">
        <v>306</v>
      </c>
      <c r="D75" s="70">
        <f>SUM(E75:W75)</f>
        <v>0</v>
      </c>
      <c r="E75" s="4">
        <f>SUM(E69:E74)</f>
        <v>0</v>
      </c>
      <c r="F75" s="4">
        <f t="shared" ref="F75:V75" si="18">SUM(F69:F74)</f>
        <v>0</v>
      </c>
      <c r="G75" s="4">
        <f t="shared" si="18"/>
        <v>0</v>
      </c>
      <c r="H75" s="4">
        <f>SUM(H69:H74)</f>
        <v>0</v>
      </c>
      <c r="I75" s="4">
        <f t="shared" si="18"/>
        <v>0</v>
      </c>
      <c r="J75" s="4">
        <f t="shared" si="18"/>
        <v>0</v>
      </c>
      <c r="K75" s="4">
        <f t="shared" si="18"/>
        <v>0</v>
      </c>
      <c r="L75" s="4">
        <f>SUM(L69:L74)</f>
        <v>0</v>
      </c>
      <c r="M75" s="4">
        <f t="shared" si="18"/>
        <v>0</v>
      </c>
      <c r="N75" s="4">
        <f t="shared" si="18"/>
        <v>0</v>
      </c>
      <c r="O75" s="4">
        <f t="shared" si="18"/>
        <v>0</v>
      </c>
      <c r="P75" s="4">
        <f>SUM(P69:P74)</f>
        <v>0</v>
      </c>
      <c r="Q75" s="4">
        <f>SUM(Q69:Q74)</f>
        <v>0</v>
      </c>
      <c r="R75" s="4">
        <f>SUM(R69:R74)</f>
        <v>0</v>
      </c>
      <c r="S75" s="4">
        <f t="shared" si="18"/>
        <v>0</v>
      </c>
      <c r="T75" s="4">
        <f t="shared" si="18"/>
        <v>0</v>
      </c>
      <c r="U75" s="4">
        <f t="shared" si="18"/>
        <v>0</v>
      </c>
      <c r="V75" s="4">
        <f t="shared" si="18"/>
        <v>0</v>
      </c>
      <c r="W75" s="4">
        <f>SUM(W69:W74)</f>
        <v>0</v>
      </c>
    </row>
    <row r="76" spans="1:23" s="90" customFormat="1" ht="25.5">
      <c r="A76" s="90">
        <v>2022</v>
      </c>
      <c r="B76" s="101">
        <v>812</v>
      </c>
      <c r="C76" s="102" t="s">
        <v>314</v>
      </c>
      <c r="D76" s="70">
        <f t="shared" si="12"/>
        <v>0</v>
      </c>
      <c r="E76" s="189">
        <f>SUMIFS('Plan prihoda za unos u SAP'!$H$3:$H$501,'Plan prihoda za unos u SAP'!$C$3:$C$501,"=11",'Plan prihoda za unos u SAP'!$K$3:$K$501,"=812")</f>
        <v>0</v>
      </c>
      <c r="F76" s="189">
        <f>SUMIFS('Plan prihoda za unos u SAP'!$H$3:$H$501,'Plan prihoda za unos u SAP'!$C$3:$C$501,"=12",'Plan prihoda za unos u SAP'!$K$3:$K$501,"=812")</f>
        <v>0</v>
      </c>
      <c r="G76" s="189">
        <f>SUMIFS('Plan prihoda za unos u SAP'!$H$3:$H$501,'Plan prihoda za unos u SAP'!$C$3:$C$501,"=31",'Plan prihoda za unos u SAP'!$K$3:$K$501,"=812")</f>
        <v>0</v>
      </c>
      <c r="H76" s="189">
        <f>SUMIFS('Plan prihoda za unos u SAP'!$H$3:$H$501,'Plan prihoda za unos u SAP'!$C$3:$C$501,"=41",'Plan prihoda za unos u SAP'!$K$3:$K$501,"=812")</f>
        <v>0</v>
      </c>
      <c r="I76" s="189">
        <f>SUMIFS('Plan prihoda za unos u SAP'!$H$3:$H$501,'Plan prihoda za unos u SAP'!$C$3:$C$501,"=43",'Plan prihoda za unos u SAP'!$K$3:$K$501,"=812")</f>
        <v>0</v>
      </c>
      <c r="J76" s="189">
        <f>SUMIFS('Plan prihoda za unos u SAP'!$H$3:$H$501,'Plan prihoda za unos u SAP'!$C$3:$C$501,"=51",'Plan prihoda za unos u SAP'!$K$3:$K$501,"=812")</f>
        <v>0</v>
      </c>
      <c r="K76" s="189">
        <f>SUMIFS('Plan prihoda za unos u SAP'!$H$3:$H$501,'Plan prihoda za unos u SAP'!$C$3:$C$501,"=52",'Plan prihoda za unos u SAP'!$K$3:$K$501,"=812")</f>
        <v>0</v>
      </c>
      <c r="L76" s="189">
        <f>SUMIFS('Plan prihoda za unos u SAP'!$H$3:$H$501,'Plan prihoda za unos u SAP'!$C$3:$C$501,"=552",'Plan prihoda za unos u SAP'!$K$3:$K$501,"=812")</f>
        <v>0</v>
      </c>
      <c r="M76" s="189">
        <f>SUMIFS('Plan prihoda za unos u SAP'!$H$3:$H$501,'Plan prihoda za unos u SAP'!$C$3:$C$501,"=559",'Plan prihoda za unos u SAP'!$K$3:$K$501,"=812")</f>
        <v>0</v>
      </c>
      <c r="N76" s="189">
        <f>SUMIFS('Plan prihoda za unos u SAP'!$H$3:$H$501,'Plan prihoda za unos u SAP'!$C$3:$C$501,"=561",'Plan prihoda za unos u SAP'!$K$3:$K$501,"=812")</f>
        <v>0</v>
      </c>
      <c r="O76" s="189">
        <f>SUMIFS('Plan prihoda za unos u SAP'!$H$3:$H$501,'Plan prihoda za unos u SAP'!$C$3:$C$501,"=563",'Plan prihoda za unos u SAP'!$K$3:$K$501,"=812")</f>
        <v>0</v>
      </c>
      <c r="P76" s="189">
        <f>SUMIFS('Plan prihoda za unos u SAP'!$H$3:$H$501,'Plan prihoda za unos u SAP'!$C$3:$C$501,"=573",'Plan prihoda za unos u SAP'!$K$3:$K$501,"=812")</f>
        <v>0</v>
      </c>
      <c r="Q76" s="189">
        <f>SUMIFS('Plan prihoda za unos u SAP'!$H$3:$H$501,'Plan prihoda za unos u SAP'!$C$3:$C$501,"=575",'Plan prihoda za unos u SAP'!$K$3:$K$501,"=812")</f>
        <v>0</v>
      </c>
      <c r="R76" s="189">
        <f>SUMIFS('Plan prihoda za unos u SAP'!$H$3:$H$501,'Plan prihoda za unos u SAP'!$C$3:$C$501,"=576",'Plan prihoda za unos u SAP'!$K$3:$K$501,"=812")</f>
        <v>0</v>
      </c>
      <c r="S76" s="189">
        <f>SUMIFS('Plan prihoda za unos u SAP'!$H$3:$H$501,'Plan prihoda za unos u SAP'!$C$3:$C$501,"=61",'Plan prihoda za unos u SAP'!$K$3:$K$501,"=812")</f>
        <v>0</v>
      </c>
      <c r="T76" s="189">
        <f>SUMIFS('Plan prihoda za unos u SAP'!$H$3:$H$501,'Plan prihoda za unos u SAP'!$C$3:$C$501,"=63",'Plan prihoda za unos u SAP'!$K$3:$K$501,"=812")</f>
        <v>0</v>
      </c>
      <c r="U76" s="189">
        <f>SUMIFS('Plan prihoda za unos u SAP'!$H$3:$H$501,'Plan prihoda za unos u SAP'!$C$3:$C$501,"=71",'Plan prihoda za unos u SAP'!$K$3:$K$501,"=812")</f>
        <v>0</v>
      </c>
      <c r="V76" s="189">
        <f>SUMIFS('Plan prihoda za unos u SAP'!$H$3:$H$501,'Plan prihoda za unos u SAP'!$C$3:$C$501,"=81",'Plan prihoda za unos u SAP'!$K$3:$K$501,"=812")</f>
        <v>0</v>
      </c>
      <c r="W76" s="189">
        <f>SUMIFS('Plan prihoda za unos u SAP'!$H$3:$H$501,'Plan prihoda za unos u SAP'!$C$3:$C$501,"=83",'Plan prihoda za unos u SAP'!$K$3:$K$501,"=812")</f>
        <v>0</v>
      </c>
    </row>
    <row r="77" spans="1:23" s="90" customFormat="1">
      <c r="A77" s="90">
        <v>2022</v>
      </c>
      <c r="B77" s="101">
        <v>818</v>
      </c>
      <c r="C77" s="102" t="s">
        <v>1567</v>
      </c>
      <c r="D77" s="70">
        <f t="shared" si="12"/>
        <v>0</v>
      </c>
      <c r="E77" s="189">
        <f>SUMIFS('Plan prihoda za unos u SAP'!$H$3:$H$501,'Plan prihoda za unos u SAP'!$C$3:$C$501,"=11",'Plan prihoda za unos u SAP'!$K$3:$K$501,"=818")</f>
        <v>0</v>
      </c>
      <c r="F77" s="189">
        <f>SUMIFS('Plan prihoda za unos u SAP'!$H$3:$H$501,'Plan prihoda za unos u SAP'!$C$3:$C$501,"=12",'Plan prihoda za unos u SAP'!$K$3:$K$501,"=818")</f>
        <v>0</v>
      </c>
      <c r="G77" s="189">
        <f>SUMIFS('Plan prihoda za unos u SAP'!$H$3:$H$501,'Plan prihoda za unos u SAP'!$C$3:$C$501,"=31",'Plan prihoda za unos u SAP'!$K$3:$K$501,"=818")</f>
        <v>0</v>
      </c>
      <c r="H77" s="189">
        <f>SUMIFS('Plan prihoda za unos u SAP'!$H$3:$H$501,'Plan prihoda za unos u SAP'!$C$3:$C$501,"=41",'Plan prihoda za unos u SAP'!$K$3:$K$501,"=818")</f>
        <v>0</v>
      </c>
      <c r="I77" s="189">
        <f>SUMIFS('Plan prihoda za unos u SAP'!$H$3:$H$501,'Plan prihoda za unos u SAP'!$C$3:$C$501,"=43",'Plan prihoda za unos u SAP'!$K$3:$K$501,"=818")</f>
        <v>0</v>
      </c>
      <c r="J77" s="189">
        <f>SUMIFS('Plan prihoda za unos u SAP'!$H$3:$H$501,'Plan prihoda za unos u SAP'!$C$3:$C$501,"=51",'Plan prihoda za unos u SAP'!$K$3:$K$501,"=818")</f>
        <v>0</v>
      </c>
      <c r="K77" s="189">
        <f>SUMIFS('Plan prihoda za unos u SAP'!$H$3:$H$501,'Plan prihoda za unos u SAP'!$C$3:$C$501,"=52",'Plan prihoda za unos u SAP'!$K$3:$K$501,"=818")</f>
        <v>0</v>
      </c>
      <c r="L77" s="189">
        <f>SUMIFS('Plan prihoda za unos u SAP'!$H$3:$H$501,'Plan prihoda za unos u SAP'!$C$3:$C$501,"=552",'Plan prihoda za unos u SAP'!$K$3:$K$501,"=818")</f>
        <v>0</v>
      </c>
      <c r="M77" s="189">
        <f>SUMIFS('Plan prihoda za unos u SAP'!$H$3:$H$501,'Plan prihoda za unos u SAP'!$C$3:$C$501,"=559",'Plan prihoda za unos u SAP'!$K$3:$K$501,"=818")</f>
        <v>0</v>
      </c>
      <c r="N77" s="189">
        <f>SUMIFS('Plan prihoda za unos u SAP'!$H$3:$H$501,'Plan prihoda za unos u SAP'!$C$3:$C$501,"=561",'Plan prihoda za unos u SAP'!$K$3:$K$501,"=818")</f>
        <v>0</v>
      </c>
      <c r="O77" s="189">
        <f>SUMIFS('Plan prihoda za unos u SAP'!$H$3:$H$501,'Plan prihoda za unos u SAP'!$C$3:$C$501,"=563",'Plan prihoda za unos u SAP'!$K$3:$K$501,"=818")</f>
        <v>0</v>
      </c>
      <c r="P77" s="189">
        <f>SUMIFS('Plan prihoda za unos u SAP'!$H$3:$H$501,'Plan prihoda za unos u SAP'!$C$3:$C$501,"=573",'Plan prihoda za unos u SAP'!$K$3:$K$501,"=818")</f>
        <v>0</v>
      </c>
      <c r="Q77" s="189">
        <f>SUMIFS('Plan prihoda za unos u SAP'!$H$3:$H$501,'Plan prihoda za unos u SAP'!$C$3:$C$501,"=575",'Plan prihoda za unos u SAP'!$K$3:$K$501,"=818")</f>
        <v>0</v>
      </c>
      <c r="R77" s="189">
        <f>SUMIFS('Plan prihoda za unos u SAP'!$H$3:$H$501,'Plan prihoda za unos u SAP'!$C$3:$C$501,"=576",'Plan prihoda za unos u SAP'!$K$3:$K$501,"=818")</f>
        <v>0</v>
      </c>
      <c r="S77" s="189">
        <f>SUMIFS('Plan prihoda za unos u SAP'!$H$3:$H$501,'Plan prihoda za unos u SAP'!$C$3:$C$501,"=61",'Plan prihoda za unos u SAP'!$K$3:$K$501,"=818")</f>
        <v>0</v>
      </c>
      <c r="T77" s="189">
        <f>SUMIFS('Plan prihoda za unos u SAP'!$H$3:$H$501,'Plan prihoda za unos u SAP'!$C$3:$C$501,"=63",'Plan prihoda za unos u SAP'!$K$3:$K$501,"=818")</f>
        <v>0</v>
      </c>
      <c r="U77" s="189">
        <f>SUMIFS('Plan prihoda za unos u SAP'!$H$3:$H$501,'Plan prihoda za unos u SAP'!$C$3:$C$501,"=71",'Plan prihoda za unos u SAP'!$K$3:$K$501,"=818")</f>
        <v>0</v>
      </c>
      <c r="V77" s="189">
        <f>SUMIFS('Plan prihoda za unos u SAP'!$H$3:$H$501,'Plan prihoda za unos u SAP'!$C$3:$C$501,"=81",'Plan prihoda za unos u SAP'!$K$3:$K$501,"=818")</f>
        <v>0</v>
      </c>
      <c r="W77" s="189">
        <f>SUMIFS('Plan prihoda za unos u SAP'!$H$3:$H$501,'Plan prihoda za unos u SAP'!$C$3:$C$501,"=83",'Plan prihoda za unos u SAP'!$K$3:$K$501,"=818")</f>
        <v>0</v>
      </c>
    </row>
    <row r="78" spans="1:23" s="90" customFormat="1">
      <c r="A78" s="90">
        <v>2022</v>
      </c>
      <c r="B78" s="101">
        <v>832</v>
      </c>
      <c r="C78" s="102" t="s">
        <v>1568</v>
      </c>
      <c r="D78" s="70">
        <f t="shared" si="12"/>
        <v>0</v>
      </c>
      <c r="E78" s="189">
        <f>SUMIFS('Plan prihoda za unos u SAP'!$H$3:$H$501,'Plan prihoda za unos u SAP'!$C$3:$C$501,"=11",'Plan prihoda za unos u SAP'!$K$3:$K$501,"=832")</f>
        <v>0</v>
      </c>
      <c r="F78" s="189">
        <f>SUMIFS('Plan prihoda za unos u SAP'!$H$3:$H$501,'Plan prihoda za unos u SAP'!$C$3:$C$501,"=12",'Plan prihoda za unos u SAP'!$K$3:$K$501,"=832")</f>
        <v>0</v>
      </c>
      <c r="G78" s="189">
        <f>SUMIFS('Plan prihoda za unos u SAP'!$H$3:$H$501,'Plan prihoda za unos u SAP'!$C$3:$C$501,"=31",'Plan prihoda za unos u SAP'!$K$3:$K$501,"=832")</f>
        <v>0</v>
      </c>
      <c r="H78" s="189">
        <f>SUMIFS('Plan prihoda za unos u SAP'!$H$3:$H$501,'Plan prihoda za unos u SAP'!$C$3:$C$501,"=41",'Plan prihoda za unos u SAP'!$K$3:$K$501,"=832")</f>
        <v>0</v>
      </c>
      <c r="I78" s="189">
        <f>SUMIFS('Plan prihoda za unos u SAP'!$H$3:$H$501,'Plan prihoda za unos u SAP'!$C$3:$C$501,"=43",'Plan prihoda za unos u SAP'!$K$3:$K$501,"=832")</f>
        <v>0</v>
      </c>
      <c r="J78" s="189">
        <f>SUMIFS('Plan prihoda za unos u SAP'!$H$3:$H$501,'Plan prihoda za unos u SAP'!$C$3:$C$501,"=51",'Plan prihoda za unos u SAP'!$K$3:$K$501,"=832")</f>
        <v>0</v>
      </c>
      <c r="K78" s="189">
        <f>SUMIFS('Plan prihoda za unos u SAP'!$H$3:$H$501,'Plan prihoda za unos u SAP'!$C$3:$C$501,"=52",'Plan prihoda za unos u SAP'!$K$3:$K$501,"=832")</f>
        <v>0</v>
      </c>
      <c r="L78" s="189">
        <f>SUMIFS('Plan prihoda za unos u SAP'!$H$3:$H$501,'Plan prihoda za unos u SAP'!$C$3:$C$501,"=552",'Plan prihoda za unos u SAP'!$K$3:$K$501,"=832")</f>
        <v>0</v>
      </c>
      <c r="M78" s="189">
        <f>SUMIFS('Plan prihoda za unos u SAP'!$H$3:$H$501,'Plan prihoda za unos u SAP'!$C$3:$C$501,"=559",'Plan prihoda za unos u SAP'!$K$3:$K$501,"=832")</f>
        <v>0</v>
      </c>
      <c r="N78" s="189">
        <f>SUMIFS('Plan prihoda za unos u SAP'!$H$3:$H$501,'Plan prihoda za unos u SAP'!$C$3:$C$501,"=561",'Plan prihoda za unos u SAP'!$K$3:$K$501,"=832")</f>
        <v>0</v>
      </c>
      <c r="O78" s="189">
        <f>SUMIFS('Plan prihoda za unos u SAP'!$H$3:$H$501,'Plan prihoda za unos u SAP'!$C$3:$C$501,"=563",'Plan prihoda za unos u SAP'!$K$3:$K$501,"=832")</f>
        <v>0</v>
      </c>
      <c r="P78" s="189">
        <f>SUMIFS('Plan prihoda za unos u SAP'!$H$3:$H$501,'Plan prihoda za unos u SAP'!$C$3:$C$501,"=573",'Plan prihoda za unos u SAP'!$K$3:$K$501,"=832")</f>
        <v>0</v>
      </c>
      <c r="Q78" s="189">
        <f>SUMIFS('Plan prihoda za unos u SAP'!$H$3:$H$501,'Plan prihoda za unos u SAP'!$C$3:$C$501,"=575",'Plan prihoda za unos u SAP'!$K$3:$K$501,"=832")</f>
        <v>0</v>
      </c>
      <c r="R78" s="189">
        <f>SUMIFS('Plan prihoda za unos u SAP'!$H$3:$H$501,'Plan prihoda za unos u SAP'!$C$3:$C$501,"=576",'Plan prihoda za unos u SAP'!$K$3:$K$501,"=832")</f>
        <v>0</v>
      </c>
      <c r="S78" s="189">
        <f>SUMIFS('Plan prihoda za unos u SAP'!$H$3:$H$501,'Plan prihoda za unos u SAP'!$C$3:$C$501,"=61",'Plan prihoda za unos u SAP'!$K$3:$K$501,"=832")</f>
        <v>0</v>
      </c>
      <c r="T78" s="189">
        <f>SUMIFS('Plan prihoda za unos u SAP'!$H$3:$H$501,'Plan prihoda za unos u SAP'!$C$3:$C$501,"=63",'Plan prihoda za unos u SAP'!$K$3:$K$501,"=832")</f>
        <v>0</v>
      </c>
      <c r="U78" s="189">
        <f>SUMIFS('Plan prihoda za unos u SAP'!$H$3:$H$501,'Plan prihoda za unos u SAP'!$C$3:$C$501,"=71",'Plan prihoda za unos u SAP'!$K$3:$K$501,"=832")</f>
        <v>0</v>
      </c>
      <c r="V78" s="189">
        <f>SUMIFS('Plan prihoda za unos u SAP'!$H$3:$H$501,'Plan prihoda za unos u SAP'!$C$3:$C$501,"=81",'Plan prihoda za unos u SAP'!$K$3:$K$501,"=832")</f>
        <v>0</v>
      </c>
      <c r="W78" s="189">
        <f>SUMIFS('Plan prihoda za unos u SAP'!$H$3:$H$501,'Plan prihoda za unos u SAP'!$C$3:$C$501,"=83",'Plan prihoda za unos u SAP'!$K$3:$K$501,"=832")</f>
        <v>0</v>
      </c>
    </row>
    <row r="79" spans="1:23" s="90" customFormat="1" ht="25.5">
      <c r="A79" s="90">
        <v>2022</v>
      </c>
      <c r="B79" s="101">
        <v>833</v>
      </c>
      <c r="C79" s="102" t="s">
        <v>2136</v>
      </c>
      <c r="D79" s="70">
        <f t="shared" ref="D79" si="19">SUM(E79:W79)</f>
        <v>0</v>
      </c>
      <c r="E79" s="189">
        <f>SUMIFS('Plan prihoda za unos u SAP'!$H$3:$H$501,'Plan prihoda za unos u SAP'!$C$3:$C$501,"=11",'Plan prihoda za unos u SAP'!$K$3:$K$501,"=833")</f>
        <v>0</v>
      </c>
      <c r="F79" s="189">
        <f>SUMIFS('Plan prihoda za unos u SAP'!$H$3:$H$501,'Plan prihoda za unos u SAP'!$C$3:$C$501,"=12",'Plan prihoda za unos u SAP'!$K$3:$K$501,"=833")</f>
        <v>0</v>
      </c>
      <c r="G79" s="189">
        <f>SUMIFS('Plan prihoda za unos u SAP'!$H$3:$H$501,'Plan prihoda za unos u SAP'!$C$3:$C$501,"=31",'Plan prihoda za unos u SAP'!$K$3:$K$501,"=833")</f>
        <v>0</v>
      </c>
      <c r="H79" s="189">
        <f>SUMIFS('Plan prihoda za unos u SAP'!$H$3:$H$501,'Plan prihoda za unos u SAP'!$C$3:$C$501,"=41",'Plan prihoda za unos u SAP'!$K$3:$K$501,"=833")</f>
        <v>0</v>
      </c>
      <c r="I79" s="189">
        <f>SUMIFS('Plan prihoda za unos u SAP'!$H$3:$H$501,'Plan prihoda za unos u SAP'!$C$3:$C$501,"=43",'Plan prihoda za unos u SAP'!$K$3:$K$501,"=833")</f>
        <v>0</v>
      </c>
      <c r="J79" s="189">
        <f>SUMIFS('Plan prihoda za unos u SAP'!$H$3:$H$501,'Plan prihoda za unos u SAP'!$C$3:$C$501,"=51",'Plan prihoda za unos u SAP'!$K$3:$K$501,"=833")</f>
        <v>0</v>
      </c>
      <c r="K79" s="189">
        <f>SUMIFS('Plan prihoda za unos u SAP'!$H$3:$H$501,'Plan prihoda za unos u SAP'!$C$3:$C$501,"=52",'Plan prihoda za unos u SAP'!$K$3:$K$501,"=833")</f>
        <v>0</v>
      </c>
      <c r="L79" s="189">
        <f>SUMIFS('Plan prihoda za unos u SAP'!$H$3:$H$501,'Plan prihoda za unos u SAP'!$C$3:$C$501,"=552",'Plan prihoda za unos u SAP'!$K$3:$K$501,"=833")</f>
        <v>0</v>
      </c>
      <c r="M79" s="189">
        <f>SUMIFS('Plan prihoda za unos u SAP'!$H$3:$H$501,'Plan prihoda za unos u SAP'!$C$3:$C$501,"=559",'Plan prihoda za unos u SAP'!$K$3:$K$501,"=833")</f>
        <v>0</v>
      </c>
      <c r="N79" s="189">
        <f>SUMIFS('Plan prihoda za unos u SAP'!$H$3:$H$501,'Plan prihoda za unos u SAP'!$C$3:$C$501,"=561",'Plan prihoda za unos u SAP'!$K$3:$K$501,"=833")</f>
        <v>0</v>
      </c>
      <c r="O79" s="189">
        <f>SUMIFS('Plan prihoda za unos u SAP'!$H$3:$H$501,'Plan prihoda za unos u SAP'!$C$3:$C$501,"=563",'Plan prihoda za unos u SAP'!$K$3:$K$501,"=833")</f>
        <v>0</v>
      </c>
      <c r="P79" s="189">
        <f>SUMIFS('Plan prihoda za unos u SAP'!$H$3:$H$501,'Plan prihoda za unos u SAP'!$C$3:$C$501,"=573",'Plan prihoda za unos u SAP'!$K$3:$K$501,"=833")</f>
        <v>0</v>
      </c>
      <c r="Q79" s="189">
        <f>SUMIFS('Plan prihoda za unos u SAP'!$H$3:$H$501,'Plan prihoda za unos u SAP'!$C$3:$C$501,"=575",'Plan prihoda za unos u SAP'!$K$3:$K$501,"=833")</f>
        <v>0</v>
      </c>
      <c r="R79" s="189">
        <f>SUMIFS('Plan prihoda za unos u SAP'!$H$3:$H$501,'Plan prihoda za unos u SAP'!$C$3:$C$501,"=576",'Plan prihoda za unos u SAP'!$K$3:$K$501,"=833")</f>
        <v>0</v>
      </c>
      <c r="S79" s="189">
        <f>SUMIFS('Plan prihoda za unos u SAP'!$H$3:$H$501,'Plan prihoda za unos u SAP'!$C$3:$C$501,"=61",'Plan prihoda za unos u SAP'!$K$3:$K$501,"=833")</f>
        <v>0</v>
      </c>
      <c r="T79" s="189">
        <f>SUMIFS('Plan prihoda za unos u SAP'!$H$3:$H$501,'Plan prihoda za unos u SAP'!$C$3:$C$501,"=63",'Plan prihoda za unos u SAP'!$K$3:$K$501,"=833")</f>
        <v>0</v>
      </c>
      <c r="U79" s="189">
        <f>SUMIFS('Plan prihoda za unos u SAP'!$H$3:$H$501,'Plan prihoda za unos u SAP'!$C$3:$C$501,"=71",'Plan prihoda za unos u SAP'!$K$3:$K$501,"=833")</f>
        <v>0</v>
      </c>
      <c r="V79" s="189">
        <f>SUMIFS('Plan prihoda za unos u SAP'!$H$3:$H$501,'Plan prihoda za unos u SAP'!$C$3:$C$501,"=81",'Plan prihoda za unos u SAP'!$K$3:$K$501,"=833")</f>
        <v>0</v>
      </c>
      <c r="W79" s="189">
        <f>SUMIFS('Plan prihoda za unos u SAP'!$H$3:$H$501,'Plan prihoda za unos u SAP'!$C$3:$C$501,"=83",'Plan prihoda za unos u SAP'!$K$3:$K$501,"=833")</f>
        <v>0</v>
      </c>
    </row>
    <row r="80" spans="1:23" s="90" customFormat="1" ht="25.5">
      <c r="A80" s="90">
        <v>2022</v>
      </c>
      <c r="B80" s="101">
        <v>841</v>
      </c>
      <c r="C80" s="102" t="s">
        <v>1569</v>
      </c>
      <c r="D80" s="70">
        <f t="shared" si="12"/>
        <v>0</v>
      </c>
      <c r="E80" s="189">
        <f>SUMIFS('Plan prihoda za unos u SAP'!$H$3:$H$501,'Plan prihoda za unos u SAP'!$C$3:$C$501,"=11",'Plan prihoda za unos u SAP'!$K$3:$K$501,"=841")</f>
        <v>0</v>
      </c>
      <c r="F80" s="189">
        <f>SUMIFS('Plan prihoda za unos u SAP'!$H$3:$H$501,'Plan prihoda za unos u SAP'!$C$3:$C$501,"=12",'Plan prihoda za unos u SAP'!$K$3:$K$501,"=841")</f>
        <v>0</v>
      </c>
      <c r="G80" s="189">
        <f>SUMIFS('Plan prihoda za unos u SAP'!$H$3:$H$501,'Plan prihoda za unos u SAP'!$C$3:$C$501,"=31",'Plan prihoda za unos u SAP'!$K$3:$K$501,"=841")</f>
        <v>0</v>
      </c>
      <c r="H80" s="189">
        <f>SUMIFS('Plan prihoda za unos u SAP'!$H$3:$H$501,'Plan prihoda za unos u SAP'!$C$3:$C$501,"=41",'Plan prihoda za unos u SAP'!$K$3:$K$501,"=841")</f>
        <v>0</v>
      </c>
      <c r="I80" s="189">
        <f>SUMIFS('Plan prihoda za unos u SAP'!$H$3:$H$501,'Plan prihoda za unos u SAP'!$C$3:$C$501,"=43",'Plan prihoda za unos u SAP'!$K$3:$K$501,"=841")</f>
        <v>0</v>
      </c>
      <c r="J80" s="189">
        <f>SUMIFS('Plan prihoda za unos u SAP'!$H$3:$H$501,'Plan prihoda za unos u SAP'!$C$3:$C$501,"=51",'Plan prihoda za unos u SAP'!$K$3:$K$501,"=841")</f>
        <v>0</v>
      </c>
      <c r="K80" s="189">
        <f>SUMIFS('Plan prihoda za unos u SAP'!$H$3:$H$501,'Plan prihoda za unos u SAP'!$C$3:$C$501,"=52",'Plan prihoda za unos u SAP'!$K$3:$K$501,"=841")</f>
        <v>0</v>
      </c>
      <c r="L80" s="189">
        <f>SUMIFS('Plan prihoda za unos u SAP'!$H$3:$H$501,'Plan prihoda za unos u SAP'!$C$3:$C$501,"=552",'Plan prihoda za unos u SAP'!$K$3:$K$501,"=841")</f>
        <v>0</v>
      </c>
      <c r="M80" s="189">
        <f>SUMIFS('Plan prihoda za unos u SAP'!$H$3:$H$501,'Plan prihoda za unos u SAP'!$C$3:$C$501,"=559",'Plan prihoda za unos u SAP'!$K$3:$K$501,"=841")</f>
        <v>0</v>
      </c>
      <c r="N80" s="189">
        <f>SUMIFS('Plan prihoda za unos u SAP'!$H$3:$H$501,'Plan prihoda za unos u SAP'!$C$3:$C$501,"=561",'Plan prihoda za unos u SAP'!$K$3:$K$501,"=841")</f>
        <v>0</v>
      </c>
      <c r="O80" s="189">
        <f>SUMIFS('Plan prihoda za unos u SAP'!$H$3:$H$501,'Plan prihoda za unos u SAP'!$C$3:$C$501,"=563",'Plan prihoda za unos u SAP'!$K$3:$K$501,"=841")</f>
        <v>0</v>
      </c>
      <c r="P80" s="189">
        <f>SUMIFS('Plan prihoda za unos u SAP'!$H$3:$H$501,'Plan prihoda za unos u SAP'!$C$3:$C$501,"=573",'Plan prihoda za unos u SAP'!$K$3:$K$501,"=841")</f>
        <v>0</v>
      </c>
      <c r="Q80" s="189">
        <f>SUMIFS('Plan prihoda za unos u SAP'!$H$3:$H$501,'Plan prihoda za unos u SAP'!$C$3:$C$501,"=575",'Plan prihoda za unos u SAP'!$K$3:$K$501,"=841")</f>
        <v>0</v>
      </c>
      <c r="R80" s="189">
        <f>SUMIFS('Plan prihoda za unos u SAP'!$H$3:$H$501,'Plan prihoda za unos u SAP'!$C$3:$C$501,"=576",'Plan prihoda za unos u SAP'!$K$3:$K$501,"=841")</f>
        <v>0</v>
      </c>
      <c r="S80" s="189">
        <f>SUMIFS('Plan prihoda za unos u SAP'!$H$3:$H$501,'Plan prihoda za unos u SAP'!$C$3:$C$501,"=61",'Plan prihoda za unos u SAP'!$K$3:$K$501,"=841")</f>
        <v>0</v>
      </c>
      <c r="T80" s="189">
        <f>SUMIFS('Plan prihoda za unos u SAP'!$H$3:$H$501,'Plan prihoda za unos u SAP'!$C$3:$C$501,"=63",'Plan prihoda za unos u SAP'!$K$3:$K$501,"=841")</f>
        <v>0</v>
      </c>
      <c r="U80" s="189">
        <f>SUMIFS('Plan prihoda za unos u SAP'!$H$3:$H$501,'Plan prihoda za unos u SAP'!$C$3:$C$501,"=71",'Plan prihoda za unos u SAP'!$K$3:$K$501,"=841")</f>
        <v>0</v>
      </c>
      <c r="V80" s="189">
        <f>SUMIFS('Plan prihoda za unos u SAP'!$H$3:$H$501,'Plan prihoda za unos u SAP'!$C$3:$C$501,"=81",'Plan prihoda za unos u SAP'!$K$3:$K$501,"=841")</f>
        <v>0</v>
      </c>
      <c r="W80" s="189">
        <f>SUMIFS('Plan prihoda za unos u SAP'!$H$3:$H$501,'Plan prihoda za unos u SAP'!$C$3:$C$501,"=83",'Plan prihoda za unos u SAP'!$K$3:$K$501,"=841")</f>
        <v>0</v>
      </c>
    </row>
    <row r="81" spans="1:29" s="90" customFormat="1" ht="25.5">
      <c r="A81" s="90">
        <v>2022</v>
      </c>
      <c r="B81" s="101">
        <v>842</v>
      </c>
      <c r="C81" s="102" t="s">
        <v>324</v>
      </c>
      <c r="D81" s="70">
        <f>SUM(E81:W81)</f>
        <v>0</v>
      </c>
      <c r="E81" s="188">
        <f>SUMIFS('Plan prihoda za unos u SAP'!$H$3:$H$501,'Plan prihoda za unos u SAP'!$C$3:$C$501,"=11",'Plan prihoda za unos u SAP'!$K$3:$K$501,"=842")</f>
        <v>0</v>
      </c>
      <c r="F81" s="188">
        <f>SUMIFS('Plan prihoda za unos u SAP'!$H$3:$H$501,'Plan prihoda za unos u SAP'!$C$3:$C$501,"=12",'Plan prihoda za unos u SAP'!$K$3:$K$501,"=842")</f>
        <v>0</v>
      </c>
      <c r="G81" s="188">
        <f>SUMIFS('Plan prihoda za unos u SAP'!$H$3:$H$501,'Plan prihoda za unos u SAP'!$C$3:$C$501,"=31",'Plan prihoda za unos u SAP'!$K$3:$K$501,"=842")</f>
        <v>0</v>
      </c>
      <c r="H81" s="188">
        <f>SUMIFS('Plan prihoda za unos u SAP'!$H$3:$H$501,'Plan prihoda za unos u SAP'!$C$3:$C$501,"=41",'Plan prihoda za unos u SAP'!$K$3:$K$501,"=842")</f>
        <v>0</v>
      </c>
      <c r="I81" s="188">
        <f>SUMIFS('Plan prihoda za unos u SAP'!$H$3:$H$501,'Plan prihoda za unos u SAP'!$C$3:$C$501,"=43",'Plan prihoda za unos u SAP'!$K$3:$K$501,"=842")</f>
        <v>0</v>
      </c>
      <c r="J81" s="188">
        <f>SUMIFS('Plan prihoda za unos u SAP'!$H$3:$H$501,'Plan prihoda za unos u SAP'!$C$3:$C$501,"=51",'Plan prihoda za unos u SAP'!$K$3:$K$501,"=842")</f>
        <v>0</v>
      </c>
      <c r="K81" s="188">
        <f>SUMIFS('Plan prihoda za unos u SAP'!$H$3:$H$501,'Plan prihoda za unos u SAP'!$C$3:$C$501,"=52",'Plan prihoda za unos u SAP'!$K$3:$K$501,"=842")</f>
        <v>0</v>
      </c>
      <c r="L81" s="188">
        <f>SUMIFS('Plan prihoda za unos u SAP'!$H$3:$H$501,'Plan prihoda za unos u SAP'!$C$3:$C$501,"=552",'Plan prihoda za unos u SAP'!$K$3:$K$501,"=842")</f>
        <v>0</v>
      </c>
      <c r="M81" s="188">
        <f>SUMIFS('Plan prihoda za unos u SAP'!$H$3:$H$501,'Plan prihoda za unos u SAP'!$C$3:$C$501,"=559",'Plan prihoda za unos u SAP'!$K$3:$K$501,"=842")</f>
        <v>0</v>
      </c>
      <c r="N81" s="188">
        <f>SUMIFS('Plan prihoda za unos u SAP'!$H$3:$H$501,'Plan prihoda za unos u SAP'!$C$3:$C$501,"=561",'Plan prihoda za unos u SAP'!$K$3:$K$501,"=842")</f>
        <v>0</v>
      </c>
      <c r="O81" s="188">
        <f>SUMIFS('Plan prihoda za unos u SAP'!$H$3:$H$501,'Plan prihoda za unos u SAP'!$C$3:$C$501,"=563",'Plan prihoda za unos u SAP'!$K$3:$K$501,"=842")</f>
        <v>0</v>
      </c>
      <c r="P81" s="188">
        <f>SUMIFS('Plan prihoda za unos u SAP'!$H$3:$H$501,'Plan prihoda za unos u SAP'!$C$3:$C$501,"=573",'Plan prihoda za unos u SAP'!$K$3:$K$501,"=842")</f>
        <v>0</v>
      </c>
      <c r="Q81" s="188">
        <f>SUMIFS('Plan prihoda za unos u SAP'!$H$3:$H$501,'Plan prihoda za unos u SAP'!$C$3:$C$501,"=575",'Plan prihoda za unos u SAP'!$K$3:$K$501,"=842")</f>
        <v>0</v>
      </c>
      <c r="R81" s="188">
        <f>SUMIFS('Plan prihoda za unos u SAP'!$H$3:$H$501,'Plan prihoda za unos u SAP'!$C$3:$C$501,"=576",'Plan prihoda za unos u SAP'!$K$3:$K$501,"=842")</f>
        <v>0</v>
      </c>
      <c r="S81" s="188">
        <f>SUMIFS('Plan prihoda za unos u SAP'!$H$3:$H$501,'Plan prihoda za unos u SAP'!$C$3:$C$501,"=61",'Plan prihoda za unos u SAP'!$K$3:$K$501,"=842")</f>
        <v>0</v>
      </c>
      <c r="T81" s="188">
        <f>SUMIFS('Plan prihoda za unos u SAP'!$H$3:$H$501,'Plan prihoda za unos u SAP'!$C$3:$C$501,"=63",'Plan prihoda za unos u SAP'!$K$3:$K$501,"=842")</f>
        <v>0</v>
      </c>
      <c r="U81" s="188">
        <f>SUMIFS('Plan prihoda za unos u SAP'!$H$3:$H$501,'Plan prihoda za unos u SAP'!$C$3:$C$501,"=71",'Plan prihoda za unos u SAP'!$K$3:$K$501,"=842")</f>
        <v>0</v>
      </c>
      <c r="V81" s="188">
        <f>SUMIFS('Plan prihoda za unos u SAP'!$H$3:$H$501,'Plan prihoda za unos u SAP'!$C$3:$C$501,"=81",'Plan prihoda za unos u SAP'!$K$3:$K$501,"=842")</f>
        <v>0</v>
      </c>
      <c r="W81" s="188">
        <f>SUMIFS('Plan prihoda za unos u SAP'!$H$3:$H$501,'Plan prihoda za unos u SAP'!$C$3:$C$501,"=83",'Plan prihoda za unos u SAP'!$K$3:$K$501,"=842")</f>
        <v>0</v>
      </c>
    </row>
    <row r="82" spans="1:29" s="90" customFormat="1">
      <c r="A82" s="90">
        <v>2022</v>
      </c>
      <c r="B82" s="98" t="s">
        <v>315</v>
      </c>
      <c r="C82" s="99" t="s">
        <v>306</v>
      </c>
      <c r="D82" s="70">
        <f>SUM(E82:W82)</f>
        <v>0</v>
      </c>
      <c r="E82" s="4">
        <f>SUM(E76:E81)</f>
        <v>0</v>
      </c>
      <c r="F82" s="4">
        <f>SUM(F76:F81)</f>
        <v>0</v>
      </c>
      <c r="G82" s="4">
        <f t="shared" ref="G82:V82" si="20">SUM(G76:G81)</f>
        <v>0</v>
      </c>
      <c r="H82" s="4">
        <f>SUM(H76:H81)</f>
        <v>0</v>
      </c>
      <c r="I82" s="4">
        <f t="shared" si="20"/>
        <v>0</v>
      </c>
      <c r="J82" s="4">
        <f>SUM(J76:J81)</f>
        <v>0</v>
      </c>
      <c r="K82" s="4">
        <f t="shared" si="20"/>
        <v>0</v>
      </c>
      <c r="L82" s="4">
        <f>SUM(L76:L81)</f>
        <v>0</v>
      </c>
      <c r="M82" s="4">
        <f t="shared" si="20"/>
        <v>0</v>
      </c>
      <c r="N82" s="4">
        <f t="shared" si="20"/>
        <v>0</v>
      </c>
      <c r="O82" s="4">
        <f>SUM(O76:O81)</f>
        <v>0</v>
      </c>
      <c r="P82" s="4">
        <f>SUM(P76:P81)</f>
        <v>0</v>
      </c>
      <c r="Q82" s="4">
        <f>SUM(Q76:Q81)</f>
        <v>0</v>
      </c>
      <c r="R82" s="4">
        <f>SUM(R76:R81)</f>
        <v>0</v>
      </c>
      <c r="S82" s="4">
        <f t="shared" si="20"/>
        <v>0</v>
      </c>
      <c r="T82" s="4">
        <f t="shared" si="20"/>
        <v>0</v>
      </c>
      <c r="U82" s="4">
        <f t="shared" si="20"/>
        <v>0</v>
      </c>
      <c r="V82" s="4">
        <f t="shared" si="20"/>
        <v>0</v>
      </c>
      <c r="W82" s="4">
        <f>SUM(W76:W81)</f>
        <v>0</v>
      </c>
    </row>
    <row r="83" spans="1:29" s="90" customFormat="1">
      <c r="A83" s="90">
        <v>2022</v>
      </c>
      <c r="B83" s="305" t="s">
        <v>316</v>
      </c>
      <c r="C83" s="305"/>
      <c r="D83" s="71">
        <f>SUM(E83:W83)</f>
        <v>39182445</v>
      </c>
      <c r="E83" s="71">
        <f t="shared" ref="E83:V83" si="21">+E82+E75+E68</f>
        <v>25161690</v>
      </c>
      <c r="F83" s="71">
        <f t="shared" si="21"/>
        <v>0</v>
      </c>
      <c r="G83" s="71">
        <f t="shared" si="21"/>
        <v>4735000</v>
      </c>
      <c r="H83" s="71">
        <f>+H82+H75+H68</f>
        <v>0</v>
      </c>
      <c r="I83" s="71">
        <f t="shared" si="21"/>
        <v>7184000</v>
      </c>
      <c r="J83" s="71">
        <f t="shared" si="21"/>
        <v>1172775</v>
      </c>
      <c r="K83" s="71">
        <f t="shared" si="21"/>
        <v>258939</v>
      </c>
      <c r="L83" s="71">
        <f>+L82+L75+L68</f>
        <v>0</v>
      </c>
      <c r="M83" s="71">
        <f>+M82+M75+M68</f>
        <v>0</v>
      </c>
      <c r="N83" s="71">
        <f t="shared" si="21"/>
        <v>494041</v>
      </c>
      <c r="O83" s="71">
        <f t="shared" si="21"/>
        <v>0</v>
      </c>
      <c r="P83" s="71">
        <f>+P82+P75+P68</f>
        <v>0</v>
      </c>
      <c r="Q83" s="71">
        <f>+Q82+Q75+Q68</f>
        <v>0</v>
      </c>
      <c r="R83" s="71">
        <f>+R82+R75+R68</f>
        <v>0</v>
      </c>
      <c r="S83" s="71">
        <f t="shared" si="21"/>
        <v>176000</v>
      </c>
      <c r="T83" s="71">
        <f t="shared" si="21"/>
        <v>0</v>
      </c>
      <c r="U83" s="71">
        <f t="shared" si="21"/>
        <v>0</v>
      </c>
      <c r="V83" s="71">
        <f t="shared" si="21"/>
        <v>0</v>
      </c>
      <c r="W83" s="71">
        <f>+W82+W75+W68</f>
        <v>0</v>
      </c>
    </row>
    <row r="84" spans="1:29">
      <c r="B84" s="62"/>
      <c r="C84" s="62"/>
      <c r="D84" s="62"/>
      <c r="E84" s="62"/>
      <c r="F84" s="62"/>
      <c r="G84" s="62"/>
      <c r="H84" s="62"/>
      <c r="I84" s="103"/>
      <c r="J84" s="104"/>
      <c r="K84" s="104"/>
      <c r="L84" s="104"/>
      <c r="M84" s="104"/>
      <c r="N84" s="104"/>
      <c r="O84" s="104"/>
      <c r="P84" s="104"/>
      <c r="Q84" s="104"/>
      <c r="R84" s="104"/>
      <c r="V84" s="91"/>
      <c r="W84" s="91"/>
    </row>
    <row r="85" spans="1:29" s="90" customFormat="1" ht="15.75">
      <c r="B85" s="300" t="s">
        <v>269</v>
      </c>
      <c r="C85" s="301"/>
      <c r="D85" s="302" t="s">
        <v>2145</v>
      </c>
      <c r="E85" s="303"/>
      <c r="F85" s="303"/>
      <c r="G85" s="303"/>
      <c r="H85" s="303"/>
      <c r="I85" s="303"/>
      <c r="J85" s="303"/>
      <c r="K85" s="303"/>
      <c r="L85" s="303"/>
      <c r="M85" s="303"/>
      <c r="N85" s="303"/>
      <c r="O85" s="303"/>
      <c r="P85" s="303"/>
      <c r="Q85" s="303"/>
      <c r="R85" s="303"/>
      <c r="S85" s="303"/>
      <c r="T85" s="303"/>
      <c r="U85" s="303"/>
      <c r="V85" s="304"/>
      <c r="W85" s="218"/>
    </row>
    <row r="86" spans="1:29" s="90" customFormat="1" ht="89.25">
      <c r="A86" s="92" t="s">
        <v>2139</v>
      </c>
      <c r="B86" s="92" t="s">
        <v>270</v>
      </c>
      <c r="C86" s="92" t="s">
        <v>271</v>
      </c>
      <c r="D86" s="184" t="s">
        <v>272</v>
      </c>
      <c r="E86" s="135" t="s">
        <v>353</v>
      </c>
      <c r="F86" s="135" t="s">
        <v>325</v>
      </c>
      <c r="G86" s="93" t="s">
        <v>19</v>
      </c>
      <c r="H86" s="93" t="s">
        <v>1560</v>
      </c>
      <c r="I86" s="93" t="s">
        <v>20</v>
      </c>
      <c r="J86" s="93" t="s">
        <v>273</v>
      </c>
      <c r="K86" s="93" t="s">
        <v>274</v>
      </c>
      <c r="L86" s="93" t="s">
        <v>1561</v>
      </c>
      <c r="M86" s="93" t="s">
        <v>275</v>
      </c>
      <c r="N86" s="134" t="s">
        <v>276</v>
      </c>
      <c r="O86" s="134" t="s">
        <v>277</v>
      </c>
      <c r="P86" s="134" t="s">
        <v>1562</v>
      </c>
      <c r="Q86" s="134" t="s">
        <v>1563</v>
      </c>
      <c r="R86" s="93" t="s">
        <v>2133</v>
      </c>
      <c r="S86" s="93" t="s">
        <v>278</v>
      </c>
      <c r="T86" s="93" t="s">
        <v>279</v>
      </c>
      <c r="U86" s="93" t="s">
        <v>317</v>
      </c>
      <c r="V86" s="93" t="s">
        <v>1533</v>
      </c>
      <c r="W86" s="93"/>
    </row>
    <row r="87" spans="1:29" s="90" customFormat="1">
      <c r="A87" s="90">
        <v>2023</v>
      </c>
      <c r="B87" s="95"/>
      <c r="C87" s="96" t="s">
        <v>11</v>
      </c>
      <c r="D87" s="70">
        <f>SUM(E87:W87)</f>
        <v>13846000</v>
      </c>
      <c r="E87" s="188">
        <f t="shared" ref="E87:V87" si="22">-E48</f>
        <v>0</v>
      </c>
      <c r="F87" s="188">
        <f t="shared" si="22"/>
        <v>0</v>
      </c>
      <c r="G87" s="188">
        <f t="shared" si="22"/>
        <v>6183685</v>
      </c>
      <c r="H87" s="188">
        <f>-H48</f>
        <v>0</v>
      </c>
      <c r="I87" s="188">
        <f t="shared" si="22"/>
        <v>5935078</v>
      </c>
      <c r="J87" s="188">
        <f t="shared" si="22"/>
        <v>846286</v>
      </c>
      <c r="K87" s="188">
        <f t="shared" si="22"/>
        <v>229063</v>
      </c>
      <c r="L87" s="188">
        <f>-L48</f>
        <v>0</v>
      </c>
      <c r="M87" s="188">
        <f t="shared" si="22"/>
        <v>0</v>
      </c>
      <c r="N87" s="188">
        <f t="shared" si="22"/>
        <v>651888</v>
      </c>
      <c r="O87" s="188">
        <f t="shared" si="22"/>
        <v>0</v>
      </c>
      <c r="P87" s="188">
        <f>-P48</f>
        <v>0</v>
      </c>
      <c r="Q87" s="188">
        <f>-Q48</f>
        <v>0</v>
      </c>
      <c r="R87" s="188">
        <f>-R48</f>
        <v>0</v>
      </c>
      <c r="S87" s="188">
        <f t="shared" si="22"/>
        <v>0</v>
      </c>
      <c r="T87" s="188">
        <f t="shared" si="22"/>
        <v>0</v>
      </c>
      <c r="U87" s="188">
        <f t="shared" si="22"/>
        <v>0</v>
      </c>
      <c r="V87" s="188">
        <f t="shared" si="22"/>
        <v>0</v>
      </c>
      <c r="W87" s="188">
        <f>-W48</f>
        <v>0</v>
      </c>
      <c r="X87" s="94"/>
      <c r="Y87" s="94"/>
      <c r="Z87" s="94"/>
      <c r="AA87" s="94"/>
      <c r="AB87" s="94"/>
      <c r="AC87" s="94"/>
    </row>
    <row r="88" spans="1:29" s="90" customFormat="1">
      <c r="A88" s="90">
        <v>2023</v>
      </c>
      <c r="B88" s="114"/>
      <c r="C88" s="115" t="s">
        <v>349</v>
      </c>
      <c r="D88" s="70">
        <f t="shared" ref="D88:D123" si="23">SUM(E88:W88)</f>
        <v>37904068</v>
      </c>
      <c r="E88" s="14">
        <f t="shared" ref="E88:V88" si="24">+E109+E116</f>
        <v>25271030</v>
      </c>
      <c r="F88" s="14">
        <f t="shared" si="24"/>
        <v>0</v>
      </c>
      <c r="G88" s="14">
        <f t="shared" si="24"/>
        <v>4935000</v>
      </c>
      <c r="H88" s="14">
        <f>+H109+H116</f>
        <v>0</v>
      </c>
      <c r="I88" s="14">
        <f t="shared" si="24"/>
        <v>7282500</v>
      </c>
      <c r="J88" s="14">
        <f t="shared" si="24"/>
        <v>192885</v>
      </c>
      <c r="K88" s="14">
        <f t="shared" si="24"/>
        <v>0</v>
      </c>
      <c r="L88" s="14">
        <f>+L109+L116</f>
        <v>0</v>
      </c>
      <c r="M88" s="14">
        <f t="shared" si="24"/>
        <v>0</v>
      </c>
      <c r="N88" s="14">
        <f t="shared" si="24"/>
        <v>192653</v>
      </c>
      <c r="O88" s="14">
        <f t="shared" si="24"/>
        <v>0</v>
      </c>
      <c r="P88" s="14">
        <f>+P109+P116</f>
        <v>0</v>
      </c>
      <c r="Q88" s="14">
        <f>+Q109+Q116</f>
        <v>0</v>
      </c>
      <c r="R88" s="14">
        <f>+R109+R116</f>
        <v>0</v>
      </c>
      <c r="S88" s="14">
        <f t="shared" si="24"/>
        <v>30000</v>
      </c>
      <c r="T88" s="14">
        <f t="shared" si="24"/>
        <v>0</v>
      </c>
      <c r="U88" s="14">
        <f t="shared" si="24"/>
        <v>0</v>
      </c>
      <c r="V88" s="14">
        <f t="shared" si="24"/>
        <v>0</v>
      </c>
      <c r="W88" s="14">
        <f>+W109+W116</f>
        <v>0</v>
      </c>
    </row>
    <row r="89" spans="1:29" s="90" customFormat="1">
      <c r="A89" s="90">
        <v>2023</v>
      </c>
      <c r="B89" s="95"/>
      <c r="C89" s="96" t="s">
        <v>352</v>
      </c>
      <c r="D89" s="70">
        <f t="shared" si="23"/>
        <v>-14564060</v>
      </c>
      <c r="E89" s="113"/>
      <c r="F89" s="113"/>
      <c r="G89" s="113">
        <v>-6489119</v>
      </c>
      <c r="H89" s="113"/>
      <c r="I89" s="113">
        <v>-6835988</v>
      </c>
      <c r="J89" s="113">
        <v>-846286</v>
      </c>
      <c r="K89" s="113">
        <v>-229063</v>
      </c>
      <c r="L89" s="113"/>
      <c r="M89" s="3"/>
      <c r="N89" s="113">
        <v>-163604</v>
      </c>
      <c r="O89" s="113"/>
      <c r="P89" s="113"/>
      <c r="Q89" s="113"/>
      <c r="R89" s="113"/>
      <c r="S89" s="113"/>
      <c r="T89" s="113"/>
      <c r="U89" s="113"/>
      <c r="V89" s="113"/>
      <c r="W89" s="113"/>
      <c r="X89" s="94"/>
      <c r="Y89" s="94"/>
      <c r="Z89" s="94"/>
      <c r="AA89" s="94"/>
      <c r="AB89" s="94"/>
      <c r="AC89" s="94"/>
    </row>
    <row r="90" spans="1:29" s="90" customFormat="1">
      <c r="A90" s="90">
        <v>2023</v>
      </c>
      <c r="B90" s="114"/>
      <c r="C90" s="115" t="s">
        <v>280</v>
      </c>
      <c r="D90" s="70">
        <f t="shared" si="23"/>
        <v>37186008</v>
      </c>
      <c r="E90" s="14">
        <f>+E87+E88+E89</f>
        <v>25271030</v>
      </c>
      <c r="F90" s="14">
        <f t="shared" ref="F90:V90" si="25">+F87+F88+F89</f>
        <v>0</v>
      </c>
      <c r="G90" s="14">
        <f t="shared" si="25"/>
        <v>4629566</v>
      </c>
      <c r="H90" s="14">
        <f>+H87+H88+H89</f>
        <v>0</v>
      </c>
      <c r="I90" s="14">
        <f t="shared" si="25"/>
        <v>6381590</v>
      </c>
      <c r="J90" s="14">
        <f t="shared" si="25"/>
        <v>192885</v>
      </c>
      <c r="K90" s="14">
        <f t="shared" si="25"/>
        <v>0</v>
      </c>
      <c r="L90" s="14">
        <f>+L87+L88+L89</f>
        <v>0</v>
      </c>
      <c r="M90" s="14">
        <f t="shared" si="25"/>
        <v>0</v>
      </c>
      <c r="N90" s="14">
        <f t="shared" si="25"/>
        <v>680937</v>
      </c>
      <c r="O90" s="14">
        <f t="shared" si="25"/>
        <v>0</v>
      </c>
      <c r="P90" s="14">
        <f>+P87+P88+P89</f>
        <v>0</v>
      </c>
      <c r="Q90" s="14">
        <f>+Q87+Q88+Q89</f>
        <v>0</v>
      </c>
      <c r="R90" s="14">
        <f>+R87+R88+R89</f>
        <v>0</v>
      </c>
      <c r="S90" s="14">
        <f t="shared" si="25"/>
        <v>30000</v>
      </c>
      <c r="T90" s="14">
        <f t="shared" si="25"/>
        <v>0</v>
      </c>
      <c r="U90" s="14">
        <f t="shared" si="25"/>
        <v>0</v>
      </c>
      <c r="V90" s="14">
        <f t="shared" si="25"/>
        <v>0</v>
      </c>
      <c r="W90" s="14">
        <f>+W87+W88+W89</f>
        <v>0</v>
      </c>
    </row>
    <row r="91" spans="1:29" s="90" customFormat="1">
      <c r="A91" s="90">
        <v>2023</v>
      </c>
      <c r="B91" s="111"/>
      <c r="C91" s="112" t="s">
        <v>235</v>
      </c>
      <c r="D91" s="70">
        <f t="shared" si="23"/>
        <v>37186007.600000001</v>
      </c>
      <c r="E91" s="136">
        <f>+'PLAN RASHODA I IZDATAKA'!E91</f>
        <v>25271030</v>
      </c>
      <c r="F91" s="136">
        <f>+'PLAN RASHODA I IZDATAKA'!F91</f>
        <v>0</v>
      </c>
      <c r="G91" s="136">
        <f>+'PLAN RASHODA I IZDATAKA'!G91</f>
        <v>4629565.8</v>
      </c>
      <c r="H91" s="136">
        <f>+'PLAN RASHODA I IZDATAKA'!H91</f>
        <v>0</v>
      </c>
      <c r="I91" s="136">
        <f>+'PLAN RASHODA I IZDATAKA'!I91</f>
        <v>6381589.7999999998</v>
      </c>
      <c r="J91" s="136">
        <f>+'PLAN RASHODA I IZDATAKA'!J91</f>
        <v>192885</v>
      </c>
      <c r="K91" s="136">
        <f>+'PLAN RASHODA I IZDATAKA'!K91</f>
        <v>0</v>
      </c>
      <c r="L91" s="136">
        <f>+'PLAN RASHODA I IZDATAKA'!L91</f>
        <v>0</v>
      </c>
      <c r="M91" s="136">
        <f>+'PLAN RASHODA I IZDATAKA'!M91</f>
        <v>0</v>
      </c>
      <c r="N91" s="136">
        <f>+'PLAN RASHODA I IZDATAKA'!N91</f>
        <v>680937</v>
      </c>
      <c r="O91" s="136">
        <f>+'PLAN RASHODA I IZDATAKA'!O91</f>
        <v>0</v>
      </c>
      <c r="P91" s="136">
        <f>+'PLAN RASHODA I IZDATAKA'!P91</f>
        <v>0</v>
      </c>
      <c r="Q91" s="136">
        <f>+'PLAN RASHODA I IZDATAKA'!Q91</f>
        <v>0</v>
      </c>
      <c r="R91" s="136">
        <f>+'PLAN RASHODA I IZDATAKA'!R91</f>
        <v>0</v>
      </c>
      <c r="S91" s="136">
        <f>+'PLAN RASHODA I IZDATAKA'!S91</f>
        <v>30000</v>
      </c>
      <c r="T91" s="136">
        <f>+'PLAN RASHODA I IZDATAKA'!T91</f>
        <v>0</v>
      </c>
      <c r="U91" s="136">
        <f>+'PLAN RASHODA I IZDATAKA'!U91</f>
        <v>0</v>
      </c>
      <c r="V91" s="136">
        <f>+'PLAN RASHODA I IZDATAKA'!V91</f>
        <v>0</v>
      </c>
      <c r="W91" s="136">
        <f>+'PLAN RASHODA I IZDATAKA'!W91</f>
        <v>0</v>
      </c>
      <c r="X91" s="94"/>
      <c r="Y91" s="94"/>
      <c r="Z91" s="94"/>
      <c r="AA91" s="94"/>
      <c r="AB91" s="94"/>
      <c r="AC91" s="94"/>
    </row>
    <row r="92" spans="1:29" s="90" customFormat="1" ht="13.5" thickBot="1">
      <c r="A92" s="90">
        <v>2023</v>
      </c>
      <c r="B92" s="116"/>
      <c r="C92" s="117" t="s">
        <v>351</v>
      </c>
      <c r="D92" s="69">
        <f>SUM(E92:W92)</f>
        <v>0.40000000037252903</v>
      </c>
      <c r="E92" s="118">
        <f>+E90-E91</f>
        <v>0</v>
      </c>
      <c r="F92" s="118">
        <f t="shared" ref="F92:V92" si="26">+F90-F91</f>
        <v>0</v>
      </c>
      <c r="G92" s="118">
        <f t="shared" si="26"/>
        <v>0.20000000018626451</v>
      </c>
      <c r="H92" s="118">
        <f>+H90-H91</f>
        <v>0</v>
      </c>
      <c r="I92" s="118">
        <f t="shared" si="26"/>
        <v>0.20000000018626451</v>
      </c>
      <c r="J92" s="118">
        <f t="shared" si="26"/>
        <v>0</v>
      </c>
      <c r="K92" s="118">
        <f t="shared" si="26"/>
        <v>0</v>
      </c>
      <c r="L92" s="118">
        <f>+L90-L91</f>
        <v>0</v>
      </c>
      <c r="M92" s="118">
        <f t="shared" si="26"/>
        <v>0</v>
      </c>
      <c r="N92" s="118">
        <f t="shared" si="26"/>
        <v>0</v>
      </c>
      <c r="O92" s="118">
        <f t="shared" si="26"/>
        <v>0</v>
      </c>
      <c r="P92" s="118">
        <f>+P90-P91</f>
        <v>0</v>
      </c>
      <c r="Q92" s="118">
        <f>+Q90-Q91</f>
        <v>0</v>
      </c>
      <c r="R92" s="118">
        <f>+R90-R91</f>
        <v>0</v>
      </c>
      <c r="S92" s="118">
        <f t="shared" si="26"/>
        <v>0</v>
      </c>
      <c r="T92" s="118">
        <f t="shared" si="26"/>
        <v>0</v>
      </c>
      <c r="U92" s="118">
        <f t="shared" si="26"/>
        <v>0</v>
      </c>
      <c r="V92" s="118">
        <f t="shared" si="26"/>
        <v>0</v>
      </c>
      <c r="W92" s="118">
        <f>+W90-W91</f>
        <v>0</v>
      </c>
    </row>
    <row r="93" spans="1:29" s="90" customFormat="1">
      <c r="A93" s="90">
        <v>2023</v>
      </c>
      <c r="B93" s="97" t="s">
        <v>1565</v>
      </c>
      <c r="C93" s="110" t="s">
        <v>1566</v>
      </c>
      <c r="D93" s="70">
        <f>SUM(E93:W93)</f>
        <v>0</v>
      </c>
      <c r="E93" s="189">
        <f>SUMIFS('Plan prihoda za unos u SAP'!$I$3:$I$501,'Plan prihoda za unos u SAP'!$C$3:$C$501,"=11",'Plan prihoda za unos u SAP'!$K$3:$K$501,"=614")</f>
        <v>0</v>
      </c>
      <c r="F93" s="189">
        <f>SUMIFS('Plan prihoda za unos u SAP'!$I$3:$I$501,'Plan prihoda za unos u SAP'!$C$3:$C$501,"=12",'Plan prihoda za unos u SAP'!$K$3:$K$501,"=614")</f>
        <v>0</v>
      </c>
      <c r="G93" s="189">
        <f>SUMIFS('Plan prihoda za unos u SAP'!$I$3:$I$501,'Plan prihoda za unos u SAP'!$C$3:$C$501,"=31",'Plan prihoda za unos u SAP'!$K$3:$K$501,"=614")</f>
        <v>0</v>
      </c>
      <c r="H93" s="189">
        <f>SUMIFS('Plan prihoda za unos u SAP'!$I$3:$I$501,'Plan prihoda za unos u SAP'!$C$3:$C$501,"=41",'Plan prihoda za unos u SAP'!$K$3:$K$501,"=614")</f>
        <v>0</v>
      </c>
      <c r="I93" s="189">
        <f>SUMIFS('Plan prihoda za unos u SAP'!$I$3:$I$501,'Plan prihoda za unos u SAP'!$C$3:$C$501,"=43",'Plan prihoda za unos u SAP'!$K$3:$K$501,"=614")</f>
        <v>0</v>
      </c>
      <c r="J93" s="189">
        <f>SUMIFS('Plan prihoda za unos u SAP'!$I$3:$I$501,'Plan prihoda za unos u SAP'!$C$3:$C$501,"=51",'Plan prihoda za unos u SAP'!$K$3:$K$501,"=614")</f>
        <v>0</v>
      </c>
      <c r="K93" s="189">
        <f>SUMIFS('Plan prihoda za unos u SAP'!$I$3:$I$501,'Plan prihoda za unos u SAP'!$C$3:$C$501,"=52",'Plan prihoda za unos u SAP'!$K$3:$K$501,"=614")</f>
        <v>0</v>
      </c>
      <c r="L93" s="189">
        <f>SUMIFS('Plan prihoda za unos u SAP'!$I$3:$I$501,'Plan prihoda za unos u SAP'!$C$3:$C$501,"=552",'Plan prihoda za unos u SAP'!$K$3:$K$501,"=614")</f>
        <v>0</v>
      </c>
      <c r="M93" s="189">
        <f>SUMIFS('Plan prihoda za unos u SAP'!$I$3:$I$501,'Plan prihoda za unos u SAP'!$C$3:$C$501,"=559",'Plan prihoda za unos u SAP'!$K$3:$K$501,"=614")</f>
        <v>0</v>
      </c>
      <c r="N93" s="189">
        <f>SUMIFS('Plan prihoda za unos u SAP'!$I$3:$I$501,'Plan prihoda za unos u SAP'!$C$3:$C$501,"=561",'Plan prihoda za unos u SAP'!$K$3:$K$501,"=614")</f>
        <v>0</v>
      </c>
      <c r="O93" s="189">
        <f>SUMIFS('Plan prihoda za unos u SAP'!$I$3:$I$501,'Plan prihoda za unos u SAP'!$C$3:$C$501,"=563",'Plan prihoda za unos u SAP'!$K$3:$K$501,"=614")</f>
        <v>0</v>
      </c>
      <c r="P93" s="189">
        <f>SUMIFS('Plan prihoda za unos u SAP'!$I$3:$I$501,'Plan prihoda za unos u SAP'!$C$3:$C$501,"=573",'Plan prihoda za unos u SAP'!$K$3:$K$501,"=614")</f>
        <v>0</v>
      </c>
      <c r="Q93" s="189">
        <f>SUMIFS('Plan prihoda za unos u SAP'!$I$3:$I$501,'Plan prihoda za unos u SAP'!$C$3:$C$501,"=575",'Plan prihoda za unos u SAP'!$K$3:$K$501,"=614")</f>
        <v>0</v>
      </c>
      <c r="R93" s="189">
        <f>SUMIFS('Plan prihoda za unos u SAP'!$I$3:$I$501,'Plan prihoda za unos u SAP'!$C$3:$C$501,"=576",'Plan prihoda za unos u SAP'!$K$3:$K$501,"=614")</f>
        <v>0</v>
      </c>
      <c r="S93" s="189">
        <f>SUMIFS('Plan prihoda za unos u SAP'!$I$3:$I$501,'Plan prihoda za unos u SAP'!$C$3:$C$501,"=61",'Plan prihoda za unos u SAP'!$K$3:$K$501,"=614")</f>
        <v>0</v>
      </c>
      <c r="T93" s="189">
        <f>SUMIFS('Plan prihoda za unos u SAP'!$I$3:$I$501,'Plan prihoda za unos u SAP'!$C$3:$C$501,"=63",'Plan prihoda za unos u SAP'!$K$3:$K$501,"=614")</f>
        <v>0</v>
      </c>
      <c r="U93" s="189">
        <f>SUMIFS('Plan prihoda za unos u SAP'!$I$3:$I$501,'Plan prihoda za unos u SAP'!$C$3:$C$501,"=71",'Plan prihoda za unos u SAP'!$K$3:$K$501,"=614")</f>
        <v>0</v>
      </c>
      <c r="V93" s="189">
        <f>SUMIFS('Plan prihoda za unos u SAP'!$I$3:$I$501,'Plan prihoda za unos u SAP'!$C$3:$C$501,"=81",'Plan prihoda za unos u SAP'!$K$3:$K$501,"=614")</f>
        <v>0</v>
      </c>
      <c r="W93" s="189">
        <f>SUMIFS('Plan prihoda za unos u SAP'!$I$3:$I$501,'Plan prihoda za unos u SAP'!$C$3:$C$501,"=83",'Plan prihoda za unos u SAP'!$K$3:$K$501,"=614")</f>
        <v>0</v>
      </c>
    </row>
    <row r="94" spans="1:29" s="90" customFormat="1">
      <c r="A94" s="90">
        <v>2023</v>
      </c>
      <c r="B94" s="97" t="s">
        <v>281</v>
      </c>
      <c r="C94" s="96" t="s">
        <v>282</v>
      </c>
      <c r="D94" s="70">
        <f t="shared" si="23"/>
        <v>0</v>
      </c>
      <c r="E94" s="189">
        <f>SUMIFS('Plan prihoda za unos u SAP'!$I$3:$I$501,'Plan prihoda za unos u SAP'!$C$3:$C$501,"=11",'Plan prihoda za unos u SAP'!$K$3:$K$501,"=631")</f>
        <v>0</v>
      </c>
      <c r="F94" s="189">
        <f>SUMIFS('Plan prihoda za unos u SAP'!$I$3:$I$501,'Plan prihoda za unos u SAP'!$C$3:$C$501,"=12",'Plan prihoda za unos u SAP'!$K$3:$K$501,"=631")</f>
        <v>0</v>
      </c>
      <c r="G94" s="189">
        <f>SUMIFS('Plan prihoda za unos u SAP'!$I$3:$I$501,'Plan prihoda za unos u SAP'!$C$3:$C$501,"=31",'Plan prihoda za unos u SAP'!$K$3:$K$501,"=631")</f>
        <v>0</v>
      </c>
      <c r="H94" s="189">
        <f>SUMIFS('Plan prihoda za unos u SAP'!$I$3:$I$501,'Plan prihoda za unos u SAP'!$C$3:$C$501,"=41",'Plan prihoda za unos u SAP'!$K$3:$K$501,"=631")</f>
        <v>0</v>
      </c>
      <c r="I94" s="189">
        <f>SUMIFS('Plan prihoda za unos u SAP'!$I$3:$I$501,'Plan prihoda za unos u SAP'!$C$3:$C$501,"=43",'Plan prihoda za unos u SAP'!$K$3:$K$501,"=631")</f>
        <v>0</v>
      </c>
      <c r="J94" s="189">
        <f>SUMIFS('Plan prihoda za unos u SAP'!$I$3:$I$501,'Plan prihoda za unos u SAP'!$C$3:$C$501,"=51",'Plan prihoda za unos u SAP'!$K$3:$K$501,"=631")</f>
        <v>0</v>
      </c>
      <c r="K94" s="189">
        <f>SUMIFS('Plan prihoda za unos u SAP'!$I$3:$I$501,'Plan prihoda za unos u SAP'!$C$3:$C$501,"=52",'Plan prihoda za unos u SAP'!$K$3:$K$501,"=631")</f>
        <v>0</v>
      </c>
      <c r="L94" s="189">
        <f>SUMIFS('Plan prihoda za unos u SAP'!$I$3:$I$501,'Plan prihoda za unos u SAP'!$C$3:$C$501,"=552",'Plan prihoda za unos u SAP'!$K$3:$K$501,"=631")</f>
        <v>0</v>
      </c>
      <c r="M94" s="189">
        <f>SUMIFS('Plan prihoda za unos u SAP'!$I$3:$I$501,'Plan prihoda za unos u SAP'!$C$3:$C$501,"=559",'Plan prihoda za unos u SAP'!$K$3:$K$501,"=631")</f>
        <v>0</v>
      </c>
      <c r="N94" s="189">
        <f>SUMIFS('Plan prihoda za unos u SAP'!$I$3:$I$501,'Plan prihoda za unos u SAP'!$C$3:$C$501,"=561",'Plan prihoda za unos u SAP'!$K$3:$K$501,"=631")</f>
        <v>0</v>
      </c>
      <c r="O94" s="189">
        <f>SUMIFS('Plan prihoda za unos u SAP'!$I$3:$I$501,'Plan prihoda za unos u SAP'!$C$3:$C$501,"=563",'Plan prihoda za unos u SAP'!$K$3:$K$501,"=631")</f>
        <v>0</v>
      </c>
      <c r="P94" s="189">
        <f>SUMIFS('Plan prihoda za unos u SAP'!$I$3:$I$501,'Plan prihoda za unos u SAP'!$C$3:$C$501,"=573",'Plan prihoda za unos u SAP'!$K$3:$K$501,"=631")</f>
        <v>0</v>
      </c>
      <c r="Q94" s="189">
        <f>SUMIFS('Plan prihoda za unos u SAP'!$I$3:$I$501,'Plan prihoda za unos u SAP'!$C$3:$C$501,"=575",'Plan prihoda za unos u SAP'!$K$3:$K$501,"=631")</f>
        <v>0</v>
      </c>
      <c r="R94" s="189">
        <f>SUMIFS('Plan prihoda za unos u SAP'!$I$3:$I$501,'Plan prihoda za unos u SAP'!$C$3:$C$501,"=576",'Plan prihoda za unos u SAP'!$K$3:$K$501,"=631")</f>
        <v>0</v>
      </c>
      <c r="S94" s="189">
        <f>SUMIFS('Plan prihoda za unos u SAP'!$I$3:$I$501,'Plan prihoda za unos u SAP'!$C$3:$C$501,"=61",'Plan prihoda za unos u SAP'!$K$3:$K$501,"=631")</f>
        <v>0</v>
      </c>
      <c r="T94" s="189">
        <f>SUMIFS('Plan prihoda za unos u SAP'!$I$3:$I$501,'Plan prihoda za unos u SAP'!$C$3:$C$501,"=63",'Plan prihoda za unos u SAP'!$K$3:$K$501,"=631")</f>
        <v>0</v>
      </c>
      <c r="U94" s="189">
        <f>SUMIFS('Plan prihoda za unos u SAP'!$I$3:$I$501,'Plan prihoda za unos u SAP'!$C$3:$C$501,"=71",'Plan prihoda za unos u SAP'!$K$3:$K$501,"=631")</f>
        <v>0</v>
      </c>
      <c r="V94" s="189">
        <f>SUMIFS('Plan prihoda za unos u SAP'!$I$3:$I$501,'Plan prihoda za unos u SAP'!$C$3:$C$501,"=81",'Plan prihoda za unos u SAP'!$K$3:$K$501,"=631")</f>
        <v>0</v>
      </c>
      <c r="W94" s="189">
        <f>SUMIFS('Plan prihoda za unos u SAP'!$I$3:$I$501,'Plan prihoda za unos u SAP'!$C$3:$C$501,"=83",'Plan prihoda za unos u SAP'!$K$3:$K$501,"=631")</f>
        <v>0</v>
      </c>
    </row>
    <row r="95" spans="1:29" s="90" customFormat="1">
      <c r="A95" s="90">
        <v>2023</v>
      </c>
      <c r="B95" s="95" t="s">
        <v>283</v>
      </c>
      <c r="C95" s="96" t="s">
        <v>284</v>
      </c>
      <c r="D95" s="70">
        <f t="shared" si="23"/>
        <v>385538</v>
      </c>
      <c r="E95" s="189">
        <f>SUMIFS('Plan prihoda za unos u SAP'!$I$3:$I$501,'Plan prihoda za unos u SAP'!$C$3:$C$501,"=11",'Plan prihoda za unos u SAP'!$K$3:$K$501,"=632")</f>
        <v>0</v>
      </c>
      <c r="F95" s="189">
        <f>SUMIFS('Plan prihoda za unos u SAP'!$I$3:$I$501,'Plan prihoda za unos u SAP'!$C$3:$C$501,"=12",'Plan prihoda za unos u SAP'!$K$3:$K$501,"=632")</f>
        <v>0</v>
      </c>
      <c r="G95" s="189">
        <f>SUMIFS('Plan prihoda za unos u SAP'!$I$3:$I$501,'Plan prihoda za unos u SAP'!$C$3:$C$501,"=31",'Plan prihoda za unos u SAP'!$K$3:$K$501,"=632")</f>
        <v>0</v>
      </c>
      <c r="H95" s="189">
        <f>SUMIFS('Plan prihoda za unos u SAP'!$I$3:$I$501,'Plan prihoda za unos u SAP'!$C$3:$C$501,"=41",'Plan prihoda za unos u SAP'!$K$3:$K$501,"=632")</f>
        <v>0</v>
      </c>
      <c r="I95" s="189">
        <f>SUMIFS('Plan prihoda za unos u SAP'!$I$3:$I$501,'Plan prihoda za unos u SAP'!$C$3:$C$501,"=43",'Plan prihoda za unos u SAP'!$K$3:$K$501,"=632")</f>
        <v>0</v>
      </c>
      <c r="J95" s="189">
        <f>SUMIFS('Plan prihoda za unos u SAP'!$I$3:$I$501,'Plan prihoda za unos u SAP'!$C$3:$C$501,"=51",'Plan prihoda za unos u SAP'!$K$3:$K$501,"=632")</f>
        <v>192885</v>
      </c>
      <c r="K95" s="189">
        <f>SUMIFS('Plan prihoda za unos u SAP'!$I$3:$I$501,'Plan prihoda za unos u SAP'!$C$3:$C$501,"=52",'Plan prihoda za unos u SAP'!$K$3:$K$501,"=632")</f>
        <v>0</v>
      </c>
      <c r="L95" s="189">
        <f>SUMIFS('Plan prihoda za unos u SAP'!$I$3:$I$501,'Plan prihoda za unos u SAP'!$C$3:$C$501,"=552",'Plan prihoda za unos u SAP'!$K$3:$K$501,"=632")</f>
        <v>0</v>
      </c>
      <c r="M95" s="189">
        <f>SUMIFS('Plan prihoda za unos u SAP'!$I$3:$I$501,'Plan prihoda za unos u SAP'!$C$3:$C$501,"=559",'Plan prihoda za unos u SAP'!$K$3:$K$501,"=632")</f>
        <v>0</v>
      </c>
      <c r="N95" s="189">
        <f>SUMIFS('Plan prihoda za unos u SAP'!$I$3:$I$501,'Plan prihoda za unos u SAP'!$C$3:$C$501,"=561",'Plan prihoda za unos u SAP'!$K$3:$K$501,"=632")</f>
        <v>192653</v>
      </c>
      <c r="O95" s="189">
        <f>SUMIFS('Plan prihoda za unos u SAP'!$I$3:$I$501,'Plan prihoda za unos u SAP'!$C$3:$C$501,"=563",'Plan prihoda za unos u SAP'!$K$3:$K$501,"=632")</f>
        <v>0</v>
      </c>
      <c r="P95" s="189">
        <f>SUMIFS('Plan prihoda za unos u SAP'!$I$3:$I$501,'Plan prihoda za unos u SAP'!$C$3:$C$501,"=573",'Plan prihoda za unos u SAP'!$K$3:$K$501,"=632")</f>
        <v>0</v>
      </c>
      <c r="Q95" s="189">
        <f>SUMIFS('Plan prihoda za unos u SAP'!$I$3:$I$501,'Plan prihoda za unos u SAP'!$C$3:$C$501,"=575",'Plan prihoda za unos u SAP'!$K$3:$K$501,"=632")</f>
        <v>0</v>
      </c>
      <c r="R95" s="189">
        <f>SUMIFS('Plan prihoda za unos u SAP'!$I$3:$I$501,'Plan prihoda za unos u SAP'!$C$3:$C$501,"=576",'Plan prihoda za unos u SAP'!$K$3:$K$501,"=632")</f>
        <v>0</v>
      </c>
      <c r="S95" s="189">
        <f>SUMIFS('Plan prihoda za unos u SAP'!$I$3:$I$501,'Plan prihoda za unos u SAP'!$C$3:$C$501,"=61",'Plan prihoda za unos u SAP'!$K$3:$K$501,"=632")</f>
        <v>0</v>
      </c>
      <c r="T95" s="189">
        <f>SUMIFS('Plan prihoda za unos u SAP'!$I$3:$I$501,'Plan prihoda za unos u SAP'!$C$3:$C$501,"=63",'Plan prihoda za unos u SAP'!$K$3:$K$501,"=632")</f>
        <v>0</v>
      </c>
      <c r="U95" s="189">
        <f>SUMIFS('Plan prihoda za unos u SAP'!$I$3:$I$501,'Plan prihoda za unos u SAP'!$C$3:$C$501,"=71",'Plan prihoda za unos u SAP'!$K$3:$K$501,"=632")</f>
        <v>0</v>
      </c>
      <c r="V95" s="189">
        <f>SUMIFS('Plan prihoda za unos u SAP'!$I$3:$I$501,'Plan prihoda za unos u SAP'!$C$3:$C$501,"=81",'Plan prihoda za unos u SAP'!$K$3:$K$501,"=632")</f>
        <v>0</v>
      </c>
      <c r="W95" s="189">
        <f>SUMIFS('Plan prihoda za unos u SAP'!$I$3:$I$501,'Plan prihoda za unos u SAP'!$C$3:$C$501,"=83",'Plan prihoda za unos u SAP'!$K$3:$K$501,"=632")</f>
        <v>0</v>
      </c>
    </row>
    <row r="96" spans="1:29" s="90" customFormat="1">
      <c r="A96" s="90">
        <v>2023</v>
      </c>
      <c r="B96" s="95" t="s">
        <v>285</v>
      </c>
      <c r="C96" s="96" t="s">
        <v>286</v>
      </c>
      <c r="D96" s="70">
        <f t="shared" si="23"/>
        <v>0</v>
      </c>
      <c r="E96" s="189">
        <f>SUMIFS('Plan prihoda za unos u SAP'!$I$3:$I$501,'Plan prihoda za unos u SAP'!$C$3:$C$501,"=11",'Plan prihoda za unos u SAP'!$K$3:$K$501,"=634")</f>
        <v>0</v>
      </c>
      <c r="F96" s="189">
        <f>SUMIFS('Plan prihoda za unos u SAP'!$I$3:$I$501,'Plan prihoda za unos u SAP'!$C$3:$C$501,"=12",'Plan prihoda za unos u SAP'!$K$3:$K$501,"=634")</f>
        <v>0</v>
      </c>
      <c r="G96" s="189">
        <f>SUMIFS('Plan prihoda za unos u SAP'!$I$3:$I$501,'Plan prihoda za unos u SAP'!$C$3:$C$501,"=31",'Plan prihoda za unos u SAP'!$K$3:$K$501,"=634")</f>
        <v>0</v>
      </c>
      <c r="H96" s="189">
        <f>SUMIFS('Plan prihoda za unos u SAP'!$I$3:$I$501,'Plan prihoda za unos u SAP'!$C$3:$C$501,"=41",'Plan prihoda za unos u SAP'!$K$3:$K$501,"=634")</f>
        <v>0</v>
      </c>
      <c r="I96" s="189">
        <f>SUMIFS('Plan prihoda za unos u SAP'!$I$3:$I$501,'Plan prihoda za unos u SAP'!$C$3:$C$501,"=43",'Plan prihoda za unos u SAP'!$K$3:$K$501,"=634")</f>
        <v>0</v>
      </c>
      <c r="J96" s="189">
        <f>SUMIFS('Plan prihoda za unos u SAP'!$I$3:$I$501,'Plan prihoda za unos u SAP'!$C$3:$C$501,"=51",'Plan prihoda za unos u SAP'!$K$3:$K$501,"=634")</f>
        <v>0</v>
      </c>
      <c r="K96" s="189">
        <f>SUMIFS('Plan prihoda za unos u SAP'!$I$3:$I$501,'Plan prihoda za unos u SAP'!$C$3:$C$501,"=52",'Plan prihoda za unos u SAP'!$K$3:$K$501,"=634")</f>
        <v>0</v>
      </c>
      <c r="L96" s="189">
        <f>SUMIFS('Plan prihoda za unos u SAP'!$I$3:$I$501,'Plan prihoda za unos u SAP'!$C$3:$C$501,"=552",'Plan prihoda za unos u SAP'!$K$3:$K$501,"=634")</f>
        <v>0</v>
      </c>
      <c r="M96" s="189">
        <f>SUMIFS('Plan prihoda za unos u SAP'!$I$3:$I$501,'Plan prihoda za unos u SAP'!$C$3:$C$501,"=559",'Plan prihoda za unos u SAP'!$K$3:$K$501,"=634")</f>
        <v>0</v>
      </c>
      <c r="N96" s="189">
        <f>SUMIFS('Plan prihoda za unos u SAP'!$I$3:$I$501,'Plan prihoda za unos u SAP'!$C$3:$C$501,"=561",'Plan prihoda za unos u SAP'!$K$3:$K$501,"=634")</f>
        <v>0</v>
      </c>
      <c r="O96" s="189">
        <f>SUMIFS('Plan prihoda za unos u SAP'!$I$3:$I$501,'Plan prihoda za unos u SAP'!$C$3:$C$501,"=563",'Plan prihoda za unos u SAP'!$K$3:$K$501,"=634")</f>
        <v>0</v>
      </c>
      <c r="P96" s="189">
        <f>SUMIFS('Plan prihoda za unos u SAP'!$I$3:$I$501,'Plan prihoda za unos u SAP'!$C$3:$C$501,"=573",'Plan prihoda za unos u SAP'!$K$3:$K$501,"=634")</f>
        <v>0</v>
      </c>
      <c r="Q96" s="189">
        <f>SUMIFS('Plan prihoda za unos u SAP'!$I$3:$I$501,'Plan prihoda za unos u SAP'!$C$3:$C$501,"=575",'Plan prihoda za unos u SAP'!$K$3:$K$501,"=634")</f>
        <v>0</v>
      </c>
      <c r="R96" s="189">
        <f>SUMIFS('Plan prihoda za unos u SAP'!$I$3:$I$501,'Plan prihoda za unos u SAP'!$C$3:$C$501,"=576",'Plan prihoda za unos u SAP'!$K$3:$K$501,"=634")</f>
        <v>0</v>
      </c>
      <c r="S96" s="189">
        <f>SUMIFS('Plan prihoda za unos u SAP'!$I$3:$I$501,'Plan prihoda za unos u SAP'!$C$3:$C$501,"=61",'Plan prihoda za unos u SAP'!$K$3:$K$501,"=634")</f>
        <v>0</v>
      </c>
      <c r="T96" s="189">
        <f>SUMIFS('Plan prihoda za unos u SAP'!$I$3:$I$501,'Plan prihoda za unos u SAP'!$C$3:$C$501,"=63",'Plan prihoda za unos u SAP'!$K$3:$K$501,"=634")</f>
        <v>0</v>
      </c>
      <c r="U96" s="189">
        <f>SUMIFS('Plan prihoda za unos u SAP'!$I$3:$I$501,'Plan prihoda za unos u SAP'!$C$3:$C$501,"=71",'Plan prihoda za unos u SAP'!$K$3:$K$501,"=634")</f>
        <v>0</v>
      </c>
      <c r="V96" s="189">
        <f>SUMIFS('Plan prihoda za unos u SAP'!$I$3:$I$501,'Plan prihoda za unos u SAP'!$C$3:$C$501,"=81",'Plan prihoda za unos u SAP'!$K$3:$K$501,"=634")</f>
        <v>0</v>
      </c>
      <c r="W96" s="189">
        <f>SUMIFS('Plan prihoda za unos u SAP'!$I$3:$I$501,'Plan prihoda za unos u SAP'!$C$3:$C$501,"=83",'Plan prihoda za unos u SAP'!$K$3:$K$501,"=634")</f>
        <v>0</v>
      </c>
    </row>
    <row r="97" spans="1:23" s="90" customFormat="1">
      <c r="A97" s="90">
        <v>2023</v>
      </c>
      <c r="B97" s="215" t="s">
        <v>762</v>
      </c>
      <c r="C97" s="96" t="s">
        <v>763</v>
      </c>
      <c r="D97" s="70">
        <f t="shared" si="23"/>
        <v>0</v>
      </c>
      <c r="E97" s="189">
        <f>SUMIFS('Plan prihoda za unos u SAP'!$I$3:$I$501,'Plan prihoda za unos u SAP'!$C$3:$C$501,"=11",'Plan prihoda za unos u SAP'!$K$3:$K$501,"=636")</f>
        <v>0</v>
      </c>
      <c r="F97" s="189">
        <f>SUMIFS('Plan prihoda za unos u SAP'!$I$3:$I$501,'Plan prihoda za unos u SAP'!$C$3:$C$501,"=12",'Plan prihoda za unos u SAP'!$K$3:$K$501,"=636")</f>
        <v>0</v>
      </c>
      <c r="G97" s="189">
        <f>SUMIFS('Plan prihoda za unos u SAP'!$I$3:$I$501,'Plan prihoda za unos u SAP'!$C$3:$C$501,"=31",'Plan prihoda za unos u SAP'!$K$3:$K$501,"=636")</f>
        <v>0</v>
      </c>
      <c r="H97" s="189">
        <f>SUMIFS('Plan prihoda za unos u SAP'!$I$3:$I$501,'Plan prihoda za unos u SAP'!$C$3:$C$501,"=41",'Plan prihoda za unos u SAP'!$K$3:$K$501,"=636")</f>
        <v>0</v>
      </c>
      <c r="I97" s="189">
        <f>SUMIFS('Plan prihoda za unos u SAP'!$I$3:$I$501,'Plan prihoda za unos u SAP'!$C$3:$C$501,"=43",'Plan prihoda za unos u SAP'!$K$3:$K$501,"=636")</f>
        <v>0</v>
      </c>
      <c r="J97" s="189">
        <f>SUMIFS('Plan prihoda za unos u SAP'!$I$3:$I$501,'Plan prihoda za unos u SAP'!$C$3:$C$501,"=51",'Plan prihoda za unos u SAP'!$K$3:$K$501,"=636")</f>
        <v>0</v>
      </c>
      <c r="K97" s="189">
        <f>SUMIFS('Plan prihoda za unos u SAP'!$I$3:$I$501,'Plan prihoda za unos u SAP'!$C$3:$C$501,"=52",'Plan prihoda za unos u SAP'!$K$3:$K$501,"=636")</f>
        <v>0</v>
      </c>
      <c r="L97" s="189">
        <f>SUMIFS('Plan prihoda za unos u SAP'!$I$3:$I$501,'Plan prihoda za unos u SAP'!$C$3:$C$501,"=552",'Plan prihoda za unos u SAP'!$K$3:$K$501,"=636")</f>
        <v>0</v>
      </c>
      <c r="M97" s="189">
        <f>SUMIFS('Plan prihoda za unos u SAP'!$I$3:$I$501,'Plan prihoda za unos u SAP'!$C$3:$C$501,"=559",'Plan prihoda za unos u SAP'!$K$3:$K$501,"=636")</f>
        <v>0</v>
      </c>
      <c r="N97" s="189">
        <f>SUMIFS('Plan prihoda za unos u SAP'!$I$3:$I$501,'Plan prihoda za unos u SAP'!$C$3:$C$501,"=561",'Plan prihoda za unos u SAP'!$K$3:$K$501,"=636")</f>
        <v>0</v>
      </c>
      <c r="O97" s="189">
        <f>SUMIFS('Plan prihoda za unos u SAP'!$I$3:$I$501,'Plan prihoda za unos u SAP'!$C$3:$C$501,"=563",'Plan prihoda za unos u SAP'!$K$3:$K$501,"=636")</f>
        <v>0</v>
      </c>
      <c r="P97" s="189">
        <f>SUMIFS('Plan prihoda za unos u SAP'!$I$3:$I$501,'Plan prihoda za unos u SAP'!$C$3:$C$501,"=573",'Plan prihoda za unos u SAP'!$K$3:$K$501,"=636")</f>
        <v>0</v>
      </c>
      <c r="Q97" s="189">
        <f>SUMIFS('Plan prihoda za unos u SAP'!$I$3:$I$501,'Plan prihoda za unos u SAP'!$C$3:$C$501,"=575",'Plan prihoda za unos u SAP'!$K$3:$K$501,"=636")</f>
        <v>0</v>
      </c>
      <c r="R97" s="189">
        <f>SUMIFS('Plan prihoda za unos u SAP'!$I$3:$I$501,'Plan prihoda za unos u SAP'!$C$3:$C$501,"=576",'Plan prihoda za unos u SAP'!$K$3:$K$501,"=636")</f>
        <v>0</v>
      </c>
      <c r="S97" s="189">
        <f>SUMIFS('Plan prihoda za unos u SAP'!$I$3:$I$501,'Plan prihoda za unos u SAP'!$C$3:$C$501,"=61",'Plan prihoda za unos u SAP'!$K$3:$K$501,"=636")</f>
        <v>0</v>
      </c>
      <c r="T97" s="189">
        <f>SUMIFS('Plan prihoda za unos u SAP'!$I$3:$I$501,'Plan prihoda za unos u SAP'!$C$3:$C$501,"=63",'Plan prihoda za unos u SAP'!$K$3:$K$501,"=636")</f>
        <v>0</v>
      </c>
      <c r="U97" s="189">
        <f>SUMIFS('Plan prihoda za unos u SAP'!$I$3:$I$501,'Plan prihoda za unos u SAP'!$C$3:$C$501,"=71",'Plan prihoda za unos u SAP'!$K$3:$K$501,"=636")</f>
        <v>0</v>
      </c>
      <c r="V97" s="189">
        <f>SUMIFS('Plan prihoda za unos u SAP'!$I$3:$I$501,'Plan prihoda za unos u SAP'!$C$3:$C$501,"=81",'Plan prihoda za unos u SAP'!$K$3:$K$501,"=636")</f>
        <v>0</v>
      </c>
      <c r="W97" s="189">
        <f>SUMIFS('Plan prihoda za unos u SAP'!$I$3:$I$501,'Plan prihoda za unos u SAP'!$C$3:$C$501,"=83",'Plan prihoda za unos u SAP'!$K$3:$K$501,"=636")</f>
        <v>0</v>
      </c>
    </row>
    <row r="98" spans="1:23" s="90" customFormat="1">
      <c r="A98" s="90">
        <v>2023</v>
      </c>
      <c r="B98" s="95" t="s">
        <v>287</v>
      </c>
      <c r="C98" s="96" t="s">
        <v>288</v>
      </c>
      <c r="D98" s="70">
        <f t="shared" si="23"/>
        <v>0</v>
      </c>
      <c r="E98" s="189">
        <f>SUMIFS('Plan prihoda za unos u SAP'!$I$3:$I$501,'Plan prihoda za unos u SAP'!$C$3:$C$501,"=11",'Plan prihoda za unos u SAP'!$K$3:$K$501,"=638")</f>
        <v>0</v>
      </c>
      <c r="F98" s="189">
        <f>SUMIFS('Plan prihoda za unos u SAP'!$I$3:$I$501,'Plan prihoda za unos u SAP'!$C$3:$C$501,"=12",'Plan prihoda za unos u SAP'!$K$3:$K$501,"=638")</f>
        <v>0</v>
      </c>
      <c r="G98" s="189">
        <f>SUMIFS('Plan prihoda za unos u SAP'!$I$3:$I$501,'Plan prihoda za unos u SAP'!$C$3:$C$501,"=31",'Plan prihoda za unos u SAP'!$K$3:$K$501,"=638")</f>
        <v>0</v>
      </c>
      <c r="H98" s="189">
        <f>SUMIFS('Plan prihoda za unos u SAP'!$I$3:$I$501,'Plan prihoda za unos u SAP'!$C$3:$C$501,"=41",'Plan prihoda za unos u SAP'!$K$3:$K$501,"=638")</f>
        <v>0</v>
      </c>
      <c r="I98" s="189">
        <f>SUMIFS('Plan prihoda za unos u SAP'!$I$3:$I$501,'Plan prihoda za unos u SAP'!$C$3:$C$501,"=43",'Plan prihoda za unos u SAP'!$K$3:$K$501,"=638")</f>
        <v>0</v>
      </c>
      <c r="J98" s="189">
        <f>SUMIFS('Plan prihoda za unos u SAP'!$I$3:$I$501,'Plan prihoda za unos u SAP'!$C$3:$C$501,"=51",'Plan prihoda za unos u SAP'!$K$3:$K$501,"=638")</f>
        <v>0</v>
      </c>
      <c r="K98" s="189">
        <f>SUMIFS('Plan prihoda za unos u SAP'!$I$3:$I$501,'Plan prihoda za unos u SAP'!$C$3:$C$501,"=52",'Plan prihoda za unos u SAP'!$K$3:$K$501,"=638")</f>
        <v>0</v>
      </c>
      <c r="L98" s="189">
        <f>SUMIFS('Plan prihoda za unos u SAP'!$I$3:$I$501,'Plan prihoda za unos u SAP'!$C$3:$C$501,"=552",'Plan prihoda za unos u SAP'!$K$3:$K$501,"=638")</f>
        <v>0</v>
      </c>
      <c r="M98" s="189">
        <f>SUMIFS('Plan prihoda za unos u SAP'!$I$3:$I$501,'Plan prihoda za unos u SAP'!$C$3:$C$501,"=559",'Plan prihoda za unos u SAP'!$K$3:$K$501,"=638")</f>
        <v>0</v>
      </c>
      <c r="N98" s="189">
        <f>SUMIFS('Plan prihoda za unos u SAP'!$I$3:$I$501,'Plan prihoda za unos u SAP'!$C$3:$C$501,"=561",'Plan prihoda za unos u SAP'!$K$3:$K$501,"=638")</f>
        <v>0</v>
      </c>
      <c r="O98" s="189">
        <f>SUMIFS('Plan prihoda za unos u SAP'!$I$3:$I$501,'Plan prihoda za unos u SAP'!$C$3:$C$501,"=563",'Plan prihoda za unos u SAP'!$K$3:$K$501,"=638")</f>
        <v>0</v>
      </c>
      <c r="P98" s="189">
        <f>SUMIFS('Plan prihoda za unos u SAP'!$I$3:$I$501,'Plan prihoda za unos u SAP'!$C$3:$C$501,"=573",'Plan prihoda za unos u SAP'!$K$3:$K$501,"=638")</f>
        <v>0</v>
      </c>
      <c r="Q98" s="189">
        <f>SUMIFS('Plan prihoda za unos u SAP'!$I$3:$I$501,'Plan prihoda za unos u SAP'!$C$3:$C$501,"=575",'Plan prihoda za unos u SAP'!$K$3:$K$501,"=638")</f>
        <v>0</v>
      </c>
      <c r="R98" s="189">
        <f>SUMIFS('Plan prihoda za unos u SAP'!$I$3:$I$501,'Plan prihoda za unos u SAP'!$C$3:$C$501,"=576",'Plan prihoda za unos u SAP'!$K$3:$K$501,"=638")</f>
        <v>0</v>
      </c>
      <c r="S98" s="189">
        <f>SUMIFS('Plan prihoda za unos u SAP'!$I$3:$I$501,'Plan prihoda za unos u SAP'!$C$3:$C$501,"=61",'Plan prihoda za unos u SAP'!$K$3:$K$501,"=638")</f>
        <v>0</v>
      </c>
      <c r="T98" s="189">
        <f>SUMIFS('Plan prihoda za unos u SAP'!$I$3:$I$501,'Plan prihoda za unos u SAP'!$C$3:$C$501,"=63",'Plan prihoda za unos u SAP'!$K$3:$K$501,"=638")</f>
        <v>0</v>
      </c>
      <c r="U98" s="189">
        <f>SUMIFS('Plan prihoda za unos u SAP'!$I$3:$I$501,'Plan prihoda za unos u SAP'!$C$3:$C$501,"=71",'Plan prihoda za unos u SAP'!$K$3:$K$501,"=638")</f>
        <v>0</v>
      </c>
      <c r="V98" s="189">
        <f>SUMIFS('Plan prihoda za unos u SAP'!$I$3:$I$501,'Plan prihoda za unos u SAP'!$C$3:$C$501,"=81",'Plan prihoda za unos u SAP'!$K$3:$K$501,"=638")</f>
        <v>0</v>
      </c>
      <c r="W98" s="189">
        <f>SUMIFS('Plan prihoda za unos u SAP'!$I$3:$I$501,'Plan prihoda za unos u SAP'!$C$3:$C$501,"=83",'Plan prihoda za unos u SAP'!$K$3:$K$501,"=638")</f>
        <v>0</v>
      </c>
    </row>
    <row r="99" spans="1:23" s="90" customFormat="1">
      <c r="A99" s="90">
        <v>2023</v>
      </c>
      <c r="B99" s="95" t="s">
        <v>289</v>
      </c>
      <c r="C99" s="96" t="s">
        <v>41</v>
      </c>
      <c r="D99" s="70">
        <f t="shared" si="23"/>
        <v>0</v>
      </c>
      <c r="E99" s="189">
        <f>SUMIFS('Plan prihoda za unos u SAP'!$I$3:$I$501,'Plan prihoda za unos u SAP'!$C$3:$C$501,"=11",'Plan prihoda za unos u SAP'!$K$3:$K$501,"=639")</f>
        <v>0</v>
      </c>
      <c r="F99" s="189">
        <f>SUMIFS('Plan prihoda za unos u SAP'!$I$3:$I$501,'Plan prihoda za unos u SAP'!$C$3:$C$501,"=12",'Plan prihoda za unos u SAP'!$K$3:$K$501,"=639")</f>
        <v>0</v>
      </c>
      <c r="G99" s="189">
        <f>SUMIFS('Plan prihoda za unos u SAP'!$I$3:$I$501,'Plan prihoda za unos u SAP'!$C$3:$C$501,"=31",'Plan prihoda za unos u SAP'!$K$3:$K$501,"=639")</f>
        <v>0</v>
      </c>
      <c r="H99" s="189">
        <f>SUMIFS('Plan prihoda za unos u SAP'!$I$3:$I$501,'Plan prihoda za unos u SAP'!$C$3:$C$501,"=41",'Plan prihoda za unos u SAP'!$K$3:$K$501,"=639")</f>
        <v>0</v>
      </c>
      <c r="I99" s="189">
        <f>SUMIFS('Plan prihoda za unos u SAP'!$I$3:$I$501,'Plan prihoda za unos u SAP'!$C$3:$C$501,"=43",'Plan prihoda za unos u SAP'!$K$3:$K$501,"=639")</f>
        <v>0</v>
      </c>
      <c r="J99" s="189">
        <f>SUMIFS('Plan prihoda za unos u SAP'!$I$3:$I$501,'Plan prihoda za unos u SAP'!$C$3:$C$501,"=51",'Plan prihoda za unos u SAP'!$K$3:$K$501,"=639")</f>
        <v>0</v>
      </c>
      <c r="K99" s="189">
        <f>SUMIFS('Plan prihoda za unos u SAP'!$I$3:$I$501,'Plan prihoda za unos u SAP'!$C$3:$C$501,"=52",'Plan prihoda za unos u SAP'!$K$3:$K$501,"=639")</f>
        <v>0</v>
      </c>
      <c r="L99" s="189">
        <f>SUMIFS('Plan prihoda za unos u SAP'!$I$3:$I$501,'Plan prihoda za unos u SAP'!$C$3:$C$501,"=552",'Plan prihoda za unos u SAP'!$K$3:$K$501,"=639")</f>
        <v>0</v>
      </c>
      <c r="M99" s="189">
        <f>SUMIFS('Plan prihoda za unos u SAP'!$I$3:$I$501,'Plan prihoda za unos u SAP'!$C$3:$C$501,"=559",'Plan prihoda za unos u SAP'!$K$3:$K$501,"=639")</f>
        <v>0</v>
      </c>
      <c r="N99" s="189">
        <f>SUMIFS('Plan prihoda za unos u SAP'!$I$3:$I$501,'Plan prihoda za unos u SAP'!$C$3:$C$501,"=561",'Plan prihoda za unos u SAP'!$K$3:$K$501,"=639")</f>
        <v>0</v>
      </c>
      <c r="O99" s="189">
        <f>SUMIFS('Plan prihoda za unos u SAP'!$I$3:$I$501,'Plan prihoda za unos u SAP'!$C$3:$C$501,"=563",'Plan prihoda za unos u SAP'!$K$3:$K$501,"=639")</f>
        <v>0</v>
      </c>
      <c r="P99" s="189">
        <f>SUMIFS('Plan prihoda za unos u SAP'!$I$3:$I$501,'Plan prihoda za unos u SAP'!$C$3:$C$501,"=573",'Plan prihoda za unos u SAP'!$K$3:$K$501,"=639")</f>
        <v>0</v>
      </c>
      <c r="Q99" s="189">
        <f>SUMIFS('Plan prihoda za unos u SAP'!$I$3:$I$501,'Plan prihoda za unos u SAP'!$C$3:$C$501,"=575",'Plan prihoda za unos u SAP'!$K$3:$K$501,"=639")</f>
        <v>0</v>
      </c>
      <c r="R99" s="189">
        <f>SUMIFS('Plan prihoda za unos u SAP'!$I$3:$I$501,'Plan prihoda za unos u SAP'!$C$3:$C$501,"=576",'Plan prihoda za unos u SAP'!$K$3:$K$501,"=639")</f>
        <v>0</v>
      </c>
      <c r="S99" s="189">
        <f>SUMIFS('Plan prihoda za unos u SAP'!$I$3:$I$501,'Plan prihoda za unos u SAP'!$C$3:$C$501,"=61",'Plan prihoda za unos u SAP'!$K$3:$K$501,"=639")</f>
        <v>0</v>
      </c>
      <c r="T99" s="189">
        <f>SUMIFS('Plan prihoda za unos u SAP'!$I$3:$I$501,'Plan prihoda za unos u SAP'!$C$3:$C$501,"=63",'Plan prihoda za unos u SAP'!$K$3:$K$501,"=639")</f>
        <v>0</v>
      </c>
      <c r="U99" s="189">
        <f>SUMIFS('Plan prihoda za unos u SAP'!$I$3:$I$501,'Plan prihoda za unos u SAP'!$C$3:$C$501,"=71",'Plan prihoda za unos u SAP'!$K$3:$K$501,"=639")</f>
        <v>0</v>
      </c>
      <c r="V99" s="189">
        <f>SUMIFS('Plan prihoda za unos u SAP'!$I$3:$I$501,'Plan prihoda za unos u SAP'!$C$3:$C$501,"=81",'Plan prihoda za unos u SAP'!$K$3:$K$501,"=639")</f>
        <v>0</v>
      </c>
      <c r="W99" s="189">
        <f>SUMIFS('Plan prihoda za unos u SAP'!$I$3:$I$501,'Plan prihoda za unos u SAP'!$C$3:$C$501,"=83",'Plan prihoda za unos u SAP'!$K$3:$K$501,"=639")</f>
        <v>0</v>
      </c>
    </row>
    <row r="100" spans="1:23" s="90" customFormat="1">
      <c r="A100" s="90">
        <v>2023</v>
      </c>
      <c r="B100" s="95" t="s">
        <v>290</v>
      </c>
      <c r="C100" s="96" t="s">
        <v>291</v>
      </c>
      <c r="D100" s="70">
        <f t="shared" si="23"/>
        <v>35000</v>
      </c>
      <c r="E100" s="189">
        <f>SUMIFS('Plan prihoda za unos u SAP'!$I$3:$I$501,'Plan prihoda za unos u SAP'!$C$3:$C$501,"=11",'Plan prihoda za unos u SAP'!$K$3:$K$501,"=641")</f>
        <v>0</v>
      </c>
      <c r="F100" s="189">
        <f>SUMIFS('Plan prihoda za unos u SAP'!$I$3:$I$501,'Plan prihoda za unos u SAP'!$C$3:$C$501,"=12",'Plan prihoda za unos u SAP'!$K$3:$K$501,"=641")</f>
        <v>0</v>
      </c>
      <c r="G100" s="189">
        <f>SUMIFS('Plan prihoda za unos u SAP'!$I$3:$I$501,'Plan prihoda za unos u SAP'!$C$3:$C$501,"=31",'Plan prihoda za unos u SAP'!$K$3:$K$501,"=641")</f>
        <v>35000</v>
      </c>
      <c r="H100" s="189">
        <f>SUMIFS('Plan prihoda za unos u SAP'!$I$3:$I$501,'Plan prihoda za unos u SAP'!$C$3:$C$501,"=41",'Plan prihoda za unos u SAP'!$K$3:$K$501,"=641")</f>
        <v>0</v>
      </c>
      <c r="I100" s="189">
        <f>SUMIFS('Plan prihoda za unos u SAP'!$I$3:$I$501,'Plan prihoda za unos u SAP'!$C$3:$C$501,"=43",'Plan prihoda za unos u SAP'!$K$3:$K$501,"=641")</f>
        <v>0</v>
      </c>
      <c r="J100" s="189">
        <f>SUMIFS('Plan prihoda za unos u SAP'!$I$3:$I$501,'Plan prihoda za unos u SAP'!$C$3:$C$501,"=51",'Plan prihoda za unos u SAP'!$K$3:$K$501,"=641")</f>
        <v>0</v>
      </c>
      <c r="K100" s="189">
        <f>SUMIFS('Plan prihoda za unos u SAP'!$I$3:$I$501,'Plan prihoda za unos u SAP'!$C$3:$C$501,"=52",'Plan prihoda za unos u SAP'!$K$3:$K$501,"=641")</f>
        <v>0</v>
      </c>
      <c r="L100" s="189">
        <f>SUMIFS('Plan prihoda za unos u SAP'!$I$3:$I$501,'Plan prihoda za unos u SAP'!$C$3:$C$501,"=552",'Plan prihoda za unos u SAP'!$K$3:$K$501,"=641")</f>
        <v>0</v>
      </c>
      <c r="M100" s="189">
        <f>SUMIFS('Plan prihoda za unos u SAP'!$I$3:$I$501,'Plan prihoda za unos u SAP'!$C$3:$C$501,"=559",'Plan prihoda za unos u SAP'!$K$3:$K$501,"=641")</f>
        <v>0</v>
      </c>
      <c r="N100" s="189">
        <f>SUMIFS('Plan prihoda za unos u SAP'!$I$3:$I$501,'Plan prihoda za unos u SAP'!$C$3:$C$501,"=561",'Plan prihoda za unos u SAP'!$K$3:$K$501,"=641")</f>
        <v>0</v>
      </c>
      <c r="O100" s="189">
        <f>SUMIFS('Plan prihoda za unos u SAP'!$I$3:$I$501,'Plan prihoda za unos u SAP'!$C$3:$C$501,"=563",'Plan prihoda za unos u SAP'!$K$3:$K$501,"=641")</f>
        <v>0</v>
      </c>
      <c r="P100" s="189">
        <f>SUMIFS('Plan prihoda za unos u SAP'!$I$3:$I$501,'Plan prihoda za unos u SAP'!$C$3:$C$501,"=573",'Plan prihoda za unos u SAP'!$K$3:$K$501,"=641")</f>
        <v>0</v>
      </c>
      <c r="Q100" s="189">
        <f>SUMIFS('Plan prihoda za unos u SAP'!$I$3:$I$501,'Plan prihoda za unos u SAP'!$C$3:$C$501,"=575",'Plan prihoda za unos u SAP'!$K$3:$K$501,"=641")</f>
        <v>0</v>
      </c>
      <c r="R100" s="189">
        <f>SUMIFS('Plan prihoda za unos u SAP'!$I$3:$I$501,'Plan prihoda za unos u SAP'!$C$3:$C$501,"=576",'Plan prihoda za unos u SAP'!$K$3:$K$501,"=641")</f>
        <v>0</v>
      </c>
      <c r="S100" s="189">
        <f>SUMIFS('Plan prihoda za unos u SAP'!$I$3:$I$501,'Plan prihoda za unos u SAP'!$C$3:$C$501,"=61",'Plan prihoda za unos u SAP'!$K$3:$K$501,"=641")</f>
        <v>0</v>
      </c>
      <c r="T100" s="189">
        <f>SUMIFS('Plan prihoda za unos u SAP'!$I$3:$I$501,'Plan prihoda za unos u SAP'!$C$3:$C$501,"=63",'Plan prihoda za unos u SAP'!$K$3:$K$501,"=641")</f>
        <v>0</v>
      </c>
      <c r="U100" s="189">
        <f>SUMIFS('Plan prihoda za unos u SAP'!$I$3:$I$501,'Plan prihoda za unos u SAP'!$C$3:$C$501,"=71",'Plan prihoda za unos u SAP'!$K$3:$K$501,"=641")</f>
        <v>0</v>
      </c>
      <c r="V100" s="189">
        <f>SUMIFS('Plan prihoda za unos u SAP'!$I$3:$I$501,'Plan prihoda za unos u SAP'!$C$3:$C$501,"=81",'Plan prihoda za unos u SAP'!$K$3:$K$501,"=641")</f>
        <v>0</v>
      </c>
      <c r="W100" s="189">
        <f>SUMIFS('Plan prihoda za unos u SAP'!$I$3:$I$501,'Plan prihoda za unos u SAP'!$C$3:$C$501,"=83",'Plan prihoda za unos u SAP'!$K$3:$K$501,"=641")</f>
        <v>0</v>
      </c>
    </row>
    <row r="101" spans="1:23" s="90" customFormat="1">
      <c r="A101" s="90">
        <v>2023</v>
      </c>
      <c r="B101" s="95" t="s">
        <v>292</v>
      </c>
      <c r="C101" s="96" t="s">
        <v>293</v>
      </c>
      <c r="D101" s="70">
        <f t="shared" si="23"/>
        <v>0</v>
      </c>
      <c r="E101" s="189">
        <f>SUMIFS('Plan prihoda za unos u SAP'!$I$3:$I$501,'Plan prihoda za unos u SAP'!$C$3:$C$501,"=11",'Plan prihoda za unos u SAP'!$K$3:$K$501,"=642")</f>
        <v>0</v>
      </c>
      <c r="F101" s="189">
        <f>SUMIFS('Plan prihoda za unos u SAP'!$I$3:$I$501,'Plan prihoda za unos u SAP'!$C$3:$C$501,"=12",'Plan prihoda za unos u SAP'!$K$3:$K$501,"=642")</f>
        <v>0</v>
      </c>
      <c r="G101" s="189">
        <f>SUMIFS('Plan prihoda za unos u SAP'!$I$3:$I$501,'Plan prihoda za unos u SAP'!$C$3:$C$501,"=31",'Plan prihoda za unos u SAP'!$K$3:$K$501,"=642")</f>
        <v>0</v>
      </c>
      <c r="H101" s="189">
        <f>SUMIFS('Plan prihoda za unos u SAP'!$I$3:$I$501,'Plan prihoda za unos u SAP'!$C$3:$C$501,"=41",'Plan prihoda za unos u SAP'!$K$3:$K$501,"=642")</f>
        <v>0</v>
      </c>
      <c r="I101" s="189">
        <f>SUMIFS('Plan prihoda za unos u SAP'!$I$3:$I$501,'Plan prihoda za unos u SAP'!$C$3:$C$501,"=43",'Plan prihoda za unos u SAP'!$K$3:$K$501,"=642")</f>
        <v>0</v>
      </c>
      <c r="J101" s="189">
        <f>SUMIFS('Plan prihoda za unos u SAP'!$I$3:$I$501,'Plan prihoda za unos u SAP'!$C$3:$C$501,"=51",'Plan prihoda za unos u SAP'!$K$3:$K$501,"=642")</f>
        <v>0</v>
      </c>
      <c r="K101" s="189">
        <f>SUMIFS('Plan prihoda za unos u SAP'!$I$3:$I$501,'Plan prihoda za unos u SAP'!$C$3:$C$501,"=52",'Plan prihoda za unos u SAP'!$K$3:$K$501,"=642")</f>
        <v>0</v>
      </c>
      <c r="L101" s="189">
        <f>SUMIFS('Plan prihoda za unos u SAP'!$I$3:$I$501,'Plan prihoda za unos u SAP'!$C$3:$C$501,"=552",'Plan prihoda za unos u SAP'!$K$3:$K$501,"=642")</f>
        <v>0</v>
      </c>
      <c r="M101" s="189">
        <f>SUMIFS('Plan prihoda za unos u SAP'!$I$3:$I$501,'Plan prihoda za unos u SAP'!$C$3:$C$501,"=559",'Plan prihoda za unos u SAP'!$K$3:$K$501,"=642")</f>
        <v>0</v>
      </c>
      <c r="N101" s="189">
        <f>SUMIFS('Plan prihoda za unos u SAP'!$I$3:$I$501,'Plan prihoda za unos u SAP'!$C$3:$C$501,"=561",'Plan prihoda za unos u SAP'!$K$3:$K$501,"=642")</f>
        <v>0</v>
      </c>
      <c r="O101" s="189">
        <f>SUMIFS('Plan prihoda za unos u SAP'!$I$3:$I$501,'Plan prihoda za unos u SAP'!$C$3:$C$501,"=563",'Plan prihoda za unos u SAP'!$K$3:$K$501,"=642")</f>
        <v>0</v>
      </c>
      <c r="P101" s="189">
        <f>SUMIFS('Plan prihoda za unos u SAP'!$I$3:$I$501,'Plan prihoda za unos u SAP'!$C$3:$C$501,"=573",'Plan prihoda za unos u SAP'!$K$3:$K$501,"=642")</f>
        <v>0</v>
      </c>
      <c r="Q101" s="189">
        <f>SUMIFS('Plan prihoda za unos u SAP'!$I$3:$I$501,'Plan prihoda za unos u SAP'!$C$3:$C$501,"=575",'Plan prihoda za unos u SAP'!$K$3:$K$501,"=642")</f>
        <v>0</v>
      </c>
      <c r="R101" s="189">
        <f>SUMIFS('Plan prihoda za unos u SAP'!$I$3:$I$501,'Plan prihoda za unos u SAP'!$C$3:$C$501,"=576",'Plan prihoda za unos u SAP'!$K$3:$K$501,"=642")</f>
        <v>0</v>
      </c>
      <c r="S101" s="189">
        <f>SUMIFS('Plan prihoda za unos u SAP'!$I$3:$I$501,'Plan prihoda za unos u SAP'!$C$3:$C$501,"=61",'Plan prihoda za unos u SAP'!$K$3:$K$501,"=642")</f>
        <v>0</v>
      </c>
      <c r="T101" s="189">
        <f>SUMIFS('Plan prihoda za unos u SAP'!$I$3:$I$501,'Plan prihoda za unos u SAP'!$C$3:$C$501,"=63",'Plan prihoda za unos u SAP'!$K$3:$K$501,"=642")</f>
        <v>0</v>
      </c>
      <c r="U101" s="189">
        <f>SUMIFS('Plan prihoda za unos u SAP'!$I$3:$I$501,'Plan prihoda za unos u SAP'!$C$3:$C$501,"=71",'Plan prihoda za unos u SAP'!$K$3:$K$501,"=642")</f>
        <v>0</v>
      </c>
      <c r="V101" s="189">
        <f>SUMIFS('Plan prihoda za unos u SAP'!$I$3:$I$501,'Plan prihoda za unos u SAP'!$C$3:$C$501,"=81",'Plan prihoda za unos u SAP'!$K$3:$K$501,"=642")</f>
        <v>0</v>
      </c>
      <c r="W101" s="189">
        <f>SUMIFS('Plan prihoda za unos u SAP'!$I$3:$I$501,'Plan prihoda za unos u SAP'!$C$3:$C$501,"=83",'Plan prihoda za unos u SAP'!$K$3:$K$501,"=642")</f>
        <v>0</v>
      </c>
    </row>
    <row r="102" spans="1:23" s="90" customFormat="1">
      <c r="A102" s="90">
        <v>2023</v>
      </c>
      <c r="B102" s="215" t="s">
        <v>765</v>
      </c>
      <c r="C102" s="96" t="s">
        <v>764</v>
      </c>
      <c r="D102" s="70">
        <f t="shared" si="23"/>
        <v>0</v>
      </c>
      <c r="E102" s="189">
        <f>SUMIFS('Plan prihoda za unos u SAP'!$I$3:$I$501,'Plan prihoda za unos u SAP'!$C$3:$C$501,"=11",'Plan prihoda za unos u SAP'!$K$3:$K$501,"=651")</f>
        <v>0</v>
      </c>
      <c r="F102" s="189">
        <f>SUMIFS('Plan prihoda za unos u SAP'!$I$3:$I$501,'Plan prihoda za unos u SAP'!$C$3:$C$501,"=12",'Plan prihoda za unos u SAP'!$K$3:$K$501,"=651")</f>
        <v>0</v>
      </c>
      <c r="G102" s="189">
        <f>SUMIFS('Plan prihoda za unos u SAP'!$I$3:$I$501,'Plan prihoda za unos u SAP'!$C$3:$C$501,"=31",'Plan prihoda za unos u SAP'!$K$3:$K$501,"=651")</f>
        <v>0</v>
      </c>
      <c r="H102" s="189">
        <f>SUMIFS('Plan prihoda za unos u SAP'!$I$3:$I$501,'Plan prihoda za unos u SAP'!$C$3:$C$501,"=41",'Plan prihoda za unos u SAP'!$K$3:$K$501,"=651")</f>
        <v>0</v>
      </c>
      <c r="I102" s="189">
        <f>SUMIFS('Plan prihoda za unos u SAP'!$I$3:$I$501,'Plan prihoda za unos u SAP'!$C$3:$C$501,"=43",'Plan prihoda za unos u SAP'!$K$3:$K$501,"=651")</f>
        <v>0</v>
      </c>
      <c r="J102" s="189">
        <f>SUMIFS('Plan prihoda za unos u SAP'!$I$3:$I$501,'Plan prihoda za unos u SAP'!$C$3:$C$501,"=51",'Plan prihoda za unos u SAP'!$K$3:$K$501,"=651")</f>
        <v>0</v>
      </c>
      <c r="K102" s="189">
        <f>SUMIFS('Plan prihoda za unos u SAP'!$I$3:$I$501,'Plan prihoda za unos u SAP'!$C$3:$C$501,"=52",'Plan prihoda za unos u SAP'!$K$3:$K$501,"=651")</f>
        <v>0</v>
      </c>
      <c r="L102" s="189">
        <f>SUMIFS('Plan prihoda za unos u SAP'!$I$3:$I$501,'Plan prihoda za unos u SAP'!$C$3:$C$501,"=552",'Plan prihoda za unos u SAP'!$K$3:$K$501,"=651")</f>
        <v>0</v>
      </c>
      <c r="M102" s="189">
        <f>SUMIFS('Plan prihoda za unos u SAP'!$I$3:$I$501,'Plan prihoda za unos u SAP'!$C$3:$C$501,"=559",'Plan prihoda za unos u SAP'!$K$3:$K$501,"=651")</f>
        <v>0</v>
      </c>
      <c r="N102" s="189">
        <f>SUMIFS('Plan prihoda za unos u SAP'!$I$3:$I$501,'Plan prihoda za unos u SAP'!$C$3:$C$501,"=561",'Plan prihoda za unos u SAP'!$K$3:$K$501,"=651")</f>
        <v>0</v>
      </c>
      <c r="O102" s="189">
        <f>SUMIFS('Plan prihoda za unos u SAP'!$I$3:$I$501,'Plan prihoda za unos u SAP'!$C$3:$C$501,"=563",'Plan prihoda za unos u SAP'!$K$3:$K$501,"=651")</f>
        <v>0</v>
      </c>
      <c r="P102" s="189">
        <f>SUMIFS('Plan prihoda za unos u SAP'!$I$3:$I$501,'Plan prihoda za unos u SAP'!$C$3:$C$501,"=573",'Plan prihoda za unos u SAP'!$K$3:$K$501,"=651")</f>
        <v>0</v>
      </c>
      <c r="Q102" s="189">
        <f>SUMIFS('Plan prihoda za unos u SAP'!$I$3:$I$501,'Plan prihoda za unos u SAP'!$C$3:$C$501,"=575",'Plan prihoda za unos u SAP'!$K$3:$K$501,"=651")</f>
        <v>0</v>
      </c>
      <c r="R102" s="189">
        <f>SUMIFS('Plan prihoda za unos u SAP'!$I$3:$I$501,'Plan prihoda za unos u SAP'!$C$3:$C$501,"=576",'Plan prihoda za unos u SAP'!$K$3:$K$501,"=651")</f>
        <v>0</v>
      </c>
      <c r="S102" s="189">
        <f>SUMIFS('Plan prihoda za unos u SAP'!$I$3:$I$501,'Plan prihoda za unos u SAP'!$C$3:$C$501,"=61",'Plan prihoda za unos u SAP'!$K$3:$K$501,"=651")</f>
        <v>0</v>
      </c>
      <c r="T102" s="189">
        <f>SUMIFS('Plan prihoda za unos u SAP'!$I$3:$I$501,'Plan prihoda za unos u SAP'!$C$3:$C$501,"=63",'Plan prihoda za unos u SAP'!$K$3:$K$501,"=651")</f>
        <v>0</v>
      </c>
      <c r="U102" s="189">
        <f>SUMIFS('Plan prihoda za unos u SAP'!$I$3:$I$501,'Plan prihoda za unos u SAP'!$C$3:$C$501,"=71",'Plan prihoda za unos u SAP'!$K$3:$K$501,"=651")</f>
        <v>0</v>
      </c>
      <c r="V102" s="189">
        <f>SUMIFS('Plan prihoda za unos u SAP'!$I$3:$I$501,'Plan prihoda za unos u SAP'!$C$3:$C$501,"=81",'Plan prihoda za unos u SAP'!$K$3:$K$501,"=651")</f>
        <v>0</v>
      </c>
      <c r="W102" s="189">
        <f>SUMIFS('Plan prihoda za unos u SAP'!$I$3:$I$501,'Plan prihoda za unos u SAP'!$C$3:$C$501,"=83",'Plan prihoda za unos u SAP'!$K$3:$K$501,"=651")</f>
        <v>0</v>
      </c>
    </row>
    <row r="103" spans="1:23" s="90" customFormat="1">
      <c r="A103" s="90">
        <v>2023</v>
      </c>
      <c r="B103" s="95" t="s">
        <v>294</v>
      </c>
      <c r="C103" s="96" t="s">
        <v>295</v>
      </c>
      <c r="D103" s="70">
        <f t="shared" si="23"/>
        <v>7037500</v>
      </c>
      <c r="E103" s="189">
        <f>SUMIFS('Plan prihoda za unos u SAP'!$I$3:$I$501,'Plan prihoda za unos u SAP'!$C$3:$C$501,"=11",'Plan prihoda za unos u SAP'!$K$3:$K$501,"=652")</f>
        <v>0</v>
      </c>
      <c r="F103" s="189">
        <f>SUMIFS('Plan prihoda za unos u SAP'!$I$3:$I$501,'Plan prihoda za unos u SAP'!$C$3:$C$501,"=12",'Plan prihoda za unos u SAP'!$K$3:$K$501,"=652")</f>
        <v>0</v>
      </c>
      <c r="G103" s="189">
        <f>SUMIFS('Plan prihoda za unos u SAP'!$I$3:$I$501,'Plan prihoda za unos u SAP'!$C$3:$C$501,"=31",'Plan prihoda za unos u SAP'!$K$3:$K$501,"=652")</f>
        <v>0</v>
      </c>
      <c r="H103" s="189">
        <f>SUMIFS('Plan prihoda za unos u SAP'!$I$3:$I$501,'Plan prihoda za unos u SAP'!$C$3:$C$501,"=41",'Plan prihoda za unos u SAP'!$K$3:$K$501,"=652")</f>
        <v>0</v>
      </c>
      <c r="I103" s="189">
        <f>SUMIFS('Plan prihoda za unos u SAP'!$I$3:$I$501,'Plan prihoda za unos u SAP'!$C$3:$C$501,"=43",'Plan prihoda za unos u SAP'!$K$3:$K$501,"=652")</f>
        <v>7037500</v>
      </c>
      <c r="J103" s="189">
        <f>SUMIFS('Plan prihoda za unos u SAP'!$I$3:$I$501,'Plan prihoda za unos u SAP'!$C$3:$C$501,"=51",'Plan prihoda za unos u SAP'!$K$3:$K$501,"=652")</f>
        <v>0</v>
      </c>
      <c r="K103" s="189">
        <f>SUMIFS('Plan prihoda za unos u SAP'!$I$3:$I$501,'Plan prihoda za unos u SAP'!$C$3:$C$501,"=52",'Plan prihoda za unos u SAP'!$K$3:$K$501,"=652")</f>
        <v>0</v>
      </c>
      <c r="L103" s="189">
        <f>SUMIFS('Plan prihoda za unos u SAP'!$I$3:$I$501,'Plan prihoda za unos u SAP'!$C$3:$C$501,"=552",'Plan prihoda za unos u SAP'!$K$3:$K$501,"=652")</f>
        <v>0</v>
      </c>
      <c r="M103" s="189">
        <f>SUMIFS('Plan prihoda za unos u SAP'!$I$3:$I$501,'Plan prihoda za unos u SAP'!$C$3:$C$501,"=559",'Plan prihoda za unos u SAP'!$K$3:$K$501,"=652")</f>
        <v>0</v>
      </c>
      <c r="N103" s="189">
        <f>SUMIFS('Plan prihoda za unos u SAP'!$I$3:$I$501,'Plan prihoda za unos u SAP'!$C$3:$C$501,"=561",'Plan prihoda za unos u SAP'!$K$3:$K$501,"=652")</f>
        <v>0</v>
      </c>
      <c r="O103" s="189">
        <f>SUMIFS('Plan prihoda za unos u SAP'!$I$3:$I$501,'Plan prihoda za unos u SAP'!$C$3:$C$501,"=563",'Plan prihoda za unos u SAP'!$K$3:$K$501,"=652")</f>
        <v>0</v>
      </c>
      <c r="P103" s="189">
        <f>SUMIFS('Plan prihoda za unos u SAP'!$I$3:$I$501,'Plan prihoda za unos u SAP'!$C$3:$C$501,"=573",'Plan prihoda za unos u SAP'!$K$3:$K$501,"=652")</f>
        <v>0</v>
      </c>
      <c r="Q103" s="189">
        <f>SUMIFS('Plan prihoda za unos u SAP'!$I$3:$I$501,'Plan prihoda za unos u SAP'!$C$3:$C$501,"=575",'Plan prihoda za unos u SAP'!$K$3:$K$501,"=652")</f>
        <v>0</v>
      </c>
      <c r="R103" s="189">
        <f>SUMIFS('Plan prihoda za unos u SAP'!$I$3:$I$501,'Plan prihoda za unos u SAP'!$C$3:$C$501,"=576",'Plan prihoda za unos u SAP'!$K$3:$K$501,"=652")</f>
        <v>0</v>
      </c>
      <c r="S103" s="189">
        <f>SUMIFS('Plan prihoda za unos u SAP'!$I$3:$I$501,'Plan prihoda za unos u SAP'!$C$3:$C$501,"=61",'Plan prihoda za unos u SAP'!$K$3:$K$501,"=652")</f>
        <v>0</v>
      </c>
      <c r="T103" s="189">
        <f>SUMIFS('Plan prihoda za unos u SAP'!$I$3:$I$501,'Plan prihoda za unos u SAP'!$C$3:$C$501,"=63",'Plan prihoda za unos u SAP'!$K$3:$K$501,"=652")</f>
        <v>0</v>
      </c>
      <c r="U103" s="189">
        <f>SUMIFS('Plan prihoda za unos u SAP'!$I$3:$I$501,'Plan prihoda za unos u SAP'!$C$3:$C$501,"=71",'Plan prihoda za unos u SAP'!$K$3:$K$501,"=652")</f>
        <v>0</v>
      </c>
      <c r="V103" s="189">
        <f>SUMIFS('Plan prihoda za unos u SAP'!$I$3:$I$501,'Plan prihoda za unos u SAP'!$C$3:$C$501,"=81",'Plan prihoda za unos u SAP'!$K$3:$K$501,"=652")</f>
        <v>0</v>
      </c>
      <c r="W103" s="189">
        <f>SUMIFS('Plan prihoda za unos u SAP'!$I$3:$I$501,'Plan prihoda za unos u SAP'!$C$3:$C$501,"=83",'Plan prihoda za unos u SAP'!$K$3:$K$501,"=652")</f>
        <v>0</v>
      </c>
    </row>
    <row r="104" spans="1:23" s="90" customFormat="1">
      <c r="A104" s="90">
        <v>2023</v>
      </c>
      <c r="B104" s="95" t="s">
        <v>296</v>
      </c>
      <c r="C104" s="96" t="s">
        <v>297</v>
      </c>
      <c r="D104" s="70">
        <f t="shared" si="23"/>
        <v>4900000</v>
      </c>
      <c r="E104" s="189">
        <f>SUMIFS('Plan prihoda za unos u SAP'!$I$3:$I$501,'Plan prihoda za unos u SAP'!$C$3:$C$501,"=11",'Plan prihoda za unos u SAP'!$K$3:$K$501,"=661")</f>
        <v>0</v>
      </c>
      <c r="F104" s="189">
        <f>SUMIFS('Plan prihoda za unos u SAP'!$I$3:$I$501,'Plan prihoda za unos u SAP'!$C$3:$C$501,"=12",'Plan prihoda za unos u SAP'!$K$3:$K$501,"=661")</f>
        <v>0</v>
      </c>
      <c r="G104" s="189">
        <f>SUMIFS('Plan prihoda za unos u SAP'!$I$3:$I$501,'Plan prihoda za unos u SAP'!$C$3:$C$501,"=31",'Plan prihoda za unos u SAP'!$K$3:$K$501,"=661")</f>
        <v>4900000</v>
      </c>
      <c r="H104" s="189">
        <f>SUMIFS('Plan prihoda za unos u SAP'!$I$3:$I$501,'Plan prihoda za unos u SAP'!$C$3:$C$501,"=41",'Plan prihoda za unos u SAP'!$K$3:$K$501,"=661")</f>
        <v>0</v>
      </c>
      <c r="I104" s="189">
        <f>SUMIFS('Plan prihoda za unos u SAP'!$I$3:$I$501,'Plan prihoda za unos u SAP'!$C$3:$C$501,"=43",'Plan prihoda za unos u SAP'!$K$3:$K$501,"=661")</f>
        <v>0</v>
      </c>
      <c r="J104" s="189">
        <f>SUMIFS('Plan prihoda za unos u SAP'!$I$3:$I$501,'Plan prihoda za unos u SAP'!$C$3:$C$501,"=51",'Plan prihoda za unos u SAP'!$K$3:$K$501,"=661")</f>
        <v>0</v>
      </c>
      <c r="K104" s="189">
        <f>SUMIFS('Plan prihoda za unos u SAP'!$I$3:$I$501,'Plan prihoda za unos u SAP'!$C$3:$C$501,"=52",'Plan prihoda za unos u SAP'!$K$3:$K$501,"=661")</f>
        <v>0</v>
      </c>
      <c r="L104" s="189">
        <f>SUMIFS('Plan prihoda za unos u SAP'!$I$3:$I$501,'Plan prihoda za unos u SAP'!$C$3:$C$501,"=552",'Plan prihoda za unos u SAP'!$K$3:$K$501,"=661")</f>
        <v>0</v>
      </c>
      <c r="M104" s="189">
        <f>SUMIFS('Plan prihoda za unos u SAP'!$I$3:$I$501,'Plan prihoda za unos u SAP'!$C$3:$C$501,"=559",'Plan prihoda za unos u SAP'!$K$3:$K$501,"=661")</f>
        <v>0</v>
      </c>
      <c r="N104" s="189">
        <f>SUMIFS('Plan prihoda za unos u SAP'!$I$3:$I$501,'Plan prihoda za unos u SAP'!$C$3:$C$501,"=561",'Plan prihoda za unos u SAP'!$K$3:$K$501,"=661")</f>
        <v>0</v>
      </c>
      <c r="O104" s="189">
        <f>SUMIFS('Plan prihoda za unos u SAP'!$I$3:$I$501,'Plan prihoda za unos u SAP'!$C$3:$C$501,"=563",'Plan prihoda za unos u SAP'!$K$3:$K$501,"=661")</f>
        <v>0</v>
      </c>
      <c r="P104" s="189">
        <f>SUMIFS('Plan prihoda za unos u SAP'!$I$3:$I$501,'Plan prihoda za unos u SAP'!$C$3:$C$501,"=573",'Plan prihoda za unos u SAP'!$K$3:$K$501,"=661")</f>
        <v>0</v>
      </c>
      <c r="Q104" s="189">
        <f>SUMIFS('Plan prihoda za unos u SAP'!$I$3:$I$501,'Plan prihoda za unos u SAP'!$C$3:$C$501,"=575",'Plan prihoda za unos u SAP'!$K$3:$K$501,"=661")</f>
        <v>0</v>
      </c>
      <c r="R104" s="189">
        <f>SUMIFS('Plan prihoda za unos u SAP'!$I$3:$I$501,'Plan prihoda za unos u SAP'!$C$3:$C$501,"=576",'Plan prihoda za unos u SAP'!$K$3:$K$501,"=661")</f>
        <v>0</v>
      </c>
      <c r="S104" s="189">
        <f>SUMIFS('Plan prihoda za unos u SAP'!$I$3:$I$501,'Plan prihoda za unos u SAP'!$C$3:$C$501,"=61",'Plan prihoda za unos u SAP'!$K$3:$K$501,"=661")</f>
        <v>0</v>
      </c>
      <c r="T104" s="189">
        <f>SUMIFS('Plan prihoda za unos u SAP'!$I$3:$I$501,'Plan prihoda za unos u SAP'!$C$3:$C$501,"=63",'Plan prihoda za unos u SAP'!$K$3:$K$501,"=661")</f>
        <v>0</v>
      </c>
      <c r="U104" s="189">
        <f>SUMIFS('Plan prihoda za unos u SAP'!$I$3:$I$501,'Plan prihoda za unos u SAP'!$C$3:$C$501,"=71",'Plan prihoda za unos u SAP'!$K$3:$K$501,"=661")</f>
        <v>0</v>
      </c>
      <c r="V104" s="189">
        <f>SUMIFS('Plan prihoda za unos u SAP'!$I$3:$I$501,'Plan prihoda za unos u SAP'!$C$3:$C$501,"=81",'Plan prihoda za unos u SAP'!$K$3:$K$501,"=661")</f>
        <v>0</v>
      </c>
      <c r="W104" s="189">
        <f>SUMIFS('Plan prihoda za unos u SAP'!$I$3:$I$501,'Plan prihoda za unos u SAP'!$C$3:$C$501,"=83",'Plan prihoda za unos u SAP'!$K$3:$K$501,"=661")</f>
        <v>0</v>
      </c>
    </row>
    <row r="105" spans="1:23" s="90" customFormat="1">
      <c r="A105" s="90">
        <v>2023</v>
      </c>
      <c r="B105" s="95" t="s">
        <v>298</v>
      </c>
      <c r="C105" s="96" t="s">
        <v>299</v>
      </c>
      <c r="D105" s="70">
        <f t="shared" si="23"/>
        <v>30000</v>
      </c>
      <c r="E105" s="189">
        <f>SUMIFS('Plan prihoda za unos u SAP'!$I$3:$I$501,'Plan prihoda za unos u SAP'!$C$3:$C$501,"=11",'Plan prihoda za unos u SAP'!$K$3:$K$501,"=663")</f>
        <v>0</v>
      </c>
      <c r="F105" s="189">
        <f>SUMIFS('Plan prihoda za unos u SAP'!$I$3:$I$501,'Plan prihoda za unos u SAP'!$C$3:$C$501,"=12",'Plan prihoda za unos u SAP'!$K$3:$K$501,"=663")</f>
        <v>0</v>
      </c>
      <c r="G105" s="189">
        <f>SUMIFS('Plan prihoda za unos u SAP'!$I$3:$I$501,'Plan prihoda za unos u SAP'!$C$3:$C$501,"=31",'Plan prihoda za unos u SAP'!$K$3:$K$501,"=663")</f>
        <v>0</v>
      </c>
      <c r="H105" s="189">
        <f>SUMIFS('Plan prihoda za unos u SAP'!$I$3:$I$501,'Plan prihoda za unos u SAP'!$C$3:$C$501,"=41",'Plan prihoda za unos u SAP'!$K$3:$K$501,"=663")</f>
        <v>0</v>
      </c>
      <c r="I105" s="189">
        <f>SUMIFS('Plan prihoda za unos u SAP'!$I$3:$I$501,'Plan prihoda za unos u SAP'!$C$3:$C$501,"=43",'Plan prihoda za unos u SAP'!$K$3:$K$501,"=663")</f>
        <v>0</v>
      </c>
      <c r="J105" s="189">
        <f>SUMIFS('Plan prihoda za unos u SAP'!$I$3:$I$501,'Plan prihoda za unos u SAP'!$C$3:$C$501,"=51",'Plan prihoda za unos u SAP'!$K$3:$K$501,"=663")</f>
        <v>0</v>
      </c>
      <c r="K105" s="189">
        <f>SUMIFS('Plan prihoda za unos u SAP'!$I$3:$I$501,'Plan prihoda za unos u SAP'!$C$3:$C$501,"=52",'Plan prihoda za unos u SAP'!$K$3:$K$501,"=663")</f>
        <v>0</v>
      </c>
      <c r="L105" s="189">
        <f>SUMIFS('Plan prihoda za unos u SAP'!$I$3:$I$501,'Plan prihoda za unos u SAP'!$C$3:$C$501,"=552",'Plan prihoda za unos u SAP'!$K$3:$K$501,"=663")</f>
        <v>0</v>
      </c>
      <c r="M105" s="189">
        <f>SUMIFS('Plan prihoda za unos u SAP'!$I$3:$I$501,'Plan prihoda za unos u SAP'!$C$3:$C$501,"=559",'Plan prihoda za unos u SAP'!$K$3:$K$501,"=663")</f>
        <v>0</v>
      </c>
      <c r="N105" s="189">
        <f>SUMIFS('Plan prihoda za unos u SAP'!$I$3:$I$501,'Plan prihoda za unos u SAP'!$C$3:$C$501,"=561",'Plan prihoda za unos u SAP'!$K$3:$K$501,"=663")</f>
        <v>0</v>
      </c>
      <c r="O105" s="189">
        <f>SUMIFS('Plan prihoda za unos u SAP'!$I$3:$I$501,'Plan prihoda za unos u SAP'!$C$3:$C$501,"=563",'Plan prihoda za unos u SAP'!$K$3:$K$501,"=663")</f>
        <v>0</v>
      </c>
      <c r="P105" s="189">
        <f>SUMIFS('Plan prihoda za unos u SAP'!$I$3:$I$501,'Plan prihoda za unos u SAP'!$C$3:$C$501,"=573",'Plan prihoda za unos u SAP'!$K$3:$K$501,"=663")</f>
        <v>0</v>
      </c>
      <c r="Q105" s="189">
        <f>SUMIFS('Plan prihoda za unos u SAP'!$I$3:$I$501,'Plan prihoda za unos u SAP'!$C$3:$C$501,"=575",'Plan prihoda za unos u SAP'!$K$3:$K$501,"=663")</f>
        <v>0</v>
      </c>
      <c r="R105" s="189">
        <f>SUMIFS('Plan prihoda za unos u SAP'!$I$3:$I$501,'Plan prihoda za unos u SAP'!$C$3:$C$501,"=576",'Plan prihoda za unos u SAP'!$K$3:$K$501,"=663")</f>
        <v>0</v>
      </c>
      <c r="S105" s="189">
        <f>SUMIFS('Plan prihoda za unos u SAP'!$I$3:$I$501,'Plan prihoda za unos u SAP'!$C$3:$C$501,"=61",'Plan prihoda za unos u SAP'!$K$3:$K$501,"=663")</f>
        <v>30000</v>
      </c>
      <c r="T105" s="189">
        <f>SUMIFS('Plan prihoda za unos u SAP'!$I$3:$I$501,'Plan prihoda za unos u SAP'!$C$3:$C$501,"=63",'Plan prihoda za unos u SAP'!$K$3:$K$501,"=663")</f>
        <v>0</v>
      </c>
      <c r="U105" s="189">
        <f>SUMIFS('Plan prihoda za unos u SAP'!$I$3:$I$501,'Plan prihoda za unos u SAP'!$C$3:$C$501,"=71",'Plan prihoda za unos u SAP'!$K$3:$K$501,"=663")</f>
        <v>0</v>
      </c>
      <c r="V105" s="189">
        <f>SUMIFS('Plan prihoda za unos u SAP'!$I$3:$I$501,'Plan prihoda za unos u SAP'!$C$3:$C$501,"=81",'Plan prihoda za unos u SAP'!$K$3:$K$501,"=663")</f>
        <v>0</v>
      </c>
      <c r="W105" s="189">
        <f>SUMIFS('Plan prihoda za unos u SAP'!$I$3:$I$501,'Plan prihoda za unos u SAP'!$C$3:$C$501,"=83",'Plan prihoda za unos u SAP'!$K$3:$K$501,"=663")</f>
        <v>0</v>
      </c>
    </row>
    <row r="106" spans="1:23" s="90" customFormat="1">
      <c r="A106" s="90">
        <v>2023</v>
      </c>
      <c r="B106" s="95" t="s">
        <v>300</v>
      </c>
      <c r="C106" s="129" t="s">
        <v>260</v>
      </c>
      <c r="D106" s="70">
        <f t="shared" si="23"/>
        <v>25271030</v>
      </c>
      <c r="E106" s="189">
        <f>SUMIFS('Plan prihoda za unos u SAP'!$I$3:$I$501,'Plan prihoda za unos u SAP'!$C$3:$C$501,"=11",'Plan prihoda za unos u SAP'!$K$3:$K$501,"=671")</f>
        <v>25271030</v>
      </c>
      <c r="F106" s="189">
        <f>SUMIFS('Plan prihoda za unos u SAP'!$I$3:$I$501,'Plan prihoda za unos u SAP'!$C$3:$C$501,"=12",'Plan prihoda za unos u SAP'!$K$3:$K$501,"=671")</f>
        <v>0</v>
      </c>
      <c r="G106" s="189">
        <f>SUMIFS('Plan prihoda za unos u SAP'!$I$3:$I$501,'Plan prihoda za unos u SAP'!$C$3:$C$501,"=31",'Plan prihoda za unos u SAP'!$K$3:$K$501,"=671")</f>
        <v>0</v>
      </c>
      <c r="H106" s="189">
        <f>SUMIFS('Plan prihoda za unos u SAP'!$I$3:$I$501,'Plan prihoda za unos u SAP'!$C$3:$C$501,"=41",'Plan prihoda za unos u SAP'!$K$3:$K$501,"=671")</f>
        <v>0</v>
      </c>
      <c r="I106" s="189">
        <f>SUMIFS('Plan prihoda za unos u SAP'!$I$3:$I$501,'Plan prihoda za unos u SAP'!$C$3:$C$501,"=43",'Plan prihoda za unos u SAP'!$K$3:$K$501,"=671")</f>
        <v>0</v>
      </c>
      <c r="J106" s="189">
        <f>SUMIFS('Plan prihoda za unos u SAP'!$I$3:$I$501,'Plan prihoda za unos u SAP'!$C$3:$C$501,"=51",'Plan prihoda za unos u SAP'!$K$3:$K$501,"=671")</f>
        <v>0</v>
      </c>
      <c r="K106" s="189">
        <f>SUMIFS('Plan prihoda za unos u SAP'!$I$3:$I$501,'Plan prihoda za unos u SAP'!$C$3:$C$501,"=52",'Plan prihoda za unos u SAP'!$K$3:$K$501,"=671")</f>
        <v>0</v>
      </c>
      <c r="L106" s="189">
        <f>SUMIFS('Plan prihoda za unos u SAP'!$I$3:$I$501,'Plan prihoda za unos u SAP'!$C$3:$C$501,"=552",'Plan prihoda za unos u SAP'!$K$3:$K$501,"=671")</f>
        <v>0</v>
      </c>
      <c r="M106" s="189">
        <f>SUMIFS('Plan prihoda za unos u SAP'!$I$3:$I$501,'Plan prihoda za unos u SAP'!$C$3:$C$501,"=559",'Plan prihoda za unos u SAP'!$K$3:$K$501,"=671")</f>
        <v>0</v>
      </c>
      <c r="N106" s="189">
        <f>SUMIFS('Plan prihoda za unos u SAP'!$I$3:$I$501,'Plan prihoda za unos u SAP'!$C$3:$C$501,"=561",'Plan prihoda za unos u SAP'!$K$3:$K$501,"=671")</f>
        <v>0</v>
      </c>
      <c r="O106" s="189">
        <f>SUMIFS('Plan prihoda za unos u SAP'!$I$3:$I$501,'Plan prihoda za unos u SAP'!$C$3:$C$501,"=563",'Plan prihoda za unos u SAP'!$K$3:$K$501,"=671")</f>
        <v>0</v>
      </c>
      <c r="P106" s="189">
        <f>SUMIFS('Plan prihoda za unos u SAP'!$I$3:$I$501,'Plan prihoda za unos u SAP'!$C$3:$C$501,"=573",'Plan prihoda za unos u SAP'!$K$3:$K$501,"=671")</f>
        <v>0</v>
      </c>
      <c r="Q106" s="189">
        <f>SUMIFS('Plan prihoda za unos u SAP'!$I$3:$I$501,'Plan prihoda za unos u SAP'!$C$3:$C$501,"=575",'Plan prihoda za unos u SAP'!$K$3:$K$501,"=671")</f>
        <v>0</v>
      </c>
      <c r="R106" s="189">
        <f>SUMIFS('Plan prihoda za unos u SAP'!$I$3:$I$501,'Plan prihoda za unos u SAP'!$C$3:$C$501,"=576",'Plan prihoda za unos u SAP'!$K$3:$K$501,"=671")</f>
        <v>0</v>
      </c>
      <c r="S106" s="189">
        <f>SUMIFS('Plan prihoda za unos u SAP'!$I$3:$I$501,'Plan prihoda za unos u SAP'!$C$3:$C$501,"=61",'Plan prihoda za unos u SAP'!$K$3:$K$501,"=671")</f>
        <v>0</v>
      </c>
      <c r="T106" s="189">
        <f>SUMIFS('Plan prihoda za unos u SAP'!$I$3:$I$501,'Plan prihoda za unos u SAP'!$C$3:$C$501,"=63",'Plan prihoda za unos u SAP'!$K$3:$K$501,"=671")</f>
        <v>0</v>
      </c>
      <c r="U106" s="189">
        <f>SUMIFS('Plan prihoda za unos u SAP'!$I$3:$I$501,'Plan prihoda za unos u SAP'!$C$3:$C$501,"=71",'Plan prihoda za unos u SAP'!$K$3:$K$501,"=671")</f>
        <v>0</v>
      </c>
      <c r="V106" s="189">
        <f>SUMIFS('Plan prihoda za unos u SAP'!$I$3:$I$501,'Plan prihoda za unos u SAP'!$C$3:$C$501,"=81",'Plan prihoda za unos u SAP'!$K$3:$K$501,"=671")</f>
        <v>0</v>
      </c>
      <c r="W106" s="189">
        <f>SUMIFS('Plan prihoda za unos u SAP'!$I$3:$I$501,'Plan prihoda za unos u SAP'!$C$3:$C$501,"=83",'Plan prihoda za unos u SAP'!$K$3:$K$501,"=671")</f>
        <v>0</v>
      </c>
    </row>
    <row r="107" spans="1:23" s="90" customFormat="1">
      <c r="A107" s="90">
        <v>2023</v>
      </c>
      <c r="B107" s="95" t="s">
        <v>301</v>
      </c>
      <c r="C107" s="96" t="s">
        <v>302</v>
      </c>
      <c r="D107" s="70">
        <f t="shared" si="23"/>
        <v>0</v>
      </c>
      <c r="E107" s="189">
        <f>SUMIFS('Plan prihoda za unos u SAP'!$I$3:$I$501,'Plan prihoda za unos u SAP'!$C$3:$C$501,"=11",'Plan prihoda za unos u SAP'!$K$3:$K$501,"=681")</f>
        <v>0</v>
      </c>
      <c r="F107" s="189">
        <f>SUMIFS('Plan prihoda za unos u SAP'!$I$3:$I$501,'Plan prihoda za unos u SAP'!$C$3:$C$501,"=12",'Plan prihoda za unos u SAP'!$K$3:$K$501,"=681")</f>
        <v>0</v>
      </c>
      <c r="G107" s="189">
        <f>SUMIFS('Plan prihoda za unos u SAP'!$I$3:$I$501,'Plan prihoda za unos u SAP'!$C$3:$C$501,"=31",'Plan prihoda za unos u SAP'!$K$3:$K$501,"=681")</f>
        <v>0</v>
      </c>
      <c r="H107" s="189">
        <f>SUMIFS('Plan prihoda za unos u SAP'!$I$3:$I$501,'Plan prihoda za unos u SAP'!$C$3:$C$501,"=41",'Plan prihoda za unos u SAP'!$K$3:$K$501,"=681")</f>
        <v>0</v>
      </c>
      <c r="I107" s="189">
        <f>SUMIFS('Plan prihoda za unos u SAP'!$I$3:$I$501,'Plan prihoda za unos u SAP'!$C$3:$C$501,"=43",'Plan prihoda za unos u SAP'!$K$3:$K$501,"=681")</f>
        <v>0</v>
      </c>
      <c r="J107" s="189">
        <f>SUMIFS('Plan prihoda za unos u SAP'!$I$3:$I$501,'Plan prihoda za unos u SAP'!$C$3:$C$501,"=51",'Plan prihoda za unos u SAP'!$K$3:$K$501,"=681")</f>
        <v>0</v>
      </c>
      <c r="K107" s="189">
        <f>SUMIFS('Plan prihoda za unos u SAP'!$I$3:$I$501,'Plan prihoda za unos u SAP'!$C$3:$C$501,"=52",'Plan prihoda za unos u SAP'!$K$3:$K$501,"=681")</f>
        <v>0</v>
      </c>
      <c r="L107" s="189">
        <f>SUMIFS('Plan prihoda za unos u SAP'!$I$3:$I$501,'Plan prihoda za unos u SAP'!$C$3:$C$501,"=552",'Plan prihoda za unos u SAP'!$K$3:$K$501,"=681")</f>
        <v>0</v>
      </c>
      <c r="M107" s="189">
        <f>SUMIFS('Plan prihoda za unos u SAP'!$I$3:$I$501,'Plan prihoda za unos u SAP'!$C$3:$C$501,"=559",'Plan prihoda za unos u SAP'!$K$3:$K$501,"=681")</f>
        <v>0</v>
      </c>
      <c r="N107" s="189">
        <f>SUMIFS('Plan prihoda za unos u SAP'!$I$3:$I$501,'Plan prihoda za unos u SAP'!$C$3:$C$501,"=561",'Plan prihoda za unos u SAP'!$K$3:$K$501,"=681")</f>
        <v>0</v>
      </c>
      <c r="O107" s="189">
        <f>SUMIFS('Plan prihoda za unos u SAP'!$I$3:$I$501,'Plan prihoda za unos u SAP'!$C$3:$C$501,"=563",'Plan prihoda za unos u SAP'!$K$3:$K$501,"=681")</f>
        <v>0</v>
      </c>
      <c r="P107" s="189">
        <f>SUMIFS('Plan prihoda za unos u SAP'!$I$3:$I$501,'Plan prihoda za unos u SAP'!$C$3:$C$501,"=573",'Plan prihoda za unos u SAP'!$K$3:$K$501,"=681")</f>
        <v>0</v>
      </c>
      <c r="Q107" s="189">
        <f>SUMIFS('Plan prihoda za unos u SAP'!$I$3:$I$501,'Plan prihoda za unos u SAP'!$C$3:$C$501,"=575",'Plan prihoda za unos u SAP'!$K$3:$K$501,"=681")</f>
        <v>0</v>
      </c>
      <c r="R107" s="189">
        <f>SUMIFS('Plan prihoda za unos u SAP'!$I$3:$I$501,'Plan prihoda za unos u SAP'!$C$3:$C$501,"=576",'Plan prihoda za unos u SAP'!$K$3:$K$501,"=681")</f>
        <v>0</v>
      </c>
      <c r="S107" s="189">
        <f>SUMIFS('Plan prihoda za unos u SAP'!$I$3:$I$501,'Plan prihoda za unos u SAP'!$C$3:$C$501,"=61",'Plan prihoda za unos u SAP'!$K$3:$K$501,"=681")</f>
        <v>0</v>
      </c>
      <c r="T107" s="189">
        <f>SUMIFS('Plan prihoda za unos u SAP'!$I$3:$I$501,'Plan prihoda za unos u SAP'!$C$3:$C$501,"=63",'Plan prihoda za unos u SAP'!$K$3:$K$501,"=681")</f>
        <v>0</v>
      </c>
      <c r="U107" s="189">
        <f>SUMIFS('Plan prihoda za unos u SAP'!$I$3:$I$501,'Plan prihoda za unos u SAP'!$C$3:$C$501,"=71",'Plan prihoda za unos u SAP'!$K$3:$K$501,"=681")</f>
        <v>0</v>
      </c>
      <c r="V107" s="189">
        <f>SUMIFS('Plan prihoda za unos u SAP'!$I$3:$I$501,'Plan prihoda za unos u SAP'!$C$3:$C$501,"=81",'Plan prihoda za unos u SAP'!$K$3:$K$501,"=681")</f>
        <v>0</v>
      </c>
      <c r="W107" s="189">
        <f>SUMIFS('Plan prihoda za unos u SAP'!$I$3:$I$501,'Plan prihoda za unos u SAP'!$C$3:$C$501,"=83",'Plan prihoda za unos u SAP'!$K$3:$K$501,"=681")</f>
        <v>0</v>
      </c>
    </row>
    <row r="108" spans="1:23" s="90" customFormat="1">
      <c r="A108" s="90">
        <v>2023</v>
      </c>
      <c r="B108" s="95" t="s">
        <v>303</v>
      </c>
      <c r="C108" s="96" t="s">
        <v>304</v>
      </c>
      <c r="D108" s="70">
        <f t="shared" si="23"/>
        <v>245000</v>
      </c>
      <c r="E108" s="189">
        <f>SUMIFS('Plan prihoda za unos u SAP'!$I$3:$I$501,'Plan prihoda za unos u SAP'!$C$3:$C$501,"=11",'Plan prihoda za unos u SAP'!$K$3:$K$501,"=683")</f>
        <v>0</v>
      </c>
      <c r="F108" s="189">
        <f>SUMIFS('Plan prihoda za unos u SAP'!$I$3:$I$501,'Plan prihoda za unos u SAP'!$C$3:$C$501,"=12",'Plan prihoda za unos u SAP'!$K$3:$K$501,"=683")</f>
        <v>0</v>
      </c>
      <c r="G108" s="189">
        <f>SUMIFS('Plan prihoda za unos u SAP'!$I$3:$I$501,'Plan prihoda za unos u SAP'!$C$3:$C$501,"=31",'Plan prihoda za unos u SAP'!$K$3:$K$501,"=683")</f>
        <v>0</v>
      </c>
      <c r="H108" s="189">
        <f>SUMIFS('Plan prihoda za unos u SAP'!$I$3:$I$501,'Plan prihoda za unos u SAP'!$C$3:$C$501,"=41",'Plan prihoda za unos u SAP'!$K$3:$K$501,"=683")</f>
        <v>0</v>
      </c>
      <c r="I108" s="189">
        <f>SUMIFS('Plan prihoda za unos u SAP'!$I$3:$I$501,'Plan prihoda za unos u SAP'!$C$3:$C$501,"=43",'Plan prihoda za unos u SAP'!$K$3:$K$501,"=683")</f>
        <v>245000</v>
      </c>
      <c r="J108" s="189">
        <f>SUMIFS('Plan prihoda za unos u SAP'!$I$3:$I$501,'Plan prihoda za unos u SAP'!$C$3:$C$501,"=51",'Plan prihoda za unos u SAP'!$K$3:$K$501,"=683")</f>
        <v>0</v>
      </c>
      <c r="K108" s="189">
        <f>SUMIFS('Plan prihoda za unos u SAP'!$I$3:$I$501,'Plan prihoda za unos u SAP'!$C$3:$C$501,"=52",'Plan prihoda za unos u SAP'!$K$3:$K$501,"=683")</f>
        <v>0</v>
      </c>
      <c r="L108" s="189">
        <f>SUMIFS('Plan prihoda za unos u SAP'!$I$3:$I$501,'Plan prihoda za unos u SAP'!$C$3:$C$501,"=552",'Plan prihoda za unos u SAP'!$K$3:$K$501,"=683")</f>
        <v>0</v>
      </c>
      <c r="M108" s="189">
        <f>SUMIFS('Plan prihoda za unos u SAP'!$I$3:$I$501,'Plan prihoda za unos u SAP'!$C$3:$C$501,"=559",'Plan prihoda za unos u SAP'!$K$3:$K$501,"=683")</f>
        <v>0</v>
      </c>
      <c r="N108" s="189">
        <f>SUMIFS('Plan prihoda za unos u SAP'!$I$3:$I$501,'Plan prihoda za unos u SAP'!$C$3:$C$501,"=561",'Plan prihoda za unos u SAP'!$K$3:$K$501,"=683")</f>
        <v>0</v>
      </c>
      <c r="O108" s="189">
        <f>SUMIFS('Plan prihoda za unos u SAP'!$I$3:$I$501,'Plan prihoda za unos u SAP'!$C$3:$C$501,"=563",'Plan prihoda za unos u SAP'!$K$3:$K$501,"=683")</f>
        <v>0</v>
      </c>
      <c r="P108" s="189">
        <f>SUMIFS('Plan prihoda za unos u SAP'!$I$3:$I$501,'Plan prihoda za unos u SAP'!$C$3:$C$501,"=573",'Plan prihoda za unos u SAP'!$K$3:$K$501,"=683")</f>
        <v>0</v>
      </c>
      <c r="Q108" s="189">
        <f>SUMIFS('Plan prihoda za unos u SAP'!$I$3:$I$501,'Plan prihoda za unos u SAP'!$C$3:$C$501,"=575",'Plan prihoda za unos u SAP'!$K$3:$K$501,"=683")</f>
        <v>0</v>
      </c>
      <c r="R108" s="189">
        <f>SUMIFS('Plan prihoda za unos u SAP'!$I$3:$I$501,'Plan prihoda za unos u SAP'!$C$3:$C$501,"=576",'Plan prihoda za unos u SAP'!$K$3:$K$501,"=683")</f>
        <v>0</v>
      </c>
      <c r="S108" s="189">
        <f>SUMIFS('Plan prihoda za unos u SAP'!$I$3:$I$501,'Plan prihoda za unos u SAP'!$C$3:$C$501,"=61",'Plan prihoda za unos u SAP'!$K$3:$K$501,"=683")</f>
        <v>0</v>
      </c>
      <c r="T108" s="189">
        <f>SUMIFS('Plan prihoda za unos u SAP'!$I$3:$I$501,'Plan prihoda za unos u SAP'!$C$3:$C$501,"=63",'Plan prihoda za unos u SAP'!$K$3:$K$501,"=683")</f>
        <v>0</v>
      </c>
      <c r="U108" s="189">
        <f>SUMIFS('Plan prihoda za unos u SAP'!$I$3:$I$501,'Plan prihoda za unos u SAP'!$C$3:$C$501,"=71",'Plan prihoda za unos u SAP'!$K$3:$K$501,"=683")</f>
        <v>0</v>
      </c>
      <c r="V108" s="189">
        <f>SUMIFS('Plan prihoda za unos u SAP'!$I$3:$I$501,'Plan prihoda za unos u SAP'!$C$3:$C$501,"=81",'Plan prihoda za unos u SAP'!$K$3:$K$501,"=683")</f>
        <v>0</v>
      </c>
      <c r="W108" s="189">
        <f>SUMIFS('Plan prihoda za unos u SAP'!$I$3:$I$501,'Plan prihoda za unos u SAP'!$C$3:$C$501,"=83",'Plan prihoda za unos u SAP'!$K$3:$K$501,"=683")</f>
        <v>0</v>
      </c>
    </row>
    <row r="109" spans="1:23" s="90" customFormat="1">
      <c r="A109" s="90">
        <v>2023</v>
      </c>
      <c r="B109" s="98" t="s">
        <v>305</v>
      </c>
      <c r="C109" s="99" t="s">
        <v>306</v>
      </c>
      <c r="D109" s="70">
        <f t="shared" si="23"/>
        <v>37904068</v>
      </c>
      <c r="E109" s="4">
        <f>SUM(E93:E108)</f>
        <v>25271030</v>
      </c>
      <c r="F109" s="4">
        <f t="shared" ref="F109:W109" si="27">SUM(F93:F108)</f>
        <v>0</v>
      </c>
      <c r="G109" s="4">
        <f t="shared" si="27"/>
        <v>4935000</v>
      </c>
      <c r="H109" s="4">
        <f t="shared" si="27"/>
        <v>0</v>
      </c>
      <c r="I109" s="4">
        <f t="shared" si="27"/>
        <v>7282500</v>
      </c>
      <c r="J109" s="4">
        <f t="shared" si="27"/>
        <v>192885</v>
      </c>
      <c r="K109" s="4">
        <f t="shared" si="27"/>
        <v>0</v>
      </c>
      <c r="L109" s="4">
        <f t="shared" si="27"/>
        <v>0</v>
      </c>
      <c r="M109" s="4">
        <f t="shared" si="27"/>
        <v>0</v>
      </c>
      <c r="N109" s="4">
        <f t="shared" si="27"/>
        <v>192653</v>
      </c>
      <c r="O109" s="4">
        <f t="shared" si="27"/>
        <v>0</v>
      </c>
      <c r="P109" s="4">
        <f t="shared" si="27"/>
        <v>0</v>
      </c>
      <c r="Q109" s="4">
        <f t="shared" si="27"/>
        <v>0</v>
      </c>
      <c r="R109" s="4">
        <f t="shared" ref="R109" si="28">SUM(R93:R108)</f>
        <v>0</v>
      </c>
      <c r="S109" s="4">
        <f t="shared" si="27"/>
        <v>30000</v>
      </c>
      <c r="T109" s="4">
        <f t="shared" si="27"/>
        <v>0</v>
      </c>
      <c r="U109" s="4">
        <f t="shared" si="27"/>
        <v>0</v>
      </c>
      <c r="V109" s="4">
        <f t="shared" si="27"/>
        <v>0</v>
      </c>
      <c r="W109" s="4">
        <f t="shared" si="27"/>
        <v>0</v>
      </c>
    </row>
    <row r="110" spans="1:23" s="90" customFormat="1">
      <c r="A110" s="90">
        <v>2023</v>
      </c>
      <c r="B110" s="95" t="s">
        <v>318</v>
      </c>
      <c r="C110" s="100" t="s">
        <v>319</v>
      </c>
      <c r="D110" s="70">
        <f t="shared" si="23"/>
        <v>0</v>
      </c>
      <c r="E110" s="189">
        <f>SUMIFS('Plan prihoda za unos u SAP'!$I$3:$I$501,'Plan prihoda za unos u SAP'!$C$3:$C$501,"=11",'Plan prihoda za unos u SAP'!$K$3:$K$501,"=711")</f>
        <v>0</v>
      </c>
      <c r="F110" s="189">
        <f>SUMIFS('Plan prihoda za unos u SAP'!$I$3:$I$501,'Plan prihoda za unos u SAP'!$C$3:$C$501,"=12",'Plan prihoda za unos u SAP'!$K$3:$K$501,"=711")</f>
        <v>0</v>
      </c>
      <c r="G110" s="189">
        <f>SUMIFS('Plan prihoda za unos u SAP'!$I$3:$I$501,'Plan prihoda za unos u SAP'!$C$3:$C$501,"=31",'Plan prihoda za unos u SAP'!$K$3:$K$501,"=711")</f>
        <v>0</v>
      </c>
      <c r="H110" s="189">
        <f>SUMIFS('Plan prihoda za unos u SAP'!$I$3:$I$501,'Plan prihoda za unos u SAP'!$C$3:$C$501,"=41",'Plan prihoda za unos u SAP'!$K$3:$K$501,"=711")</f>
        <v>0</v>
      </c>
      <c r="I110" s="189">
        <f>SUMIFS('Plan prihoda za unos u SAP'!$I$3:$I$501,'Plan prihoda za unos u SAP'!$C$3:$C$501,"=43",'Plan prihoda za unos u SAP'!$K$3:$K$501,"=711")</f>
        <v>0</v>
      </c>
      <c r="J110" s="189">
        <f>SUMIFS('Plan prihoda za unos u SAP'!$I$3:$I$501,'Plan prihoda za unos u SAP'!$C$3:$C$501,"=51",'Plan prihoda za unos u SAP'!$K$3:$K$501,"=711")</f>
        <v>0</v>
      </c>
      <c r="K110" s="189">
        <f>SUMIFS('Plan prihoda za unos u SAP'!$I$3:$I$501,'Plan prihoda za unos u SAP'!$C$3:$C$501,"=52",'Plan prihoda za unos u SAP'!$K$3:$K$501,"=711")</f>
        <v>0</v>
      </c>
      <c r="L110" s="189">
        <f>SUMIFS('Plan prihoda za unos u SAP'!$I$3:$I$501,'Plan prihoda za unos u SAP'!$C$3:$C$501,"=552",'Plan prihoda za unos u SAP'!$K$3:$K$501,"=711")</f>
        <v>0</v>
      </c>
      <c r="M110" s="189">
        <f>SUMIFS('Plan prihoda za unos u SAP'!$I$3:$I$501,'Plan prihoda za unos u SAP'!$C$3:$C$501,"=559",'Plan prihoda za unos u SAP'!$K$3:$K$501,"=711")</f>
        <v>0</v>
      </c>
      <c r="N110" s="189">
        <f>SUMIFS('Plan prihoda za unos u SAP'!$I$3:$I$501,'Plan prihoda za unos u SAP'!$C$3:$C$501,"=561",'Plan prihoda za unos u SAP'!$K$3:$K$501,"=711")</f>
        <v>0</v>
      </c>
      <c r="O110" s="189">
        <f>SUMIFS('Plan prihoda za unos u SAP'!$I$3:$I$501,'Plan prihoda za unos u SAP'!$C$3:$C$501,"=563",'Plan prihoda za unos u SAP'!$K$3:$K$501,"=711")</f>
        <v>0</v>
      </c>
      <c r="P110" s="189">
        <f>SUMIFS('Plan prihoda za unos u SAP'!$I$3:$I$501,'Plan prihoda za unos u SAP'!$C$3:$C$501,"=573",'Plan prihoda za unos u SAP'!$K$3:$K$501,"=711")</f>
        <v>0</v>
      </c>
      <c r="Q110" s="189">
        <f>SUMIFS('Plan prihoda za unos u SAP'!$I$3:$I$501,'Plan prihoda za unos u SAP'!$C$3:$C$501,"=575",'Plan prihoda za unos u SAP'!$K$3:$K$501,"=711")</f>
        <v>0</v>
      </c>
      <c r="R110" s="189">
        <f>SUMIFS('Plan prihoda za unos u SAP'!$I$3:$I$501,'Plan prihoda za unos u SAP'!$C$3:$C$501,"=576",'Plan prihoda za unos u SAP'!$K$3:$K$501,"=711")</f>
        <v>0</v>
      </c>
      <c r="S110" s="189">
        <f>SUMIFS('Plan prihoda za unos u SAP'!$I$3:$I$501,'Plan prihoda za unos u SAP'!$C$3:$C$501,"=61",'Plan prihoda za unos u SAP'!$K$3:$K$501,"=711")</f>
        <v>0</v>
      </c>
      <c r="T110" s="189">
        <f>SUMIFS('Plan prihoda za unos u SAP'!$I$3:$I$501,'Plan prihoda za unos u SAP'!$C$3:$C$501,"=63",'Plan prihoda za unos u SAP'!$K$3:$K$501,"=711")</f>
        <v>0</v>
      </c>
      <c r="U110" s="189">
        <f>SUMIFS('Plan prihoda za unos u SAP'!$I$3:$I$501,'Plan prihoda za unos u SAP'!$C$3:$C$501,"=71",'Plan prihoda za unos u SAP'!$K$3:$K$501,"=711")</f>
        <v>0</v>
      </c>
      <c r="V110" s="189">
        <f>SUMIFS('Plan prihoda za unos u SAP'!$I$3:$I$501,'Plan prihoda za unos u SAP'!$C$3:$C$501,"=81",'Plan prihoda za unos u SAP'!$K$3:$K$501,"=711")</f>
        <v>0</v>
      </c>
      <c r="W110" s="189">
        <f>SUMIFS('Plan prihoda za unos u SAP'!$I$3:$I$501,'Plan prihoda za unos u SAP'!$C$3:$C$501,"=83",'Plan prihoda za unos u SAP'!$K$3:$K$501,"=711")</f>
        <v>0</v>
      </c>
    </row>
    <row r="111" spans="1:23" s="90" customFormat="1">
      <c r="A111" s="90">
        <v>2023</v>
      </c>
      <c r="B111" s="95" t="s">
        <v>320</v>
      </c>
      <c r="C111" s="100" t="s">
        <v>321</v>
      </c>
      <c r="D111" s="70">
        <f t="shared" si="23"/>
        <v>0</v>
      </c>
      <c r="E111" s="189">
        <f>SUMIFS('Plan prihoda za unos u SAP'!$I$3:$I$501,'Plan prihoda za unos u SAP'!$C$3:$C$501,"=11",'Plan prihoda za unos u SAP'!$K$3:$K$501,"=712")</f>
        <v>0</v>
      </c>
      <c r="F111" s="189">
        <f>SUMIFS('Plan prihoda za unos u SAP'!$I$3:$I$501,'Plan prihoda za unos u SAP'!$C$3:$C$501,"=12",'Plan prihoda za unos u SAP'!$K$3:$K$501,"=712")</f>
        <v>0</v>
      </c>
      <c r="G111" s="189">
        <f>SUMIFS('Plan prihoda za unos u SAP'!$I$3:$I$501,'Plan prihoda za unos u SAP'!$C$3:$C$501,"=31",'Plan prihoda za unos u SAP'!$K$3:$K$501,"=712")</f>
        <v>0</v>
      </c>
      <c r="H111" s="189">
        <f>SUMIFS('Plan prihoda za unos u SAP'!$I$3:$I$501,'Plan prihoda za unos u SAP'!$C$3:$C$501,"=41",'Plan prihoda za unos u SAP'!$K$3:$K$501,"=712")</f>
        <v>0</v>
      </c>
      <c r="I111" s="189">
        <f>SUMIFS('Plan prihoda za unos u SAP'!$I$3:$I$501,'Plan prihoda za unos u SAP'!$C$3:$C$501,"=43",'Plan prihoda za unos u SAP'!$K$3:$K$501,"=712")</f>
        <v>0</v>
      </c>
      <c r="J111" s="189">
        <f>SUMIFS('Plan prihoda za unos u SAP'!$I$3:$I$501,'Plan prihoda za unos u SAP'!$C$3:$C$501,"=51",'Plan prihoda za unos u SAP'!$K$3:$K$501,"=712")</f>
        <v>0</v>
      </c>
      <c r="K111" s="189">
        <f>SUMIFS('Plan prihoda za unos u SAP'!$I$3:$I$501,'Plan prihoda za unos u SAP'!$C$3:$C$501,"=52",'Plan prihoda za unos u SAP'!$K$3:$K$501,"=712")</f>
        <v>0</v>
      </c>
      <c r="L111" s="189">
        <f>SUMIFS('Plan prihoda za unos u SAP'!$I$3:$I$501,'Plan prihoda za unos u SAP'!$C$3:$C$501,"=552",'Plan prihoda za unos u SAP'!$K$3:$K$501,"=712")</f>
        <v>0</v>
      </c>
      <c r="M111" s="189">
        <f>SUMIFS('Plan prihoda za unos u SAP'!$I$3:$I$501,'Plan prihoda za unos u SAP'!$C$3:$C$501,"=559",'Plan prihoda za unos u SAP'!$K$3:$K$501,"=712")</f>
        <v>0</v>
      </c>
      <c r="N111" s="189">
        <f>SUMIFS('Plan prihoda za unos u SAP'!$I$3:$I$501,'Plan prihoda za unos u SAP'!$C$3:$C$501,"=561",'Plan prihoda za unos u SAP'!$K$3:$K$501,"=712")</f>
        <v>0</v>
      </c>
      <c r="O111" s="189">
        <f>SUMIFS('Plan prihoda za unos u SAP'!$I$3:$I$501,'Plan prihoda za unos u SAP'!$C$3:$C$501,"=563",'Plan prihoda za unos u SAP'!$K$3:$K$501,"=712")</f>
        <v>0</v>
      </c>
      <c r="P111" s="189">
        <f>SUMIFS('Plan prihoda za unos u SAP'!$I$3:$I$501,'Plan prihoda za unos u SAP'!$C$3:$C$501,"=573",'Plan prihoda za unos u SAP'!$K$3:$K$501,"=712")</f>
        <v>0</v>
      </c>
      <c r="Q111" s="189">
        <f>SUMIFS('Plan prihoda za unos u SAP'!$I$3:$I$501,'Plan prihoda za unos u SAP'!$C$3:$C$501,"=575",'Plan prihoda za unos u SAP'!$K$3:$K$501,"=712")</f>
        <v>0</v>
      </c>
      <c r="R111" s="189">
        <f>SUMIFS('Plan prihoda za unos u SAP'!$I$3:$I$501,'Plan prihoda za unos u SAP'!$C$3:$C$501,"=576",'Plan prihoda za unos u SAP'!$K$3:$K$501,"=712")</f>
        <v>0</v>
      </c>
      <c r="S111" s="189">
        <f>SUMIFS('Plan prihoda za unos u SAP'!$I$3:$I$501,'Plan prihoda za unos u SAP'!$C$3:$C$501,"=61",'Plan prihoda za unos u SAP'!$K$3:$K$501,"=712")</f>
        <v>0</v>
      </c>
      <c r="T111" s="189">
        <f>SUMIFS('Plan prihoda za unos u SAP'!$I$3:$I$501,'Plan prihoda za unos u SAP'!$C$3:$C$501,"=63",'Plan prihoda za unos u SAP'!$K$3:$K$501,"=712")</f>
        <v>0</v>
      </c>
      <c r="U111" s="189">
        <f>SUMIFS('Plan prihoda za unos u SAP'!$I$3:$I$501,'Plan prihoda za unos u SAP'!$C$3:$C$501,"=71",'Plan prihoda za unos u SAP'!$K$3:$K$501,"=712")</f>
        <v>0</v>
      </c>
      <c r="V111" s="189">
        <f>SUMIFS('Plan prihoda za unos u SAP'!$I$3:$I$501,'Plan prihoda za unos u SAP'!$C$3:$C$501,"=81",'Plan prihoda za unos u SAP'!$K$3:$K$501,"=712")</f>
        <v>0</v>
      </c>
      <c r="W111" s="189">
        <f>SUMIFS('Plan prihoda za unos u SAP'!$I$3:$I$501,'Plan prihoda za unos u SAP'!$C$3:$C$501,"=83",'Plan prihoda za unos u SAP'!$K$3:$K$501,"=712")</f>
        <v>0</v>
      </c>
    </row>
    <row r="112" spans="1:23" s="90" customFormat="1">
      <c r="A112" s="90">
        <v>2023</v>
      </c>
      <c r="B112" s="95" t="s">
        <v>307</v>
      </c>
      <c r="C112" s="100" t="s">
        <v>308</v>
      </c>
      <c r="D112" s="70">
        <f t="shared" si="23"/>
        <v>0</v>
      </c>
      <c r="E112" s="189">
        <f>SUMIFS('Plan prihoda za unos u SAP'!$I$3:$I$501,'Plan prihoda za unos u SAP'!$C$3:$C$501,"=11",'Plan prihoda za unos u SAP'!$K$3:$K$501,"=721")</f>
        <v>0</v>
      </c>
      <c r="F112" s="189">
        <f>SUMIFS('Plan prihoda za unos u SAP'!$I$3:$I$501,'Plan prihoda za unos u SAP'!$C$3:$C$501,"=12",'Plan prihoda za unos u SAP'!$K$3:$K$501,"=721")</f>
        <v>0</v>
      </c>
      <c r="G112" s="189">
        <f>SUMIFS('Plan prihoda za unos u SAP'!$I$3:$I$501,'Plan prihoda za unos u SAP'!$C$3:$C$501,"=31",'Plan prihoda za unos u SAP'!$K$3:$K$501,"=721")</f>
        <v>0</v>
      </c>
      <c r="H112" s="189">
        <f>SUMIFS('Plan prihoda za unos u SAP'!$I$3:$I$501,'Plan prihoda za unos u SAP'!$C$3:$C$501,"=41",'Plan prihoda za unos u SAP'!$K$3:$K$501,"=721")</f>
        <v>0</v>
      </c>
      <c r="I112" s="189">
        <f>SUMIFS('Plan prihoda za unos u SAP'!$I$3:$I$501,'Plan prihoda za unos u SAP'!$C$3:$C$501,"=43",'Plan prihoda za unos u SAP'!$K$3:$K$501,"=721")</f>
        <v>0</v>
      </c>
      <c r="J112" s="189">
        <f>SUMIFS('Plan prihoda za unos u SAP'!$I$3:$I$501,'Plan prihoda za unos u SAP'!$C$3:$C$501,"=51",'Plan prihoda za unos u SAP'!$K$3:$K$501,"=721")</f>
        <v>0</v>
      </c>
      <c r="K112" s="189">
        <f>SUMIFS('Plan prihoda za unos u SAP'!$I$3:$I$501,'Plan prihoda za unos u SAP'!$C$3:$C$501,"=52",'Plan prihoda za unos u SAP'!$K$3:$K$501,"=721")</f>
        <v>0</v>
      </c>
      <c r="L112" s="189">
        <f>SUMIFS('Plan prihoda za unos u SAP'!$I$3:$I$501,'Plan prihoda za unos u SAP'!$C$3:$C$501,"=552",'Plan prihoda za unos u SAP'!$K$3:$K$501,"=721")</f>
        <v>0</v>
      </c>
      <c r="M112" s="189">
        <f>SUMIFS('Plan prihoda za unos u SAP'!$I$3:$I$501,'Plan prihoda za unos u SAP'!$C$3:$C$501,"=559",'Plan prihoda za unos u SAP'!$K$3:$K$501,"=721")</f>
        <v>0</v>
      </c>
      <c r="N112" s="189">
        <f>SUMIFS('Plan prihoda za unos u SAP'!$I$3:$I$501,'Plan prihoda za unos u SAP'!$C$3:$C$501,"=561",'Plan prihoda za unos u SAP'!$K$3:$K$501,"=721")</f>
        <v>0</v>
      </c>
      <c r="O112" s="189">
        <f>SUMIFS('Plan prihoda za unos u SAP'!$I$3:$I$501,'Plan prihoda za unos u SAP'!$C$3:$C$501,"=563",'Plan prihoda za unos u SAP'!$K$3:$K$501,"=721")</f>
        <v>0</v>
      </c>
      <c r="P112" s="189">
        <f>SUMIFS('Plan prihoda za unos u SAP'!$I$3:$I$501,'Plan prihoda za unos u SAP'!$C$3:$C$501,"=573",'Plan prihoda za unos u SAP'!$K$3:$K$501,"=721")</f>
        <v>0</v>
      </c>
      <c r="Q112" s="189">
        <f>SUMIFS('Plan prihoda za unos u SAP'!$I$3:$I$501,'Plan prihoda za unos u SAP'!$C$3:$C$501,"=575",'Plan prihoda za unos u SAP'!$K$3:$K$501,"=721")</f>
        <v>0</v>
      </c>
      <c r="R112" s="189">
        <f>SUMIFS('Plan prihoda za unos u SAP'!$I$3:$I$501,'Plan prihoda za unos u SAP'!$C$3:$C$501,"=576",'Plan prihoda za unos u SAP'!$K$3:$K$501,"=721")</f>
        <v>0</v>
      </c>
      <c r="S112" s="189">
        <f>SUMIFS('Plan prihoda za unos u SAP'!$I$3:$I$501,'Plan prihoda za unos u SAP'!$C$3:$C$501,"=61",'Plan prihoda za unos u SAP'!$K$3:$K$501,"=721")</f>
        <v>0</v>
      </c>
      <c r="T112" s="189">
        <f>SUMIFS('Plan prihoda za unos u SAP'!$I$3:$I$501,'Plan prihoda za unos u SAP'!$C$3:$C$501,"=63",'Plan prihoda za unos u SAP'!$K$3:$K$501,"=721")</f>
        <v>0</v>
      </c>
      <c r="U112" s="189">
        <f>SUMIFS('Plan prihoda za unos u SAP'!$I$3:$I$501,'Plan prihoda za unos u SAP'!$C$3:$C$501,"=71",'Plan prihoda za unos u SAP'!$K$3:$K$501,"=721")</f>
        <v>0</v>
      </c>
      <c r="V112" s="189">
        <f>SUMIFS('Plan prihoda za unos u SAP'!$I$3:$I$501,'Plan prihoda za unos u SAP'!$C$3:$C$501,"=81",'Plan prihoda za unos u SAP'!$K$3:$K$501,"=721")</f>
        <v>0</v>
      </c>
      <c r="W112" s="189">
        <f>SUMIFS('Plan prihoda za unos u SAP'!$I$3:$I$501,'Plan prihoda za unos u SAP'!$C$3:$C$501,"=83",'Plan prihoda za unos u SAP'!$K$3:$K$501,"=721")</f>
        <v>0</v>
      </c>
    </row>
    <row r="113" spans="1:23" s="90" customFormat="1">
      <c r="A113" s="90">
        <v>2023</v>
      </c>
      <c r="B113" s="95" t="s">
        <v>309</v>
      </c>
      <c r="C113" s="100" t="s">
        <v>310</v>
      </c>
      <c r="D113" s="70">
        <f t="shared" si="23"/>
        <v>0</v>
      </c>
      <c r="E113" s="189">
        <f>SUMIFS('Plan prihoda za unos u SAP'!$I$3:$I$501,'Plan prihoda za unos u SAP'!$C$3:$C$501,"=11",'Plan prihoda za unos u SAP'!$K$3:$K$501,"=722")</f>
        <v>0</v>
      </c>
      <c r="F113" s="189">
        <f>SUMIFS('Plan prihoda za unos u SAP'!$I$3:$I$501,'Plan prihoda za unos u SAP'!$C$3:$C$501,"=12",'Plan prihoda za unos u SAP'!$K$3:$K$501,"=722")</f>
        <v>0</v>
      </c>
      <c r="G113" s="189">
        <f>SUMIFS('Plan prihoda za unos u SAP'!$I$3:$I$501,'Plan prihoda za unos u SAP'!$C$3:$C$501,"=31",'Plan prihoda za unos u SAP'!$K$3:$K$501,"=722")</f>
        <v>0</v>
      </c>
      <c r="H113" s="189">
        <f>SUMIFS('Plan prihoda za unos u SAP'!$I$3:$I$501,'Plan prihoda za unos u SAP'!$C$3:$C$501,"=41",'Plan prihoda za unos u SAP'!$K$3:$K$501,"=722")</f>
        <v>0</v>
      </c>
      <c r="I113" s="189">
        <f>SUMIFS('Plan prihoda za unos u SAP'!$I$3:$I$501,'Plan prihoda za unos u SAP'!$C$3:$C$501,"=43",'Plan prihoda za unos u SAP'!$K$3:$K$501,"=722")</f>
        <v>0</v>
      </c>
      <c r="J113" s="189">
        <f>SUMIFS('Plan prihoda za unos u SAP'!$I$3:$I$501,'Plan prihoda za unos u SAP'!$C$3:$C$501,"=51",'Plan prihoda za unos u SAP'!$K$3:$K$501,"=722")</f>
        <v>0</v>
      </c>
      <c r="K113" s="189">
        <f>SUMIFS('Plan prihoda za unos u SAP'!$I$3:$I$501,'Plan prihoda za unos u SAP'!$C$3:$C$501,"=52",'Plan prihoda za unos u SAP'!$K$3:$K$501,"=722")</f>
        <v>0</v>
      </c>
      <c r="L113" s="189">
        <f>SUMIFS('Plan prihoda za unos u SAP'!$I$3:$I$501,'Plan prihoda za unos u SAP'!$C$3:$C$501,"=552",'Plan prihoda za unos u SAP'!$K$3:$K$501,"=722")</f>
        <v>0</v>
      </c>
      <c r="M113" s="189">
        <f>SUMIFS('Plan prihoda za unos u SAP'!$I$3:$I$501,'Plan prihoda za unos u SAP'!$C$3:$C$501,"=559",'Plan prihoda za unos u SAP'!$K$3:$K$501,"=722")</f>
        <v>0</v>
      </c>
      <c r="N113" s="189">
        <f>SUMIFS('Plan prihoda za unos u SAP'!$I$3:$I$501,'Plan prihoda za unos u SAP'!$C$3:$C$501,"=561",'Plan prihoda za unos u SAP'!$K$3:$K$501,"=722")</f>
        <v>0</v>
      </c>
      <c r="O113" s="189">
        <f>SUMIFS('Plan prihoda za unos u SAP'!$I$3:$I$501,'Plan prihoda za unos u SAP'!$C$3:$C$501,"=563",'Plan prihoda za unos u SAP'!$K$3:$K$501,"=722")</f>
        <v>0</v>
      </c>
      <c r="P113" s="189">
        <f>SUMIFS('Plan prihoda za unos u SAP'!$I$3:$I$501,'Plan prihoda za unos u SAP'!$C$3:$C$501,"=573",'Plan prihoda za unos u SAP'!$K$3:$K$501,"=722")</f>
        <v>0</v>
      </c>
      <c r="Q113" s="189">
        <f>SUMIFS('Plan prihoda za unos u SAP'!$I$3:$I$501,'Plan prihoda za unos u SAP'!$C$3:$C$501,"=575",'Plan prihoda za unos u SAP'!$K$3:$K$501,"=722")</f>
        <v>0</v>
      </c>
      <c r="R113" s="189">
        <f>SUMIFS('Plan prihoda za unos u SAP'!$I$3:$I$501,'Plan prihoda za unos u SAP'!$C$3:$C$501,"=576",'Plan prihoda za unos u SAP'!$K$3:$K$501,"=722")</f>
        <v>0</v>
      </c>
      <c r="S113" s="189">
        <f>SUMIFS('Plan prihoda za unos u SAP'!$I$3:$I$501,'Plan prihoda za unos u SAP'!$C$3:$C$501,"=61",'Plan prihoda za unos u SAP'!$K$3:$K$501,"=722")</f>
        <v>0</v>
      </c>
      <c r="T113" s="189">
        <f>SUMIFS('Plan prihoda za unos u SAP'!$I$3:$I$501,'Plan prihoda za unos u SAP'!$C$3:$C$501,"=63",'Plan prihoda za unos u SAP'!$K$3:$K$501,"=722")</f>
        <v>0</v>
      </c>
      <c r="U113" s="189">
        <f>SUMIFS('Plan prihoda za unos u SAP'!$I$3:$I$501,'Plan prihoda za unos u SAP'!$C$3:$C$501,"=71",'Plan prihoda za unos u SAP'!$K$3:$K$501,"=722")</f>
        <v>0</v>
      </c>
      <c r="V113" s="189">
        <f>SUMIFS('Plan prihoda za unos u SAP'!$I$3:$I$501,'Plan prihoda za unos u SAP'!$C$3:$C$501,"=81",'Plan prihoda za unos u SAP'!$K$3:$K$501,"=722")</f>
        <v>0</v>
      </c>
      <c r="W113" s="189">
        <f>SUMIFS('Plan prihoda za unos u SAP'!$I$3:$I$501,'Plan prihoda za unos u SAP'!$C$3:$C$501,"=83",'Plan prihoda za unos u SAP'!$K$3:$K$501,"=722")</f>
        <v>0</v>
      </c>
    </row>
    <row r="114" spans="1:23" s="90" customFormat="1">
      <c r="A114" s="90">
        <v>2023</v>
      </c>
      <c r="B114" s="95" t="s">
        <v>311</v>
      </c>
      <c r="C114" s="100" t="s">
        <v>312</v>
      </c>
      <c r="D114" s="70">
        <f t="shared" si="23"/>
        <v>0</v>
      </c>
      <c r="E114" s="189">
        <f>SUMIFS('Plan prihoda za unos u SAP'!$I$3:$I$501,'Plan prihoda za unos u SAP'!$C$3:$C$501,"=11",'Plan prihoda za unos u SAP'!$K$3:$K$501,"=723")</f>
        <v>0</v>
      </c>
      <c r="F114" s="189">
        <f>SUMIFS('Plan prihoda za unos u SAP'!$I$3:$I$501,'Plan prihoda za unos u SAP'!$C$3:$C$501,"=12",'Plan prihoda za unos u SAP'!$K$3:$K$501,"=723")</f>
        <v>0</v>
      </c>
      <c r="G114" s="189">
        <f>SUMIFS('Plan prihoda za unos u SAP'!$I$3:$I$501,'Plan prihoda za unos u SAP'!$C$3:$C$501,"=31",'Plan prihoda za unos u SAP'!$K$3:$K$501,"=723")</f>
        <v>0</v>
      </c>
      <c r="H114" s="189">
        <f>SUMIFS('Plan prihoda za unos u SAP'!$I$3:$I$501,'Plan prihoda za unos u SAP'!$C$3:$C$501,"=41",'Plan prihoda za unos u SAP'!$K$3:$K$501,"=723")</f>
        <v>0</v>
      </c>
      <c r="I114" s="189">
        <f>SUMIFS('Plan prihoda za unos u SAP'!$I$3:$I$501,'Plan prihoda za unos u SAP'!$C$3:$C$501,"=43",'Plan prihoda za unos u SAP'!$K$3:$K$501,"=723")</f>
        <v>0</v>
      </c>
      <c r="J114" s="189">
        <f>SUMIFS('Plan prihoda za unos u SAP'!$I$3:$I$501,'Plan prihoda za unos u SAP'!$C$3:$C$501,"=51",'Plan prihoda za unos u SAP'!$K$3:$K$501,"=723")</f>
        <v>0</v>
      </c>
      <c r="K114" s="189">
        <f>SUMIFS('Plan prihoda za unos u SAP'!$I$3:$I$501,'Plan prihoda za unos u SAP'!$C$3:$C$501,"=52",'Plan prihoda za unos u SAP'!$K$3:$K$501,"=723")</f>
        <v>0</v>
      </c>
      <c r="L114" s="189">
        <f>SUMIFS('Plan prihoda za unos u SAP'!$I$3:$I$501,'Plan prihoda za unos u SAP'!$C$3:$C$501,"=552",'Plan prihoda za unos u SAP'!$K$3:$K$501,"=723")</f>
        <v>0</v>
      </c>
      <c r="M114" s="189">
        <f>SUMIFS('Plan prihoda za unos u SAP'!$I$3:$I$501,'Plan prihoda za unos u SAP'!$C$3:$C$501,"=559",'Plan prihoda za unos u SAP'!$K$3:$K$501,"=723")</f>
        <v>0</v>
      </c>
      <c r="N114" s="189">
        <f>SUMIFS('Plan prihoda za unos u SAP'!$I$3:$I$501,'Plan prihoda za unos u SAP'!$C$3:$C$501,"=561",'Plan prihoda za unos u SAP'!$K$3:$K$501,"=723")</f>
        <v>0</v>
      </c>
      <c r="O114" s="189">
        <f>SUMIFS('Plan prihoda za unos u SAP'!$I$3:$I$501,'Plan prihoda za unos u SAP'!$C$3:$C$501,"=563",'Plan prihoda za unos u SAP'!$K$3:$K$501,"=723")</f>
        <v>0</v>
      </c>
      <c r="P114" s="189">
        <f>SUMIFS('Plan prihoda za unos u SAP'!$I$3:$I$501,'Plan prihoda za unos u SAP'!$C$3:$C$501,"=573",'Plan prihoda za unos u SAP'!$K$3:$K$501,"=723")</f>
        <v>0</v>
      </c>
      <c r="Q114" s="189">
        <f>SUMIFS('Plan prihoda za unos u SAP'!$I$3:$I$501,'Plan prihoda za unos u SAP'!$C$3:$C$501,"=575",'Plan prihoda za unos u SAP'!$K$3:$K$501,"=723")</f>
        <v>0</v>
      </c>
      <c r="R114" s="189">
        <f>SUMIFS('Plan prihoda za unos u SAP'!$I$3:$I$501,'Plan prihoda za unos u SAP'!$C$3:$C$501,"=576",'Plan prihoda za unos u SAP'!$K$3:$K$501,"=723")</f>
        <v>0</v>
      </c>
      <c r="S114" s="189">
        <f>SUMIFS('Plan prihoda za unos u SAP'!$I$3:$I$501,'Plan prihoda za unos u SAP'!$C$3:$C$501,"=61",'Plan prihoda za unos u SAP'!$K$3:$K$501,"=723")</f>
        <v>0</v>
      </c>
      <c r="T114" s="189">
        <f>SUMIFS('Plan prihoda za unos u SAP'!$I$3:$I$501,'Plan prihoda za unos u SAP'!$C$3:$C$501,"=63",'Plan prihoda za unos u SAP'!$K$3:$K$501,"=723")</f>
        <v>0</v>
      </c>
      <c r="U114" s="189">
        <f>SUMIFS('Plan prihoda za unos u SAP'!$I$3:$I$501,'Plan prihoda za unos u SAP'!$C$3:$C$501,"=71",'Plan prihoda za unos u SAP'!$K$3:$K$501,"=723")</f>
        <v>0</v>
      </c>
      <c r="V114" s="189">
        <f>SUMIFS('Plan prihoda za unos u SAP'!$I$3:$I$501,'Plan prihoda za unos u SAP'!$C$3:$C$501,"=81",'Plan prihoda za unos u SAP'!$K$3:$K$501,"=723")</f>
        <v>0</v>
      </c>
      <c r="W114" s="189">
        <f>SUMIFS('Plan prihoda za unos u SAP'!$I$3:$I$501,'Plan prihoda za unos u SAP'!$C$3:$C$501,"=83",'Plan prihoda za unos u SAP'!$K$3:$K$501,"=723")</f>
        <v>0</v>
      </c>
    </row>
    <row r="115" spans="1:23" s="90" customFormat="1">
      <c r="A115" s="90">
        <v>2023</v>
      </c>
      <c r="B115" s="95" t="s">
        <v>322</v>
      </c>
      <c r="C115" s="100" t="s">
        <v>323</v>
      </c>
      <c r="D115" s="70">
        <f t="shared" si="23"/>
        <v>0</v>
      </c>
      <c r="E115" s="189">
        <f>SUMIFS('Plan prihoda za unos u SAP'!$I$3:$I$501,'Plan prihoda za unos u SAP'!$C$3:$C$501,"=11",'Plan prihoda za unos u SAP'!$K$3:$K$501,"=725")</f>
        <v>0</v>
      </c>
      <c r="F115" s="189">
        <f>SUMIFS('Plan prihoda za unos u SAP'!$I$3:$I$501,'Plan prihoda za unos u SAP'!$C$3:$C$501,"=12",'Plan prihoda za unos u SAP'!$K$3:$K$501,"=725")</f>
        <v>0</v>
      </c>
      <c r="G115" s="189">
        <f>SUMIFS('Plan prihoda za unos u SAP'!$I$3:$I$501,'Plan prihoda za unos u SAP'!$C$3:$C$501,"=31",'Plan prihoda za unos u SAP'!$K$3:$K$501,"=725")</f>
        <v>0</v>
      </c>
      <c r="H115" s="189">
        <f>SUMIFS('Plan prihoda za unos u SAP'!$I$3:$I$501,'Plan prihoda za unos u SAP'!$C$3:$C$501,"=41",'Plan prihoda za unos u SAP'!$K$3:$K$501,"=725")</f>
        <v>0</v>
      </c>
      <c r="I115" s="189">
        <f>SUMIFS('Plan prihoda za unos u SAP'!$I$3:$I$501,'Plan prihoda za unos u SAP'!$C$3:$C$501,"=43",'Plan prihoda za unos u SAP'!$K$3:$K$501,"=725")</f>
        <v>0</v>
      </c>
      <c r="J115" s="189">
        <f>SUMIFS('Plan prihoda za unos u SAP'!$I$3:$I$501,'Plan prihoda za unos u SAP'!$C$3:$C$501,"=51",'Plan prihoda za unos u SAP'!$K$3:$K$501,"=725")</f>
        <v>0</v>
      </c>
      <c r="K115" s="189">
        <f>SUMIFS('Plan prihoda za unos u SAP'!$I$3:$I$501,'Plan prihoda za unos u SAP'!$C$3:$C$501,"=52",'Plan prihoda za unos u SAP'!$K$3:$K$501,"=725")</f>
        <v>0</v>
      </c>
      <c r="L115" s="189">
        <f>SUMIFS('Plan prihoda za unos u SAP'!$I$3:$I$501,'Plan prihoda za unos u SAP'!$C$3:$C$501,"=552",'Plan prihoda za unos u SAP'!$K$3:$K$501,"=725")</f>
        <v>0</v>
      </c>
      <c r="M115" s="189">
        <f>SUMIFS('Plan prihoda za unos u SAP'!$I$3:$I$501,'Plan prihoda za unos u SAP'!$C$3:$C$501,"=559",'Plan prihoda za unos u SAP'!$K$3:$K$501,"=725")</f>
        <v>0</v>
      </c>
      <c r="N115" s="189">
        <f>SUMIFS('Plan prihoda za unos u SAP'!$I$3:$I$501,'Plan prihoda za unos u SAP'!$C$3:$C$501,"=561",'Plan prihoda za unos u SAP'!$K$3:$K$501,"=725")</f>
        <v>0</v>
      </c>
      <c r="O115" s="189">
        <f>SUMIFS('Plan prihoda za unos u SAP'!$I$3:$I$501,'Plan prihoda za unos u SAP'!$C$3:$C$501,"=563",'Plan prihoda za unos u SAP'!$K$3:$K$501,"=725")</f>
        <v>0</v>
      </c>
      <c r="P115" s="189">
        <f>SUMIFS('Plan prihoda za unos u SAP'!$I$3:$I$501,'Plan prihoda za unos u SAP'!$C$3:$C$501,"=573",'Plan prihoda za unos u SAP'!$K$3:$K$501,"=725")</f>
        <v>0</v>
      </c>
      <c r="Q115" s="189">
        <f>SUMIFS('Plan prihoda za unos u SAP'!$I$3:$I$501,'Plan prihoda za unos u SAP'!$C$3:$C$501,"=575",'Plan prihoda za unos u SAP'!$K$3:$K$501,"=725")</f>
        <v>0</v>
      </c>
      <c r="R115" s="189">
        <f>SUMIFS('Plan prihoda za unos u SAP'!$I$3:$I$501,'Plan prihoda za unos u SAP'!$C$3:$C$501,"=576",'Plan prihoda za unos u SAP'!$K$3:$K$501,"=725")</f>
        <v>0</v>
      </c>
      <c r="S115" s="189">
        <f>SUMIFS('Plan prihoda za unos u SAP'!$I$3:$I$501,'Plan prihoda za unos u SAP'!$C$3:$C$501,"=61",'Plan prihoda za unos u SAP'!$K$3:$K$501,"=725")</f>
        <v>0</v>
      </c>
      <c r="T115" s="189">
        <f>SUMIFS('Plan prihoda za unos u SAP'!$I$3:$I$501,'Plan prihoda za unos u SAP'!$C$3:$C$501,"=63",'Plan prihoda za unos u SAP'!$K$3:$K$501,"=725")</f>
        <v>0</v>
      </c>
      <c r="U115" s="189">
        <f>SUMIFS('Plan prihoda za unos u SAP'!$I$3:$I$501,'Plan prihoda za unos u SAP'!$C$3:$C$501,"=71",'Plan prihoda za unos u SAP'!$K$3:$K$501,"=725")</f>
        <v>0</v>
      </c>
      <c r="V115" s="189">
        <f>SUMIFS('Plan prihoda za unos u SAP'!$I$3:$I$501,'Plan prihoda za unos u SAP'!$C$3:$C$501,"=81",'Plan prihoda za unos u SAP'!$K$3:$K$501,"=725")</f>
        <v>0</v>
      </c>
      <c r="W115" s="189">
        <f>SUMIFS('Plan prihoda za unos u SAP'!$I$3:$I$501,'Plan prihoda za unos u SAP'!$C$3:$C$501,"=83",'Plan prihoda za unos u SAP'!$K$3:$K$501,"=725")</f>
        <v>0</v>
      </c>
    </row>
    <row r="116" spans="1:23" s="90" customFormat="1">
      <c r="A116" s="90">
        <v>2023</v>
      </c>
      <c r="B116" s="98" t="s">
        <v>313</v>
      </c>
      <c r="C116" s="99" t="s">
        <v>306</v>
      </c>
      <c r="D116" s="70">
        <f t="shared" si="23"/>
        <v>0</v>
      </c>
      <c r="E116" s="4">
        <f t="shared" ref="E116:V116" si="29">SUM(E110:E115)</f>
        <v>0</v>
      </c>
      <c r="F116" s="4">
        <f t="shared" si="29"/>
        <v>0</v>
      </c>
      <c r="G116" s="4">
        <f t="shared" si="29"/>
        <v>0</v>
      </c>
      <c r="H116" s="4">
        <f>SUM(H110:H115)</f>
        <v>0</v>
      </c>
      <c r="I116" s="4">
        <f t="shared" si="29"/>
        <v>0</v>
      </c>
      <c r="J116" s="4">
        <f t="shared" si="29"/>
        <v>0</v>
      </c>
      <c r="K116" s="4">
        <f t="shared" si="29"/>
        <v>0</v>
      </c>
      <c r="L116" s="4">
        <f>SUM(L110:L115)</f>
        <v>0</v>
      </c>
      <c r="M116" s="4">
        <f t="shared" si="29"/>
        <v>0</v>
      </c>
      <c r="N116" s="4">
        <f t="shared" si="29"/>
        <v>0</v>
      </c>
      <c r="O116" s="4">
        <f t="shared" si="29"/>
        <v>0</v>
      </c>
      <c r="P116" s="4">
        <f>SUM(P110:P115)</f>
        <v>0</v>
      </c>
      <c r="Q116" s="4">
        <f>SUM(Q110:Q115)</f>
        <v>0</v>
      </c>
      <c r="R116" s="4">
        <f>SUM(R110:R115)</f>
        <v>0</v>
      </c>
      <c r="S116" s="4">
        <f t="shared" si="29"/>
        <v>0</v>
      </c>
      <c r="T116" s="4">
        <f t="shared" si="29"/>
        <v>0</v>
      </c>
      <c r="U116" s="4">
        <f t="shared" si="29"/>
        <v>0</v>
      </c>
      <c r="V116" s="4">
        <f t="shared" si="29"/>
        <v>0</v>
      </c>
      <c r="W116" s="4">
        <f>SUM(W110:W115)</f>
        <v>0</v>
      </c>
    </row>
    <row r="117" spans="1:23" s="90" customFormat="1" ht="25.5">
      <c r="A117" s="90">
        <v>2023</v>
      </c>
      <c r="B117" s="101">
        <v>812</v>
      </c>
      <c r="C117" s="102" t="s">
        <v>314</v>
      </c>
      <c r="D117" s="70">
        <f t="shared" si="23"/>
        <v>0</v>
      </c>
      <c r="E117" s="189">
        <f>SUMIFS('Plan prihoda za unos u SAP'!$I$3:$I$501,'Plan prihoda za unos u SAP'!$C$3:$C$501,"=11",'Plan prihoda za unos u SAP'!$K$3:$K$501,"=812")</f>
        <v>0</v>
      </c>
      <c r="F117" s="189">
        <f>SUMIFS('Plan prihoda za unos u SAP'!$I$3:$I$501,'Plan prihoda za unos u SAP'!$C$3:$C$501,"=12",'Plan prihoda za unos u SAP'!$K$3:$K$501,"=812")</f>
        <v>0</v>
      </c>
      <c r="G117" s="189">
        <f>SUMIFS('Plan prihoda za unos u SAP'!$I$3:$I$501,'Plan prihoda za unos u SAP'!$C$3:$C$501,"=31",'Plan prihoda za unos u SAP'!$K$3:$K$501,"=812")</f>
        <v>0</v>
      </c>
      <c r="H117" s="189">
        <f>SUMIFS('Plan prihoda za unos u SAP'!$I$3:$I$501,'Plan prihoda za unos u SAP'!$C$3:$C$501,"=41",'Plan prihoda za unos u SAP'!$K$3:$K$501,"=812")</f>
        <v>0</v>
      </c>
      <c r="I117" s="189">
        <f>SUMIFS('Plan prihoda za unos u SAP'!$I$3:$I$501,'Plan prihoda za unos u SAP'!$C$3:$C$501,"=43",'Plan prihoda za unos u SAP'!$K$3:$K$501,"=812")</f>
        <v>0</v>
      </c>
      <c r="J117" s="189">
        <f>SUMIFS('Plan prihoda za unos u SAP'!$I$3:$I$501,'Plan prihoda za unos u SAP'!$C$3:$C$501,"=51",'Plan prihoda za unos u SAP'!$K$3:$K$501,"=812")</f>
        <v>0</v>
      </c>
      <c r="K117" s="189">
        <f>SUMIFS('Plan prihoda za unos u SAP'!$I$3:$I$501,'Plan prihoda za unos u SAP'!$C$3:$C$501,"=52",'Plan prihoda za unos u SAP'!$K$3:$K$501,"=812")</f>
        <v>0</v>
      </c>
      <c r="L117" s="189">
        <f>SUMIFS('Plan prihoda za unos u SAP'!$I$3:$I$501,'Plan prihoda za unos u SAP'!$C$3:$C$501,"=552",'Plan prihoda za unos u SAP'!$K$3:$K$501,"=812")</f>
        <v>0</v>
      </c>
      <c r="M117" s="189">
        <f>SUMIFS('Plan prihoda za unos u SAP'!$I$3:$I$501,'Plan prihoda za unos u SAP'!$C$3:$C$501,"=559",'Plan prihoda za unos u SAP'!$K$3:$K$501,"=812")</f>
        <v>0</v>
      </c>
      <c r="N117" s="189">
        <f>SUMIFS('Plan prihoda za unos u SAP'!$I$3:$I$501,'Plan prihoda za unos u SAP'!$C$3:$C$501,"=561",'Plan prihoda za unos u SAP'!$K$3:$K$501,"=812")</f>
        <v>0</v>
      </c>
      <c r="O117" s="189">
        <f>SUMIFS('Plan prihoda za unos u SAP'!$I$3:$I$501,'Plan prihoda za unos u SAP'!$C$3:$C$501,"=563",'Plan prihoda za unos u SAP'!$K$3:$K$501,"=812")</f>
        <v>0</v>
      </c>
      <c r="P117" s="189">
        <f>SUMIFS('Plan prihoda za unos u SAP'!$I$3:$I$501,'Plan prihoda za unos u SAP'!$C$3:$C$501,"=573",'Plan prihoda za unos u SAP'!$K$3:$K$501,"=812")</f>
        <v>0</v>
      </c>
      <c r="Q117" s="189">
        <f>SUMIFS('Plan prihoda za unos u SAP'!$I$3:$I$501,'Plan prihoda za unos u SAP'!$C$3:$C$501,"=575",'Plan prihoda za unos u SAP'!$K$3:$K$501,"=812")</f>
        <v>0</v>
      </c>
      <c r="R117" s="189">
        <f>SUMIFS('Plan prihoda za unos u SAP'!$I$3:$I$501,'Plan prihoda za unos u SAP'!$C$3:$C$501,"=576",'Plan prihoda za unos u SAP'!$K$3:$K$501,"=812")</f>
        <v>0</v>
      </c>
      <c r="S117" s="189">
        <f>SUMIFS('Plan prihoda za unos u SAP'!$I$3:$I$501,'Plan prihoda za unos u SAP'!$C$3:$C$501,"=61",'Plan prihoda za unos u SAP'!$K$3:$K$501,"=812")</f>
        <v>0</v>
      </c>
      <c r="T117" s="189">
        <f>SUMIFS('Plan prihoda za unos u SAP'!$I$3:$I$501,'Plan prihoda za unos u SAP'!$C$3:$C$501,"=63",'Plan prihoda za unos u SAP'!$K$3:$K$501,"=812")</f>
        <v>0</v>
      </c>
      <c r="U117" s="189">
        <f>SUMIFS('Plan prihoda za unos u SAP'!$I$3:$I$501,'Plan prihoda za unos u SAP'!$C$3:$C$501,"=71",'Plan prihoda za unos u SAP'!$K$3:$K$501,"=812")</f>
        <v>0</v>
      </c>
      <c r="V117" s="189">
        <f>SUMIFS('Plan prihoda za unos u SAP'!$I$3:$I$501,'Plan prihoda za unos u SAP'!$C$3:$C$501,"=81",'Plan prihoda za unos u SAP'!$K$3:$K$501,"=812")</f>
        <v>0</v>
      </c>
      <c r="W117" s="189">
        <f>SUMIFS('Plan prihoda za unos u SAP'!$I$3:$I$501,'Plan prihoda za unos u SAP'!$C$3:$C$501,"=83",'Plan prihoda za unos u SAP'!$K$3:$K$501,"=812")</f>
        <v>0</v>
      </c>
    </row>
    <row r="118" spans="1:23" s="90" customFormat="1">
      <c r="A118" s="90">
        <v>2023</v>
      </c>
      <c r="B118" s="101">
        <v>818</v>
      </c>
      <c r="C118" s="102" t="s">
        <v>1567</v>
      </c>
      <c r="D118" s="70">
        <f t="shared" si="23"/>
        <v>0</v>
      </c>
      <c r="E118" s="189">
        <f>SUMIFS('Plan prihoda za unos u SAP'!$I$3:$I$501,'Plan prihoda za unos u SAP'!$C$3:$C$501,"=11",'Plan prihoda za unos u SAP'!$K$3:$K$501,"=818")</f>
        <v>0</v>
      </c>
      <c r="F118" s="189">
        <f>SUMIFS('Plan prihoda za unos u SAP'!$I$3:$I$501,'Plan prihoda za unos u SAP'!$C$3:$C$501,"=12",'Plan prihoda za unos u SAP'!$K$3:$K$501,"=818")</f>
        <v>0</v>
      </c>
      <c r="G118" s="189">
        <f>SUMIFS('Plan prihoda za unos u SAP'!$I$3:$I$501,'Plan prihoda za unos u SAP'!$C$3:$C$501,"=31",'Plan prihoda za unos u SAP'!$K$3:$K$501,"=818")</f>
        <v>0</v>
      </c>
      <c r="H118" s="189">
        <f>SUMIFS('Plan prihoda za unos u SAP'!$I$3:$I$501,'Plan prihoda za unos u SAP'!$C$3:$C$501,"=41",'Plan prihoda za unos u SAP'!$K$3:$K$501,"=818")</f>
        <v>0</v>
      </c>
      <c r="I118" s="189">
        <f>SUMIFS('Plan prihoda za unos u SAP'!$I$3:$I$501,'Plan prihoda za unos u SAP'!$C$3:$C$501,"=43",'Plan prihoda za unos u SAP'!$K$3:$K$501,"=818")</f>
        <v>0</v>
      </c>
      <c r="J118" s="189">
        <f>SUMIFS('Plan prihoda za unos u SAP'!$I$3:$I$501,'Plan prihoda za unos u SAP'!$C$3:$C$501,"=51",'Plan prihoda za unos u SAP'!$K$3:$K$501,"=818")</f>
        <v>0</v>
      </c>
      <c r="K118" s="189">
        <f>SUMIFS('Plan prihoda za unos u SAP'!$I$3:$I$501,'Plan prihoda za unos u SAP'!$C$3:$C$501,"=52",'Plan prihoda za unos u SAP'!$K$3:$K$501,"=818")</f>
        <v>0</v>
      </c>
      <c r="L118" s="189">
        <f>SUMIFS('Plan prihoda za unos u SAP'!$I$3:$I$501,'Plan prihoda za unos u SAP'!$C$3:$C$501,"=552",'Plan prihoda za unos u SAP'!$K$3:$K$501,"=818")</f>
        <v>0</v>
      </c>
      <c r="M118" s="189">
        <f>SUMIFS('Plan prihoda za unos u SAP'!$I$3:$I$501,'Plan prihoda za unos u SAP'!$C$3:$C$501,"=559",'Plan prihoda za unos u SAP'!$K$3:$K$501,"=818")</f>
        <v>0</v>
      </c>
      <c r="N118" s="189">
        <f>SUMIFS('Plan prihoda za unos u SAP'!$I$3:$I$501,'Plan prihoda za unos u SAP'!$C$3:$C$501,"=561",'Plan prihoda za unos u SAP'!$K$3:$K$501,"=818")</f>
        <v>0</v>
      </c>
      <c r="O118" s="189">
        <f>SUMIFS('Plan prihoda za unos u SAP'!$I$3:$I$501,'Plan prihoda za unos u SAP'!$C$3:$C$501,"=563",'Plan prihoda za unos u SAP'!$K$3:$K$501,"=818")</f>
        <v>0</v>
      </c>
      <c r="P118" s="189">
        <f>SUMIFS('Plan prihoda za unos u SAP'!$I$3:$I$501,'Plan prihoda za unos u SAP'!$C$3:$C$501,"=573",'Plan prihoda za unos u SAP'!$K$3:$K$501,"=818")</f>
        <v>0</v>
      </c>
      <c r="Q118" s="189">
        <f>SUMIFS('Plan prihoda za unos u SAP'!$I$3:$I$501,'Plan prihoda za unos u SAP'!$C$3:$C$501,"=575",'Plan prihoda za unos u SAP'!$K$3:$K$501,"=818")</f>
        <v>0</v>
      </c>
      <c r="R118" s="189">
        <f>SUMIFS('Plan prihoda za unos u SAP'!$I$3:$I$501,'Plan prihoda za unos u SAP'!$C$3:$C$501,"=576",'Plan prihoda za unos u SAP'!$K$3:$K$501,"=818")</f>
        <v>0</v>
      </c>
      <c r="S118" s="189">
        <f>SUMIFS('Plan prihoda za unos u SAP'!$I$3:$I$501,'Plan prihoda za unos u SAP'!$C$3:$C$501,"=61",'Plan prihoda za unos u SAP'!$K$3:$K$501,"=818")</f>
        <v>0</v>
      </c>
      <c r="T118" s="189">
        <f>SUMIFS('Plan prihoda za unos u SAP'!$I$3:$I$501,'Plan prihoda za unos u SAP'!$C$3:$C$501,"=63",'Plan prihoda za unos u SAP'!$K$3:$K$501,"=818")</f>
        <v>0</v>
      </c>
      <c r="U118" s="189">
        <f>SUMIFS('Plan prihoda za unos u SAP'!$I$3:$I$501,'Plan prihoda za unos u SAP'!$C$3:$C$501,"=71",'Plan prihoda za unos u SAP'!$K$3:$K$501,"=818")</f>
        <v>0</v>
      </c>
      <c r="V118" s="189">
        <f>SUMIFS('Plan prihoda za unos u SAP'!$I$3:$I$501,'Plan prihoda za unos u SAP'!$C$3:$C$501,"=81",'Plan prihoda za unos u SAP'!$K$3:$K$501,"=818")</f>
        <v>0</v>
      </c>
      <c r="W118" s="189">
        <f>SUMIFS('Plan prihoda za unos u SAP'!$I$3:$I$501,'Plan prihoda za unos u SAP'!$C$3:$C$501,"=83",'Plan prihoda za unos u SAP'!$K$3:$K$501,"=818")</f>
        <v>0</v>
      </c>
    </row>
    <row r="119" spans="1:23" s="90" customFormat="1">
      <c r="A119" s="90">
        <v>2023</v>
      </c>
      <c r="B119" s="101">
        <v>832</v>
      </c>
      <c r="C119" s="102" t="s">
        <v>1568</v>
      </c>
      <c r="D119" s="70">
        <f t="shared" si="23"/>
        <v>0</v>
      </c>
      <c r="E119" s="189">
        <f>SUMIFS('Plan prihoda za unos u SAP'!$I$3:$I$501,'Plan prihoda za unos u SAP'!$C$3:$C$501,"=11",'Plan prihoda za unos u SAP'!$K$3:$K$501,"=832")</f>
        <v>0</v>
      </c>
      <c r="F119" s="189">
        <f>SUMIFS('Plan prihoda za unos u SAP'!$I$3:$I$501,'Plan prihoda za unos u SAP'!$C$3:$C$501,"=12",'Plan prihoda za unos u SAP'!$K$3:$K$501,"=832")</f>
        <v>0</v>
      </c>
      <c r="G119" s="189">
        <f>SUMIFS('Plan prihoda za unos u SAP'!$I$3:$I$501,'Plan prihoda za unos u SAP'!$C$3:$C$501,"=31",'Plan prihoda za unos u SAP'!$K$3:$K$501,"=832")</f>
        <v>0</v>
      </c>
      <c r="H119" s="189">
        <f>SUMIFS('Plan prihoda za unos u SAP'!$I$3:$I$501,'Plan prihoda za unos u SAP'!$C$3:$C$501,"=41",'Plan prihoda za unos u SAP'!$K$3:$K$501,"=832")</f>
        <v>0</v>
      </c>
      <c r="I119" s="189">
        <f>SUMIFS('Plan prihoda za unos u SAP'!$I$3:$I$501,'Plan prihoda za unos u SAP'!$C$3:$C$501,"=43",'Plan prihoda za unos u SAP'!$K$3:$K$501,"=832")</f>
        <v>0</v>
      </c>
      <c r="J119" s="189">
        <f>SUMIFS('Plan prihoda za unos u SAP'!$I$3:$I$501,'Plan prihoda za unos u SAP'!$C$3:$C$501,"=51",'Plan prihoda za unos u SAP'!$K$3:$K$501,"=832")</f>
        <v>0</v>
      </c>
      <c r="K119" s="189">
        <f>SUMIFS('Plan prihoda za unos u SAP'!$I$3:$I$501,'Plan prihoda za unos u SAP'!$C$3:$C$501,"=52",'Plan prihoda za unos u SAP'!$K$3:$K$501,"=832")</f>
        <v>0</v>
      </c>
      <c r="L119" s="189">
        <f>SUMIFS('Plan prihoda za unos u SAP'!$I$3:$I$501,'Plan prihoda za unos u SAP'!$C$3:$C$501,"=552",'Plan prihoda za unos u SAP'!$K$3:$K$501,"=832")</f>
        <v>0</v>
      </c>
      <c r="M119" s="189">
        <f>SUMIFS('Plan prihoda za unos u SAP'!$I$3:$I$501,'Plan prihoda za unos u SAP'!$C$3:$C$501,"=559",'Plan prihoda za unos u SAP'!$K$3:$K$501,"=832")</f>
        <v>0</v>
      </c>
      <c r="N119" s="189">
        <f>SUMIFS('Plan prihoda za unos u SAP'!$I$3:$I$501,'Plan prihoda za unos u SAP'!$C$3:$C$501,"=561",'Plan prihoda za unos u SAP'!$K$3:$K$501,"=832")</f>
        <v>0</v>
      </c>
      <c r="O119" s="189">
        <f>SUMIFS('Plan prihoda za unos u SAP'!$I$3:$I$501,'Plan prihoda za unos u SAP'!$C$3:$C$501,"=563",'Plan prihoda za unos u SAP'!$K$3:$K$501,"=832")</f>
        <v>0</v>
      </c>
      <c r="P119" s="189">
        <f>SUMIFS('Plan prihoda za unos u SAP'!$I$3:$I$501,'Plan prihoda za unos u SAP'!$C$3:$C$501,"=573",'Plan prihoda za unos u SAP'!$K$3:$K$501,"=832")</f>
        <v>0</v>
      </c>
      <c r="Q119" s="189">
        <f>SUMIFS('Plan prihoda za unos u SAP'!$I$3:$I$501,'Plan prihoda za unos u SAP'!$C$3:$C$501,"=575",'Plan prihoda za unos u SAP'!$K$3:$K$501,"=832")</f>
        <v>0</v>
      </c>
      <c r="R119" s="189">
        <f>SUMIFS('Plan prihoda za unos u SAP'!$I$3:$I$501,'Plan prihoda za unos u SAP'!$C$3:$C$501,"=576",'Plan prihoda za unos u SAP'!$K$3:$K$501,"=832")</f>
        <v>0</v>
      </c>
      <c r="S119" s="189">
        <f>SUMIFS('Plan prihoda za unos u SAP'!$I$3:$I$501,'Plan prihoda za unos u SAP'!$C$3:$C$501,"=61",'Plan prihoda za unos u SAP'!$K$3:$K$501,"=832")</f>
        <v>0</v>
      </c>
      <c r="T119" s="189">
        <f>SUMIFS('Plan prihoda za unos u SAP'!$I$3:$I$501,'Plan prihoda za unos u SAP'!$C$3:$C$501,"=63",'Plan prihoda za unos u SAP'!$K$3:$K$501,"=832")</f>
        <v>0</v>
      </c>
      <c r="U119" s="189">
        <f>SUMIFS('Plan prihoda za unos u SAP'!$I$3:$I$501,'Plan prihoda za unos u SAP'!$C$3:$C$501,"=71",'Plan prihoda za unos u SAP'!$K$3:$K$501,"=832")</f>
        <v>0</v>
      </c>
      <c r="V119" s="189">
        <f>SUMIFS('Plan prihoda za unos u SAP'!$I$3:$I$501,'Plan prihoda za unos u SAP'!$C$3:$C$501,"=81",'Plan prihoda za unos u SAP'!$K$3:$K$501,"=832")</f>
        <v>0</v>
      </c>
      <c r="W119" s="189">
        <f>SUMIFS('Plan prihoda za unos u SAP'!$I$3:$I$501,'Plan prihoda za unos u SAP'!$C$3:$C$501,"=83",'Plan prihoda za unos u SAP'!$K$3:$K$501,"=832")</f>
        <v>0</v>
      </c>
    </row>
    <row r="120" spans="1:23" s="90" customFormat="1" ht="25.5">
      <c r="A120" s="90">
        <v>2023</v>
      </c>
      <c r="B120" s="277">
        <v>833</v>
      </c>
      <c r="C120" s="102" t="s">
        <v>2136</v>
      </c>
      <c r="D120" s="70">
        <f t="shared" ref="D120" si="30">SUM(E120:W120)</f>
        <v>0</v>
      </c>
      <c r="E120" s="189">
        <f>SUMIFS('Plan prihoda za unos u SAP'!$I$3:$I$501,'Plan prihoda za unos u SAP'!$C$3:$C$501,"=11",'Plan prihoda za unos u SAP'!$K$3:$K$501,"=833")</f>
        <v>0</v>
      </c>
      <c r="F120" s="189">
        <f>SUMIFS('Plan prihoda za unos u SAP'!$I$3:$I$501,'Plan prihoda za unos u SAP'!$C$3:$C$501,"=12",'Plan prihoda za unos u SAP'!$K$3:$K$501,"=833")</f>
        <v>0</v>
      </c>
      <c r="G120" s="189">
        <f>SUMIFS('Plan prihoda za unos u SAP'!$I$3:$I$501,'Plan prihoda za unos u SAP'!$C$3:$C$501,"=31",'Plan prihoda za unos u SAP'!$K$3:$K$501,"=833")</f>
        <v>0</v>
      </c>
      <c r="H120" s="189">
        <f>SUMIFS('Plan prihoda za unos u SAP'!$I$3:$I$501,'Plan prihoda za unos u SAP'!$C$3:$C$501,"=41",'Plan prihoda za unos u SAP'!$K$3:$K$501,"=833")</f>
        <v>0</v>
      </c>
      <c r="I120" s="189">
        <f>SUMIFS('Plan prihoda za unos u SAP'!$I$3:$I$501,'Plan prihoda za unos u SAP'!$C$3:$C$501,"=43",'Plan prihoda za unos u SAP'!$K$3:$K$501,"=833")</f>
        <v>0</v>
      </c>
      <c r="J120" s="189">
        <f>SUMIFS('Plan prihoda za unos u SAP'!$I$3:$I$501,'Plan prihoda za unos u SAP'!$C$3:$C$501,"=51",'Plan prihoda za unos u SAP'!$K$3:$K$501,"=833")</f>
        <v>0</v>
      </c>
      <c r="K120" s="189">
        <f>SUMIFS('Plan prihoda za unos u SAP'!$I$3:$I$501,'Plan prihoda za unos u SAP'!$C$3:$C$501,"=52",'Plan prihoda za unos u SAP'!$K$3:$K$501,"=833")</f>
        <v>0</v>
      </c>
      <c r="L120" s="189">
        <f>SUMIFS('Plan prihoda za unos u SAP'!$I$3:$I$501,'Plan prihoda za unos u SAP'!$C$3:$C$501,"=552",'Plan prihoda za unos u SAP'!$K$3:$K$501,"=833")</f>
        <v>0</v>
      </c>
      <c r="M120" s="189">
        <f>SUMIFS('Plan prihoda za unos u SAP'!$I$3:$I$501,'Plan prihoda za unos u SAP'!$C$3:$C$501,"=559",'Plan prihoda za unos u SAP'!$K$3:$K$501,"=833")</f>
        <v>0</v>
      </c>
      <c r="N120" s="189">
        <f>SUMIFS('Plan prihoda za unos u SAP'!$I$3:$I$501,'Plan prihoda za unos u SAP'!$C$3:$C$501,"=561",'Plan prihoda za unos u SAP'!$K$3:$K$501,"=833")</f>
        <v>0</v>
      </c>
      <c r="O120" s="189">
        <f>SUMIFS('Plan prihoda za unos u SAP'!$I$3:$I$501,'Plan prihoda za unos u SAP'!$C$3:$C$501,"=563",'Plan prihoda za unos u SAP'!$K$3:$K$501,"=833")</f>
        <v>0</v>
      </c>
      <c r="P120" s="189">
        <f>SUMIFS('Plan prihoda za unos u SAP'!$I$3:$I$501,'Plan prihoda za unos u SAP'!$C$3:$C$501,"=573",'Plan prihoda za unos u SAP'!$K$3:$K$501,"=833")</f>
        <v>0</v>
      </c>
      <c r="Q120" s="189">
        <f>SUMIFS('Plan prihoda za unos u SAP'!$I$3:$I$501,'Plan prihoda za unos u SAP'!$C$3:$C$501,"=575",'Plan prihoda za unos u SAP'!$K$3:$K$501,"=833")</f>
        <v>0</v>
      </c>
      <c r="R120" s="189">
        <f>SUMIFS('Plan prihoda za unos u SAP'!$I$3:$I$501,'Plan prihoda za unos u SAP'!$C$3:$C$501,"=576",'Plan prihoda za unos u SAP'!$K$3:$K$501,"=833")</f>
        <v>0</v>
      </c>
      <c r="S120" s="189">
        <f>SUMIFS('Plan prihoda za unos u SAP'!$I$3:$I$501,'Plan prihoda za unos u SAP'!$C$3:$C$501,"=61",'Plan prihoda za unos u SAP'!$K$3:$K$501,"=833")</f>
        <v>0</v>
      </c>
      <c r="T120" s="189">
        <f>SUMIFS('Plan prihoda za unos u SAP'!$I$3:$I$501,'Plan prihoda za unos u SAP'!$C$3:$C$501,"=63",'Plan prihoda za unos u SAP'!$K$3:$K$501,"=833")</f>
        <v>0</v>
      </c>
      <c r="U120" s="189">
        <f>SUMIFS('Plan prihoda za unos u SAP'!$I$3:$I$501,'Plan prihoda za unos u SAP'!$C$3:$C$501,"=71",'Plan prihoda za unos u SAP'!$K$3:$K$501,"=833")</f>
        <v>0</v>
      </c>
      <c r="V120" s="189">
        <f>SUMIFS('Plan prihoda za unos u SAP'!$I$3:$I$501,'Plan prihoda za unos u SAP'!$C$3:$C$501,"=81",'Plan prihoda za unos u SAP'!$K$3:$K$501,"=833")</f>
        <v>0</v>
      </c>
      <c r="W120" s="189">
        <f>SUMIFS('Plan prihoda za unos u SAP'!$I$3:$I$501,'Plan prihoda za unos u SAP'!$C$3:$C$501,"=83",'Plan prihoda za unos u SAP'!$K$3:$K$501,"=833")</f>
        <v>0</v>
      </c>
    </row>
    <row r="121" spans="1:23" s="90" customFormat="1" ht="25.5">
      <c r="A121" s="90">
        <v>2023</v>
      </c>
      <c r="B121" s="101">
        <v>841</v>
      </c>
      <c r="C121" s="102" t="s">
        <v>1569</v>
      </c>
      <c r="D121" s="70">
        <f t="shared" si="23"/>
        <v>0</v>
      </c>
      <c r="E121" s="189">
        <f>SUMIFS('Plan prihoda za unos u SAP'!$I$3:$I$501,'Plan prihoda za unos u SAP'!$C$3:$C$501,"=11",'Plan prihoda za unos u SAP'!$K$3:$K$501,"=841")</f>
        <v>0</v>
      </c>
      <c r="F121" s="189">
        <f>SUMIFS('Plan prihoda za unos u SAP'!$I$3:$I$501,'Plan prihoda za unos u SAP'!$C$3:$C$501,"=12",'Plan prihoda za unos u SAP'!$K$3:$K$501,"=841")</f>
        <v>0</v>
      </c>
      <c r="G121" s="189">
        <f>SUMIFS('Plan prihoda za unos u SAP'!$I$3:$I$501,'Plan prihoda za unos u SAP'!$C$3:$C$501,"=31",'Plan prihoda za unos u SAP'!$K$3:$K$501,"=841")</f>
        <v>0</v>
      </c>
      <c r="H121" s="189">
        <f>SUMIFS('Plan prihoda za unos u SAP'!$I$3:$I$501,'Plan prihoda za unos u SAP'!$C$3:$C$501,"=41",'Plan prihoda za unos u SAP'!$K$3:$K$501,"=841")</f>
        <v>0</v>
      </c>
      <c r="I121" s="189">
        <f>SUMIFS('Plan prihoda za unos u SAP'!$I$3:$I$501,'Plan prihoda za unos u SAP'!$C$3:$C$501,"=43",'Plan prihoda za unos u SAP'!$K$3:$K$501,"=841")</f>
        <v>0</v>
      </c>
      <c r="J121" s="189">
        <f>SUMIFS('Plan prihoda za unos u SAP'!$I$3:$I$501,'Plan prihoda za unos u SAP'!$C$3:$C$501,"=51",'Plan prihoda za unos u SAP'!$K$3:$K$501,"=841")</f>
        <v>0</v>
      </c>
      <c r="K121" s="189">
        <f>SUMIFS('Plan prihoda za unos u SAP'!$I$3:$I$501,'Plan prihoda za unos u SAP'!$C$3:$C$501,"=52",'Plan prihoda za unos u SAP'!$K$3:$K$501,"=841")</f>
        <v>0</v>
      </c>
      <c r="L121" s="189">
        <f>SUMIFS('Plan prihoda za unos u SAP'!$I$3:$I$501,'Plan prihoda za unos u SAP'!$C$3:$C$501,"=552",'Plan prihoda za unos u SAP'!$K$3:$K$501,"=841")</f>
        <v>0</v>
      </c>
      <c r="M121" s="189">
        <f>SUMIFS('Plan prihoda za unos u SAP'!$I$3:$I$501,'Plan prihoda za unos u SAP'!$C$3:$C$501,"=559",'Plan prihoda za unos u SAP'!$K$3:$K$501,"=841")</f>
        <v>0</v>
      </c>
      <c r="N121" s="189">
        <f>SUMIFS('Plan prihoda za unos u SAP'!$I$3:$I$501,'Plan prihoda za unos u SAP'!$C$3:$C$501,"=561",'Plan prihoda za unos u SAP'!$K$3:$K$501,"=841")</f>
        <v>0</v>
      </c>
      <c r="O121" s="189">
        <f>SUMIFS('Plan prihoda za unos u SAP'!$I$3:$I$501,'Plan prihoda za unos u SAP'!$C$3:$C$501,"=563",'Plan prihoda za unos u SAP'!$K$3:$K$501,"=841")</f>
        <v>0</v>
      </c>
      <c r="P121" s="189">
        <f>SUMIFS('Plan prihoda za unos u SAP'!$I$3:$I$501,'Plan prihoda za unos u SAP'!$C$3:$C$501,"=573",'Plan prihoda za unos u SAP'!$K$3:$K$501,"=841")</f>
        <v>0</v>
      </c>
      <c r="Q121" s="189">
        <f>SUMIFS('Plan prihoda za unos u SAP'!$I$3:$I$501,'Plan prihoda za unos u SAP'!$C$3:$C$501,"=575",'Plan prihoda za unos u SAP'!$K$3:$K$501,"=841")</f>
        <v>0</v>
      </c>
      <c r="R121" s="189">
        <f>SUMIFS('Plan prihoda za unos u SAP'!$I$3:$I$501,'Plan prihoda za unos u SAP'!$C$3:$C$501,"=576",'Plan prihoda za unos u SAP'!$K$3:$K$501,"=841")</f>
        <v>0</v>
      </c>
      <c r="S121" s="189">
        <f>SUMIFS('Plan prihoda za unos u SAP'!$I$3:$I$501,'Plan prihoda za unos u SAP'!$C$3:$C$501,"=61",'Plan prihoda za unos u SAP'!$K$3:$K$501,"=841")</f>
        <v>0</v>
      </c>
      <c r="T121" s="189">
        <f>SUMIFS('Plan prihoda za unos u SAP'!$I$3:$I$501,'Plan prihoda za unos u SAP'!$C$3:$C$501,"=63",'Plan prihoda za unos u SAP'!$K$3:$K$501,"=841")</f>
        <v>0</v>
      </c>
      <c r="U121" s="189">
        <f>SUMIFS('Plan prihoda za unos u SAP'!$I$3:$I$501,'Plan prihoda za unos u SAP'!$C$3:$C$501,"=71",'Plan prihoda za unos u SAP'!$K$3:$K$501,"=841")</f>
        <v>0</v>
      </c>
      <c r="V121" s="189">
        <f>SUMIFS('Plan prihoda za unos u SAP'!$I$3:$I$501,'Plan prihoda za unos u SAP'!$C$3:$C$501,"=81",'Plan prihoda za unos u SAP'!$K$3:$K$501,"=841")</f>
        <v>0</v>
      </c>
      <c r="W121" s="189">
        <f>SUMIFS('Plan prihoda za unos u SAP'!$I$3:$I$501,'Plan prihoda za unos u SAP'!$C$3:$C$501,"=83",'Plan prihoda za unos u SAP'!$K$3:$K$501,"=841")</f>
        <v>0</v>
      </c>
    </row>
    <row r="122" spans="1:23" s="90" customFormat="1" ht="25.5">
      <c r="A122" s="90">
        <v>2023</v>
      </c>
      <c r="B122" s="101">
        <v>842</v>
      </c>
      <c r="C122" s="102" t="s">
        <v>324</v>
      </c>
      <c r="D122" s="70">
        <f>SUM(E122:W122)</f>
        <v>0</v>
      </c>
      <c r="E122" s="189">
        <f>SUMIFS('Plan prihoda za unos u SAP'!$I$3:$I$501,'Plan prihoda za unos u SAP'!$C$3:$C$501,"=11",'Plan prihoda za unos u SAP'!$K$3:$K$501,"=841")</f>
        <v>0</v>
      </c>
      <c r="F122" s="189">
        <f>SUMIFS('Plan prihoda za unos u SAP'!$I$3:$I$501,'Plan prihoda za unos u SAP'!$C$3:$C$501,"=12",'Plan prihoda za unos u SAP'!$K$3:$K$501,"=841")</f>
        <v>0</v>
      </c>
      <c r="G122" s="189">
        <f>SUMIFS('Plan prihoda za unos u SAP'!$I$3:$I$501,'Plan prihoda za unos u SAP'!$C$3:$C$501,"=31",'Plan prihoda za unos u SAP'!$K$3:$K$501,"=841")</f>
        <v>0</v>
      </c>
      <c r="H122" s="189">
        <f>SUMIFS('Plan prihoda za unos u SAP'!$I$3:$I$501,'Plan prihoda za unos u SAP'!$C$3:$C$501,"=41",'Plan prihoda za unos u SAP'!$K$3:$K$501,"=841")</f>
        <v>0</v>
      </c>
      <c r="I122" s="189">
        <f>SUMIFS('Plan prihoda za unos u SAP'!$I$3:$I$501,'Plan prihoda za unos u SAP'!$C$3:$C$501,"=43",'Plan prihoda za unos u SAP'!$K$3:$K$501,"=841")</f>
        <v>0</v>
      </c>
      <c r="J122" s="189">
        <f>SUMIFS('Plan prihoda za unos u SAP'!$I$3:$I$501,'Plan prihoda za unos u SAP'!$C$3:$C$501,"=51",'Plan prihoda za unos u SAP'!$K$3:$K$501,"=841")</f>
        <v>0</v>
      </c>
      <c r="K122" s="189">
        <f>SUMIFS('Plan prihoda za unos u SAP'!$I$3:$I$501,'Plan prihoda za unos u SAP'!$C$3:$C$501,"=52",'Plan prihoda za unos u SAP'!$K$3:$K$501,"=841")</f>
        <v>0</v>
      </c>
      <c r="L122" s="189">
        <f>SUMIFS('Plan prihoda za unos u SAP'!$I$3:$I$501,'Plan prihoda za unos u SAP'!$C$3:$C$501,"=552",'Plan prihoda za unos u SAP'!$K$3:$K$501,"=841")</f>
        <v>0</v>
      </c>
      <c r="M122" s="189">
        <f>SUMIFS('Plan prihoda za unos u SAP'!$I$3:$I$501,'Plan prihoda za unos u SAP'!$C$3:$C$501,"=559",'Plan prihoda za unos u SAP'!$K$3:$K$501,"=841")</f>
        <v>0</v>
      </c>
      <c r="N122" s="189">
        <f>SUMIFS('Plan prihoda za unos u SAP'!$I$3:$I$501,'Plan prihoda za unos u SAP'!$C$3:$C$501,"=561",'Plan prihoda za unos u SAP'!$K$3:$K$501,"=841")</f>
        <v>0</v>
      </c>
      <c r="O122" s="189">
        <f>SUMIFS('Plan prihoda za unos u SAP'!$I$3:$I$501,'Plan prihoda za unos u SAP'!$C$3:$C$501,"=563",'Plan prihoda za unos u SAP'!$K$3:$K$501,"=841")</f>
        <v>0</v>
      </c>
      <c r="P122" s="189">
        <f>SUMIFS('Plan prihoda za unos u SAP'!$I$3:$I$501,'Plan prihoda za unos u SAP'!$C$3:$C$501,"=573",'Plan prihoda za unos u SAP'!$K$3:$K$501,"=841")</f>
        <v>0</v>
      </c>
      <c r="Q122" s="189">
        <f>SUMIFS('Plan prihoda za unos u SAP'!$I$3:$I$501,'Plan prihoda za unos u SAP'!$C$3:$C$501,"=575",'Plan prihoda za unos u SAP'!$K$3:$K$501,"=841")</f>
        <v>0</v>
      </c>
      <c r="R122" s="189">
        <f>SUMIFS('Plan prihoda za unos u SAP'!$I$3:$I$501,'Plan prihoda za unos u SAP'!$C$3:$C$501,"=576",'Plan prihoda za unos u SAP'!$K$3:$K$501,"=841")</f>
        <v>0</v>
      </c>
      <c r="S122" s="189">
        <f>SUMIFS('Plan prihoda za unos u SAP'!$I$3:$I$501,'Plan prihoda za unos u SAP'!$C$3:$C$501,"=61",'Plan prihoda za unos u SAP'!$K$3:$K$501,"=841")</f>
        <v>0</v>
      </c>
      <c r="T122" s="189">
        <f>SUMIFS('Plan prihoda za unos u SAP'!$I$3:$I$501,'Plan prihoda za unos u SAP'!$C$3:$C$501,"=63",'Plan prihoda za unos u SAP'!$K$3:$K$501,"=841")</f>
        <v>0</v>
      </c>
      <c r="U122" s="189">
        <f>SUMIFS('Plan prihoda za unos u SAP'!$I$3:$I$501,'Plan prihoda za unos u SAP'!$C$3:$C$501,"=71",'Plan prihoda za unos u SAP'!$K$3:$K$501,"=841")</f>
        <v>0</v>
      </c>
      <c r="V122" s="189">
        <f>SUMIFS('Plan prihoda za unos u SAP'!$I$3:$I$501,'Plan prihoda za unos u SAP'!$C$3:$C$501,"=81",'Plan prihoda za unos u SAP'!$K$3:$K$501,"=841")</f>
        <v>0</v>
      </c>
      <c r="W122" s="189">
        <f>SUMIFS('Plan prihoda za unos u SAP'!$I$3:$I$501,'Plan prihoda za unos u SAP'!$C$3:$C$501,"=83",'Plan prihoda za unos u SAP'!$K$3:$K$501,"=841")</f>
        <v>0</v>
      </c>
    </row>
    <row r="123" spans="1:23" s="90" customFormat="1">
      <c r="A123" s="90">
        <v>2023</v>
      </c>
      <c r="B123" s="98" t="s">
        <v>315</v>
      </c>
      <c r="C123" s="99" t="s">
        <v>306</v>
      </c>
      <c r="D123" s="70">
        <f t="shared" si="23"/>
        <v>0</v>
      </c>
      <c r="E123" s="4">
        <f>SUM(E117:E122)</f>
        <v>0</v>
      </c>
      <c r="F123" s="4">
        <f t="shared" ref="F123:V123" si="31">SUM(F117:F122)</f>
        <v>0</v>
      </c>
      <c r="G123" s="4">
        <f t="shared" si="31"/>
        <v>0</v>
      </c>
      <c r="H123" s="4">
        <f>SUM(H117:H122)</f>
        <v>0</v>
      </c>
      <c r="I123" s="4">
        <f t="shared" si="31"/>
        <v>0</v>
      </c>
      <c r="J123" s="4">
        <f t="shared" si="31"/>
        <v>0</v>
      </c>
      <c r="K123" s="4">
        <f>SUM(K117:K122)</f>
        <v>0</v>
      </c>
      <c r="L123" s="4">
        <f>SUM(L117:L122)</f>
        <v>0</v>
      </c>
      <c r="M123" s="4">
        <f t="shared" si="31"/>
        <v>0</v>
      </c>
      <c r="N123" s="4">
        <f t="shared" si="31"/>
        <v>0</v>
      </c>
      <c r="O123" s="4">
        <f t="shared" si="31"/>
        <v>0</v>
      </c>
      <c r="P123" s="4">
        <f>SUM(P117:P122)</f>
        <v>0</v>
      </c>
      <c r="Q123" s="4">
        <f>SUM(Q117:Q122)</f>
        <v>0</v>
      </c>
      <c r="R123" s="4">
        <f>SUM(R117:R122)</f>
        <v>0</v>
      </c>
      <c r="S123" s="4">
        <f t="shared" si="31"/>
        <v>0</v>
      </c>
      <c r="T123" s="4">
        <f t="shared" si="31"/>
        <v>0</v>
      </c>
      <c r="U123" s="4">
        <f t="shared" si="31"/>
        <v>0</v>
      </c>
      <c r="V123" s="4">
        <f t="shared" si="31"/>
        <v>0</v>
      </c>
      <c r="W123" s="4">
        <f>SUM(W117:W122)</f>
        <v>0</v>
      </c>
    </row>
    <row r="124" spans="1:23" s="90" customFormat="1" ht="21" customHeight="1">
      <c r="A124" s="90">
        <v>2023</v>
      </c>
      <c r="B124" s="305" t="s">
        <v>316</v>
      </c>
      <c r="C124" s="305"/>
      <c r="D124" s="71">
        <f>SUM(E124:W124)</f>
        <v>37904068</v>
      </c>
      <c r="E124" s="71">
        <f>+E123+E116+E109</f>
        <v>25271030</v>
      </c>
      <c r="F124" s="71">
        <f t="shared" ref="F124:W124" si="32">+F123+F116+F109</f>
        <v>0</v>
      </c>
      <c r="G124" s="71">
        <f t="shared" si="32"/>
        <v>4935000</v>
      </c>
      <c r="H124" s="71">
        <f>+H123+H116+H109</f>
        <v>0</v>
      </c>
      <c r="I124" s="71">
        <f t="shared" si="32"/>
        <v>7282500</v>
      </c>
      <c r="J124" s="71">
        <f t="shared" si="32"/>
        <v>192885</v>
      </c>
      <c r="K124" s="71">
        <f t="shared" si="32"/>
        <v>0</v>
      </c>
      <c r="L124" s="71">
        <f>+L123+L116+L109</f>
        <v>0</v>
      </c>
      <c r="M124" s="71">
        <f t="shared" si="32"/>
        <v>0</v>
      </c>
      <c r="N124" s="71">
        <f t="shared" si="32"/>
        <v>192653</v>
      </c>
      <c r="O124" s="71">
        <f t="shared" si="32"/>
        <v>0</v>
      </c>
      <c r="P124" s="71">
        <f t="shared" si="32"/>
        <v>0</v>
      </c>
      <c r="Q124" s="71">
        <f t="shared" si="32"/>
        <v>0</v>
      </c>
      <c r="R124" s="71">
        <f>+R123+R116+R109</f>
        <v>0</v>
      </c>
      <c r="S124" s="71">
        <f t="shared" si="32"/>
        <v>30000</v>
      </c>
      <c r="T124" s="71">
        <f t="shared" si="32"/>
        <v>0</v>
      </c>
      <c r="U124" s="71">
        <f t="shared" si="32"/>
        <v>0</v>
      </c>
      <c r="V124" s="71">
        <f t="shared" si="32"/>
        <v>0</v>
      </c>
      <c r="W124" s="71">
        <f t="shared" si="32"/>
        <v>0</v>
      </c>
    </row>
    <row r="125" spans="1:23">
      <c r="B125" s="62"/>
      <c r="C125" s="62"/>
      <c r="D125" s="62"/>
      <c r="E125" s="62"/>
      <c r="F125" s="62"/>
      <c r="G125" s="62"/>
      <c r="H125" s="62"/>
      <c r="I125" s="103"/>
      <c r="J125" s="104"/>
      <c r="K125" s="104"/>
      <c r="L125" s="104"/>
      <c r="M125" s="104"/>
      <c r="N125" s="104"/>
      <c r="O125" s="104"/>
      <c r="P125" s="104"/>
      <c r="Q125" s="104"/>
      <c r="R125" s="104"/>
      <c r="V125" s="91"/>
      <c r="W125" s="91"/>
    </row>
    <row r="126" spans="1:23">
      <c r="G126" s="5"/>
      <c r="H126" s="5"/>
      <c r="I126" s="63"/>
      <c r="J126" s="105"/>
      <c r="K126" s="105"/>
      <c r="L126" s="105"/>
      <c r="M126" s="105"/>
      <c r="N126" s="105"/>
      <c r="O126" s="105"/>
      <c r="P126" s="105"/>
      <c r="Q126" s="105"/>
      <c r="R126" s="105"/>
    </row>
    <row r="127" spans="1:23">
      <c r="G127" s="5"/>
      <c r="H127" s="5"/>
      <c r="I127" s="106"/>
      <c r="J127" s="107"/>
      <c r="K127" s="107"/>
      <c r="L127" s="107"/>
      <c r="M127" s="107"/>
      <c r="N127" s="107"/>
      <c r="O127" s="107"/>
      <c r="P127" s="107"/>
      <c r="Q127" s="107"/>
      <c r="R127" s="107"/>
    </row>
    <row r="128" spans="1:23">
      <c r="B128" s="5"/>
      <c r="C128" s="5"/>
      <c r="D128" s="5"/>
      <c r="E128" s="5"/>
      <c r="F128" s="5"/>
      <c r="G128" s="5"/>
      <c r="H128" s="5"/>
      <c r="I128" s="64"/>
      <c r="J128" s="5"/>
      <c r="K128" s="5"/>
      <c r="L128" s="5"/>
      <c r="M128" s="5"/>
      <c r="N128" s="5"/>
      <c r="O128" s="5"/>
      <c r="P128" s="5"/>
      <c r="Q128" s="5"/>
      <c r="R128" s="5"/>
    </row>
    <row r="129" spans="2:18">
      <c r="B129" s="5"/>
      <c r="C129" s="5"/>
      <c r="D129" s="5"/>
      <c r="E129" s="5"/>
      <c r="F129" s="5"/>
      <c r="G129" s="5"/>
      <c r="H129" s="5"/>
      <c r="I129" s="64"/>
      <c r="J129" s="5"/>
      <c r="K129" s="5"/>
      <c r="L129" s="5"/>
      <c r="M129" s="5"/>
      <c r="N129" s="5"/>
      <c r="O129" s="5"/>
      <c r="P129" s="5"/>
      <c r="Q129" s="5"/>
      <c r="R129" s="5"/>
    </row>
    <row r="130" spans="2:18">
      <c r="B130" s="5"/>
      <c r="C130" s="5"/>
      <c r="D130" s="5"/>
      <c r="E130" s="5"/>
      <c r="F130" s="5"/>
      <c r="G130" s="5"/>
      <c r="H130" s="5"/>
      <c r="I130" s="64"/>
      <c r="J130" s="5"/>
      <c r="K130" s="5"/>
      <c r="L130" s="5"/>
      <c r="M130" s="5"/>
      <c r="N130" s="5"/>
      <c r="O130" s="5"/>
      <c r="P130" s="5"/>
      <c r="Q130" s="5"/>
      <c r="R130" s="5"/>
    </row>
    <row r="131" spans="2:18">
      <c r="B131" s="5"/>
      <c r="C131" s="5"/>
      <c r="D131" s="5"/>
      <c r="E131" s="5"/>
      <c r="F131" s="5"/>
      <c r="G131" s="5"/>
      <c r="H131" s="5"/>
    </row>
    <row r="132" spans="2:18">
      <c r="B132" s="5"/>
      <c r="C132" s="5"/>
      <c r="D132" s="5"/>
      <c r="E132" s="5"/>
      <c r="F132" s="5"/>
      <c r="G132" s="5"/>
      <c r="H132" s="5"/>
      <c r="I132" s="64"/>
      <c r="J132" s="5"/>
      <c r="K132" s="5"/>
      <c r="L132" s="5"/>
      <c r="M132" s="5"/>
      <c r="N132" s="5"/>
      <c r="O132" s="5"/>
      <c r="P132" s="5"/>
      <c r="Q132" s="5"/>
      <c r="R132" s="5"/>
    </row>
    <row r="133" spans="2:18">
      <c r="B133" s="5"/>
      <c r="C133" s="5"/>
      <c r="D133" s="5"/>
      <c r="E133" s="5"/>
      <c r="F133" s="5"/>
      <c r="G133" s="5"/>
      <c r="H133" s="5"/>
      <c r="I133" s="64"/>
      <c r="J133" s="66"/>
      <c r="K133" s="66"/>
      <c r="L133" s="66"/>
      <c r="M133" s="66"/>
      <c r="N133" s="66"/>
      <c r="O133" s="66"/>
      <c r="P133" s="66"/>
      <c r="Q133" s="66"/>
      <c r="R133" s="66"/>
    </row>
    <row r="134" spans="2:18">
      <c r="B134" s="5"/>
      <c r="C134" s="5"/>
      <c r="D134" s="5"/>
      <c r="E134" s="5"/>
      <c r="F134" s="5"/>
      <c r="G134" s="5"/>
      <c r="H134" s="5"/>
      <c r="I134" s="64"/>
      <c r="J134" s="5"/>
      <c r="K134" s="5"/>
      <c r="L134" s="5"/>
      <c r="M134" s="5"/>
      <c r="N134" s="5"/>
      <c r="O134" s="5"/>
      <c r="P134" s="5"/>
      <c r="Q134" s="5"/>
      <c r="R134" s="5"/>
    </row>
    <row r="135" spans="2:18">
      <c r="B135" s="5"/>
      <c r="C135" s="5"/>
      <c r="D135" s="5"/>
      <c r="E135" s="5"/>
      <c r="F135" s="5"/>
      <c r="G135" s="5"/>
      <c r="H135" s="5"/>
      <c r="I135" s="64"/>
      <c r="J135" s="108"/>
      <c r="K135" s="108"/>
      <c r="L135" s="108"/>
      <c r="M135" s="108"/>
      <c r="N135" s="108"/>
      <c r="O135" s="108"/>
      <c r="P135" s="108"/>
      <c r="Q135" s="108"/>
      <c r="R135" s="108"/>
    </row>
    <row r="136" spans="2:18">
      <c r="I136" s="106"/>
      <c r="J136" s="109"/>
      <c r="K136" s="109"/>
      <c r="L136" s="109"/>
      <c r="M136" s="109"/>
      <c r="N136" s="109"/>
      <c r="O136" s="109"/>
      <c r="P136" s="109"/>
      <c r="Q136" s="109"/>
      <c r="R136" s="109"/>
    </row>
  </sheetData>
  <sheetProtection password="DE31" sheet="1" objects="1" scenarios="1" selectLockedCells="1"/>
  <mergeCells count="10">
    <mergeCell ref="B85:C85"/>
    <mergeCell ref="D85:V85"/>
    <mergeCell ref="B124:C124"/>
    <mergeCell ref="B44:C44"/>
    <mergeCell ref="D44:V44"/>
    <mergeCell ref="B1:V1"/>
    <mergeCell ref="B3:C3"/>
    <mergeCell ref="D3:V3"/>
    <mergeCell ref="B42:C42"/>
    <mergeCell ref="B83:C83"/>
  </mergeCells>
  <phoneticPr fontId="39" type="noConversion"/>
  <dataValidations count="2">
    <dataValidation type="whole" allowBlank="1" showInputMessage="1" showErrorMessage="1" errorTitle="GREŠKA" error="U ovo polje je dozvoljen unos samo brojčanih vrijednosti s negativnim predznakom!" prompt="Molimo unos brojčane vrijednosti s negativnim predznakom!" sqref="E7:W7">
      <formula1>-100000000</formula1>
      <formula2>0</formula2>
    </dataValidation>
    <dataValidation type="whole" allowBlank="1" showInputMessage="1" showErrorMessage="1" errorTitle="GREŠKA" error="U ovo polje je dozvoljen unos samo brojčanih vrijednosti!" prompt="Molimo unos brojčane vrijednosti!" sqref="E5:W5">
      <formula1>0</formula1>
      <formula2>100000000</formula2>
    </dataValidation>
  </dataValidations>
  <pageMargins left="0" right="0" top="0.35433070866141736" bottom="0.15748031496062992" header="0.31496062992125984" footer="0.31496062992125984"/>
  <pageSetup paperSize="9" scale="57" fitToHeight="0" orientation="landscape" r:id="rId1"/>
  <rowBreaks count="2" manualBreakCount="2">
    <brk id="42" max="16383" man="1"/>
    <brk id="83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C3684"/>
  <sheetViews>
    <sheetView showGridLines="0" zoomScale="80" zoomScaleNormal="80" zoomScaleSheetLayoutView="80" workbookViewId="0">
      <pane xSplit="4" ySplit="3" topLeftCell="E4" activePane="bottomRight" state="frozen"/>
      <selection pane="topRight" activeCell="D1" sqref="D1"/>
      <selection pane="bottomLeft" activeCell="A4" sqref="A4"/>
      <selection pane="bottomRight" activeCell="R90" sqref="R90"/>
    </sheetView>
  </sheetViews>
  <sheetFormatPr defaultColWidth="11.42578125" defaultRowHeight="12.75"/>
  <cols>
    <col min="1" max="1" width="0" style="73" hidden="1" customWidth="1"/>
    <col min="2" max="2" width="14.140625" style="23" customWidth="1"/>
    <col min="3" max="3" width="40" style="24" customWidth="1"/>
    <col min="4" max="4" width="13.85546875" style="1" customWidth="1"/>
    <col min="5" max="15" width="13.140625" style="25" customWidth="1"/>
    <col min="16" max="16" width="14.42578125" style="25" customWidth="1"/>
    <col min="17" max="20" width="13.140625" style="25" customWidth="1"/>
    <col min="21" max="21" width="14.7109375" style="25" customWidth="1"/>
    <col min="22" max="23" width="13.140625" style="25" customWidth="1"/>
    <col min="24" max="39" width="11.42578125" style="72" customWidth="1"/>
    <col min="40" max="193" width="11.42578125" style="72"/>
    <col min="194" max="16384" width="11.42578125" style="73"/>
  </cols>
  <sheetData>
    <row r="1" spans="1:263" ht="24" customHeight="1">
      <c r="B1" s="306" t="s">
        <v>2144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  <c r="Q1" s="306"/>
      <c r="R1" s="306"/>
      <c r="S1" s="306"/>
      <c r="T1" s="306"/>
      <c r="U1" s="306"/>
      <c r="V1" s="306"/>
      <c r="W1" s="217"/>
    </row>
    <row r="2" spans="1:263" s="74" customFormat="1" ht="63.75">
      <c r="A2" s="93" t="s">
        <v>2139</v>
      </c>
      <c r="B2" s="93" t="s">
        <v>202</v>
      </c>
      <c r="C2" s="93" t="s">
        <v>203</v>
      </c>
      <c r="D2" s="2" t="s">
        <v>354</v>
      </c>
      <c r="E2" s="2" t="s">
        <v>40</v>
      </c>
      <c r="F2" s="2" t="s">
        <v>325</v>
      </c>
      <c r="G2" s="93" t="s">
        <v>19</v>
      </c>
      <c r="H2" s="93" t="s">
        <v>1560</v>
      </c>
      <c r="I2" s="93" t="s">
        <v>20</v>
      </c>
      <c r="J2" s="93" t="s">
        <v>273</v>
      </c>
      <c r="K2" s="93" t="s">
        <v>274</v>
      </c>
      <c r="L2" s="93" t="s">
        <v>1561</v>
      </c>
      <c r="M2" s="93" t="s">
        <v>275</v>
      </c>
      <c r="N2" s="93" t="s">
        <v>276</v>
      </c>
      <c r="O2" s="93" t="s">
        <v>277</v>
      </c>
      <c r="P2" s="93" t="s">
        <v>1562</v>
      </c>
      <c r="Q2" s="93" t="s">
        <v>1563</v>
      </c>
      <c r="R2" s="93" t="s">
        <v>2133</v>
      </c>
      <c r="S2" s="93" t="s">
        <v>278</v>
      </c>
      <c r="T2" s="93" t="s">
        <v>279</v>
      </c>
      <c r="U2" s="93" t="s">
        <v>1534</v>
      </c>
      <c r="V2" s="93" t="s">
        <v>1533</v>
      </c>
      <c r="W2" s="93" t="s">
        <v>1535</v>
      </c>
      <c r="GL2" s="73"/>
      <c r="GM2" s="73"/>
      <c r="GN2" s="73"/>
      <c r="GO2" s="73"/>
      <c r="GP2" s="73"/>
      <c r="GQ2" s="73"/>
      <c r="GR2" s="73"/>
      <c r="GS2" s="73"/>
      <c r="GT2" s="73"/>
      <c r="GU2" s="73"/>
      <c r="GV2" s="73"/>
      <c r="GW2" s="73"/>
      <c r="GX2" s="73"/>
      <c r="GY2" s="73"/>
      <c r="GZ2" s="73"/>
      <c r="HA2" s="73"/>
      <c r="HB2" s="73"/>
      <c r="HC2" s="73"/>
      <c r="HD2" s="73"/>
      <c r="HE2" s="73"/>
      <c r="HF2" s="73"/>
      <c r="HG2" s="73"/>
      <c r="HH2" s="73"/>
      <c r="HI2" s="73"/>
      <c r="HJ2" s="73"/>
      <c r="HK2" s="73"/>
      <c r="HL2" s="73"/>
      <c r="HM2" s="73"/>
      <c r="HN2" s="73"/>
      <c r="HO2" s="73"/>
      <c r="HP2" s="73"/>
      <c r="HQ2" s="73"/>
      <c r="HR2" s="73"/>
      <c r="HS2" s="73"/>
      <c r="HT2" s="73"/>
      <c r="HU2" s="73"/>
      <c r="HV2" s="73"/>
      <c r="HW2" s="73"/>
      <c r="HX2" s="73"/>
      <c r="HY2" s="73"/>
      <c r="HZ2" s="73"/>
      <c r="IA2" s="73"/>
      <c r="IB2" s="73"/>
      <c r="IC2" s="73"/>
      <c r="ID2" s="73"/>
      <c r="IE2" s="73"/>
      <c r="IF2" s="73"/>
      <c r="IG2" s="73"/>
      <c r="IH2" s="73"/>
      <c r="II2" s="73"/>
      <c r="IJ2" s="73"/>
      <c r="IK2" s="73"/>
      <c r="IL2" s="73"/>
      <c r="IM2" s="73"/>
      <c r="IN2" s="73"/>
      <c r="IO2" s="73"/>
      <c r="IP2" s="73"/>
      <c r="IQ2" s="73"/>
      <c r="IR2" s="73"/>
      <c r="IS2" s="73"/>
      <c r="IT2" s="73"/>
      <c r="IU2" s="73"/>
      <c r="IV2" s="73"/>
      <c r="IW2" s="73"/>
      <c r="IX2" s="73"/>
      <c r="IY2" s="73"/>
      <c r="IZ2" s="73"/>
      <c r="JA2" s="73"/>
      <c r="JB2" s="73"/>
      <c r="JC2" s="73"/>
    </row>
    <row r="3" spans="1:263" s="22" customFormat="1" ht="19.5" customHeight="1">
      <c r="A3" s="22">
        <v>2021</v>
      </c>
      <c r="B3" s="119"/>
      <c r="C3" s="119" t="s">
        <v>359</v>
      </c>
      <c r="D3" s="120">
        <f>SUM(E3:W3)</f>
        <v>38342594</v>
      </c>
      <c r="E3" s="121">
        <f t="shared" ref="E3:W3" si="0">E4+E38+E58</f>
        <v>24483630</v>
      </c>
      <c r="F3" s="121">
        <f t="shared" si="0"/>
        <v>0</v>
      </c>
      <c r="G3" s="121">
        <f t="shared" si="0"/>
        <v>4721500</v>
      </c>
      <c r="H3" s="121">
        <f>H4+H38+H58</f>
        <v>0</v>
      </c>
      <c r="I3" s="121">
        <f t="shared" si="0"/>
        <v>6098455</v>
      </c>
      <c r="J3" s="121">
        <f t="shared" si="0"/>
        <v>1436025</v>
      </c>
      <c r="K3" s="121">
        <f t="shared" si="0"/>
        <v>575144</v>
      </c>
      <c r="L3" s="121">
        <f>L4+L38+L58</f>
        <v>0</v>
      </c>
      <c r="M3" s="121">
        <f t="shared" si="0"/>
        <v>0</v>
      </c>
      <c r="N3" s="121">
        <f t="shared" si="0"/>
        <v>897840</v>
      </c>
      <c r="O3" s="121">
        <f t="shared" si="0"/>
        <v>0</v>
      </c>
      <c r="P3" s="121">
        <f>P4+P38+P58</f>
        <v>0</v>
      </c>
      <c r="Q3" s="121">
        <f>Q4+Q38+Q58</f>
        <v>0</v>
      </c>
      <c r="R3" s="121">
        <f>R4+R38+R58</f>
        <v>0</v>
      </c>
      <c r="S3" s="121">
        <f t="shared" si="0"/>
        <v>130000</v>
      </c>
      <c r="T3" s="121">
        <f t="shared" si="0"/>
        <v>0</v>
      </c>
      <c r="U3" s="121">
        <f t="shared" si="0"/>
        <v>0</v>
      </c>
      <c r="V3" s="121">
        <f t="shared" si="0"/>
        <v>0</v>
      </c>
      <c r="W3" s="121">
        <f t="shared" si="0"/>
        <v>0</v>
      </c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6"/>
      <c r="AO3" s="76"/>
      <c r="AP3" s="76"/>
      <c r="AQ3" s="76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5"/>
      <c r="CI3" s="75"/>
      <c r="CJ3" s="75"/>
      <c r="CK3" s="75"/>
      <c r="CL3" s="75"/>
      <c r="CM3" s="75"/>
      <c r="CN3" s="75"/>
      <c r="CO3" s="75"/>
      <c r="CP3" s="75"/>
      <c r="CQ3" s="75"/>
      <c r="CR3" s="75"/>
      <c r="CS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75"/>
      <c r="DG3" s="75"/>
      <c r="DH3" s="75"/>
      <c r="DI3" s="75"/>
      <c r="DJ3" s="75"/>
      <c r="DK3" s="75"/>
      <c r="DL3" s="75"/>
      <c r="DM3" s="75"/>
      <c r="DN3" s="75"/>
      <c r="DO3" s="75"/>
      <c r="DP3" s="75"/>
      <c r="DQ3" s="75"/>
      <c r="DR3" s="75"/>
      <c r="DS3" s="75"/>
      <c r="DT3" s="75"/>
      <c r="DU3" s="75"/>
      <c r="DV3" s="75"/>
      <c r="DW3" s="75"/>
      <c r="DX3" s="75"/>
      <c r="DY3" s="75"/>
      <c r="DZ3" s="75"/>
      <c r="EA3" s="75"/>
      <c r="EB3" s="75"/>
      <c r="EC3" s="75"/>
      <c r="ED3" s="75"/>
      <c r="EE3" s="75"/>
      <c r="EF3" s="75"/>
      <c r="EG3" s="75"/>
      <c r="EH3" s="75"/>
      <c r="EI3" s="75"/>
      <c r="EJ3" s="75"/>
      <c r="EK3" s="75"/>
      <c r="EL3" s="75"/>
      <c r="EM3" s="75"/>
      <c r="EN3" s="75"/>
      <c r="EO3" s="75"/>
      <c r="EP3" s="75"/>
      <c r="EQ3" s="75"/>
      <c r="ER3" s="75"/>
      <c r="ES3" s="75"/>
      <c r="ET3" s="75"/>
      <c r="EU3" s="75"/>
      <c r="EV3" s="75"/>
      <c r="EW3" s="75"/>
      <c r="EX3" s="75"/>
      <c r="EY3" s="75"/>
      <c r="EZ3" s="75"/>
      <c r="FA3" s="75"/>
      <c r="FB3" s="75"/>
      <c r="FC3" s="75"/>
      <c r="FD3" s="75"/>
      <c r="FE3" s="75"/>
      <c r="FF3" s="75"/>
      <c r="FG3" s="75"/>
      <c r="FH3" s="75"/>
      <c r="FI3" s="75"/>
      <c r="FJ3" s="75"/>
      <c r="FK3" s="75"/>
      <c r="FL3" s="75"/>
      <c r="FM3" s="75"/>
      <c r="FN3" s="75"/>
      <c r="FO3" s="75"/>
      <c r="FP3" s="75"/>
      <c r="FQ3" s="75"/>
      <c r="FR3" s="75"/>
      <c r="FS3" s="75"/>
      <c r="FT3" s="75"/>
      <c r="FU3" s="75"/>
      <c r="FV3" s="75"/>
      <c r="FW3" s="75"/>
      <c r="FX3" s="75"/>
      <c r="FY3" s="75"/>
      <c r="FZ3" s="75"/>
      <c r="GA3" s="75"/>
      <c r="GB3" s="75"/>
      <c r="GC3" s="75"/>
      <c r="GD3" s="75"/>
      <c r="GE3" s="75"/>
      <c r="GF3" s="75"/>
      <c r="GG3" s="75"/>
      <c r="GH3" s="75"/>
      <c r="GI3" s="75"/>
      <c r="GJ3" s="75"/>
      <c r="GK3" s="75"/>
      <c r="GL3" s="76"/>
      <c r="GM3" s="76"/>
      <c r="GN3" s="76"/>
      <c r="GO3" s="76"/>
      <c r="GP3" s="76"/>
      <c r="GQ3" s="76"/>
      <c r="GR3" s="76"/>
      <c r="GS3" s="76"/>
      <c r="GT3" s="76"/>
      <c r="GU3" s="76"/>
      <c r="GV3" s="76"/>
      <c r="GW3" s="76"/>
      <c r="GX3" s="76"/>
      <c r="GY3" s="76"/>
      <c r="GZ3" s="76"/>
      <c r="HA3" s="76"/>
      <c r="HB3" s="76"/>
      <c r="HC3" s="76"/>
      <c r="HD3" s="76"/>
      <c r="HE3" s="76"/>
      <c r="HF3" s="76"/>
      <c r="HG3" s="76"/>
      <c r="HH3" s="76"/>
      <c r="HI3" s="76"/>
      <c r="HJ3" s="76"/>
      <c r="HK3" s="76"/>
      <c r="HL3" s="76"/>
      <c r="HM3" s="76"/>
      <c r="HN3" s="76"/>
      <c r="HO3" s="76"/>
      <c r="HP3" s="76"/>
      <c r="HQ3" s="76"/>
      <c r="HR3" s="76"/>
      <c r="HS3" s="76"/>
      <c r="HT3" s="76"/>
      <c r="HU3" s="76"/>
      <c r="HV3" s="76"/>
      <c r="HW3" s="76"/>
      <c r="HX3" s="76"/>
      <c r="HY3" s="76"/>
      <c r="HZ3" s="76"/>
      <c r="IA3" s="76"/>
      <c r="IB3" s="76"/>
      <c r="IC3" s="76"/>
      <c r="ID3" s="76"/>
      <c r="IE3" s="76"/>
      <c r="IF3" s="76"/>
      <c r="IG3" s="76"/>
      <c r="IH3" s="76"/>
      <c r="II3" s="76"/>
      <c r="IJ3" s="76"/>
      <c r="IK3" s="76"/>
      <c r="IL3" s="76"/>
      <c r="IM3" s="76"/>
      <c r="IN3" s="76"/>
      <c r="IO3" s="76"/>
      <c r="IP3" s="76"/>
      <c r="IQ3" s="76"/>
      <c r="IR3" s="76"/>
      <c r="IS3" s="76"/>
      <c r="IT3" s="76"/>
      <c r="IU3" s="76"/>
      <c r="IV3" s="76"/>
      <c r="IW3" s="76"/>
      <c r="IX3" s="76"/>
      <c r="IY3" s="76"/>
      <c r="IZ3" s="76"/>
      <c r="JA3" s="76"/>
      <c r="JB3" s="76"/>
      <c r="JC3" s="76"/>
    </row>
    <row r="4" spans="1:263" s="9" customFormat="1" ht="12.6" customHeight="1">
      <c r="A4" s="22">
        <v>2021</v>
      </c>
      <c r="B4" s="122">
        <v>3</v>
      </c>
      <c r="C4" s="123" t="s">
        <v>204</v>
      </c>
      <c r="D4" s="124">
        <f t="shared" ref="D4:D67" si="1">SUM(E4:W4)</f>
        <v>37675594</v>
      </c>
      <c r="E4" s="125">
        <f>E5+E9+E15+E19+E23+E30+E33</f>
        <v>24311630</v>
      </c>
      <c r="F4" s="125">
        <f t="shared" ref="F4:W4" si="2">F5+F9+F15+F19+F23+F30+F33</f>
        <v>0</v>
      </c>
      <c r="G4" s="125">
        <f t="shared" si="2"/>
        <v>4396500</v>
      </c>
      <c r="H4" s="125">
        <f>H5+H9+H15+H19+H23+H30+H33</f>
        <v>0</v>
      </c>
      <c r="I4" s="125">
        <f t="shared" si="2"/>
        <v>5928455</v>
      </c>
      <c r="J4" s="125">
        <f t="shared" si="2"/>
        <v>1436025</v>
      </c>
      <c r="K4" s="125">
        <f t="shared" si="2"/>
        <v>575144</v>
      </c>
      <c r="L4" s="125">
        <f>L5+L9+L15+L19+L23+L30+L33</f>
        <v>0</v>
      </c>
      <c r="M4" s="125">
        <f t="shared" si="2"/>
        <v>0</v>
      </c>
      <c r="N4" s="125">
        <f t="shared" si="2"/>
        <v>897840</v>
      </c>
      <c r="O4" s="125">
        <f t="shared" si="2"/>
        <v>0</v>
      </c>
      <c r="P4" s="125">
        <f>P5+P9+P15+P19+P23+P30+P33</f>
        <v>0</v>
      </c>
      <c r="Q4" s="125">
        <f>Q5+Q9+Q15+Q19+Q23+Q30+Q33</f>
        <v>0</v>
      </c>
      <c r="R4" s="125">
        <f>R5+R9+R15+R19+R23+R30+R33</f>
        <v>0</v>
      </c>
      <c r="S4" s="125">
        <f t="shared" si="2"/>
        <v>130000</v>
      </c>
      <c r="T4" s="125">
        <f t="shared" si="2"/>
        <v>0</v>
      </c>
      <c r="U4" s="125">
        <f t="shared" si="2"/>
        <v>0</v>
      </c>
      <c r="V4" s="125">
        <f t="shared" si="2"/>
        <v>0</v>
      </c>
      <c r="W4" s="125">
        <f t="shared" si="2"/>
        <v>0</v>
      </c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/>
      <c r="DU4" s="72"/>
      <c r="DV4" s="72"/>
      <c r="DW4" s="72"/>
      <c r="DX4" s="72"/>
      <c r="DY4" s="72"/>
      <c r="DZ4" s="72"/>
      <c r="EA4" s="72"/>
      <c r="EB4" s="72"/>
      <c r="EC4" s="72"/>
      <c r="ED4" s="72"/>
      <c r="EE4" s="72"/>
      <c r="EF4" s="72"/>
      <c r="EG4" s="72"/>
      <c r="EH4" s="72"/>
      <c r="EI4" s="72"/>
      <c r="EJ4" s="72"/>
      <c r="EK4" s="72"/>
      <c r="EL4" s="72"/>
      <c r="EM4" s="72"/>
      <c r="EN4" s="72"/>
      <c r="EO4" s="72"/>
      <c r="EP4" s="72"/>
      <c r="EQ4" s="72"/>
      <c r="ER4" s="72"/>
      <c r="ES4" s="72"/>
      <c r="ET4" s="72"/>
      <c r="EU4" s="72"/>
      <c r="EV4" s="72"/>
      <c r="EW4" s="72"/>
      <c r="EX4" s="72"/>
      <c r="EY4" s="72"/>
      <c r="EZ4" s="72"/>
      <c r="FA4" s="72"/>
      <c r="FB4" s="72"/>
      <c r="FC4" s="72"/>
      <c r="FD4" s="72"/>
      <c r="FE4" s="72"/>
      <c r="FF4" s="72"/>
      <c r="FG4" s="72"/>
      <c r="FH4" s="72"/>
      <c r="FI4" s="72"/>
      <c r="FJ4" s="72"/>
      <c r="FK4" s="72"/>
      <c r="FL4" s="72"/>
      <c r="FM4" s="72"/>
      <c r="FN4" s="72"/>
      <c r="FO4" s="72"/>
      <c r="FP4" s="72"/>
      <c r="FQ4" s="72"/>
      <c r="FR4" s="72"/>
      <c r="FS4" s="72"/>
      <c r="FT4" s="72"/>
      <c r="FU4" s="72"/>
      <c r="FV4" s="72"/>
      <c r="FW4" s="72"/>
      <c r="FX4" s="72"/>
      <c r="FY4" s="72"/>
      <c r="FZ4" s="72"/>
      <c r="GA4" s="72"/>
      <c r="GB4" s="72"/>
      <c r="GC4" s="72"/>
      <c r="GD4" s="72"/>
      <c r="GE4" s="72"/>
      <c r="GF4" s="72"/>
      <c r="GG4" s="72"/>
      <c r="GH4" s="72"/>
      <c r="GI4" s="72"/>
      <c r="GJ4" s="72"/>
      <c r="GK4" s="72"/>
      <c r="GL4" s="73"/>
      <c r="GM4" s="73"/>
      <c r="GN4" s="73"/>
      <c r="GO4" s="73"/>
      <c r="GP4" s="73"/>
      <c r="GQ4" s="73"/>
      <c r="GR4" s="73"/>
      <c r="GS4" s="73"/>
      <c r="GT4" s="73"/>
      <c r="GU4" s="73"/>
      <c r="GV4" s="73"/>
      <c r="GW4" s="73"/>
      <c r="GX4" s="73"/>
      <c r="GY4" s="73"/>
      <c r="GZ4" s="73"/>
      <c r="HA4" s="73"/>
      <c r="HB4" s="73"/>
      <c r="HC4" s="73"/>
      <c r="HD4" s="73"/>
      <c r="HE4" s="73"/>
      <c r="HF4" s="73"/>
      <c r="HG4" s="73"/>
      <c r="HH4" s="73"/>
      <c r="HI4" s="73"/>
      <c r="HJ4" s="73"/>
      <c r="HK4" s="73"/>
      <c r="HL4" s="73"/>
      <c r="HM4" s="73"/>
      <c r="HN4" s="73"/>
      <c r="HO4" s="73"/>
      <c r="HP4" s="73"/>
      <c r="HQ4" s="73"/>
      <c r="HR4" s="73"/>
      <c r="HS4" s="73"/>
      <c r="HT4" s="73"/>
      <c r="HU4" s="73"/>
      <c r="HV4" s="73"/>
      <c r="HW4" s="73"/>
      <c r="HX4" s="73"/>
      <c r="HY4" s="73"/>
      <c r="HZ4" s="73"/>
      <c r="IA4" s="73"/>
      <c r="IB4" s="73"/>
      <c r="IC4" s="73"/>
      <c r="ID4" s="73"/>
      <c r="IE4" s="73"/>
      <c r="IF4" s="73"/>
      <c r="IG4" s="73"/>
      <c r="IH4" s="73"/>
      <c r="II4" s="73"/>
      <c r="IJ4" s="73"/>
      <c r="IK4" s="73"/>
      <c r="IL4" s="73"/>
      <c r="IM4" s="73"/>
      <c r="IN4" s="73"/>
      <c r="IO4" s="73"/>
      <c r="IP4" s="73"/>
      <c r="IQ4" s="73"/>
      <c r="IR4" s="73"/>
      <c r="IS4" s="73"/>
      <c r="IT4" s="73"/>
      <c r="IU4" s="73"/>
      <c r="IV4" s="73"/>
      <c r="IW4" s="73"/>
      <c r="IX4" s="73"/>
      <c r="IY4" s="73"/>
      <c r="IZ4" s="73"/>
      <c r="JA4" s="73"/>
      <c r="JB4" s="73"/>
      <c r="JC4" s="73"/>
    </row>
    <row r="5" spans="1:263" s="13" customFormat="1" ht="12.6" customHeight="1">
      <c r="A5" s="22">
        <v>2021</v>
      </c>
      <c r="B5" s="10">
        <v>31</v>
      </c>
      <c r="C5" s="11" t="s">
        <v>205</v>
      </c>
      <c r="D5" s="78">
        <f t="shared" si="1"/>
        <v>29911188</v>
      </c>
      <c r="E5" s="12">
        <f>SUM(E6:E8)</f>
        <v>20821730</v>
      </c>
      <c r="F5" s="12">
        <f t="shared" ref="F5:W5" si="3">SUM(F6:F8)</f>
        <v>0</v>
      </c>
      <c r="G5" s="12">
        <f t="shared" si="3"/>
        <v>2952000</v>
      </c>
      <c r="H5" s="12">
        <f>SUM(H6:H8)</f>
        <v>0</v>
      </c>
      <c r="I5" s="12">
        <f t="shared" si="3"/>
        <v>5050630</v>
      </c>
      <c r="J5" s="12">
        <f t="shared" si="3"/>
        <v>594000</v>
      </c>
      <c r="K5" s="12">
        <f t="shared" si="3"/>
        <v>88394</v>
      </c>
      <c r="L5" s="12">
        <f>SUM(L6:L8)</f>
        <v>0</v>
      </c>
      <c r="M5" s="12">
        <f t="shared" si="3"/>
        <v>0</v>
      </c>
      <c r="N5" s="12">
        <f t="shared" si="3"/>
        <v>314434</v>
      </c>
      <c r="O5" s="12">
        <f t="shared" si="3"/>
        <v>0</v>
      </c>
      <c r="P5" s="12">
        <f>SUM(P6:P8)</f>
        <v>0</v>
      </c>
      <c r="Q5" s="12">
        <f>SUM(Q6:Q8)</f>
        <v>0</v>
      </c>
      <c r="R5" s="12">
        <f>SUM(R6:R8)</f>
        <v>0</v>
      </c>
      <c r="S5" s="12">
        <f t="shared" si="3"/>
        <v>90000</v>
      </c>
      <c r="T5" s="12">
        <f t="shared" si="3"/>
        <v>0</v>
      </c>
      <c r="U5" s="12">
        <f t="shared" si="3"/>
        <v>0</v>
      </c>
      <c r="V5" s="12">
        <f t="shared" si="3"/>
        <v>0</v>
      </c>
      <c r="W5" s="12">
        <f t="shared" si="3"/>
        <v>0</v>
      </c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79"/>
      <c r="CN5" s="79"/>
      <c r="CO5" s="79"/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79"/>
      <c r="DE5" s="79"/>
      <c r="DF5" s="79"/>
      <c r="DG5" s="79"/>
      <c r="DH5" s="79"/>
      <c r="DI5" s="79"/>
      <c r="DJ5" s="79"/>
      <c r="DK5" s="79"/>
      <c r="DL5" s="79"/>
      <c r="DM5" s="79"/>
      <c r="DN5" s="79"/>
      <c r="DO5" s="79"/>
      <c r="DP5" s="79"/>
      <c r="DQ5" s="79"/>
      <c r="DR5" s="79"/>
      <c r="DS5" s="79"/>
      <c r="DT5" s="79"/>
      <c r="DU5" s="79"/>
      <c r="DV5" s="79"/>
      <c r="DW5" s="79"/>
      <c r="DX5" s="79"/>
      <c r="DY5" s="79"/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79"/>
      <c r="ER5" s="79"/>
      <c r="ES5" s="79"/>
      <c r="ET5" s="79"/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  <c r="FL5" s="79"/>
      <c r="FM5" s="79"/>
      <c r="FN5" s="79"/>
      <c r="FO5" s="79"/>
      <c r="FP5" s="79"/>
      <c r="FQ5" s="79"/>
      <c r="FR5" s="79"/>
      <c r="FS5" s="79"/>
      <c r="FT5" s="79"/>
      <c r="FU5" s="79"/>
      <c r="FV5" s="79"/>
      <c r="FW5" s="79"/>
      <c r="FX5" s="79"/>
      <c r="FY5" s="79"/>
      <c r="FZ5" s="79"/>
      <c r="GA5" s="79"/>
      <c r="GB5" s="79"/>
      <c r="GC5" s="79"/>
      <c r="GD5" s="79"/>
      <c r="GE5" s="79"/>
      <c r="GF5" s="79"/>
      <c r="GG5" s="79"/>
      <c r="GH5" s="79"/>
      <c r="GI5" s="79"/>
      <c r="GJ5" s="79"/>
      <c r="GK5" s="79"/>
      <c r="GL5" s="80"/>
      <c r="GM5" s="80"/>
      <c r="GN5" s="80"/>
      <c r="GO5" s="80"/>
      <c r="GP5" s="80"/>
      <c r="GQ5" s="80"/>
      <c r="GR5" s="80"/>
      <c r="GS5" s="80"/>
      <c r="GT5" s="80"/>
      <c r="GU5" s="80"/>
      <c r="GV5" s="80"/>
      <c r="GW5" s="80"/>
      <c r="GX5" s="80"/>
      <c r="GY5" s="80"/>
      <c r="GZ5" s="80"/>
      <c r="HA5" s="80"/>
      <c r="HB5" s="80"/>
      <c r="HC5" s="80"/>
      <c r="HD5" s="80"/>
      <c r="HE5" s="80"/>
      <c r="HF5" s="80"/>
      <c r="HG5" s="80"/>
      <c r="HH5" s="80"/>
      <c r="HI5" s="80"/>
      <c r="HJ5" s="80"/>
      <c r="HK5" s="80"/>
      <c r="HL5" s="80"/>
      <c r="HM5" s="80"/>
      <c r="HN5" s="80"/>
      <c r="HO5" s="80"/>
      <c r="HP5" s="80"/>
      <c r="HQ5" s="80"/>
      <c r="HR5" s="80"/>
      <c r="HS5" s="80"/>
      <c r="HT5" s="80"/>
      <c r="HU5" s="80"/>
      <c r="HV5" s="80"/>
      <c r="HW5" s="80"/>
      <c r="HX5" s="80"/>
      <c r="HY5" s="80"/>
      <c r="HZ5" s="80"/>
      <c r="IA5" s="80"/>
      <c r="IB5" s="80"/>
      <c r="IC5" s="80"/>
      <c r="ID5" s="80"/>
      <c r="IE5" s="80"/>
      <c r="IF5" s="80"/>
      <c r="IG5" s="80"/>
      <c r="IH5" s="80"/>
      <c r="II5" s="80"/>
      <c r="IJ5" s="80"/>
      <c r="IK5" s="80"/>
      <c r="IL5" s="80"/>
      <c r="IM5" s="80"/>
      <c r="IN5" s="80"/>
      <c r="IO5" s="80"/>
      <c r="IP5" s="80"/>
      <c r="IQ5" s="80"/>
      <c r="IR5" s="80"/>
      <c r="IS5" s="80"/>
      <c r="IT5" s="80"/>
      <c r="IU5" s="80"/>
      <c r="IV5" s="80"/>
      <c r="IW5" s="80"/>
      <c r="IX5" s="80"/>
      <c r="IY5" s="80"/>
      <c r="IZ5" s="80"/>
      <c r="JA5" s="80"/>
      <c r="JB5" s="80"/>
      <c r="JC5" s="80"/>
    </row>
    <row r="6" spans="1:263" s="13" customFormat="1" ht="12.6" customHeight="1">
      <c r="A6" s="22">
        <v>2021</v>
      </c>
      <c r="B6" s="81">
        <v>311</v>
      </c>
      <c r="C6" s="81" t="s">
        <v>234</v>
      </c>
      <c r="D6" s="77">
        <f t="shared" si="1"/>
        <v>24411310</v>
      </c>
      <c r="E6" s="140">
        <f>SUMIFS('Plan rashoda za unos u SAP'!$I$3:$I$501,'Plan rashoda za unos u SAP'!$C$3:$C$501,"=11",'Plan rashoda za unos u SAP'!$M$3:$M$501,"=311")+SUMIFS('ANALITIKA EU PROJEKATA'!$G$3:$G$501,'ANALITIKA EU PROJEKATA'!$A$3:$A$501,"=11",'ANALITIKA EU PROJEKATA'!$P$3:$P$501,"=311")</f>
        <v>17512630</v>
      </c>
      <c r="F6" s="140">
        <f>SUMIFS('Plan rashoda za unos u SAP'!$I$3:$I$501,'Plan rashoda za unos u SAP'!$C$3:$C$501,"=12",'Plan rashoda za unos u SAP'!$M$3:$M$501,"=311")+SUMIFS('ANALITIKA EU PROJEKATA'!$G$3:$G$501,'ANALITIKA EU PROJEKATA'!$A$3:$A$501,"=12",'ANALITIKA EU PROJEKATA'!$P$3:$P$501,"=311")</f>
        <v>0</v>
      </c>
      <c r="G6" s="140">
        <f>SUMIFS('Plan rashoda za unos u SAP'!$I$3:$I$501,'Plan rashoda za unos u SAP'!$C$3:$C$501,"=31",'Plan rashoda za unos u SAP'!$M$3:$M$501,"=311")+SUMIFS('ANALITIKA EU PROJEKATA'!$G$3:$G$501,'ANALITIKA EU PROJEKATA'!$A$3:$A$501,"=31",'ANALITIKA EU PROJEKATA'!$P$3:$P$501,"=311")</f>
        <v>1631000</v>
      </c>
      <c r="H6" s="140">
        <f>SUMIFS('Plan rashoda za unos u SAP'!$I$3:$I$501,'Plan rashoda za unos u SAP'!$C$3:$C$501,"=41",'Plan rashoda za unos u SAP'!$M$3:$M$501,"=311")+SUMIFS('ANALITIKA EU PROJEKATA'!$G$3:$G$501,'ANALITIKA EU PROJEKATA'!$A$3:$A$501,"=41",'ANALITIKA EU PROJEKATA'!$P$3:$P$501,"=311")</f>
        <v>0</v>
      </c>
      <c r="I6" s="140">
        <f>SUMIFS('Plan rashoda za unos u SAP'!$I$3:$I$501,'Plan rashoda za unos u SAP'!$C$3:$C$501,"=43",'Plan rashoda za unos u SAP'!$M$3:$M$501,"=311")+SUMIFS('ANALITIKA EU PROJEKATA'!$G$3:$G$501,'ANALITIKA EU PROJEKATA'!$A$3:$A$501,"=43",'ANALITIKA EU PROJEKATA'!$P$3:$P$501,"=311")</f>
        <v>4335305</v>
      </c>
      <c r="J6" s="140">
        <f>SUMIFS('Plan rashoda za unos u SAP'!$I$3:$I$501,'Plan rashoda za unos u SAP'!$C$3:$C$501,"=51",'Plan rashoda za unos u SAP'!$M$3:$M$501,"=311")+SUMIFS('ANALITIKA EU PROJEKATA'!$G$3:$G$501,'ANALITIKA EU PROJEKATA'!$A$3:$A$501,"=51",'ANALITIKA EU PROJEKATA'!$P$3:$P$501,"=311")</f>
        <v>509400</v>
      </c>
      <c r="K6" s="140">
        <f>SUMIFS('Plan rashoda za unos u SAP'!$I$3:$I$501,'Plan rashoda za unos u SAP'!$C$3:$C$501,"=52",'Plan rashoda za unos u SAP'!$M$3:$M$501,"=311")+SUMIFS('ANALITIKA EU PROJEKATA'!$G$3:$G$501,'ANALITIKA EU PROJEKATA'!$A$3:$A$501,"=52",'ANALITIKA EU PROJEKATA'!$P$3:$P$501,"=311")</f>
        <v>75875</v>
      </c>
      <c r="L6" s="140">
        <f>SUMIFS('Plan rashoda za unos u SAP'!$I$3:$I$501,'Plan rashoda za unos u SAP'!$C$3:$C$501,"=552",'Plan rashoda za unos u SAP'!$M$3:$M$501,"=311")+SUMIFS('ANALITIKA EU PROJEKATA'!$G$3:$G$501,'ANALITIKA EU PROJEKATA'!$A$3:$A$501,"=552",'ANALITIKA EU PROJEKATA'!$P$3:$P$501,"=311")</f>
        <v>0</v>
      </c>
      <c r="M6" s="140">
        <f>SUMIFS('Plan rashoda za unos u SAP'!$I$3:$I$501,'Plan rashoda za unos u SAP'!$C$3:$C$501,"=559",'Plan rashoda za unos u SAP'!$M$3:$M$501,"=311")+SUMIFS('ANALITIKA EU PROJEKATA'!$G$3:$G$501,'ANALITIKA EU PROJEKATA'!$A$3:$A$501,"=559",'ANALITIKA EU PROJEKATA'!$P$3:$P$501,"=311")</f>
        <v>0</v>
      </c>
      <c r="N6" s="140">
        <f>SUMIFS('Plan rashoda za unos u SAP'!$I$3:$I$501,'Plan rashoda za unos u SAP'!$C$3:$C$501,"=561",'Plan rashoda za unos u SAP'!$M$3:$M$501,"=311")+SUMIFS('ANALITIKA EU PROJEKATA'!$G$3:$G$501,'ANALITIKA EU PROJEKATA'!$A$3:$A$501,"=561",'ANALITIKA EU PROJEKATA'!$P$3:$P$501,"=311")</f>
        <v>269900</v>
      </c>
      <c r="O6" s="140">
        <f>SUMIFS('Plan rashoda za unos u SAP'!$I$3:$I$501,'Plan rashoda za unos u SAP'!$C$3:$C$501,"=563",'Plan rashoda za unos u SAP'!$M$3:$M$501,"=311")+SUMIFS('ANALITIKA EU PROJEKATA'!$G$3:$G$501,'ANALITIKA EU PROJEKATA'!$A$3:$A$501,"=563",'ANALITIKA EU PROJEKATA'!$P$3:$P$501,"=311")</f>
        <v>0</v>
      </c>
      <c r="P6" s="140">
        <f>SUMIFS('Plan rashoda za unos u SAP'!$I$3:$I$501,'Plan rashoda za unos u SAP'!$C$3:$C$501,"=573",'Plan rashoda za unos u SAP'!$M$3:$M$501,"=311")+SUMIFS('ANALITIKA EU PROJEKATA'!$G$3:$G$501,'ANALITIKA EU PROJEKATA'!$A$3:$A$501,"=573",'ANALITIKA EU PROJEKATA'!$P$3:$P$501,"=311")</f>
        <v>0</v>
      </c>
      <c r="Q6" s="140">
        <f>SUMIFS('Plan rashoda za unos u SAP'!$I$3:$I$501,'Plan rashoda za unos u SAP'!$C$3:$C$501,"=575",'Plan rashoda za unos u SAP'!$M$3:$M$501,"=311")+SUMIFS('ANALITIKA EU PROJEKATA'!$G$3:$G$501,'ANALITIKA EU PROJEKATA'!$A$3:$A$501,"=575",'ANALITIKA EU PROJEKATA'!$P$3:$P$501,"=311")</f>
        <v>0</v>
      </c>
      <c r="R6" s="140">
        <f>SUMIFS('Plan rashoda za unos u SAP'!$I$3:$I$501,'Plan rashoda za unos u SAP'!$C$3:$C$501,"=576",'Plan rashoda za unos u SAP'!$M$3:$M$501,"=311")+SUMIFS('ANALITIKA EU PROJEKATA'!$G$3:$G$501,'ANALITIKA EU PROJEKATA'!$A$3:$A$501,"=576",'ANALITIKA EU PROJEKATA'!$P$3:$P$501,"=311")</f>
        <v>0</v>
      </c>
      <c r="S6" s="140">
        <f>SUMIFS('Plan rashoda za unos u SAP'!$I$3:$I$501,'Plan rashoda za unos u SAP'!$C$3:$C$501,"=61",'Plan rashoda za unos u SAP'!$M$3:$M$501,"=311")+SUMIFS('ANALITIKA EU PROJEKATA'!$G$3:$G$501,'ANALITIKA EU PROJEKATA'!$A$3:$A$501,"=61",'ANALITIKA EU PROJEKATA'!$P$3:$P$501,"=311")</f>
        <v>77200</v>
      </c>
      <c r="T6" s="140">
        <f>SUMIFS('Plan rashoda za unos u SAP'!$I$3:$I$501,'Plan rashoda za unos u SAP'!$C$3:$C$501,"=63",'Plan rashoda za unos u SAP'!$M$3:$M$501,"=311")+SUMIFS('ANALITIKA EU PROJEKATA'!$G$3:$G$501,'ANALITIKA EU PROJEKATA'!$A$3:$A$501,"=63",'ANALITIKA EU PROJEKATA'!$P$3:$P$501,"=311")</f>
        <v>0</v>
      </c>
      <c r="U6" s="140">
        <f>SUMIFS('Plan rashoda za unos u SAP'!$I$3:$I$501,'Plan rashoda za unos u SAP'!$C$3:$C$501,"=71",'Plan rashoda za unos u SAP'!$M$3:$M$501,"=311")+SUMIFS('ANALITIKA EU PROJEKATA'!$G$3:$G$501,'ANALITIKA EU PROJEKATA'!$A$3:$A$501,"=71",'ANALITIKA EU PROJEKATA'!$P$3:$P$501,"=311")</f>
        <v>0</v>
      </c>
      <c r="V6" s="140">
        <f>SUMIFS('Plan rashoda za unos u SAP'!$I$3:$I$501,'Plan rashoda za unos u SAP'!$C$3:$C$501,"=81",'Plan rashoda za unos u SAP'!$M$3:$M$501,"=311")+SUMIFS('ANALITIKA EU PROJEKATA'!$G$3:$G$501,'ANALITIKA EU PROJEKATA'!$A$3:$A$501,"=81",'ANALITIKA EU PROJEKATA'!$P$3:$P$501,"=311")</f>
        <v>0</v>
      </c>
      <c r="W6" s="140">
        <f>SUMIFS('Plan rashoda za unos u SAP'!$I$3:$I$501,'Plan rashoda za unos u SAP'!$C$3:$C$501,"=83",'Plan rashoda za unos u SAP'!$M$3:$M$501,"=311")+SUMIFS('ANALITIKA EU PROJEKATA'!$G$3:$G$501,'ANALITIKA EU PROJEKATA'!$A$3:$A$501,"=83",'ANALITIKA EU PROJEKATA'!$P$3:$P$501,"=311")</f>
        <v>0</v>
      </c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72"/>
      <c r="DZ6" s="72"/>
      <c r="EA6" s="72"/>
      <c r="EB6" s="72"/>
      <c r="EC6" s="72"/>
      <c r="ED6" s="72"/>
      <c r="EE6" s="72"/>
      <c r="EF6" s="72"/>
      <c r="EG6" s="72"/>
      <c r="EH6" s="72"/>
      <c r="EI6" s="72"/>
      <c r="EJ6" s="72"/>
      <c r="EK6" s="72"/>
      <c r="EL6" s="72"/>
      <c r="EM6" s="72"/>
      <c r="EN6" s="72"/>
      <c r="EO6" s="72"/>
      <c r="EP6" s="72"/>
      <c r="EQ6" s="72"/>
      <c r="ER6" s="72"/>
      <c r="ES6" s="72"/>
      <c r="ET6" s="72"/>
      <c r="EU6" s="72"/>
      <c r="EV6" s="72"/>
      <c r="EW6" s="72"/>
      <c r="EX6" s="72"/>
      <c r="EY6" s="72"/>
      <c r="EZ6" s="72"/>
      <c r="FA6" s="72"/>
      <c r="FB6" s="72"/>
      <c r="FC6" s="72"/>
      <c r="FD6" s="72"/>
      <c r="FE6" s="72"/>
      <c r="FF6" s="72"/>
      <c r="FG6" s="72"/>
      <c r="FH6" s="72"/>
      <c r="FI6" s="72"/>
      <c r="FJ6" s="72"/>
      <c r="FK6" s="72"/>
      <c r="FL6" s="72"/>
      <c r="FM6" s="72"/>
      <c r="FN6" s="72"/>
      <c r="FO6" s="72"/>
      <c r="FP6" s="72"/>
      <c r="FQ6" s="72"/>
      <c r="FR6" s="72"/>
      <c r="FS6" s="72"/>
      <c r="FT6" s="72"/>
      <c r="FU6" s="72"/>
      <c r="FV6" s="72"/>
      <c r="FW6" s="72"/>
      <c r="FX6" s="72"/>
      <c r="FY6" s="72"/>
      <c r="FZ6" s="72"/>
      <c r="GA6" s="72"/>
      <c r="GB6" s="72"/>
      <c r="GC6" s="72"/>
      <c r="GD6" s="72"/>
      <c r="GE6" s="72"/>
      <c r="GF6" s="72"/>
      <c r="GG6" s="72"/>
      <c r="GH6" s="72"/>
      <c r="GI6" s="72"/>
      <c r="GJ6" s="72"/>
      <c r="GK6" s="72"/>
      <c r="GL6" s="73"/>
      <c r="GM6" s="73"/>
      <c r="GN6" s="73"/>
      <c r="GO6" s="73"/>
      <c r="GP6" s="73"/>
      <c r="GQ6" s="73"/>
      <c r="GR6" s="73"/>
      <c r="GS6" s="73"/>
      <c r="GT6" s="73"/>
      <c r="GU6" s="73"/>
      <c r="GV6" s="73"/>
      <c r="GW6" s="73"/>
      <c r="GX6" s="73"/>
      <c r="GY6" s="73"/>
      <c r="GZ6" s="73"/>
      <c r="HA6" s="73"/>
      <c r="HB6" s="73"/>
      <c r="HC6" s="73"/>
      <c r="HD6" s="73"/>
      <c r="HE6" s="73"/>
      <c r="HF6" s="73"/>
      <c r="HG6" s="73"/>
      <c r="HH6" s="73"/>
      <c r="HI6" s="73"/>
      <c r="HJ6" s="73"/>
      <c r="HK6" s="73"/>
      <c r="HL6" s="73"/>
      <c r="HM6" s="73"/>
      <c r="HN6" s="73"/>
      <c r="HO6" s="73"/>
      <c r="HP6" s="73"/>
      <c r="HQ6" s="73"/>
      <c r="HR6" s="73"/>
      <c r="HS6" s="73"/>
      <c r="HT6" s="73"/>
      <c r="HU6" s="73"/>
      <c r="HV6" s="73"/>
      <c r="HW6" s="73"/>
      <c r="HX6" s="73"/>
      <c r="HY6" s="73"/>
      <c r="HZ6" s="73"/>
      <c r="IA6" s="73"/>
      <c r="IB6" s="73"/>
      <c r="IC6" s="73"/>
      <c r="ID6" s="73"/>
      <c r="IE6" s="73"/>
      <c r="IF6" s="73"/>
      <c r="IG6" s="73"/>
      <c r="IH6" s="73"/>
      <c r="II6" s="73"/>
      <c r="IJ6" s="73"/>
      <c r="IK6" s="73"/>
      <c r="IL6" s="73"/>
      <c r="IM6" s="73"/>
      <c r="IN6" s="73"/>
      <c r="IO6" s="73"/>
      <c r="IP6" s="73"/>
      <c r="IQ6" s="73"/>
      <c r="IR6" s="73"/>
      <c r="IS6" s="73"/>
      <c r="IT6" s="73"/>
      <c r="IU6" s="73"/>
      <c r="IV6" s="73"/>
      <c r="IW6" s="73"/>
      <c r="IX6" s="73"/>
      <c r="IY6" s="73"/>
      <c r="IZ6" s="73"/>
      <c r="JA6" s="73"/>
      <c r="JB6" s="73"/>
      <c r="JC6" s="73"/>
    </row>
    <row r="7" spans="1:263" s="13" customFormat="1" ht="12.6" customHeight="1">
      <c r="A7" s="22">
        <v>2021</v>
      </c>
      <c r="B7" s="82">
        <v>312</v>
      </c>
      <c r="C7" s="8" t="s">
        <v>57</v>
      </c>
      <c r="D7" s="14">
        <f t="shared" si="1"/>
        <v>1508500</v>
      </c>
      <c r="E7" s="140">
        <f>SUMIFS('Plan rashoda za unos u SAP'!$I$3:$I$501,'Plan rashoda za unos u SAP'!$C$3:$C$501,"=11",'Plan rashoda za unos u SAP'!$M$3:$M$501,"=312")+SUMIFS('ANALITIKA EU PROJEKATA'!$G$3:$G$501,'ANALITIKA EU PROJEKATA'!$A$3:$A$501,"=11",'ANALITIKA EU PROJEKATA'!$P$3:$P$501,"=312")</f>
        <v>418500</v>
      </c>
      <c r="F7" s="140">
        <f>SUMIFS('Plan rashoda za unos u SAP'!$I$3:$I$501,'Plan rashoda za unos u SAP'!$C$3:$C$501,"=12",'Plan rashoda za unos u SAP'!$M$3:$M$501,"=312")+SUMIFS('ANALITIKA EU PROJEKATA'!$G$3:$G$501,'ANALITIKA EU PROJEKATA'!$A$3:$A$501,"=12",'ANALITIKA EU PROJEKATA'!$P$3:$P$501,"=312")</f>
        <v>0</v>
      </c>
      <c r="G7" s="140">
        <f>SUMIFS('Plan rashoda za unos u SAP'!$I$3:$I$501,'Plan rashoda za unos u SAP'!$C$3:$C$501,"=31",'Plan rashoda za unos u SAP'!$M$3:$M$501,"=312")+SUMIFS('ANALITIKA EU PROJEKATA'!$G$3:$G$501,'ANALITIKA EU PROJEKATA'!$A$3:$A$501,"=31",'ANALITIKA EU PROJEKATA'!$P$3:$P$501,"=312")</f>
        <v>1090000</v>
      </c>
      <c r="H7" s="140">
        <f>SUMIFS('Plan rashoda za unos u SAP'!$I$3:$I$501,'Plan rashoda za unos u SAP'!$C$3:$C$501,"=41",'Plan rashoda za unos u SAP'!$M$3:$M$501,"=312")+SUMIFS('ANALITIKA EU PROJEKATA'!$G$3:$G$501,'ANALITIKA EU PROJEKATA'!$A$3:$A$501,"=41",'ANALITIKA EU PROJEKATA'!$P$3:$P$501,"=312")</f>
        <v>0</v>
      </c>
      <c r="I7" s="140">
        <f>SUMIFS('Plan rashoda za unos u SAP'!$I$3:$I$501,'Plan rashoda za unos u SAP'!$C$3:$C$501,"=43",'Plan rashoda za unos u SAP'!$M$3:$M$501,"=312")+SUMIFS('ANALITIKA EU PROJEKATA'!$G$3:$G$501,'ANALITIKA EU PROJEKATA'!$A$3:$A$501,"=43",'ANALITIKA EU PROJEKATA'!$P$3:$P$501,"=312")</f>
        <v>0</v>
      </c>
      <c r="J7" s="140">
        <f>SUMIFS('Plan rashoda za unos u SAP'!$I$3:$I$501,'Plan rashoda za unos u SAP'!$C$3:$C$501,"=51",'Plan rashoda za unos u SAP'!$M$3:$M$501,"=312")+SUMIFS('ANALITIKA EU PROJEKATA'!$G$3:$G$501,'ANALITIKA EU PROJEKATA'!$A$3:$A$501,"=51",'ANALITIKA EU PROJEKATA'!$P$3:$P$501,"=312")</f>
        <v>0</v>
      </c>
      <c r="K7" s="140">
        <f>SUMIFS('Plan rashoda za unos u SAP'!$I$3:$I$501,'Plan rashoda za unos u SAP'!$C$3:$C$501,"=52",'Plan rashoda za unos u SAP'!$M$3:$M$501,"=312")+SUMIFS('ANALITIKA EU PROJEKATA'!$G$3:$G$501,'ANALITIKA EU PROJEKATA'!$A$3:$A$501,"=52",'ANALITIKA EU PROJEKATA'!$P$3:$P$501,"=312")</f>
        <v>0</v>
      </c>
      <c r="L7" s="140">
        <f>SUMIFS('Plan rashoda za unos u SAP'!$I$3:$I$501,'Plan rashoda za unos u SAP'!$C$3:$C$501,"=552",'Plan rashoda za unos u SAP'!$M$3:$M$501,"=312")+SUMIFS('ANALITIKA EU PROJEKATA'!$G$3:$G$501,'ANALITIKA EU PROJEKATA'!$A$3:$A$501,"=552",'ANALITIKA EU PROJEKATA'!$P$3:$P$501,"=312")</f>
        <v>0</v>
      </c>
      <c r="M7" s="140">
        <f>SUMIFS('Plan rashoda za unos u SAP'!$I$3:$I$501,'Plan rashoda za unos u SAP'!$C$3:$C$501,"=559",'Plan rashoda za unos u SAP'!$M$3:$M$501,"=312")+SUMIFS('ANALITIKA EU PROJEKATA'!$G$3:$G$501,'ANALITIKA EU PROJEKATA'!$A$3:$A$501,"=559",'ANALITIKA EU PROJEKATA'!$P$3:$P$501,"=312")</f>
        <v>0</v>
      </c>
      <c r="N7" s="140">
        <f>SUMIFS('Plan rashoda za unos u SAP'!$I$3:$I$501,'Plan rashoda za unos u SAP'!$C$3:$C$501,"=561",'Plan rashoda za unos u SAP'!$M$3:$M$501,"=312")+SUMIFS('ANALITIKA EU PROJEKATA'!$G$3:$G$501,'ANALITIKA EU PROJEKATA'!$A$3:$A$501,"=561",'ANALITIKA EU PROJEKATA'!$P$3:$P$501,"=312")</f>
        <v>0</v>
      </c>
      <c r="O7" s="140">
        <f>SUMIFS('Plan rashoda za unos u SAP'!$I$3:$I$501,'Plan rashoda za unos u SAP'!$C$3:$C$501,"=563",'Plan rashoda za unos u SAP'!$M$3:$M$501,"=312")+SUMIFS('ANALITIKA EU PROJEKATA'!$G$3:$G$501,'ANALITIKA EU PROJEKATA'!$A$3:$A$501,"=563",'ANALITIKA EU PROJEKATA'!$P$3:$P$501,"=312")</f>
        <v>0</v>
      </c>
      <c r="P7" s="140">
        <f>SUMIFS('Plan rashoda za unos u SAP'!$I$3:$I$501,'Plan rashoda za unos u SAP'!$C$3:$C$501,"=573",'Plan rashoda za unos u SAP'!$M$3:$M$501,"=312")+SUMIFS('ANALITIKA EU PROJEKATA'!$G$3:$G$501,'ANALITIKA EU PROJEKATA'!$A$3:$A$501,"=573",'ANALITIKA EU PROJEKATA'!$P$3:$P$501,"=312")</f>
        <v>0</v>
      </c>
      <c r="Q7" s="140">
        <f>SUMIFS('Plan rashoda za unos u SAP'!$I$3:$I$501,'Plan rashoda za unos u SAP'!$C$3:$C$501,"=575",'Plan rashoda za unos u SAP'!$M$3:$M$501,"=312")+SUMIFS('ANALITIKA EU PROJEKATA'!$G$3:$G$501,'ANALITIKA EU PROJEKATA'!$A$3:$A$501,"=575",'ANALITIKA EU PROJEKATA'!$P$3:$P$501,"=312")</f>
        <v>0</v>
      </c>
      <c r="R7" s="140">
        <f>SUMIFS('Plan rashoda za unos u SAP'!$I$3:$I$501,'Plan rashoda za unos u SAP'!$C$3:$C$501,"=576",'Plan rashoda za unos u SAP'!$M$3:$M$501,"=312")+SUMIFS('ANALITIKA EU PROJEKATA'!$G$3:$G$501,'ANALITIKA EU PROJEKATA'!$A$3:$A$501,"=576",'ANALITIKA EU PROJEKATA'!$P$3:$P$501,"=312")</f>
        <v>0</v>
      </c>
      <c r="S7" s="140">
        <f>SUMIFS('Plan rashoda za unos u SAP'!$I$3:$I$501,'Plan rashoda za unos u SAP'!$C$3:$C$501,"=61",'Plan rashoda za unos u SAP'!$M$3:$M$501,"=312")+SUMIFS('ANALITIKA EU PROJEKATA'!$G$3:$G$501,'ANALITIKA EU PROJEKATA'!$A$3:$A$501,"=61",'ANALITIKA EU PROJEKATA'!$P$3:$P$501,"=312")</f>
        <v>0</v>
      </c>
      <c r="T7" s="140">
        <f>SUMIFS('Plan rashoda za unos u SAP'!$I$3:$I$501,'Plan rashoda za unos u SAP'!$C$3:$C$501,"=63",'Plan rashoda za unos u SAP'!$M$3:$M$501,"=312")+SUMIFS('ANALITIKA EU PROJEKATA'!$G$3:$G$501,'ANALITIKA EU PROJEKATA'!$A$3:$A$501,"=63",'ANALITIKA EU PROJEKATA'!$P$3:$P$501,"=312")</f>
        <v>0</v>
      </c>
      <c r="U7" s="140">
        <f>SUMIFS('Plan rashoda za unos u SAP'!$I$3:$I$501,'Plan rashoda za unos u SAP'!$C$3:$C$501,"=71",'Plan rashoda za unos u SAP'!$M$3:$M$501,"=312")+SUMIFS('ANALITIKA EU PROJEKATA'!$G$3:$G$501,'ANALITIKA EU PROJEKATA'!$A$3:$A$501,"=71",'ANALITIKA EU PROJEKATA'!$P$3:$P$501,"=312")</f>
        <v>0</v>
      </c>
      <c r="V7" s="140">
        <f>SUMIFS('Plan rashoda za unos u SAP'!$I$3:$I$501,'Plan rashoda za unos u SAP'!$C$3:$C$501,"=81",'Plan rashoda za unos u SAP'!$M$3:$M$501,"=312")+SUMIFS('ANALITIKA EU PROJEKATA'!$G$3:$G$501,'ANALITIKA EU PROJEKATA'!$A$3:$A$501,"=81",'ANALITIKA EU PROJEKATA'!$P$3:$P$501,"=312")</f>
        <v>0</v>
      </c>
      <c r="W7" s="140">
        <f>SUMIFS('Plan rashoda za unos u SAP'!$I$3:$I$501,'Plan rashoda za unos u SAP'!$C$3:$C$501,"=83",'Plan rashoda za unos u SAP'!$M$3:$M$501,"=312")+SUMIFS('ANALITIKA EU PROJEKATA'!$G$3:$G$501,'ANALITIKA EU PROJEKATA'!$A$3:$A$501,"=83",'ANALITIKA EU PROJEKATA'!$P$3:$P$501,"=312")</f>
        <v>0</v>
      </c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  <c r="EB7" s="72"/>
      <c r="EC7" s="72"/>
      <c r="ED7" s="72"/>
      <c r="EE7" s="72"/>
      <c r="EF7" s="72"/>
      <c r="EG7" s="72"/>
      <c r="EH7" s="72"/>
      <c r="EI7" s="72"/>
      <c r="EJ7" s="72"/>
      <c r="EK7" s="72"/>
      <c r="EL7" s="72"/>
      <c r="EM7" s="72"/>
      <c r="EN7" s="72"/>
      <c r="EO7" s="72"/>
      <c r="EP7" s="72"/>
      <c r="EQ7" s="72"/>
      <c r="ER7" s="72"/>
      <c r="ES7" s="72"/>
      <c r="ET7" s="72"/>
      <c r="EU7" s="72"/>
      <c r="EV7" s="72"/>
      <c r="EW7" s="72"/>
      <c r="EX7" s="72"/>
      <c r="EY7" s="72"/>
      <c r="EZ7" s="72"/>
      <c r="FA7" s="72"/>
      <c r="FB7" s="72"/>
      <c r="FC7" s="72"/>
      <c r="FD7" s="72"/>
      <c r="FE7" s="72"/>
      <c r="FF7" s="72"/>
      <c r="FG7" s="72"/>
      <c r="FH7" s="72"/>
      <c r="FI7" s="72"/>
      <c r="FJ7" s="72"/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3"/>
      <c r="GM7" s="73"/>
      <c r="GN7" s="73"/>
      <c r="GO7" s="73"/>
      <c r="GP7" s="73"/>
      <c r="GQ7" s="73"/>
      <c r="GR7" s="73"/>
      <c r="GS7" s="73"/>
      <c r="GT7" s="73"/>
      <c r="GU7" s="73"/>
      <c r="GV7" s="73"/>
      <c r="GW7" s="73"/>
      <c r="GX7" s="73"/>
      <c r="GY7" s="73"/>
      <c r="GZ7" s="73"/>
      <c r="HA7" s="73"/>
      <c r="HB7" s="73"/>
      <c r="HC7" s="73"/>
      <c r="HD7" s="73"/>
      <c r="HE7" s="73"/>
      <c r="HF7" s="73"/>
      <c r="HG7" s="73"/>
      <c r="HH7" s="73"/>
      <c r="HI7" s="73"/>
      <c r="HJ7" s="73"/>
      <c r="HK7" s="73"/>
      <c r="HL7" s="73"/>
      <c r="HM7" s="73"/>
      <c r="HN7" s="73"/>
      <c r="HO7" s="73"/>
      <c r="HP7" s="73"/>
      <c r="HQ7" s="73"/>
      <c r="HR7" s="73"/>
      <c r="HS7" s="73"/>
      <c r="HT7" s="73"/>
      <c r="HU7" s="73"/>
      <c r="HV7" s="73"/>
      <c r="HW7" s="73"/>
      <c r="HX7" s="73"/>
      <c r="HY7" s="73"/>
      <c r="HZ7" s="73"/>
      <c r="IA7" s="73"/>
      <c r="IB7" s="73"/>
      <c r="IC7" s="73"/>
      <c r="ID7" s="73"/>
      <c r="IE7" s="73"/>
      <c r="IF7" s="73"/>
      <c r="IG7" s="73"/>
      <c r="IH7" s="73"/>
      <c r="II7" s="73"/>
      <c r="IJ7" s="73"/>
      <c r="IK7" s="73"/>
      <c r="IL7" s="73"/>
      <c r="IM7" s="73"/>
      <c r="IN7" s="73"/>
      <c r="IO7" s="73"/>
      <c r="IP7" s="73"/>
      <c r="IQ7" s="73"/>
      <c r="IR7" s="73"/>
      <c r="IS7" s="73"/>
      <c r="IT7" s="73"/>
      <c r="IU7" s="73"/>
      <c r="IV7" s="73"/>
      <c r="IW7" s="73"/>
      <c r="IX7" s="73"/>
      <c r="IY7" s="73"/>
      <c r="IZ7" s="73"/>
      <c r="JA7" s="73"/>
      <c r="JB7" s="73"/>
      <c r="JC7" s="73"/>
    </row>
    <row r="8" spans="1:263" s="13" customFormat="1" ht="12.6" customHeight="1">
      <c r="A8" s="22">
        <v>2021</v>
      </c>
      <c r="B8" s="83">
        <v>313</v>
      </c>
      <c r="C8" s="8" t="s">
        <v>262</v>
      </c>
      <c r="D8" s="14">
        <f t="shared" si="1"/>
        <v>3991378</v>
      </c>
      <c r="E8" s="140">
        <f>SUMIFS('Plan rashoda za unos u SAP'!$I$3:$I$501,'Plan rashoda za unos u SAP'!$C$3:$C$501,"=11",'Plan rashoda za unos u SAP'!$M$3:$M$501,"=313")+SUMIFS('ANALITIKA EU PROJEKATA'!$G$3:$G$501,'ANALITIKA EU PROJEKATA'!$A$3:$A$501,"=11",'ANALITIKA EU PROJEKATA'!$P$3:$P$501,"=313")</f>
        <v>2890600</v>
      </c>
      <c r="F8" s="140">
        <f>SUMIFS('Plan rashoda za unos u SAP'!$I$3:$I$501,'Plan rashoda za unos u SAP'!$C$3:$C$501,"=12",'Plan rashoda za unos u SAP'!$M$3:$M$501,"=313")+SUMIFS('ANALITIKA EU PROJEKATA'!$G$3:$G$501,'ANALITIKA EU PROJEKATA'!$A$3:$A$501,"=12",'ANALITIKA EU PROJEKATA'!$P$3:$P$501,"=313")</f>
        <v>0</v>
      </c>
      <c r="G8" s="140">
        <f>SUMIFS('Plan rashoda za unos u SAP'!$I$3:$I$501,'Plan rashoda za unos u SAP'!$C$3:$C$501,"=31",'Plan rashoda za unos u SAP'!$M$3:$M$501,"=313")+SUMIFS('ANALITIKA EU PROJEKATA'!$G$3:$G$501,'ANALITIKA EU PROJEKATA'!$A$3:$A$501,"=31",'ANALITIKA EU PROJEKATA'!$P$3:$P$501,"=313")</f>
        <v>231000</v>
      </c>
      <c r="H8" s="140">
        <f>SUMIFS('Plan rashoda za unos u SAP'!$I$3:$I$501,'Plan rashoda za unos u SAP'!$C$3:$C$501,"=41",'Plan rashoda za unos u SAP'!$M$3:$M$501,"=313")+SUMIFS('ANALITIKA EU PROJEKATA'!$G$3:$G$501,'ANALITIKA EU PROJEKATA'!$A$3:$A$501,"=41",'ANALITIKA EU PROJEKATA'!$P$3:$P$501,"=313")</f>
        <v>0</v>
      </c>
      <c r="I8" s="140">
        <f>SUMIFS('Plan rashoda za unos u SAP'!$I$3:$I$501,'Plan rashoda za unos u SAP'!$C$3:$C$501,"=43",'Plan rashoda za unos u SAP'!$M$3:$M$501,"=313")+SUMIFS('ANALITIKA EU PROJEKATA'!$G$3:$G$501,'ANALITIKA EU PROJEKATA'!$A$3:$A$501,"=43",'ANALITIKA EU PROJEKATA'!$P$3:$P$501,"=313")</f>
        <v>715325</v>
      </c>
      <c r="J8" s="140">
        <f>SUMIFS('Plan rashoda za unos u SAP'!$I$3:$I$501,'Plan rashoda za unos u SAP'!$C$3:$C$501,"=51",'Plan rashoda za unos u SAP'!$M$3:$M$501,"=313")+SUMIFS('ANALITIKA EU PROJEKATA'!$G$3:$G$501,'ANALITIKA EU PROJEKATA'!$A$3:$A$501,"=51",'ANALITIKA EU PROJEKATA'!$P$3:$P$501,"=313")</f>
        <v>84600</v>
      </c>
      <c r="K8" s="140">
        <f>SUMIFS('Plan rashoda za unos u SAP'!$I$3:$I$501,'Plan rashoda za unos u SAP'!$C$3:$C$501,"=52",'Plan rashoda za unos u SAP'!$M$3:$M$501,"=313")+SUMIFS('ANALITIKA EU PROJEKATA'!$G$3:$G$501,'ANALITIKA EU PROJEKATA'!$A$3:$A$501,"=52",'ANALITIKA EU PROJEKATA'!$P$3:$P$501,"=313")</f>
        <v>12519</v>
      </c>
      <c r="L8" s="140">
        <f>SUMIFS('Plan rashoda za unos u SAP'!$I$3:$I$501,'Plan rashoda za unos u SAP'!$C$3:$C$501,"=552",'Plan rashoda za unos u SAP'!$M$3:$M$501,"=313")+SUMIFS('ANALITIKA EU PROJEKATA'!$G$3:$G$501,'ANALITIKA EU PROJEKATA'!$A$3:$A$501,"=552",'ANALITIKA EU PROJEKATA'!$P$3:$P$501,"=313")</f>
        <v>0</v>
      </c>
      <c r="M8" s="140">
        <f>SUMIFS('Plan rashoda za unos u SAP'!$I$3:$I$501,'Plan rashoda za unos u SAP'!$C$3:$C$501,"=559",'Plan rashoda za unos u SAP'!$M$3:$M$501,"=313")+SUMIFS('ANALITIKA EU PROJEKATA'!$G$3:$G$501,'ANALITIKA EU PROJEKATA'!$A$3:$A$501,"=559",'ANALITIKA EU PROJEKATA'!$P$3:$P$501,"=313")</f>
        <v>0</v>
      </c>
      <c r="N8" s="140">
        <f>SUMIFS('Plan rashoda za unos u SAP'!$I$3:$I$501,'Plan rashoda za unos u SAP'!$C$3:$C$501,"=561",'Plan rashoda za unos u SAP'!$M$3:$M$501,"=313")+SUMIFS('ANALITIKA EU PROJEKATA'!$G$3:$G$501,'ANALITIKA EU PROJEKATA'!$A$3:$A$501,"=561",'ANALITIKA EU PROJEKATA'!$P$3:$P$501,"=313")</f>
        <v>44534</v>
      </c>
      <c r="O8" s="140">
        <f>SUMIFS('Plan rashoda za unos u SAP'!$I$3:$I$501,'Plan rashoda za unos u SAP'!$C$3:$C$501,"=563",'Plan rashoda za unos u SAP'!$M$3:$M$501,"=313")+SUMIFS('ANALITIKA EU PROJEKATA'!$G$3:$G$501,'ANALITIKA EU PROJEKATA'!$A$3:$A$501,"=563",'ANALITIKA EU PROJEKATA'!$P$3:$P$501,"=313")</f>
        <v>0</v>
      </c>
      <c r="P8" s="140">
        <f>SUMIFS('Plan rashoda za unos u SAP'!$I$3:$I$501,'Plan rashoda za unos u SAP'!$C$3:$C$501,"=573",'Plan rashoda za unos u SAP'!$M$3:$M$501,"=313")+SUMIFS('ANALITIKA EU PROJEKATA'!$G$3:$G$501,'ANALITIKA EU PROJEKATA'!$A$3:$A$501,"=573",'ANALITIKA EU PROJEKATA'!$P$3:$P$501,"=313")</f>
        <v>0</v>
      </c>
      <c r="Q8" s="140">
        <f>SUMIFS('Plan rashoda za unos u SAP'!$I$3:$I$501,'Plan rashoda za unos u SAP'!$C$3:$C$501,"=575",'Plan rashoda za unos u SAP'!$M$3:$M$501,"=313")+SUMIFS('ANALITIKA EU PROJEKATA'!$G$3:$G$501,'ANALITIKA EU PROJEKATA'!$A$3:$A$501,"=575",'ANALITIKA EU PROJEKATA'!$P$3:$P$501,"=313")</f>
        <v>0</v>
      </c>
      <c r="R8" s="140">
        <f>SUMIFS('Plan rashoda za unos u SAP'!$I$3:$I$501,'Plan rashoda za unos u SAP'!$C$3:$C$501,"=576",'Plan rashoda za unos u SAP'!$M$3:$M$501,"=313")+SUMIFS('ANALITIKA EU PROJEKATA'!$G$3:$G$501,'ANALITIKA EU PROJEKATA'!$A$3:$A$501,"=576",'ANALITIKA EU PROJEKATA'!$P$3:$P$501,"=313")</f>
        <v>0</v>
      </c>
      <c r="S8" s="140">
        <f>SUMIFS('Plan rashoda za unos u SAP'!$I$3:$I$501,'Plan rashoda za unos u SAP'!$C$3:$C$501,"=61",'Plan rashoda za unos u SAP'!$M$3:$M$501,"=313")+SUMIFS('ANALITIKA EU PROJEKATA'!$G$3:$G$501,'ANALITIKA EU PROJEKATA'!$A$3:$A$501,"=61",'ANALITIKA EU PROJEKATA'!$P$3:$P$501,"=313")</f>
        <v>12800</v>
      </c>
      <c r="T8" s="140">
        <f>SUMIFS('Plan rashoda za unos u SAP'!$I$3:$I$501,'Plan rashoda za unos u SAP'!$C$3:$C$501,"=63",'Plan rashoda za unos u SAP'!$M$3:$M$501,"=313")+SUMIFS('ANALITIKA EU PROJEKATA'!$G$3:$G$501,'ANALITIKA EU PROJEKATA'!$A$3:$A$501,"=63",'ANALITIKA EU PROJEKATA'!$P$3:$P$501,"=313")</f>
        <v>0</v>
      </c>
      <c r="U8" s="140">
        <f>SUMIFS('Plan rashoda za unos u SAP'!$I$3:$I$501,'Plan rashoda za unos u SAP'!$C$3:$C$501,"=71",'Plan rashoda za unos u SAP'!$M$3:$M$501,"=313")+SUMIFS('ANALITIKA EU PROJEKATA'!$G$3:$G$501,'ANALITIKA EU PROJEKATA'!$A$3:$A$501,"=71",'ANALITIKA EU PROJEKATA'!$P$3:$P$501,"=313")</f>
        <v>0</v>
      </c>
      <c r="V8" s="140">
        <f>SUMIFS('Plan rashoda za unos u SAP'!$I$3:$I$501,'Plan rashoda za unos u SAP'!$C$3:$C$501,"=81",'Plan rashoda za unos u SAP'!$M$3:$M$501,"=313")+SUMIFS('ANALITIKA EU PROJEKATA'!$G$3:$G$501,'ANALITIKA EU PROJEKATA'!$A$3:$A$501,"=81",'ANALITIKA EU PROJEKATA'!$P$3:$P$501,"=313")</f>
        <v>0</v>
      </c>
      <c r="W8" s="140">
        <f>SUMIFS('Plan rashoda za unos u SAP'!$I$3:$I$501,'Plan rashoda za unos u SAP'!$C$3:$C$501,"=83",'Plan rashoda za unos u SAP'!$M$3:$M$501,"=313")+SUMIFS('ANALITIKA EU PROJEKATA'!$G$3:$G$501,'ANALITIKA EU PROJEKATA'!$A$3:$A$501,"=83",'ANALITIKA EU PROJEKATA'!$P$3:$P$501,"=313")</f>
        <v>0</v>
      </c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  <c r="EE8" s="72"/>
      <c r="EF8" s="72"/>
      <c r="EG8" s="72"/>
      <c r="EH8" s="72"/>
      <c r="EI8" s="72"/>
      <c r="EJ8" s="72"/>
      <c r="EK8" s="72"/>
      <c r="EL8" s="72"/>
      <c r="EM8" s="72"/>
      <c r="EN8" s="72"/>
      <c r="EO8" s="72"/>
      <c r="EP8" s="72"/>
      <c r="EQ8" s="72"/>
      <c r="ER8" s="72"/>
      <c r="ES8" s="72"/>
      <c r="ET8" s="72"/>
      <c r="EU8" s="72"/>
      <c r="EV8" s="72"/>
      <c r="EW8" s="72"/>
      <c r="EX8" s="72"/>
      <c r="EY8" s="72"/>
      <c r="EZ8" s="72"/>
      <c r="FA8" s="72"/>
      <c r="FB8" s="72"/>
      <c r="FC8" s="72"/>
      <c r="FD8" s="72"/>
      <c r="FE8" s="72"/>
      <c r="FF8" s="72"/>
      <c r="FG8" s="72"/>
      <c r="FH8" s="72"/>
      <c r="FI8" s="72"/>
      <c r="FJ8" s="72"/>
      <c r="FK8" s="72"/>
      <c r="FL8" s="72"/>
      <c r="FM8" s="72"/>
      <c r="FN8" s="72"/>
      <c r="FO8" s="72"/>
      <c r="FP8" s="72"/>
      <c r="FQ8" s="72"/>
      <c r="FR8" s="72"/>
      <c r="FS8" s="72"/>
      <c r="FT8" s="72"/>
      <c r="FU8" s="72"/>
      <c r="FV8" s="72"/>
      <c r="FW8" s="72"/>
      <c r="FX8" s="72"/>
      <c r="FY8" s="72"/>
      <c r="FZ8" s="72"/>
      <c r="GA8" s="72"/>
      <c r="GB8" s="72"/>
      <c r="GC8" s="72"/>
      <c r="GD8" s="72"/>
      <c r="GE8" s="72"/>
      <c r="GF8" s="72"/>
      <c r="GG8" s="72"/>
      <c r="GH8" s="72"/>
      <c r="GI8" s="72"/>
      <c r="GJ8" s="72"/>
      <c r="GK8" s="72"/>
      <c r="GL8" s="73"/>
      <c r="GM8" s="73"/>
      <c r="GN8" s="73"/>
      <c r="GO8" s="73"/>
      <c r="GP8" s="73"/>
      <c r="GQ8" s="73"/>
      <c r="GR8" s="73"/>
      <c r="GS8" s="73"/>
      <c r="GT8" s="73"/>
      <c r="GU8" s="73"/>
      <c r="GV8" s="73"/>
      <c r="GW8" s="73"/>
      <c r="GX8" s="73"/>
      <c r="GY8" s="73"/>
      <c r="GZ8" s="73"/>
      <c r="HA8" s="73"/>
      <c r="HB8" s="73"/>
      <c r="HC8" s="73"/>
      <c r="HD8" s="73"/>
      <c r="HE8" s="73"/>
      <c r="HF8" s="73"/>
      <c r="HG8" s="73"/>
      <c r="HH8" s="73"/>
      <c r="HI8" s="73"/>
      <c r="HJ8" s="73"/>
      <c r="HK8" s="73"/>
      <c r="HL8" s="73"/>
      <c r="HM8" s="73"/>
      <c r="HN8" s="73"/>
      <c r="HO8" s="73"/>
      <c r="HP8" s="73"/>
      <c r="HQ8" s="73"/>
      <c r="HR8" s="73"/>
      <c r="HS8" s="73"/>
      <c r="HT8" s="73"/>
      <c r="HU8" s="73"/>
      <c r="HV8" s="73"/>
      <c r="HW8" s="73"/>
      <c r="HX8" s="73"/>
      <c r="HY8" s="73"/>
      <c r="HZ8" s="73"/>
      <c r="IA8" s="73"/>
      <c r="IB8" s="73"/>
      <c r="IC8" s="73"/>
      <c r="ID8" s="73"/>
      <c r="IE8" s="73"/>
      <c r="IF8" s="73"/>
      <c r="IG8" s="73"/>
      <c r="IH8" s="73"/>
      <c r="II8" s="73"/>
      <c r="IJ8" s="73"/>
      <c r="IK8" s="73"/>
      <c r="IL8" s="73"/>
      <c r="IM8" s="73"/>
      <c r="IN8" s="73"/>
      <c r="IO8" s="73"/>
      <c r="IP8" s="73"/>
      <c r="IQ8" s="73"/>
      <c r="IR8" s="73"/>
      <c r="IS8" s="73"/>
      <c r="IT8" s="73"/>
      <c r="IU8" s="73"/>
      <c r="IV8" s="73"/>
      <c r="IW8" s="73"/>
      <c r="IX8" s="73"/>
      <c r="IY8" s="73"/>
      <c r="IZ8" s="73"/>
      <c r="JA8" s="73"/>
      <c r="JB8" s="73"/>
      <c r="JC8" s="73"/>
    </row>
    <row r="9" spans="1:263" s="85" customFormat="1" ht="12.6" customHeight="1">
      <c r="A9" s="22">
        <v>2021</v>
      </c>
      <c r="B9" s="84">
        <v>32</v>
      </c>
      <c r="C9" s="15" t="s">
        <v>206</v>
      </c>
      <c r="D9" s="4">
        <f t="shared" si="1"/>
        <v>7519956</v>
      </c>
      <c r="E9" s="78">
        <f t="shared" ref="E9:W9" si="4">SUM(E10:E14)</f>
        <v>3468900</v>
      </c>
      <c r="F9" s="78">
        <f t="shared" si="4"/>
        <v>0</v>
      </c>
      <c r="G9" s="78">
        <f>SUM(G10:G14)</f>
        <v>1440000</v>
      </c>
      <c r="H9" s="78">
        <f>SUM(H10:H14)</f>
        <v>0</v>
      </c>
      <c r="I9" s="78">
        <f t="shared" si="4"/>
        <v>877625</v>
      </c>
      <c r="J9" s="78">
        <f t="shared" si="4"/>
        <v>823275</v>
      </c>
      <c r="K9" s="78">
        <f t="shared" si="4"/>
        <v>286750</v>
      </c>
      <c r="L9" s="78">
        <f>SUM(L10:L14)</f>
        <v>0</v>
      </c>
      <c r="M9" s="78">
        <f t="shared" si="4"/>
        <v>0</v>
      </c>
      <c r="N9" s="78">
        <f t="shared" si="4"/>
        <v>583406</v>
      </c>
      <c r="O9" s="78">
        <f t="shared" si="4"/>
        <v>0</v>
      </c>
      <c r="P9" s="78">
        <f>SUM(P10:P14)</f>
        <v>0</v>
      </c>
      <c r="Q9" s="78">
        <f>SUM(Q10:Q14)</f>
        <v>0</v>
      </c>
      <c r="R9" s="78">
        <f>SUM(R10:R14)</f>
        <v>0</v>
      </c>
      <c r="S9" s="78">
        <f t="shared" si="4"/>
        <v>40000</v>
      </c>
      <c r="T9" s="78">
        <f t="shared" si="4"/>
        <v>0</v>
      </c>
      <c r="U9" s="78">
        <f t="shared" si="4"/>
        <v>0</v>
      </c>
      <c r="V9" s="78">
        <f t="shared" si="4"/>
        <v>0</v>
      </c>
      <c r="W9" s="78">
        <f t="shared" si="4"/>
        <v>0</v>
      </c>
      <c r="GL9" s="86"/>
      <c r="GM9" s="86"/>
      <c r="GN9" s="86"/>
      <c r="GO9" s="86"/>
      <c r="GP9" s="86"/>
      <c r="GQ9" s="86"/>
      <c r="GR9" s="86"/>
      <c r="GS9" s="86"/>
      <c r="GT9" s="86"/>
      <c r="GU9" s="86"/>
      <c r="GV9" s="86"/>
      <c r="GW9" s="86"/>
      <c r="GX9" s="86"/>
      <c r="GY9" s="86"/>
      <c r="GZ9" s="86"/>
      <c r="HA9" s="86"/>
      <c r="HB9" s="86"/>
      <c r="HC9" s="86"/>
      <c r="HD9" s="86"/>
      <c r="HE9" s="86"/>
      <c r="HF9" s="86"/>
      <c r="HG9" s="86"/>
      <c r="HH9" s="86"/>
      <c r="HI9" s="86"/>
      <c r="HJ9" s="86"/>
      <c r="HK9" s="86"/>
      <c r="HL9" s="86"/>
      <c r="HM9" s="86"/>
      <c r="HN9" s="86"/>
      <c r="HO9" s="86"/>
      <c r="HP9" s="86"/>
      <c r="HQ9" s="86"/>
      <c r="HR9" s="86"/>
      <c r="HS9" s="86"/>
      <c r="HT9" s="86"/>
      <c r="HU9" s="86"/>
      <c r="HV9" s="86"/>
      <c r="HW9" s="86"/>
      <c r="HX9" s="86"/>
      <c r="HY9" s="86"/>
      <c r="HZ9" s="86"/>
      <c r="IA9" s="86"/>
      <c r="IB9" s="86"/>
      <c r="IC9" s="86"/>
      <c r="ID9" s="86"/>
      <c r="IE9" s="86"/>
      <c r="IF9" s="86"/>
      <c r="IG9" s="86"/>
      <c r="IH9" s="86"/>
      <c r="II9" s="86"/>
      <c r="IJ9" s="86"/>
      <c r="IK9" s="86"/>
      <c r="IL9" s="86"/>
      <c r="IM9" s="86"/>
      <c r="IN9" s="86"/>
      <c r="IO9" s="86"/>
      <c r="IP9" s="86"/>
      <c r="IQ9" s="86"/>
      <c r="IR9" s="86"/>
      <c r="IS9" s="86"/>
      <c r="IT9" s="86"/>
      <c r="IU9" s="86"/>
      <c r="IV9" s="86"/>
      <c r="IW9" s="86"/>
      <c r="IX9" s="86"/>
      <c r="IY9" s="86"/>
      <c r="IZ9" s="86"/>
      <c r="JA9" s="86"/>
      <c r="JB9" s="86"/>
      <c r="JC9" s="86"/>
    </row>
    <row r="10" spans="1:263" s="74" customFormat="1" ht="12.6" customHeight="1">
      <c r="A10" s="22">
        <v>2021</v>
      </c>
      <c r="B10" s="81">
        <v>321</v>
      </c>
      <c r="C10" s="81" t="s">
        <v>207</v>
      </c>
      <c r="D10" s="14">
        <f t="shared" si="1"/>
        <v>1266432</v>
      </c>
      <c r="E10" s="140">
        <f>SUMIFS('Plan rashoda za unos u SAP'!$I$3:$I$501,'Plan rashoda za unos u SAP'!$C$3:$C$501,"=11",'Plan rashoda za unos u SAP'!$M$3:$M$501,"=321")+SUMIFS('ANALITIKA EU PROJEKATA'!$G$3:$G$501,'ANALITIKA EU PROJEKATA'!$A$3:$A$501,"=11",'ANALITIKA EU PROJEKATA'!$P$3:$P$501,"=321")</f>
        <v>589170</v>
      </c>
      <c r="F10" s="140">
        <f>SUMIFS('Plan rashoda za unos u SAP'!$I$3:$I$501,'Plan rashoda za unos u SAP'!$C$3:$C$501,"=12",'Plan rashoda za unos u SAP'!$M$3:$M$501,"=321")+SUMIFS('ANALITIKA EU PROJEKATA'!$G$3:$G$501,'ANALITIKA EU PROJEKATA'!$A$3:$A$501,"=12",'ANALITIKA EU PROJEKATA'!$P$3:$P$501,"=321")</f>
        <v>0</v>
      </c>
      <c r="G10" s="140">
        <f>SUMIFS('Plan rashoda za unos u SAP'!$I$3:$I$501,'Plan rashoda za unos u SAP'!$C$3:$C$501,"=31",'Plan rashoda za unos u SAP'!$M$3:$M$501,"=321")+SUMIFS('ANALITIKA EU PROJEKATA'!$G$3:$G$501,'ANALITIKA EU PROJEKATA'!$A$3:$A$501,"=31",'ANALITIKA EU PROJEKATA'!$P$3:$P$501,"=321")</f>
        <v>160000</v>
      </c>
      <c r="H10" s="140">
        <f>SUMIFS('Plan rashoda za unos u SAP'!$I$3:$I$501,'Plan rashoda za unos u SAP'!$C$3:$C$501,"=41",'Plan rashoda za unos u SAP'!$M$3:$M$501,"=321")+SUMIFS('ANALITIKA EU PROJEKATA'!$G$3:$G$501,'ANALITIKA EU PROJEKATA'!$A$3:$A$501,"=41",'ANALITIKA EU PROJEKATA'!$P$3:$P$501,"=321")</f>
        <v>0</v>
      </c>
      <c r="I10" s="140">
        <f>SUMIFS('Plan rashoda za unos u SAP'!$I$3:$I$501,'Plan rashoda za unos u SAP'!$C$3:$C$501,"=43",'Plan rashoda za unos u SAP'!$M$3:$M$501,"=321")+SUMIFS('ANALITIKA EU PROJEKATA'!$G$3:$G$501,'ANALITIKA EU PROJEKATA'!$A$3:$A$501,"=43",'ANALITIKA EU PROJEKATA'!$P$3:$P$501,"=321")</f>
        <v>229125</v>
      </c>
      <c r="J10" s="140">
        <f>SUMIFS('Plan rashoda za unos u SAP'!$I$3:$I$501,'Plan rashoda za unos u SAP'!$C$3:$C$501,"=51",'Plan rashoda za unos u SAP'!$M$3:$M$501,"=321")+SUMIFS('ANALITIKA EU PROJEKATA'!$G$3:$G$501,'ANALITIKA EU PROJEKATA'!$A$3:$A$501,"=51",'ANALITIKA EU PROJEKATA'!$P$3:$P$501,"=321")</f>
        <v>113137</v>
      </c>
      <c r="K10" s="140">
        <f>SUMIFS('Plan rashoda za unos u SAP'!$I$3:$I$501,'Plan rashoda za unos u SAP'!$C$3:$C$501,"=52",'Plan rashoda za unos u SAP'!$M$3:$M$501,"=321")+SUMIFS('ANALITIKA EU PROJEKATA'!$G$3:$G$501,'ANALITIKA EU PROJEKATA'!$A$3:$A$501,"=52",'ANALITIKA EU PROJEKATA'!$P$3:$P$501,"=321")</f>
        <v>175000</v>
      </c>
      <c r="L10" s="140">
        <f>SUMIFS('Plan rashoda za unos u SAP'!$I$3:$I$501,'Plan rashoda za unos u SAP'!$C$3:$C$501,"=552",'Plan rashoda za unos u SAP'!$M$3:$M$501,"=321")+SUMIFS('ANALITIKA EU PROJEKATA'!$G$3:$G$501,'ANALITIKA EU PROJEKATA'!$A$3:$A$501,"=552",'ANALITIKA EU PROJEKATA'!$P$3:$P$501,"=321")</f>
        <v>0</v>
      </c>
      <c r="M10" s="140">
        <f>SUMIFS('Plan rashoda za unos u SAP'!$I$3:$I$501,'Plan rashoda za unos u SAP'!$C$3:$C$501,"=559",'Plan rashoda za unos u SAP'!$M$3:$M$501,"=321")+SUMIFS('ANALITIKA EU PROJEKATA'!$G$3:$G$501,'ANALITIKA EU PROJEKATA'!$A$3:$A$501,"=559",'ANALITIKA EU PROJEKATA'!$P$3:$P$501,"=321")</f>
        <v>0</v>
      </c>
      <c r="N10" s="140">
        <f>SUMIFS('Plan rashoda za unos u SAP'!$I$3:$I$501,'Plan rashoda za unos u SAP'!$C$3:$C$501,"=561",'Plan rashoda za unos u SAP'!$M$3:$M$501,"=321")+SUMIFS('ANALITIKA EU PROJEKATA'!$G$3:$G$501,'ANALITIKA EU PROJEKATA'!$A$3:$A$501,"=561",'ANALITIKA EU PROJEKATA'!$P$3:$P$501,"=321")</f>
        <v>0</v>
      </c>
      <c r="O10" s="140">
        <f>SUMIFS('Plan rashoda za unos u SAP'!$I$3:$I$501,'Plan rashoda za unos u SAP'!$C$3:$C$501,"=563",'Plan rashoda za unos u SAP'!$M$3:$M$501,"=321")+SUMIFS('ANALITIKA EU PROJEKATA'!$G$3:$G$501,'ANALITIKA EU PROJEKATA'!$A$3:$A$501,"=563",'ANALITIKA EU PROJEKATA'!$P$3:$P$501,"=321")</f>
        <v>0</v>
      </c>
      <c r="P10" s="140">
        <f>SUMIFS('Plan rashoda za unos u SAP'!$I$3:$I$501,'Plan rashoda za unos u SAP'!$C$3:$C$501,"=573",'Plan rashoda za unos u SAP'!$M$3:$M$501,"=321")+SUMIFS('ANALITIKA EU PROJEKATA'!$G$3:$G$501,'ANALITIKA EU PROJEKATA'!$A$3:$A$501,"=573",'ANALITIKA EU PROJEKATA'!$P$3:$P$501,"=321")</f>
        <v>0</v>
      </c>
      <c r="Q10" s="140">
        <f>SUMIFS('Plan rashoda za unos u SAP'!$I$3:$I$501,'Plan rashoda za unos u SAP'!$C$3:$C$501,"=575",'Plan rashoda za unos u SAP'!$M$3:$M$501,"=321")+SUMIFS('ANALITIKA EU PROJEKATA'!$G$3:$G$501,'ANALITIKA EU PROJEKATA'!$A$3:$A$501,"=575",'ANALITIKA EU PROJEKATA'!$P$3:$P$501,"=321")</f>
        <v>0</v>
      </c>
      <c r="R10" s="140">
        <f>SUMIFS('Plan rashoda za unos u SAP'!$I$3:$I$501,'Plan rashoda za unos u SAP'!$C$3:$C$501,"=576",'Plan rashoda za unos u SAP'!$M$3:$M$501,"=321")+SUMIFS('ANALITIKA EU PROJEKATA'!$G$3:$G$501,'ANALITIKA EU PROJEKATA'!$A$3:$A$501,"=576",'ANALITIKA EU PROJEKATA'!$P$3:$P$501,"=321")</f>
        <v>0</v>
      </c>
      <c r="S10" s="140">
        <f>SUMIFS('Plan rashoda za unos u SAP'!$I$3:$I$501,'Plan rashoda za unos u SAP'!$C$3:$C$501,"=61",'Plan rashoda za unos u SAP'!$M$3:$M$501,"=321")+SUMIFS('ANALITIKA EU PROJEKATA'!$G$3:$G$501,'ANALITIKA EU PROJEKATA'!$A$3:$A$501,"=61",'ANALITIKA EU PROJEKATA'!$P$3:$P$501,"=321")</f>
        <v>0</v>
      </c>
      <c r="T10" s="140">
        <f>SUMIFS('Plan rashoda za unos u SAP'!$I$3:$I$501,'Plan rashoda za unos u SAP'!$C$3:$C$501,"=63",'Plan rashoda za unos u SAP'!$M$3:$M$501,"=321")+SUMIFS('ANALITIKA EU PROJEKATA'!$G$3:$G$501,'ANALITIKA EU PROJEKATA'!$A$3:$A$501,"=63",'ANALITIKA EU PROJEKATA'!$P$3:$P$501,"=321")</f>
        <v>0</v>
      </c>
      <c r="U10" s="140">
        <f>SUMIFS('Plan rashoda za unos u SAP'!$I$3:$I$501,'Plan rashoda za unos u SAP'!$C$3:$C$501,"=71",'Plan rashoda za unos u SAP'!$M$3:$M$501,"=321")+SUMIFS('ANALITIKA EU PROJEKATA'!$G$3:$G$501,'ANALITIKA EU PROJEKATA'!$A$3:$A$501,"=71",'ANALITIKA EU PROJEKATA'!$P$3:$P$501,"=321")</f>
        <v>0</v>
      </c>
      <c r="V10" s="140">
        <f>SUMIFS('Plan rashoda za unos u SAP'!$I$3:$I$501,'Plan rashoda za unos u SAP'!$C$3:$C$501,"=81",'Plan rashoda za unos u SAP'!$M$3:$M$501,"=321")+SUMIFS('ANALITIKA EU PROJEKATA'!$G$3:$G$501,'ANALITIKA EU PROJEKATA'!$A$3:$A$501,"=81",'ANALITIKA EU PROJEKATA'!$P$3:$P$501,"=321")</f>
        <v>0</v>
      </c>
      <c r="W10" s="140">
        <f>SUMIFS('Plan rashoda za unos u SAP'!$I$3:$I$501,'Plan rashoda za unos u SAP'!$C$3:$C$501,"=83",'Plan rashoda za unos u SAP'!$M$3:$M$501,"=321")+SUMIFS('ANALITIKA EU PROJEKATA'!$G$3:$G$501,'ANALITIKA EU PROJEKATA'!$A$3:$A$501,"=83",'ANALITIKA EU PROJEKATA'!$P$3:$P$501,"=321")</f>
        <v>0</v>
      </c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  <c r="EE10" s="72"/>
      <c r="EF10" s="72"/>
      <c r="EG10" s="72"/>
      <c r="EH10" s="72"/>
      <c r="EI10" s="72"/>
      <c r="EJ10" s="72"/>
      <c r="EK10" s="72"/>
      <c r="EL10" s="72"/>
      <c r="EM10" s="72"/>
      <c r="EN10" s="72"/>
      <c r="EO10" s="72"/>
      <c r="EP10" s="72"/>
      <c r="EQ10" s="72"/>
      <c r="ER10" s="72"/>
      <c r="ES10" s="72"/>
      <c r="ET10" s="72"/>
      <c r="EU10" s="72"/>
      <c r="EV10" s="72"/>
      <c r="EW10" s="72"/>
      <c r="EX10" s="72"/>
      <c r="EY10" s="72"/>
      <c r="EZ10" s="72"/>
      <c r="FA10" s="72"/>
      <c r="FB10" s="72"/>
      <c r="FC10" s="72"/>
      <c r="FD10" s="72"/>
      <c r="FE10" s="72"/>
      <c r="FF10" s="72"/>
      <c r="FG10" s="72"/>
      <c r="FH10" s="72"/>
      <c r="FI10" s="72"/>
      <c r="FJ10" s="72"/>
      <c r="FK10" s="72"/>
      <c r="FL10" s="72"/>
      <c r="FM10" s="72"/>
      <c r="FN10" s="72"/>
      <c r="FO10" s="72"/>
      <c r="FP10" s="72"/>
      <c r="FQ10" s="72"/>
      <c r="FR10" s="72"/>
      <c r="FS10" s="72"/>
      <c r="FT10" s="72"/>
      <c r="FU10" s="72"/>
      <c r="FV10" s="72"/>
      <c r="FW10" s="72"/>
      <c r="FX10" s="72"/>
      <c r="FY10" s="72"/>
      <c r="FZ10" s="72"/>
      <c r="GA10" s="72"/>
      <c r="GB10" s="72"/>
      <c r="GC10" s="72"/>
      <c r="GD10" s="72"/>
      <c r="GE10" s="72"/>
      <c r="GF10" s="72"/>
      <c r="GG10" s="72"/>
      <c r="GH10" s="72"/>
      <c r="GI10" s="72"/>
      <c r="GJ10" s="72"/>
      <c r="GK10" s="72"/>
      <c r="GL10" s="73"/>
      <c r="GM10" s="73"/>
      <c r="GN10" s="73"/>
      <c r="GO10" s="73"/>
      <c r="GP10" s="73"/>
      <c r="GQ10" s="73"/>
      <c r="GR10" s="73"/>
      <c r="GS10" s="73"/>
      <c r="GT10" s="73"/>
      <c r="GU10" s="73"/>
      <c r="GV10" s="73"/>
      <c r="GW10" s="73"/>
      <c r="GX10" s="73"/>
      <c r="GY10" s="73"/>
      <c r="GZ10" s="73"/>
      <c r="HA10" s="73"/>
      <c r="HB10" s="73"/>
      <c r="HC10" s="73"/>
      <c r="HD10" s="73"/>
      <c r="HE10" s="73"/>
      <c r="HF10" s="73"/>
      <c r="HG10" s="73"/>
      <c r="HH10" s="73"/>
      <c r="HI10" s="73"/>
      <c r="HJ10" s="73"/>
      <c r="HK10" s="73"/>
      <c r="HL10" s="73"/>
      <c r="HM10" s="73"/>
      <c r="HN10" s="73"/>
      <c r="HO10" s="73"/>
      <c r="HP10" s="73"/>
      <c r="HQ10" s="73"/>
      <c r="HR10" s="73"/>
      <c r="HS10" s="73"/>
      <c r="HT10" s="73"/>
      <c r="HU10" s="73"/>
      <c r="HV10" s="73"/>
      <c r="HW10" s="73"/>
      <c r="HX10" s="73"/>
      <c r="HY10" s="73"/>
      <c r="HZ10" s="73"/>
      <c r="IA10" s="73"/>
      <c r="IB10" s="73"/>
      <c r="IC10" s="73"/>
      <c r="ID10" s="73"/>
      <c r="IE10" s="73"/>
      <c r="IF10" s="73"/>
      <c r="IG10" s="73"/>
      <c r="IH10" s="73"/>
      <c r="II10" s="73"/>
      <c r="IJ10" s="73"/>
      <c r="IK10" s="73"/>
      <c r="IL10" s="73"/>
      <c r="IM10" s="73"/>
      <c r="IN10" s="73"/>
      <c r="IO10" s="73"/>
      <c r="IP10" s="73"/>
      <c r="IQ10" s="73"/>
      <c r="IR10" s="73"/>
      <c r="IS10" s="73"/>
      <c r="IT10" s="73"/>
      <c r="IU10" s="73"/>
      <c r="IV10" s="73"/>
      <c r="IW10" s="73"/>
      <c r="IX10" s="73"/>
      <c r="IY10" s="73"/>
      <c r="IZ10" s="73"/>
      <c r="JA10" s="73"/>
      <c r="JB10" s="73"/>
      <c r="JC10" s="73"/>
    </row>
    <row r="11" spans="1:263" s="5" customFormat="1" ht="12.6" customHeight="1">
      <c r="A11" s="22">
        <v>2021</v>
      </c>
      <c r="B11" s="82">
        <v>322</v>
      </c>
      <c r="C11" s="8" t="s">
        <v>208</v>
      </c>
      <c r="D11" s="14">
        <f t="shared" si="1"/>
        <v>1110553</v>
      </c>
      <c r="E11" s="140">
        <f>SUMIFS('Plan rashoda za unos u SAP'!$I$3:$I$501,'Plan rashoda za unos u SAP'!$C$3:$C$501,"=11",'Plan rashoda za unos u SAP'!$M$3:$M$501,"=322")+SUMIFS('ANALITIKA EU PROJEKATA'!$G$3:$G$501,'ANALITIKA EU PROJEKATA'!$A$3:$A$501,"=11",'ANALITIKA EU PROJEKATA'!$P$3:$P$501,"=322")</f>
        <v>731000</v>
      </c>
      <c r="F11" s="140">
        <f>SUMIFS('Plan rashoda za unos u SAP'!$I$3:$I$501,'Plan rashoda za unos u SAP'!$C$3:$C$501,"=12",'Plan rashoda za unos u SAP'!$M$3:$M$501,"=322")+SUMIFS('ANALITIKA EU PROJEKATA'!$G$3:$G$501,'ANALITIKA EU PROJEKATA'!$A$3:$A$501,"=12",'ANALITIKA EU PROJEKATA'!$P$3:$P$501,"=322")</f>
        <v>0</v>
      </c>
      <c r="G11" s="140">
        <f>SUMIFS('Plan rashoda za unos u SAP'!$I$3:$I$501,'Plan rashoda za unos u SAP'!$C$3:$C$501,"=31",'Plan rashoda za unos u SAP'!$M$3:$M$501,"=322")+SUMIFS('ANALITIKA EU PROJEKATA'!$G$3:$G$501,'ANALITIKA EU PROJEKATA'!$A$3:$A$501,"=31",'ANALITIKA EU PROJEKATA'!$P$3:$P$501,"=322")</f>
        <v>145000</v>
      </c>
      <c r="H11" s="140">
        <f>SUMIFS('Plan rashoda za unos u SAP'!$I$3:$I$501,'Plan rashoda za unos u SAP'!$C$3:$C$501,"=41",'Plan rashoda za unos u SAP'!$M$3:$M$501,"=322")+SUMIFS('ANALITIKA EU PROJEKATA'!$G$3:$G$501,'ANALITIKA EU PROJEKATA'!$A$3:$A$501,"=41",'ANALITIKA EU PROJEKATA'!$P$3:$P$501,"=322")</f>
        <v>0</v>
      </c>
      <c r="I11" s="140">
        <f>SUMIFS('Plan rashoda za unos u SAP'!$I$3:$I$501,'Plan rashoda za unos u SAP'!$C$3:$C$501,"=43",'Plan rashoda za unos u SAP'!$M$3:$M$501,"=322")+SUMIFS('ANALITIKA EU PROJEKATA'!$G$3:$G$501,'ANALITIKA EU PROJEKATA'!$A$3:$A$501,"=43",'ANALITIKA EU PROJEKATA'!$P$3:$P$501,"=322")</f>
        <v>38000</v>
      </c>
      <c r="J11" s="140">
        <f>SUMIFS('Plan rashoda za unos u SAP'!$I$3:$I$501,'Plan rashoda za unos u SAP'!$C$3:$C$501,"=51",'Plan rashoda za unos u SAP'!$M$3:$M$501,"=322")+SUMIFS('ANALITIKA EU PROJEKATA'!$G$3:$G$501,'ANALITIKA EU PROJEKATA'!$A$3:$A$501,"=51",'ANALITIKA EU PROJEKATA'!$P$3:$P$501,"=322")</f>
        <v>124388</v>
      </c>
      <c r="K11" s="140">
        <f>SUMIFS('Plan rashoda za unos u SAP'!$I$3:$I$501,'Plan rashoda za unos u SAP'!$C$3:$C$501,"=52",'Plan rashoda za unos u SAP'!$M$3:$M$501,"=322")+SUMIFS('ANALITIKA EU PROJEKATA'!$G$3:$G$501,'ANALITIKA EU PROJEKATA'!$A$3:$A$501,"=52",'ANALITIKA EU PROJEKATA'!$P$3:$P$501,"=322")</f>
        <v>25000</v>
      </c>
      <c r="L11" s="140">
        <f>SUMIFS('Plan rashoda za unos u SAP'!$I$3:$I$501,'Plan rashoda za unos u SAP'!$C$3:$C$501,"=552",'Plan rashoda za unos u SAP'!$M$3:$M$501,"=322")+SUMIFS('ANALITIKA EU PROJEKATA'!$G$3:$G$501,'ANALITIKA EU PROJEKATA'!$A$3:$A$501,"=552",'ANALITIKA EU PROJEKATA'!$P$3:$P$501,"=322")</f>
        <v>0</v>
      </c>
      <c r="M11" s="140">
        <f>SUMIFS('Plan rashoda za unos u SAP'!$I$3:$I$501,'Plan rashoda za unos u SAP'!$C$3:$C$501,"=559",'Plan rashoda za unos u SAP'!$M$3:$M$501,"=322")+SUMIFS('ANALITIKA EU PROJEKATA'!$G$3:$G$501,'ANALITIKA EU PROJEKATA'!$A$3:$A$501,"=559",'ANALITIKA EU PROJEKATA'!$P$3:$P$501,"=322")</f>
        <v>0</v>
      </c>
      <c r="N11" s="140">
        <f>SUMIFS('Plan rashoda za unos u SAP'!$I$3:$I$501,'Plan rashoda za unos u SAP'!$C$3:$C$501,"=561",'Plan rashoda za unos u SAP'!$M$3:$M$501,"=322")+SUMIFS('ANALITIKA EU PROJEKATA'!$G$3:$G$501,'ANALITIKA EU PROJEKATA'!$A$3:$A$501,"=561",'ANALITIKA EU PROJEKATA'!$P$3:$P$501,"=322")</f>
        <v>47165</v>
      </c>
      <c r="O11" s="140">
        <f>SUMIFS('Plan rashoda za unos u SAP'!$I$3:$I$501,'Plan rashoda za unos u SAP'!$C$3:$C$501,"=563",'Plan rashoda za unos u SAP'!$M$3:$M$501,"=322")+SUMIFS('ANALITIKA EU PROJEKATA'!$G$3:$G$501,'ANALITIKA EU PROJEKATA'!$A$3:$A$501,"=563",'ANALITIKA EU PROJEKATA'!$P$3:$P$501,"=322")</f>
        <v>0</v>
      </c>
      <c r="P11" s="140">
        <f>SUMIFS('Plan rashoda za unos u SAP'!$I$3:$I$501,'Plan rashoda za unos u SAP'!$C$3:$C$501,"=573",'Plan rashoda za unos u SAP'!$M$3:$M$501,"=322")+SUMIFS('ANALITIKA EU PROJEKATA'!$G$3:$G$501,'ANALITIKA EU PROJEKATA'!$A$3:$A$501,"=573",'ANALITIKA EU PROJEKATA'!$P$3:$P$501,"=322")</f>
        <v>0</v>
      </c>
      <c r="Q11" s="140">
        <f>SUMIFS('Plan rashoda za unos u SAP'!$I$3:$I$501,'Plan rashoda za unos u SAP'!$C$3:$C$501,"=575",'Plan rashoda za unos u SAP'!$M$3:$M$501,"=322")+SUMIFS('ANALITIKA EU PROJEKATA'!$G$3:$G$501,'ANALITIKA EU PROJEKATA'!$A$3:$A$501,"=575",'ANALITIKA EU PROJEKATA'!$P$3:$P$501,"=322")</f>
        <v>0</v>
      </c>
      <c r="R11" s="140">
        <f>SUMIFS('Plan rashoda za unos u SAP'!$I$3:$I$501,'Plan rashoda za unos u SAP'!$C$3:$C$501,"=576",'Plan rashoda za unos u SAP'!$M$3:$M$501,"=322")+SUMIFS('ANALITIKA EU PROJEKATA'!$G$3:$G$501,'ANALITIKA EU PROJEKATA'!$A$3:$A$501,"=576",'ANALITIKA EU PROJEKATA'!$P$3:$P$501,"=322")</f>
        <v>0</v>
      </c>
      <c r="S11" s="140">
        <f>SUMIFS('Plan rashoda za unos u SAP'!$I$3:$I$501,'Plan rashoda za unos u SAP'!$C$3:$C$501,"=61",'Plan rashoda za unos u SAP'!$M$3:$M$501,"=322")+SUMIFS('ANALITIKA EU PROJEKATA'!$G$3:$G$501,'ANALITIKA EU PROJEKATA'!$A$3:$A$501,"=61",'ANALITIKA EU PROJEKATA'!$P$3:$P$501,"=322")</f>
        <v>0</v>
      </c>
      <c r="T11" s="140">
        <f>SUMIFS('Plan rashoda za unos u SAP'!$I$3:$I$501,'Plan rashoda za unos u SAP'!$C$3:$C$501,"=63",'Plan rashoda za unos u SAP'!$M$3:$M$501,"=322")+SUMIFS('ANALITIKA EU PROJEKATA'!$G$3:$G$501,'ANALITIKA EU PROJEKATA'!$A$3:$A$501,"=63",'ANALITIKA EU PROJEKATA'!$P$3:$P$501,"=322")</f>
        <v>0</v>
      </c>
      <c r="U11" s="140">
        <f>SUMIFS('Plan rashoda za unos u SAP'!$I$3:$I$501,'Plan rashoda za unos u SAP'!$C$3:$C$501,"=71",'Plan rashoda za unos u SAP'!$M$3:$M$501,"=322")+SUMIFS('ANALITIKA EU PROJEKATA'!$G$3:$G$501,'ANALITIKA EU PROJEKATA'!$A$3:$A$501,"=71",'ANALITIKA EU PROJEKATA'!$P$3:$P$501,"=322")</f>
        <v>0</v>
      </c>
      <c r="V11" s="140">
        <f>SUMIFS('Plan rashoda za unos u SAP'!$I$3:$I$501,'Plan rashoda za unos u SAP'!$C$3:$C$501,"=81",'Plan rashoda za unos u SAP'!$M$3:$M$501,"=322")+SUMIFS('ANALITIKA EU PROJEKATA'!$G$3:$G$501,'ANALITIKA EU PROJEKATA'!$A$3:$A$501,"=81",'ANALITIKA EU PROJEKATA'!$P$3:$P$501,"=322")</f>
        <v>0</v>
      </c>
      <c r="W11" s="140">
        <f>SUMIFS('Plan rashoda za unos u SAP'!$I$3:$I$501,'Plan rashoda za unos u SAP'!$C$3:$C$501,"=83",'Plan rashoda za unos u SAP'!$M$3:$M$501,"=322")+SUMIFS('ANALITIKA EU PROJEKATA'!$G$3:$G$501,'ANALITIKA EU PROJEKATA'!$A$3:$A$501,"=83",'ANALITIKA EU PROJEKATA'!$P$3:$P$501,"=322")</f>
        <v>0</v>
      </c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  <c r="DY11" s="72"/>
      <c r="DZ11" s="72"/>
      <c r="EA11" s="72"/>
      <c r="EB11" s="72"/>
      <c r="EC11" s="72"/>
      <c r="ED11" s="72"/>
      <c r="EE11" s="72"/>
      <c r="EF11" s="72"/>
      <c r="EG11" s="72"/>
      <c r="EH11" s="72"/>
      <c r="EI11" s="72"/>
      <c r="EJ11" s="72"/>
      <c r="EK11" s="72"/>
      <c r="EL11" s="72"/>
      <c r="EM11" s="72"/>
      <c r="EN11" s="72"/>
      <c r="EO11" s="72"/>
      <c r="EP11" s="72"/>
      <c r="EQ11" s="72"/>
      <c r="ER11" s="72"/>
      <c r="ES11" s="72"/>
      <c r="ET11" s="72"/>
      <c r="EU11" s="72"/>
      <c r="EV11" s="72"/>
      <c r="EW11" s="72"/>
      <c r="EX11" s="72"/>
      <c r="EY11" s="72"/>
      <c r="EZ11" s="72"/>
      <c r="FA11" s="72"/>
      <c r="FB11" s="72"/>
      <c r="FC11" s="72"/>
      <c r="FD11" s="72"/>
      <c r="FE11" s="72"/>
      <c r="FF11" s="72"/>
      <c r="FG11" s="72"/>
      <c r="FH11" s="72"/>
      <c r="FI11" s="72"/>
      <c r="FJ11" s="72"/>
      <c r="FK11" s="72"/>
      <c r="FL11" s="72"/>
      <c r="FM11" s="72"/>
      <c r="FN11" s="72"/>
      <c r="FO11" s="72"/>
      <c r="FP11" s="72"/>
      <c r="FQ11" s="72"/>
      <c r="FR11" s="72"/>
      <c r="FS11" s="72"/>
      <c r="FT11" s="72"/>
      <c r="FU11" s="72"/>
      <c r="FV11" s="72"/>
      <c r="FW11" s="72"/>
      <c r="FX11" s="72"/>
      <c r="FY11" s="72"/>
      <c r="FZ11" s="72"/>
      <c r="GA11" s="72"/>
      <c r="GB11" s="72"/>
      <c r="GC11" s="72"/>
      <c r="GD11" s="72"/>
      <c r="GE11" s="72"/>
      <c r="GF11" s="72"/>
      <c r="GG11" s="72"/>
      <c r="GH11" s="72"/>
      <c r="GI11" s="72"/>
      <c r="GJ11" s="72"/>
      <c r="GK11" s="72"/>
      <c r="GL11" s="73"/>
      <c r="GM11" s="73"/>
      <c r="GN11" s="73"/>
      <c r="GO11" s="73"/>
      <c r="GP11" s="73"/>
      <c r="GQ11" s="73"/>
      <c r="GR11" s="73"/>
      <c r="GS11" s="73"/>
      <c r="GT11" s="73"/>
      <c r="GU11" s="73"/>
      <c r="GV11" s="73"/>
      <c r="GW11" s="73"/>
      <c r="GX11" s="73"/>
      <c r="GY11" s="73"/>
      <c r="GZ11" s="73"/>
      <c r="HA11" s="73"/>
      <c r="HB11" s="73"/>
      <c r="HC11" s="73"/>
      <c r="HD11" s="73"/>
      <c r="HE11" s="73"/>
      <c r="HF11" s="73"/>
      <c r="HG11" s="73"/>
      <c r="HH11" s="73"/>
      <c r="HI11" s="73"/>
      <c r="HJ11" s="73"/>
      <c r="HK11" s="73"/>
      <c r="HL11" s="73"/>
      <c r="HM11" s="73"/>
      <c r="HN11" s="73"/>
      <c r="HO11" s="73"/>
      <c r="HP11" s="73"/>
      <c r="HQ11" s="73"/>
      <c r="HR11" s="73"/>
      <c r="HS11" s="73"/>
      <c r="HT11" s="73"/>
      <c r="HU11" s="73"/>
      <c r="HV11" s="73"/>
      <c r="HW11" s="73"/>
      <c r="HX11" s="73"/>
      <c r="HY11" s="73"/>
      <c r="HZ11" s="73"/>
      <c r="IA11" s="73"/>
      <c r="IB11" s="73"/>
      <c r="IC11" s="73"/>
      <c r="ID11" s="73"/>
      <c r="IE11" s="73"/>
      <c r="IF11" s="73"/>
      <c r="IG11" s="73"/>
      <c r="IH11" s="73"/>
      <c r="II11" s="73"/>
      <c r="IJ11" s="73"/>
      <c r="IK11" s="73"/>
      <c r="IL11" s="73"/>
      <c r="IM11" s="73"/>
      <c r="IN11" s="73"/>
      <c r="IO11" s="73"/>
      <c r="IP11" s="73"/>
      <c r="IQ11" s="73"/>
      <c r="IR11" s="73"/>
      <c r="IS11" s="73"/>
      <c r="IT11" s="73"/>
      <c r="IU11" s="73"/>
      <c r="IV11" s="73"/>
      <c r="IW11" s="73"/>
      <c r="IX11" s="73"/>
      <c r="IY11" s="73"/>
      <c r="IZ11" s="73"/>
      <c r="JA11" s="73"/>
      <c r="JB11" s="73"/>
      <c r="JC11" s="73"/>
    </row>
    <row r="12" spans="1:263" s="5" customFormat="1" ht="12.6" customHeight="1">
      <c r="A12" s="22">
        <v>2021</v>
      </c>
      <c r="B12" s="83">
        <v>323</v>
      </c>
      <c r="C12" s="8" t="s">
        <v>209</v>
      </c>
      <c r="D12" s="14">
        <f t="shared" si="1"/>
        <v>4183060</v>
      </c>
      <c r="E12" s="140">
        <f>SUMIFS('Plan rashoda za unos u SAP'!$I$3:$I$501,'Plan rashoda za unos u SAP'!$C$3:$C$501,"=11",'Plan rashoda za unos u SAP'!$M$3:$M$501,"=323")+SUMIFS('ANALITIKA EU PROJEKATA'!$G$3:$G$501,'ANALITIKA EU PROJEKATA'!$A$3:$A$501,"=11",'ANALITIKA EU PROJEKATA'!$P$3:$P$501,"=323")</f>
        <v>1738000</v>
      </c>
      <c r="F12" s="140">
        <f>SUMIFS('Plan rashoda za unos u SAP'!$I$3:$I$501,'Plan rashoda za unos u SAP'!$C$3:$C$501,"=12",'Plan rashoda za unos u SAP'!$M$3:$M$501,"=323")+SUMIFS('ANALITIKA EU PROJEKATA'!$G$3:$G$501,'ANALITIKA EU PROJEKATA'!$A$3:$A$501,"=12",'ANALITIKA EU PROJEKATA'!$P$3:$P$501,"=323")</f>
        <v>0</v>
      </c>
      <c r="G12" s="140">
        <f>SUMIFS('Plan rashoda za unos u SAP'!$I$3:$I$501,'Plan rashoda za unos u SAP'!$C$3:$C$501,"=31",'Plan rashoda za unos u SAP'!$M$3:$M$501,"=323")+SUMIFS('ANALITIKA EU PROJEKATA'!$G$3:$G$501,'ANALITIKA EU PROJEKATA'!$A$3:$A$501,"=31",'ANALITIKA EU PROJEKATA'!$P$3:$P$501,"=323")</f>
        <v>825000</v>
      </c>
      <c r="H12" s="140">
        <f>SUMIFS('Plan rashoda za unos u SAP'!$I$3:$I$501,'Plan rashoda za unos u SAP'!$C$3:$C$501,"=41",'Plan rashoda za unos u SAP'!$M$3:$M$501,"=323")+SUMIFS('ANALITIKA EU PROJEKATA'!$G$3:$G$501,'ANALITIKA EU PROJEKATA'!$A$3:$A$501,"=41",'ANALITIKA EU PROJEKATA'!$P$3:$P$501,"=323")</f>
        <v>0</v>
      </c>
      <c r="I12" s="140">
        <f>SUMIFS('Plan rashoda za unos u SAP'!$I$3:$I$501,'Plan rashoda za unos u SAP'!$C$3:$C$501,"=43",'Plan rashoda za unos u SAP'!$M$3:$M$501,"=323")+SUMIFS('ANALITIKA EU PROJEKATA'!$G$3:$G$501,'ANALITIKA EU PROJEKATA'!$A$3:$A$501,"=43",'ANALITIKA EU PROJEKATA'!$P$3:$P$501,"=323")</f>
        <v>495500</v>
      </c>
      <c r="J12" s="140">
        <f>SUMIFS('Plan rashoda za unos u SAP'!$I$3:$I$501,'Plan rashoda za unos u SAP'!$C$3:$C$501,"=51",'Plan rashoda za unos u SAP'!$M$3:$M$501,"=323")+SUMIFS('ANALITIKA EU PROJEKATA'!$G$3:$G$501,'ANALITIKA EU PROJEKATA'!$A$3:$A$501,"=51",'ANALITIKA EU PROJEKATA'!$P$3:$P$501,"=323")</f>
        <v>585750</v>
      </c>
      <c r="K12" s="140">
        <f>SUMIFS('Plan rashoda za unos u SAP'!$I$3:$I$501,'Plan rashoda za unos u SAP'!$C$3:$C$501,"=52",'Plan rashoda za unos u SAP'!$M$3:$M$501,"=323")+SUMIFS('ANALITIKA EU PROJEKATA'!$G$3:$G$501,'ANALITIKA EU PROJEKATA'!$A$3:$A$501,"=52",'ANALITIKA EU PROJEKATA'!$P$3:$P$501,"=323")</f>
        <v>86750</v>
      </c>
      <c r="L12" s="140">
        <f>SUMIFS('Plan rashoda za unos u SAP'!$I$3:$I$501,'Plan rashoda za unos u SAP'!$C$3:$C$501,"=552",'Plan rashoda za unos u SAP'!$M$3:$M$501,"=323")+SUMIFS('ANALITIKA EU PROJEKATA'!$G$3:$G$501,'ANALITIKA EU PROJEKATA'!$A$3:$A$501,"=552",'ANALITIKA EU PROJEKATA'!$P$3:$P$501,"=323")</f>
        <v>0</v>
      </c>
      <c r="M12" s="140">
        <f>SUMIFS('Plan rashoda za unos u SAP'!$I$3:$I$501,'Plan rashoda za unos u SAP'!$C$3:$C$501,"=559",'Plan rashoda za unos u SAP'!$M$3:$M$501,"=323")+SUMIFS('ANALITIKA EU PROJEKATA'!$G$3:$G$501,'ANALITIKA EU PROJEKATA'!$A$3:$A$501,"=559",'ANALITIKA EU PROJEKATA'!$P$3:$P$501,"=323")</f>
        <v>0</v>
      </c>
      <c r="N12" s="140">
        <f>SUMIFS('Plan rashoda za unos u SAP'!$I$3:$I$501,'Plan rashoda za unos u SAP'!$C$3:$C$501,"=561",'Plan rashoda za unos u SAP'!$M$3:$M$501,"=323")+SUMIFS('ANALITIKA EU PROJEKATA'!$G$3:$G$501,'ANALITIKA EU PROJEKATA'!$A$3:$A$501,"=561",'ANALITIKA EU PROJEKATA'!$P$3:$P$501,"=323")</f>
        <v>412060</v>
      </c>
      <c r="O12" s="140">
        <f>SUMIFS('Plan rashoda za unos u SAP'!$I$3:$I$501,'Plan rashoda za unos u SAP'!$C$3:$C$501,"=563",'Plan rashoda za unos u SAP'!$M$3:$M$501,"=323")+SUMIFS('ANALITIKA EU PROJEKATA'!$G$3:$G$501,'ANALITIKA EU PROJEKATA'!$A$3:$A$501,"=563",'ANALITIKA EU PROJEKATA'!$P$3:$P$501,"=323")</f>
        <v>0</v>
      </c>
      <c r="P12" s="140">
        <f>SUMIFS('Plan rashoda za unos u SAP'!$I$3:$I$501,'Plan rashoda za unos u SAP'!$C$3:$C$501,"=573",'Plan rashoda za unos u SAP'!$M$3:$M$501,"=323")+SUMIFS('ANALITIKA EU PROJEKATA'!$G$3:$G$501,'ANALITIKA EU PROJEKATA'!$A$3:$A$501,"=573",'ANALITIKA EU PROJEKATA'!$P$3:$P$501,"=323")</f>
        <v>0</v>
      </c>
      <c r="Q12" s="140">
        <f>SUMIFS('Plan rashoda za unos u SAP'!$I$3:$I$501,'Plan rashoda za unos u SAP'!$C$3:$C$501,"=575",'Plan rashoda za unos u SAP'!$M$3:$M$501,"=323")+SUMIFS('ANALITIKA EU PROJEKATA'!$G$3:$G$501,'ANALITIKA EU PROJEKATA'!$A$3:$A$501,"=575",'ANALITIKA EU PROJEKATA'!$P$3:$P$501,"=323")</f>
        <v>0</v>
      </c>
      <c r="R12" s="140">
        <f>SUMIFS('Plan rashoda za unos u SAP'!$I$3:$I$501,'Plan rashoda za unos u SAP'!$C$3:$C$501,"=576",'Plan rashoda za unos u SAP'!$M$3:$M$501,"=323")+SUMIFS('ANALITIKA EU PROJEKATA'!$G$3:$G$501,'ANALITIKA EU PROJEKATA'!$A$3:$A$501,"=576",'ANALITIKA EU PROJEKATA'!$P$3:$P$501,"=323")</f>
        <v>0</v>
      </c>
      <c r="S12" s="140">
        <f>SUMIFS('Plan rashoda za unos u SAP'!$I$3:$I$501,'Plan rashoda za unos u SAP'!$C$3:$C$501,"=61",'Plan rashoda za unos u SAP'!$M$3:$M$501,"=323")+SUMIFS('ANALITIKA EU PROJEKATA'!$G$3:$G$501,'ANALITIKA EU PROJEKATA'!$A$3:$A$501,"=61",'ANALITIKA EU PROJEKATA'!$P$3:$P$501,"=323")</f>
        <v>40000</v>
      </c>
      <c r="T12" s="140">
        <f>SUMIFS('Plan rashoda za unos u SAP'!$I$3:$I$501,'Plan rashoda za unos u SAP'!$C$3:$C$501,"=63",'Plan rashoda za unos u SAP'!$M$3:$M$501,"=323")+SUMIFS('ANALITIKA EU PROJEKATA'!$G$3:$G$501,'ANALITIKA EU PROJEKATA'!$A$3:$A$501,"=63",'ANALITIKA EU PROJEKATA'!$P$3:$P$501,"=323")</f>
        <v>0</v>
      </c>
      <c r="U12" s="140">
        <f>SUMIFS('Plan rashoda za unos u SAP'!$I$3:$I$501,'Plan rashoda za unos u SAP'!$C$3:$C$501,"=71",'Plan rashoda za unos u SAP'!$M$3:$M$501,"=323")+SUMIFS('ANALITIKA EU PROJEKATA'!$G$3:$G$501,'ANALITIKA EU PROJEKATA'!$A$3:$A$501,"=71",'ANALITIKA EU PROJEKATA'!$P$3:$P$501,"=323")</f>
        <v>0</v>
      </c>
      <c r="V12" s="140">
        <f>SUMIFS('Plan rashoda za unos u SAP'!$I$3:$I$501,'Plan rashoda za unos u SAP'!$C$3:$C$501,"=81",'Plan rashoda za unos u SAP'!$M$3:$M$501,"=323")+SUMIFS('ANALITIKA EU PROJEKATA'!$G$3:$G$501,'ANALITIKA EU PROJEKATA'!$A$3:$A$501,"=81",'ANALITIKA EU PROJEKATA'!$P$3:$P$501,"=323")</f>
        <v>0</v>
      </c>
      <c r="W12" s="140">
        <f>SUMIFS('Plan rashoda za unos u SAP'!$I$3:$I$501,'Plan rashoda za unos u SAP'!$C$3:$C$501,"=83",'Plan rashoda za unos u SAP'!$M$3:$M$501,"=323")+SUMIFS('ANALITIKA EU PROJEKATA'!$G$3:$G$501,'ANALITIKA EU PROJEKATA'!$A$3:$A$501,"=83",'ANALITIKA EU PROJEKATA'!$P$3:$P$501,"=323")</f>
        <v>0</v>
      </c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B12" s="72"/>
      <c r="EC12" s="72"/>
      <c r="ED12" s="72"/>
      <c r="EE12" s="72"/>
      <c r="EF12" s="72"/>
      <c r="EG12" s="72"/>
      <c r="EH12" s="72"/>
      <c r="EI12" s="72"/>
      <c r="EJ12" s="72"/>
      <c r="EK12" s="72"/>
      <c r="EL12" s="72"/>
      <c r="EM12" s="72"/>
      <c r="EN12" s="72"/>
      <c r="EO12" s="72"/>
      <c r="EP12" s="72"/>
      <c r="EQ12" s="72"/>
      <c r="ER12" s="72"/>
      <c r="ES12" s="72"/>
      <c r="ET12" s="72"/>
      <c r="EU12" s="72"/>
      <c r="EV12" s="72"/>
      <c r="EW12" s="72"/>
      <c r="EX12" s="72"/>
      <c r="EY12" s="72"/>
      <c r="EZ12" s="72"/>
      <c r="FA12" s="72"/>
      <c r="FB12" s="72"/>
      <c r="FC12" s="72"/>
      <c r="FD12" s="72"/>
      <c r="FE12" s="72"/>
      <c r="FF12" s="72"/>
      <c r="FG12" s="72"/>
      <c r="FH12" s="72"/>
      <c r="FI12" s="72"/>
      <c r="FJ12" s="72"/>
      <c r="FK12" s="72"/>
      <c r="FL12" s="72"/>
      <c r="FM12" s="72"/>
      <c r="FN12" s="72"/>
      <c r="FO12" s="72"/>
      <c r="FP12" s="72"/>
      <c r="FQ12" s="72"/>
      <c r="FR12" s="72"/>
      <c r="FS12" s="72"/>
      <c r="FT12" s="72"/>
      <c r="FU12" s="72"/>
      <c r="FV12" s="72"/>
      <c r="FW12" s="72"/>
      <c r="FX12" s="72"/>
      <c r="FY12" s="72"/>
      <c r="FZ12" s="72"/>
      <c r="GA12" s="72"/>
      <c r="GB12" s="72"/>
      <c r="GC12" s="72"/>
      <c r="GD12" s="72"/>
      <c r="GE12" s="72"/>
      <c r="GF12" s="72"/>
      <c r="GG12" s="72"/>
      <c r="GH12" s="72"/>
      <c r="GI12" s="72"/>
      <c r="GJ12" s="72"/>
      <c r="GK12" s="72"/>
      <c r="GL12" s="73"/>
      <c r="GM12" s="73"/>
      <c r="GN12" s="73"/>
      <c r="GO12" s="73"/>
      <c r="GP12" s="73"/>
      <c r="GQ12" s="73"/>
      <c r="GR12" s="73"/>
      <c r="GS12" s="73"/>
      <c r="GT12" s="73"/>
      <c r="GU12" s="73"/>
      <c r="GV12" s="73"/>
      <c r="GW12" s="73"/>
      <c r="GX12" s="73"/>
      <c r="GY12" s="73"/>
      <c r="GZ12" s="73"/>
      <c r="HA12" s="73"/>
      <c r="HB12" s="73"/>
      <c r="HC12" s="73"/>
      <c r="HD12" s="73"/>
      <c r="HE12" s="73"/>
      <c r="HF12" s="73"/>
      <c r="HG12" s="73"/>
      <c r="HH12" s="73"/>
      <c r="HI12" s="73"/>
      <c r="HJ12" s="73"/>
      <c r="HK12" s="73"/>
      <c r="HL12" s="73"/>
      <c r="HM12" s="73"/>
      <c r="HN12" s="73"/>
      <c r="HO12" s="73"/>
      <c r="HP12" s="73"/>
      <c r="HQ12" s="73"/>
      <c r="HR12" s="73"/>
      <c r="HS12" s="73"/>
      <c r="HT12" s="73"/>
      <c r="HU12" s="73"/>
      <c r="HV12" s="73"/>
      <c r="HW12" s="73"/>
      <c r="HX12" s="73"/>
      <c r="HY12" s="73"/>
      <c r="HZ12" s="73"/>
      <c r="IA12" s="73"/>
      <c r="IB12" s="73"/>
      <c r="IC12" s="73"/>
      <c r="ID12" s="73"/>
      <c r="IE12" s="73"/>
      <c r="IF12" s="73"/>
      <c r="IG12" s="73"/>
      <c r="IH12" s="73"/>
      <c r="II12" s="73"/>
      <c r="IJ12" s="73"/>
      <c r="IK12" s="73"/>
      <c r="IL12" s="73"/>
      <c r="IM12" s="73"/>
      <c r="IN12" s="73"/>
      <c r="IO12" s="73"/>
      <c r="IP12" s="73"/>
      <c r="IQ12" s="73"/>
      <c r="IR12" s="73"/>
      <c r="IS12" s="73"/>
      <c r="IT12" s="73"/>
      <c r="IU12" s="73"/>
      <c r="IV12" s="73"/>
      <c r="IW12" s="73"/>
      <c r="IX12" s="73"/>
      <c r="IY12" s="73"/>
      <c r="IZ12" s="73"/>
      <c r="JA12" s="73"/>
      <c r="JB12" s="73"/>
      <c r="JC12" s="73"/>
    </row>
    <row r="13" spans="1:263" s="5" customFormat="1" ht="12.6" customHeight="1">
      <c r="A13" s="22">
        <v>2021</v>
      </c>
      <c r="B13" s="83">
        <v>324</v>
      </c>
      <c r="C13" s="87" t="s">
        <v>87</v>
      </c>
      <c r="D13" s="14">
        <f t="shared" si="1"/>
        <v>256798</v>
      </c>
      <c r="E13" s="140">
        <f>SUMIFS('Plan rashoda za unos u SAP'!$I$3:$I$501,'Plan rashoda za unos u SAP'!$C$3:$C$501,"=11",'Plan rashoda za unos u SAP'!$M$3:$M$501,"=324")+SUMIFS('ANALITIKA EU PROJEKATA'!$G$3:$G$501,'ANALITIKA EU PROJEKATA'!$A$3:$A$501,"=11",'ANALITIKA EU PROJEKATA'!$P$3:$P$501,"=324")</f>
        <v>97580</v>
      </c>
      <c r="F13" s="140">
        <f>SUMIFS('Plan rashoda za unos u SAP'!$I$3:$I$501,'Plan rashoda za unos u SAP'!$C$3:$C$501,"=12",'Plan rashoda za unos u SAP'!$M$3:$M$501,"=324")+SUMIFS('ANALITIKA EU PROJEKATA'!$G$3:$G$501,'ANALITIKA EU PROJEKATA'!$A$3:$A$501,"=12",'ANALITIKA EU PROJEKATA'!$P$3:$P$501,"=324")</f>
        <v>0</v>
      </c>
      <c r="G13" s="140">
        <f>SUMIFS('Plan rashoda za unos u SAP'!$I$3:$I$501,'Plan rashoda za unos u SAP'!$C$3:$C$501,"=31",'Plan rashoda za unos u SAP'!$M$3:$M$501,"=324")+SUMIFS('ANALITIKA EU PROJEKATA'!$G$3:$G$501,'ANALITIKA EU PROJEKATA'!$A$3:$A$501,"=31",'ANALITIKA EU PROJEKATA'!$P$3:$P$501,"=324")</f>
        <v>35000</v>
      </c>
      <c r="H13" s="140">
        <f>SUMIFS('Plan rashoda za unos u SAP'!$I$3:$I$501,'Plan rashoda za unos u SAP'!$C$3:$C$501,"=41",'Plan rashoda za unos u SAP'!$M$3:$M$501,"=324")+SUMIFS('ANALITIKA EU PROJEKATA'!$G$3:$G$501,'ANALITIKA EU PROJEKATA'!$A$3:$A$501,"=41",'ANALITIKA EU PROJEKATA'!$P$3:$P$501,"=324")</f>
        <v>0</v>
      </c>
      <c r="I13" s="140">
        <f>SUMIFS('Plan rashoda za unos u SAP'!$I$3:$I$501,'Plan rashoda za unos u SAP'!$C$3:$C$501,"=43",'Plan rashoda za unos u SAP'!$M$3:$M$501,"=324")+SUMIFS('ANALITIKA EU PROJEKATA'!$G$3:$G$501,'ANALITIKA EU PROJEKATA'!$A$3:$A$501,"=43",'ANALITIKA EU PROJEKATA'!$P$3:$P$501,"=324")</f>
        <v>90000</v>
      </c>
      <c r="J13" s="140">
        <f>SUMIFS('Plan rashoda za unos u SAP'!$I$3:$I$501,'Plan rashoda za unos u SAP'!$C$3:$C$501,"=51",'Plan rashoda za unos u SAP'!$M$3:$M$501,"=324")+SUMIFS('ANALITIKA EU PROJEKATA'!$G$3:$G$501,'ANALITIKA EU PROJEKATA'!$A$3:$A$501,"=51",'ANALITIKA EU PROJEKATA'!$P$3:$P$501,"=324")</f>
        <v>0</v>
      </c>
      <c r="K13" s="140">
        <f>SUMIFS('Plan rashoda za unos u SAP'!$I$3:$I$501,'Plan rashoda za unos u SAP'!$C$3:$C$501,"=52",'Plan rashoda za unos u SAP'!$M$3:$M$501,"=324")+SUMIFS('ANALITIKA EU PROJEKATA'!$G$3:$G$501,'ANALITIKA EU PROJEKATA'!$A$3:$A$501,"=52",'ANALITIKA EU PROJEKATA'!$P$3:$P$501,"=324")</f>
        <v>0</v>
      </c>
      <c r="L13" s="140">
        <f>SUMIFS('Plan rashoda za unos u SAP'!$I$3:$I$501,'Plan rashoda za unos u SAP'!$C$3:$C$501,"=552",'Plan rashoda za unos u SAP'!$M$3:$M$501,"=324")+SUMIFS('ANALITIKA EU PROJEKATA'!$G$3:$G$501,'ANALITIKA EU PROJEKATA'!$A$3:$A$501,"=552",'ANALITIKA EU PROJEKATA'!$P$3:$P$501,"=324")</f>
        <v>0</v>
      </c>
      <c r="M13" s="140">
        <f>SUMIFS('Plan rashoda za unos u SAP'!$I$3:$I$501,'Plan rashoda za unos u SAP'!$C$3:$C$501,"=559",'Plan rashoda za unos u SAP'!$M$3:$M$501,"=324")+SUMIFS('ANALITIKA EU PROJEKATA'!$G$3:$G$501,'ANALITIKA EU PROJEKATA'!$A$3:$A$501,"=559",'ANALITIKA EU PROJEKATA'!$P$3:$P$501,"=324")</f>
        <v>0</v>
      </c>
      <c r="N13" s="140">
        <f>SUMIFS('Plan rashoda za unos u SAP'!$I$3:$I$501,'Plan rashoda za unos u SAP'!$C$3:$C$501,"=561",'Plan rashoda za unos u SAP'!$M$3:$M$501,"=324")+SUMIFS('ANALITIKA EU PROJEKATA'!$G$3:$G$501,'ANALITIKA EU PROJEKATA'!$A$3:$A$501,"=561",'ANALITIKA EU PROJEKATA'!$P$3:$P$501,"=324")</f>
        <v>34218</v>
      </c>
      <c r="O13" s="140">
        <f>SUMIFS('Plan rashoda za unos u SAP'!$I$3:$I$501,'Plan rashoda za unos u SAP'!$C$3:$C$501,"=563",'Plan rashoda za unos u SAP'!$M$3:$M$501,"=324")+SUMIFS('ANALITIKA EU PROJEKATA'!$G$3:$G$501,'ANALITIKA EU PROJEKATA'!$A$3:$A$501,"=563",'ANALITIKA EU PROJEKATA'!$P$3:$P$501,"=324")</f>
        <v>0</v>
      </c>
      <c r="P13" s="140">
        <f>SUMIFS('Plan rashoda za unos u SAP'!$I$3:$I$501,'Plan rashoda za unos u SAP'!$C$3:$C$501,"=573",'Plan rashoda za unos u SAP'!$M$3:$M$501,"=324")+SUMIFS('ANALITIKA EU PROJEKATA'!$G$3:$G$501,'ANALITIKA EU PROJEKATA'!$A$3:$A$501,"=573",'ANALITIKA EU PROJEKATA'!$P$3:$P$501,"=324")</f>
        <v>0</v>
      </c>
      <c r="Q13" s="140">
        <f>SUMIFS('Plan rashoda za unos u SAP'!$I$3:$I$501,'Plan rashoda za unos u SAP'!$C$3:$C$501,"=575",'Plan rashoda za unos u SAP'!$M$3:$M$501,"=324")+SUMIFS('ANALITIKA EU PROJEKATA'!$G$3:$G$501,'ANALITIKA EU PROJEKATA'!$A$3:$A$501,"=575",'ANALITIKA EU PROJEKATA'!$P$3:$P$501,"=324")</f>
        <v>0</v>
      </c>
      <c r="R13" s="140">
        <f>SUMIFS('Plan rashoda za unos u SAP'!$I$3:$I$501,'Plan rashoda za unos u SAP'!$C$3:$C$501,"=576",'Plan rashoda za unos u SAP'!$M$3:$M$501,"=324")+SUMIFS('ANALITIKA EU PROJEKATA'!$G$3:$G$501,'ANALITIKA EU PROJEKATA'!$A$3:$A$501,"=576",'ANALITIKA EU PROJEKATA'!$P$3:$P$501,"=324")</f>
        <v>0</v>
      </c>
      <c r="S13" s="140">
        <f>SUMIFS('Plan rashoda za unos u SAP'!$I$3:$I$501,'Plan rashoda za unos u SAP'!$C$3:$C$501,"=61",'Plan rashoda za unos u SAP'!$M$3:$M$501,"=324")+SUMIFS('ANALITIKA EU PROJEKATA'!$G$3:$G$501,'ANALITIKA EU PROJEKATA'!$A$3:$A$501,"=61",'ANALITIKA EU PROJEKATA'!$P$3:$P$501,"=324")</f>
        <v>0</v>
      </c>
      <c r="T13" s="140">
        <f>SUMIFS('Plan rashoda za unos u SAP'!$I$3:$I$501,'Plan rashoda za unos u SAP'!$C$3:$C$501,"=63",'Plan rashoda za unos u SAP'!$M$3:$M$501,"=324")+SUMIFS('ANALITIKA EU PROJEKATA'!$G$3:$G$501,'ANALITIKA EU PROJEKATA'!$A$3:$A$501,"=63",'ANALITIKA EU PROJEKATA'!$P$3:$P$501,"=324")</f>
        <v>0</v>
      </c>
      <c r="U13" s="140">
        <f>SUMIFS('Plan rashoda za unos u SAP'!$I$3:$I$501,'Plan rashoda za unos u SAP'!$C$3:$C$501,"=71",'Plan rashoda za unos u SAP'!$M$3:$M$501,"=324")+SUMIFS('ANALITIKA EU PROJEKATA'!$G$3:$G$501,'ANALITIKA EU PROJEKATA'!$A$3:$A$501,"=71",'ANALITIKA EU PROJEKATA'!$P$3:$P$501,"=324")</f>
        <v>0</v>
      </c>
      <c r="V13" s="140">
        <f>SUMIFS('Plan rashoda za unos u SAP'!$I$3:$I$501,'Plan rashoda za unos u SAP'!$C$3:$C$501,"=81",'Plan rashoda za unos u SAP'!$M$3:$M$501,"=324")+SUMIFS('ANALITIKA EU PROJEKATA'!$G$3:$G$501,'ANALITIKA EU PROJEKATA'!$A$3:$A$501,"=81",'ANALITIKA EU PROJEKATA'!$P$3:$P$501,"=324")</f>
        <v>0</v>
      </c>
      <c r="W13" s="140">
        <f>SUMIFS('Plan rashoda za unos u SAP'!$I$3:$I$501,'Plan rashoda za unos u SAP'!$C$3:$C$501,"=83",'Plan rashoda za unos u SAP'!$M$3:$M$501,"=324")+SUMIFS('ANALITIKA EU PROJEKATA'!$G$3:$G$501,'ANALITIKA EU PROJEKATA'!$A$3:$A$501,"=83",'ANALITIKA EU PROJEKATA'!$P$3:$P$501,"=324")</f>
        <v>0</v>
      </c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2"/>
      <c r="DY13" s="72"/>
      <c r="DZ13" s="72"/>
      <c r="EA13" s="72"/>
      <c r="EB13" s="72"/>
      <c r="EC13" s="72"/>
      <c r="ED13" s="72"/>
      <c r="EE13" s="72"/>
      <c r="EF13" s="72"/>
      <c r="EG13" s="72"/>
      <c r="EH13" s="72"/>
      <c r="EI13" s="72"/>
      <c r="EJ13" s="72"/>
      <c r="EK13" s="72"/>
      <c r="EL13" s="72"/>
      <c r="EM13" s="72"/>
      <c r="EN13" s="72"/>
      <c r="EO13" s="72"/>
      <c r="EP13" s="72"/>
      <c r="EQ13" s="72"/>
      <c r="ER13" s="72"/>
      <c r="ES13" s="72"/>
      <c r="ET13" s="72"/>
      <c r="EU13" s="72"/>
      <c r="EV13" s="72"/>
      <c r="EW13" s="72"/>
      <c r="EX13" s="72"/>
      <c r="EY13" s="72"/>
      <c r="EZ13" s="72"/>
      <c r="FA13" s="72"/>
      <c r="FB13" s="72"/>
      <c r="FC13" s="72"/>
      <c r="FD13" s="72"/>
      <c r="FE13" s="72"/>
      <c r="FF13" s="72"/>
      <c r="FG13" s="72"/>
      <c r="FH13" s="72"/>
      <c r="FI13" s="72"/>
      <c r="FJ13" s="72"/>
      <c r="FK13" s="72"/>
      <c r="FL13" s="72"/>
      <c r="FM13" s="72"/>
      <c r="FN13" s="72"/>
      <c r="FO13" s="72"/>
      <c r="FP13" s="72"/>
      <c r="FQ13" s="72"/>
      <c r="FR13" s="72"/>
      <c r="FS13" s="72"/>
      <c r="FT13" s="72"/>
      <c r="FU13" s="72"/>
      <c r="FV13" s="72"/>
      <c r="FW13" s="72"/>
      <c r="FX13" s="72"/>
      <c r="FY13" s="72"/>
      <c r="FZ13" s="72"/>
      <c r="GA13" s="72"/>
      <c r="GB13" s="72"/>
      <c r="GC13" s="72"/>
      <c r="GD13" s="72"/>
      <c r="GE13" s="72"/>
      <c r="GF13" s="72"/>
      <c r="GG13" s="72"/>
      <c r="GH13" s="72"/>
      <c r="GI13" s="72"/>
      <c r="GJ13" s="72"/>
      <c r="GK13" s="72"/>
      <c r="GL13" s="73"/>
      <c r="GM13" s="73"/>
      <c r="GN13" s="73"/>
      <c r="GO13" s="73"/>
      <c r="GP13" s="73"/>
      <c r="GQ13" s="73"/>
      <c r="GR13" s="73"/>
      <c r="GS13" s="73"/>
      <c r="GT13" s="73"/>
      <c r="GU13" s="73"/>
      <c r="GV13" s="73"/>
      <c r="GW13" s="73"/>
      <c r="GX13" s="73"/>
      <c r="GY13" s="73"/>
      <c r="GZ13" s="73"/>
      <c r="HA13" s="73"/>
      <c r="HB13" s="73"/>
      <c r="HC13" s="73"/>
      <c r="HD13" s="73"/>
      <c r="HE13" s="73"/>
      <c r="HF13" s="73"/>
      <c r="HG13" s="73"/>
      <c r="HH13" s="73"/>
      <c r="HI13" s="73"/>
      <c r="HJ13" s="73"/>
      <c r="HK13" s="73"/>
      <c r="HL13" s="73"/>
      <c r="HM13" s="73"/>
      <c r="HN13" s="73"/>
      <c r="HO13" s="73"/>
      <c r="HP13" s="73"/>
      <c r="HQ13" s="73"/>
      <c r="HR13" s="73"/>
      <c r="HS13" s="73"/>
      <c r="HT13" s="73"/>
      <c r="HU13" s="73"/>
      <c r="HV13" s="73"/>
      <c r="HW13" s="73"/>
      <c r="HX13" s="73"/>
      <c r="HY13" s="73"/>
      <c r="HZ13" s="73"/>
      <c r="IA13" s="73"/>
      <c r="IB13" s="73"/>
      <c r="IC13" s="73"/>
      <c r="ID13" s="73"/>
      <c r="IE13" s="73"/>
      <c r="IF13" s="73"/>
      <c r="IG13" s="73"/>
      <c r="IH13" s="73"/>
      <c r="II13" s="73"/>
      <c r="IJ13" s="73"/>
      <c r="IK13" s="73"/>
      <c r="IL13" s="73"/>
      <c r="IM13" s="73"/>
      <c r="IN13" s="73"/>
      <c r="IO13" s="73"/>
      <c r="IP13" s="73"/>
      <c r="IQ13" s="73"/>
      <c r="IR13" s="73"/>
      <c r="IS13" s="73"/>
      <c r="IT13" s="73"/>
      <c r="IU13" s="73"/>
      <c r="IV13" s="73"/>
      <c r="IW13" s="73"/>
      <c r="IX13" s="73"/>
      <c r="IY13" s="73"/>
      <c r="IZ13" s="73"/>
      <c r="JA13" s="73"/>
      <c r="JB13" s="73"/>
      <c r="JC13" s="73"/>
    </row>
    <row r="14" spans="1:263" s="5" customFormat="1" ht="12.6" customHeight="1">
      <c r="A14" s="22">
        <v>2021</v>
      </c>
      <c r="B14" s="83">
        <v>329</v>
      </c>
      <c r="C14" s="8" t="s">
        <v>64</v>
      </c>
      <c r="D14" s="14">
        <f t="shared" si="1"/>
        <v>703113</v>
      </c>
      <c r="E14" s="140">
        <f>SUMIFS('Plan rashoda za unos u SAP'!$I$3:$I$501,'Plan rashoda za unos u SAP'!$C$3:$C$501,"=11",'Plan rashoda za unos u SAP'!$M$3:$M$501,"=329")+SUMIFS('ANALITIKA EU PROJEKATA'!$G$3:$G$501,'ANALITIKA EU PROJEKATA'!$A$3:$A$501,"=11",'ANALITIKA EU PROJEKATA'!$P$3:$P$501,"=329")</f>
        <v>313150</v>
      </c>
      <c r="F14" s="140">
        <f>SUMIFS('Plan rashoda za unos u SAP'!$I$3:$I$501,'Plan rashoda za unos u SAP'!$C$3:$C$501,"=12",'Plan rashoda za unos u SAP'!$M$3:$M$501,"=329")+SUMIFS('ANALITIKA EU PROJEKATA'!$G$3:$G$501,'ANALITIKA EU PROJEKATA'!$A$3:$A$501,"=12",'ANALITIKA EU PROJEKATA'!$P$3:$P$501,"=329")</f>
        <v>0</v>
      </c>
      <c r="G14" s="140">
        <f>SUMIFS('Plan rashoda za unos u SAP'!$I$3:$I$501,'Plan rashoda za unos u SAP'!$C$3:$C$501,"=31",'Plan rashoda za unos u SAP'!$M$3:$M$501,"=329")+SUMIFS('ANALITIKA EU PROJEKATA'!$G$3:$G$501,'ANALITIKA EU PROJEKATA'!$A$3:$A$501,"=31",'ANALITIKA EU PROJEKATA'!$P$3:$P$501,"=329")</f>
        <v>275000</v>
      </c>
      <c r="H14" s="140">
        <f>SUMIFS('Plan rashoda za unos u SAP'!$I$3:$I$501,'Plan rashoda za unos u SAP'!$C$3:$C$501,"=41",'Plan rashoda za unos u SAP'!$M$3:$M$501,"=329")+SUMIFS('ANALITIKA EU PROJEKATA'!$G$3:$G$501,'ANALITIKA EU PROJEKATA'!$A$3:$A$501,"=41",'ANALITIKA EU PROJEKATA'!$P$3:$P$501,"=329")</f>
        <v>0</v>
      </c>
      <c r="I14" s="140">
        <f>SUMIFS('Plan rashoda za unos u SAP'!$I$3:$I$501,'Plan rashoda za unos u SAP'!$C$3:$C$501,"=43",'Plan rashoda za unos u SAP'!$M$3:$M$501,"=329")+SUMIFS('ANALITIKA EU PROJEKATA'!$G$3:$G$501,'ANALITIKA EU PROJEKATA'!$A$3:$A$501,"=43",'ANALITIKA EU PROJEKATA'!$P$3:$P$501,"=329")</f>
        <v>25000</v>
      </c>
      <c r="J14" s="140">
        <f>SUMIFS('Plan rashoda za unos u SAP'!$I$3:$I$501,'Plan rashoda za unos u SAP'!$C$3:$C$501,"=51",'Plan rashoda za unos u SAP'!$M$3:$M$501,"=329")+SUMIFS('ANALITIKA EU PROJEKATA'!$G$3:$G$501,'ANALITIKA EU PROJEKATA'!$A$3:$A$501,"=51",'ANALITIKA EU PROJEKATA'!$P$3:$P$501,"=329")</f>
        <v>0</v>
      </c>
      <c r="K14" s="140">
        <f>SUMIFS('Plan rashoda za unos u SAP'!$I$3:$I$501,'Plan rashoda za unos u SAP'!$C$3:$C$501,"=52",'Plan rashoda za unos u SAP'!$M$3:$M$501,"=329")+SUMIFS('ANALITIKA EU PROJEKATA'!$G$3:$G$501,'ANALITIKA EU PROJEKATA'!$A$3:$A$501,"=52",'ANALITIKA EU PROJEKATA'!$P$3:$P$501,"=329")</f>
        <v>0</v>
      </c>
      <c r="L14" s="140">
        <f>SUMIFS('Plan rashoda za unos u SAP'!$I$3:$I$501,'Plan rashoda za unos u SAP'!$C$3:$C$501,"=552",'Plan rashoda za unos u SAP'!$M$3:$M$501,"=329")+SUMIFS('ANALITIKA EU PROJEKATA'!$G$3:$G$501,'ANALITIKA EU PROJEKATA'!$A$3:$A$501,"=552",'ANALITIKA EU PROJEKATA'!$P$3:$P$501,"=329")</f>
        <v>0</v>
      </c>
      <c r="M14" s="140">
        <f>SUMIFS('Plan rashoda za unos u SAP'!$I$3:$I$501,'Plan rashoda za unos u SAP'!$C$3:$C$501,"=559",'Plan rashoda za unos u SAP'!$M$3:$M$501,"=329")+SUMIFS('ANALITIKA EU PROJEKATA'!$G$3:$G$501,'ANALITIKA EU PROJEKATA'!$A$3:$A$501,"=559",'ANALITIKA EU PROJEKATA'!$P$3:$P$501,"=329")</f>
        <v>0</v>
      </c>
      <c r="N14" s="140">
        <f>SUMIFS('Plan rashoda za unos u SAP'!$I$3:$I$501,'Plan rashoda za unos u SAP'!$C$3:$C$501,"=561",'Plan rashoda za unos u SAP'!$M$3:$M$501,"=329")+SUMIFS('ANALITIKA EU PROJEKATA'!$G$3:$G$501,'ANALITIKA EU PROJEKATA'!$A$3:$A$501,"=561",'ANALITIKA EU PROJEKATA'!$P$3:$P$501,"=329")</f>
        <v>89963</v>
      </c>
      <c r="O14" s="140">
        <f>SUMIFS('Plan rashoda za unos u SAP'!$I$3:$I$501,'Plan rashoda za unos u SAP'!$C$3:$C$501,"=563",'Plan rashoda za unos u SAP'!$M$3:$M$501,"=329")+SUMIFS('ANALITIKA EU PROJEKATA'!$G$3:$G$501,'ANALITIKA EU PROJEKATA'!$A$3:$A$501,"=563",'ANALITIKA EU PROJEKATA'!$P$3:$P$501,"=329")</f>
        <v>0</v>
      </c>
      <c r="P14" s="140">
        <f>SUMIFS('Plan rashoda za unos u SAP'!$I$3:$I$501,'Plan rashoda za unos u SAP'!$C$3:$C$501,"=573",'Plan rashoda za unos u SAP'!$M$3:$M$501,"=329")+SUMIFS('ANALITIKA EU PROJEKATA'!$G$3:$G$501,'ANALITIKA EU PROJEKATA'!$A$3:$A$501,"=573",'ANALITIKA EU PROJEKATA'!$P$3:$P$501,"=329")</f>
        <v>0</v>
      </c>
      <c r="Q14" s="140">
        <f>SUMIFS('Plan rashoda za unos u SAP'!$I$3:$I$501,'Plan rashoda za unos u SAP'!$C$3:$C$501,"=575",'Plan rashoda za unos u SAP'!$M$3:$M$501,"=329")+SUMIFS('ANALITIKA EU PROJEKATA'!$G$3:$G$501,'ANALITIKA EU PROJEKATA'!$A$3:$A$501,"=575",'ANALITIKA EU PROJEKATA'!$P$3:$P$501,"=329")</f>
        <v>0</v>
      </c>
      <c r="R14" s="140">
        <f>SUMIFS('Plan rashoda za unos u SAP'!$I$3:$I$501,'Plan rashoda za unos u SAP'!$C$3:$C$501,"=576",'Plan rashoda za unos u SAP'!$M$3:$M$501,"=329")+SUMIFS('ANALITIKA EU PROJEKATA'!$G$3:$G$501,'ANALITIKA EU PROJEKATA'!$A$3:$A$501,"=576",'ANALITIKA EU PROJEKATA'!$P$3:$P$501,"=329")</f>
        <v>0</v>
      </c>
      <c r="S14" s="140">
        <f>SUMIFS('Plan rashoda za unos u SAP'!$I$3:$I$501,'Plan rashoda za unos u SAP'!$C$3:$C$501,"=61",'Plan rashoda za unos u SAP'!$M$3:$M$501,"=329")+SUMIFS('ANALITIKA EU PROJEKATA'!$G$3:$G$501,'ANALITIKA EU PROJEKATA'!$A$3:$A$501,"=61",'ANALITIKA EU PROJEKATA'!$P$3:$P$501,"=329")</f>
        <v>0</v>
      </c>
      <c r="T14" s="140">
        <f>SUMIFS('Plan rashoda za unos u SAP'!$I$3:$I$501,'Plan rashoda za unos u SAP'!$C$3:$C$501,"=63",'Plan rashoda za unos u SAP'!$M$3:$M$501,"=329")+SUMIFS('ANALITIKA EU PROJEKATA'!$G$3:$G$501,'ANALITIKA EU PROJEKATA'!$A$3:$A$501,"=63",'ANALITIKA EU PROJEKATA'!$P$3:$P$501,"=329")</f>
        <v>0</v>
      </c>
      <c r="U14" s="140">
        <f>SUMIFS('Plan rashoda za unos u SAP'!$I$3:$I$501,'Plan rashoda za unos u SAP'!$C$3:$C$501,"=71",'Plan rashoda za unos u SAP'!$M$3:$M$501,"=329")+SUMIFS('ANALITIKA EU PROJEKATA'!$G$3:$G$501,'ANALITIKA EU PROJEKATA'!$A$3:$A$501,"=71",'ANALITIKA EU PROJEKATA'!$P$3:$P$501,"=329")</f>
        <v>0</v>
      </c>
      <c r="V14" s="140">
        <f>SUMIFS('Plan rashoda za unos u SAP'!$I$3:$I$501,'Plan rashoda za unos u SAP'!$C$3:$C$501,"=81",'Plan rashoda za unos u SAP'!$M$3:$M$501,"=329")+SUMIFS('ANALITIKA EU PROJEKATA'!$G$3:$G$501,'ANALITIKA EU PROJEKATA'!$A$3:$A$501,"=81",'ANALITIKA EU PROJEKATA'!$P$3:$P$501,"=329")</f>
        <v>0</v>
      </c>
      <c r="W14" s="140">
        <f>SUMIFS('Plan rashoda za unos u SAP'!$I$3:$I$501,'Plan rashoda za unos u SAP'!$C$3:$C$501,"=83",'Plan rashoda za unos u SAP'!$M$3:$M$501,"=329")+SUMIFS('ANALITIKA EU PROJEKATA'!$G$3:$G$501,'ANALITIKA EU PROJEKATA'!$A$3:$A$501,"=83",'ANALITIKA EU PROJEKATA'!$P$3:$P$501,"=329")</f>
        <v>0</v>
      </c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  <c r="EE14" s="72"/>
      <c r="EF14" s="72"/>
      <c r="EG14" s="72"/>
      <c r="EH14" s="72"/>
      <c r="EI14" s="72"/>
      <c r="EJ14" s="72"/>
      <c r="EK14" s="72"/>
      <c r="EL14" s="72"/>
      <c r="EM14" s="72"/>
      <c r="EN14" s="72"/>
      <c r="EO14" s="72"/>
      <c r="EP14" s="72"/>
      <c r="EQ14" s="72"/>
      <c r="ER14" s="72"/>
      <c r="ES14" s="72"/>
      <c r="ET14" s="72"/>
      <c r="EU14" s="72"/>
      <c r="EV14" s="72"/>
      <c r="EW14" s="72"/>
      <c r="EX14" s="72"/>
      <c r="EY14" s="72"/>
      <c r="EZ14" s="72"/>
      <c r="FA14" s="72"/>
      <c r="FB14" s="72"/>
      <c r="FC14" s="72"/>
      <c r="FD14" s="72"/>
      <c r="FE14" s="72"/>
      <c r="FF14" s="72"/>
      <c r="FG14" s="72"/>
      <c r="FH14" s="72"/>
      <c r="FI14" s="72"/>
      <c r="FJ14" s="72"/>
      <c r="FK14" s="72"/>
      <c r="FL14" s="72"/>
      <c r="FM14" s="72"/>
      <c r="FN14" s="72"/>
      <c r="FO14" s="72"/>
      <c r="FP14" s="72"/>
      <c r="FQ14" s="72"/>
      <c r="FR14" s="72"/>
      <c r="FS14" s="72"/>
      <c r="FT14" s="72"/>
      <c r="FU14" s="72"/>
      <c r="FV14" s="72"/>
      <c r="FW14" s="72"/>
      <c r="FX14" s="72"/>
      <c r="FY14" s="72"/>
      <c r="FZ14" s="72"/>
      <c r="GA14" s="72"/>
      <c r="GB14" s="72"/>
      <c r="GC14" s="72"/>
      <c r="GD14" s="72"/>
      <c r="GE14" s="72"/>
      <c r="GF14" s="72"/>
      <c r="GG14" s="72"/>
      <c r="GH14" s="72"/>
      <c r="GI14" s="72"/>
      <c r="GJ14" s="72"/>
      <c r="GK14" s="72"/>
      <c r="GL14" s="73"/>
      <c r="GM14" s="73"/>
      <c r="GN14" s="73"/>
      <c r="GO14" s="73"/>
      <c r="GP14" s="73"/>
      <c r="GQ14" s="73"/>
      <c r="GR14" s="73"/>
      <c r="GS14" s="73"/>
      <c r="GT14" s="73"/>
      <c r="GU14" s="73"/>
      <c r="GV14" s="73"/>
      <c r="GW14" s="73"/>
      <c r="GX14" s="73"/>
      <c r="GY14" s="73"/>
      <c r="GZ14" s="73"/>
      <c r="HA14" s="73"/>
      <c r="HB14" s="73"/>
      <c r="HC14" s="73"/>
      <c r="HD14" s="73"/>
      <c r="HE14" s="73"/>
      <c r="HF14" s="73"/>
      <c r="HG14" s="73"/>
      <c r="HH14" s="73"/>
      <c r="HI14" s="73"/>
      <c r="HJ14" s="73"/>
      <c r="HK14" s="73"/>
      <c r="HL14" s="73"/>
      <c r="HM14" s="73"/>
      <c r="HN14" s="73"/>
      <c r="HO14" s="73"/>
      <c r="HP14" s="73"/>
      <c r="HQ14" s="73"/>
      <c r="HR14" s="73"/>
      <c r="HS14" s="73"/>
      <c r="HT14" s="73"/>
      <c r="HU14" s="73"/>
      <c r="HV14" s="73"/>
      <c r="HW14" s="73"/>
      <c r="HX14" s="73"/>
      <c r="HY14" s="73"/>
      <c r="HZ14" s="73"/>
      <c r="IA14" s="73"/>
      <c r="IB14" s="73"/>
      <c r="IC14" s="73"/>
      <c r="ID14" s="73"/>
      <c r="IE14" s="73"/>
      <c r="IF14" s="73"/>
      <c r="IG14" s="73"/>
      <c r="IH14" s="73"/>
      <c r="II14" s="73"/>
      <c r="IJ14" s="73"/>
      <c r="IK14" s="73"/>
      <c r="IL14" s="73"/>
      <c r="IM14" s="73"/>
      <c r="IN14" s="73"/>
      <c r="IO14" s="73"/>
      <c r="IP14" s="73"/>
      <c r="IQ14" s="73"/>
      <c r="IR14" s="73"/>
      <c r="IS14" s="73"/>
      <c r="IT14" s="73"/>
      <c r="IU14" s="73"/>
      <c r="IV14" s="73"/>
      <c r="IW14" s="73"/>
      <c r="IX14" s="73"/>
      <c r="IY14" s="73"/>
      <c r="IZ14" s="73"/>
      <c r="JA14" s="73"/>
      <c r="JB14" s="73"/>
      <c r="JC14" s="73"/>
    </row>
    <row r="15" spans="1:263" s="16" customFormat="1" ht="12.6" customHeight="1">
      <c r="A15" s="22">
        <v>2021</v>
      </c>
      <c r="B15" s="84">
        <v>34</v>
      </c>
      <c r="C15" s="15" t="s">
        <v>210</v>
      </c>
      <c r="D15" s="4">
        <f t="shared" si="1"/>
        <v>25700</v>
      </c>
      <c r="E15" s="4">
        <f t="shared" ref="E15:W15" si="5">SUM(E16:E18)</f>
        <v>21000</v>
      </c>
      <c r="F15" s="4">
        <f t="shared" si="5"/>
        <v>0</v>
      </c>
      <c r="G15" s="4">
        <f t="shared" si="5"/>
        <v>4500</v>
      </c>
      <c r="H15" s="4">
        <f>SUM(H16:H18)</f>
        <v>0</v>
      </c>
      <c r="I15" s="4">
        <f t="shared" si="5"/>
        <v>200</v>
      </c>
      <c r="J15" s="4">
        <f t="shared" si="5"/>
        <v>0</v>
      </c>
      <c r="K15" s="4">
        <f t="shared" si="5"/>
        <v>0</v>
      </c>
      <c r="L15" s="4">
        <f>SUM(L16:L18)</f>
        <v>0</v>
      </c>
      <c r="M15" s="4">
        <f t="shared" si="5"/>
        <v>0</v>
      </c>
      <c r="N15" s="4">
        <f t="shared" si="5"/>
        <v>0</v>
      </c>
      <c r="O15" s="4">
        <f t="shared" si="5"/>
        <v>0</v>
      </c>
      <c r="P15" s="4">
        <f>SUM(P16:P18)</f>
        <v>0</v>
      </c>
      <c r="Q15" s="4">
        <f>SUM(Q16:Q18)</f>
        <v>0</v>
      </c>
      <c r="R15" s="4">
        <f>SUM(R16:R18)</f>
        <v>0</v>
      </c>
      <c r="S15" s="4">
        <f t="shared" si="5"/>
        <v>0</v>
      </c>
      <c r="T15" s="4">
        <f t="shared" si="5"/>
        <v>0</v>
      </c>
      <c r="U15" s="4">
        <f t="shared" si="5"/>
        <v>0</v>
      </c>
      <c r="V15" s="4">
        <f t="shared" si="5"/>
        <v>0</v>
      </c>
      <c r="W15" s="4">
        <f t="shared" si="5"/>
        <v>0</v>
      </c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85"/>
      <c r="CW15" s="85"/>
      <c r="CX15" s="85"/>
      <c r="CY15" s="85"/>
      <c r="CZ15" s="85"/>
      <c r="DA15" s="85"/>
      <c r="DB15" s="85"/>
      <c r="DC15" s="85"/>
      <c r="DD15" s="85"/>
      <c r="DE15" s="85"/>
      <c r="DF15" s="85"/>
      <c r="DG15" s="85"/>
      <c r="DH15" s="85"/>
      <c r="DI15" s="85"/>
      <c r="DJ15" s="85"/>
      <c r="DK15" s="85"/>
      <c r="DL15" s="85"/>
      <c r="DM15" s="85"/>
      <c r="DN15" s="85"/>
      <c r="DO15" s="85"/>
      <c r="DP15" s="85"/>
      <c r="DQ15" s="85"/>
      <c r="DR15" s="85"/>
      <c r="DS15" s="85"/>
      <c r="DT15" s="85"/>
      <c r="DU15" s="85"/>
      <c r="DV15" s="85"/>
      <c r="DW15" s="85"/>
      <c r="DX15" s="85"/>
      <c r="DY15" s="85"/>
      <c r="DZ15" s="85"/>
      <c r="EA15" s="85"/>
      <c r="EB15" s="85"/>
      <c r="EC15" s="85"/>
      <c r="ED15" s="85"/>
      <c r="EE15" s="85"/>
      <c r="EF15" s="85"/>
      <c r="EG15" s="85"/>
      <c r="EH15" s="85"/>
      <c r="EI15" s="85"/>
      <c r="EJ15" s="85"/>
      <c r="EK15" s="85"/>
      <c r="EL15" s="85"/>
      <c r="EM15" s="85"/>
      <c r="EN15" s="85"/>
      <c r="EO15" s="85"/>
      <c r="EP15" s="85"/>
      <c r="EQ15" s="85"/>
      <c r="ER15" s="85"/>
      <c r="ES15" s="85"/>
      <c r="ET15" s="85"/>
      <c r="EU15" s="85"/>
      <c r="EV15" s="85"/>
      <c r="EW15" s="85"/>
      <c r="EX15" s="85"/>
      <c r="EY15" s="85"/>
      <c r="EZ15" s="85"/>
      <c r="FA15" s="85"/>
      <c r="FB15" s="85"/>
      <c r="FC15" s="85"/>
      <c r="FD15" s="85"/>
      <c r="FE15" s="85"/>
      <c r="FF15" s="85"/>
      <c r="FG15" s="85"/>
      <c r="FH15" s="85"/>
      <c r="FI15" s="85"/>
      <c r="FJ15" s="85"/>
      <c r="FK15" s="85"/>
      <c r="FL15" s="85"/>
      <c r="FM15" s="85"/>
      <c r="FN15" s="85"/>
      <c r="FO15" s="85"/>
      <c r="FP15" s="85"/>
      <c r="FQ15" s="85"/>
      <c r="FR15" s="85"/>
      <c r="FS15" s="85"/>
      <c r="FT15" s="85"/>
      <c r="FU15" s="85"/>
      <c r="FV15" s="85"/>
      <c r="FW15" s="85"/>
      <c r="FX15" s="85"/>
      <c r="FY15" s="85"/>
      <c r="FZ15" s="85"/>
      <c r="GA15" s="85"/>
      <c r="GB15" s="85"/>
      <c r="GC15" s="85"/>
      <c r="GD15" s="85"/>
      <c r="GE15" s="85"/>
      <c r="GF15" s="85"/>
      <c r="GG15" s="85"/>
      <c r="GH15" s="85"/>
      <c r="GI15" s="85"/>
      <c r="GJ15" s="85"/>
      <c r="GK15" s="85"/>
      <c r="GL15" s="86"/>
      <c r="GM15" s="86"/>
      <c r="GN15" s="86"/>
      <c r="GO15" s="86"/>
      <c r="GP15" s="86"/>
      <c r="GQ15" s="86"/>
      <c r="GR15" s="86"/>
      <c r="GS15" s="86"/>
      <c r="GT15" s="86"/>
      <c r="GU15" s="86"/>
      <c r="GV15" s="86"/>
      <c r="GW15" s="86"/>
      <c r="GX15" s="86"/>
      <c r="GY15" s="86"/>
      <c r="GZ15" s="86"/>
      <c r="HA15" s="86"/>
      <c r="HB15" s="86"/>
      <c r="HC15" s="86"/>
      <c r="HD15" s="86"/>
      <c r="HE15" s="86"/>
      <c r="HF15" s="86"/>
      <c r="HG15" s="86"/>
      <c r="HH15" s="86"/>
      <c r="HI15" s="86"/>
      <c r="HJ15" s="86"/>
      <c r="HK15" s="86"/>
      <c r="HL15" s="86"/>
      <c r="HM15" s="86"/>
      <c r="HN15" s="86"/>
      <c r="HO15" s="86"/>
      <c r="HP15" s="86"/>
      <c r="HQ15" s="86"/>
      <c r="HR15" s="86"/>
      <c r="HS15" s="86"/>
      <c r="HT15" s="86"/>
      <c r="HU15" s="86"/>
      <c r="HV15" s="86"/>
      <c r="HW15" s="86"/>
      <c r="HX15" s="86"/>
      <c r="HY15" s="86"/>
      <c r="HZ15" s="86"/>
      <c r="IA15" s="86"/>
      <c r="IB15" s="86"/>
      <c r="IC15" s="86"/>
      <c r="ID15" s="86"/>
      <c r="IE15" s="86"/>
      <c r="IF15" s="86"/>
      <c r="IG15" s="86"/>
      <c r="IH15" s="86"/>
      <c r="II15" s="86"/>
      <c r="IJ15" s="86"/>
      <c r="IK15" s="86"/>
      <c r="IL15" s="86"/>
      <c r="IM15" s="86"/>
      <c r="IN15" s="86"/>
      <c r="IO15" s="86"/>
      <c r="IP15" s="86"/>
      <c r="IQ15" s="86"/>
      <c r="IR15" s="86"/>
      <c r="IS15" s="86"/>
      <c r="IT15" s="86"/>
      <c r="IU15" s="86"/>
      <c r="IV15" s="86"/>
      <c r="IW15" s="86"/>
      <c r="IX15" s="86"/>
      <c r="IY15" s="86"/>
      <c r="IZ15" s="86"/>
      <c r="JA15" s="86"/>
      <c r="JB15" s="86"/>
      <c r="JC15" s="86"/>
    </row>
    <row r="16" spans="1:263" s="16" customFormat="1" ht="12.6" customHeight="1">
      <c r="A16" s="22">
        <v>2021</v>
      </c>
      <c r="B16" s="88">
        <v>341</v>
      </c>
      <c r="C16" s="8" t="s">
        <v>326</v>
      </c>
      <c r="D16" s="14">
        <f t="shared" si="1"/>
        <v>0</v>
      </c>
      <c r="E16" s="140">
        <f>SUMIFS('Plan rashoda za unos u SAP'!$I$3:$I$501,'Plan rashoda za unos u SAP'!$C$3:$C$501,"=11",'Plan rashoda za unos u SAP'!$M$3:$M$501,"=341")+SUMIFS('ANALITIKA EU PROJEKATA'!$G$3:$G$501,'ANALITIKA EU PROJEKATA'!$A$3:$A$501,"=11",'ANALITIKA EU PROJEKATA'!$P$3:$P$501,"=341")</f>
        <v>0</v>
      </c>
      <c r="F16" s="140">
        <f>SUMIFS('Plan rashoda za unos u SAP'!$I$3:$I$501,'Plan rashoda za unos u SAP'!$C$3:$C$501,"=12",'Plan rashoda za unos u SAP'!$M$3:$M$501,"=341")+SUMIFS('ANALITIKA EU PROJEKATA'!$G$3:$G$501,'ANALITIKA EU PROJEKATA'!$A$3:$A$501,"=12",'ANALITIKA EU PROJEKATA'!$P$3:$P$501,"=341")</f>
        <v>0</v>
      </c>
      <c r="G16" s="140">
        <f>SUMIFS('Plan rashoda za unos u SAP'!$I$3:$I$501,'Plan rashoda za unos u SAP'!$C$3:$C$501,"=31",'Plan rashoda za unos u SAP'!$M$3:$M$501,"=341")+SUMIFS('ANALITIKA EU PROJEKATA'!$G$3:$G$501,'ANALITIKA EU PROJEKATA'!$A$3:$A$501,"=31",'ANALITIKA EU PROJEKATA'!$P$3:$P$501,"=341")</f>
        <v>0</v>
      </c>
      <c r="H16" s="140">
        <f>SUMIFS('Plan rashoda za unos u SAP'!$I$3:$I$501,'Plan rashoda za unos u SAP'!$C$3:$C$501,"=41",'Plan rashoda za unos u SAP'!$M$3:$M$501,"=341")+SUMIFS('ANALITIKA EU PROJEKATA'!$G$3:$G$501,'ANALITIKA EU PROJEKATA'!$A$3:$A$501,"=41",'ANALITIKA EU PROJEKATA'!$P$3:$P$501,"=341")</f>
        <v>0</v>
      </c>
      <c r="I16" s="140">
        <f>SUMIFS('Plan rashoda za unos u SAP'!$I$3:$I$501,'Plan rashoda za unos u SAP'!$C$3:$C$501,"=43",'Plan rashoda za unos u SAP'!$M$3:$M$501,"=341")+SUMIFS('ANALITIKA EU PROJEKATA'!$G$3:$G$501,'ANALITIKA EU PROJEKATA'!$A$3:$A$501,"=43",'ANALITIKA EU PROJEKATA'!$P$3:$P$501,"=341")</f>
        <v>0</v>
      </c>
      <c r="J16" s="140">
        <f>SUMIFS('Plan rashoda za unos u SAP'!$I$3:$I$501,'Plan rashoda za unos u SAP'!$C$3:$C$501,"=51",'Plan rashoda za unos u SAP'!$M$3:$M$501,"=341")+SUMIFS('ANALITIKA EU PROJEKATA'!$G$3:$G$501,'ANALITIKA EU PROJEKATA'!$A$3:$A$501,"=51",'ANALITIKA EU PROJEKATA'!$P$3:$P$501,"=341")</f>
        <v>0</v>
      </c>
      <c r="K16" s="140">
        <f>SUMIFS('Plan rashoda za unos u SAP'!$I$3:$I$501,'Plan rashoda za unos u SAP'!$C$3:$C$501,"=52",'Plan rashoda za unos u SAP'!$M$3:$M$501,"=341")+SUMIFS('ANALITIKA EU PROJEKATA'!$G$3:$G$501,'ANALITIKA EU PROJEKATA'!$A$3:$A$501,"=52",'ANALITIKA EU PROJEKATA'!$P$3:$P$501,"=341")</f>
        <v>0</v>
      </c>
      <c r="L16" s="140">
        <f>SUMIFS('Plan rashoda za unos u SAP'!$I$3:$I$501,'Plan rashoda za unos u SAP'!$C$3:$C$501,"=552",'Plan rashoda za unos u SAP'!$M$3:$M$501,"=341")+SUMIFS('ANALITIKA EU PROJEKATA'!$G$3:$G$501,'ANALITIKA EU PROJEKATA'!$A$3:$A$501,"=552",'ANALITIKA EU PROJEKATA'!$P$3:$P$501,"=341")</f>
        <v>0</v>
      </c>
      <c r="M16" s="140">
        <f>SUMIFS('Plan rashoda za unos u SAP'!$I$3:$I$501,'Plan rashoda za unos u SAP'!$C$3:$C$501,"=559",'Plan rashoda za unos u SAP'!$M$3:$M$501,"=341")+SUMIFS('ANALITIKA EU PROJEKATA'!$G$3:$G$501,'ANALITIKA EU PROJEKATA'!$A$3:$A$501,"=559",'ANALITIKA EU PROJEKATA'!$P$3:$P$501,"=341")</f>
        <v>0</v>
      </c>
      <c r="N16" s="140">
        <f>SUMIFS('Plan rashoda za unos u SAP'!$I$3:$I$501,'Plan rashoda za unos u SAP'!$C$3:$C$501,"=561",'Plan rashoda za unos u SAP'!$M$3:$M$501,"=341")+SUMIFS('ANALITIKA EU PROJEKATA'!$G$3:$G$501,'ANALITIKA EU PROJEKATA'!$A$3:$A$501,"=561",'ANALITIKA EU PROJEKATA'!$P$3:$P$501,"=341")</f>
        <v>0</v>
      </c>
      <c r="O16" s="140">
        <f>SUMIFS('Plan rashoda za unos u SAP'!$I$3:$I$501,'Plan rashoda za unos u SAP'!$C$3:$C$501,"=563",'Plan rashoda za unos u SAP'!$M$3:$M$501,"=341")+SUMIFS('ANALITIKA EU PROJEKATA'!$G$3:$G$501,'ANALITIKA EU PROJEKATA'!$A$3:$A$501,"=563",'ANALITIKA EU PROJEKATA'!$P$3:$P$501,"=341")</f>
        <v>0</v>
      </c>
      <c r="P16" s="140">
        <f>SUMIFS('Plan rashoda za unos u SAP'!$I$3:$I$501,'Plan rashoda za unos u SAP'!$C$3:$C$501,"=573",'Plan rashoda za unos u SAP'!$M$3:$M$501,"=341")+SUMIFS('ANALITIKA EU PROJEKATA'!$G$3:$G$501,'ANALITIKA EU PROJEKATA'!$A$3:$A$501,"=573",'ANALITIKA EU PROJEKATA'!$P$3:$P$501,"=341")</f>
        <v>0</v>
      </c>
      <c r="Q16" s="140">
        <f>SUMIFS('Plan rashoda za unos u SAP'!$I$3:$I$501,'Plan rashoda za unos u SAP'!$C$3:$C$501,"=575",'Plan rashoda za unos u SAP'!$M$3:$M$501,"=341")+SUMIFS('ANALITIKA EU PROJEKATA'!$G$3:$G$501,'ANALITIKA EU PROJEKATA'!$A$3:$A$501,"=575",'ANALITIKA EU PROJEKATA'!$P$3:$P$501,"=341")</f>
        <v>0</v>
      </c>
      <c r="R16" s="140">
        <f>SUMIFS('Plan rashoda za unos u SAP'!$I$3:$I$501,'Plan rashoda za unos u SAP'!$C$3:$C$501,"=576",'Plan rashoda za unos u SAP'!$M$3:$M$501,"=341")+SUMIFS('ANALITIKA EU PROJEKATA'!$G$3:$G$501,'ANALITIKA EU PROJEKATA'!$A$3:$A$501,"=576",'ANALITIKA EU PROJEKATA'!$P$3:$P$501,"=341")</f>
        <v>0</v>
      </c>
      <c r="S16" s="140">
        <f>SUMIFS('Plan rashoda za unos u SAP'!$I$3:$I$501,'Plan rashoda za unos u SAP'!$C$3:$C$501,"=61",'Plan rashoda za unos u SAP'!$M$3:$M$501,"=341")+SUMIFS('ANALITIKA EU PROJEKATA'!$G$3:$G$501,'ANALITIKA EU PROJEKATA'!$A$3:$A$501,"=61",'ANALITIKA EU PROJEKATA'!$P$3:$P$501,"=341")</f>
        <v>0</v>
      </c>
      <c r="T16" s="140">
        <f>SUMIFS('Plan rashoda za unos u SAP'!$I$3:$I$501,'Plan rashoda za unos u SAP'!$C$3:$C$501,"=63",'Plan rashoda za unos u SAP'!$M$3:$M$501,"=341")+SUMIFS('ANALITIKA EU PROJEKATA'!$G$3:$G$501,'ANALITIKA EU PROJEKATA'!$A$3:$A$501,"=63",'ANALITIKA EU PROJEKATA'!$P$3:$P$501,"=341")</f>
        <v>0</v>
      </c>
      <c r="U16" s="140">
        <f>SUMIFS('Plan rashoda za unos u SAP'!$I$3:$I$501,'Plan rashoda za unos u SAP'!$C$3:$C$501,"=71",'Plan rashoda za unos u SAP'!$M$3:$M$501,"=341")+SUMIFS('ANALITIKA EU PROJEKATA'!$G$3:$G$501,'ANALITIKA EU PROJEKATA'!$A$3:$A$501,"=71",'ANALITIKA EU PROJEKATA'!$P$3:$P$501,"=341")</f>
        <v>0</v>
      </c>
      <c r="V16" s="140">
        <f>SUMIFS('Plan rashoda za unos u SAP'!$I$3:$I$501,'Plan rashoda za unos u SAP'!$C$3:$C$501,"=81",'Plan rashoda za unos u SAP'!$M$3:$M$501,"=341")+SUMIFS('ANALITIKA EU PROJEKATA'!$G$3:$G$501,'ANALITIKA EU PROJEKATA'!$A$3:$A$501,"=81",'ANALITIKA EU PROJEKATA'!$P$3:$P$501,"=341")</f>
        <v>0</v>
      </c>
      <c r="W16" s="140">
        <f>SUMIFS('Plan rashoda za unos u SAP'!$I$3:$I$501,'Plan rashoda za unos u SAP'!$C$3:$C$501,"=83",'Plan rashoda za unos u SAP'!$M$3:$M$501,"=341")+SUMIFS('ANALITIKA EU PROJEKATA'!$G$3:$G$501,'ANALITIKA EU PROJEKATA'!$A$3:$A$501,"=83",'ANALITIKA EU PROJEKATA'!$P$3:$P$501,"=341")</f>
        <v>0</v>
      </c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5"/>
      <c r="CO16" s="85"/>
      <c r="CP16" s="85"/>
      <c r="CQ16" s="85"/>
      <c r="CR16" s="85"/>
      <c r="CS16" s="85"/>
      <c r="CT16" s="85"/>
      <c r="CU16" s="85"/>
      <c r="CV16" s="85"/>
      <c r="CW16" s="85"/>
      <c r="CX16" s="85"/>
      <c r="CY16" s="85"/>
      <c r="CZ16" s="85"/>
      <c r="DA16" s="85"/>
      <c r="DB16" s="85"/>
      <c r="DC16" s="85"/>
      <c r="DD16" s="85"/>
      <c r="DE16" s="85"/>
      <c r="DF16" s="85"/>
      <c r="DG16" s="85"/>
      <c r="DH16" s="85"/>
      <c r="DI16" s="85"/>
      <c r="DJ16" s="85"/>
      <c r="DK16" s="85"/>
      <c r="DL16" s="85"/>
      <c r="DM16" s="85"/>
      <c r="DN16" s="85"/>
      <c r="DO16" s="85"/>
      <c r="DP16" s="85"/>
      <c r="DQ16" s="85"/>
      <c r="DR16" s="85"/>
      <c r="DS16" s="85"/>
      <c r="DT16" s="85"/>
      <c r="DU16" s="85"/>
      <c r="DV16" s="85"/>
      <c r="DW16" s="85"/>
      <c r="DX16" s="85"/>
      <c r="DY16" s="85"/>
      <c r="DZ16" s="85"/>
      <c r="EA16" s="85"/>
      <c r="EB16" s="85"/>
      <c r="EC16" s="85"/>
      <c r="ED16" s="85"/>
      <c r="EE16" s="85"/>
      <c r="EF16" s="85"/>
      <c r="EG16" s="85"/>
      <c r="EH16" s="85"/>
      <c r="EI16" s="85"/>
      <c r="EJ16" s="85"/>
      <c r="EK16" s="85"/>
      <c r="EL16" s="85"/>
      <c r="EM16" s="85"/>
      <c r="EN16" s="85"/>
      <c r="EO16" s="85"/>
      <c r="EP16" s="85"/>
      <c r="EQ16" s="85"/>
      <c r="ER16" s="85"/>
      <c r="ES16" s="85"/>
      <c r="ET16" s="85"/>
      <c r="EU16" s="85"/>
      <c r="EV16" s="85"/>
      <c r="EW16" s="85"/>
      <c r="EX16" s="85"/>
      <c r="EY16" s="85"/>
      <c r="EZ16" s="85"/>
      <c r="FA16" s="85"/>
      <c r="FB16" s="85"/>
      <c r="FC16" s="85"/>
      <c r="FD16" s="85"/>
      <c r="FE16" s="85"/>
      <c r="FF16" s="85"/>
      <c r="FG16" s="85"/>
      <c r="FH16" s="85"/>
      <c r="FI16" s="85"/>
      <c r="FJ16" s="85"/>
      <c r="FK16" s="85"/>
      <c r="FL16" s="85"/>
      <c r="FM16" s="85"/>
      <c r="FN16" s="85"/>
      <c r="FO16" s="85"/>
      <c r="FP16" s="85"/>
      <c r="FQ16" s="85"/>
      <c r="FR16" s="85"/>
      <c r="FS16" s="85"/>
      <c r="FT16" s="85"/>
      <c r="FU16" s="85"/>
      <c r="FV16" s="85"/>
      <c r="FW16" s="85"/>
      <c r="FX16" s="85"/>
      <c r="FY16" s="85"/>
      <c r="FZ16" s="85"/>
      <c r="GA16" s="85"/>
      <c r="GB16" s="85"/>
      <c r="GC16" s="85"/>
      <c r="GD16" s="85"/>
      <c r="GE16" s="85"/>
      <c r="GF16" s="85"/>
      <c r="GG16" s="85"/>
      <c r="GH16" s="85"/>
      <c r="GI16" s="85"/>
      <c r="GJ16" s="85"/>
      <c r="GK16" s="85"/>
      <c r="GL16" s="86"/>
      <c r="GM16" s="86"/>
      <c r="GN16" s="86"/>
      <c r="GO16" s="86"/>
      <c r="GP16" s="86"/>
      <c r="GQ16" s="86"/>
      <c r="GR16" s="86"/>
      <c r="GS16" s="86"/>
      <c r="GT16" s="86"/>
      <c r="GU16" s="86"/>
      <c r="GV16" s="86"/>
      <c r="GW16" s="86"/>
      <c r="GX16" s="86"/>
      <c r="GY16" s="86"/>
      <c r="GZ16" s="86"/>
      <c r="HA16" s="86"/>
      <c r="HB16" s="86"/>
      <c r="HC16" s="86"/>
      <c r="HD16" s="86"/>
      <c r="HE16" s="86"/>
      <c r="HF16" s="86"/>
      <c r="HG16" s="86"/>
      <c r="HH16" s="86"/>
      <c r="HI16" s="86"/>
      <c r="HJ16" s="86"/>
      <c r="HK16" s="86"/>
      <c r="HL16" s="86"/>
      <c r="HM16" s="86"/>
      <c r="HN16" s="86"/>
      <c r="HO16" s="86"/>
      <c r="HP16" s="86"/>
      <c r="HQ16" s="86"/>
      <c r="HR16" s="86"/>
      <c r="HS16" s="86"/>
      <c r="HT16" s="86"/>
      <c r="HU16" s="86"/>
      <c r="HV16" s="86"/>
      <c r="HW16" s="86"/>
      <c r="HX16" s="86"/>
      <c r="HY16" s="86"/>
      <c r="HZ16" s="86"/>
      <c r="IA16" s="86"/>
      <c r="IB16" s="86"/>
      <c r="IC16" s="86"/>
      <c r="ID16" s="86"/>
      <c r="IE16" s="86"/>
      <c r="IF16" s="86"/>
      <c r="IG16" s="86"/>
      <c r="IH16" s="86"/>
      <c r="II16" s="86"/>
      <c r="IJ16" s="86"/>
      <c r="IK16" s="86"/>
      <c r="IL16" s="86"/>
      <c r="IM16" s="86"/>
      <c r="IN16" s="86"/>
      <c r="IO16" s="86"/>
      <c r="IP16" s="86"/>
      <c r="IQ16" s="86"/>
      <c r="IR16" s="86"/>
      <c r="IS16" s="86"/>
      <c r="IT16" s="86"/>
      <c r="IU16" s="86"/>
      <c r="IV16" s="86"/>
      <c r="IW16" s="86"/>
      <c r="IX16" s="86"/>
      <c r="IY16" s="86"/>
      <c r="IZ16" s="86"/>
      <c r="JA16" s="86"/>
      <c r="JB16" s="86"/>
      <c r="JC16" s="86"/>
    </row>
    <row r="17" spans="1:263" s="16" customFormat="1" ht="12.6" customHeight="1">
      <c r="A17" s="22">
        <v>2021</v>
      </c>
      <c r="B17" s="88">
        <v>342</v>
      </c>
      <c r="C17" s="8" t="s">
        <v>327</v>
      </c>
      <c r="D17" s="14">
        <f t="shared" si="1"/>
        <v>0</v>
      </c>
      <c r="E17" s="140">
        <f>SUMIFS('Plan rashoda za unos u SAP'!$I$3:$I$501,'Plan rashoda za unos u SAP'!$C$3:$C$501,"=11",'Plan rashoda za unos u SAP'!$M$3:$M$501,"=342")+SUMIFS('ANALITIKA EU PROJEKATA'!$G$3:$G$501,'ANALITIKA EU PROJEKATA'!$A$3:$A$501,"=11",'ANALITIKA EU PROJEKATA'!$P$3:$P$501,"=342")</f>
        <v>0</v>
      </c>
      <c r="F17" s="140">
        <f>SUMIFS('Plan rashoda za unos u SAP'!$I$3:$I$501,'Plan rashoda za unos u SAP'!$C$3:$C$501,"=12",'Plan rashoda za unos u SAP'!$M$3:$M$501,"=342")+SUMIFS('ANALITIKA EU PROJEKATA'!$G$3:$G$501,'ANALITIKA EU PROJEKATA'!$A$3:$A$501,"=12",'ANALITIKA EU PROJEKATA'!$P$3:$P$501,"=342")</f>
        <v>0</v>
      </c>
      <c r="G17" s="140">
        <f>SUMIFS('Plan rashoda za unos u SAP'!$I$3:$I$501,'Plan rashoda za unos u SAP'!$C$3:$C$501,"=31",'Plan rashoda za unos u SAP'!$M$3:$M$501,"=342")+SUMIFS('ANALITIKA EU PROJEKATA'!$G$3:$G$501,'ANALITIKA EU PROJEKATA'!$A$3:$A$501,"=31",'ANALITIKA EU PROJEKATA'!$P$3:$P$501,"=342")</f>
        <v>0</v>
      </c>
      <c r="H17" s="140">
        <f>SUMIFS('Plan rashoda za unos u SAP'!$I$3:$I$501,'Plan rashoda za unos u SAP'!$C$3:$C$501,"=41",'Plan rashoda za unos u SAP'!$M$3:$M$501,"=342")+SUMIFS('ANALITIKA EU PROJEKATA'!$G$3:$G$501,'ANALITIKA EU PROJEKATA'!$A$3:$A$501,"=41",'ANALITIKA EU PROJEKATA'!$P$3:$P$501,"=342")</f>
        <v>0</v>
      </c>
      <c r="I17" s="140">
        <f>SUMIFS('Plan rashoda za unos u SAP'!$I$3:$I$501,'Plan rashoda za unos u SAP'!$C$3:$C$501,"=43",'Plan rashoda za unos u SAP'!$M$3:$M$501,"=342")+SUMIFS('ANALITIKA EU PROJEKATA'!$G$3:$G$501,'ANALITIKA EU PROJEKATA'!$A$3:$A$501,"=43",'ANALITIKA EU PROJEKATA'!$P$3:$P$501,"=342")</f>
        <v>0</v>
      </c>
      <c r="J17" s="140">
        <f>SUMIFS('Plan rashoda za unos u SAP'!$I$3:$I$501,'Plan rashoda za unos u SAP'!$C$3:$C$501,"=51",'Plan rashoda za unos u SAP'!$M$3:$M$501,"=342")+SUMIFS('ANALITIKA EU PROJEKATA'!$G$3:$G$501,'ANALITIKA EU PROJEKATA'!$A$3:$A$501,"=51",'ANALITIKA EU PROJEKATA'!$P$3:$P$501,"=342")</f>
        <v>0</v>
      </c>
      <c r="K17" s="140">
        <f>SUMIFS('Plan rashoda za unos u SAP'!$I$3:$I$501,'Plan rashoda za unos u SAP'!$C$3:$C$501,"=52",'Plan rashoda za unos u SAP'!$M$3:$M$501,"=342")+SUMIFS('ANALITIKA EU PROJEKATA'!$G$3:$G$501,'ANALITIKA EU PROJEKATA'!$A$3:$A$501,"=52",'ANALITIKA EU PROJEKATA'!$P$3:$P$501,"=342")</f>
        <v>0</v>
      </c>
      <c r="L17" s="140">
        <f>SUMIFS('Plan rashoda za unos u SAP'!$I$3:$I$501,'Plan rashoda za unos u SAP'!$C$3:$C$501,"=552",'Plan rashoda za unos u SAP'!$M$3:$M$501,"=342")+SUMIFS('ANALITIKA EU PROJEKATA'!$G$3:$G$501,'ANALITIKA EU PROJEKATA'!$A$3:$A$501,"=552",'ANALITIKA EU PROJEKATA'!$P$3:$P$501,"=342")</f>
        <v>0</v>
      </c>
      <c r="M17" s="140">
        <f>SUMIFS('Plan rashoda za unos u SAP'!$I$3:$I$501,'Plan rashoda za unos u SAP'!$C$3:$C$501,"=559",'Plan rashoda za unos u SAP'!$M$3:$M$501,"=342")+SUMIFS('ANALITIKA EU PROJEKATA'!$G$3:$G$501,'ANALITIKA EU PROJEKATA'!$A$3:$A$501,"=559",'ANALITIKA EU PROJEKATA'!$P$3:$P$501,"=342")</f>
        <v>0</v>
      </c>
      <c r="N17" s="140">
        <f>SUMIFS('Plan rashoda za unos u SAP'!$I$3:$I$501,'Plan rashoda za unos u SAP'!$C$3:$C$501,"=561",'Plan rashoda za unos u SAP'!$M$3:$M$501,"=342")+SUMIFS('ANALITIKA EU PROJEKATA'!$G$3:$G$501,'ANALITIKA EU PROJEKATA'!$A$3:$A$501,"=561",'ANALITIKA EU PROJEKATA'!$P$3:$P$501,"=342")</f>
        <v>0</v>
      </c>
      <c r="O17" s="140">
        <f>SUMIFS('Plan rashoda za unos u SAP'!$I$3:$I$501,'Plan rashoda za unos u SAP'!$C$3:$C$501,"=563",'Plan rashoda za unos u SAP'!$M$3:$M$501,"=342")+SUMIFS('ANALITIKA EU PROJEKATA'!$G$3:$G$501,'ANALITIKA EU PROJEKATA'!$A$3:$A$501,"=563",'ANALITIKA EU PROJEKATA'!$P$3:$P$501,"=342")</f>
        <v>0</v>
      </c>
      <c r="P17" s="140">
        <f>SUMIFS('Plan rashoda za unos u SAP'!$I$3:$I$501,'Plan rashoda za unos u SAP'!$C$3:$C$501,"=573",'Plan rashoda za unos u SAP'!$M$3:$M$501,"=342")+SUMIFS('ANALITIKA EU PROJEKATA'!$G$3:$G$501,'ANALITIKA EU PROJEKATA'!$A$3:$A$501,"=573",'ANALITIKA EU PROJEKATA'!$P$3:$P$501,"=342")</f>
        <v>0</v>
      </c>
      <c r="Q17" s="140">
        <f>SUMIFS('Plan rashoda za unos u SAP'!$I$3:$I$501,'Plan rashoda za unos u SAP'!$C$3:$C$501,"=575",'Plan rashoda za unos u SAP'!$M$3:$M$501,"=342")+SUMIFS('ANALITIKA EU PROJEKATA'!$G$3:$G$501,'ANALITIKA EU PROJEKATA'!$A$3:$A$501,"=575",'ANALITIKA EU PROJEKATA'!$P$3:$P$501,"=342")</f>
        <v>0</v>
      </c>
      <c r="R17" s="140">
        <f>SUMIFS('Plan rashoda za unos u SAP'!$I$3:$I$501,'Plan rashoda za unos u SAP'!$C$3:$C$501,"=576",'Plan rashoda za unos u SAP'!$M$3:$M$501,"=342")+SUMIFS('ANALITIKA EU PROJEKATA'!$G$3:$G$501,'ANALITIKA EU PROJEKATA'!$A$3:$A$501,"=576",'ANALITIKA EU PROJEKATA'!$P$3:$P$501,"=342")</f>
        <v>0</v>
      </c>
      <c r="S17" s="140">
        <f>SUMIFS('Plan rashoda za unos u SAP'!$I$3:$I$501,'Plan rashoda za unos u SAP'!$C$3:$C$501,"=61",'Plan rashoda za unos u SAP'!$M$3:$M$501,"=342")+SUMIFS('ANALITIKA EU PROJEKATA'!$G$3:$G$501,'ANALITIKA EU PROJEKATA'!$A$3:$A$501,"=61",'ANALITIKA EU PROJEKATA'!$P$3:$P$501,"=342")</f>
        <v>0</v>
      </c>
      <c r="T17" s="140">
        <f>SUMIFS('Plan rashoda za unos u SAP'!$I$3:$I$501,'Plan rashoda za unos u SAP'!$C$3:$C$501,"=63",'Plan rashoda za unos u SAP'!$M$3:$M$501,"=342")+SUMIFS('ANALITIKA EU PROJEKATA'!$G$3:$G$501,'ANALITIKA EU PROJEKATA'!$A$3:$A$501,"=63",'ANALITIKA EU PROJEKATA'!$P$3:$P$501,"=342")</f>
        <v>0</v>
      </c>
      <c r="U17" s="140">
        <f>SUMIFS('Plan rashoda za unos u SAP'!$I$3:$I$501,'Plan rashoda za unos u SAP'!$C$3:$C$501,"=71",'Plan rashoda za unos u SAP'!$M$3:$M$501,"=342")+SUMIFS('ANALITIKA EU PROJEKATA'!$G$3:$G$501,'ANALITIKA EU PROJEKATA'!$A$3:$A$501,"=71",'ANALITIKA EU PROJEKATA'!$P$3:$P$501,"=342")</f>
        <v>0</v>
      </c>
      <c r="V17" s="140">
        <f>SUMIFS('Plan rashoda za unos u SAP'!$I$3:$I$501,'Plan rashoda za unos u SAP'!$C$3:$C$501,"=81",'Plan rashoda za unos u SAP'!$M$3:$M$501,"=342")+SUMIFS('ANALITIKA EU PROJEKATA'!$G$3:$G$501,'ANALITIKA EU PROJEKATA'!$A$3:$A$501,"=81",'ANALITIKA EU PROJEKATA'!$P$3:$P$501,"=342")</f>
        <v>0</v>
      </c>
      <c r="W17" s="140">
        <f>SUMIFS('Plan rashoda za unos u SAP'!$I$3:$I$501,'Plan rashoda za unos u SAP'!$C$3:$C$501,"=83",'Plan rashoda za unos u SAP'!$M$3:$M$501,"=342")+SUMIFS('ANALITIKA EU PROJEKATA'!$G$3:$G$501,'ANALITIKA EU PROJEKATA'!$A$3:$A$501,"=83",'ANALITIKA EU PROJEKATA'!$P$3:$P$501,"=342")</f>
        <v>0</v>
      </c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5"/>
      <c r="CO17" s="85"/>
      <c r="CP17" s="85"/>
      <c r="CQ17" s="85"/>
      <c r="CR17" s="85"/>
      <c r="CS17" s="85"/>
      <c r="CT17" s="85"/>
      <c r="CU17" s="85"/>
      <c r="CV17" s="85"/>
      <c r="CW17" s="85"/>
      <c r="CX17" s="85"/>
      <c r="CY17" s="85"/>
      <c r="CZ17" s="85"/>
      <c r="DA17" s="85"/>
      <c r="DB17" s="85"/>
      <c r="DC17" s="85"/>
      <c r="DD17" s="85"/>
      <c r="DE17" s="85"/>
      <c r="DF17" s="85"/>
      <c r="DG17" s="85"/>
      <c r="DH17" s="85"/>
      <c r="DI17" s="85"/>
      <c r="DJ17" s="85"/>
      <c r="DK17" s="85"/>
      <c r="DL17" s="85"/>
      <c r="DM17" s="85"/>
      <c r="DN17" s="85"/>
      <c r="DO17" s="85"/>
      <c r="DP17" s="85"/>
      <c r="DQ17" s="85"/>
      <c r="DR17" s="85"/>
      <c r="DS17" s="85"/>
      <c r="DT17" s="85"/>
      <c r="DU17" s="85"/>
      <c r="DV17" s="85"/>
      <c r="DW17" s="85"/>
      <c r="DX17" s="85"/>
      <c r="DY17" s="85"/>
      <c r="DZ17" s="85"/>
      <c r="EA17" s="85"/>
      <c r="EB17" s="85"/>
      <c r="EC17" s="85"/>
      <c r="ED17" s="85"/>
      <c r="EE17" s="85"/>
      <c r="EF17" s="85"/>
      <c r="EG17" s="85"/>
      <c r="EH17" s="85"/>
      <c r="EI17" s="85"/>
      <c r="EJ17" s="85"/>
      <c r="EK17" s="85"/>
      <c r="EL17" s="85"/>
      <c r="EM17" s="85"/>
      <c r="EN17" s="85"/>
      <c r="EO17" s="85"/>
      <c r="EP17" s="85"/>
      <c r="EQ17" s="85"/>
      <c r="ER17" s="85"/>
      <c r="ES17" s="85"/>
      <c r="ET17" s="85"/>
      <c r="EU17" s="85"/>
      <c r="EV17" s="85"/>
      <c r="EW17" s="85"/>
      <c r="EX17" s="85"/>
      <c r="EY17" s="85"/>
      <c r="EZ17" s="85"/>
      <c r="FA17" s="85"/>
      <c r="FB17" s="85"/>
      <c r="FC17" s="85"/>
      <c r="FD17" s="85"/>
      <c r="FE17" s="85"/>
      <c r="FF17" s="85"/>
      <c r="FG17" s="85"/>
      <c r="FH17" s="85"/>
      <c r="FI17" s="85"/>
      <c r="FJ17" s="85"/>
      <c r="FK17" s="85"/>
      <c r="FL17" s="85"/>
      <c r="FM17" s="85"/>
      <c r="FN17" s="85"/>
      <c r="FO17" s="85"/>
      <c r="FP17" s="85"/>
      <c r="FQ17" s="85"/>
      <c r="FR17" s="85"/>
      <c r="FS17" s="85"/>
      <c r="FT17" s="85"/>
      <c r="FU17" s="85"/>
      <c r="FV17" s="85"/>
      <c r="FW17" s="85"/>
      <c r="FX17" s="85"/>
      <c r="FY17" s="85"/>
      <c r="FZ17" s="85"/>
      <c r="GA17" s="85"/>
      <c r="GB17" s="85"/>
      <c r="GC17" s="85"/>
      <c r="GD17" s="85"/>
      <c r="GE17" s="85"/>
      <c r="GF17" s="85"/>
      <c r="GG17" s="85"/>
      <c r="GH17" s="85"/>
      <c r="GI17" s="85"/>
      <c r="GJ17" s="85"/>
      <c r="GK17" s="85"/>
      <c r="GL17" s="86"/>
      <c r="GM17" s="86"/>
      <c r="GN17" s="86"/>
      <c r="GO17" s="86"/>
      <c r="GP17" s="86"/>
      <c r="GQ17" s="86"/>
      <c r="GR17" s="86"/>
      <c r="GS17" s="86"/>
      <c r="GT17" s="86"/>
      <c r="GU17" s="86"/>
      <c r="GV17" s="86"/>
      <c r="GW17" s="86"/>
      <c r="GX17" s="86"/>
      <c r="GY17" s="86"/>
      <c r="GZ17" s="86"/>
      <c r="HA17" s="86"/>
      <c r="HB17" s="86"/>
      <c r="HC17" s="86"/>
      <c r="HD17" s="86"/>
      <c r="HE17" s="86"/>
      <c r="HF17" s="86"/>
      <c r="HG17" s="86"/>
      <c r="HH17" s="86"/>
      <c r="HI17" s="86"/>
      <c r="HJ17" s="86"/>
      <c r="HK17" s="86"/>
      <c r="HL17" s="86"/>
      <c r="HM17" s="86"/>
      <c r="HN17" s="86"/>
      <c r="HO17" s="86"/>
      <c r="HP17" s="86"/>
      <c r="HQ17" s="86"/>
      <c r="HR17" s="86"/>
      <c r="HS17" s="86"/>
      <c r="HT17" s="86"/>
      <c r="HU17" s="86"/>
      <c r="HV17" s="86"/>
      <c r="HW17" s="86"/>
      <c r="HX17" s="86"/>
      <c r="HY17" s="86"/>
      <c r="HZ17" s="86"/>
      <c r="IA17" s="86"/>
      <c r="IB17" s="86"/>
      <c r="IC17" s="86"/>
      <c r="ID17" s="86"/>
      <c r="IE17" s="86"/>
      <c r="IF17" s="86"/>
      <c r="IG17" s="86"/>
      <c r="IH17" s="86"/>
      <c r="II17" s="86"/>
      <c r="IJ17" s="86"/>
      <c r="IK17" s="86"/>
      <c r="IL17" s="86"/>
      <c r="IM17" s="86"/>
      <c r="IN17" s="86"/>
      <c r="IO17" s="86"/>
      <c r="IP17" s="86"/>
      <c r="IQ17" s="86"/>
      <c r="IR17" s="86"/>
      <c r="IS17" s="86"/>
      <c r="IT17" s="86"/>
      <c r="IU17" s="86"/>
      <c r="IV17" s="86"/>
      <c r="IW17" s="86"/>
      <c r="IX17" s="86"/>
      <c r="IY17" s="86"/>
      <c r="IZ17" s="86"/>
      <c r="JA17" s="86"/>
      <c r="JB17" s="86"/>
      <c r="JC17" s="86"/>
    </row>
    <row r="18" spans="1:263" s="17" customFormat="1" ht="12.6" customHeight="1">
      <c r="A18" s="22">
        <v>2021</v>
      </c>
      <c r="B18" s="88">
        <v>343</v>
      </c>
      <c r="C18" s="8" t="s">
        <v>211</v>
      </c>
      <c r="D18" s="14">
        <f t="shared" si="1"/>
        <v>25700</v>
      </c>
      <c r="E18" s="140">
        <f>SUMIFS('Plan rashoda za unos u SAP'!$I$3:$I$501,'Plan rashoda za unos u SAP'!$C$3:$C$501,"=11",'Plan rashoda za unos u SAP'!$M$3:$M$501,"=343")+SUMIFS('ANALITIKA EU PROJEKATA'!$G$3:$G$501,'ANALITIKA EU PROJEKATA'!$A$3:$A$501,"=11",'ANALITIKA EU PROJEKATA'!$P$3:$P$501,"=343")</f>
        <v>21000</v>
      </c>
      <c r="F18" s="140">
        <f>SUMIFS('Plan rashoda za unos u SAP'!$I$3:$I$501,'Plan rashoda za unos u SAP'!$C$3:$C$501,"=12",'Plan rashoda za unos u SAP'!$M$3:$M$501,"=343")+SUMIFS('ANALITIKA EU PROJEKATA'!$G$3:$G$501,'ANALITIKA EU PROJEKATA'!$A$3:$A$501,"=12",'ANALITIKA EU PROJEKATA'!$P$3:$P$501,"=343")</f>
        <v>0</v>
      </c>
      <c r="G18" s="140">
        <f>SUMIFS('Plan rashoda za unos u SAP'!$I$3:$I$501,'Plan rashoda za unos u SAP'!$C$3:$C$501,"=31",'Plan rashoda za unos u SAP'!$M$3:$M$501,"=343")+SUMIFS('ANALITIKA EU PROJEKATA'!$G$3:$G$501,'ANALITIKA EU PROJEKATA'!$A$3:$A$501,"=31",'ANALITIKA EU PROJEKATA'!$P$3:$P$501,"=343")</f>
        <v>4500</v>
      </c>
      <c r="H18" s="140">
        <f>SUMIFS('Plan rashoda za unos u SAP'!$I$3:$I$501,'Plan rashoda za unos u SAP'!$C$3:$C$501,"=41",'Plan rashoda za unos u SAP'!$M$3:$M$501,"=343")+SUMIFS('ANALITIKA EU PROJEKATA'!$G$3:$G$501,'ANALITIKA EU PROJEKATA'!$A$3:$A$501,"=41",'ANALITIKA EU PROJEKATA'!$P$3:$P$501,"=343")</f>
        <v>0</v>
      </c>
      <c r="I18" s="140">
        <f>SUMIFS('Plan rashoda za unos u SAP'!$I$3:$I$501,'Plan rashoda za unos u SAP'!$C$3:$C$501,"=43",'Plan rashoda za unos u SAP'!$M$3:$M$501,"=343")+SUMIFS('ANALITIKA EU PROJEKATA'!$G$3:$G$501,'ANALITIKA EU PROJEKATA'!$A$3:$A$501,"=43",'ANALITIKA EU PROJEKATA'!$P$3:$P$501,"=343")</f>
        <v>200</v>
      </c>
      <c r="J18" s="140">
        <f>SUMIFS('Plan rashoda za unos u SAP'!$I$3:$I$501,'Plan rashoda za unos u SAP'!$C$3:$C$501,"=51",'Plan rashoda za unos u SAP'!$M$3:$M$501,"=343")+SUMIFS('ANALITIKA EU PROJEKATA'!$G$3:$G$501,'ANALITIKA EU PROJEKATA'!$A$3:$A$501,"=51",'ANALITIKA EU PROJEKATA'!$P$3:$P$501,"=343")</f>
        <v>0</v>
      </c>
      <c r="K18" s="140">
        <f>SUMIFS('Plan rashoda za unos u SAP'!$I$3:$I$501,'Plan rashoda za unos u SAP'!$C$3:$C$501,"=52",'Plan rashoda za unos u SAP'!$M$3:$M$501,"=343")+SUMIFS('ANALITIKA EU PROJEKATA'!$G$3:$G$501,'ANALITIKA EU PROJEKATA'!$A$3:$A$501,"=52",'ANALITIKA EU PROJEKATA'!$P$3:$P$501,"=343")</f>
        <v>0</v>
      </c>
      <c r="L18" s="140">
        <f>SUMIFS('Plan rashoda za unos u SAP'!$I$3:$I$501,'Plan rashoda za unos u SAP'!$C$3:$C$501,"=552",'Plan rashoda za unos u SAP'!$M$3:$M$501,"=343")+SUMIFS('ANALITIKA EU PROJEKATA'!$G$3:$G$501,'ANALITIKA EU PROJEKATA'!$A$3:$A$501,"=552",'ANALITIKA EU PROJEKATA'!$P$3:$P$501,"=343")</f>
        <v>0</v>
      </c>
      <c r="M18" s="140">
        <f>SUMIFS('Plan rashoda za unos u SAP'!$I$3:$I$501,'Plan rashoda za unos u SAP'!$C$3:$C$501,"=559",'Plan rashoda za unos u SAP'!$M$3:$M$501,"=343")+SUMIFS('ANALITIKA EU PROJEKATA'!$G$3:$G$501,'ANALITIKA EU PROJEKATA'!$A$3:$A$501,"=559",'ANALITIKA EU PROJEKATA'!$P$3:$P$501,"=343")</f>
        <v>0</v>
      </c>
      <c r="N18" s="140">
        <f>SUMIFS('Plan rashoda za unos u SAP'!$I$3:$I$501,'Plan rashoda za unos u SAP'!$C$3:$C$501,"=561",'Plan rashoda za unos u SAP'!$M$3:$M$501,"=343")+SUMIFS('ANALITIKA EU PROJEKATA'!$G$3:$G$501,'ANALITIKA EU PROJEKATA'!$A$3:$A$501,"=561",'ANALITIKA EU PROJEKATA'!$P$3:$P$501,"=343")</f>
        <v>0</v>
      </c>
      <c r="O18" s="140">
        <f>SUMIFS('Plan rashoda za unos u SAP'!$I$3:$I$501,'Plan rashoda za unos u SAP'!$C$3:$C$501,"=563",'Plan rashoda za unos u SAP'!$M$3:$M$501,"=343")+SUMIFS('ANALITIKA EU PROJEKATA'!$G$3:$G$501,'ANALITIKA EU PROJEKATA'!$A$3:$A$501,"=563",'ANALITIKA EU PROJEKATA'!$P$3:$P$501,"=343")</f>
        <v>0</v>
      </c>
      <c r="P18" s="140">
        <f>SUMIFS('Plan rashoda za unos u SAP'!$I$3:$I$501,'Plan rashoda za unos u SAP'!$C$3:$C$501,"=573",'Plan rashoda za unos u SAP'!$M$3:$M$501,"=343")+SUMIFS('ANALITIKA EU PROJEKATA'!$G$3:$G$501,'ANALITIKA EU PROJEKATA'!$A$3:$A$501,"=573",'ANALITIKA EU PROJEKATA'!$P$3:$P$501,"=343")</f>
        <v>0</v>
      </c>
      <c r="Q18" s="140">
        <f>SUMIFS('Plan rashoda za unos u SAP'!$I$3:$I$501,'Plan rashoda za unos u SAP'!$C$3:$C$501,"=575",'Plan rashoda za unos u SAP'!$M$3:$M$501,"=343")+SUMIFS('ANALITIKA EU PROJEKATA'!$G$3:$G$501,'ANALITIKA EU PROJEKATA'!$A$3:$A$501,"=575",'ANALITIKA EU PROJEKATA'!$P$3:$P$501,"=343")</f>
        <v>0</v>
      </c>
      <c r="R18" s="140">
        <f>SUMIFS('Plan rashoda za unos u SAP'!$I$3:$I$501,'Plan rashoda za unos u SAP'!$C$3:$C$501,"=576",'Plan rashoda za unos u SAP'!$M$3:$M$501,"=343")+SUMIFS('ANALITIKA EU PROJEKATA'!$G$3:$G$501,'ANALITIKA EU PROJEKATA'!$A$3:$A$501,"=576",'ANALITIKA EU PROJEKATA'!$P$3:$P$501,"=343")</f>
        <v>0</v>
      </c>
      <c r="S18" s="140">
        <f>SUMIFS('Plan rashoda za unos u SAP'!$I$3:$I$501,'Plan rashoda za unos u SAP'!$C$3:$C$501,"=61",'Plan rashoda za unos u SAP'!$M$3:$M$501,"=343")+SUMIFS('ANALITIKA EU PROJEKATA'!$G$3:$G$501,'ANALITIKA EU PROJEKATA'!$A$3:$A$501,"=61",'ANALITIKA EU PROJEKATA'!$P$3:$P$501,"=343")</f>
        <v>0</v>
      </c>
      <c r="T18" s="140">
        <f>SUMIFS('Plan rashoda za unos u SAP'!$I$3:$I$501,'Plan rashoda za unos u SAP'!$C$3:$C$501,"=63",'Plan rashoda za unos u SAP'!$M$3:$M$501,"=343")+SUMIFS('ANALITIKA EU PROJEKATA'!$G$3:$G$501,'ANALITIKA EU PROJEKATA'!$A$3:$A$501,"=63",'ANALITIKA EU PROJEKATA'!$P$3:$P$501,"=343")</f>
        <v>0</v>
      </c>
      <c r="U18" s="140">
        <f>SUMIFS('Plan rashoda za unos u SAP'!$I$3:$I$501,'Plan rashoda za unos u SAP'!$C$3:$C$501,"=71",'Plan rashoda za unos u SAP'!$M$3:$M$501,"=343")+SUMIFS('ANALITIKA EU PROJEKATA'!$G$3:$G$501,'ANALITIKA EU PROJEKATA'!$A$3:$A$501,"=71",'ANALITIKA EU PROJEKATA'!$P$3:$P$501,"=343")</f>
        <v>0</v>
      </c>
      <c r="V18" s="140">
        <f>SUMIFS('Plan rashoda za unos u SAP'!$I$3:$I$501,'Plan rashoda za unos u SAP'!$C$3:$C$501,"=81",'Plan rashoda za unos u SAP'!$M$3:$M$501,"=343")+SUMIFS('ANALITIKA EU PROJEKATA'!$G$3:$G$501,'ANALITIKA EU PROJEKATA'!$A$3:$A$501,"=81",'ANALITIKA EU PROJEKATA'!$P$3:$P$501,"=343")</f>
        <v>0</v>
      </c>
      <c r="W18" s="140">
        <f>SUMIFS('Plan rashoda za unos u SAP'!$I$3:$I$501,'Plan rashoda za unos u SAP'!$C$3:$C$501,"=83",'Plan rashoda za unos u SAP'!$M$3:$M$501,"=343")+SUMIFS('ANALITIKA EU PROJEKATA'!$G$3:$G$501,'ANALITIKA EU PROJEKATA'!$A$3:$A$501,"=83",'ANALITIKA EU PROJEKATA'!$P$3:$P$501,"=343")</f>
        <v>0</v>
      </c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2"/>
      <c r="CO18" s="72"/>
      <c r="CP18" s="72"/>
      <c r="CQ18" s="72"/>
      <c r="CR18" s="72"/>
      <c r="CS18" s="72"/>
      <c r="CT18" s="72"/>
      <c r="CU18" s="72"/>
      <c r="CV18" s="72"/>
      <c r="CW18" s="72"/>
      <c r="CX18" s="72"/>
      <c r="CY18" s="72"/>
      <c r="CZ18" s="72"/>
      <c r="DA18" s="72"/>
      <c r="DB18" s="72"/>
      <c r="DC18" s="72"/>
      <c r="DD18" s="72"/>
      <c r="DE18" s="72"/>
      <c r="DF18" s="72"/>
      <c r="DG18" s="72"/>
      <c r="DH18" s="72"/>
      <c r="DI18" s="72"/>
      <c r="DJ18" s="72"/>
      <c r="DK18" s="72"/>
      <c r="DL18" s="72"/>
      <c r="DM18" s="72"/>
      <c r="DN18" s="72"/>
      <c r="DO18" s="72"/>
      <c r="DP18" s="72"/>
      <c r="DQ18" s="72"/>
      <c r="DR18" s="72"/>
      <c r="DS18" s="72"/>
      <c r="DT18" s="72"/>
      <c r="DU18" s="72"/>
      <c r="DV18" s="72"/>
      <c r="DW18" s="72"/>
      <c r="DX18" s="72"/>
      <c r="DY18" s="72"/>
      <c r="DZ18" s="72"/>
      <c r="EA18" s="72"/>
      <c r="EB18" s="72"/>
      <c r="EC18" s="72"/>
      <c r="ED18" s="72"/>
      <c r="EE18" s="72"/>
      <c r="EF18" s="72"/>
      <c r="EG18" s="72"/>
      <c r="EH18" s="72"/>
      <c r="EI18" s="72"/>
      <c r="EJ18" s="72"/>
      <c r="EK18" s="72"/>
      <c r="EL18" s="72"/>
      <c r="EM18" s="72"/>
      <c r="EN18" s="72"/>
      <c r="EO18" s="72"/>
      <c r="EP18" s="72"/>
      <c r="EQ18" s="72"/>
      <c r="ER18" s="72"/>
      <c r="ES18" s="72"/>
      <c r="ET18" s="72"/>
      <c r="EU18" s="72"/>
      <c r="EV18" s="72"/>
      <c r="EW18" s="72"/>
      <c r="EX18" s="72"/>
      <c r="EY18" s="72"/>
      <c r="EZ18" s="72"/>
      <c r="FA18" s="72"/>
      <c r="FB18" s="72"/>
      <c r="FC18" s="72"/>
      <c r="FD18" s="72"/>
      <c r="FE18" s="72"/>
      <c r="FF18" s="72"/>
      <c r="FG18" s="72"/>
      <c r="FH18" s="72"/>
      <c r="FI18" s="72"/>
      <c r="FJ18" s="72"/>
      <c r="FK18" s="72"/>
      <c r="FL18" s="72"/>
      <c r="FM18" s="72"/>
      <c r="FN18" s="72"/>
      <c r="FO18" s="72"/>
      <c r="FP18" s="72"/>
      <c r="FQ18" s="72"/>
      <c r="FR18" s="72"/>
      <c r="FS18" s="72"/>
      <c r="FT18" s="72"/>
      <c r="FU18" s="72"/>
      <c r="FV18" s="72"/>
      <c r="FW18" s="72"/>
      <c r="FX18" s="72"/>
      <c r="FY18" s="72"/>
      <c r="FZ18" s="72"/>
      <c r="GA18" s="72"/>
      <c r="GB18" s="72"/>
      <c r="GC18" s="72"/>
      <c r="GD18" s="72"/>
      <c r="GE18" s="72"/>
      <c r="GF18" s="72"/>
      <c r="GG18" s="72"/>
      <c r="GH18" s="72"/>
      <c r="GI18" s="72"/>
      <c r="GJ18" s="72"/>
      <c r="GK18" s="72"/>
      <c r="GL18" s="73"/>
      <c r="GM18" s="73"/>
      <c r="GN18" s="73"/>
      <c r="GO18" s="73"/>
      <c r="GP18" s="73"/>
      <c r="GQ18" s="73"/>
      <c r="GR18" s="73"/>
      <c r="GS18" s="73"/>
      <c r="GT18" s="73"/>
      <c r="GU18" s="73"/>
      <c r="GV18" s="73"/>
      <c r="GW18" s="73"/>
      <c r="GX18" s="73"/>
      <c r="GY18" s="73"/>
      <c r="GZ18" s="73"/>
      <c r="HA18" s="73"/>
      <c r="HB18" s="73"/>
      <c r="HC18" s="73"/>
      <c r="HD18" s="73"/>
      <c r="HE18" s="73"/>
      <c r="HF18" s="73"/>
      <c r="HG18" s="73"/>
      <c r="HH18" s="73"/>
      <c r="HI18" s="73"/>
      <c r="HJ18" s="73"/>
      <c r="HK18" s="73"/>
      <c r="HL18" s="73"/>
      <c r="HM18" s="73"/>
      <c r="HN18" s="73"/>
      <c r="HO18" s="73"/>
      <c r="HP18" s="73"/>
      <c r="HQ18" s="73"/>
      <c r="HR18" s="73"/>
      <c r="HS18" s="73"/>
      <c r="HT18" s="73"/>
      <c r="HU18" s="73"/>
      <c r="HV18" s="73"/>
      <c r="HW18" s="73"/>
      <c r="HX18" s="73"/>
      <c r="HY18" s="73"/>
      <c r="HZ18" s="73"/>
      <c r="IA18" s="73"/>
      <c r="IB18" s="73"/>
      <c r="IC18" s="73"/>
      <c r="ID18" s="73"/>
      <c r="IE18" s="73"/>
      <c r="IF18" s="73"/>
      <c r="IG18" s="73"/>
      <c r="IH18" s="73"/>
      <c r="II18" s="73"/>
      <c r="IJ18" s="73"/>
      <c r="IK18" s="73"/>
      <c r="IL18" s="73"/>
      <c r="IM18" s="73"/>
      <c r="IN18" s="73"/>
      <c r="IO18" s="73"/>
      <c r="IP18" s="73"/>
      <c r="IQ18" s="73"/>
      <c r="IR18" s="73"/>
      <c r="IS18" s="73"/>
      <c r="IT18" s="73"/>
      <c r="IU18" s="73"/>
      <c r="IV18" s="73"/>
      <c r="IW18" s="73"/>
      <c r="IX18" s="73"/>
      <c r="IY18" s="73"/>
      <c r="IZ18" s="73"/>
      <c r="JA18" s="73"/>
      <c r="JB18" s="73"/>
      <c r="JC18" s="73"/>
    </row>
    <row r="19" spans="1:263" s="85" customFormat="1" ht="12.6" customHeight="1">
      <c r="A19" s="22">
        <v>2021</v>
      </c>
      <c r="B19" s="84">
        <v>35</v>
      </c>
      <c r="C19" s="15" t="s">
        <v>328</v>
      </c>
      <c r="D19" s="4">
        <f t="shared" si="1"/>
        <v>0</v>
      </c>
      <c r="E19" s="78">
        <f>SUM(E20:E22)</f>
        <v>0</v>
      </c>
      <c r="F19" s="78">
        <f t="shared" ref="F19:W19" si="6">SUM(F20:F22)</f>
        <v>0</v>
      </c>
      <c r="G19" s="78">
        <f t="shared" si="6"/>
        <v>0</v>
      </c>
      <c r="H19" s="78">
        <f>SUM(H20:H22)</f>
        <v>0</v>
      </c>
      <c r="I19" s="78">
        <f t="shared" si="6"/>
        <v>0</v>
      </c>
      <c r="J19" s="78">
        <f t="shared" si="6"/>
        <v>0</v>
      </c>
      <c r="K19" s="78">
        <f t="shared" si="6"/>
        <v>0</v>
      </c>
      <c r="L19" s="78">
        <f>SUM(L20:L22)</f>
        <v>0</v>
      </c>
      <c r="M19" s="78">
        <f t="shared" si="6"/>
        <v>0</v>
      </c>
      <c r="N19" s="78">
        <f t="shared" si="6"/>
        <v>0</v>
      </c>
      <c r="O19" s="78">
        <f t="shared" si="6"/>
        <v>0</v>
      </c>
      <c r="P19" s="78">
        <f>SUM(P20:P22)</f>
        <v>0</v>
      </c>
      <c r="Q19" s="78">
        <f>SUM(Q20:Q22)</f>
        <v>0</v>
      </c>
      <c r="R19" s="78">
        <f>SUM(R20:R22)</f>
        <v>0</v>
      </c>
      <c r="S19" s="78">
        <f t="shared" si="6"/>
        <v>0</v>
      </c>
      <c r="T19" s="78">
        <f t="shared" si="6"/>
        <v>0</v>
      </c>
      <c r="U19" s="78">
        <f t="shared" si="6"/>
        <v>0</v>
      </c>
      <c r="V19" s="78">
        <f t="shared" si="6"/>
        <v>0</v>
      </c>
      <c r="W19" s="78">
        <f t="shared" si="6"/>
        <v>0</v>
      </c>
      <c r="GL19" s="86"/>
      <c r="GM19" s="86"/>
      <c r="GN19" s="86"/>
      <c r="GO19" s="86"/>
      <c r="GP19" s="86"/>
      <c r="GQ19" s="86"/>
      <c r="GR19" s="86"/>
      <c r="GS19" s="86"/>
      <c r="GT19" s="86"/>
      <c r="GU19" s="86"/>
      <c r="GV19" s="86"/>
      <c r="GW19" s="86"/>
      <c r="GX19" s="86"/>
      <c r="GY19" s="86"/>
      <c r="GZ19" s="86"/>
      <c r="HA19" s="86"/>
      <c r="HB19" s="86"/>
      <c r="HC19" s="86"/>
      <c r="HD19" s="86"/>
      <c r="HE19" s="86"/>
      <c r="HF19" s="86"/>
      <c r="HG19" s="86"/>
      <c r="HH19" s="86"/>
      <c r="HI19" s="86"/>
      <c r="HJ19" s="86"/>
      <c r="HK19" s="86"/>
      <c r="HL19" s="86"/>
      <c r="HM19" s="86"/>
      <c r="HN19" s="86"/>
      <c r="HO19" s="86"/>
      <c r="HP19" s="86"/>
      <c r="HQ19" s="86"/>
      <c r="HR19" s="86"/>
      <c r="HS19" s="86"/>
      <c r="HT19" s="86"/>
      <c r="HU19" s="86"/>
      <c r="HV19" s="86"/>
      <c r="HW19" s="86"/>
      <c r="HX19" s="86"/>
      <c r="HY19" s="86"/>
      <c r="HZ19" s="86"/>
      <c r="IA19" s="86"/>
      <c r="IB19" s="86"/>
      <c r="IC19" s="86"/>
      <c r="ID19" s="86"/>
      <c r="IE19" s="86"/>
      <c r="IF19" s="86"/>
      <c r="IG19" s="86"/>
      <c r="IH19" s="86"/>
      <c r="II19" s="86"/>
      <c r="IJ19" s="86"/>
      <c r="IK19" s="86"/>
      <c r="IL19" s="86"/>
      <c r="IM19" s="86"/>
      <c r="IN19" s="86"/>
      <c r="IO19" s="86"/>
      <c r="IP19" s="86"/>
      <c r="IQ19" s="86"/>
      <c r="IR19" s="86"/>
      <c r="IS19" s="86"/>
      <c r="IT19" s="86"/>
      <c r="IU19" s="86"/>
      <c r="IV19" s="86"/>
      <c r="IW19" s="86"/>
      <c r="IX19" s="86"/>
      <c r="IY19" s="86"/>
      <c r="IZ19" s="86"/>
      <c r="JA19" s="86"/>
      <c r="JB19" s="86"/>
      <c r="JC19" s="86"/>
    </row>
    <row r="20" spans="1:263" s="74" customFormat="1" ht="12.6" customHeight="1">
      <c r="A20" s="22">
        <v>2021</v>
      </c>
      <c r="B20" s="81">
        <v>351</v>
      </c>
      <c r="C20" s="81" t="s">
        <v>188</v>
      </c>
      <c r="D20" s="14">
        <f t="shared" si="1"/>
        <v>0</v>
      </c>
      <c r="E20" s="140">
        <f>SUMIFS('Plan rashoda za unos u SAP'!$I$3:$I$501,'Plan rashoda za unos u SAP'!$C$3:$C$501,"=11",'Plan rashoda za unos u SAP'!$M$3:$M$501,"=351")+SUMIFS('ANALITIKA EU PROJEKATA'!$G$3:$G$501,'ANALITIKA EU PROJEKATA'!$A$3:$A$501,"=11",'ANALITIKA EU PROJEKATA'!$P$3:$P$501,"=351")</f>
        <v>0</v>
      </c>
      <c r="F20" s="140">
        <f>SUMIFS('Plan rashoda za unos u SAP'!$I$3:$I$501,'Plan rashoda za unos u SAP'!$C$3:$C$501,"=12",'Plan rashoda za unos u SAP'!$M$3:$M$501,"=351")+SUMIFS('ANALITIKA EU PROJEKATA'!$G$3:$G$501,'ANALITIKA EU PROJEKATA'!$A$3:$A$501,"=12",'ANALITIKA EU PROJEKATA'!$P$3:$P$501,"=351")</f>
        <v>0</v>
      </c>
      <c r="G20" s="140">
        <f>SUMIFS('Plan rashoda za unos u SAP'!$I$3:$I$501,'Plan rashoda za unos u SAP'!$C$3:$C$501,"=31",'Plan rashoda za unos u SAP'!$M$3:$M$501,"=351")+SUMIFS('ANALITIKA EU PROJEKATA'!$G$3:$G$501,'ANALITIKA EU PROJEKATA'!$A$3:$A$501,"=31",'ANALITIKA EU PROJEKATA'!$P$3:$P$501,"=351")</f>
        <v>0</v>
      </c>
      <c r="H20" s="140">
        <f>SUMIFS('Plan rashoda za unos u SAP'!$I$3:$I$501,'Plan rashoda za unos u SAP'!$C$3:$C$501,"=41",'Plan rashoda za unos u SAP'!$M$3:$M$501,"=351")+SUMIFS('ANALITIKA EU PROJEKATA'!$G$3:$G$501,'ANALITIKA EU PROJEKATA'!$A$3:$A$501,"=41",'ANALITIKA EU PROJEKATA'!$P$3:$P$501,"=351")</f>
        <v>0</v>
      </c>
      <c r="I20" s="140">
        <f>SUMIFS('Plan rashoda za unos u SAP'!$I$3:$I$501,'Plan rashoda za unos u SAP'!$C$3:$C$501,"=43",'Plan rashoda za unos u SAP'!$M$3:$M$501,"=351")+SUMIFS('ANALITIKA EU PROJEKATA'!$G$3:$G$501,'ANALITIKA EU PROJEKATA'!$A$3:$A$501,"=43",'ANALITIKA EU PROJEKATA'!$P$3:$P$501,"=351")</f>
        <v>0</v>
      </c>
      <c r="J20" s="140">
        <f>SUMIFS('Plan rashoda za unos u SAP'!$I$3:$I$501,'Plan rashoda za unos u SAP'!$C$3:$C$501,"=51",'Plan rashoda za unos u SAP'!$M$3:$M$501,"=351")+SUMIFS('ANALITIKA EU PROJEKATA'!$G$3:$G$501,'ANALITIKA EU PROJEKATA'!$A$3:$A$501,"=51",'ANALITIKA EU PROJEKATA'!$P$3:$P$501,"=351")</f>
        <v>0</v>
      </c>
      <c r="K20" s="140">
        <f>SUMIFS('Plan rashoda za unos u SAP'!$I$3:$I$501,'Plan rashoda za unos u SAP'!$C$3:$C$501,"=52",'Plan rashoda za unos u SAP'!$M$3:$M$501,"=351")+SUMIFS('ANALITIKA EU PROJEKATA'!$G$3:$G$501,'ANALITIKA EU PROJEKATA'!$A$3:$A$501,"=52",'ANALITIKA EU PROJEKATA'!$P$3:$P$501,"=351")</f>
        <v>0</v>
      </c>
      <c r="L20" s="140">
        <f>SUMIFS('Plan rashoda za unos u SAP'!$I$3:$I$501,'Plan rashoda za unos u SAP'!$C$3:$C$501,"=552",'Plan rashoda za unos u SAP'!$M$3:$M$501,"=351")+SUMIFS('ANALITIKA EU PROJEKATA'!$G$3:$G$501,'ANALITIKA EU PROJEKATA'!$A$3:$A$501,"=552",'ANALITIKA EU PROJEKATA'!$P$3:$P$501,"=351")</f>
        <v>0</v>
      </c>
      <c r="M20" s="140">
        <f>SUMIFS('Plan rashoda za unos u SAP'!$I$3:$I$501,'Plan rashoda za unos u SAP'!$C$3:$C$501,"=559",'Plan rashoda za unos u SAP'!$M$3:$M$501,"=351")+SUMIFS('ANALITIKA EU PROJEKATA'!$G$3:$G$501,'ANALITIKA EU PROJEKATA'!$A$3:$A$501,"=559",'ANALITIKA EU PROJEKATA'!$P$3:$P$501,"=351")</f>
        <v>0</v>
      </c>
      <c r="N20" s="140">
        <f>SUMIFS('Plan rashoda za unos u SAP'!$I$3:$I$501,'Plan rashoda za unos u SAP'!$C$3:$C$501,"=561",'Plan rashoda za unos u SAP'!$M$3:$M$501,"=351")+SUMIFS('ANALITIKA EU PROJEKATA'!$G$3:$G$501,'ANALITIKA EU PROJEKATA'!$A$3:$A$501,"=561",'ANALITIKA EU PROJEKATA'!$P$3:$P$501,"=351")</f>
        <v>0</v>
      </c>
      <c r="O20" s="140">
        <f>SUMIFS('Plan rashoda za unos u SAP'!$I$3:$I$501,'Plan rashoda za unos u SAP'!$C$3:$C$501,"=563",'Plan rashoda za unos u SAP'!$M$3:$M$501,"=351")+SUMIFS('ANALITIKA EU PROJEKATA'!$G$3:$G$501,'ANALITIKA EU PROJEKATA'!$A$3:$A$501,"=563",'ANALITIKA EU PROJEKATA'!$P$3:$P$501,"=351")</f>
        <v>0</v>
      </c>
      <c r="P20" s="140">
        <f>SUMIFS('Plan rashoda za unos u SAP'!$I$3:$I$501,'Plan rashoda za unos u SAP'!$C$3:$C$501,"=573",'Plan rashoda za unos u SAP'!$M$3:$M$501,"=351")+SUMIFS('ANALITIKA EU PROJEKATA'!$G$3:$G$501,'ANALITIKA EU PROJEKATA'!$A$3:$A$501,"=573",'ANALITIKA EU PROJEKATA'!$P$3:$P$501,"=351")</f>
        <v>0</v>
      </c>
      <c r="Q20" s="140">
        <f>SUMIFS('Plan rashoda za unos u SAP'!$I$3:$I$501,'Plan rashoda za unos u SAP'!$C$3:$C$501,"=575",'Plan rashoda za unos u SAP'!$M$3:$M$501,"=351")+SUMIFS('ANALITIKA EU PROJEKATA'!$G$3:$G$501,'ANALITIKA EU PROJEKATA'!$A$3:$A$501,"=575",'ANALITIKA EU PROJEKATA'!$P$3:$P$501,"=351")</f>
        <v>0</v>
      </c>
      <c r="R20" s="140">
        <f>SUMIFS('Plan rashoda za unos u SAP'!$I$3:$I$501,'Plan rashoda za unos u SAP'!$C$3:$C$501,"=576",'Plan rashoda za unos u SAP'!$M$3:$M$501,"=351")+SUMIFS('ANALITIKA EU PROJEKATA'!$G$3:$G$501,'ANALITIKA EU PROJEKATA'!$A$3:$A$501,"=576",'ANALITIKA EU PROJEKATA'!$P$3:$P$501,"=351")</f>
        <v>0</v>
      </c>
      <c r="S20" s="140">
        <f>SUMIFS('Plan rashoda za unos u SAP'!$I$3:$I$501,'Plan rashoda za unos u SAP'!$C$3:$C$501,"=61",'Plan rashoda za unos u SAP'!$M$3:$M$501,"=351")+SUMIFS('ANALITIKA EU PROJEKATA'!$G$3:$G$501,'ANALITIKA EU PROJEKATA'!$A$3:$A$501,"=61",'ANALITIKA EU PROJEKATA'!$P$3:$P$501,"=351")</f>
        <v>0</v>
      </c>
      <c r="T20" s="140">
        <f>SUMIFS('Plan rashoda za unos u SAP'!$I$3:$I$501,'Plan rashoda za unos u SAP'!$C$3:$C$501,"=63",'Plan rashoda za unos u SAP'!$M$3:$M$501,"=351")+SUMIFS('ANALITIKA EU PROJEKATA'!$G$3:$G$501,'ANALITIKA EU PROJEKATA'!$A$3:$A$501,"=63",'ANALITIKA EU PROJEKATA'!$P$3:$P$501,"=351")</f>
        <v>0</v>
      </c>
      <c r="U20" s="140">
        <f>SUMIFS('Plan rashoda za unos u SAP'!$I$3:$I$501,'Plan rashoda za unos u SAP'!$C$3:$C$501,"=71",'Plan rashoda za unos u SAP'!$M$3:$M$501,"=351")+SUMIFS('ANALITIKA EU PROJEKATA'!$G$3:$G$501,'ANALITIKA EU PROJEKATA'!$A$3:$A$501,"=71",'ANALITIKA EU PROJEKATA'!$P$3:$P$501,"=351")</f>
        <v>0</v>
      </c>
      <c r="V20" s="140">
        <f>SUMIFS('Plan rashoda za unos u SAP'!$I$3:$I$501,'Plan rashoda za unos u SAP'!$C$3:$C$501,"=81",'Plan rashoda za unos u SAP'!$M$3:$M$501,"=351")+SUMIFS('ANALITIKA EU PROJEKATA'!$G$3:$G$501,'ANALITIKA EU PROJEKATA'!$A$3:$A$501,"=81",'ANALITIKA EU PROJEKATA'!$P$3:$P$501,"=351")</f>
        <v>0</v>
      </c>
      <c r="W20" s="140">
        <f>SUMIFS('Plan rashoda za unos u SAP'!$I$3:$I$501,'Plan rashoda za unos u SAP'!$C$3:$C$501,"=83",'Plan rashoda za unos u SAP'!$M$3:$M$501,"=351")+SUMIFS('ANALITIKA EU PROJEKATA'!$G$3:$G$501,'ANALITIKA EU PROJEKATA'!$A$3:$A$501,"=83",'ANALITIKA EU PROJEKATA'!$P$3:$P$501,"=351")</f>
        <v>0</v>
      </c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2"/>
      <c r="DN20" s="72"/>
      <c r="DO20" s="72"/>
      <c r="DP20" s="72"/>
      <c r="DQ20" s="72"/>
      <c r="DR20" s="72"/>
      <c r="DS20" s="72"/>
      <c r="DT20" s="72"/>
      <c r="DU20" s="72"/>
      <c r="DV20" s="72"/>
      <c r="DW20" s="72"/>
      <c r="DX20" s="72"/>
      <c r="DY20" s="72"/>
      <c r="DZ20" s="72"/>
      <c r="EA20" s="72"/>
      <c r="EB20" s="72"/>
      <c r="EC20" s="72"/>
      <c r="ED20" s="72"/>
      <c r="EE20" s="72"/>
      <c r="EF20" s="72"/>
      <c r="EG20" s="72"/>
      <c r="EH20" s="72"/>
      <c r="EI20" s="72"/>
      <c r="EJ20" s="72"/>
      <c r="EK20" s="72"/>
      <c r="EL20" s="72"/>
      <c r="EM20" s="72"/>
      <c r="EN20" s="72"/>
      <c r="EO20" s="72"/>
      <c r="EP20" s="72"/>
      <c r="EQ20" s="72"/>
      <c r="ER20" s="72"/>
      <c r="ES20" s="72"/>
      <c r="ET20" s="72"/>
      <c r="EU20" s="72"/>
      <c r="EV20" s="72"/>
      <c r="EW20" s="72"/>
      <c r="EX20" s="72"/>
      <c r="EY20" s="72"/>
      <c r="EZ20" s="72"/>
      <c r="FA20" s="72"/>
      <c r="FB20" s="72"/>
      <c r="FC20" s="72"/>
      <c r="FD20" s="72"/>
      <c r="FE20" s="72"/>
      <c r="FF20" s="72"/>
      <c r="FG20" s="72"/>
      <c r="FH20" s="72"/>
      <c r="FI20" s="72"/>
      <c r="FJ20" s="72"/>
      <c r="FK20" s="72"/>
      <c r="FL20" s="72"/>
      <c r="FM20" s="72"/>
      <c r="FN20" s="72"/>
      <c r="FO20" s="72"/>
      <c r="FP20" s="72"/>
      <c r="FQ20" s="72"/>
      <c r="FR20" s="72"/>
      <c r="FS20" s="72"/>
      <c r="FT20" s="72"/>
      <c r="FU20" s="72"/>
      <c r="FV20" s="72"/>
      <c r="FW20" s="72"/>
      <c r="FX20" s="72"/>
      <c r="FY20" s="72"/>
      <c r="FZ20" s="72"/>
      <c r="GA20" s="72"/>
      <c r="GB20" s="72"/>
      <c r="GC20" s="72"/>
      <c r="GD20" s="72"/>
      <c r="GE20" s="72"/>
      <c r="GF20" s="72"/>
      <c r="GG20" s="72"/>
      <c r="GH20" s="72"/>
      <c r="GI20" s="72"/>
      <c r="GJ20" s="72"/>
      <c r="GK20" s="72"/>
      <c r="GL20" s="73"/>
      <c r="GM20" s="73"/>
      <c r="GN20" s="73"/>
      <c r="GO20" s="73"/>
      <c r="GP20" s="73"/>
      <c r="GQ20" s="73"/>
      <c r="GR20" s="73"/>
      <c r="GS20" s="73"/>
      <c r="GT20" s="73"/>
      <c r="GU20" s="73"/>
      <c r="GV20" s="73"/>
      <c r="GW20" s="73"/>
      <c r="GX20" s="73"/>
      <c r="GY20" s="73"/>
      <c r="GZ20" s="73"/>
      <c r="HA20" s="73"/>
      <c r="HB20" s="73"/>
      <c r="HC20" s="73"/>
      <c r="HD20" s="73"/>
      <c r="HE20" s="73"/>
      <c r="HF20" s="73"/>
      <c r="HG20" s="73"/>
      <c r="HH20" s="73"/>
      <c r="HI20" s="73"/>
      <c r="HJ20" s="73"/>
      <c r="HK20" s="73"/>
      <c r="HL20" s="73"/>
      <c r="HM20" s="73"/>
      <c r="HN20" s="73"/>
      <c r="HO20" s="73"/>
      <c r="HP20" s="73"/>
      <c r="HQ20" s="73"/>
      <c r="HR20" s="73"/>
      <c r="HS20" s="73"/>
      <c r="HT20" s="73"/>
      <c r="HU20" s="73"/>
      <c r="HV20" s="73"/>
      <c r="HW20" s="73"/>
      <c r="HX20" s="73"/>
      <c r="HY20" s="73"/>
      <c r="HZ20" s="73"/>
      <c r="IA20" s="73"/>
      <c r="IB20" s="73"/>
      <c r="IC20" s="73"/>
      <c r="ID20" s="73"/>
      <c r="IE20" s="73"/>
      <c r="IF20" s="73"/>
      <c r="IG20" s="73"/>
      <c r="IH20" s="73"/>
      <c r="II20" s="73"/>
      <c r="IJ20" s="73"/>
      <c r="IK20" s="73"/>
      <c r="IL20" s="73"/>
      <c r="IM20" s="73"/>
      <c r="IN20" s="73"/>
      <c r="IO20" s="73"/>
      <c r="IP20" s="73"/>
      <c r="IQ20" s="73"/>
      <c r="IR20" s="73"/>
      <c r="IS20" s="73"/>
      <c r="IT20" s="73"/>
      <c r="IU20" s="73"/>
      <c r="IV20" s="73"/>
      <c r="IW20" s="73"/>
      <c r="IX20" s="73"/>
      <c r="IY20" s="73"/>
      <c r="IZ20" s="73"/>
      <c r="JA20" s="73"/>
      <c r="JB20" s="73"/>
      <c r="JC20" s="73"/>
    </row>
    <row r="21" spans="1:263" s="5" customFormat="1" ht="12.6" customHeight="1">
      <c r="A21" s="22">
        <v>2021</v>
      </c>
      <c r="B21" s="82">
        <v>352</v>
      </c>
      <c r="C21" s="8" t="s">
        <v>329</v>
      </c>
      <c r="D21" s="14">
        <f t="shared" si="1"/>
        <v>0</v>
      </c>
      <c r="E21" s="140">
        <f>SUMIFS('Plan rashoda za unos u SAP'!$I$3:$I$501,'Plan rashoda za unos u SAP'!$C$3:$C$501,"=11",'Plan rashoda za unos u SAP'!$M$3:$M$501,"=352")+SUMIFS('ANALITIKA EU PROJEKATA'!$G$3:$G$501,'ANALITIKA EU PROJEKATA'!$A$3:$A$501,"=11",'ANALITIKA EU PROJEKATA'!$P$3:$P$501,"=352")</f>
        <v>0</v>
      </c>
      <c r="F21" s="140">
        <f>SUMIFS('Plan rashoda za unos u SAP'!$I$3:$I$501,'Plan rashoda za unos u SAP'!$C$3:$C$501,"=12",'Plan rashoda za unos u SAP'!$M$3:$M$501,"=352")+SUMIFS('ANALITIKA EU PROJEKATA'!$G$3:$G$501,'ANALITIKA EU PROJEKATA'!$A$3:$A$501,"=12",'ANALITIKA EU PROJEKATA'!$P$3:$P$501,"=352")</f>
        <v>0</v>
      </c>
      <c r="G21" s="140">
        <f>SUMIFS('Plan rashoda za unos u SAP'!$I$3:$I$501,'Plan rashoda za unos u SAP'!$C$3:$C$501,"=31",'Plan rashoda za unos u SAP'!$M$3:$M$501,"=352")+SUMIFS('ANALITIKA EU PROJEKATA'!$G$3:$G$501,'ANALITIKA EU PROJEKATA'!$A$3:$A$501,"=31",'ANALITIKA EU PROJEKATA'!$P$3:$P$501,"=352")</f>
        <v>0</v>
      </c>
      <c r="H21" s="140">
        <f>SUMIFS('Plan rashoda za unos u SAP'!$I$3:$I$501,'Plan rashoda za unos u SAP'!$C$3:$C$501,"=41",'Plan rashoda za unos u SAP'!$M$3:$M$501,"=352")+SUMIFS('ANALITIKA EU PROJEKATA'!$G$3:$G$501,'ANALITIKA EU PROJEKATA'!$A$3:$A$501,"=41",'ANALITIKA EU PROJEKATA'!$P$3:$P$501,"=352")</f>
        <v>0</v>
      </c>
      <c r="I21" s="140">
        <f>SUMIFS('Plan rashoda za unos u SAP'!$I$3:$I$501,'Plan rashoda za unos u SAP'!$C$3:$C$501,"=43",'Plan rashoda za unos u SAP'!$M$3:$M$501,"=352")+SUMIFS('ANALITIKA EU PROJEKATA'!$G$3:$G$501,'ANALITIKA EU PROJEKATA'!$A$3:$A$501,"=43",'ANALITIKA EU PROJEKATA'!$P$3:$P$501,"=352")</f>
        <v>0</v>
      </c>
      <c r="J21" s="140">
        <f>SUMIFS('Plan rashoda za unos u SAP'!$I$3:$I$501,'Plan rashoda za unos u SAP'!$C$3:$C$501,"=51",'Plan rashoda za unos u SAP'!$M$3:$M$501,"=352")+SUMIFS('ANALITIKA EU PROJEKATA'!$G$3:$G$501,'ANALITIKA EU PROJEKATA'!$A$3:$A$501,"=51",'ANALITIKA EU PROJEKATA'!$P$3:$P$501,"=352")</f>
        <v>0</v>
      </c>
      <c r="K21" s="140">
        <f>SUMIFS('Plan rashoda za unos u SAP'!$I$3:$I$501,'Plan rashoda za unos u SAP'!$C$3:$C$501,"=52",'Plan rashoda za unos u SAP'!$M$3:$M$501,"=352")+SUMIFS('ANALITIKA EU PROJEKATA'!$G$3:$G$501,'ANALITIKA EU PROJEKATA'!$A$3:$A$501,"=52",'ANALITIKA EU PROJEKATA'!$P$3:$P$501,"=352")</f>
        <v>0</v>
      </c>
      <c r="L21" s="140">
        <f>SUMIFS('Plan rashoda za unos u SAP'!$I$3:$I$501,'Plan rashoda za unos u SAP'!$C$3:$C$501,"=552",'Plan rashoda za unos u SAP'!$M$3:$M$501,"=352")+SUMIFS('ANALITIKA EU PROJEKATA'!$G$3:$G$501,'ANALITIKA EU PROJEKATA'!$A$3:$A$501,"=552",'ANALITIKA EU PROJEKATA'!$P$3:$P$501,"=352")</f>
        <v>0</v>
      </c>
      <c r="M21" s="140">
        <f>SUMIFS('Plan rashoda za unos u SAP'!$I$3:$I$501,'Plan rashoda za unos u SAP'!$C$3:$C$501,"=559",'Plan rashoda za unos u SAP'!$M$3:$M$501,"=352")+SUMIFS('ANALITIKA EU PROJEKATA'!$G$3:$G$501,'ANALITIKA EU PROJEKATA'!$A$3:$A$501,"=559",'ANALITIKA EU PROJEKATA'!$P$3:$P$501,"=352")</f>
        <v>0</v>
      </c>
      <c r="N21" s="140">
        <f>SUMIFS('Plan rashoda za unos u SAP'!$I$3:$I$501,'Plan rashoda za unos u SAP'!$C$3:$C$501,"=561",'Plan rashoda za unos u SAP'!$M$3:$M$501,"=352")+SUMIFS('ANALITIKA EU PROJEKATA'!$G$3:$G$501,'ANALITIKA EU PROJEKATA'!$A$3:$A$501,"=561",'ANALITIKA EU PROJEKATA'!$P$3:$P$501,"=352")</f>
        <v>0</v>
      </c>
      <c r="O21" s="140">
        <f>SUMIFS('Plan rashoda za unos u SAP'!$I$3:$I$501,'Plan rashoda za unos u SAP'!$C$3:$C$501,"=563",'Plan rashoda za unos u SAP'!$M$3:$M$501,"=352")+SUMIFS('ANALITIKA EU PROJEKATA'!$G$3:$G$501,'ANALITIKA EU PROJEKATA'!$A$3:$A$501,"=563",'ANALITIKA EU PROJEKATA'!$P$3:$P$501,"=352")</f>
        <v>0</v>
      </c>
      <c r="P21" s="140">
        <f>SUMIFS('Plan rashoda za unos u SAP'!$I$3:$I$501,'Plan rashoda za unos u SAP'!$C$3:$C$501,"=573",'Plan rashoda za unos u SAP'!$M$3:$M$501,"=352")+SUMIFS('ANALITIKA EU PROJEKATA'!$G$3:$G$501,'ANALITIKA EU PROJEKATA'!$A$3:$A$501,"=573",'ANALITIKA EU PROJEKATA'!$P$3:$P$501,"=352")</f>
        <v>0</v>
      </c>
      <c r="Q21" s="140">
        <f>SUMIFS('Plan rashoda za unos u SAP'!$I$3:$I$501,'Plan rashoda za unos u SAP'!$C$3:$C$501,"=575",'Plan rashoda za unos u SAP'!$M$3:$M$501,"=352")+SUMIFS('ANALITIKA EU PROJEKATA'!$G$3:$G$501,'ANALITIKA EU PROJEKATA'!$A$3:$A$501,"=575",'ANALITIKA EU PROJEKATA'!$P$3:$P$501,"=352")</f>
        <v>0</v>
      </c>
      <c r="R21" s="140">
        <f>SUMIFS('Plan rashoda za unos u SAP'!$I$3:$I$501,'Plan rashoda za unos u SAP'!$C$3:$C$501,"=576",'Plan rashoda za unos u SAP'!$M$3:$M$501,"=352")+SUMIFS('ANALITIKA EU PROJEKATA'!$G$3:$G$501,'ANALITIKA EU PROJEKATA'!$A$3:$A$501,"=576",'ANALITIKA EU PROJEKATA'!$P$3:$P$501,"=352")</f>
        <v>0</v>
      </c>
      <c r="S21" s="140">
        <f>SUMIFS('Plan rashoda za unos u SAP'!$I$3:$I$501,'Plan rashoda za unos u SAP'!$C$3:$C$501,"=61",'Plan rashoda za unos u SAP'!$M$3:$M$501,"=352")+SUMIFS('ANALITIKA EU PROJEKATA'!$G$3:$G$501,'ANALITIKA EU PROJEKATA'!$A$3:$A$501,"=61",'ANALITIKA EU PROJEKATA'!$P$3:$P$501,"=352")</f>
        <v>0</v>
      </c>
      <c r="T21" s="140">
        <f>SUMIFS('Plan rashoda za unos u SAP'!$I$3:$I$501,'Plan rashoda za unos u SAP'!$C$3:$C$501,"=63",'Plan rashoda za unos u SAP'!$M$3:$M$501,"=352")+SUMIFS('ANALITIKA EU PROJEKATA'!$G$3:$G$501,'ANALITIKA EU PROJEKATA'!$A$3:$A$501,"=63",'ANALITIKA EU PROJEKATA'!$P$3:$P$501,"=352")</f>
        <v>0</v>
      </c>
      <c r="U21" s="140">
        <f>SUMIFS('Plan rashoda za unos u SAP'!$I$3:$I$501,'Plan rashoda za unos u SAP'!$C$3:$C$501,"=71",'Plan rashoda za unos u SAP'!$M$3:$M$501,"=352")+SUMIFS('ANALITIKA EU PROJEKATA'!$G$3:$G$501,'ANALITIKA EU PROJEKATA'!$A$3:$A$501,"=71",'ANALITIKA EU PROJEKATA'!$P$3:$P$501,"=352")</f>
        <v>0</v>
      </c>
      <c r="V21" s="140">
        <f>SUMIFS('Plan rashoda za unos u SAP'!$I$3:$I$501,'Plan rashoda za unos u SAP'!$C$3:$C$501,"=81",'Plan rashoda za unos u SAP'!$M$3:$M$501,"=352")+SUMIFS('ANALITIKA EU PROJEKATA'!$G$3:$G$501,'ANALITIKA EU PROJEKATA'!$A$3:$A$501,"=81",'ANALITIKA EU PROJEKATA'!$P$3:$P$501,"=352")</f>
        <v>0</v>
      </c>
      <c r="W21" s="140">
        <f>SUMIFS('Plan rashoda za unos u SAP'!$I$3:$I$501,'Plan rashoda za unos u SAP'!$C$3:$C$501,"=83",'Plan rashoda za unos u SAP'!$M$3:$M$501,"=352")+SUMIFS('ANALITIKA EU PROJEKATA'!$G$3:$G$501,'ANALITIKA EU PROJEKATA'!$A$3:$A$501,"=83",'ANALITIKA EU PROJEKATA'!$P$3:$P$501,"=352")</f>
        <v>0</v>
      </c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72"/>
      <c r="DR21" s="72"/>
      <c r="DS21" s="72"/>
      <c r="DT21" s="72"/>
      <c r="DU21" s="72"/>
      <c r="DV21" s="72"/>
      <c r="DW21" s="72"/>
      <c r="DX21" s="72"/>
      <c r="DY21" s="72"/>
      <c r="DZ21" s="72"/>
      <c r="EA21" s="72"/>
      <c r="EB21" s="72"/>
      <c r="EC21" s="72"/>
      <c r="ED21" s="72"/>
      <c r="EE21" s="72"/>
      <c r="EF21" s="72"/>
      <c r="EG21" s="72"/>
      <c r="EH21" s="72"/>
      <c r="EI21" s="72"/>
      <c r="EJ21" s="72"/>
      <c r="EK21" s="72"/>
      <c r="EL21" s="72"/>
      <c r="EM21" s="72"/>
      <c r="EN21" s="72"/>
      <c r="EO21" s="72"/>
      <c r="EP21" s="72"/>
      <c r="EQ21" s="72"/>
      <c r="ER21" s="72"/>
      <c r="ES21" s="72"/>
      <c r="ET21" s="72"/>
      <c r="EU21" s="72"/>
      <c r="EV21" s="72"/>
      <c r="EW21" s="72"/>
      <c r="EX21" s="72"/>
      <c r="EY21" s="72"/>
      <c r="EZ21" s="72"/>
      <c r="FA21" s="72"/>
      <c r="FB21" s="72"/>
      <c r="FC21" s="72"/>
      <c r="FD21" s="72"/>
      <c r="FE21" s="72"/>
      <c r="FF21" s="72"/>
      <c r="FG21" s="72"/>
      <c r="FH21" s="72"/>
      <c r="FI21" s="72"/>
      <c r="FJ21" s="72"/>
      <c r="FK21" s="72"/>
      <c r="FL21" s="72"/>
      <c r="FM21" s="72"/>
      <c r="FN21" s="72"/>
      <c r="FO21" s="72"/>
      <c r="FP21" s="72"/>
      <c r="FQ21" s="72"/>
      <c r="FR21" s="72"/>
      <c r="FS21" s="72"/>
      <c r="FT21" s="72"/>
      <c r="FU21" s="72"/>
      <c r="FV21" s="72"/>
      <c r="FW21" s="72"/>
      <c r="FX21" s="72"/>
      <c r="FY21" s="72"/>
      <c r="FZ21" s="72"/>
      <c r="GA21" s="72"/>
      <c r="GB21" s="72"/>
      <c r="GC21" s="72"/>
      <c r="GD21" s="72"/>
      <c r="GE21" s="72"/>
      <c r="GF21" s="72"/>
      <c r="GG21" s="72"/>
      <c r="GH21" s="72"/>
      <c r="GI21" s="72"/>
      <c r="GJ21" s="72"/>
      <c r="GK21" s="72"/>
      <c r="GL21" s="73"/>
      <c r="GM21" s="73"/>
      <c r="GN21" s="73"/>
      <c r="GO21" s="73"/>
      <c r="GP21" s="73"/>
      <c r="GQ21" s="73"/>
      <c r="GR21" s="73"/>
      <c r="GS21" s="73"/>
      <c r="GT21" s="73"/>
      <c r="GU21" s="73"/>
      <c r="GV21" s="73"/>
      <c r="GW21" s="73"/>
      <c r="GX21" s="73"/>
      <c r="GY21" s="73"/>
      <c r="GZ21" s="73"/>
      <c r="HA21" s="73"/>
      <c r="HB21" s="73"/>
      <c r="HC21" s="73"/>
      <c r="HD21" s="73"/>
      <c r="HE21" s="73"/>
      <c r="HF21" s="73"/>
      <c r="HG21" s="73"/>
      <c r="HH21" s="73"/>
      <c r="HI21" s="73"/>
      <c r="HJ21" s="73"/>
      <c r="HK21" s="73"/>
      <c r="HL21" s="73"/>
      <c r="HM21" s="73"/>
      <c r="HN21" s="73"/>
      <c r="HO21" s="73"/>
      <c r="HP21" s="73"/>
      <c r="HQ21" s="73"/>
      <c r="HR21" s="73"/>
      <c r="HS21" s="73"/>
      <c r="HT21" s="73"/>
      <c r="HU21" s="73"/>
      <c r="HV21" s="73"/>
      <c r="HW21" s="73"/>
      <c r="HX21" s="73"/>
      <c r="HY21" s="73"/>
      <c r="HZ21" s="73"/>
      <c r="IA21" s="73"/>
      <c r="IB21" s="73"/>
      <c r="IC21" s="73"/>
      <c r="ID21" s="73"/>
      <c r="IE21" s="73"/>
      <c r="IF21" s="73"/>
      <c r="IG21" s="73"/>
      <c r="IH21" s="73"/>
      <c r="II21" s="73"/>
      <c r="IJ21" s="73"/>
      <c r="IK21" s="73"/>
      <c r="IL21" s="73"/>
      <c r="IM21" s="73"/>
      <c r="IN21" s="73"/>
      <c r="IO21" s="73"/>
      <c r="IP21" s="73"/>
      <c r="IQ21" s="73"/>
      <c r="IR21" s="73"/>
      <c r="IS21" s="73"/>
      <c r="IT21" s="73"/>
      <c r="IU21" s="73"/>
      <c r="IV21" s="73"/>
      <c r="IW21" s="73"/>
      <c r="IX21" s="73"/>
      <c r="IY21" s="73"/>
      <c r="IZ21" s="73"/>
      <c r="JA21" s="73"/>
      <c r="JB21" s="73"/>
      <c r="JC21" s="73"/>
    </row>
    <row r="22" spans="1:263" s="5" customFormat="1" ht="12.6" customHeight="1">
      <c r="A22" s="22">
        <v>2021</v>
      </c>
      <c r="B22" s="83">
        <v>353</v>
      </c>
      <c r="C22" s="8" t="s">
        <v>330</v>
      </c>
      <c r="D22" s="14">
        <f t="shared" si="1"/>
        <v>0</v>
      </c>
      <c r="E22" s="140">
        <f>SUMIFS('Plan rashoda za unos u SAP'!$I$3:$I$501,'Plan rashoda za unos u SAP'!$C$3:$C$501,"=11",'Plan rashoda za unos u SAP'!$M$3:$M$501,"=353")+SUMIFS('ANALITIKA EU PROJEKATA'!$G$3:$G$501,'ANALITIKA EU PROJEKATA'!$A$3:$A$501,"=11",'ANALITIKA EU PROJEKATA'!$P$3:$P$501,"=353")</f>
        <v>0</v>
      </c>
      <c r="F22" s="140">
        <f>SUMIFS('Plan rashoda za unos u SAP'!$I$3:$I$501,'Plan rashoda za unos u SAP'!$C$3:$C$501,"=12",'Plan rashoda za unos u SAP'!$M$3:$M$501,"=353")+SUMIFS('ANALITIKA EU PROJEKATA'!$G$3:$G$501,'ANALITIKA EU PROJEKATA'!$A$3:$A$501,"=12",'ANALITIKA EU PROJEKATA'!$P$3:$P$501,"=353")</f>
        <v>0</v>
      </c>
      <c r="G22" s="140">
        <f>SUMIFS('Plan rashoda za unos u SAP'!$I$3:$I$501,'Plan rashoda za unos u SAP'!$C$3:$C$501,"=31",'Plan rashoda za unos u SAP'!$M$3:$M$501,"=353")+SUMIFS('ANALITIKA EU PROJEKATA'!$G$3:$G$501,'ANALITIKA EU PROJEKATA'!$A$3:$A$501,"=31",'ANALITIKA EU PROJEKATA'!$P$3:$P$501,"=353")</f>
        <v>0</v>
      </c>
      <c r="H22" s="140">
        <f>SUMIFS('Plan rashoda za unos u SAP'!$I$3:$I$501,'Plan rashoda za unos u SAP'!$C$3:$C$501,"=41",'Plan rashoda za unos u SAP'!$M$3:$M$501,"=353")+SUMIFS('ANALITIKA EU PROJEKATA'!$G$3:$G$501,'ANALITIKA EU PROJEKATA'!$A$3:$A$501,"=41",'ANALITIKA EU PROJEKATA'!$P$3:$P$501,"=353")</f>
        <v>0</v>
      </c>
      <c r="I22" s="140">
        <f>SUMIFS('Plan rashoda za unos u SAP'!$I$3:$I$501,'Plan rashoda za unos u SAP'!$C$3:$C$501,"=43",'Plan rashoda za unos u SAP'!$M$3:$M$501,"=353")+SUMIFS('ANALITIKA EU PROJEKATA'!$G$3:$G$501,'ANALITIKA EU PROJEKATA'!$A$3:$A$501,"=43",'ANALITIKA EU PROJEKATA'!$P$3:$P$501,"=353")</f>
        <v>0</v>
      </c>
      <c r="J22" s="140">
        <f>SUMIFS('Plan rashoda za unos u SAP'!$I$3:$I$501,'Plan rashoda za unos u SAP'!$C$3:$C$501,"=51",'Plan rashoda za unos u SAP'!$M$3:$M$501,"=353")+SUMIFS('ANALITIKA EU PROJEKATA'!$G$3:$G$501,'ANALITIKA EU PROJEKATA'!$A$3:$A$501,"=51",'ANALITIKA EU PROJEKATA'!$P$3:$P$501,"=353")</f>
        <v>0</v>
      </c>
      <c r="K22" s="140">
        <f>SUMIFS('Plan rashoda za unos u SAP'!$I$3:$I$501,'Plan rashoda za unos u SAP'!$C$3:$C$501,"=52",'Plan rashoda za unos u SAP'!$M$3:$M$501,"=353")+SUMIFS('ANALITIKA EU PROJEKATA'!$G$3:$G$501,'ANALITIKA EU PROJEKATA'!$A$3:$A$501,"=52",'ANALITIKA EU PROJEKATA'!$P$3:$P$501,"=353")</f>
        <v>0</v>
      </c>
      <c r="L22" s="140">
        <f>SUMIFS('Plan rashoda za unos u SAP'!$I$3:$I$501,'Plan rashoda za unos u SAP'!$C$3:$C$501,"=552",'Plan rashoda za unos u SAP'!$M$3:$M$501,"=353")+SUMIFS('ANALITIKA EU PROJEKATA'!$G$3:$G$501,'ANALITIKA EU PROJEKATA'!$A$3:$A$501,"=552",'ANALITIKA EU PROJEKATA'!$P$3:$P$501,"=353")</f>
        <v>0</v>
      </c>
      <c r="M22" s="140">
        <f>SUMIFS('Plan rashoda za unos u SAP'!$I$3:$I$501,'Plan rashoda za unos u SAP'!$C$3:$C$501,"=559",'Plan rashoda za unos u SAP'!$M$3:$M$501,"=353")+SUMIFS('ANALITIKA EU PROJEKATA'!$G$3:$G$501,'ANALITIKA EU PROJEKATA'!$A$3:$A$501,"=559",'ANALITIKA EU PROJEKATA'!$P$3:$P$501,"=353")</f>
        <v>0</v>
      </c>
      <c r="N22" s="140">
        <f>SUMIFS('Plan rashoda za unos u SAP'!$I$3:$I$501,'Plan rashoda za unos u SAP'!$C$3:$C$501,"=561",'Plan rashoda za unos u SAP'!$M$3:$M$501,"=353")+SUMIFS('ANALITIKA EU PROJEKATA'!$G$3:$G$501,'ANALITIKA EU PROJEKATA'!$A$3:$A$501,"=561",'ANALITIKA EU PROJEKATA'!$P$3:$P$501,"=353")</f>
        <v>0</v>
      </c>
      <c r="O22" s="140">
        <f>SUMIFS('Plan rashoda za unos u SAP'!$I$3:$I$501,'Plan rashoda za unos u SAP'!$C$3:$C$501,"=563",'Plan rashoda za unos u SAP'!$M$3:$M$501,"=353")+SUMIFS('ANALITIKA EU PROJEKATA'!$G$3:$G$501,'ANALITIKA EU PROJEKATA'!$A$3:$A$501,"=563",'ANALITIKA EU PROJEKATA'!$P$3:$P$501,"=353")</f>
        <v>0</v>
      </c>
      <c r="P22" s="140">
        <f>SUMIFS('Plan rashoda za unos u SAP'!$I$3:$I$501,'Plan rashoda za unos u SAP'!$C$3:$C$501,"=573",'Plan rashoda za unos u SAP'!$M$3:$M$501,"=353")+SUMIFS('ANALITIKA EU PROJEKATA'!$G$3:$G$501,'ANALITIKA EU PROJEKATA'!$A$3:$A$501,"=573",'ANALITIKA EU PROJEKATA'!$P$3:$P$501,"=353")</f>
        <v>0</v>
      </c>
      <c r="Q22" s="140">
        <f>SUMIFS('Plan rashoda za unos u SAP'!$I$3:$I$501,'Plan rashoda za unos u SAP'!$C$3:$C$501,"=575",'Plan rashoda za unos u SAP'!$M$3:$M$501,"=353")+SUMIFS('ANALITIKA EU PROJEKATA'!$G$3:$G$501,'ANALITIKA EU PROJEKATA'!$A$3:$A$501,"=575",'ANALITIKA EU PROJEKATA'!$P$3:$P$501,"=353")</f>
        <v>0</v>
      </c>
      <c r="R22" s="140">
        <f>SUMIFS('Plan rashoda za unos u SAP'!$I$3:$I$501,'Plan rashoda za unos u SAP'!$C$3:$C$501,"=576",'Plan rashoda za unos u SAP'!$M$3:$M$501,"=353")+SUMIFS('ANALITIKA EU PROJEKATA'!$G$3:$G$501,'ANALITIKA EU PROJEKATA'!$A$3:$A$501,"=576",'ANALITIKA EU PROJEKATA'!$P$3:$P$501,"=353")</f>
        <v>0</v>
      </c>
      <c r="S22" s="140">
        <f>SUMIFS('Plan rashoda za unos u SAP'!$I$3:$I$501,'Plan rashoda za unos u SAP'!$C$3:$C$501,"=61",'Plan rashoda za unos u SAP'!$M$3:$M$501,"=353")+SUMIFS('ANALITIKA EU PROJEKATA'!$G$3:$G$501,'ANALITIKA EU PROJEKATA'!$A$3:$A$501,"=61",'ANALITIKA EU PROJEKATA'!$P$3:$P$501,"=353")</f>
        <v>0</v>
      </c>
      <c r="T22" s="140">
        <f>SUMIFS('Plan rashoda za unos u SAP'!$I$3:$I$501,'Plan rashoda za unos u SAP'!$C$3:$C$501,"=63",'Plan rashoda za unos u SAP'!$M$3:$M$501,"=353")+SUMIFS('ANALITIKA EU PROJEKATA'!$G$3:$G$501,'ANALITIKA EU PROJEKATA'!$A$3:$A$501,"=63",'ANALITIKA EU PROJEKATA'!$P$3:$P$501,"=353")</f>
        <v>0</v>
      </c>
      <c r="U22" s="140">
        <f>SUMIFS('Plan rashoda za unos u SAP'!$I$3:$I$501,'Plan rashoda za unos u SAP'!$C$3:$C$501,"=71",'Plan rashoda za unos u SAP'!$M$3:$M$501,"=353")+SUMIFS('ANALITIKA EU PROJEKATA'!$G$3:$G$501,'ANALITIKA EU PROJEKATA'!$A$3:$A$501,"=71",'ANALITIKA EU PROJEKATA'!$P$3:$P$501,"=353")</f>
        <v>0</v>
      </c>
      <c r="V22" s="140">
        <f>SUMIFS('Plan rashoda za unos u SAP'!$I$3:$I$501,'Plan rashoda za unos u SAP'!$C$3:$C$501,"=81",'Plan rashoda za unos u SAP'!$M$3:$M$501,"=353")+SUMIFS('ANALITIKA EU PROJEKATA'!$G$3:$G$501,'ANALITIKA EU PROJEKATA'!$A$3:$A$501,"=81",'ANALITIKA EU PROJEKATA'!$P$3:$P$501,"=353")</f>
        <v>0</v>
      </c>
      <c r="W22" s="140">
        <f>SUMIFS('Plan rashoda za unos u SAP'!$I$3:$I$501,'Plan rashoda za unos u SAP'!$C$3:$C$501,"=83",'Plan rashoda za unos u SAP'!$M$3:$M$501,"=353")+SUMIFS('ANALITIKA EU PROJEKATA'!$G$3:$G$501,'ANALITIKA EU PROJEKATA'!$A$3:$A$501,"=83",'ANALITIKA EU PROJEKATA'!$P$3:$P$501,"=353")</f>
        <v>0</v>
      </c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  <c r="CL22" s="72"/>
      <c r="CM22" s="72"/>
      <c r="CN22" s="72"/>
      <c r="CO22" s="72"/>
      <c r="CP22" s="72"/>
      <c r="CQ22" s="72"/>
      <c r="CR22" s="72"/>
      <c r="CS22" s="72"/>
      <c r="CT22" s="72"/>
      <c r="CU22" s="72"/>
      <c r="CV22" s="72"/>
      <c r="CW22" s="72"/>
      <c r="CX22" s="72"/>
      <c r="CY22" s="72"/>
      <c r="CZ22" s="72"/>
      <c r="DA22" s="72"/>
      <c r="DB22" s="72"/>
      <c r="DC22" s="72"/>
      <c r="DD22" s="72"/>
      <c r="DE22" s="72"/>
      <c r="DF22" s="72"/>
      <c r="DG22" s="72"/>
      <c r="DH22" s="72"/>
      <c r="DI22" s="72"/>
      <c r="DJ22" s="72"/>
      <c r="DK22" s="72"/>
      <c r="DL22" s="72"/>
      <c r="DM22" s="72"/>
      <c r="DN22" s="72"/>
      <c r="DO22" s="72"/>
      <c r="DP22" s="72"/>
      <c r="DQ22" s="72"/>
      <c r="DR22" s="72"/>
      <c r="DS22" s="72"/>
      <c r="DT22" s="72"/>
      <c r="DU22" s="72"/>
      <c r="DV22" s="72"/>
      <c r="DW22" s="72"/>
      <c r="DX22" s="72"/>
      <c r="DY22" s="72"/>
      <c r="DZ22" s="72"/>
      <c r="EA22" s="72"/>
      <c r="EB22" s="72"/>
      <c r="EC22" s="72"/>
      <c r="ED22" s="72"/>
      <c r="EE22" s="72"/>
      <c r="EF22" s="72"/>
      <c r="EG22" s="72"/>
      <c r="EH22" s="72"/>
      <c r="EI22" s="72"/>
      <c r="EJ22" s="72"/>
      <c r="EK22" s="72"/>
      <c r="EL22" s="72"/>
      <c r="EM22" s="72"/>
      <c r="EN22" s="72"/>
      <c r="EO22" s="72"/>
      <c r="EP22" s="72"/>
      <c r="EQ22" s="72"/>
      <c r="ER22" s="72"/>
      <c r="ES22" s="72"/>
      <c r="ET22" s="72"/>
      <c r="EU22" s="72"/>
      <c r="EV22" s="72"/>
      <c r="EW22" s="72"/>
      <c r="EX22" s="72"/>
      <c r="EY22" s="72"/>
      <c r="EZ22" s="72"/>
      <c r="FA22" s="72"/>
      <c r="FB22" s="72"/>
      <c r="FC22" s="72"/>
      <c r="FD22" s="72"/>
      <c r="FE22" s="72"/>
      <c r="FF22" s="72"/>
      <c r="FG22" s="72"/>
      <c r="FH22" s="72"/>
      <c r="FI22" s="72"/>
      <c r="FJ22" s="72"/>
      <c r="FK22" s="72"/>
      <c r="FL22" s="72"/>
      <c r="FM22" s="72"/>
      <c r="FN22" s="72"/>
      <c r="FO22" s="72"/>
      <c r="FP22" s="72"/>
      <c r="FQ22" s="72"/>
      <c r="FR22" s="72"/>
      <c r="FS22" s="72"/>
      <c r="FT22" s="72"/>
      <c r="FU22" s="72"/>
      <c r="FV22" s="72"/>
      <c r="FW22" s="72"/>
      <c r="FX22" s="72"/>
      <c r="FY22" s="72"/>
      <c r="FZ22" s="72"/>
      <c r="GA22" s="72"/>
      <c r="GB22" s="72"/>
      <c r="GC22" s="72"/>
      <c r="GD22" s="72"/>
      <c r="GE22" s="72"/>
      <c r="GF22" s="72"/>
      <c r="GG22" s="72"/>
      <c r="GH22" s="72"/>
      <c r="GI22" s="72"/>
      <c r="GJ22" s="72"/>
      <c r="GK22" s="72"/>
      <c r="GL22" s="73"/>
      <c r="GM22" s="73"/>
      <c r="GN22" s="73"/>
      <c r="GO22" s="73"/>
      <c r="GP22" s="73"/>
      <c r="GQ22" s="73"/>
      <c r="GR22" s="73"/>
      <c r="GS22" s="73"/>
      <c r="GT22" s="73"/>
      <c r="GU22" s="73"/>
      <c r="GV22" s="73"/>
      <c r="GW22" s="73"/>
      <c r="GX22" s="73"/>
      <c r="GY22" s="73"/>
      <c r="GZ22" s="73"/>
      <c r="HA22" s="73"/>
      <c r="HB22" s="73"/>
      <c r="HC22" s="73"/>
      <c r="HD22" s="73"/>
      <c r="HE22" s="73"/>
      <c r="HF22" s="73"/>
      <c r="HG22" s="73"/>
      <c r="HH22" s="73"/>
      <c r="HI22" s="73"/>
      <c r="HJ22" s="73"/>
      <c r="HK22" s="73"/>
      <c r="HL22" s="73"/>
      <c r="HM22" s="73"/>
      <c r="HN22" s="73"/>
      <c r="HO22" s="73"/>
      <c r="HP22" s="73"/>
      <c r="HQ22" s="73"/>
      <c r="HR22" s="73"/>
      <c r="HS22" s="73"/>
      <c r="HT22" s="73"/>
      <c r="HU22" s="73"/>
      <c r="HV22" s="73"/>
      <c r="HW22" s="73"/>
      <c r="HX22" s="73"/>
      <c r="HY22" s="73"/>
      <c r="HZ22" s="73"/>
      <c r="IA22" s="73"/>
      <c r="IB22" s="73"/>
      <c r="IC22" s="73"/>
      <c r="ID22" s="73"/>
      <c r="IE22" s="73"/>
      <c r="IF22" s="73"/>
      <c r="IG22" s="73"/>
      <c r="IH22" s="73"/>
      <c r="II22" s="73"/>
      <c r="IJ22" s="73"/>
      <c r="IK22" s="73"/>
      <c r="IL22" s="73"/>
      <c r="IM22" s="73"/>
      <c r="IN22" s="73"/>
      <c r="IO22" s="73"/>
      <c r="IP22" s="73"/>
      <c r="IQ22" s="73"/>
      <c r="IR22" s="73"/>
      <c r="IS22" s="73"/>
      <c r="IT22" s="73"/>
      <c r="IU22" s="73"/>
      <c r="IV22" s="73"/>
      <c r="IW22" s="73"/>
      <c r="IX22" s="73"/>
      <c r="IY22" s="73"/>
      <c r="IZ22" s="73"/>
      <c r="JA22" s="73"/>
      <c r="JB22" s="73"/>
      <c r="JC22" s="73"/>
    </row>
    <row r="23" spans="1:263" s="85" customFormat="1" ht="12.6" customHeight="1">
      <c r="A23" s="22">
        <v>2021</v>
      </c>
      <c r="B23" s="84">
        <v>36</v>
      </c>
      <c r="C23" s="18" t="s">
        <v>212</v>
      </c>
      <c r="D23" s="4">
        <f t="shared" si="1"/>
        <v>200000</v>
      </c>
      <c r="E23" s="78">
        <f t="shared" ref="E23:W23" si="7">SUM(E24:E29)</f>
        <v>0</v>
      </c>
      <c r="F23" s="78">
        <f t="shared" si="7"/>
        <v>0</v>
      </c>
      <c r="G23" s="78">
        <f t="shared" si="7"/>
        <v>0</v>
      </c>
      <c r="H23" s="78">
        <f>SUM(H24:H29)</f>
        <v>0</v>
      </c>
      <c r="I23" s="78">
        <f t="shared" si="7"/>
        <v>0</v>
      </c>
      <c r="J23" s="78">
        <f t="shared" si="7"/>
        <v>0</v>
      </c>
      <c r="K23" s="78">
        <f t="shared" si="7"/>
        <v>200000</v>
      </c>
      <c r="L23" s="78">
        <f>SUM(L24:L29)</f>
        <v>0</v>
      </c>
      <c r="M23" s="78">
        <f t="shared" si="7"/>
        <v>0</v>
      </c>
      <c r="N23" s="78">
        <f t="shared" si="7"/>
        <v>0</v>
      </c>
      <c r="O23" s="78">
        <f t="shared" si="7"/>
        <v>0</v>
      </c>
      <c r="P23" s="78">
        <f>SUM(P24:P29)</f>
        <v>0</v>
      </c>
      <c r="Q23" s="78">
        <f>SUM(Q24:Q29)</f>
        <v>0</v>
      </c>
      <c r="R23" s="78">
        <f>SUM(R24:R29)</f>
        <v>0</v>
      </c>
      <c r="S23" s="78">
        <f t="shared" si="7"/>
        <v>0</v>
      </c>
      <c r="T23" s="78">
        <f t="shared" si="7"/>
        <v>0</v>
      </c>
      <c r="U23" s="78">
        <f t="shared" si="7"/>
        <v>0</v>
      </c>
      <c r="V23" s="78">
        <f t="shared" si="7"/>
        <v>0</v>
      </c>
      <c r="W23" s="78">
        <f t="shared" si="7"/>
        <v>0</v>
      </c>
      <c r="GL23" s="86"/>
      <c r="GM23" s="86"/>
      <c r="GN23" s="86"/>
      <c r="GO23" s="86"/>
      <c r="GP23" s="86"/>
      <c r="GQ23" s="86"/>
      <c r="GR23" s="86"/>
      <c r="GS23" s="86"/>
      <c r="GT23" s="86"/>
      <c r="GU23" s="86"/>
      <c r="GV23" s="86"/>
      <c r="GW23" s="86"/>
      <c r="GX23" s="86"/>
      <c r="GY23" s="86"/>
      <c r="GZ23" s="86"/>
      <c r="HA23" s="86"/>
      <c r="HB23" s="86"/>
      <c r="HC23" s="86"/>
      <c r="HD23" s="86"/>
      <c r="HE23" s="86"/>
      <c r="HF23" s="86"/>
      <c r="HG23" s="86"/>
      <c r="HH23" s="86"/>
      <c r="HI23" s="86"/>
      <c r="HJ23" s="86"/>
      <c r="HK23" s="86"/>
      <c r="HL23" s="86"/>
      <c r="HM23" s="86"/>
      <c r="HN23" s="86"/>
      <c r="HO23" s="86"/>
      <c r="HP23" s="86"/>
      <c r="HQ23" s="86"/>
      <c r="HR23" s="86"/>
      <c r="HS23" s="86"/>
      <c r="HT23" s="86"/>
      <c r="HU23" s="86"/>
      <c r="HV23" s="86"/>
      <c r="HW23" s="86"/>
      <c r="HX23" s="86"/>
      <c r="HY23" s="86"/>
      <c r="HZ23" s="86"/>
      <c r="IA23" s="86"/>
      <c r="IB23" s="86"/>
      <c r="IC23" s="86"/>
      <c r="ID23" s="86"/>
      <c r="IE23" s="86"/>
      <c r="IF23" s="86"/>
      <c r="IG23" s="86"/>
      <c r="IH23" s="86"/>
      <c r="II23" s="86"/>
      <c r="IJ23" s="86"/>
      <c r="IK23" s="86"/>
      <c r="IL23" s="86"/>
      <c r="IM23" s="86"/>
      <c r="IN23" s="86"/>
      <c r="IO23" s="86"/>
      <c r="IP23" s="86"/>
      <c r="IQ23" s="86"/>
      <c r="IR23" s="86"/>
      <c r="IS23" s="86"/>
      <c r="IT23" s="86"/>
      <c r="IU23" s="86"/>
      <c r="IV23" s="86"/>
      <c r="IW23" s="86"/>
      <c r="IX23" s="86"/>
      <c r="IY23" s="86"/>
      <c r="IZ23" s="86"/>
      <c r="JA23" s="86"/>
      <c r="JB23" s="86"/>
      <c r="JC23" s="86"/>
    </row>
    <row r="24" spans="1:263" s="74" customFormat="1" ht="12.6" customHeight="1">
      <c r="A24" s="22">
        <v>2021</v>
      </c>
      <c r="B24" s="83">
        <v>361</v>
      </c>
      <c r="C24" s="19" t="s">
        <v>331</v>
      </c>
      <c r="D24" s="14">
        <f>SUM(E24:W24)</f>
        <v>0</v>
      </c>
      <c r="E24" s="140">
        <f>SUMIFS('Plan rashoda za unos u SAP'!$I$3:$I$501,'Plan rashoda za unos u SAP'!$C$3:$C$501,"=11",'Plan rashoda za unos u SAP'!$M$3:$M$501,"=361")+SUMIFS('ANALITIKA EU PROJEKATA'!$G$3:$G$501,'ANALITIKA EU PROJEKATA'!$A$3:$A$501,"=11",'ANALITIKA EU PROJEKATA'!$P$3:$P$501,"=361")</f>
        <v>0</v>
      </c>
      <c r="F24" s="140">
        <f>SUMIFS('Plan rashoda za unos u SAP'!$I$3:$I$501,'Plan rashoda za unos u SAP'!$C$3:$C$501,"=12",'Plan rashoda za unos u SAP'!$M$3:$M$501,"=361")+SUMIFS('ANALITIKA EU PROJEKATA'!$G$3:$G$501,'ANALITIKA EU PROJEKATA'!$A$3:$A$501,"=12",'ANALITIKA EU PROJEKATA'!$P$3:$P$501,"=361")</f>
        <v>0</v>
      </c>
      <c r="G24" s="140">
        <f>SUMIFS('Plan rashoda za unos u SAP'!$I$3:$I$501,'Plan rashoda za unos u SAP'!$C$3:$C$501,"=31",'Plan rashoda za unos u SAP'!$M$3:$M$501,"=361")+SUMIFS('ANALITIKA EU PROJEKATA'!$G$3:$G$501,'ANALITIKA EU PROJEKATA'!$A$3:$A$501,"=31",'ANALITIKA EU PROJEKATA'!$P$3:$P$501,"=361")</f>
        <v>0</v>
      </c>
      <c r="H24" s="140">
        <f>SUMIFS('Plan rashoda za unos u SAP'!$I$3:$I$501,'Plan rashoda za unos u SAP'!$C$3:$C$501,"=41",'Plan rashoda za unos u SAP'!$M$3:$M$501,"=361")+SUMIFS('ANALITIKA EU PROJEKATA'!$G$3:$G$501,'ANALITIKA EU PROJEKATA'!$A$3:$A$501,"=41",'ANALITIKA EU PROJEKATA'!$P$3:$P$501,"=361")</f>
        <v>0</v>
      </c>
      <c r="I24" s="140">
        <f>SUMIFS('Plan rashoda za unos u SAP'!$I$3:$I$501,'Plan rashoda za unos u SAP'!$C$3:$C$501,"=43",'Plan rashoda za unos u SAP'!$M$3:$M$501,"=361")+SUMIFS('ANALITIKA EU PROJEKATA'!$G$3:$G$501,'ANALITIKA EU PROJEKATA'!$A$3:$A$501,"=43",'ANALITIKA EU PROJEKATA'!$P$3:$P$501,"=361")</f>
        <v>0</v>
      </c>
      <c r="J24" s="140">
        <f>SUMIFS('Plan rashoda za unos u SAP'!$I$3:$I$501,'Plan rashoda za unos u SAP'!$C$3:$C$501,"=51",'Plan rashoda za unos u SAP'!$M$3:$M$501,"=361")+SUMIFS('ANALITIKA EU PROJEKATA'!$G$3:$G$501,'ANALITIKA EU PROJEKATA'!$A$3:$A$501,"=51",'ANALITIKA EU PROJEKATA'!$P$3:$P$501,"=361")</f>
        <v>0</v>
      </c>
      <c r="K24" s="140">
        <f>SUMIFS('Plan rashoda za unos u SAP'!$I$3:$I$501,'Plan rashoda za unos u SAP'!$C$3:$C$501,"=52",'Plan rashoda za unos u SAP'!$M$3:$M$501,"=361")+SUMIFS('ANALITIKA EU PROJEKATA'!$G$3:$G$501,'ANALITIKA EU PROJEKATA'!$A$3:$A$501,"=52",'ANALITIKA EU PROJEKATA'!$P$3:$P$501,"=361")</f>
        <v>0</v>
      </c>
      <c r="L24" s="140">
        <f>SUMIFS('Plan rashoda za unos u SAP'!$I$3:$I$501,'Plan rashoda za unos u SAP'!$C$3:$C$501,"=552",'Plan rashoda za unos u SAP'!$M$3:$M$501,"=361")+SUMIFS('ANALITIKA EU PROJEKATA'!$G$3:$G$501,'ANALITIKA EU PROJEKATA'!$A$3:$A$501,"=552",'ANALITIKA EU PROJEKATA'!$P$3:$P$501,"=361")</f>
        <v>0</v>
      </c>
      <c r="M24" s="140">
        <f>SUMIFS('Plan rashoda za unos u SAP'!$I$3:$I$501,'Plan rashoda za unos u SAP'!$C$3:$C$501,"=559",'Plan rashoda za unos u SAP'!$M$3:$M$501,"=361")+SUMIFS('ANALITIKA EU PROJEKATA'!$G$3:$G$501,'ANALITIKA EU PROJEKATA'!$A$3:$A$501,"=559",'ANALITIKA EU PROJEKATA'!$P$3:$P$501,"=361")</f>
        <v>0</v>
      </c>
      <c r="N24" s="140">
        <f>SUMIFS('Plan rashoda za unos u SAP'!$I$3:$I$501,'Plan rashoda za unos u SAP'!$C$3:$C$501,"=561",'Plan rashoda za unos u SAP'!$M$3:$M$501,"=361")+SUMIFS('ANALITIKA EU PROJEKATA'!$G$3:$G$501,'ANALITIKA EU PROJEKATA'!$A$3:$A$501,"=561",'ANALITIKA EU PROJEKATA'!$P$3:$P$501,"=361")</f>
        <v>0</v>
      </c>
      <c r="O24" s="140">
        <f>SUMIFS('Plan rashoda za unos u SAP'!$I$3:$I$501,'Plan rashoda za unos u SAP'!$C$3:$C$501,"=563",'Plan rashoda za unos u SAP'!$M$3:$M$501,"=361")+SUMIFS('ANALITIKA EU PROJEKATA'!$G$3:$G$501,'ANALITIKA EU PROJEKATA'!$A$3:$A$501,"=563",'ANALITIKA EU PROJEKATA'!$P$3:$P$501,"=361")</f>
        <v>0</v>
      </c>
      <c r="P24" s="140">
        <f>SUMIFS('Plan rashoda za unos u SAP'!$I$3:$I$501,'Plan rashoda za unos u SAP'!$C$3:$C$501,"=573",'Plan rashoda za unos u SAP'!$M$3:$M$501,"=361")+SUMIFS('ANALITIKA EU PROJEKATA'!$G$3:$G$501,'ANALITIKA EU PROJEKATA'!$A$3:$A$501,"=573",'ANALITIKA EU PROJEKATA'!$P$3:$P$501,"=361")</f>
        <v>0</v>
      </c>
      <c r="Q24" s="140">
        <f>SUMIFS('Plan rashoda za unos u SAP'!$I$3:$I$501,'Plan rashoda za unos u SAP'!$C$3:$C$501,"=575",'Plan rashoda za unos u SAP'!$M$3:$M$501,"=361")+SUMIFS('ANALITIKA EU PROJEKATA'!$G$3:$G$501,'ANALITIKA EU PROJEKATA'!$A$3:$A$501,"=575",'ANALITIKA EU PROJEKATA'!$P$3:$P$501,"=361")</f>
        <v>0</v>
      </c>
      <c r="R24" s="140">
        <f>SUMIFS('Plan rashoda za unos u SAP'!$I$3:$I$501,'Plan rashoda za unos u SAP'!$C$3:$C$501,"=576",'Plan rashoda za unos u SAP'!$M$3:$M$501,"=361")+SUMIFS('ANALITIKA EU PROJEKATA'!$G$3:$G$501,'ANALITIKA EU PROJEKATA'!$A$3:$A$501,"=576",'ANALITIKA EU PROJEKATA'!$P$3:$P$501,"=361")</f>
        <v>0</v>
      </c>
      <c r="S24" s="140">
        <f>SUMIFS('Plan rashoda za unos u SAP'!$I$3:$I$501,'Plan rashoda za unos u SAP'!$C$3:$C$501,"=61",'Plan rashoda za unos u SAP'!$M$3:$M$501,"=361")+SUMIFS('ANALITIKA EU PROJEKATA'!$G$3:$G$501,'ANALITIKA EU PROJEKATA'!$A$3:$A$501,"=61",'ANALITIKA EU PROJEKATA'!$P$3:$P$501,"=361")</f>
        <v>0</v>
      </c>
      <c r="T24" s="140">
        <f>SUMIFS('Plan rashoda za unos u SAP'!$I$3:$I$501,'Plan rashoda za unos u SAP'!$C$3:$C$501,"=63",'Plan rashoda za unos u SAP'!$M$3:$M$501,"=361")+SUMIFS('ANALITIKA EU PROJEKATA'!$G$3:$G$501,'ANALITIKA EU PROJEKATA'!$A$3:$A$501,"=63",'ANALITIKA EU PROJEKATA'!$P$3:$P$501,"=361")</f>
        <v>0</v>
      </c>
      <c r="U24" s="140">
        <f>SUMIFS('Plan rashoda za unos u SAP'!$I$3:$I$501,'Plan rashoda za unos u SAP'!$C$3:$C$501,"=71",'Plan rashoda za unos u SAP'!$M$3:$M$501,"=361")+SUMIFS('ANALITIKA EU PROJEKATA'!$G$3:$G$501,'ANALITIKA EU PROJEKATA'!$A$3:$A$501,"=71",'ANALITIKA EU PROJEKATA'!$P$3:$P$501,"=361")</f>
        <v>0</v>
      </c>
      <c r="V24" s="140">
        <f>SUMIFS('Plan rashoda za unos u SAP'!$I$3:$I$501,'Plan rashoda za unos u SAP'!$C$3:$C$501,"=81",'Plan rashoda za unos u SAP'!$M$3:$M$501,"=361")+SUMIFS('ANALITIKA EU PROJEKATA'!$G$3:$G$501,'ANALITIKA EU PROJEKATA'!$A$3:$A$501,"=81",'ANALITIKA EU PROJEKATA'!$P$3:$P$501,"=361")</f>
        <v>0</v>
      </c>
      <c r="W24" s="140">
        <f>SUMIFS('Plan rashoda za unos u SAP'!$I$3:$I$501,'Plan rashoda za unos u SAP'!$C$3:$C$501,"=83",'Plan rashoda za unos u SAP'!$M$3:$M$501,"=361")+SUMIFS('ANALITIKA EU PROJEKATA'!$G$3:$G$501,'ANALITIKA EU PROJEKATA'!$A$3:$A$501,"=83",'ANALITIKA EU PROJEKATA'!$P$3:$P$501,"=361")</f>
        <v>0</v>
      </c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  <c r="CO24" s="72"/>
      <c r="CP24" s="72"/>
      <c r="CQ24" s="72"/>
      <c r="CR24" s="72"/>
      <c r="CS24" s="72"/>
      <c r="CT24" s="72"/>
      <c r="CU24" s="72"/>
      <c r="CV24" s="72"/>
      <c r="CW24" s="72"/>
      <c r="CX24" s="72"/>
      <c r="CY24" s="72"/>
      <c r="CZ24" s="72"/>
      <c r="DA24" s="72"/>
      <c r="DB24" s="72"/>
      <c r="DC24" s="72"/>
      <c r="DD24" s="72"/>
      <c r="DE24" s="72"/>
      <c r="DF24" s="72"/>
      <c r="DG24" s="72"/>
      <c r="DH24" s="72"/>
      <c r="DI24" s="72"/>
      <c r="DJ24" s="72"/>
      <c r="DK24" s="72"/>
      <c r="DL24" s="72"/>
      <c r="DM24" s="72"/>
      <c r="DN24" s="72"/>
      <c r="DO24" s="72"/>
      <c r="DP24" s="72"/>
      <c r="DQ24" s="72"/>
      <c r="DR24" s="72"/>
      <c r="DS24" s="72"/>
      <c r="DT24" s="72"/>
      <c r="DU24" s="72"/>
      <c r="DV24" s="72"/>
      <c r="DW24" s="72"/>
      <c r="DX24" s="72"/>
      <c r="DY24" s="72"/>
      <c r="DZ24" s="72"/>
      <c r="EA24" s="72"/>
      <c r="EB24" s="72"/>
      <c r="EC24" s="72"/>
      <c r="ED24" s="72"/>
      <c r="EE24" s="72"/>
      <c r="EF24" s="72"/>
      <c r="EG24" s="72"/>
      <c r="EH24" s="72"/>
      <c r="EI24" s="72"/>
      <c r="EJ24" s="72"/>
      <c r="EK24" s="72"/>
      <c r="EL24" s="72"/>
      <c r="EM24" s="72"/>
      <c r="EN24" s="72"/>
      <c r="EO24" s="72"/>
      <c r="EP24" s="72"/>
      <c r="EQ24" s="72"/>
      <c r="ER24" s="72"/>
      <c r="ES24" s="72"/>
      <c r="ET24" s="72"/>
      <c r="EU24" s="72"/>
      <c r="EV24" s="72"/>
      <c r="EW24" s="72"/>
      <c r="EX24" s="72"/>
      <c r="EY24" s="72"/>
      <c r="EZ24" s="72"/>
      <c r="FA24" s="72"/>
      <c r="FB24" s="72"/>
      <c r="FC24" s="72"/>
      <c r="FD24" s="72"/>
      <c r="FE24" s="72"/>
      <c r="FF24" s="72"/>
      <c r="FG24" s="72"/>
      <c r="FH24" s="72"/>
      <c r="FI24" s="72"/>
      <c r="FJ24" s="72"/>
      <c r="FK24" s="72"/>
      <c r="FL24" s="72"/>
      <c r="FM24" s="72"/>
      <c r="FN24" s="72"/>
      <c r="FO24" s="72"/>
      <c r="FP24" s="72"/>
      <c r="FQ24" s="72"/>
      <c r="FR24" s="72"/>
      <c r="FS24" s="72"/>
      <c r="FT24" s="72"/>
      <c r="FU24" s="72"/>
      <c r="FV24" s="72"/>
      <c r="FW24" s="72"/>
      <c r="FX24" s="72"/>
      <c r="FY24" s="72"/>
      <c r="FZ24" s="72"/>
      <c r="GA24" s="72"/>
      <c r="GB24" s="72"/>
      <c r="GC24" s="72"/>
      <c r="GD24" s="72"/>
      <c r="GE24" s="72"/>
      <c r="GF24" s="72"/>
      <c r="GG24" s="72"/>
      <c r="GH24" s="72"/>
      <c r="GI24" s="72"/>
      <c r="GJ24" s="72"/>
      <c r="GK24" s="72"/>
      <c r="GL24" s="73"/>
      <c r="GM24" s="73"/>
      <c r="GN24" s="73"/>
      <c r="GO24" s="73"/>
      <c r="GP24" s="73"/>
      <c r="GQ24" s="73"/>
      <c r="GR24" s="73"/>
      <c r="GS24" s="73"/>
      <c r="GT24" s="73"/>
      <c r="GU24" s="73"/>
      <c r="GV24" s="73"/>
      <c r="GW24" s="73"/>
      <c r="GX24" s="73"/>
      <c r="GY24" s="73"/>
      <c r="GZ24" s="73"/>
      <c r="HA24" s="73"/>
      <c r="HB24" s="73"/>
      <c r="HC24" s="73"/>
      <c r="HD24" s="73"/>
      <c r="HE24" s="73"/>
      <c r="HF24" s="73"/>
      <c r="HG24" s="73"/>
      <c r="HH24" s="73"/>
      <c r="HI24" s="73"/>
      <c r="HJ24" s="73"/>
      <c r="HK24" s="73"/>
      <c r="HL24" s="73"/>
      <c r="HM24" s="73"/>
      <c r="HN24" s="73"/>
      <c r="HO24" s="73"/>
      <c r="HP24" s="73"/>
      <c r="HQ24" s="73"/>
      <c r="HR24" s="73"/>
      <c r="HS24" s="73"/>
      <c r="HT24" s="73"/>
      <c r="HU24" s="73"/>
      <c r="HV24" s="73"/>
      <c r="HW24" s="73"/>
      <c r="HX24" s="73"/>
      <c r="HY24" s="73"/>
      <c r="HZ24" s="73"/>
      <c r="IA24" s="73"/>
      <c r="IB24" s="73"/>
      <c r="IC24" s="73"/>
      <c r="ID24" s="73"/>
      <c r="IE24" s="73"/>
      <c r="IF24" s="73"/>
      <c r="IG24" s="73"/>
      <c r="IH24" s="73"/>
      <c r="II24" s="73"/>
      <c r="IJ24" s="73"/>
      <c r="IK24" s="73"/>
      <c r="IL24" s="73"/>
      <c r="IM24" s="73"/>
      <c r="IN24" s="73"/>
      <c r="IO24" s="73"/>
      <c r="IP24" s="73"/>
      <c r="IQ24" s="73"/>
      <c r="IR24" s="73"/>
      <c r="IS24" s="73"/>
      <c r="IT24" s="73"/>
      <c r="IU24" s="73"/>
      <c r="IV24" s="73"/>
      <c r="IW24" s="73"/>
      <c r="IX24" s="73"/>
      <c r="IY24" s="73"/>
      <c r="IZ24" s="73"/>
      <c r="JA24" s="73"/>
      <c r="JB24" s="73"/>
      <c r="JC24" s="73"/>
    </row>
    <row r="25" spans="1:263" s="5" customFormat="1" ht="12.6" customHeight="1">
      <c r="A25" s="22">
        <v>2021</v>
      </c>
      <c r="B25" s="82">
        <v>362</v>
      </c>
      <c r="C25" s="8" t="s">
        <v>332</v>
      </c>
      <c r="D25" s="14">
        <f t="shared" si="1"/>
        <v>0</v>
      </c>
      <c r="E25" s="140">
        <f>SUMIFS('Plan rashoda za unos u SAP'!$I$3:$I$501,'Plan rashoda za unos u SAP'!$C$3:$C$501,"=11",'Plan rashoda za unos u SAP'!$M$3:$M$501,"=362")+SUMIFS('ANALITIKA EU PROJEKATA'!$G$3:$G$501,'ANALITIKA EU PROJEKATA'!$A$3:$A$501,"=11",'ANALITIKA EU PROJEKATA'!$P$3:$P$501,"=362")</f>
        <v>0</v>
      </c>
      <c r="F25" s="140">
        <f>SUMIFS('Plan rashoda za unos u SAP'!$I$3:$I$501,'Plan rashoda za unos u SAP'!$C$3:$C$501,"=12",'Plan rashoda za unos u SAP'!$M$3:$M$501,"=362")+SUMIFS('ANALITIKA EU PROJEKATA'!$G$3:$G$501,'ANALITIKA EU PROJEKATA'!$A$3:$A$501,"=12",'ANALITIKA EU PROJEKATA'!$P$3:$P$501,"=362")</f>
        <v>0</v>
      </c>
      <c r="G25" s="140">
        <f>SUMIFS('Plan rashoda za unos u SAP'!$I$3:$I$501,'Plan rashoda za unos u SAP'!$C$3:$C$501,"=31",'Plan rashoda za unos u SAP'!$M$3:$M$501,"=362")+SUMIFS('ANALITIKA EU PROJEKATA'!$G$3:$G$501,'ANALITIKA EU PROJEKATA'!$A$3:$A$501,"=31",'ANALITIKA EU PROJEKATA'!$P$3:$P$501,"=362")</f>
        <v>0</v>
      </c>
      <c r="H25" s="140">
        <f>SUMIFS('Plan rashoda za unos u SAP'!$I$3:$I$501,'Plan rashoda za unos u SAP'!$C$3:$C$501,"=41",'Plan rashoda za unos u SAP'!$M$3:$M$501,"=362")+SUMIFS('ANALITIKA EU PROJEKATA'!$G$3:$G$501,'ANALITIKA EU PROJEKATA'!$A$3:$A$501,"=41",'ANALITIKA EU PROJEKATA'!$P$3:$P$501,"=362")</f>
        <v>0</v>
      </c>
      <c r="I25" s="140">
        <f>SUMIFS('Plan rashoda za unos u SAP'!$I$3:$I$501,'Plan rashoda za unos u SAP'!$C$3:$C$501,"=43",'Plan rashoda za unos u SAP'!$M$3:$M$501,"=362")+SUMIFS('ANALITIKA EU PROJEKATA'!$G$3:$G$501,'ANALITIKA EU PROJEKATA'!$A$3:$A$501,"=43",'ANALITIKA EU PROJEKATA'!$P$3:$P$501,"=362")</f>
        <v>0</v>
      </c>
      <c r="J25" s="140">
        <f>SUMIFS('Plan rashoda za unos u SAP'!$I$3:$I$501,'Plan rashoda za unos u SAP'!$C$3:$C$501,"=51",'Plan rashoda za unos u SAP'!$M$3:$M$501,"=362")+SUMIFS('ANALITIKA EU PROJEKATA'!$G$3:$G$501,'ANALITIKA EU PROJEKATA'!$A$3:$A$501,"=51",'ANALITIKA EU PROJEKATA'!$P$3:$P$501,"=362")</f>
        <v>0</v>
      </c>
      <c r="K25" s="140">
        <f>SUMIFS('Plan rashoda za unos u SAP'!$I$3:$I$501,'Plan rashoda za unos u SAP'!$C$3:$C$501,"=52",'Plan rashoda za unos u SAP'!$M$3:$M$501,"=362")+SUMIFS('ANALITIKA EU PROJEKATA'!$G$3:$G$501,'ANALITIKA EU PROJEKATA'!$A$3:$A$501,"=52",'ANALITIKA EU PROJEKATA'!$P$3:$P$501,"=362")</f>
        <v>0</v>
      </c>
      <c r="L25" s="140">
        <f>SUMIFS('Plan rashoda za unos u SAP'!$I$3:$I$501,'Plan rashoda za unos u SAP'!$C$3:$C$501,"=552",'Plan rashoda za unos u SAP'!$M$3:$M$501,"=362")+SUMIFS('ANALITIKA EU PROJEKATA'!$G$3:$G$501,'ANALITIKA EU PROJEKATA'!$A$3:$A$501,"=552",'ANALITIKA EU PROJEKATA'!$P$3:$P$501,"=362")</f>
        <v>0</v>
      </c>
      <c r="M25" s="140">
        <f>SUMIFS('Plan rashoda za unos u SAP'!$I$3:$I$501,'Plan rashoda za unos u SAP'!$C$3:$C$501,"=559",'Plan rashoda za unos u SAP'!$M$3:$M$501,"=362")+SUMIFS('ANALITIKA EU PROJEKATA'!$G$3:$G$501,'ANALITIKA EU PROJEKATA'!$A$3:$A$501,"=559",'ANALITIKA EU PROJEKATA'!$P$3:$P$501,"=362")</f>
        <v>0</v>
      </c>
      <c r="N25" s="140">
        <f>SUMIFS('Plan rashoda za unos u SAP'!$I$3:$I$501,'Plan rashoda za unos u SAP'!$C$3:$C$501,"=561",'Plan rashoda za unos u SAP'!$M$3:$M$501,"=362")+SUMIFS('ANALITIKA EU PROJEKATA'!$G$3:$G$501,'ANALITIKA EU PROJEKATA'!$A$3:$A$501,"=561",'ANALITIKA EU PROJEKATA'!$P$3:$P$501,"=362")</f>
        <v>0</v>
      </c>
      <c r="O25" s="140">
        <f>SUMIFS('Plan rashoda za unos u SAP'!$I$3:$I$501,'Plan rashoda za unos u SAP'!$C$3:$C$501,"=563",'Plan rashoda za unos u SAP'!$M$3:$M$501,"=362")+SUMIFS('ANALITIKA EU PROJEKATA'!$G$3:$G$501,'ANALITIKA EU PROJEKATA'!$A$3:$A$501,"=563",'ANALITIKA EU PROJEKATA'!$P$3:$P$501,"=362")</f>
        <v>0</v>
      </c>
      <c r="P25" s="140">
        <f>SUMIFS('Plan rashoda za unos u SAP'!$I$3:$I$501,'Plan rashoda za unos u SAP'!$C$3:$C$501,"=573",'Plan rashoda za unos u SAP'!$M$3:$M$501,"=362")+SUMIFS('ANALITIKA EU PROJEKATA'!$G$3:$G$501,'ANALITIKA EU PROJEKATA'!$A$3:$A$501,"=573",'ANALITIKA EU PROJEKATA'!$P$3:$P$501,"=362")</f>
        <v>0</v>
      </c>
      <c r="Q25" s="140">
        <f>SUMIFS('Plan rashoda za unos u SAP'!$I$3:$I$501,'Plan rashoda za unos u SAP'!$C$3:$C$501,"=575",'Plan rashoda za unos u SAP'!$M$3:$M$501,"=362")+SUMIFS('ANALITIKA EU PROJEKATA'!$G$3:$G$501,'ANALITIKA EU PROJEKATA'!$A$3:$A$501,"=575",'ANALITIKA EU PROJEKATA'!$P$3:$P$501,"=362")</f>
        <v>0</v>
      </c>
      <c r="R25" s="140">
        <f>SUMIFS('Plan rashoda za unos u SAP'!$I$3:$I$501,'Plan rashoda za unos u SAP'!$C$3:$C$501,"=576",'Plan rashoda za unos u SAP'!$M$3:$M$501,"=362")+SUMIFS('ANALITIKA EU PROJEKATA'!$G$3:$G$501,'ANALITIKA EU PROJEKATA'!$A$3:$A$501,"=576",'ANALITIKA EU PROJEKATA'!$P$3:$P$501,"=362")</f>
        <v>0</v>
      </c>
      <c r="S25" s="140">
        <f>SUMIFS('Plan rashoda za unos u SAP'!$I$3:$I$501,'Plan rashoda za unos u SAP'!$C$3:$C$501,"=61",'Plan rashoda za unos u SAP'!$M$3:$M$501,"=362")+SUMIFS('ANALITIKA EU PROJEKATA'!$G$3:$G$501,'ANALITIKA EU PROJEKATA'!$A$3:$A$501,"=61",'ANALITIKA EU PROJEKATA'!$P$3:$P$501,"=362")</f>
        <v>0</v>
      </c>
      <c r="T25" s="140">
        <f>SUMIFS('Plan rashoda za unos u SAP'!$I$3:$I$501,'Plan rashoda za unos u SAP'!$C$3:$C$501,"=63",'Plan rashoda za unos u SAP'!$M$3:$M$501,"=362")+SUMIFS('ANALITIKA EU PROJEKATA'!$G$3:$G$501,'ANALITIKA EU PROJEKATA'!$A$3:$A$501,"=63",'ANALITIKA EU PROJEKATA'!$P$3:$P$501,"=362")</f>
        <v>0</v>
      </c>
      <c r="U25" s="140">
        <f>SUMIFS('Plan rashoda za unos u SAP'!$I$3:$I$501,'Plan rashoda za unos u SAP'!$C$3:$C$501,"=71",'Plan rashoda za unos u SAP'!$M$3:$M$501,"=362")+SUMIFS('ANALITIKA EU PROJEKATA'!$G$3:$G$501,'ANALITIKA EU PROJEKATA'!$A$3:$A$501,"=71",'ANALITIKA EU PROJEKATA'!$P$3:$P$501,"=362")</f>
        <v>0</v>
      </c>
      <c r="V25" s="140">
        <f>SUMIFS('Plan rashoda za unos u SAP'!$I$3:$I$501,'Plan rashoda za unos u SAP'!$C$3:$C$501,"=81",'Plan rashoda za unos u SAP'!$M$3:$M$501,"=362")+SUMIFS('ANALITIKA EU PROJEKATA'!$G$3:$G$501,'ANALITIKA EU PROJEKATA'!$A$3:$A$501,"=81",'ANALITIKA EU PROJEKATA'!$P$3:$P$501,"=362")</f>
        <v>0</v>
      </c>
      <c r="W25" s="140">
        <f>SUMIFS('Plan rashoda za unos u SAP'!$I$3:$I$501,'Plan rashoda za unos u SAP'!$C$3:$C$501,"=83",'Plan rashoda za unos u SAP'!$M$3:$M$501,"=362")+SUMIFS('ANALITIKA EU PROJEKATA'!$G$3:$G$501,'ANALITIKA EU PROJEKATA'!$A$3:$A$501,"=83",'ANALITIKA EU PROJEKATA'!$P$3:$P$501,"=362")</f>
        <v>0</v>
      </c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  <c r="CI25" s="72"/>
      <c r="CJ25" s="72"/>
      <c r="CK25" s="72"/>
      <c r="CL25" s="72"/>
      <c r="CM25" s="72"/>
      <c r="CN25" s="72"/>
      <c r="CO25" s="72"/>
      <c r="CP25" s="72"/>
      <c r="CQ25" s="72"/>
      <c r="CR25" s="72"/>
      <c r="CS25" s="72"/>
      <c r="CT25" s="72"/>
      <c r="CU25" s="72"/>
      <c r="CV25" s="72"/>
      <c r="CW25" s="72"/>
      <c r="CX25" s="72"/>
      <c r="CY25" s="72"/>
      <c r="CZ25" s="72"/>
      <c r="DA25" s="72"/>
      <c r="DB25" s="72"/>
      <c r="DC25" s="72"/>
      <c r="DD25" s="72"/>
      <c r="DE25" s="72"/>
      <c r="DF25" s="72"/>
      <c r="DG25" s="72"/>
      <c r="DH25" s="72"/>
      <c r="DI25" s="72"/>
      <c r="DJ25" s="72"/>
      <c r="DK25" s="72"/>
      <c r="DL25" s="72"/>
      <c r="DM25" s="72"/>
      <c r="DN25" s="72"/>
      <c r="DO25" s="72"/>
      <c r="DP25" s="72"/>
      <c r="DQ25" s="72"/>
      <c r="DR25" s="72"/>
      <c r="DS25" s="72"/>
      <c r="DT25" s="72"/>
      <c r="DU25" s="72"/>
      <c r="DV25" s="72"/>
      <c r="DW25" s="72"/>
      <c r="DX25" s="72"/>
      <c r="DY25" s="72"/>
      <c r="DZ25" s="72"/>
      <c r="EA25" s="72"/>
      <c r="EB25" s="72"/>
      <c r="EC25" s="72"/>
      <c r="ED25" s="72"/>
      <c r="EE25" s="72"/>
      <c r="EF25" s="72"/>
      <c r="EG25" s="72"/>
      <c r="EH25" s="72"/>
      <c r="EI25" s="72"/>
      <c r="EJ25" s="72"/>
      <c r="EK25" s="72"/>
      <c r="EL25" s="72"/>
      <c r="EM25" s="72"/>
      <c r="EN25" s="72"/>
      <c r="EO25" s="72"/>
      <c r="EP25" s="72"/>
      <c r="EQ25" s="72"/>
      <c r="ER25" s="72"/>
      <c r="ES25" s="72"/>
      <c r="ET25" s="72"/>
      <c r="EU25" s="72"/>
      <c r="EV25" s="72"/>
      <c r="EW25" s="72"/>
      <c r="EX25" s="72"/>
      <c r="EY25" s="72"/>
      <c r="EZ25" s="72"/>
      <c r="FA25" s="72"/>
      <c r="FB25" s="72"/>
      <c r="FC25" s="72"/>
      <c r="FD25" s="72"/>
      <c r="FE25" s="72"/>
      <c r="FF25" s="72"/>
      <c r="FG25" s="72"/>
      <c r="FH25" s="72"/>
      <c r="FI25" s="72"/>
      <c r="FJ25" s="72"/>
      <c r="FK25" s="72"/>
      <c r="FL25" s="72"/>
      <c r="FM25" s="72"/>
      <c r="FN25" s="72"/>
      <c r="FO25" s="72"/>
      <c r="FP25" s="72"/>
      <c r="FQ25" s="72"/>
      <c r="FR25" s="72"/>
      <c r="FS25" s="72"/>
      <c r="FT25" s="72"/>
      <c r="FU25" s="72"/>
      <c r="FV25" s="72"/>
      <c r="FW25" s="72"/>
      <c r="FX25" s="72"/>
      <c r="FY25" s="72"/>
      <c r="FZ25" s="72"/>
      <c r="GA25" s="72"/>
      <c r="GB25" s="72"/>
      <c r="GC25" s="72"/>
      <c r="GD25" s="72"/>
      <c r="GE25" s="72"/>
      <c r="GF25" s="72"/>
      <c r="GG25" s="72"/>
      <c r="GH25" s="72"/>
      <c r="GI25" s="72"/>
      <c r="GJ25" s="72"/>
      <c r="GK25" s="72"/>
      <c r="GL25" s="73"/>
      <c r="GM25" s="73"/>
      <c r="GN25" s="73"/>
      <c r="GO25" s="73"/>
      <c r="GP25" s="73"/>
      <c r="GQ25" s="73"/>
      <c r="GR25" s="73"/>
      <c r="GS25" s="73"/>
      <c r="GT25" s="73"/>
      <c r="GU25" s="73"/>
      <c r="GV25" s="73"/>
      <c r="GW25" s="73"/>
      <c r="GX25" s="73"/>
      <c r="GY25" s="73"/>
      <c r="GZ25" s="73"/>
      <c r="HA25" s="73"/>
      <c r="HB25" s="73"/>
      <c r="HC25" s="73"/>
      <c r="HD25" s="73"/>
      <c r="HE25" s="73"/>
      <c r="HF25" s="73"/>
      <c r="HG25" s="73"/>
      <c r="HH25" s="73"/>
      <c r="HI25" s="73"/>
      <c r="HJ25" s="73"/>
      <c r="HK25" s="73"/>
      <c r="HL25" s="73"/>
      <c r="HM25" s="73"/>
      <c r="HN25" s="73"/>
      <c r="HO25" s="73"/>
      <c r="HP25" s="73"/>
      <c r="HQ25" s="73"/>
      <c r="HR25" s="73"/>
      <c r="HS25" s="73"/>
      <c r="HT25" s="73"/>
      <c r="HU25" s="73"/>
      <c r="HV25" s="73"/>
      <c r="HW25" s="73"/>
      <c r="HX25" s="73"/>
      <c r="HY25" s="73"/>
      <c r="HZ25" s="73"/>
      <c r="IA25" s="73"/>
      <c r="IB25" s="73"/>
      <c r="IC25" s="73"/>
      <c r="ID25" s="73"/>
      <c r="IE25" s="73"/>
      <c r="IF25" s="73"/>
      <c r="IG25" s="73"/>
      <c r="IH25" s="73"/>
      <c r="II25" s="73"/>
      <c r="IJ25" s="73"/>
      <c r="IK25" s="73"/>
      <c r="IL25" s="73"/>
      <c r="IM25" s="73"/>
      <c r="IN25" s="73"/>
      <c r="IO25" s="73"/>
      <c r="IP25" s="73"/>
      <c r="IQ25" s="73"/>
      <c r="IR25" s="73"/>
      <c r="IS25" s="73"/>
      <c r="IT25" s="73"/>
      <c r="IU25" s="73"/>
      <c r="IV25" s="73"/>
      <c r="IW25" s="73"/>
      <c r="IX25" s="73"/>
      <c r="IY25" s="73"/>
      <c r="IZ25" s="73"/>
      <c r="JA25" s="73"/>
      <c r="JB25" s="73"/>
      <c r="JC25" s="73"/>
    </row>
    <row r="26" spans="1:263" s="5" customFormat="1" ht="12.6" customHeight="1">
      <c r="A26" s="22">
        <v>2021</v>
      </c>
      <c r="B26" s="82">
        <v>363</v>
      </c>
      <c r="C26" s="8" t="s">
        <v>333</v>
      </c>
      <c r="D26" s="14">
        <f t="shared" si="1"/>
        <v>0</v>
      </c>
      <c r="E26" s="140">
        <f>SUMIFS('Plan rashoda za unos u SAP'!$I$3:$I$501,'Plan rashoda za unos u SAP'!$C$3:$C$501,"=11",'Plan rashoda za unos u SAP'!$M$3:$M$501,"=363")+SUMIFS('ANALITIKA EU PROJEKATA'!$G$3:$G$501,'ANALITIKA EU PROJEKATA'!$A$3:$A$501,"=11",'ANALITIKA EU PROJEKATA'!$P$3:$P$501,"=363")</f>
        <v>0</v>
      </c>
      <c r="F26" s="140">
        <f>SUMIFS('Plan rashoda za unos u SAP'!$I$3:$I$501,'Plan rashoda za unos u SAP'!$C$3:$C$501,"=12",'Plan rashoda za unos u SAP'!$M$3:$M$501,"=363")+SUMIFS('ANALITIKA EU PROJEKATA'!$G$3:$G$501,'ANALITIKA EU PROJEKATA'!$A$3:$A$501,"=12",'ANALITIKA EU PROJEKATA'!$P$3:$P$501,"=363")</f>
        <v>0</v>
      </c>
      <c r="G26" s="140">
        <f>SUMIFS('Plan rashoda za unos u SAP'!$I$3:$I$501,'Plan rashoda za unos u SAP'!$C$3:$C$501,"=31",'Plan rashoda za unos u SAP'!$M$3:$M$501,"=363")+SUMIFS('ANALITIKA EU PROJEKATA'!$G$3:$G$501,'ANALITIKA EU PROJEKATA'!$A$3:$A$501,"=31",'ANALITIKA EU PROJEKATA'!$P$3:$P$501,"=363")</f>
        <v>0</v>
      </c>
      <c r="H26" s="140">
        <f>SUMIFS('Plan rashoda za unos u SAP'!$I$3:$I$501,'Plan rashoda za unos u SAP'!$C$3:$C$501,"=41",'Plan rashoda za unos u SAP'!$M$3:$M$501,"=363")+SUMIFS('ANALITIKA EU PROJEKATA'!$G$3:$G$501,'ANALITIKA EU PROJEKATA'!$A$3:$A$501,"=41",'ANALITIKA EU PROJEKATA'!$P$3:$P$501,"=363")</f>
        <v>0</v>
      </c>
      <c r="I26" s="140">
        <f>SUMIFS('Plan rashoda za unos u SAP'!$I$3:$I$501,'Plan rashoda za unos u SAP'!$C$3:$C$501,"=43",'Plan rashoda za unos u SAP'!$M$3:$M$501,"=363")+SUMIFS('ANALITIKA EU PROJEKATA'!$G$3:$G$501,'ANALITIKA EU PROJEKATA'!$A$3:$A$501,"=43",'ANALITIKA EU PROJEKATA'!$P$3:$P$501,"=363")</f>
        <v>0</v>
      </c>
      <c r="J26" s="140">
        <f>SUMIFS('Plan rashoda za unos u SAP'!$I$3:$I$501,'Plan rashoda za unos u SAP'!$C$3:$C$501,"=51",'Plan rashoda za unos u SAP'!$M$3:$M$501,"=363")+SUMIFS('ANALITIKA EU PROJEKATA'!$G$3:$G$501,'ANALITIKA EU PROJEKATA'!$A$3:$A$501,"=51",'ANALITIKA EU PROJEKATA'!$P$3:$P$501,"=363")</f>
        <v>0</v>
      </c>
      <c r="K26" s="140">
        <f>SUMIFS('Plan rashoda za unos u SAP'!$I$3:$I$501,'Plan rashoda za unos u SAP'!$C$3:$C$501,"=52",'Plan rashoda za unos u SAP'!$M$3:$M$501,"=363")+SUMIFS('ANALITIKA EU PROJEKATA'!$G$3:$G$501,'ANALITIKA EU PROJEKATA'!$A$3:$A$501,"=52",'ANALITIKA EU PROJEKATA'!$P$3:$P$501,"=363")</f>
        <v>0</v>
      </c>
      <c r="L26" s="140">
        <f>SUMIFS('Plan rashoda za unos u SAP'!$I$3:$I$501,'Plan rashoda za unos u SAP'!$C$3:$C$501,"=552",'Plan rashoda za unos u SAP'!$M$3:$M$501,"=363")+SUMIFS('ANALITIKA EU PROJEKATA'!$G$3:$G$501,'ANALITIKA EU PROJEKATA'!$A$3:$A$501,"=552",'ANALITIKA EU PROJEKATA'!$P$3:$P$501,"=363")</f>
        <v>0</v>
      </c>
      <c r="M26" s="140">
        <f>SUMIFS('Plan rashoda za unos u SAP'!$I$3:$I$501,'Plan rashoda za unos u SAP'!$C$3:$C$501,"=559",'Plan rashoda za unos u SAP'!$M$3:$M$501,"=363")+SUMIFS('ANALITIKA EU PROJEKATA'!$G$3:$G$501,'ANALITIKA EU PROJEKATA'!$A$3:$A$501,"=559",'ANALITIKA EU PROJEKATA'!$P$3:$P$501,"=363")</f>
        <v>0</v>
      </c>
      <c r="N26" s="140">
        <f>SUMIFS('Plan rashoda za unos u SAP'!$I$3:$I$501,'Plan rashoda za unos u SAP'!$C$3:$C$501,"=561",'Plan rashoda za unos u SAP'!$M$3:$M$501,"=363")+SUMIFS('ANALITIKA EU PROJEKATA'!$G$3:$G$501,'ANALITIKA EU PROJEKATA'!$A$3:$A$501,"=561",'ANALITIKA EU PROJEKATA'!$P$3:$P$501,"=363")</f>
        <v>0</v>
      </c>
      <c r="O26" s="140">
        <f>SUMIFS('Plan rashoda za unos u SAP'!$I$3:$I$501,'Plan rashoda za unos u SAP'!$C$3:$C$501,"=563",'Plan rashoda za unos u SAP'!$M$3:$M$501,"=363")+SUMIFS('ANALITIKA EU PROJEKATA'!$G$3:$G$501,'ANALITIKA EU PROJEKATA'!$A$3:$A$501,"=563",'ANALITIKA EU PROJEKATA'!$P$3:$P$501,"=363")</f>
        <v>0</v>
      </c>
      <c r="P26" s="140">
        <f>SUMIFS('Plan rashoda za unos u SAP'!$I$3:$I$501,'Plan rashoda za unos u SAP'!$C$3:$C$501,"=573",'Plan rashoda za unos u SAP'!$M$3:$M$501,"=363")+SUMIFS('ANALITIKA EU PROJEKATA'!$G$3:$G$501,'ANALITIKA EU PROJEKATA'!$A$3:$A$501,"=573",'ANALITIKA EU PROJEKATA'!$P$3:$P$501,"=363")</f>
        <v>0</v>
      </c>
      <c r="Q26" s="140">
        <f>SUMIFS('Plan rashoda za unos u SAP'!$I$3:$I$501,'Plan rashoda za unos u SAP'!$C$3:$C$501,"=575",'Plan rashoda za unos u SAP'!$M$3:$M$501,"=363")+SUMIFS('ANALITIKA EU PROJEKATA'!$G$3:$G$501,'ANALITIKA EU PROJEKATA'!$A$3:$A$501,"=575",'ANALITIKA EU PROJEKATA'!$P$3:$P$501,"=363")</f>
        <v>0</v>
      </c>
      <c r="R26" s="140">
        <f>SUMIFS('Plan rashoda za unos u SAP'!$I$3:$I$501,'Plan rashoda za unos u SAP'!$C$3:$C$501,"=576",'Plan rashoda za unos u SAP'!$M$3:$M$501,"=363")+SUMIFS('ANALITIKA EU PROJEKATA'!$G$3:$G$501,'ANALITIKA EU PROJEKATA'!$A$3:$A$501,"=576",'ANALITIKA EU PROJEKATA'!$P$3:$P$501,"=363")</f>
        <v>0</v>
      </c>
      <c r="S26" s="140">
        <f>SUMIFS('Plan rashoda za unos u SAP'!$I$3:$I$501,'Plan rashoda za unos u SAP'!$C$3:$C$501,"=61",'Plan rashoda za unos u SAP'!$M$3:$M$501,"=363")+SUMIFS('ANALITIKA EU PROJEKATA'!$G$3:$G$501,'ANALITIKA EU PROJEKATA'!$A$3:$A$501,"=61",'ANALITIKA EU PROJEKATA'!$P$3:$P$501,"=363")</f>
        <v>0</v>
      </c>
      <c r="T26" s="140">
        <f>SUMIFS('Plan rashoda za unos u SAP'!$I$3:$I$501,'Plan rashoda za unos u SAP'!$C$3:$C$501,"=63",'Plan rashoda za unos u SAP'!$M$3:$M$501,"=363")+SUMIFS('ANALITIKA EU PROJEKATA'!$G$3:$G$501,'ANALITIKA EU PROJEKATA'!$A$3:$A$501,"=63",'ANALITIKA EU PROJEKATA'!$P$3:$P$501,"=363")</f>
        <v>0</v>
      </c>
      <c r="U26" s="140">
        <f>SUMIFS('Plan rashoda za unos u SAP'!$I$3:$I$501,'Plan rashoda za unos u SAP'!$C$3:$C$501,"=71",'Plan rashoda za unos u SAP'!$M$3:$M$501,"=363")+SUMIFS('ANALITIKA EU PROJEKATA'!$G$3:$G$501,'ANALITIKA EU PROJEKATA'!$A$3:$A$501,"=71",'ANALITIKA EU PROJEKATA'!$P$3:$P$501,"=363")</f>
        <v>0</v>
      </c>
      <c r="V26" s="140">
        <f>SUMIFS('Plan rashoda za unos u SAP'!$I$3:$I$501,'Plan rashoda za unos u SAP'!$C$3:$C$501,"=81",'Plan rashoda za unos u SAP'!$M$3:$M$501,"=363")+SUMIFS('ANALITIKA EU PROJEKATA'!$G$3:$G$501,'ANALITIKA EU PROJEKATA'!$A$3:$A$501,"=81",'ANALITIKA EU PROJEKATA'!$P$3:$P$501,"=363")</f>
        <v>0</v>
      </c>
      <c r="W26" s="140">
        <f>SUMIFS('Plan rashoda za unos u SAP'!$I$3:$I$501,'Plan rashoda za unos u SAP'!$C$3:$C$501,"=83",'Plan rashoda za unos u SAP'!$M$3:$M$501,"=363")+SUMIFS('ANALITIKA EU PROJEKATA'!$G$3:$G$501,'ANALITIKA EU PROJEKATA'!$A$3:$A$501,"=83",'ANALITIKA EU PROJEKATA'!$P$3:$P$501,"=363")</f>
        <v>0</v>
      </c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2"/>
      <c r="CO26" s="72"/>
      <c r="CP26" s="72"/>
      <c r="CQ26" s="72"/>
      <c r="CR26" s="72"/>
      <c r="CS26" s="72"/>
      <c r="CT26" s="72"/>
      <c r="CU26" s="72"/>
      <c r="CV26" s="72"/>
      <c r="CW26" s="72"/>
      <c r="CX26" s="72"/>
      <c r="CY26" s="72"/>
      <c r="CZ26" s="72"/>
      <c r="DA26" s="72"/>
      <c r="DB26" s="72"/>
      <c r="DC26" s="72"/>
      <c r="DD26" s="72"/>
      <c r="DE26" s="72"/>
      <c r="DF26" s="72"/>
      <c r="DG26" s="72"/>
      <c r="DH26" s="72"/>
      <c r="DI26" s="72"/>
      <c r="DJ26" s="72"/>
      <c r="DK26" s="72"/>
      <c r="DL26" s="72"/>
      <c r="DM26" s="72"/>
      <c r="DN26" s="72"/>
      <c r="DO26" s="72"/>
      <c r="DP26" s="72"/>
      <c r="DQ26" s="72"/>
      <c r="DR26" s="72"/>
      <c r="DS26" s="72"/>
      <c r="DT26" s="72"/>
      <c r="DU26" s="72"/>
      <c r="DV26" s="72"/>
      <c r="DW26" s="72"/>
      <c r="DX26" s="72"/>
      <c r="DY26" s="72"/>
      <c r="DZ26" s="72"/>
      <c r="EA26" s="72"/>
      <c r="EB26" s="72"/>
      <c r="EC26" s="72"/>
      <c r="ED26" s="72"/>
      <c r="EE26" s="72"/>
      <c r="EF26" s="72"/>
      <c r="EG26" s="72"/>
      <c r="EH26" s="72"/>
      <c r="EI26" s="72"/>
      <c r="EJ26" s="72"/>
      <c r="EK26" s="72"/>
      <c r="EL26" s="72"/>
      <c r="EM26" s="72"/>
      <c r="EN26" s="72"/>
      <c r="EO26" s="72"/>
      <c r="EP26" s="72"/>
      <c r="EQ26" s="72"/>
      <c r="ER26" s="72"/>
      <c r="ES26" s="72"/>
      <c r="ET26" s="72"/>
      <c r="EU26" s="72"/>
      <c r="EV26" s="72"/>
      <c r="EW26" s="72"/>
      <c r="EX26" s="72"/>
      <c r="EY26" s="72"/>
      <c r="EZ26" s="72"/>
      <c r="FA26" s="72"/>
      <c r="FB26" s="72"/>
      <c r="FC26" s="72"/>
      <c r="FD26" s="72"/>
      <c r="FE26" s="72"/>
      <c r="FF26" s="72"/>
      <c r="FG26" s="72"/>
      <c r="FH26" s="72"/>
      <c r="FI26" s="72"/>
      <c r="FJ26" s="72"/>
      <c r="FK26" s="72"/>
      <c r="FL26" s="72"/>
      <c r="FM26" s="72"/>
      <c r="FN26" s="72"/>
      <c r="FO26" s="72"/>
      <c r="FP26" s="72"/>
      <c r="FQ26" s="72"/>
      <c r="FR26" s="72"/>
      <c r="FS26" s="72"/>
      <c r="FT26" s="72"/>
      <c r="FU26" s="72"/>
      <c r="FV26" s="72"/>
      <c r="FW26" s="72"/>
      <c r="FX26" s="72"/>
      <c r="FY26" s="72"/>
      <c r="FZ26" s="72"/>
      <c r="GA26" s="72"/>
      <c r="GB26" s="72"/>
      <c r="GC26" s="72"/>
      <c r="GD26" s="72"/>
      <c r="GE26" s="72"/>
      <c r="GF26" s="72"/>
      <c r="GG26" s="72"/>
      <c r="GH26" s="72"/>
      <c r="GI26" s="72"/>
      <c r="GJ26" s="72"/>
      <c r="GK26" s="72"/>
      <c r="GL26" s="73"/>
      <c r="GM26" s="73"/>
      <c r="GN26" s="73"/>
      <c r="GO26" s="73"/>
      <c r="GP26" s="73"/>
      <c r="GQ26" s="73"/>
      <c r="GR26" s="73"/>
      <c r="GS26" s="73"/>
      <c r="GT26" s="73"/>
      <c r="GU26" s="73"/>
      <c r="GV26" s="73"/>
      <c r="GW26" s="73"/>
      <c r="GX26" s="73"/>
      <c r="GY26" s="73"/>
      <c r="GZ26" s="73"/>
      <c r="HA26" s="73"/>
      <c r="HB26" s="73"/>
      <c r="HC26" s="73"/>
      <c r="HD26" s="73"/>
      <c r="HE26" s="73"/>
      <c r="HF26" s="73"/>
      <c r="HG26" s="73"/>
      <c r="HH26" s="73"/>
      <c r="HI26" s="73"/>
      <c r="HJ26" s="73"/>
      <c r="HK26" s="73"/>
      <c r="HL26" s="73"/>
      <c r="HM26" s="73"/>
      <c r="HN26" s="73"/>
      <c r="HO26" s="73"/>
      <c r="HP26" s="73"/>
      <c r="HQ26" s="73"/>
      <c r="HR26" s="73"/>
      <c r="HS26" s="73"/>
      <c r="HT26" s="73"/>
      <c r="HU26" s="73"/>
      <c r="HV26" s="73"/>
      <c r="HW26" s="73"/>
      <c r="HX26" s="73"/>
      <c r="HY26" s="73"/>
      <c r="HZ26" s="73"/>
      <c r="IA26" s="73"/>
      <c r="IB26" s="73"/>
      <c r="IC26" s="73"/>
      <c r="ID26" s="73"/>
      <c r="IE26" s="73"/>
      <c r="IF26" s="73"/>
      <c r="IG26" s="73"/>
      <c r="IH26" s="73"/>
      <c r="II26" s="73"/>
      <c r="IJ26" s="73"/>
      <c r="IK26" s="73"/>
      <c r="IL26" s="73"/>
      <c r="IM26" s="73"/>
      <c r="IN26" s="73"/>
      <c r="IO26" s="73"/>
      <c r="IP26" s="73"/>
      <c r="IQ26" s="73"/>
      <c r="IR26" s="73"/>
      <c r="IS26" s="73"/>
      <c r="IT26" s="73"/>
      <c r="IU26" s="73"/>
      <c r="IV26" s="73"/>
      <c r="IW26" s="73"/>
      <c r="IX26" s="73"/>
      <c r="IY26" s="73"/>
      <c r="IZ26" s="73"/>
      <c r="JA26" s="73"/>
      <c r="JB26" s="73"/>
      <c r="JC26" s="73"/>
    </row>
    <row r="27" spans="1:263" s="5" customFormat="1" ht="12.6" customHeight="1">
      <c r="A27" s="22">
        <v>2021</v>
      </c>
      <c r="B27" s="82">
        <v>366</v>
      </c>
      <c r="C27" s="8" t="s">
        <v>334</v>
      </c>
      <c r="D27" s="14">
        <f t="shared" si="1"/>
        <v>0</v>
      </c>
      <c r="E27" s="140">
        <f>SUMIFS('Plan rashoda za unos u SAP'!$I$3:$I$501,'Plan rashoda za unos u SAP'!$C$3:$C$501,"=11",'Plan rashoda za unos u SAP'!$M$3:$M$501,"=366")+SUMIFS('ANALITIKA EU PROJEKATA'!$G$3:$G$501,'ANALITIKA EU PROJEKATA'!$A$3:$A$501,"=11",'ANALITIKA EU PROJEKATA'!$P$3:$P$501,"=366")</f>
        <v>0</v>
      </c>
      <c r="F27" s="140">
        <f>SUMIFS('Plan rashoda za unos u SAP'!$I$3:$I$501,'Plan rashoda za unos u SAP'!$C$3:$C$501,"=12",'Plan rashoda za unos u SAP'!$M$3:$M$501,"=366")+SUMIFS('ANALITIKA EU PROJEKATA'!$G$3:$G$501,'ANALITIKA EU PROJEKATA'!$A$3:$A$501,"=12",'ANALITIKA EU PROJEKATA'!$P$3:$P$501,"=366")</f>
        <v>0</v>
      </c>
      <c r="G27" s="140">
        <f>SUMIFS('Plan rashoda za unos u SAP'!$I$3:$I$501,'Plan rashoda za unos u SAP'!$C$3:$C$501,"=31",'Plan rashoda za unos u SAP'!$M$3:$M$501,"=366")+SUMIFS('ANALITIKA EU PROJEKATA'!$G$3:$G$501,'ANALITIKA EU PROJEKATA'!$A$3:$A$501,"=31",'ANALITIKA EU PROJEKATA'!$P$3:$P$501,"=366")</f>
        <v>0</v>
      </c>
      <c r="H27" s="140">
        <f>SUMIFS('Plan rashoda za unos u SAP'!$I$3:$I$501,'Plan rashoda za unos u SAP'!$C$3:$C$501,"=41",'Plan rashoda za unos u SAP'!$M$3:$M$501,"=366")+SUMIFS('ANALITIKA EU PROJEKATA'!$G$3:$G$501,'ANALITIKA EU PROJEKATA'!$A$3:$A$501,"=41",'ANALITIKA EU PROJEKATA'!$P$3:$P$501,"=366")</f>
        <v>0</v>
      </c>
      <c r="I27" s="140">
        <f>SUMIFS('Plan rashoda za unos u SAP'!$I$3:$I$501,'Plan rashoda za unos u SAP'!$C$3:$C$501,"=43",'Plan rashoda za unos u SAP'!$M$3:$M$501,"=366")+SUMIFS('ANALITIKA EU PROJEKATA'!$G$3:$G$501,'ANALITIKA EU PROJEKATA'!$A$3:$A$501,"=43",'ANALITIKA EU PROJEKATA'!$P$3:$P$501,"=366")</f>
        <v>0</v>
      </c>
      <c r="J27" s="140">
        <f>SUMIFS('Plan rashoda za unos u SAP'!$I$3:$I$501,'Plan rashoda za unos u SAP'!$C$3:$C$501,"=51",'Plan rashoda za unos u SAP'!$M$3:$M$501,"=366")+SUMIFS('ANALITIKA EU PROJEKATA'!$G$3:$G$501,'ANALITIKA EU PROJEKATA'!$A$3:$A$501,"=51",'ANALITIKA EU PROJEKATA'!$P$3:$P$501,"=366")</f>
        <v>0</v>
      </c>
      <c r="K27" s="140">
        <f>SUMIFS('Plan rashoda za unos u SAP'!$I$3:$I$501,'Plan rashoda za unos u SAP'!$C$3:$C$501,"=52",'Plan rashoda za unos u SAP'!$M$3:$M$501,"=366")+SUMIFS('ANALITIKA EU PROJEKATA'!$G$3:$G$501,'ANALITIKA EU PROJEKATA'!$A$3:$A$501,"=52",'ANALITIKA EU PROJEKATA'!$P$3:$P$501,"=366")</f>
        <v>0</v>
      </c>
      <c r="L27" s="140">
        <f>SUMIFS('Plan rashoda za unos u SAP'!$I$3:$I$501,'Plan rashoda za unos u SAP'!$C$3:$C$501,"=552",'Plan rashoda za unos u SAP'!$M$3:$M$501,"=366")+SUMIFS('ANALITIKA EU PROJEKATA'!$G$3:$G$501,'ANALITIKA EU PROJEKATA'!$A$3:$A$501,"=552",'ANALITIKA EU PROJEKATA'!$P$3:$P$501,"=366")</f>
        <v>0</v>
      </c>
      <c r="M27" s="140">
        <f>SUMIFS('Plan rashoda za unos u SAP'!$I$3:$I$501,'Plan rashoda za unos u SAP'!$C$3:$C$501,"=559",'Plan rashoda za unos u SAP'!$M$3:$M$501,"=366")+SUMIFS('ANALITIKA EU PROJEKATA'!$G$3:$G$501,'ANALITIKA EU PROJEKATA'!$A$3:$A$501,"=559",'ANALITIKA EU PROJEKATA'!$P$3:$P$501,"=366")</f>
        <v>0</v>
      </c>
      <c r="N27" s="140">
        <f>SUMIFS('Plan rashoda za unos u SAP'!$I$3:$I$501,'Plan rashoda za unos u SAP'!$C$3:$C$501,"=561",'Plan rashoda za unos u SAP'!$M$3:$M$501,"=366")+SUMIFS('ANALITIKA EU PROJEKATA'!$G$3:$G$501,'ANALITIKA EU PROJEKATA'!$A$3:$A$501,"=561",'ANALITIKA EU PROJEKATA'!$P$3:$P$501,"=366")</f>
        <v>0</v>
      </c>
      <c r="O27" s="140">
        <f>SUMIFS('Plan rashoda za unos u SAP'!$I$3:$I$501,'Plan rashoda za unos u SAP'!$C$3:$C$501,"=563",'Plan rashoda za unos u SAP'!$M$3:$M$501,"=366")+SUMIFS('ANALITIKA EU PROJEKATA'!$G$3:$G$501,'ANALITIKA EU PROJEKATA'!$A$3:$A$501,"=563",'ANALITIKA EU PROJEKATA'!$P$3:$P$501,"=366")</f>
        <v>0</v>
      </c>
      <c r="P27" s="140">
        <f>SUMIFS('Plan rashoda za unos u SAP'!$I$3:$I$501,'Plan rashoda za unos u SAP'!$C$3:$C$501,"=573",'Plan rashoda za unos u SAP'!$M$3:$M$501,"=366")+SUMIFS('ANALITIKA EU PROJEKATA'!$G$3:$G$501,'ANALITIKA EU PROJEKATA'!$A$3:$A$501,"=573",'ANALITIKA EU PROJEKATA'!$P$3:$P$501,"=366")</f>
        <v>0</v>
      </c>
      <c r="Q27" s="140">
        <f>SUMIFS('Plan rashoda za unos u SAP'!$I$3:$I$501,'Plan rashoda za unos u SAP'!$C$3:$C$501,"=575",'Plan rashoda za unos u SAP'!$M$3:$M$501,"=366")+SUMIFS('ANALITIKA EU PROJEKATA'!$G$3:$G$501,'ANALITIKA EU PROJEKATA'!$A$3:$A$501,"=575",'ANALITIKA EU PROJEKATA'!$P$3:$P$501,"=366")</f>
        <v>0</v>
      </c>
      <c r="R27" s="140">
        <f>SUMIFS('Plan rashoda za unos u SAP'!$I$3:$I$501,'Plan rashoda za unos u SAP'!$C$3:$C$501,"=576",'Plan rashoda za unos u SAP'!$M$3:$M$501,"=366")+SUMIFS('ANALITIKA EU PROJEKATA'!$G$3:$G$501,'ANALITIKA EU PROJEKATA'!$A$3:$A$501,"=576",'ANALITIKA EU PROJEKATA'!$P$3:$P$501,"=366")</f>
        <v>0</v>
      </c>
      <c r="S27" s="140">
        <f>SUMIFS('Plan rashoda za unos u SAP'!$I$3:$I$501,'Plan rashoda za unos u SAP'!$C$3:$C$501,"=61",'Plan rashoda za unos u SAP'!$M$3:$M$501,"=366")+SUMIFS('ANALITIKA EU PROJEKATA'!$G$3:$G$501,'ANALITIKA EU PROJEKATA'!$A$3:$A$501,"=61",'ANALITIKA EU PROJEKATA'!$P$3:$P$501,"=366")</f>
        <v>0</v>
      </c>
      <c r="T27" s="140">
        <f>SUMIFS('Plan rashoda za unos u SAP'!$I$3:$I$501,'Plan rashoda za unos u SAP'!$C$3:$C$501,"=63",'Plan rashoda za unos u SAP'!$M$3:$M$501,"=366")+SUMIFS('ANALITIKA EU PROJEKATA'!$G$3:$G$501,'ANALITIKA EU PROJEKATA'!$A$3:$A$501,"=63",'ANALITIKA EU PROJEKATA'!$P$3:$P$501,"=366")</f>
        <v>0</v>
      </c>
      <c r="U27" s="140">
        <f>SUMIFS('Plan rashoda za unos u SAP'!$I$3:$I$501,'Plan rashoda za unos u SAP'!$C$3:$C$501,"=71",'Plan rashoda za unos u SAP'!$M$3:$M$501,"=366")+SUMIFS('ANALITIKA EU PROJEKATA'!$G$3:$G$501,'ANALITIKA EU PROJEKATA'!$A$3:$A$501,"=71",'ANALITIKA EU PROJEKATA'!$P$3:$P$501,"=366")</f>
        <v>0</v>
      </c>
      <c r="V27" s="140">
        <f>SUMIFS('Plan rashoda za unos u SAP'!$I$3:$I$501,'Plan rashoda za unos u SAP'!$C$3:$C$501,"=81",'Plan rashoda za unos u SAP'!$M$3:$M$501,"=366")+SUMIFS('ANALITIKA EU PROJEKATA'!$G$3:$G$501,'ANALITIKA EU PROJEKATA'!$A$3:$A$501,"=81",'ANALITIKA EU PROJEKATA'!$P$3:$P$501,"=366")</f>
        <v>0</v>
      </c>
      <c r="W27" s="140">
        <f>SUMIFS('Plan rashoda za unos u SAP'!$I$3:$I$501,'Plan rashoda za unos u SAP'!$C$3:$C$501,"=83",'Plan rashoda za unos u SAP'!$M$3:$M$501,"=366")+SUMIFS('ANALITIKA EU PROJEKATA'!$G$3:$G$501,'ANALITIKA EU PROJEKATA'!$A$3:$A$501,"=83",'ANALITIKA EU PROJEKATA'!$P$3:$P$501,"=366")</f>
        <v>0</v>
      </c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  <c r="CS27" s="72"/>
      <c r="CT27" s="72"/>
      <c r="CU27" s="72"/>
      <c r="CV27" s="72"/>
      <c r="CW27" s="72"/>
      <c r="CX27" s="72"/>
      <c r="CY27" s="72"/>
      <c r="CZ27" s="72"/>
      <c r="DA27" s="72"/>
      <c r="DB27" s="72"/>
      <c r="DC27" s="72"/>
      <c r="DD27" s="72"/>
      <c r="DE27" s="72"/>
      <c r="DF27" s="72"/>
      <c r="DG27" s="72"/>
      <c r="DH27" s="72"/>
      <c r="DI27" s="72"/>
      <c r="DJ27" s="72"/>
      <c r="DK27" s="72"/>
      <c r="DL27" s="72"/>
      <c r="DM27" s="72"/>
      <c r="DN27" s="72"/>
      <c r="DO27" s="72"/>
      <c r="DP27" s="72"/>
      <c r="DQ27" s="72"/>
      <c r="DR27" s="72"/>
      <c r="DS27" s="72"/>
      <c r="DT27" s="72"/>
      <c r="DU27" s="72"/>
      <c r="DV27" s="72"/>
      <c r="DW27" s="72"/>
      <c r="DX27" s="72"/>
      <c r="DY27" s="72"/>
      <c r="DZ27" s="72"/>
      <c r="EA27" s="72"/>
      <c r="EB27" s="72"/>
      <c r="EC27" s="72"/>
      <c r="ED27" s="72"/>
      <c r="EE27" s="72"/>
      <c r="EF27" s="72"/>
      <c r="EG27" s="72"/>
      <c r="EH27" s="72"/>
      <c r="EI27" s="72"/>
      <c r="EJ27" s="72"/>
      <c r="EK27" s="72"/>
      <c r="EL27" s="72"/>
      <c r="EM27" s="72"/>
      <c r="EN27" s="72"/>
      <c r="EO27" s="72"/>
      <c r="EP27" s="72"/>
      <c r="EQ27" s="72"/>
      <c r="ER27" s="72"/>
      <c r="ES27" s="72"/>
      <c r="ET27" s="72"/>
      <c r="EU27" s="72"/>
      <c r="EV27" s="72"/>
      <c r="EW27" s="72"/>
      <c r="EX27" s="72"/>
      <c r="EY27" s="72"/>
      <c r="EZ27" s="72"/>
      <c r="FA27" s="72"/>
      <c r="FB27" s="72"/>
      <c r="FC27" s="72"/>
      <c r="FD27" s="72"/>
      <c r="FE27" s="72"/>
      <c r="FF27" s="72"/>
      <c r="FG27" s="72"/>
      <c r="FH27" s="72"/>
      <c r="FI27" s="72"/>
      <c r="FJ27" s="72"/>
      <c r="FK27" s="72"/>
      <c r="FL27" s="72"/>
      <c r="FM27" s="72"/>
      <c r="FN27" s="72"/>
      <c r="FO27" s="72"/>
      <c r="FP27" s="72"/>
      <c r="FQ27" s="72"/>
      <c r="FR27" s="72"/>
      <c r="FS27" s="72"/>
      <c r="FT27" s="72"/>
      <c r="FU27" s="72"/>
      <c r="FV27" s="72"/>
      <c r="FW27" s="72"/>
      <c r="FX27" s="72"/>
      <c r="FY27" s="72"/>
      <c r="FZ27" s="72"/>
      <c r="GA27" s="72"/>
      <c r="GB27" s="72"/>
      <c r="GC27" s="72"/>
      <c r="GD27" s="72"/>
      <c r="GE27" s="72"/>
      <c r="GF27" s="72"/>
      <c r="GG27" s="72"/>
      <c r="GH27" s="72"/>
      <c r="GI27" s="72"/>
      <c r="GJ27" s="72"/>
      <c r="GK27" s="72"/>
      <c r="GL27" s="73"/>
      <c r="GM27" s="73"/>
      <c r="GN27" s="73"/>
      <c r="GO27" s="73"/>
      <c r="GP27" s="73"/>
      <c r="GQ27" s="73"/>
      <c r="GR27" s="73"/>
      <c r="GS27" s="73"/>
      <c r="GT27" s="73"/>
      <c r="GU27" s="73"/>
      <c r="GV27" s="73"/>
      <c r="GW27" s="73"/>
      <c r="GX27" s="73"/>
      <c r="GY27" s="73"/>
      <c r="GZ27" s="73"/>
      <c r="HA27" s="73"/>
      <c r="HB27" s="73"/>
      <c r="HC27" s="73"/>
      <c r="HD27" s="73"/>
      <c r="HE27" s="73"/>
      <c r="HF27" s="73"/>
      <c r="HG27" s="73"/>
      <c r="HH27" s="73"/>
      <c r="HI27" s="73"/>
      <c r="HJ27" s="73"/>
      <c r="HK27" s="73"/>
      <c r="HL27" s="73"/>
      <c r="HM27" s="73"/>
      <c r="HN27" s="73"/>
      <c r="HO27" s="73"/>
      <c r="HP27" s="73"/>
      <c r="HQ27" s="73"/>
      <c r="HR27" s="73"/>
      <c r="HS27" s="73"/>
      <c r="HT27" s="73"/>
      <c r="HU27" s="73"/>
      <c r="HV27" s="73"/>
      <c r="HW27" s="73"/>
      <c r="HX27" s="73"/>
      <c r="HY27" s="73"/>
      <c r="HZ27" s="73"/>
      <c r="IA27" s="73"/>
      <c r="IB27" s="73"/>
      <c r="IC27" s="73"/>
      <c r="ID27" s="73"/>
      <c r="IE27" s="73"/>
      <c r="IF27" s="73"/>
      <c r="IG27" s="73"/>
      <c r="IH27" s="73"/>
      <c r="II27" s="73"/>
      <c r="IJ27" s="73"/>
      <c r="IK27" s="73"/>
      <c r="IL27" s="73"/>
      <c r="IM27" s="73"/>
      <c r="IN27" s="73"/>
      <c r="IO27" s="73"/>
      <c r="IP27" s="73"/>
      <c r="IQ27" s="73"/>
      <c r="IR27" s="73"/>
      <c r="IS27" s="73"/>
      <c r="IT27" s="73"/>
      <c r="IU27" s="73"/>
      <c r="IV27" s="73"/>
      <c r="IW27" s="73"/>
      <c r="IX27" s="73"/>
      <c r="IY27" s="73"/>
      <c r="IZ27" s="73"/>
      <c r="JA27" s="73"/>
      <c r="JB27" s="73"/>
      <c r="JC27" s="73"/>
    </row>
    <row r="28" spans="1:263" s="5" customFormat="1" ht="12.6" customHeight="1">
      <c r="A28" s="22">
        <v>2021</v>
      </c>
      <c r="B28" s="82">
        <v>368</v>
      </c>
      <c r="C28" s="8" t="s">
        <v>288</v>
      </c>
      <c r="D28" s="14">
        <f t="shared" si="1"/>
        <v>0</v>
      </c>
      <c r="E28" s="140">
        <f>SUMIFS('Plan rashoda za unos u SAP'!$I$3:$I$501,'Plan rashoda za unos u SAP'!$C$3:$C$501,"=11",'Plan rashoda za unos u SAP'!$M$3:$M$501,"=368")+SUMIFS('ANALITIKA EU PROJEKATA'!$G$3:$G$501,'ANALITIKA EU PROJEKATA'!$A$3:$A$501,"=11",'ANALITIKA EU PROJEKATA'!$P$3:$P$501,"=368")</f>
        <v>0</v>
      </c>
      <c r="F28" s="140">
        <f>SUMIFS('Plan rashoda za unos u SAP'!$I$3:$I$501,'Plan rashoda za unos u SAP'!$C$3:$C$501,"=12",'Plan rashoda za unos u SAP'!$M$3:$M$501,"=368")+SUMIFS('ANALITIKA EU PROJEKATA'!$G$3:$G$501,'ANALITIKA EU PROJEKATA'!$A$3:$A$501,"=12",'ANALITIKA EU PROJEKATA'!$P$3:$P$501,"=368")</f>
        <v>0</v>
      </c>
      <c r="G28" s="140">
        <f>SUMIFS('Plan rashoda za unos u SAP'!$I$3:$I$501,'Plan rashoda za unos u SAP'!$C$3:$C$501,"=31",'Plan rashoda za unos u SAP'!$M$3:$M$501,"=368")+SUMIFS('ANALITIKA EU PROJEKATA'!$G$3:$G$501,'ANALITIKA EU PROJEKATA'!$A$3:$A$501,"=31",'ANALITIKA EU PROJEKATA'!$P$3:$P$501,"=368")</f>
        <v>0</v>
      </c>
      <c r="H28" s="140">
        <f>SUMIFS('Plan rashoda za unos u SAP'!$I$3:$I$501,'Plan rashoda za unos u SAP'!$C$3:$C$501,"=41",'Plan rashoda za unos u SAP'!$M$3:$M$501,"=368")+SUMIFS('ANALITIKA EU PROJEKATA'!$G$3:$G$501,'ANALITIKA EU PROJEKATA'!$A$3:$A$501,"=41",'ANALITIKA EU PROJEKATA'!$P$3:$P$501,"=368")</f>
        <v>0</v>
      </c>
      <c r="I28" s="140">
        <f>SUMIFS('Plan rashoda za unos u SAP'!$I$3:$I$501,'Plan rashoda za unos u SAP'!$C$3:$C$501,"=43",'Plan rashoda za unos u SAP'!$M$3:$M$501,"=368")+SUMIFS('ANALITIKA EU PROJEKATA'!$G$3:$G$501,'ANALITIKA EU PROJEKATA'!$A$3:$A$501,"=43",'ANALITIKA EU PROJEKATA'!$P$3:$P$501,"=368")</f>
        <v>0</v>
      </c>
      <c r="J28" s="140">
        <f>SUMIFS('Plan rashoda za unos u SAP'!$I$3:$I$501,'Plan rashoda za unos u SAP'!$C$3:$C$501,"=51",'Plan rashoda za unos u SAP'!$M$3:$M$501,"=368")+SUMIFS('ANALITIKA EU PROJEKATA'!$G$3:$G$501,'ANALITIKA EU PROJEKATA'!$A$3:$A$501,"=51",'ANALITIKA EU PROJEKATA'!$P$3:$P$501,"=368")</f>
        <v>0</v>
      </c>
      <c r="K28" s="140">
        <f>SUMIFS('Plan rashoda za unos u SAP'!$I$3:$I$501,'Plan rashoda za unos u SAP'!$C$3:$C$501,"=52",'Plan rashoda za unos u SAP'!$M$3:$M$501,"=368")+SUMIFS('ANALITIKA EU PROJEKATA'!$G$3:$G$501,'ANALITIKA EU PROJEKATA'!$A$3:$A$501,"=52",'ANALITIKA EU PROJEKATA'!$P$3:$P$501,"=368")</f>
        <v>0</v>
      </c>
      <c r="L28" s="140">
        <f>SUMIFS('Plan rashoda za unos u SAP'!$I$3:$I$501,'Plan rashoda za unos u SAP'!$C$3:$C$501,"=552",'Plan rashoda za unos u SAP'!$M$3:$M$501,"=368")+SUMIFS('ANALITIKA EU PROJEKATA'!$G$3:$G$501,'ANALITIKA EU PROJEKATA'!$A$3:$A$501,"=552",'ANALITIKA EU PROJEKATA'!$P$3:$P$501,"=368")</f>
        <v>0</v>
      </c>
      <c r="M28" s="140">
        <f>SUMIFS('Plan rashoda za unos u SAP'!$I$3:$I$501,'Plan rashoda za unos u SAP'!$C$3:$C$501,"=559",'Plan rashoda za unos u SAP'!$M$3:$M$501,"=368")+SUMIFS('ANALITIKA EU PROJEKATA'!$G$3:$G$501,'ANALITIKA EU PROJEKATA'!$A$3:$A$501,"=559",'ANALITIKA EU PROJEKATA'!$P$3:$P$501,"=368")</f>
        <v>0</v>
      </c>
      <c r="N28" s="140">
        <f>SUMIFS('Plan rashoda za unos u SAP'!$I$3:$I$501,'Plan rashoda za unos u SAP'!$C$3:$C$501,"=561",'Plan rashoda za unos u SAP'!$M$3:$M$501,"=368")+SUMIFS('ANALITIKA EU PROJEKATA'!$G$3:$G$501,'ANALITIKA EU PROJEKATA'!$A$3:$A$501,"=561",'ANALITIKA EU PROJEKATA'!$P$3:$P$501,"=368")</f>
        <v>0</v>
      </c>
      <c r="O28" s="140">
        <f>SUMIFS('Plan rashoda za unos u SAP'!$I$3:$I$501,'Plan rashoda za unos u SAP'!$C$3:$C$501,"=563",'Plan rashoda za unos u SAP'!$M$3:$M$501,"=368")+SUMIFS('ANALITIKA EU PROJEKATA'!$G$3:$G$501,'ANALITIKA EU PROJEKATA'!$A$3:$A$501,"=563",'ANALITIKA EU PROJEKATA'!$P$3:$P$501,"=368")</f>
        <v>0</v>
      </c>
      <c r="P28" s="140">
        <f>SUMIFS('Plan rashoda za unos u SAP'!$I$3:$I$501,'Plan rashoda za unos u SAP'!$C$3:$C$501,"=573",'Plan rashoda za unos u SAP'!$M$3:$M$501,"=368")+SUMIFS('ANALITIKA EU PROJEKATA'!$G$3:$G$501,'ANALITIKA EU PROJEKATA'!$A$3:$A$501,"=573",'ANALITIKA EU PROJEKATA'!$P$3:$P$501,"=368")</f>
        <v>0</v>
      </c>
      <c r="Q28" s="140">
        <f>SUMIFS('Plan rashoda za unos u SAP'!$I$3:$I$501,'Plan rashoda za unos u SAP'!$C$3:$C$501,"=575",'Plan rashoda za unos u SAP'!$M$3:$M$501,"=368")+SUMIFS('ANALITIKA EU PROJEKATA'!$G$3:$G$501,'ANALITIKA EU PROJEKATA'!$A$3:$A$501,"=575",'ANALITIKA EU PROJEKATA'!$P$3:$P$501,"=368")</f>
        <v>0</v>
      </c>
      <c r="R28" s="140">
        <f>SUMIFS('Plan rashoda za unos u SAP'!$I$3:$I$501,'Plan rashoda za unos u SAP'!$C$3:$C$501,"=576",'Plan rashoda za unos u SAP'!$M$3:$M$501,"=368")+SUMIFS('ANALITIKA EU PROJEKATA'!$G$3:$G$501,'ANALITIKA EU PROJEKATA'!$A$3:$A$501,"=576",'ANALITIKA EU PROJEKATA'!$P$3:$P$501,"=368")</f>
        <v>0</v>
      </c>
      <c r="S28" s="140">
        <f>SUMIFS('Plan rashoda za unos u SAP'!$I$3:$I$501,'Plan rashoda za unos u SAP'!$C$3:$C$501,"=61",'Plan rashoda za unos u SAP'!$M$3:$M$501,"=368")+SUMIFS('ANALITIKA EU PROJEKATA'!$G$3:$G$501,'ANALITIKA EU PROJEKATA'!$A$3:$A$501,"=61",'ANALITIKA EU PROJEKATA'!$P$3:$P$501,"=368")</f>
        <v>0</v>
      </c>
      <c r="T28" s="140">
        <f>SUMIFS('Plan rashoda za unos u SAP'!$I$3:$I$501,'Plan rashoda za unos u SAP'!$C$3:$C$501,"=63",'Plan rashoda za unos u SAP'!$M$3:$M$501,"=368")+SUMIFS('ANALITIKA EU PROJEKATA'!$G$3:$G$501,'ANALITIKA EU PROJEKATA'!$A$3:$A$501,"=63",'ANALITIKA EU PROJEKATA'!$P$3:$P$501,"=368")</f>
        <v>0</v>
      </c>
      <c r="U28" s="140">
        <f>SUMIFS('Plan rashoda za unos u SAP'!$I$3:$I$501,'Plan rashoda za unos u SAP'!$C$3:$C$501,"=71",'Plan rashoda za unos u SAP'!$M$3:$M$501,"=368")+SUMIFS('ANALITIKA EU PROJEKATA'!$G$3:$G$501,'ANALITIKA EU PROJEKATA'!$A$3:$A$501,"=71",'ANALITIKA EU PROJEKATA'!$P$3:$P$501,"=368")</f>
        <v>0</v>
      </c>
      <c r="V28" s="140">
        <f>SUMIFS('Plan rashoda za unos u SAP'!$I$3:$I$501,'Plan rashoda za unos u SAP'!$C$3:$C$501,"=81",'Plan rashoda za unos u SAP'!$M$3:$M$501,"=368")+SUMIFS('ANALITIKA EU PROJEKATA'!$G$3:$G$501,'ANALITIKA EU PROJEKATA'!$A$3:$A$501,"=81",'ANALITIKA EU PROJEKATA'!$P$3:$P$501,"=368")</f>
        <v>0</v>
      </c>
      <c r="W28" s="140">
        <f>SUMIFS('Plan rashoda za unos u SAP'!$I$3:$I$501,'Plan rashoda za unos u SAP'!$C$3:$C$501,"=83",'Plan rashoda za unos u SAP'!$M$3:$M$501,"=368")+SUMIFS('ANALITIKA EU PROJEKATA'!$G$3:$G$501,'ANALITIKA EU PROJEKATA'!$A$3:$A$501,"=83",'ANALITIKA EU PROJEKATA'!$P$3:$P$501,"=368")</f>
        <v>0</v>
      </c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72"/>
      <c r="CK28" s="72"/>
      <c r="CL28" s="72"/>
      <c r="CM28" s="72"/>
      <c r="CN28" s="72"/>
      <c r="CO28" s="72"/>
      <c r="CP28" s="72"/>
      <c r="CQ28" s="72"/>
      <c r="CR28" s="72"/>
      <c r="CS28" s="72"/>
      <c r="CT28" s="72"/>
      <c r="CU28" s="72"/>
      <c r="CV28" s="72"/>
      <c r="CW28" s="72"/>
      <c r="CX28" s="72"/>
      <c r="CY28" s="72"/>
      <c r="CZ28" s="72"/>
      <c r="DA28" s="72"/>
      <c r="DB28" s="72"/>
      <c r="DC28" s="72"/>
      <c r="DD28" s="72"/>
      <c r="DE28" s="72"/>
      <c r="DF28" s="72"/>
      <c r="DG28" s="72"/>
      <c r="DH28" s="72"/>
      <c r="DI28" s="72"/>
      <c r="DJ28" s="72"/>
      <c r="DK28" s="72"/>
      <c r="DL28" s="72"/>
      <c r="DM28" s="72"/>
      <c r="DN28" s="72"/>
      <c r="DO28" s="72"/>
      <c r="DP28" s="72"/>
      <c r="DQ28" s="72"/>
      <c r="DR28" s="72"/>
      <c r="DS28" s="72"/>
      <c r="DT28" s="72"/>
      <c r="DU28" s="72"/>
      <c r="DV28" s="72"/>
      <c r="DW28" s="72"/>
      <c r="DX28" s="72"/>
      <c r="DY28" s="72"/>
      <c r="DZ28" s="72"/>
      <c r="EA28" s="72"/>
      <c r="EB28" s="72"/>
      <c r="EC28" s="72"/>
      <c r="ED28" s="72"/>
      <c r="EE28" s="72"/>
      <c r="EF28" s="72"/>
      <c r="EG28" s="72"/>
      <c r="EH28" s="72"/>
      <c r="EI28" s="72"/>
      <c r="EJ28" s="72"/>
      <c r="EK28" s="72"/>
      <c r="EL28" s="72"/>
      <c r="EM28" s="72"/>
      <c r="EN28" s="72"/>
      <c r="EO28" s="72"/>
      <c r="EP28" s="72"/>
      <c r="EQ28" s="72"/>
      <c r="ER28" s="72"/>
      <c r="ES28" s="72"/>
      <c r="ET28" s="72"/>
      <c r="EU28" s="72"/>
      <c r="EV28" s="72"/>
      <c r="EW28" s="72"/>
      <c r="EX28" s="72"/>
      <c r="EY28" s="72"/>
      <c r="EZ28" s="72"/>
      <c r="FA28" s="72"/>
      <c r="FB28" s="72"/>
      <c r="FC28" s="72"/>
      <c r="FD28" s="72"/>
      <c r="FE28" s="72"/>
      <c r="FF28" s="72"/>
      <c r="FG28" s="72"/>
      <c r="FH28" s="72"/>
      <c r="FI28" s="72"/>
      <c r="FJ28" s="72"/>
      <c r="FK28" s="72"/>
      <c r="FL28" s="72"/>
      <c r="FM28" s="72"/>
      <c r="FN28" s="72"/>
      <c r="FO28" s="72"/>
      <c r="FP28" s="72"/>
      <c r="FQ28" s="72"/>
      <c r="FR28" s="72"/>
      <c r="FS28" s="72"/>
      <c r="FT28" s="72"/>
      <c r="FU28" s="72"/>
      <c r="FV28" s="72"/>
      <c r="FW28" s="72"/>
      <c r="FX28" s="72"/>
      <c r="FY28" s="72"/>
      <c r="FZ28" s="72"/>
      <c r="GA28" s="72"/>
      <c r="GB28" s="72"/>
      <c r="GC28" s="72"/>
      <c r="GD28" s="72"/>
      <c r="GE28" s="72"/>
      <c r="GF28" s="72"/>
      <c r="GG28" s="72"/>
      <c r="GH28" s="72"/>
      <c r="GI28" s="72"/>
      <c r="GJ28" s="72"/>
      <c r="GK28" s="72"/>
      <c r="GL28" s="73"/>
      <c r="GM28" s="73"/>
      <c r="GN28" s="73"/>
      <c r="GO28" s="73"/>
      <c r="GP28" s="73"/>
      <c r="GQ28" s="73"/>
      <c r="GR28" s="73"/>
      <c r="GS28" s="73"/>
      <c r="GT28" s="73"/>
      <c r="GU28" s="73"/>
      <c r="GV28" s="73"/>
      <c r="GW28" s="73"/>
      <c r="GX28" s="73"/>
      <c r="GY28" s="73"/>
      <c r="GZ28" s="73"/>
      <c r="HA28" s="73"/>
      <c r="HB28" s="73"/>
      <c r="HC28" s="73"/>
      <c r="HD28" s="73"/>
      <c r="HE28" s="73"/>
      <c r="HF28" s="73"/>
      <c r="HG28" s="73"/>
      <c r="HH28" s="73"/>
      <c r="HI28" s="73"/>
      <c r="HJ28" s="73"/>
      <c r="HK28" s="73"/>
      <c r="HL28" s="73"/>
      <c r="HM28" s="73"/>
      <c r="HN28" s="73"/>
      <c r="HO28" s="73"/>
      <c r="HP28" s="73"/>
      <c r="HQ28" s="73"/>
      <c r="HR28" s="73"/>
      <c r="HS28" s="73"/>
      <c r="HT28" s="73"/>
      <c r="HU28" s="73"/>
      <c r="HV28" s="73"/>
      <c r="HW28" s="73"/>
      <c r="HX28" s="73"/>
      <c r="HY28" s="73"/>
      <c r="HZ28" s="73"/>
      <c r="IA28" s="73"/>
      <c r="IB28" s="73"/>
      <c r="IC28" s="73"/>
      <c r="ID28" s="73"/>
      <c r="IE28" s="73"/>
      <c r="IF28" s="73"/>
      <c r="IG28" s="73"/>
      <c r="IH28" s="73"/>
      <c r="II28" s="73"/>
      <c r="IJ28" s="73"/>
      <c r="IK28" s="73"/>
      <c r="IL28" s="73"/>
      <c r="IM28" s="73"/>
      <c r="IN28" s="73"/>
      <c r="IO28" s="73"/>
      <c r="IP28" s="73"/>
      <c r="IQ28" s="73"/>
      <c r="IR28" s="73"/>
      <c r="IS28" s="73"/>
      <c r="IT28" s="73"/>
      <c r="IU28" s="73"/>
      <c r="IV28" s="73"/>
      <c r="IW28" s="73"/>
      <c r="IX28" s="73"/>
      <c r="IY28" s="73"/>
      <c r="IZ28" s="73"/>
      <c r="JA28" s="73"/>
      <c r="JB28" s="73"/>
      <c r="JC28" s="73"/>
    </row>
    <row r="29" spans="1:263" s="5" customFormat="1" ht="12.6" customHeight="1">
      <c r="A29" s="22">
        <v>2021</v>
      </c>
      <c r="B29" s="83">
        <v>369</v>
      </c>
      <c r="C29" s="8" t="s">
        <v>41</v>
      </c>
      <c r="D29" s="14">
        <f t="shared" si="1"/>
        <v>200000</v>
      </c>
      <c r="E29" s="140">
        <f>SUMIFS('Plan rashoda za unos u SAP'!$I$3:$I$501,'Plan rashoda za unos u SAP'!$C$3:$C$501,"=11",'Plan rashoda za unos u SAP'!$M$3:$M$501,"=369")+SUMIFS('ANALITIKA EU PROJEKATA'!$G$3:$G$501,'ANALITIKA EU PROJEKATA'!$A$3:$A$501,"=11",'ANALITIKA EU PROJEKATA'!$P$3:$P$501,"=369")</f>
        <v>0</v>
      </c>
      <c r="F29" s="140">
        <f>SUMIFS('Plan rashoda za unos u SAP'!$I$3:$I$501,'Plan rashoda za unos u SAP'!$C$3:$C$501,"=12",'Plan rashoda za unos u SAP'!$M$3:$M$501,"=369")+SUMIFS('ANALITIKA EU PROJEKATA'!$G$3:$G$501,'ANALITIKA EU PROJEKATA'!$A$3:$A$501,"=12",'ANALITIKA EU PROJEKATA'!$P$3:$P$501,"=369")</f>
        <v>0</v>
      </c>
      <c r="G29" s="140">
        <f>SUMIFS('Plan rashoda za unos u SAP'!$I$3:$I$501,'Plan rashoda za unos u SAP'!$C$3:$C$501,"=31",'Plan rashoda za unos u SAP'!$M$3:$M$501,"=369")+SUMIFS('ANALITIKA EU PROJEKATA'!$G$3:$G$501,'ANALITIKA EU PROJEKATA'!$A$3:$A$501,"=31",'ANALITIKA EU PROJEKATA'!$P$3:$P$501,"=369")</f>
        <v>0</v>
      </c>
      <c r="H29" s="140">
        <f>SUMIFS('Plan rashoda za unos u SAP'!$I$3:$I$501,'Plan rashoda za unos u SAP'!$C$3:$C$501,"=41",'Plan rashoda za unos u SAP'!$M$3:$M$501,"=369")+SUMIFS('ANALITIKA EU PROJEKATA'!$G$3:$G$501,'ANALITIKA EU PROJEKATA'!$A$3:$A$501,"=41",'ANALITIKA EU PROJEKATA'!$P$3:$P$501,"=369")</f>
        <v>0</v>
      </c>
      <c r="I29" s="140">
        <f>SUMIFS('Plan rashoda za unos u SAP'!$I$3:$I$501,'Plan rashoda za unos u SAP'!$C$3:$C$501,"=43",'Plan rashoda za unos u SAP'!$M$3:$M$501,"=369")+SUMIFS('ANALITIKA EU PROJEKATA'!$G$3:$G$501,'ANALITIKA EU PROJEKATA'!$A$3:$A$501,"=43",'ANALITIKA EU PROJEKATA'!$P$3:$P$501,"=369")</f>
        <v>0</v>
      </c>
      <c r="J29" s="140">
        <f>SUMIFS('Plan rashoda za unos u SAP'!$I$3:$I$501,'Plan rashoda za unos u SAP'!$C$3:$C$501,"=51",'Plan rashoda za unos u SAP'!$M$3:$M$501,"=369")+SUMIFS('ANALITIKA EU PROJEKATA'!$G$3:$G$501,'ANALITIKA EU PROJEKATA'!$A$3:$A$501,"=51",'ANALITIKA EU PROJEKATA'!$P$3:$P$501,"=369")</f>
        <v>0</v>
      </c>
      <c r="K29" s="140">
        <f>SUMIFS('Plan rashoda za unos u SAP'!$I$3:$I$501,'Plan rashoda za unos u SAP'!$C$3:$C$501,"=52",'Plan rashoda za unos u SAP'!$M$3:$M$501,"=369")+SUMIFS('ANALITIKA EU PROJEKATA'!$G$3:$G$501,'ANALITIKA EU PROJEKATA'!$A$3:$A$501,"=52",'ANALITIKA EU PROJEKATA'!$P$3:$P$501,"=369")</f>
        <v>200000</v>
      </c>
      <c r="L29" s="140">
        <f>SUMIFS('Plan rashoda za unos u SAP'!$I$3:$I$501,'Plan rashoda za unos u SAP'!$C$3:$C$501,"=552",'Plan rashoda za unos u SAP'!$M$3:$M$501,"=369")+SUMIFS('ANALITIKA EU PROJEKATA'!$G$3:$G$501,'ANALITIKA EU PROJEKATA'!$A$3:$A$501,"=552",'ANALITIKA EU PROJEKATA'!$P$3:$P$501,"=369")</f>
        <v>0</v>
      </c>
      <c r="M29" s="140">
        <f>SUMIFS('Plan rashoda za unos u SAP'!$I$3:$I$501,'Plan rashoda za unos u SAP'!$C$3:$C$501,"=559",'Plan rashoda za unos u SAP'!$M$3:$M$501,"=369")+SUMIFS('ANALITIKA EU PROJEKATA'!$G$3:$G$501,'ANALITIKA EU PROJEKATA'!$A$3:$A$501,"=559",'ANALITIKA EU PROJEKATA'!$P$3:$P$501,"=369")</f>
        <v>0</v>
      </c>
      <c r="N29" s="140">
        <f>SUMIFS('Plan rashoda za unos u SAP'!$I$3:$I$501,'Plan rashoda za unos u SAP'!$C$3:$C$501,"=561",'Plan rashoda za unos u SAP'!$M$3:$M$501,"=369")+SUMIFS('ANALITIKA EU PROJEKATA'!$G$3:$G$501,'ANALITIKA EU PROJEKATA'!$A$3:$A$501,"=561",'ANALITIKA EU PROJEKATA'!$P$3:$P$501,"=369")</f>
        <v>0</v>
      </c>
      <c r="O29" s="140">
        <f>SUMIFS('Plan rashoda za unos u SAP'!$I$3:$I$501,'Plan rashoda za unos u SAP'!$C$3:$C$501,"=563",'Plan rashoda za unos u SAP'!$M$3:$M$501,"=369")+SUMIFS('ANALITIKA EU PROJEKATA'!$G$3:$G$501,'ANALITIKA EU PROJEKATA'!$A$3:$A$501,"=563",'ANALITIKA EU PROJEKATA'!$P$3:$P$501,"=369")</f>
        <v>0</v>
      </c>
      <c r="P29" s="140">
        <f>SUMIFS('Plan rashoda za unos u SAP'!$I$3:$I$501,'Plan rashoda za unos u SAP'!$C$3:$C$501,"=573",'Plan rashoda za unos u SAP'!$M$3:$M$501,"=369")+SUMIFS('ANALITIKA EU PROJEKATA'!$G$3:$G$501,'ANALITIKA EU PROJEKATA'!$A$3:$A$501,"=573",'ANALITIKA EU PROJEKATA'!$P$3:$P$501,"=369")</f>
        <v>0</v>
      </c>
      <c r="Q29" s="140">
        <f>SUMIFS('Plan rashoda za unos u SAP'!$I$3:$I$501,'Plan rashoda za unos u SAP'!$C$3:$C$501,"=575",'Plan rashoda za unos u SAP'!$M$3:$M$501,"=369")+SUMIFS('ANALITIKA EU PROJEKATA'!$G$3:$G$501,'ANALITIKA EU PROJEKATA'!$A$3:$A$501,"=575",'ANALITIKA EU PROJEKATA'!$P$3:$P$501,"=369")</f>
        <v>0</v>
      </c>
      <c r="R29" s="140">
        <f>SUMIFS('Plan rashoda za unos u SAP'!$I$3:$I$501,'Plan rashoda za unos u SAP'!$C$3:$C$501,"=576",'Plan rashoda za unos u SAP'!$M$3:$M$501,"=369")+SUMIFS('ANALITIKA EU PROJEKATA'!$G$3:$G$501,'ANALITIKA EU PROJEKATA'!$A$3:$A$501,"=576",'ANALITIKA EU PROJEKATA'!$P$3:$P$501,"=369")</f>
        <v>0</v>
      </c>
      <c r="S29" s="140">
        <f>SUMIFS('Plan rashoda za unos u SAP'!$I$3:$I$501,'Plan rashoda za unos u SAP'!$C$3:$C$501,"=61",'Plan rashoda za unos u SAP'!$M$3:$M$501,"=369")+SUMIFS('ANALITIKA EU PROJEKATA'!$G$3:$G$501,'ANALITIKA EU PROJEKATA'!$A$3:$A$501,"=61",'ANALITIKA EU PROJEKATA'!$P$3:$P$501,"=369")</f>
        <v>0</v>
      </c>
      <c r="T29" s="140">
        <f>SUMIFS('Plan rashoda za unos u SAP'!$I$3:$I$501,'Plan rashoda za unos u SAP'!$C$3:$C$501,"=63",'Plan rashoda za unos u SAP'!$M$3:$M$501,"=369")+SUMIFS('ANALITIKA EU PROJEKATA'!$G$3:$G$501,'ANALITIKA EU PROJEKATA'!$A$3:$A$501,"=63",'ANALITIKA EU PROJEKATA'!$P$3:$P$501,"=369")</f>
        <v>0</v>
      </c>
      <c r="U29" s="140">
        <f>SUMIFS('Plan rashoda za unos u SAP'!$I$3:$I$501,'Plan rashoda za unos u SAP'!$C$3:$C$501,"=71",'Plan rashoda za unos u SAP'!$M$3:$M$501,"=369")+SUMIFS('ANALITIKA EU PROJEKATA'!$G$3:$G$501,'ANALITIKA EU PROJEKATA'!$A$3:$A$501,"=71",'ANALITIKA EU PROJEKATA'!$P$3:$P$501,"=369")</f>
        <v>0</v>
      </c>
      <c r="V29" s="140">
        <f>SUMIFS('Plan rashoda za unos u SAP'!$I$3:$I$501,'Plan rashoda za unos u SAP'!$C$3:$C$501,"=81",'Plan rashoda za unos u SAP'!$M$3:$M$501,"=369")+SUMIFS('ANALITIKA EU PROJEKATA'!$G$3:$G$501,'ANALITIKA EU PROJEKATA'!$A$3:$A$501,"=81",'ANALITIKA EU PROJEKATA'!$P$3:$P$501,"=369")</f>
        <v>0</v>
      </c>
      <c r="W29" s="140">
        <f>SUMIFS('Plan rashoda za unos u SAP'!$I$3:$I$501,'Plan rashoda za unos u SAP'!$C$3:$C$501,"=83",'Plan rashoda za unos u SAP'!$M$3:$M$501,"=369")+SUMIFS('ANALITIKA EU PROJEKATA'!$G$3:$G$501,'ANALITIKA EU PROJEKATA'!$A$3:$A$501,"=83",'ANALITIKA EU PROJEKATA'!$P$3:$P$501,"=369")</f>
        <v>0</v>
      </c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  <c r="CM29" s="72"/>
      <c r="CN29" s="72"/>
      <c r="CO29" s="72"/>
      <c r="CP29" s="72"/>
      <c r="CQ29" s="72"/>
      <c r="CR29" s="72"/>
      <c r="CS29" s="72"/>
      <c r="CT29" s="72"/>
      <c r="CU29" s="72"/>
      <c r="CV29" s="72"/>
      <c r="CW29" s="72"/>
      <c r="CX29" s="72"/>
      <c r="CY29" s="72"/>
      <c r="CZ29" s="72"/>
      <c r="DA29" s="72"/>
      <c r="DB29" s="72"/>
      <c r="DC29" s="72"/>
      <c r="DD29" s="72"/>
      <c r="DE29" s="72"/>
      <c r="DF29" s="72"/>
      <c r="DG29" s="72"/>
      <c r="DH29" s="72"/>
      <c r="DI29" s="72"/>
      <c r="DJ29" s="72"/>
      <c r="DK29" s="72"/>
      <c r="DL29" s="72"/>
      <c r="DM29" s="72"/>
      <c r="DN29" s="72"/>
      <c r="DO29" s="72"/>
      <c r="DP29" s="72"/>
      <c r="DQ29" s="72"/>
      <c r="DR29" s="72"/>
      <c r="DS29" s="72"/>
      <c r="DT29" s="72"/>
      <c r="DU29" s="72"/>
      <c r="DV29" s="72"/>
      <c r="DW29" s="72"/>
      <c r="DX29" s="72"/>
      <c r="DY29" s="72"/>
      <c r="DZ29" s="72"/>
      <c r="EA29" s="72"/>
      <c r="EB29" s="72"/>
      <c r="EC29" s="72"/>
      <c r="ED29" s="72"/>
      <c r="EE29" s="72"/>
      <c r="EF29" s="72"/>
      <c r="EG29" s="72"/>
      <c r="EH29" s="72"/>
      <c r="EI29" s="72"/>
      <c r="EJ29" s="72"/>
      <c r="EK29" s="72"/>
      <c r="EL29" s="72"/>
      <c r="EM29" s="72"/>
      <c r="EN29" s="72"/>
      <c r="EO29" s="72"/>
      <c r="EP29" s="72"/>
      <c r="EQ29" s="72"/>
      <c r="ER29" s="72"/>
      <c r="ES29" s="72"/>
      <c r="ET29" s="72"/>
      <c r="EU29" s="72"/>
      <c r="EV29" s="72"/>
      <c r="EW29" s="72"/>
      <c r="EX29" s="72"/>
      <c r="EY29" s="72"/>
      <c r="EZ29" s="72"/>
      <c r="FA29" s="72"/>
      <c r="FB29" s="72"/>
      <c r="FC29" s="72"/>
      <c r="FD29" s="72"/>
      <c r="FE29" s="72"/>
      <c r="FF29" s="72"/>
      <c r="FG29" s="72"/>
      <c r="FH29" s="72"/>
      <c r="FI29" s="72"/>
      <c r="FJ29" s="72"/>
      <c r="FK29" s="72"/>
      <c r="FL29" s="72"/>
      <c r="FM29" s="72"/>
      <c r="FN29" s="72"/>
      <c r="FO29" s="72"/>
      <c r="FP29" s="72"/>
      <c r="FQ29" s="72"/>
      <c r="FR29" s="72"/>
      <c r="FS29" s="72"/>
      <c r="FT29" s="72"/>
      <c r="FU29" s="72"/>
      <c r="FV29" s="72"/>
      <c r="FW29" s="72"/>
      <c r="FX29" s="72"/>
      <c r="FY29" s="72"/>
      <c r="FZ29" s="72"/>
      <c r="GA29" s="72"/>
      <c r="GB29" s="72"/>
      <c r="GC29" s="72"/>
      <c r="GD29" s="72"/>
      <c r="GE29" s="72"/>
      <c r="GF29" s="72"/>
      <c r="GG29" s="72"/>
      <c r="GH29" s="72"/>
      <c r="GI29" s="72"/>
      <c r="GJ29" s="72"/>
      <c r="GK29" s="72"/>
      <c r="GL29" s="73"/>
      <c r="GM29" s="73"/>
      <c r="GN29" s="73"/>
      <c r="GO29" s="73"/>
      <c r="GP29" s="73"/>
      <c r="GQ29" s="73"/>
      <c r="GR29" s="73"/>
      <c r="GS29" s="73"/>
      <c r="GT29" s="73"/>
      <c r="GU29" s="73"/>
      <c r="GV29" s="73"/>
      <c r="GW29" s="73"/>
      <c r="GX29" s="73"/>
      <c r="GY29" s="73"/>
      <c r="GZ29" s="73"/>
      <c r="HA29" s="73"/>
      <c r="HB29" s="73"/>
      <c r="HC29" s="73"/>
      <c r="HD29" s="73"/>
      <c r="HE29" s="73"/>
      <c r="HF29" s="73"/>
      <c r="HG29" s="73"/>
      <c r="HH29" s="73"/>
      <c r="HI29" s="73"/>
      <c r="HJ29" s="73"/>
      <c r="HK29" s="73"/>
      <c r="HL29" s="73"/>
      <c r="HM29" s="73"/>
      <c r="HN29" s="73"/>
      <c r="HO29" s="73"/>
      <c r="HP29" s="73"/>
      <c r="HQ29" s="73"/>
      <c r="HR29" s="73"/>
      <c r="HS29" s="73"/>
      <c r="HT29" s="73"/>
      <c r="HU29" s="73"/>
      <c r="HV29" s="73"/>
      <c r="HW29" s="73"/>
      <c r="HX29" s="73"/>
      <c r="HY29" s="73"/>
      <c r="HZ29" s="73"/>
      <c r="IA29" s="73"/>
      <c r="IB29" s="73"/>
      <c r="IC29" s="73"/>
      <c r="ID29" s="73"/>
      <c r="IE29" s="73"/>
      <c r="IF29" s="73"/>
      <c r="IG29" s="73"/>
      <c r="IH29" s="73"/>
      <c r="II29" s="73"/>
      <c r="IJ29" s="73"/>
      <c r="IK29" s="73"/>
      <c r="IL29" s="73"/>
      <c r="IM29" s="73"/>
      <c r="IN29" s="73"/>
      <c r="IO29" s="73"/>
      <c r="IP29" s="73"/>
      <c r="IQ29" s="73"/>
      <c r="IR29" s="73"/>
      <c r="IS29" s="73"/>
      <c r="IT29" s="73"/>
      <c r="IU29" s="73"/>
      <c r="IV29" s="73"/>
      <c r="IW29" s="73"/>
      <c r="IX29" s="73"/>
      <c r="IY29" s="73"/>
      <c r="IZ29" s="73"/>
      <c r="JA29" s="73"/>
      <c r="JB29" s="73"/>
      <c r="JC29" s="73"/>
    </row>
    <row r="30" spans="1:263" s="20" customFormat="1" ht="12.6" customHeight="1">
      <c r="A30" s="22">
        <v>2021</v>
      </c>
      <c r="B30" s="84">
        <v>37</v>
      </c>
      <c r="C30" s="15" t="s">
        <v>335</v>
      </c>
      <c r="D30" s="4">
        <f t="shared" si="1"/>
        <v>18750</v>
      </c>
      <c r="E30" s="4">
        <f t="shared" ref="E30:W30" si="8">SUM(E31:E32)</f>
        <v>0</v>
      </c>
      <c r="F30" s="4">
        <f t="shared" si="8"/>
        <v>0</v>
      </c>
      <c r="G30" s="4">
        <f t="shared" si="8"/>
        <v>0</v>
      </c>
      <c r="H30" s="4">
        <f>SUM(H31:H32)</f>
        <v>0</v>
      </c>
      <c r="I30" s="4">
        <f t="shared" si="8"/>
        <v>0</v>
      </c>
      <c r="J30" s="4">
        <f t="shared" si="8"/>
        <v>18750</v>
      </c>
      <c r="K30" s="4">
        <f t="shared" si="8"/>
        <v>0</v>
      </c>
      <c r="L30" s="4">
        <f>SUM(L31:L32)</f>
        <v>0</v>
      </c>
      <c r="M30" s="4">
        <f t="shared" si="8"/>
        <v>0</v>
      </c>
      <c r="N30" s="4">
        <f t="shared" si="8"/>
        <v>0</v>
      </c>
      <c r="O30" s="4">
        <f t="shared" si="8"/>
        <v>0</v>
      </c>
      <c r="P30" s="4">
        <f>SUM(P31:P32)</f>
        <v>0</v>
      </c>
      <c r="Q30" s="4">
        <f>SUM(Q31:Q32)</f>
        <v>0</v>
      </c>
      <c r="R30" s="4">
        <f>SUM(R31:R32)</f>
        <v>0</v>
      </c>
      <c r="S30" s="4">
        <f t="shared" si="8"/>
        <v>0</v>
      </c>
      <c r="T30" s="4">
        <f t="shared" si="8"/>
        <v>0</v>
      </c>
      <c r="U30" s="4">
        <f t="shared" si="8"/>
        <v>0</v>
      </c>
      <c r="V30" s="4">
        <f t="shared" si="8"/>
        <v>0</v>
      </c>
      <c r="W30" s="4">
        <f t="shared" si="8"/>
        <v>0</v>
      </c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5"/>
      <c r="BU30" s="85"/>
      <c r="BV30" s="85"/>
      <c r="BW30" s="85"/>
      <c r="BX30" s="85"/>
      <c r="BY30" s="85"/>
      <c r="BZ30" s="85"/>
      <c r="CA30" s="85"/>
      <c r="CB30" s="85"/>
      <c r="CC30" s="85"/>
      <c r="CD30" s="85"/>
      <c r="CE30" s="85"/>
      <c r="CF30" s="85"/>
      <c r="CG30" s="85"/>
      <c r="CH30" s="85"/>
      <c r="CI30" s="85"/>
      <c r="CJ30" s="85"/>
      <c r="CK30" s="85"/>
      <c r="CL30" s="85"/>
      <c r="CM30" s="85"/>
      <c r="CN30" s="85"/>
      <c r="CO30" s="85"/>
      <c r="CP30" s="85"/>
      <c r="CQ30" s="85"/>
      <c r="CR30" s="85"/>
      <c r="CS30" s="85"/>
      <c r="CT30" s="85"/>
      <c r="CU30" s="85"/>
      <c r="CV30" s="85"/>
      <c r="CW30" s="85"/>
      <c r="CX30" s="85"/>
      <c r="CY30" s="85"/>
      <c r="CZ30" s="85"/>
      <c r="DA30" s="85"/>
      <c r="DB30" s="85"/>
      <c r="DC30" s="85"/>
      <c r="DD30" s="85"/>
      <c r="DE30" s="85"/>
      <c r="DF30" s="85"/>
      <c r="DG30" s="85"/>
      <c r="DH30" s="85"/>
      <c r="DI30" s="85"/>
      <c r="DJ30" s="85"/>
      <c r="DK30" s="85"/>
      <c r="DL30" s="85"/>
      <c r="DM30" s="85"/>
      <c r="DN30" s="85"/>
      <c r="DO30" s="85"/>
      <c r="DP30" s="85"/>
      <c r="DQ30" s="85"/>
      <c r="DR30" s="85"/>
      <c r="DS30" s="85"/>
      <c r="DT30" s="85"/>
      <c r="DU30" s="85"/>
      <c r="DV30" s="85"/>
      <c r="DW30" s="85"/>
      <c r="DX30" s="85"/>
      <c r="DY30" s="85"/>
      <c r="DZ30" s="85"/>
      <c r="EA30" s="85"/>
      <c r="EB30" s="85"/>
      <c r="EC30" s="85"/>
      <c r="ED30" s="85"/>
      <c r="EE30" s="85"/>
      <c r="EF30" s="85"/>
      <c r="EG30" s="85"/>
      <c r="EH30" s="85"/>
      <c r="EI30" s="85"/>
      <c r="EJ30" s="85"/>
      <c r="EK30" s="85"/>
      <c r="EL30" s="85"/>
      <c r="EM30" s="85"/>
      <c r="EN30" s="85"/>
      <c r="EO30" s="85"/>
      <c r="EP30" s="85"/>
      <c r="EQ30" s="85"/>
      <c r="ER30" s="85"/>
      <c r="ES30" s="85"/>
      <c r="ET30" s="85"/>
      <c r="EU30" s="85"/>
      <c r="EV30" s="85"/>
      <c r="EW30" s="85"/>
      <c r="EX30" s="85"/>
      <c r="EY30" s="85"/>
      <c r="EZ30" s="85"/>
      <c r="FA30" s="85"/>
      <c r="FB30" s="85"/>
      <c r="FC30" s="85"/>
      <c r="FD30" s="85"/>
      <c r="FE30" s="85"/>
      <c r="FF30" s="85"/>
      <c r="FG30" s="85"/>
      <c r="FH30" s="85"/>
      <c r="FI30" s="85"/>
      <c r="FJ30" s="85"/>
      <c r="FK30" s="85"/>
      <c r="FL30" s="85"/>
      <c r="FM30" s="85"/>
      <c r="FN30" s="85"/>
      <c r="FO30" s="85"/>
      <c r="FP30" s="85"/>
      <c r="FQ30" s="85"/>
      <c r="FR30" s="85"/>
      <c r="FS30" s="85"/>
      <c r="FT30" s="85"/>
      <c r="FU30" s="85"/>
      <c r="FV30" s="85"/>
      <c r="FW30" s="85"/>
      <c r="FX30" s="85"/>
      <c r="FY30" s="85"/>
      <c r="FZ30" s="85"/>
      <c r="GA30" s="85"/>
      <c r="GB30" s="85"/>
      <c r="GC30" s="85"/>
      <c r="GD30" s="85"/>
      <c r="GE30" s="85"/>
      <c r="GF30" s="85"/>
      <c r="GG30" s="85"/>
      <c r="GH30" s="85"/>
      <c r="GI30" s="85"/>
      <c r="GJ30" s="85"/>
      <c r="GK30" s="85"/>
      <c r="GL30" s="86"/>
      <c r="GM30" s="86"/>
      <c r="GN30" s="86"/>
      <c r="GO30" s="86"/>
      <c r="GP30" s="86"/>
      <c r="GQ30" s="86"/>
      <c r="GR30" s="86"/>
      <c r="GS30" s="86"/>
      <c r="GT30" s="86"/>
      <c r="GU30" s="86"/>
      <c r="GV30" s="86"/>
      <c r="GW30" s="86"/>
      <c r="GX30" s="86"/>
      <c r="GY30" s="86"/>
      <c r="GZ30" s="86"/>
      <c r="HA30" s="86"/>
      <c r="HB30" s="86"/>
      <c r="HC30" s="86"/>
      <c r="HD30" s="86"/>
      <c r="HE30" s="86"/>
      <c r="HF30" s="86"/>
      <c r="HG30" s="86"/>
      <c r="HH30" s="86"/>
      <c r="HI30" s="86"/>
      <c r="HJ30" s="86"/>
      <c r="HK30" s="86"/>
      <c r="HL30" s="86"/>
      <c r="HM30" s="86"/>
      <c r="HN30" s="86"/>
      <c r="HO30" s="86"/>
      <c r="HP30" s="86"/>
      <c r="HQ30" s="86"/>
      <c r="HR30" s="86"/>
      <c r="HS30" s="86"/>
      <c r="HT30" s="86"/>
      <c r="HU30" s="86"/>
      <c r="HV30" s="86"/>
      <c r="HW30" s="86"/>
      <c r="HX30" s="86"/>
      <c r="HY30" s="86"/>
      <c r="HZ30" s="86"/>
      <c r="IA30" s="86"/>
      <c r="IB30" s="86"/>
      <c r="IC30" s="86"/>
      <c r="ID30" s="86"/>
      <c r="IE30" s="86"/>
      <c r="IF30" s="86"/>
      <c r="IG30" s="86"/>
      <c r="IH30" s="86"/>
      <c r="II30" s="86"/>
      <c r="IJ30" s="86"/>
      <c r="IK30" s="86"/>
      <c r="IL30" s="86"/>
      <c r="IM30" s="86"/>
      <c r="IN30" s="86"/>
      <c r="IO30" s="86"/>
      <c r="IP30" s="86"/>
      <c r="IQ30" s="86"/>
      <c r="IR30" s="86"/>
      <c r="IS30" s="86"/>
      <c r="IT30" s="86"/>
      <c r="IU30" s="86"/>
      <c r="IV30" s="86"/>
      <c r="IW30" s="86"/>
      <c r="IX30" s="86"/>
      <c r="IY30" s="86"/>
      <c r="IZ30" s="86"/>
      <c r="JA30" s="86"/>
      <c r="JB30" s="86"/>
      <c r="JC30" s="86"/>
    </row>
    <row r="31" spans="1:263" s="20" customFormat="1" ht="12.6" customHeight="1">
      <c r="A31" s="22">
        <v>2021</v>
      </c>
      <c r="B31" s="83">
        <v>371</v>
      </c>
      <c r="C31" s="8" t="s">
        <v>336</v>
      </c>
      <c r="D31" s="14">
        <f t="shared" si="1"/>
        <v>0</v>
      </c>
      <c r="E31" s="140">
        <f>SUMIFS('Plan rashoda za unos u SAP'!$I$3:$I$501,'Plan rashoda za unos u SAP'!$C$3:$C$501,"=11",'Plan rashoda za unos u SAP'!$M$3:$M$501,"=371")+SUMIFS('ANALITIKA EU PROJEKATA'!$G$3:$G$501,'ANALITIKA EU PROJEKATA'!$A$3:$A$501,"=11",'ANALITIKA EU PROJEKATA'!$P$3:$P$501,"=371")</f>
        <v>0</v>
      </c>
      <c r="F31" s="140">
        <f>SUMIFS('Plan rashoda za unos u SAP'!$I$3:$I$501,'Plan rashoda za unos u SAP'!$C$3:$C$501,"=12",'Plan rashoda za unos u SAP'!$M$3:$M$501,"=371")+SUMIFS('ANALITIKA EU PROJEKATA'!$G$3:$G$501,'ANALITIKA EU PROJEKATA'!$A$3:$A$501,"=12",'ANALITIKA EU PROJEKATA'!$P$3:$P$501,"=371")</f>
        <v>0</v>
      </c>
      <c r="G31" s="140">
        <f>SUMIFS('Plan rashoda za unos u SAP'!$I$3:$I$501,'Plan rashoda za unos u SAP'!$C$3:$C$501,"=31",'Plan rashoda za unos u SAP'!$M$3:$M$501,"=371")+SUMIFS('ANALITIKA EU PROJEKATA'!$G$3:$G$501,'ANALITIKA EU PROJEKATA'!$A$3:$A$501,"=31",'ANALITIKA EU PROJEKATA'!$P$3:$P$501,"=371")</f>
        <v>0</v>
      </c>
      <c r="H31" s="140">
        <f>SUMIFS('Plan rashoda za unos u SAP'!$I$3:$I$501,'Plan rashoda za unos u SAP'!$C$3:$C$501,"=41",'Plan rashoda za unos u SAP'!$M$3:$M$501,"=371")+SUMIFS('ANALITIKA EU PROJEKATA'!$G$3:$G$501,'ANALITIKA EU PROJEKATA'!$A$3:$A$501,"=41",'ANALITIKA EU PROJEKATA'!$P$3:$P$501,"=371")</f>
        <v>0</v>
      </c>
      <c r="I31" s="140">
        <f>SUMIFS('Plan rashoda za unos u SAP'!$I$3:$I$501,'Plan rashoda za unos u SAP'!$C$3:$C$501,"=43",'Plan rashoda za unos u SAP'!$M$3:$M$501,"=371")+SUMIFS('ANALITIKA EU PROJEKATA'!$G$3:$G$501,'ANALITIKA EU PROJEKATA'!$A$3:$A$501,"=43",'ANALITIKA EU PROJEKATA'!$P$3:$P$501,"=371")</f>
        <v>0</v>
      </c>
      <c r="J31" s="140">
        <f>SUMIFS('Plan rashoda za unos u SAP'!$I$3:$I$501,'Plan rashoda za unos u SAP'!$C$3:$C$501,"=51",'Plan rashoda za unos u SAP'!$M$3:$M$501,"=371")+SUMIFS('ANALITIKA EU PROJEKATA'!$G$3:$G$501,'ANALITIKA EU PROJEKATA'!$A$3:$A$501,"=51",'ANALITIKA EU PROJEKATA'!$P$3:$P$501,"=371")</f>
        <v>0</v>
      </c>
      <c r="K31" s="140">
        <f>SUMIFS('Plan rashoda za unos u SAP'!$I$3:$I$501,'Plan rashoda za unos u SAP'!$C$3:$C$501,"=52",'Plan rashoda za unos u SAP'!$M$3:$M$501,"=371")+SUMIFS('ANALITIKA EU PROJEKATA'!$G$3:$G$501,'ANALITIKA EU PROJEKATA'!$A$3:$A$501,"=52",'ANALITIKA EU PROJEKATA'!$P$3:$P$501,"=371")</f>
        <v>0</v>
      </c>
      <c r="L31" s="140">
        <f>SUMIFS('Plan rashoda za unos u SAP'!$I$3:$I$501,'Plan rashoda za unos u SAP'!$C$3:$C$501,"=552",'Plan rashoda za unos u SAP'!$M$3:$M$501,"=371")+SUMIFS('ANALITIKA EU PROJEKATA'!$G$3:$G$501,'ANALITIKA EU PROJEKATA'!$A$3:$A$501,"=552",'ANALITIKA EU PROJEKATA'!$P$3:$P$501,"=371")</f>
        <v>0</v>
      </c>
      <c r="M31" s="140">
        <f>SUMIFS('Plan rashoda za unos u SAP'!$I$3:$I$501,'Plan rashoda za unos u SAP'!$C$3:$C$501,"=559",'Plan rashoda za unos u SAP'!$M$3:$M$501,"=371")+SUMIFS('ANALITIKA EU PROJEKATA'!$G$3:$G$501,'ANALITIKA EU PROJEKATA'!$A$3:$A$501,"=559",'ANALITIKA EU PROJEKATA'!$P$3:$P$501,"=371")</f>
        <v>0</v>
      </c>
      <c r="N31" s="140">
        <f>SUMIFS('Plan rashoda za unos u SAP'!$I$3:$I$501,'Plan rashoda za unos u SAP'!$C$3:$C$501,"=561",'Plan rashoda za unos u SAP'!$M$3:$M$501,"=371")+SUMIFS('ANALITIKA EU PROJEKATA'!$G$3:$G$501,'ANALITIKA EU PROJEKATA'!$A$3:$A$501,"=561",'ANALITIKA EU PROJEKATA'!$P$3:$P$501,"=371")</f>
        <v>0</v>
      </c>
      <c r="O31" s="140">
        <f>SUMIFS('Plan rashoda za unos u SAP'!$I$3:$I$501,'Plan rashoda za unos u SAP'!$C$3:$C$501,"=563",'Plan rashoda za unos u SAP'!$M$3:$M$501,"=371")+SUMIFS('ANALITIKA EU PROJEKATA'!$G$3:$G$501,'ANALITIKA EU PROJEKATA'!$A$3:$A$501,"=563",'ANALITIKA EU PROJEKATA'!$P$3:$P$501,"=371")</f>
        <v>0</v>
      </c>
      <c r="P31" s="140">
        <f>SUMIFS('Plan rashoda za unos u SAP'!$I$3:$I$501,'Plan rashoda za unos u SAP'!$C$3:$C$501,"=573",'Plan rashoda za unos u SAP'!$M$3:$M$501,"=371")+SUMIFS('ANALITIKA EU PROJEKATA'!$G$3:$G$501,'ANALITIKA EU PROJEKATA'!$A$3:$A$501,"=573",'ANALITIKA EU PROJEKATA'!$P$3:$P$501,"=371")</f>
        <v>0</v>
      </c>
      <c r="Q31" s="140">
        <f>SUMIFS('Plan rashoda za unos u SAP'!$I$3:$I$501,'Plan rashoda za unos u SAP'!$C$3:$C$501,"=575",'Plan rashoda za unos u SAP'!$M$3:$M$501,"=371")+SUMIFS('ANALITIKA EU PROJEKATA'!$G$3:$G$501,'ANALITIKA EU PROJEKATA'!$A$3:$A$501,"=575",'ANALITIKA EU PROJEKATA'!$P$3:$P$501,"=371")</f>
        <v>0</v>
      </c>
      <c r="R31" s="140">
        <f>SUMIFS('Plan rashoda za unos u SAP'!$I$3:$I$501,'Plan rashoda za unos u SAP'!$C$3:$C$501,"=576",'Plan rashoda za unos u SAP'!$M$3:$M$501,"=371")+SUMIFS('ANALITIKA EU PROJEKATA'!$G$3:$G$501,'ANALITIKA EU PROJEKATA'!$A$3:$A$501,"=576",'ANALITIKA EU PROJEKATA'!$P$3:$P$501,"=371")</f>
        <v>0</v>
      </c>
      <c r="S31" s="140">
        <f>SUMIFS('Plan rashoda za unos u SAP'!$I$3:$I$501,'Plan rashoda za unos u SAP'!$C$3:$C$501,"=61",'Plan rashoda za unos u SAP'!$M$3:$M$501,"=371")+SUMIFS('ANALITIKA EU PROJEKATA'!$G$3:$G$501,'ANALITIKA EU PROJEKATA'!$A$3:$A$501,"=61",'ANALITIKA EU PROJEKATA'!$P$3:$P$501,"=371")</f>
        <v>0</v>
      </c>
      <c r="T31" s="140">
        <f>SUMIFS('Plan rashoda za unos u SAP'!$I$3:$I$501,'Plan rashoda za unos u SAP'!$C$3:$C$501,"=63",'Plan rashoda za unos u SAP'!$M$3:$M$501,"=371")+SUMIFS('ANALITIKA EU PROJEKATA'!$G$3:$G$501,'ANALITIKA EU PROJEKATA'!$A$3:$A$501,"=63",'ANALITIKA EU PROJEKATA'!$P$3:$P$501,"=371")</f>
        <v>0</v>
      </c>
      <c r="U31" s="140">
        <f>SUMIFS('Plan rashoda za unos u SAP'!$I$3:$I$501,'Plan rashoda za unos u SAP'!$C$3:$C$501,"=71",'Plan rashoda za unos u SAP'!$M$3:$M$501,"=371")+SUMIFS('ANALITIKA EU PROJEKATA'!$G$3:$G$501,'ANALITIKA EU PROJEKATA'!$A$3:$A$501,"=71",'ANALITIKA EU PROJEKATA'!$P$3:$P$501,"=371")</f>
        <v>0</v>
      </c>
      <c r="V31" s="140">
        <f>SUMIFS('Plan rashoda za unos u SAP'!$I$3:$I$501,'Plan rashoda za unos u SAP'!$C$3:$C$501,"=81",'Plan rashoda za unos u SAP'!$M$3:$M$501,"=371")+SUMIFS('ANALITIKA EU PROJEKATA'!$G$3:$G$501,'ANALITIKA EU PROJEKATA'!$A$3:$A$501,"=81",'ANALITIKA EU PROJEKATA'!$P$3:$P$501,"=371")</f>
        <v>0</v>
      </c>
      <c r="W31" s="140">
        <f>SUMIFS('Plan rashoda za unos u SAP'!$I$3:$I$501,'Plan rashoda za unos u SAP'!$C$3:$C$501,"=83",'Plan rashoda za unos u SAP'!$M$3:$M$501,"=371")+SUMIFS('ANALITIKA EU PROJEKATA'!$G$3:$G$501,'ANALITIKA EU PROJEKATA'!$A$3:$A$501,"=83",'ANALITIKA EU PROJEKATA'!$P$3:$P$501,"=371")</f>
        <v>0</v>
      </c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5"/>
      <c r="BW31" s="85"/>
      <c r="BX31" s="85"/>
      <c r="BY31" s="85"/>
      <c r="BZ31" s="85"/>
      <c r="CA31" s="85"/>
      <c r="CB31" s="85"/>
      <c r="CC31" s="85"/>
      <c r="CD31" s="85"/>
      <c r="CE31" s="85"/>
      <c r="CF31" s="85"/>
      <c r="CG31" s="85"/>
      <c r="CH31" s="85"/>
      <c r="CI31" s="85"/>
      <c r="CJ31" s="85"/>
      <c r="CK31" s="85"/>
      <c r="CL31" s="85"/>
      <c r="CM31" s="85"/>
      <c r="CN31" s="85"/>
      <c r="CO31" s="85"/>
      <c r="CP31" s="85"/>
      <c r="CQ31" s="85"/>
      <c r="CR31" s="85"/>
      <c r="CS31" s="85"/>
      <c r="CT31" s="85"/>
      <c r="CU31" s="85"/>
      <c r="CV31" s="85"/>
      <c r="CW31" s="85"/>
      <c r="CX31" s="85"/>
      <c r="CY31" s="85"/>
      <c r="CZ31" s="85"/>
      <c r="DA31" s="85"/>
      <c r="DB31" s="85"/>
      <c r="DC31" s="85"/>
      <c r="DD31" s="85"/>
      <c r="DE31" s="85"/>
      <c r="DF31" s="85"/>
      <c r="DG31" s="85"/>
      <c r="DH31" s="85"/>
      <c r="DI31" s="85"/>
      <c r="DJ31" s="85"/>
      <c r="DK31" s="85"/>
      <c r="DL31" s="85"/>
      <c r="DM31" s="85"/>
      <c r="DN31" s="85"/>
      <c r="DO31" s="85"/>
      <c r="DP31" s="85"/>
      <c r="DQ31" s="85"/>
      <c r="DR31" s="85"/>
      <c r="DS31" s="85"/>
      <c r="DT31" s="85"/>
      <c r="DU31" s="85"/>
      <c r="DV31" s="85"/>
      <c r="DW31" s="85"/>
      <c r="DX31" s="85"/>
      <c r="DY31" s="85"/>
      <c r="DZ31" s="85"/>
      <c r="EA31" s="85"/>
      <c r="EB31" s="85"/>
      <c r="EC31" s="85"/>
      <c r="ED31" s="85"/>
      <c r="EE31" s="85"/>
      <c r="EF31" s="85"/>
      <c r="EG31" s="85"/>
      <c r="EH31" s="85"/>
      <c r="EI31" s="85"/>
      <c r="EJ31" s="85"/>
      <c r="EK31" s="85"/>
      <c r="EL31" s="85"/>
      <c r="EM31" s="85"/>
      <c r="EN31" s="85"/>
      <c r="EO31" s="85"/>
      <c r="EP31" s="85"/>
      <c r="EQ31" s="85"/>
      <c r="ER31" s="85"/>
      <c r="ES31" s="85"/>
      <c r="ET31" s="85"/>
      <c r="EU31" s="85"/>
      <c r="EV31" s="85"/>
      <c r="EW31" s="85"/>
      <c r="EX31" s="85"/>
      <c r="EY31" s="85"/>
      <c r="EZ31" s="85"/>
      <c r="FA31" s="85"/>
      <c r="FB31" s="85"/>
      <c r="FC31" s="85"/>
      <c r="FD31" s="85"/>
      <c r="FE31" s="85"/>
      <c r="FF31" s="85"/>
      <c r="FG31" s="85"/>
      <c r="FH31" s="85"/>
      <c r="FI31" s="85"/>
      <c r="FJ31" s="85"/>
      <c r="FK31" s="85"/>
      <c r="FL31" s="85"/>
      <c r="FM31" s="85"/>
      <c r="FN31" s="85"/>
      <c r="FO31" s="85"/>
      <c r="FP31" s="85"/>
      <c r="FQ31" s="85"/>
      <c r="FR31" s="85"/>
      <c r="FS31" s="85"/>
      <c r="FT31" s="85"/>
      <c r="FU31" s="85"/>
      <c r="FV31" s="85"/>
      <c r="FW31" s="85"/>
      <c r="FX31" s="85"/>
      <c r="FY31" s="85"/>
      <c r="FZ31" s="85"/>
      <c r="GA31" s="85"/>
      <c r="GB31" s="85"/>
      <c r="GC31" s="85"/>
      <c r="GD31" s="85"/>
      <c r="GE31" s="85"/>
      <c r="GF31" s="85"/>
      <c r="GG31" s="85"/>
      <c r="GH31" s="85"/>
      <c r="GI31" s="85"/>
      <c r="GJ31" s="85"/>
      <c r="GK31" s="85"/>
      <c r="GL31" s="86"/>
      <c r="GM31" s="86"/>
      <c r="GN31" s="86"/>
      <c r="GO31" s="86"/>
      <c r="GP31" s="86"/>
      <c r="GQ31" s="86"/>
      <c r="GR31" s="86"/>
      <c r="GS31" s="86"/>
      <c r="GT31" s="86"/>
      <c r="GU31" s="86"/>
      <c r="GV31" s="86"/>
      <c r="GW31" s="86"/>
      <c r="GX31" s="86"/>
      <c r="GY31" s="86"/>
      <c r="GZ31" s="86"/>
      <c r="HA31" s="86"/>
      <c r="HB31" s="86"/>
      <c r="HC31" s="86"/>
      <c r="HD31" s="86"/>
      <c r="HE31" s="86"/>
      <c r="HF31" s="86"/>
      <c r="HG31" s="86"/>
      <c r="HH31" s="86"/>
      <c r="HI31" s="86"/>
      <c r="HJ31" s="86"/>
      <c r="HK31" s="86"/>
      <c r="HL31" s="86"/>
      <c r="HM31" s="86"/>
      <c r="HN31" s="86"/>
      <c r="HO31" s="86"/>
      <c r="HP31" s="86"/>
      <c r="HQ31" s="86"/>
      <c r="HR31" s="86"/>
      <c r="HS31" s="86"/>
      <c r="HT31" s="86"/>
      <c r="HU31" s="86"/>
      <c r="HV31" s="86"/>
      <c r="HW31" s="86"/>
      <c r="HX31" s="86"/>
      <c r="HY31" s="86"/>
      <c r="HZ31" s="86"/>
      <c r="IA31" s="86"/>
      <c r="IB31" s="86"/>
      <c r="IC31" s="86"/>
      <c r="ID31" s="86"/>
      <c r="IE31" s="86"/>
      <c r="IF31" s="86"/>
      <c r="IG31" s="86"/>
      <c r="IH31" s="86"/>
      <c r="II31" s="86"/>
      <c r="IJ31" s="86"/>
      <c r="IK31" s="86"/>
      <c r="IL31" s="86"/>
      <c r="IM31" s="86"/>
      <c r="IN31" s="86"/>
      <c r="IO31" s="86"/>
      <c r="IP31" s="86"/>
      <c r="IQ31" s="86"/>
      <c r="IR31" s="86"/>
      <c r="IS31" s="86"/>
      <c r="IT31" s="86"/>
      <c r="IU31" s="86"/>
      <c r="IV31" s="86"/>
      <c r="IW31" s="86"/>
      <c r="IX31" s="86"/>
      <c r="IY31" s="86"/>
      <c r="IZ31" s="86"/>
      <c r="JA31" s="86"/>
      <c r="JB31" s="86"/>
      <c r="JC31" s="86"/>
    </row>
    <row r="32" spans="1:263" s="21" customFormat="1" ht="12.6" customHeight="1">
      <c r="A32" s="22">
        <v>2021</v>
      </c>
      <c r="B32" s="83">
        <v>372</v>
      </c>
      <c r="C32" s="87" t="s">
        <v>213</v>
      </c>
      <c r="D32" s="14">
        <f t="shared" si="1"/>
        <v>18750</v>
      </c>
      <c r="E32" s="140">
        <f>SUMIFS('Plan rashoda za unos u SAP'!$I$3:$I$501,'Plan rashoda za unos u SAP'!$C$3:$C$501,"=11",'Plan rashoda za unos u SAP'!$M$3:$M$501,"=372")+SUMIFS('ANALITIKA EU PROJEKATA'!$G$3:$G$501,'ANALITIKA EU PROJEKATA'!$A$3:$A$501,"=11",'ANALITIKA EU PROJEKATA'!$P$3:$P$501,"=372")</f>
        <v>0</v>
      </c>
      <c r="F32" s="140">
        <f>SUMIFS('Plan rashoda za unos u SAP'!$I$3:$I$501,'Plan rashoda za unos u SAP'!$C$3:$C$501,"=12",'Plan rashoda za unos u SAP'!$M$3:$M$501,"=372")+SUMIFS('ANALITIKA EU PROJEKATA'!$G$3:$G$501,'ANALITIKA EU PROJEKATA'!$A$3:$A$501,"=12",'ANALITIKA EU PROJEKATA'!$P$3:$P$501,"=372")</f>
        <v>0</v>
      </c>
      <c r="G32" s="140">
        <f>SUMIFS('Plan rashoda za unos u SAP'!$I$3:$I$501,'Plan rashoda za unos u SAP'!$C$3:$C$501,"=31",'Plan rashoda za unos u SAP'!$M$3:$M$501,"=372")+SUMIFS('ANALITIKA EU PROJEKATA'!$G$3:$G$501,'ANALITIKA EU PROJEKATA'!$A$3:$A$501,"=31",'ANALITIKA EU PROJEKATA'!$P$3:$P$501,"=372")</f>
        <v>0</v>
      </c>
      <c r="H32" s="140">
        <f>SUMIFS('Plan rashoda za unos u SAP'!$I$3:$I$501,'Plan rashoda za unos u SAP'!$C$3:$C$501,"=41",'Plan rashoda za unos u SAP'!$M$3:$M$501,"=372")+SUMIFS('ANALITIKA EU PROJEKATA'!$G$3:$G$501,'ANALITIKA EU PROJEKATA'!$A$3:$A$501,"=41",'ANALITIKA EU PROJEKATA'!$P$3:$P$501,"=372")</f>
        <v>0</v>
      </c>
      <c r="I32" s="140">
        <f>SUMIFS('Plan rashoda za unos u SAP'!$I$3:$I$501,'Plan rashoda za unos u SAP'!$C$3:$C$501,"=43",'Plan rashoda za unos u SAP'!$M$3:$M$501,"=372")+SUMIFS('ANALITIKA EU PROJEKATA'!$G$3:$G$501,'ANALITIKA EU PROJEKATA'!$A$3:$A$501,"=43",'ANALITIKA EU PROJEKATA'!$P$3:$P$501,"=372")</f>
        <v>0</v>
      </c>
      <c r="J32" s="140">
        <f>SUMIFS('Plan rashoda za unos u SAP'!$I$3:$I$501,'Plan rashoda za unos u SAP'!$C$3:$C$501,"=51",'Plan rashoda za unos u SAP'!$M$3:$M$501,"=372")+SUMIFS('ANALITIKA EU PROJEKATA'!$G$3:$G$501,'ANALITIKA EU PROJEKATA'!$A$3:$A$501,"=51",'ANALITIKA EU PROJEKATA'!$P$3:$P$501,"=372")</f>
        <v>18750</v>
      </c>
      <c r="K32" s="140">
        <f>SUMIFS('Plan rashoda za unos u SAP'!$I$3:$I$501,'Plan rashoda za unos u SAP'!$C$3:$C$501,"=52",'Plan rashoda za unos u SAP'!$M$3:$M$501,"=372")+SUMIFS('ANALITIKA EU PROJEKATA'!$G$3:$G$501,'ANALITIKA EU PROJEKATA'!$A$3:$A$501,"=52",'ANALITIKA EU PROJEKATA'!$P$3:$P$501,"=372")</f>
        <v>0</v>
      </c>
      <c r="L32" s="140">
        <f>SUMIFS('Plan rashoda za unos u SAP'!$I$3:$I$501,'Plan rashoda za unos u SAP'!$C$3:$C$501,"=552",'Plan rashoda za unos u SAP'!$M$3:$M$501,"=372")+SUMIFS('ANALITIKA EU PROJEKATA'!$G$3:$G$501,'ANALITIKA EU PROJEKATA'!$A$3:$A$501,"=552",'ANALITIKA EU PROJEKATA'!$P$3:$P$501,"=372")</f>
        <v>0</v>
      </c>
      <c r="M32" s="140">
        <f>SUMIFS('Plan rashoda za unos u SAP'!$I$3:$I$501,'Plan rashoda za unos u SAP'!$C$3:$C$501,"=559",'Plan rashoda za unos u SAP'!$M$3:$M$501,"=372")+SUMIFS('ANALITIKA EU PROJEKATA'!$G$3:$G$501,'ANALITIKA EU PROJEKATA'!$A$3:$A$501,"=559",'ANALITIKA EU PROJEKATA'!$P$3:$P$501,"=372")</f>
        <v>0</v>
      </c>
      <c r="N32" s="140">
        <f>SUMIFS('Plan rashoda za unos u SAP'!$I$3:$I$501,'Plan rashoda za unos u SAP'!$C$3:$C$501,"=561",'Plan rashoda za unos u SAP'!$M$3:$M$501,"=372")+SUMIFS('ANALITIKA EU PROJEKATA'!$G$3:$G$501,'ANALITIKA EU PROJEKATA'!$A$3:$A$501,"=561",'ANALITIKA EU PROJEKATA'!$P$3:$P$501,"=372")</f>
        <v>0</v>
      </c>
      <c r="O32" s="140">
        <f>SUMIFS('Plan rashoda za unos u SAP'!$I$3:$I$501,'Plan rashoda za unos u SAP'!$C$3:$C$501,"=563",'Plan rashoda za unos u SAP'!$M$3:$M$501,"=372")+SUMIFS('ANALITIKA EU PROJEKATA'!$G$3:$G$501,'ANALITIKA EU PROJEKATA'!$A$3:$A$501,"=563",'ANALITIKA EU PROJEKATA'!$P$3:$P$501,"=372")</f>
        <v>0</v>
      </c>
      <c r="P32" s="140">
        <f>SUMIFS('Plan rashoda za unos u SAP'!$I$3:$I$501,'Plan rashoda za unos u SAP'!$C$3:$C$501,"=573",'Plan rashoda za unos u SAP'!$M$3:$M$501,"=372")+SUMIFS('ANALITIKA EU PROJEKATA'!$G$3:$G$501,'ANALITIKA EU PROJEKATA'!$A$3:$A$501,"=573",'ANALITIKA EU PROJEKATA'!$P$3:$P$501,"=372")</f>
        <v>0</v>
      </c>
      <c r="Q32" s="140">
        <f>SUMIFS('Plan rashoda za unos u SAP'!$I$3:$I$501,'Plan rashoda za unos u SAP'!$C$3:$C$501,"=575",'Plan rashoda za unos u SAP'!$M$3:$M$501,"=372")+SUMIFS('ANALITIKA EU PROJEKATA'!$G$3:$G$501,'ANALITIKA EU PROJEKATA'!$A$3:$A$501,"=575",'ANALITIKA EU PROJEKATA'!$P$3:$P$501,"=372")</f>
        <v>0</v>
      </c>
      <c r="R32" s="140">
        <f>SUMIFS('Plan rashoda za unos u SAP'!$I$3:$I$501,'Plan rashoda za unos u SAP'!$C$3:$C$501,"=576",'Plan rashoda za unos u SAP'!$M$3:$M$501,"=372")+SUMIFS('ANALITIKA EU PROJEKATA'!$G$3:$G$501,'ANALITIKA EU PROJEKATA'!$A$3:$A$501,"=576",'ANALITIKA EU PROJEKATA'!$P$3:$P$501,"=372")</f>
        <v>0</v>
      </c>
      <c r="S32" s="140">
        <f>SUMIFS('Plan rashoda za unos u SAP'!$I$3:$I$501,'Plan rashoda za unos u SAP'!$C$3:$C$501,"=61",'Plan rashoda za unos u SAP'!$M$3:$M$501,"=372")+SUMIFS('ANALITIKA EU PROJEKATA'!$G$3:$G$501,'ANALITIKA EU PROJEKATA'!$A$3:$A$501,"=61",'ANALITIKA EU PROJEKATA'!$P$3:$P$501,"=372")</f>
        <v>0</v>
      </c>
      <c r="T32" s="140">
        <f>SUMIFS('Plan rashoda za unos u SAP'!$I$3:$I$501,'Plan rashoda za unos u SAP'!$C$3:$C$501,"=63",'Plan rashoda za unos u SAP'!$M$3:$M$501,"=372")+SUMIFS('ANALITIKA EU PROJEKATA'!$G$3:$G$501,'ANALITIKA EU PROJEKATA'!$A$3:$A$501,"=63",'ANALITIKA EU PROJEKATA'!$P$3:$P$501,"=372")</f>
        <v>0</v>
      </c>
      <c r="U32" s="140">
        <f>SUMIFS('Plan rashoda za unos u SAP'!$I$3:$I$501,'Plan rashoda za unos u SAP'!$C$3:$C$501,"=71",'Plan rashoda za unos u SAP'!$M$3:$M$501,"=372")+SUMIFS('ANALITIKA EU PROJEKATA'!$G$3:$G$501,'ANALITIKA EU PROJEKATA'!$A$3:$A$501,"=71",'ANALITIKA EU PROJEKATA'!$P$3:$P$501,"=372")</f>
        <v>0</v>
      </c>
      <c r="V32" s="140">
        <f>SUMIFS('Plan rashoda za unos u SAP'!$I$3:$I$501,'Plan rashoda za unos u SAP'!$C$3:$C$501,"=81",'Plan rashoda za unos u SAP'!$M$3:$M$501,"=372")+SUMIFS('ANALITIKA EU PROJEKATA'!$G$3:$G$501,'ANALITIKA EU PROJEKATA'!$A$3:$A$501,"=81",'ANALITIKA EU PROJEKATA'!$P$3:$P$501,"=372")</f>
        <v>0</v>
      </c>
      <c r="W32" s="140">
        <f>SUMIFS('Plan rashoda za unos u SAP'!$I$3:$I$501,'Plan rashoda za unos u SAP'!$C$3:$C$501,"=83",'Plan rashoda za unos u SAP'!$M$3:$M$501,"=372")+SUMIFS('ANALITIKA EU PROJEKATA'!$G$3:$G$501,'ANALITIKA EU PROJEKATA'!$A$3:$A$501,"=83",'ANALITIKA EU PROJEKATA'!$P$3:$P$501,"=372")</f>
        <v>0</v>
      </c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2"/>
      <c r="CJ32" s="72"/>
      <c r="CK32" s="72"/>
      <c r="CL32" s="72"/>
      <c r="CM32" s="72"/>
      <c r="CN32" s="72"/>
      <c r="CO32" s="72"/>
      <c r="CP32" s="72"/>
      <c r="CQ32" s="72"/>
      <c r="CR32" s="72"/>
      <c r="CS32" s="72"/>
      <c r="CT32" s="72"/>
      <c r="CU32" s="72"/>
      <c r="CV32" s="72"/>
      <c r="CW32" s="72"/>
      <c r="CX32" s="72"/>
      <c r="CY32" s="72"/>
      <c r="CZ32" s="72"/>
      <c r="DA32" s="72"/>
      <c r="DB32" s="72"/>
      <c r="DC32" s="72"/>
      <c r="DD32" s="72"/>
      <c r="DE32" s="72"/>
      <c r="DF32" s="72"/>
      <c r="DG32" s="72"/>
      <c r="DH32" s="72"/>
      <c r="DI32" s="72"/>
      <c r="DJ32" s="72"/>
      <c r="DK32" s="72"/>
      <c r="DL32" s="72"/>
      <c r="DM32" s="72"/>
      <c r="DN32" s="72"/>
      <c r="DO32" s="72"/>
      <c r="DP32" s="72"/>
      <c r="DQ32" s="72"/>
      <c r="DR32" s="72"/>
      <c r="DS32" s="72"/>
      <c r="DT32" s="72"/>
      <c r="DU32" s="72"/>
      <c r="DV32" s="72"/>
      <c r="DW32" s="72"/>
      <c r="DX32" s="72"/>
      <c r="DY32" s="72"/>
      <c r="DZ32" s="72"/>
      <c r="EA32" s="72"/>
      <c r="EB32" s="72"/>
      <c r="EC32" s="72"/>
      <c r="ED32" s="72"/>
      <c r="EE32" s="72"/>
      <c r="EF32" s="72"/>
      <c r="EG32" s="72"/>
      <c r="EH32" s="72"/>
      <c r="EI32" s="72"/>
      <c r="EJ32" s="72"/>
      <c r="EK32" s="72"/>
      <c r="EL32" s="72"/>
      <c r="EM32" s="72"/>
      <c r="EN32" s="72"/>
      <c r="EO32" s="72"/>
      <c r="EP32" s="72"/>
      <c r="EQ32" s="72"/>
      <c r="ER32" s="72"/>
      <c r="ES32" s="72"/>
      <c r="ET32" s="72"/>
      <c r="EU32" s="72"/>
      <c r="EV32" s="72"/>
      <c r="EW32" s="72"/>
      <c r="EX32" s="72"/>
      <c r="EY32" s="72"/>
      <c r="EZ32" s="72"/>
      <c r="FA32" s="72"/>
      <c r="FB32" s="72"/>
      <c r="FC32" s="72"/>
      <c r="FD32" s="72"/>
      <c r="FE32" s="72"/>
      <c r="FF32" s="72"/>
      <c r="FG32" s="72"/>
      <c r="FH32" s="72"/>
      <c r="FI32" s="72"/>
      <c r="FJ32" s="72"/>
      <c r="FK32" s="72"/>
      <c r="FL32" s="72"/>
      <c r="FM32" s="72"/>
      <c r="FN32" s="72"/>
      <c r="FO32" s="72"/>
      <c r="FP32" s="72"/>
      <c r="FQ32" s="72"/>
      <c r="FR32" s="72"/>
      <c r="FS32" s="72"/>
      <c r="FT32" s="72"/>
      <c r="FU32" s="72"/>
      <c r="FV32" s="72"/>
      <c r="FW32" s="72"/>
      <c r="FX32" s="72"/>
      <c r="FY32" s="72"/>
      <c r="FZ32" s="72"/>
      <c r="GA32" s="72"/>
      <c r="GB32" s="72"/>
      <c r="GC32" s="72"/>
      <c r="GD32" s="72"/>
      <c r="GE32" s="72"/>
      <c r="GF32" s="72"/>
      <c r="GG32" s="72"/>
      <c r="GH32" s="72"/>
      <c r="GI32" s="72"/>
      <c r="GJ32" s="72"/>
      <c r="GK32" s="72"/>
      <c r="GL32" s="73"/>
      <c r="GM32" s="73"/>
      <c r="GN32" s="73"/>
      <c r="GO32" s="73"/>
      <c r="GP32" s="73"/>
      <c r="GQ32" s="73"/>
      <c r="GR32" s="73"/>
      <c r="GS32" s="73"/>
      <c r="GT32" s="73"/>
      <c r="GU32" s="73"/>
      <c r="GV32" s="73"/>
      <c r="GW32" s="73"/>
      <c r="GX32" s="73"/>
      <c r="GY32" s="73"/>
      <c r="GZ32" s="73"/>
      <c r="HA32" s="73"/>
      <c r="HB32" s="73"/>
      <c r="HC32" s="73"/>
      <c r="HD32" s="73"/>
      <c r="HE32" s="73"/>
      <c r="HF32" s="73"/>
      <c r="HG32" s="73"/>
      <c r="HH32" s="73"/>
      <c r="HI32" s="73"/>
      <c r="HJ32" s="73"/>
      <c r="HK32" s="73"/>
      <c r="HL32" s="73"/>
      <c r="HM32" s="73"/>
      <c r="HN32" s="73"/>
      <c r="HO32" s="73"/>
      <c r="HP32" s="73"/>
      <c r="HQ32" s="73"/>
      <c r="HR32" s="73"/>
      <c r="HS32" s="73"/>
      <c r="HT32" s="73"/>
      <c r="HU32" s="73"/>
      <c r="HV32" s="73"/>
      <c r="HW32" s="73"/>
      <c r="HX32" s="73"/>
      <c r="HY32" s="73"/>
      <c r="HZ32" s="73"/>
      <c r="IA32" s="73"/>
      <c r="IB32" s="73"/>
      <c r="IC32" s="73"/>
      <c r="ID32" s="73"/>
      <c r="IE32" s="73"/>
      <c r="IF32" s="73"/>
      <c r="IG32" s="73"/>
      <c r="IH32" s="73"/>
      <c r="II32" s="73"/>
      <c r="IJ32" s="73"/>
      <c r="IK32" s="73"/>
      <c r="IL32" s="73"/>
      <c r="IM32" s="73"/>
      <c r="IN32" s="73"/>
      <c r="IO32" s="73"/>
      <c r="IP32" s="73"/>
      <c r="IQ32" s="73"/>
      <c r="IR32" s="73"/>
      <c r="IS32" s="73"/>
      <c r="IT32" s="73"/>
      <c r="IU32" s="73"/>
      <c r="IV32" s="73"/>
      <c r="IW32" s="73"/>
      <c r="IX32" s="73"/>
      <c r="IY32" s="73"/>
      <c r="IZ32" s="73"/>
      <c r="JA32" s="73"/>
      <c r="JB32" s="73"/>
      <c r="JC32" s="73"/>
    </row>
    <row r="33" spans="1:263" s="20" customFormat="1" ht="12.6" customHeight="1">
      <c r="A33" s="22">
        <v>2021</v>
      </c>
      <c r="B33" s="84">
        <v>38</v>
      </c>
      <c r="C33" s="15" t="s">
        <v>214</v>
      </c>
      <c r="D33" s="4">
        <f t="shared" si="1"/>
        <v>0</v>
      </c>
      <c r="E33" s="4">
        <f t="shared" ref="E33:W33" si="9">SUM(E34:E37)</f>
        <v>0</v>
      </c>
      <c r="F33" s="4">
        <f t="shared" si="9"/>
        <v>0</v>
      </c>
      <c r="G33" s="4">
        <f t="shared" si="9"/>
        <v>0</v>
      </c>
      <c r="H33" s="4">
        <f>SUM(H34:H37)</f>
        <v>0</v>
      </c>
      <c r="I33" s="4">
        <f t="shared" si="9"/>
        <v>0</v>
      </c>
      <c r="J33" s="4">
        <f t="shared" si="9"/>
        <v>0</v>
      </c>
      <c r="K33" s="4">
        <f t="shared" si="9"/>
        <v>0</v>
      </c>
      <c r="L33" s="4">
        <f>SUM(L34:L37)</f>
        <v>0</v>
      </c>
      <c r="M33" s="4">
        <f t="shared" si="9"/>
        <v>0</v>
      </c>
      <c r="N33" s="4">
        <f t="shared" si="9"/>
        <v>0</v>
      </c>
      <c r="O33" s="4">
        <f t="shared" si="9"/>
        <v>0</v>
      </c>
      <c r="P33" s="4">
        <f>SUM(P34:P37)</f>
        <v>0</v>
      </c>
      <c r="Q33" s="4">
        <f>SUM(Q34:Q37)</f>
        <v>0</v>
      </c>
      <c r="R33" s="4">
        <f>SUM(R34:R37)</f>
        <v>0</v>
      </c>
      <c r="S33" s="4">
        <f t="shared" si="9"/>
        <v>0</v>
      </c>
      <c r="T33" s="4">
        <f t="shared" si="9"/>
        <v>0</v>
      </c>
      <c r="U33" s="4">
        <f t="shared" si="9"/>
        <v>0</v>
      </c>
      <c r="V33" s="4">
        <f t="shared" si="9"/>
        <v>0</v>
      </c>
      <c r="W33" s="4">
        <f t="shared" si="9"/>
        <v>0</v>
      </c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5"/>
      <c r="BO33" s="85"/>
      <c r="BP33" s="85"/>
      <c r="BQ33" s="85"/>
      <c r="BR33" s="85"/>
      <c r="BS33" s="85"/>
      <c r="BT33" s="85"/>
      <c r="BU33" s="85"/>
      <c r="BV33" s="85"/>
      <c r="BW33" s="85"/>
      <c r="BX33" s="85"/>
      <c r="BY33" s="85"/>
      <c r="BZ33" s="85"/>
      <c r="CA33" s="85"/>
      <c r="CB33" s="85"/>
      <c r="CC33" s="85"/>
      <c r="CD33" s="85"/>
      <c r="CE33" s="85"/>
      <c r="CF33" s="85"/>
      <c r="CG33" s="85"/>
      <c r="CH33" s="85"/>
      <c r="CI33" s="85"/>
      <c r="CJ33" s="85"/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85"/>
      <c r="CW33" s="85"/>
      <c r="CX33" s="85"/>
      <c r="CY33" s="85"/>
      <c r="CZ33" s="85"/>
      <c r="DA33" s="85"/>
      <c r="DB33" s="85"/>
      <c r="DC33" s="85"/>
      <c r="DD33" s="85"/>
      <c r="DE33" s="85"/>
      <c r="DF33" s="85"/>
      <c r="DG33" s="85"/>
      <c r="DH33" s="85"/>
      <c r="DI33" s="85"/>
      <c r="DJ33" s="85"/>
      <c r="DK33" s="85"/>
      <c r="DL33" s="85"/>
      <c r="DM33" s="85"/>
      <c r="DN33" s="85"/>
      <c r="DO33" s="85"/>
      <c r="DP33" s="85"/>
      <c r="DQ33" s="85"/>
      <c r="DR33" s="85"/>
      <c r="DS33" s="85"/>
      <c r="DT33" s="85"/>
      <c r="DU33" s="85"/>
      <c r="DV33" s="85"/>
      <c r="DW33" s="85"/>
      <c r="DX33" s="85"/>
      <c r="DY33" s="85"/>
      <c r="DZ33" s="85"/>
      <c r="EA33" s="85"/>
      <c r="EB33" s="85"/>
      <c r="EC33" s="85"/>
      <c r="ED33" s="85"/>
      <c r="EE33" s="85"/>
      <c r="EF33" s="85"/>
      <c r="EG33" s="85"/>
      <c r="EH33" s="85"/>
      <c r="EI33" s="85"/>
      <c r="EJ33" s="85"/>
      <c r="EK33" s="85"/>
      <c r="EL33" s="85"/>
      <c r="EM33" s="85"/>
      <c r="EN33" s="85"/>
      <c r="EO33" s="85"/>
      <c r="EP33" s="85"/>
      <c r="EQ33" s="85"/>
      <c r="ER33" s="85"/>
      <c r="ES33" s="85"/>
      <c r="ET33" s="85"/>
      <c r="EU33" s="85"/>
      <c r="EV33" s="85"/>
      <c r="EW33" s="85"/>
      <c r="EX33" s="85"/>
      <c r="EY33" s="85"/>
      <c r="EZ33" s="85"/>
      <c r="FA33" s="85"/>
      <c r="FB33" s="85"/>
      <c r="FC33" s="85"/>
      <c r="FD33" s="85"/>
      <c r="FE33" s="85"/>
      <c r="FF33" s="85"/>
      <c r="FG33" s="85"/>
      <c r="FH33" s="85"/>
      <c r="FI33" s="85"/>
      <c r="FJ33" s="85"/>
      <c r="FK33" s="85"/>
      <c r="FL33" s="85"/>
      <c r="FM33" s="85"/>
      <c r="FN33" s="85"/>
      <c r="FO33" s="85"/>
      <c r="FP33" s="85"/>
      <c r="FQ33" s="85"/>
      <c r="FR33" s="85"/>
      <c r="FS33" s="85"/>
      <c r="FT33" s="85"/>
      <c r="FU33" s="85"/>
      <c r="FV33" s="85"/>
      <c r="FW33" s="85"/>
      <c r="FX33" s="85"/>
      <c r="FY33" s="85"/>
      <c r="FZ33" s="85"/>
      <c r="GA33" s="85"/>
      <c r="GB33" s="85"/>
      <c r="GC33" s="85"/>
      <c r="GD33" s="85"/>
      <c r="GE33" s="85"/>
      <c r="GF33" s="85"/>
      <c r="GG33" s="85"/>
      <c r="GH33" s="85"/>
      <c r="GI33" s="85"/>
      <c r="GJ33" s="85"/>
      <c r="GK33" s="85"/>
      <c r="GL33" s="86"/>
      <c r="GM33" s="86"/>
      <c r="GN33" s="86"/>
      <c r="GO33" s="86"/>
      <c r="GP33" s="86"/>
      <c r="GQ33" s="86"/>
      <c r="GR33" s="86"/>
      <c r="GS33" s="86"/>
      <c r="GT33" s="86"/>
      <c r="GU33" s="86"/>
      <c r="GV33" s="86"/>
      <c r="GW33" s="86"/>
      <c r="GX33" s="86"/>
      <c r="GY33" s="86"/>
      <c r="GZ33" s="86"/>
      <c r="HA33" s="86"/>
      <c r="HB33" s="86"/>
      <c r="HC33" s="86"/>
      <c r="HD33" s="86"/>
      <c r="HE33" s="86"/>
      <c r="HF33" s="86"/>
      <c r="HG33" s="86"/>
      <c r="HH33" s="86"/>
      <c r="HI33" s="86"/>
      <c r="HJ33" s="86"/>
      <c r="HK33" s="86"/>
      <c r="HL33" s="86"/>
      <c r="HM33" s="86"/>
      <c r="HN33" s="86"/>
      <c r="HO33" s="86"/>
      <c r="HP33" s="86"/>
      <c r="HQ33" s="86"/>
      <c r="HR33" s="86"/>
      <c r="HS33" s="86"/>
      <c r="HT33" s="86"/>
      <c r="HU33" s="86"/>
      <c r="HV33" s="86"/>
      <c r="HW33" s="86"/>
      <c r="HX33" s="86"/>
      <c r="HY33" s="86"/>
      <c r="HZ33" s="86"/>
      <c r="IA33" s="86"/>
      <c r="IB33" s="86"/>
      <c r="IC33" s="86"/>
      <c r="ID33" s="86"/>
      <c r="IE33" s="86"/>
      <c r="IF33" s="86"/>
      <c r="IG33" s="86"/>
      <c r="IH33" s="86"/>
      <c r="II33" s="86"/>
      <c r="IJ33" s="86"/>
      <c r="IK33" s="86"/>
      <c r="IL33" s="86"/>
      <c r="IM33" s="86"/>
      <c r="IN33" s="86"/>
      <c r="IO33" s="86"/>
      <c r="IP33" s="86"/>
      <c r="IQ33" s="86"/>
      <c r="IR33" s="86"/>
      <c r="IS33" s="86"/>
      <c r="IT33" s="86"/>
      <c r="IU33" s="86"/>
      <c r="IV33" s="86"/>
      <c r="IW33" s="86"/>
      <c r="IX33" s="86"/>
      <c r="IY33" s="86"/>
      <c r="IZ33" s="86"/>
      <c r="JA33" s="86"/>
      <c r="JB33" s="86"/>
      <c r="JC33" s="86"/>
    </row>
    <row r="34" spans="1:263" s="21" customFormat="1" ht="12.6" customHeight="1">
      <c r="A34" s="22">
        <v>2021</v>
      </c>
      <c r="B34" s="82">
        <v>381</v>
      </c>
      <c r="C34" s="8" t="s">
        <v>215</v>
      </c>
      <c r="D34" s="14">
        <f t="shared" si="1"/>
        <v>0</v>
      </c>
      <c r="E34" s="140">
        <f>SUMIFS('Plan rashoda za unos u SAP'!$I$3:$I$501,'Plan rashoda za unos u SAP'!$C$3:$C$501,"=11",'Plan rashoda za unos u SAP'!$M$3:$M$501,"=381")+SUMIFS('ANALITIKA EU PROJEKATA'!$G$3:$G$501,'ANALITIKA EU PROJEKATA'!$A$3:$A$501,"=11",'ANALITIKA EU PROJEKATA'!$P$3:$P$501,"=381")</f>
        <v>0</v>
      </c>
      <c r="F34" s="140">
        <f>SUMIFS('Plan rashoda za unos u SAP'!$I$3:$I$501,'Plan rashoda za unos u SAP'!$C$3:$C$501,"=12",'Plan rashoda za unos u SAP'!$M$3:$M$501,"=381")+SUMIFS('ANALITIKA EU PROJEKATA'!$G$3:$G$501,'ANALITIKA EU PROJEKATA'!$A$3:$A$501,"=12",'ANALITIKA EU PROJEKATA'!$P$3:$P$501,"=381")</f>
        <v>0</v>
      </c>
      <c r="G34" s="140">
        <f>SUMIFS('Plan rashoda za unos u SAP'!$I$3:$I$501,'Plan rashoda za unos u SAP'!$C$3:$C$501,"=31",'Plan rashoda za unos u SAP'!$M$3:$M$501,"=381")+SUMIFS('ANALITIKA EU PROJEKATA'!$G$3:$G$501,'ANALITIKA EU PROJEKATA'!$A$3:$A$501,"=31",'ANALITIKA EU PROJEKATA'!$P$3:$P$501,"=381")</f>
        <v>0</v>
      </c>
      <c r="H34" s="140">
        <f>SUMIFS('Plan rashoda za unos u SAP'!$I$3:$I$501,'Plan rashoda za unos u SAP'!$C$3:$C$501,"=41",'Plan rashoda za unos u SAP'!$M$3:$M$501,"=381")+SUMIFS('ANALITIKA EU PROJEKATA'!$G$3:$G$501,'ANALITIKA EU PROJEKATA'!$A$3:$A$501,"=41",'ANALITIKA EU PROJEKATA'!$P$3:$P$501,"=381")</f>
        <v>0</v>
      </c>
      <c r="I34" s="140">
        <f>SUMIFS('Plan rashoda za unos u SAP'!$I$3:$I$501,'Plan rashoda za unos u SAP'!$C$3:$C$501,"=43",'Plan rashoda za unos u SAP'!$M$3:$M$501,"=381")+SUMIFS('ANALITIKA EU PROJEKATA'!$G$3:$G$501,'ANALITIKA EU PROJEKATA'!$A$3:$A$501,"=43",'ANALITIKA EU PROJEKATA'!$P$3:$P$501,"=381")</f>
        <v>0</v>
      </c>
      <c r="J34" s="140">
        <f>SUMIFS('Plan rashoda za unos u SAP'!$I$3:$I$501,'Plan rashoda za unos u SAP'!$C$3:$C$501,"=51",'Plan rashoda za unos u SAP'!$M$3:$M$501,"=381")+SUMIFS('ANALITIKA EU PROJEKATA'!$G$3:$G$501,'ANALITIKA EU PROJEKATA'!$A$3:$A$501,"=51",'ANALITIKA EU PROJEKATA'!$P$3:$P$501,"=381")</f>
        <v>0</v>
      </c>
      <c r="K34" s="140">
        <f>SUMIFS('Plan rashoda za unos u SAP'!$I$3:$I$501,'Plan rashoda za unos u SAP'!$C$3:$C$501,"=52",'Plan rashoda za unos u SAP'!$M$3:$M$501,"=381")+SUMIFS('ANALITIKA EU PROJEKATA'!$G$3:$G$501,'ANALITIKA EU PROJEKATA'!$A$3:$A$501,"=52",'ANALITIKA EU PROJEKATA'!$P$3:$P$501,"=381")</f>
        <v>0</v>
      </c>
      <c r="L34" s="140">
        <f>SUMIFS('Plan rashoda za unos u SAP'!$I$3:$I$501,'Plan rashoda za unos u SAP'!$C$3:$C$501,"=552",'Plan rashoda za unos u SAP'!$M$3:$M$501,"=381")+SUMIFS('ANALITIKA EU PROJEKATA'!$G$3:$G$501,'ANALITIKA EU PROJEKATA'!$A$3:$A$501,"=552",'ANALITIKA EU PROJEKATA'!$P$3:$P$501,"=381")</f>
        <v>0</v>
      </c>
      <c r="M34" s="140">
        <f>SUMIFS('Plan rashoda za unos u SAP'!$I$3:$I$501,'Plan rashoda za unos u SAP'!$C$3:$C$501,"=559",'Plan rashoda za unos u SAP'!$M$3:$M$501,"=381")+SUMIFS('ANALITIKA EU PROJEKATA'!$G$3:$G$501,'ANALITIKA EU PROJEKATA'!$A$3:$A$501,"=559",'ANALITIKA EU PROJEKATA'!$P$3:$P$501,"=381")</f>
        <v>0</v>
      </c>
      <c r="N34" s="140">
        <f>SUMIFS('Plan rashoda za unos u SAP'!$I$3:$I$501,'Plan rashoda za unos u SAP'!$C$3:$C$501,"=561",'Plan rashoda za unos u SAP'!$M$3:$M$501,"=381")+SUMIFS('ANALITIKA EU PROJEKATA'!$G$3:$G$501,'ANALITIKA EU PROJEKATA'!$A$3:$A$501,"=561",'ANALITIKA EU PROJEKATA'!$P$3:$P$501,"=381")</f>
        <v>0</v>
      </c>
      <c r="O34" s="140">
        <f>SUMIFS('Plan rashoda za unos u SAP'!$I$3:$I$501,'Plan rashoda za unos u SAP'!$C$3:$C$501,"=563",'Plan rashoda za unos u SAP'!$M$3:$M$501,"=381")+SUMIFS('ANALITIKA EU PROJEKATA'!$G$3:$G$501,'ANALITIKA EU PROJEKATA'!$A$3:$A$501,"=563",'ANALITIKA EU PROJEKATA'!$P$3:$P$501,"=381")</f>
        <v>0</v>
      </c>
      <c r="P34" s="140">
        <f>SUMIFS('Plan rashoda za unos u SAP'!$I$3:$I$501,'Plan rashoda za unos u SAP'!$C$3:$C$501,"=573",'Plan rashoda za unos u SAP'!$M$3:$M$501,"=381")+SUMIFS('ANALITIKA EU PROJEKATA'!$G$3:$G$501,'ANALITIKA EU PROJEKATA'!$A$3:$A$501,"=573",'ANALITIKA EU PROJEKATA'!$P$3:$P$501,"=381")</f>
        <v>0</v>
      </c>
      <c r="Q34" s="140">
        <f>SUMIFS('Plan rashoda za unos u SAP'!$I$3:$I$501,'Plan rashoda za unos u SAP'!$C$3:$C$501,"=575",'Plan rashoda za unos u SAP'!$M$3:$M$501,"=381")+SUMIFS('ANALITIKA EU PROJEKATA'!$G$3:$G$501,'ANALITIKA EU PROJEKATA'!$A$3:$A$501,"=575",'ANALITIKA EU PROJEKATA'!$P$3:$P$501,"=381")</f>
        <v>0</v>
      </c>
      <c r="R34" s="140">
        <f>SUMIFS('Plan rashoda za unos u SAP'!$I$3:$I$501,'Plan rashoda za unos u SAP'!$C$3:$C$501,"=576",'Plan rashoda za unos u SAP'!$M$3:$M$501,"=381")+SUMIFS('ANALITIKA EU PROJEKATA'!$G$3:$G$501,'ANALITIKA EU PROJEKATA'!$A$3:$A$501,"=576",'ANALITIKA EU PROJEKATA'!$P$3:$P$501,"=381")</f>
        <v>0</v>
      </c>
      <c r="S34" s="140">
        <f>SUMIFS('Plan rashoda za unos u SAP'!$I$3:$I$501,'Plan rashoda za unos u SAP'!$C$3:$C$501,"=61",'Plan rashoda za unos u SAP'!$M$3:$M$501,"=381")+SUMIFS('ANALITIKA EU PROJEKATA'!$G$3:$G$501,'ANALITIKA EU PROJEKATA'!$A$3:$A$501,"=61",'ANALITIKA EU PROJEKATA'!$P$3:$P$501,"=381")</f>
        <v>0</v>
      </c>
      <c r="T34" s="140">
        <f>SUMIFS('Plan rashoda za unos u SAP'!$I$3:$I$501,'Plan rashoda za unos u SAP'!$C$3:$C$501,"=63",'Plan rashoda za unos u SAP'!$M$3:$M$501,"=381")+SUMIFS('ANALITIKA EU PROJEKATA'!$G$3:$G$501,'ANALITIKA EU PROJEKATA'!$A$3:$A$501,"=63",'ANALITIKA EU PROJEKATA'!$P$3:$P$501,"=381")</f>
        <v>0</v>
      </c>
      <c r="U34" s="140">
        <f>SUMIFS('Plan rashoda za unos u SAP'!$I$3:$I$501,'Plan rashoda za unos u SAP'!$C$3:$C$501,"=71",'Plan rashoda za unos u SAP'!$M$3:$M$501,"=381")+SUMIFS('ANALITIKA EU PROJEKATA'!$G$3:$G$501,'ANALITIKA EU PROJEKATA'!$A$3:$A$501,"=71",'ANALITIKA EU PROJEKATA'!$P$3:$P$501,"=381")</f>
        <v>0</v>
      </c>
      <c r="V34" s="140">
        <f>SUMIFS('Plan rashoda za unos u SAP'!$I$3:$I$501,'Plan rashoda za unos u SAP'!$C$3:$C$501,"=81",'Plan rashoda za unos u SAP'!$M$3:$M$501,"=381")+SUMIFS('ANALITIKA EU PROJEKATA'!$G$3:$G$501,'ANALITIKA EU PROJEKATA'!$A$3:$A$501,"=81",'ANALITIKA EU PROJEKATA'!$P$3:$P$501,"=381")</f>
        <v>0</v>
      </c>
      <c r="W34" s="140">
        <f>SUMIFS('Plan rashoda za unos u SAP'!$I$3:$I$501,'Plan rashoda za unos u SAP'!$C$3:$C$501,"=83",'Plan rashoda za unos u SAP'!$M$3:$M$501,"=381")+SUMIFS('ANALITIKA EU PROJEKATA'!$G$3:$G$501,'ANALITIKA EU PROJEKATA'!$A$3:$A$501,"=83",'ANALITIKA EU PROJEKATA'!$P$3:$P$501,"=381")</f>
        <v>0</v>
      </c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2"/>
      <c r="CG34" s="72"/>
      <c r="CH34" s="72"/>
      <c r="CI34" s="72"/>
      <c r="CJ34" s="72"/>
      <c r="CK34" s="72"/>
      <c r="CL34" s="72"/>
      <c r="CM34" s="72"/>
      <c r="CN34" s="72"/>
      <c r="CO34" s="72"/>
      <c r="CP34" s="72"/>
      <c r="CQ34" s="72"/>
      <c r="CR34" s="72"/>
      <c r="CS34" s="72"/>
      <c r="CT34" s="72"/>
      <c r="CU34" s="72"/>
      <c r="CV34" s="72"/>
      <c r="CW34" s="72"/>
      <c r="CX34" s="72"/>
      <c r="CY34" s="72"/>
      <c r="CZ34" s="72"/>
      <c r="DA34" s="72"/>
      <c r="DB34" s="72"/>
      <c r="DC34" s="72"/>
      <c r="DD34" s="72"/>
      <c r="DE34" s="72"/>
      <c r="DF34" s="72"/>
      <c r="DG34" s="72"/>
      <c r="DH34" s="72"/>
      <c r="DI34" s="72"/>
      <c r="DJ34" s="72"/>
      <c r="DK34" s="72"/>
      <c r="DL34" s="72"/>
      <c r="DM34" s="72"/>
      <c r="DN34" s="72"/>
      <c r="DO34" s="72"/>
      <c r="DP34" s="72"/>
      <c r="DQ34" s="72"/>
      <c r="DR34" s="72"/>
      <c r="DS34" s="72"/>
      <c r="DT34" s="72"/>
      <c r="DU34" s="72"/>
      <c r="DV34" s="72"/>
      <c r="DW34" s="72"/>
      <c r="DX34" s="72"/>
      <c r="DY34" s="72"/>
      <c r="DZ34" s="72"/>
      <c r="EA34" s="72"/>
      <c r="EB34" s="72"/>
      <c r="EC34" s="72"/>
      <c r="ED34" s="72"/>
      <c r="EE34" s="72"/>
      <c r="EF34" s="72"/>
      <c r="EG34" s="72"/>
      <c r="EH34" s="72"/>
      <c r="EI34" s="72"/>
      <c r="EJ34" s="72"/>
      <c r="EK34" s="72"/>
      <c r="EL34" s="72"/>
      <c r="EM34" s="72"/>
      <c r="EN34" s="72"/>
      <c r="EO34" s="72"/>
      <c r="EP34" s="72"/>
      <c r="EQ34" s="72"/>
      <c r="ER34" s="72"/>
      <c r="ES34" s="72"/>
      <c r="ET34" s="72"/>
      <c r="EU34" s="72"/>
      <c r="EV34" s="72"/>
      <c r="EW34" s="72"/>
      <c r="EX34" s="72"/>
      <c r="EY34" s="72"/>
      <c r="EZ34" s="72"/>
      <c r="FA34" s="72"/>
      <c r="FB34" s="72"/>
      <c r="FC34" s="72"/>
      <c r="FD34" s="72"/>
      <c r="FE34" s="72"/>
      <c r="FF34" s="72"/>
      <c r="FG34" s="72"/>
      <c r="FH34" s="72"/>
      <c r="FI34" s="72"/>
      <c r="FJ34" s="72"/>
      <c r="FK34" s="72"/>
      <c r="FL34" s="72"/>
      <c r="FM34" s="72"/>
      <c r="FN34" s="72"/>
      <c r="FO34" s="72"/>
      <c r="FP34" s="72"/>
      <c r="FQ34" s="72"/>
      <c r="FR34" s="72"/>
      <c r="FS34" s="72"/>
      <c r="FT34" s="72"/>
      <c r="FU34" s="72"/>
      <c r="FV34" s="72"/>
      <c r="FW34" s="72"/>
      <c r="FX34" s="72"/>
      <c r="FY34" s="72"/>
      <c r="FZ34" s="72"/>
      <c r="GA34" s="72"/>
      <c r="GB34" s="72"/>
      <c r="GC34" s="72"/>
      <c r="GD34" s="72"/>
      <c r="GE34" s="72"/>
      <c r="GF34" s="72"/>
      <c r="GG34" s="72"/>
      <c r="GH34" s="72"/>
      <c r="GI34" s="72"/>
      <c r="GJ34" s="72"/>
      <c r="GK34" s="72"/>
      <c r="GL34" s="73"/>
      <c r="GM34" s="73"/>
      <c r="GN34" s="73"/>
      <c r="GO34" s="73"/>
      <c r="GP34" s="73"/>
      <c r="GQ34" s="73"/>
      <c r="GR34" s="73"/>
      <c r="GS34" s="73"/>
      <c r="GT34" s="73"/>
      <c r="GU34" s="73"/>
      <c r="GV34" s="73"/>
      <c r="GW34" s="73"/>
      <c r="GX34" s="73"/>
      <c r="GY34" s="73"/>
      <c r="GZ34" s="73"/>
      <c r="HA34" s="73"/>
      <c r="HB34" s="73"/>
      <c r="HC34" s="73"/>
      <c r="HD34" s="73"/>
      <c r="HE34" s="73"/>
      <c r="HF34" s="73"/>
      <c r="HG34" s="73"/>
      <c r="HH34" s="73"/>
      <c r="HI34" s="73"/>
      <c r="HJ34" s="73"/>
      <c r="HK34" s="73"/>
      <c r="HL34" s="73"/>
      <c r="HM34" s="73"/>
      <c r="HN34" s="73"/>
      <c r="HO34" s="73"/>
      <c r="HP34" s="73"/>
      <c r="HQ34" s="73"/>
      <c r="HR34" s="73"/>
      <c r="HS34" s="73"/>
      <c r="HT34" s="73"/>
      <c r="HU34" s="73"/>
      <c r="HV34" s="73"/>
      <c r="HW34" s="73"/>
      <c r="HX34" s="73"/>
      <c r="HY34" s="73"/>
      <c r="HZ34" s="73"/>
      <c r="IA34" s="73"/>
      <c r="IB34" s="73"/>
      <c r="IC34" s="73"/>
      <c r="ID34" s="73"/>
      <c r="IE34" s="73"/>
      <c r="IF34" s="73"/>
      <c r="IG34" s="73"/>
      <c r="IH34" s="73"/>
      <c r="II34" s="73"/>
      <c r="IJ34" s="73"/>
      <c r="IK34" s="73"/>
      <c r="IL34" s="73"/>
      <c r="IM34" s="73"/>
      <c r="IN34" s="73"/>
      <c r="IO34" s="73"/>
      <c r="IP34" s="73"/>
      <c r="IQ34" s="73"/>
      <c r="IR34" s="73"/>
      <c r="IS34" s="73"/>
      <c r="IT34" s="73"/>
      <c r="IU34" s="73"/>
      <c r="IV34" s="73"/>
      <c r="IW34" s="73"/>
      <c r="IX34" s="73"/>
      <c r="IY34" s="73"/>
      <c r="IZ34" s="73"/>
      <c r="JA34" s="73"/>
      <c r="JB34" s="73"/>
      <c r="JC34" s="73"/>
    </row>
    <row r="35" spans="1:263" s="21" customFormat="1" ht="12.6" customHeight="1">
      <c r="A35" s="22">
        <v>2021</v>
      </c>
      <c r="B35" s="82">
        <v>382</v>
      </c>
      <c r="C35" s="8" t="s">
        <v>337</v>
      </c>
      <c r="D35" s="14">
        <f t="shared" si="1"/>
        <v>0</v>
      </c>
      <c r="E35" s="140">
        <f>SUMIFS('Plan rashoda za unos u SAP'!$I$3:$I$501,'Plan rashoda za unos u SAP'!$C$3:$C$501,"=11",'Plan rashoda za unos u SAP'!$M$3:$M$501,"=382")+SUMIFS('ANALITIKA EU PROJEKATA'!$G$3:$G$501,'ANALITIKA EU PROJEKATA'!$A$3:$A$501,"=11",'ANALITIKA EU PROJEKATA'!$P$3:$P$501,"=382")</f>
        <v>0</v>
      </c>
      <c r="F35" s="140">
        <f>SUMIFS('Plan rashoda za unos u SAP'!$I$3:$I$501,'Plan rashoda za unos u SAP'!$C$3:$C$501,"=12",'Plan rashoda za unos u SAP'!$M$3:$M$501,"=382")+SUMIFS('ANALITIKA EU PROJEKATA'!$G$3:$G$501,'ANALITIKA EU PROJEKATA'!$A$3:$A$501,"=12",'ANALITIKA EU PROJEKATA'!$P$3:$P$501,"=382")</f>
        <v>0</v>
      </c>
      <c r="G35" s="140">
        <f>SUMIFS('Plan rashoda za unos u SAP'!$I$3:$I$501,'Plan rashoda za unos u SAP'!$C$3:$C$501,"=31",'Plan rashoda za unos u SAP'!$M$3:$M$501,"=382")+SUMIFS('ANALITIKA EU PROJEKATA'!$G$3:$G$501,'ANALITIKA EU PROJEKATA'!$A$3:$A$501,"=31",'ANALITIKA EU PROJEKATA'!$P$3:$P$501,"=382")</f>
        <v>0</v>
      </c>
      <c r="H35" s="140">
        <f>SUMIFS('Plan rashoda za unos u SAP'!$I$3:$I$501,'Plan rashoda za unos u SAP'!$C$3:$C$501,"=41",'Plan rashoda za unos u SAP'!$M$3:$M$501,"=382")+SUMIFS('ANALITIKA EU PROJEKATA'!$G$3:$G$501,'ANALITIKA EU PROJEKATA'!$A$3:$A$501,"=41",'ANALITIKA EU PROJEKATA'!$P$3:$P$501,"=382")</f>
        <v>0</v>
      </c>
      <c r="I35" s="140">
        <f>SUMIFS('Plan rashoda za unos u SAP'!$I$3:$I$501,'Plan rashoda za unos u SAP'!$C$3:$C$501,"=43",'Plan rashoda za unos u SAP'!$M$3:$M$501,"=382")+SUMIFS('ANALITIKA EU PROJEKATA'!$G$3:$G$501,'ANALITIKA EU PROJEKATA'!$A$3:$A$501,"=43",'ANALITIKA EU PROJEKATA'!$P$3:$P$501,"=382")</f>
        <v>0</v>
      </c>
      <c r="J35" s="140">
        <f>SUMIFS('Plan rashoda za unos u SAP'!$I$3:$I$501,'Plan rashoda za unos u SAP'!$C$3:$C$501,"=51",'Plan rashoda za unos u SAP'!$M$3:$M$501,"=382")+SUMIFS('ANALITIKA EU PROJEKATA'!$G$3:$G$501,'ANALITIKA EU PROJEKATA'!$A$3:$A$501,"=51",'ANALITIKA EU PROJEKATA'!$P$3:$P$501,"=382")</f>
        <v>0</v>
      </c>
      <c r="K35" s="140">
        <f>SUMIFS('Plan rashoda za unos u SAP'!$I$3:$I$501,'Plan rashoda za unos u SAP'!$C$3:$C$501,"=52",'Plan rashoda za unos u SAP'!$M$3:$M$501,"=382")+SUMIFS('ANALITIKA EU PROJEKATA'!$G$3:$G$501,'ANALITIKA EU PROJEKATA'!$A$3:$A$501,"=52",'ANALITIKA EU PROJEKATA'!$P$3:$P$501,"=382")</f>
        <v>0</v>
      </c>
      <c r="L35" s="140">
        <f>SUMIFS('Plan rashoda za unos u SAP'!$I$3:$I$501,'Plan rashoda za unos u SAP'!$C$3:$C$501,"=552",'Plan rashoda za unos u SAP'!$M$3:$M$501,"=382")+SUMIFS('ANALITIKA EU PROJEKATA'!$G$3:$G$501,'ANALITIKA EU PROJEKATA'!$A$3:$A$501,"=552",'ANALITIKA EU PROJEKATA'!$P$3:$P$501,"=382")</f>
        <v>0</v>
      </c>
      <c r="M35" s="140">
        <f>SUMIFS('Plan rashoda za unos u SAP'!$I$3:$I$501,'Plan rashoda za unos u SAP'!$C$3:$C$501,"=559",'Plan rashoda za unos u SAP'!$M$3:$M$501,"=382")+SUMIFS('ANALITIKA EU PROJEKATA'!$G$3:$G$501,'ANALITIKA EU PROJEKATA'!$A$3:$A$501,"=559",'ANALITIKA EU PROJEKATA'!$P$3:$P$501,"=382")</f>
        <v>0</v>
      </c>
      <c r="N35" s="140">
        <f>SUMIFS('Plan rashoda za unos u SAP'!$I$3:$I$501,'Plan rashoda za unos u SAP'!$C$3:$C$501,"=561",'Plan rashoda za unos u SAP'!$M$3:$M$501,"=382")+SUMIFS('ANALITIKA EU PROJEKATA'!$G$3:$G$501,'ANALITIKA EU PROJEKATA'!$A$3:$A$501,"=561",'ANALITIKA EU PROJEKATA'!$P$3:$P$501,"=382")</f>
        <v>0</v>
      </c>
      <c r="O35" s="140">
        <f>SUMIFS('Plan rashoda za unos u SAP'!$I$3:$I$501,'Plan rashoda za unos u SAP'!$C$3:$C$501,"=563",'Plan rashoda za unos u SAP'!$M$3:$M$501,"=382")+SUMIFS('ANALITIKA EU PROJEKATA'!$G$3:$G$501,'ANALITIKA EU PROJEKATA'!$A$3:$A$501,"=563",'ANALITIKA EU PROJEKATA'!$P$3:$P$501,"=382")</f>
        <v>0</v>
      </c>
      <c r="P35" s="140">
        <f>SUMIFS('Plan rashoda za unos u SAP'!$I$3:$I$501,'Plan rashoda za unos u SAP'!$C$3:$C$501,"=573",'Plan rashoda za unos u SAP'!$M$3:$M$501,"=382")+SUMIFS('ANALITIKA EU PROJEKATA'!$G$3:$G$501,'ANALITIKA EU PROJEKATA'!$A$3:$A$501,"=573",'ANALITIKA EU PROJEKATA'!$P$3:$P$501,"=382")</f>
        <v>0</v>
      </c>
      <c r="Q35" s="140">
        <f>SUMIFS('Plan rashoda za unos u SAP'!$I$3:$I$501,'Plan rashoda za unos u SAP'!$C$3:$C$501,"=575",'Plan rashoda za unos u SAP'!$M$3:$M$501,"=382")+SUMIFS('ANALITIKA EU PROJEKATA'!$G$3:$G$501,'ANALITIKA EU PROJEKATA'!$A$3:$A$501,"=575",'ANALITIKA EU PROJEKATA'!$P$3:$P$501,"=382")</f>
        <v>0</v>
      </c>
      <c r="R35" s="140">
        <f>SUMIFS('Plan rashoda za unos u SAP'!$I$3:$I$501,'Plan rashoda za unos u SAP'!$C$3:$C$501,"=576",'Plan rashoda za unos u SAP'!$M$3:$M$501,"=382")+SUMIFS('ANALITIKA EU PROJEKATA'!$G$3:$G$501,'ANALITIKA EU PROJEKATA'!$A$3:$A$501,"=576",'ANALITIKA EU PROJEKATA'!$P$3:$P$501,"=382")</f>
        <v>0</v>
      </c>
      <c r="S35" s="140">
        <f>SUMIFS('Plan rashoda za unos u SAP'!$I$3:$I$501,'Plan rashoda za unos u SAP'!$C$3:$C$501,"=61",'Plan rashoda za unos u SAP'!$M$3:$M$501,"=382")+SUMIFS('ANALITIKA EU PROJEKATA'!$G$3:$G$501,'ANALITIKA EU PROJEKATA'!$A$3:$A$501,"=61",'ANALITIKA EU PROJEKATA'!$P$3:$P$501,"=382")</f>
        <v>0</v>
      </c>
      <c r="T35" s="140">
        <f>SUMIFS('Plan rashoda za unos u SAP'!$I$3:$I$501,'Plan rashoda za unos u SAP'!$C$3:$C$501,"=63",'Plan rashoda za unos u SAP'!$M$3:$M$501,"=382")+SUMIFS('ANALITIKA EU PROJEKATA'!$G$3:$G$501,'ANALITIKA EU PROJEKATA'!$A$3:$A$501,"=63",'ANALITIKA EU PROJEKATA'!$P$3:$P$501,"=382")</f>
        <v>0</v>
      </c>
      <c r="U35" s="140">
        <f>SUMIFS('Plan rashoda za unos u SAP'!$I$3:$I$501,'Plan rashoda za unos u SAP'!$C$3:$C$501,"=71",'Plan rashoda za unos u SAP'!$M$3:$M$501,"=382")+SUMIFS('ANALITIKA EU PROJEKATA'!$G$3:$G$501,'ANALITIKA EU PROJEKATA'!$A$3:$A$501,"=71",'ANALITIKA EU PROJEKATA'!$P$3:$P$501,"=382")</f>
        <v>0</v>
      </c>
      <c r="V35" s="140">
        <f>SUMIFS('Plan rashoda za unos u SAP'!$I$3:$I$501,'Plan rashoda za unos u SAP'!$C$3:$C$501,"=81",'Plan rashoda za unos u SAP'!$M$3:$M$501,"=382")+SUMIFS('ANALITIKA EU PROJEKATA'!$G$3:$G$501,'ANALITIKA EU PROJEKATA'!$A$3:$A$501,"=81",'ANALITIKA EU PROJEKATA'!$P$3:$P$501,"=382")</f>
        <v>0</v>
      </c>
      <c r="W35" s="140">
        <f>SUMIFS('Plan rashoda za unos u SAP'!$I$3:$I$501,'Plan rashoda za unos u SAP'!$C$3:$C$501,"=83",'Plan rashoda za unos u SAP'!$M$3:$M$501,"=382")+SUMIFS('ANALITIKA EU PROJEKATA'!$G$3:$G$501,'ANALITIKA EU PROJEKATA'!$A$3:$A$501,"=83",'ANALITIKA EU PROJEKATA'!$P$3:$P$501,"=382")</f>
        <v>0</v>
      </c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72"/>
      <c r="CK35" s="72"/>
      <c r="CL35" s="72"/>
      <c r="CM35" s="72"/>
      <c r="CN35" s="72"/>
      <c r="CO35" s="72"/>
      <c r="CP35" s="72"/>
      <c r="CQ35" s="72"/>
      <c r="CR35" s="72"/>
      <c r="CS35" s="72"/>
      <c r="CT35" s="72"/>
      <c r="CU35" s="72"/>
      <c r="CV35" s="72"/>
      <c r="CW35" s="72"/>
      <c r="CX35" s="72"/>
      <c r="CY35" s="72"/>
      <c r="CZ35" s="72"/>
      <c r="DA35" s="72"/>
      <c r="DB35" s="72"/>
      <c r="DC35" s="72"/>
      <c r="DD35" s="72"/>
      <c r="DE35" s="72"/>
      <c r="DF35" s="72"/>
      <c r="DG35" s="72"/>
      <c r="DH35" s="72"/>
      <c r="DI35" s="72"/>
      <c r="DJ35" s="72"/>
      <c r="DK35" s="72"/>
      <c r="DL35" s="72"/>
      <c r="DM35" s="72"/>
      <c r="DN35" s="72"/>
      <c r="DO35" s="72"/>
      <c r="DP35" s="72"/>
      <c r="DQ35" s="72"/>
      <c r="DR35" s="72"/>
      <c r="DS35" s="72"/>
      <c r="DT35" s="72"/>
      <c r="DU35" s="72"/>
      <c r="DV35" s="72"/>
      <c r="DW35" s="72"/>
      <c r="DX35" s="72"/>
      <c r="DY35" s="72"/>
      <c r="DZ35" s="72"/>
      <c r="EA35" s="72"/>
      <c r="EB35" s="72"/>
      <c r="EC35" s="72"/>
      <c r="ED35" s="72"/>
      <c r="EE35" s="72"/>
      <c r="EF35" s="72"/>
      <c r="EG35" s="72"/>
      <c r="EH35" s="72"/>
      <c r="EI35" s="72"/>
      <c r="EJ35" s="72"/>
      <c r="EK35" s="72"/>
      <c r="EL35" s="72"/>
      <c r="EM35" s="72"/>
      <c r="EN35" s="72"/>
      <c r="EO35" s="72"/>
      <c r="EP35" s="72"/>
      <c r="EQ35" s="72"/>
      <c r="ER35" s="72"/>
      <c r="ES35" s="72"/>
      <c r="ET35" s="72"/>
      <c r="EU35" s="72"/>
      <c r="EV35" s="72"/>
      <c r="EW35" s="72"/>
      <c r="EX35" s="72"/>
      <c r="EY35" s="72"/>
      <c r="EZ35" s="72"/>
      <c r="FA35" s="72"/>
      <c r="FB35" s="72"/>
      <c r="FC35" s="72"/>
      <c r="FD35" s="72"/>
      <c r="FE35" s="72"/>
      <c r="FF35" s="72"/>
      <c r="FG35" s="72"/>
      <c r="FH35" s="72"/>
      <c r="FI35" s="72"/>
      <c r="FJ35" s="72"/>
      <c r="FK35" s="72"/>
      <c r="FL35" s="72"/>
      <c r="FM35" s="72"/>
      <c r="FN35" s="72"/>
      <c r="FO35" s="72"/>
      <c r="FP35" s="72"/>
      <c r="FQ35" s="72"/>
      <c r="FR35" s="72"/>
      <c r="FS35" s="72"/>
      <c r="FT35" s="72"/>
      <c r="FU35" s="72"/>
      <c r="FV35" s="72"/>
      <c r="FW35" s="72"/>
      <c r="FX35" s="72"/>
      <c r="FY35" s="72"/>
      <c r="FZ35" s="72"/>
      <c r="GA35" s="72"/>
      <c r="GB35" s="72"/>
      <c r="GC35" s="72"/>
      <c r="GD35" s="72"/>
      <c r="GE35" s="72"/>
      <c r="GF35" s="72"/>
      <c r="GG35" s="72"/>
      <c r="GH35" s="72"/>
      <c r="GI35" s="72"/>
      <c r="GJ35" s="72"/>
      <c r="GK35" s="72"/>
      <c r="GL35" s="73"/>
      <c r="GM35" s="73"/>
      <c r="GN35" s="73"/>
      <c r="GO35" s="73"/>
      <c r="GP35" s="73"/>
      <c r="GQ35" s="73"/>
      <c r="GR35" s="73"/>
      <c r="GS35" s="73"/>
      <c r="GT35" s="73"/>
      <c r="GU35" s="73"/>
      <c r="GV35" s="73"/>
      <c r="GW35" s="73"/>
      <c r="GX35" s="73"/>
      <c r="GY35" s="73"/>
      <c r="GZ35" s="73"/>
      <c r="HA35" s="73"/>
      <c r="HB35" s="73"/>
      <c r="HC35" s="73"/>
      <c r="HD35" s="73"/>
      <c r="HE35" s="73"/>
      <c r="HF35" s="73"/>
      <c r="HG35" s="73"/>
      <c r="HH35" s="73"/>
      <c r="HI35" s="73"/>
      <c r="HJ35" s="73"/>
      <c r="HK35" s="73"/>
      <c r="HL35" s="73"/>
      <c r="HM35" s="73"/>
      <c r="HN35" s="73"/>
      <c r="HO35" s="73"/>
      <c r="HP35" s="73"/>
      <c r="HQ35" s="73"/>
      <c r="HR35" s="73"/>
      <c r="HS35" s="73"/>
      <c r="HT35" s="73"/>
      <c r="HU35" s="73"/>
      <c r="HV35" s="73"/>
      <c r="HW35" s="73"/>
      <c r="HX35" s="73"/>
      <c r="HY35" s="73"/>
      <c r="HZ35" s="73"/>
      <c r="IA35" s="73"/>
      <c r="IB35" s="73"/>
      <c r="IC35" s="73"/>
      <c r="ID35" s="73"/>
      <c r="IE35" s="73"/>
      <c r="IF35" s="73"/>
      <c r="IG35" s="73"/>
      <c r="IH35" s="73"/>
      <c r="II35" s="73"/>
      <c r="IJ35" s="73"/>
      <c r="IK35" s="73"/>
      <c r="IL35" s="73"/>
      <c r="IM35" s="73"/>
      <c r="IN35" s="73"/>
      <c r="IO35" s="73"/>
      <c r="IP35" s="73"/>
      <c r="IQ35" s="73"/>
      <c r="IR35" s="73"/>
      <c r="IS35" s="73"/>
      <c r="IT35" s="73"/>
      <c r="IU35" s="73"/>
      <c r="IV35" s="73"/>
      <c r="IW35" s="73"/>
      <c r="IX35" s="73"/>
      <c r="IY35" s="73"/>
      <c r="IZ35" s="73"/>
      <c r="JA35" s="73"/>
      <c r="JB35" s="73"/>
      <c r="JC35" s="73"/>
    </row>
    <row r="36" spans="1:263" s="21" customFormat="1" ht="12.6" customHeight="1">
      <c r="A36" s="22">
        <v>2021</v>
      </c>
      <c r="B36" s="83">
        <v>383</v>
      </c>
      <c r="C36" s="8" t="s">
        <v>338</v>
      </c>
      <c r="D36" s="14">
        <f t="shared" si="1"/>
        <v>0</v>
      </c>
      <c r="E36" s="140">
        <f>SUMIFS('Plan rashoda za unos u SAP'!$I$3:$I$501,'Plan rashoda za unos u SAP'!$C$3:$C$501,"=11",'Plan rashoda za unos u SAP'!$M$3:$M$501,"=383")+SUMIFS('ANALITIKA EU PROJEKATA'!$G$3:$G$501,'ANALITIKA EU PROJEKATA'!$A$3:$A$501,"=11",'ANALITIKA EU PROJEKATA'!$P$3:$P$501,"=383")</f>
        <v>0</v>
      </c>
      <c r="F36" s="140">
        <f>SUMIFS('Plan rashoda za unos u SAP'!$I$3:$I$501,'Plan rashoda za unos u SAP'!$C$3:$C$501,"=12",'Plan rashoda za unos u SAP'!$M$3:$M$501,"=383")+SUMIFS('ANALITIKA EU PROJEKATA'!$G$3:$G$501,'ANALITIKA EU PROJEKATA'!$A$3:$A$501,"=12",'ANALITIKA EU PROJEKATA'!$P$3:$P$501,"=383")</f>
        <v>0</v>
      </c>
      <c r="G36" s="140">
        <f>SUMIFS('Plan rashoda za unos u SAP'!$I$3:$I$501,'Plan rashoda za unos u SAP'!$C$3:$C$501,"=31",'Plan rashoda za unos u SAP'!$M$3:$M$501,"=383")+SUMIFS('ANALITIKA EU PROJEKATA'!$G$3:$G$501,'ANALITIKA EU PROJEKATA'!$A$3:$A$501,"=31",'ANALITIKA EU PROJEKATA'!$P$3:$P$501,"=383")</f>
        <v>0</v>
      </c>
      <c r="H36" s="140">
        <f>SUMIFS('Plan rashoda za unos u SAP'!$I$3:$I$501,'Plan rashoda za unos u SAP'!$C$3:$C$501,"=41",'Plan rashoda za unos u SAP'!$M$3:$M$501,"=383")+SUMIFS('ANALITIKA EU PROJEKATA'!$G$3:$G$501,'ANALITIKA EU PROJEKATA'!$A$3:$A$501,"=41",'ANALITIKA EU PROJEKATA'!$P$3:$P$501,"=383")</f>
        <v>0</v>
      </c>
      <c r="I36" s="140">
        <f>SUMIFS('Plan rashoda za unos u SAP'!$I$3:$I$501,'Plan rashoda za unos u SAP'!$C$3:$C$501,"=43",'Plan rashoda za unos u SAP'!$M$3:$M$501,"=383")+SUMIFS('ANALITIKA EU PROJEKATA'!$G$3:$G$501,'ANALITIKA EU PROJEKATA'!$A$3:$A$501,"=43",'ANALITIKA EU PROJEKATA'!$P$3:$P$501,"=383")</f>
        <v>0</v>
      </c>
      <c r="J36" s="140">
        <f>SUMIFS('Plan rashoda za unos u SAP'!$I$3:$I$501,'Plan rashoda za unos u SAP'!$C$3:$C$501,"=51",'Plan rashoda za unos u SAP'!$M$3:$M$501,"=383")+SUMIFS('ANALITIKA EU PROJEKATA'!$G$3:$G$501,'ANALITIKA EU PROJEKATA'!$A$3:$A$501,"=51",'ANALITIKA EU PROJEKATA'!$P$3:$P$501,"=383")</f>
        <v>0</v>
      </c>
      <c r="K36" s="140">
        <f>SUMIFS('Plan rashoda za unos u SAP'!$I$3:$I$501,'Plan rashoda za unos u SAP'!$C$3:$C$501,"=52",'Plan rashoda za unos u SAP'!$M$3:$M$501,"=383")+SUMIFS('ANALITIKA EU PROJEKATA'!$G$3:$G$501,'ANALITIKA EU PROJEKATA'!$A$3:$A$501,"=52",'ANALITIKA EU PROJEKATA'!$P$3:$P$501,"=383")</f>
        <v>0</v>
      </c>
      <c r="L36" s="140">
        <f>SUMIFS('Plan rashoda za unos u SAP'!$I$3:$I$501,'Plan rashoda za unos u SAP'!$C$3:$C$501,"=552",'Plan rashoda za unos u SAP'!$M$3:$M$501,"=383")+SUMIFS('ANALITIKA EU PROJEKATA'!$G$3:$G$501,'ANALITIKA EU PROJEKATA'!$A$3:$A$501,"=552",'ANALITIKA EU PROJEKATA'!$P$3:$P$501,"=383")</f>
        <v>0</v>
      </c>
      <c r="M36" s="140">
        <f>SUMIFS('Plan rashoda za unos u SAP'!$I$3:$I$501,'Plan rashoda za unos u SAP'!$C$3:$C$501,"=559",'Plan rashoda za unos u SAP'!$M$3:$M$501,"=383")+SUMIFS('ANALITIKA EU PROJEKATA'!$G$3:$G$501,'ANALITIKA EU PROJEKATA'!$A$3:$A$501,"=559",'ANALITIKA EU PROJEKATA'!$P$3:$P$501,"=383")</f>
        <v>0</v>
      </c>
      <c r="N36" s="140">
        <f>SUMIFS('Plan rashoda za unos u SAP'!$I$3:$I$501,'Plan rashoda za unos u SAP'!$C$3:$C$501,"=561",'Plan rashoda za unos u SAP'!$M$3:$M$501,"=383")+SUMIFS('ANALITIKA EU PROJEKATA'!$G$3:$G$501,'ANALITIKA EU PROJEKATA'!$A$3:$A$501,"=561",'ANALITIKA EU PROJEKATA'!$P$3:$P$501,"=383")</f>
        <v>0</v>
      </c>
      <c r="O36" s="140">
        <f>SUMIFS('Plan rashoda za unos u SAP'!$I$3:$I$501,'Plan rashoda za unos u SAP'!$C$3:$C$501,"=563",'Plan rashoda za unos u SAP'!$M$3:$M$501,"=383")+SUMIFS('ANALITIKA EU PROJEKATA'!$G$3:$G$501,'ANALITIKA EU PROJEKATA'!$A$3:$A$501,"=563",'ANALITIKA EU PROJEKATA'!$P$3:$P$501,"=383")</f>
        <v>0</v>
      </c>
      <c r="P36" s="140">
        <f>SUMIFS('Plan rashoda za unos u SAP'!$I$3:$I$501,'Plan rashoda za unos u SAP'!$C$3:$C$501,"=573",'Plan rashoda za unos u SAP'!$M$3:$M$501,"=383")+SUMIFS('ANALITIKA EU PROJEKATA'!$G$3:$G$501,'ANALITIKA EU PROJEKATA'!$A$3:$A$501,"=573",'ANALITIKA EU PROJEKATA'!$P$3:$P$501,"=383")</f>
        <v>0</v>
      </c>
      <c r="Q36" s="140">
        <f>SUMIFS('Plan rashoda za unos u SAP'!$I$3:$I$501,'Plan rashoda za unos u SAP'!$C$3:$C$501,"=575",'Plan rashoda za unos u SAP'!$M$3:$M$501,"=383")+SUMIFS('ANALITIKA EU PROJEKATA'!$G$3:$G$501,'ANALITIKA EU PROJEKATA'!$A$3:$A$501,"=575",'ANALITIKA EU PROJEKATA'!$P$3:$P$501,"=383")</f>
        <v>0</v>
      </c>
      <c r="R36" s="140">
        <f>SUMIFS('Plan rashoda za unos u SAP'!$I$3:$I$501,'Plan rashoda za unos u SAP'!$C$3:$C$501,"=576",'Plan rashoda za unos u SAP'!$M$3:$M$501,"=383")+SUMIFS('ANALITIKA EU PROJEKATA'!$G$3:$G$501,'ANALITIKA EU PROJEKATA'!$A$3:$A$501,"=576",'ANALITIKA EU PROJEKATA'!$P$3:$P$501,"=383")</f>
        <v>0</v>
      </c>
      <c r="S36" s="140">
        <f>SUMIFS('Plan rashoda za unos u SAP'!$I$3:$I$501,'Plan rashoda za unos u SAP'!$C$3:$C$501,"=61",'Plan rashoda za unos u SAP'!$M$3:$M$501,"=383")+SUMIFS('ANALITIKA EU PROJEKATA'!$G$3:$G$501,'ANALITIKA EU PROJEKATA'!$A$3:$A$501,"=61",'ANALITIKA EU PROJEKATA'!$P$3:$P$501,"=383")</f>
        <v>0</v>
      </c>
      <c r="T36" s="140">
        <f>SUMIFS('Plan rashoda za unos u SAP'!$I$3:$I$501,'Plan rashoda za unos u SAP'!$C$3:$C$501,"=63",'Plan rashoda za unos u SAP'!$M$3:$M$501,"=383")+SUMIFS('ANALITIKA EU PROJEKATA'!$G$3:$G$501,'ANALITIKA EU PROJEKATA'!$A$3:$A$501,"=63",'ANALITIKA EU PROJEKATA'!$P$3:$P$501,"=383")</f>
        <v>0</v>
      </c>
      <c r="U36" s="140">
        <f>SUMIFS('Plan rashoda za unos u SAP'!$I$3:$I$501,'Plan rashoda za unos u SAP'!$C$3:$C$501,"=71",'Plan rashoda za unos u SAP'!$M$3:$M$501,"=383")+SUMIFS('ANALITIKA EU PROJEKATA'!$G$3:$G$501,'ANALITIKA EU PROJEKATA'!$A$3:$A$501,"=71",'ANALITIKA EU PROJEKATA'!$P$3:$P$501,"=383")</f>
        <v>0</v>
      </c>
      <c r="V36" s="140">
        <f>SUMIFS('Plan rashoda za unos u SAP'!$I$3:$I$501,'Plan rashoda za unos u SAP'!$C$3:$C$501,"=81",'Plan rashoda za unos u SAP'!$M$3:$M$501,"=383")+SUMIFS('ANALITIKA EU PROJEKATA'!$G$3:$G$501,'ANALITIKA EU PROJEKATA'!$A$3:$A$501,"=81",'ANALITIKA EU PROJEKATA'!$P$3:$P$501,"=383")</f>
        <v>0</v>
      </c>
      <c r="W36" s="140">
        <f>SUMIFS('Plan rashoda za unos u SAP'!$I$3:$I$501,'Plan rashoda za unos u SAP'!$C$3:$C$501,"=83",'Plan rashoda za unos u SAP'!$M$3:$M$501,"=383")+SUMIFS('ANALITIKA EU PROJEKATA'!$G$3:$G$501,'ANALITIKA EU PROJEKATA'!$A$3:$A$501,"=83",'ANALITIKA EU PROJEKATA'!$P$3:$P$501,"=383")</f>
        <v>0</v>
      </c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2"/>
      <c r="BU36" s="72"/>
      <c r="BV36" s="72"/>
      <c r="BW36" s="72"/>
      <c r="BX36" s="72"/>
      <c r="BY36" s="72"/>
      <c r="BZ36" s="72"/>
      <c r="CA36" s="72"/>
      <c r="CB36" s="72"/>
      <c r="CC36" s="72"/>
      <c r="CD36" s="72"/>
      <c r="CE36" s="72"/>
      <c r="CF36" s="72"/>
      <c r="CG36" s="72"/>
      <c r="CH36" s="72"/>
      <c r="CI36" s="72"/>
      <c r="CJ36" s="72"/>
      <c r="CK36" s="72"/>
      <c r="CL36" s="72"/>
      <c r="CM36" s="72"/>
      <c r="CN36" s="72"/>
      <c r="CO36" s="72"/>
      <c r="CP36" s="72"/>
      <c r="CQ36" s="72"/>
      <c r="CR36" s="72"/>
      <c r="CS36" s="72"/>
      <c r="CT36" s="72"/>
      <c r="CU36" s="72"/>
      <c r="CV36" s="72"/>
      <c r="CW36" s="72"/>
      <c r="CX36" s="72"/>
      <c r="CY36" s="72"/>
      <c r="CZ36" s="72"/>
      <c r="DA36" s="72"/>
      <c r="DB36" s="72"/>
      <c r="DC36" s="72"/>
      <c r="DD36" s="72"/>
      <c r="DE36" s="72"/>
      <c r="DF36" s="72"/>
      <c r="DG36" s="72"/>
      <c r="DH36" s="72"/>
      <c r="DI36" s="72"/>
      <c r="DJ36" s="72"/>
      <c r="DK36" s="72"/>
      <c r="DL36" s="72"/>
      <c r="DM36" s="72"/>
      <c r="DN36" s="72"/>
      <c r="DO36" s="72"/>
      <c r="DP36" s="72"/>
      <c r="DQ36" s="72"/>
      <c r="DR36" s="72"/>
      <c r="DS36" s="72"/>
      <c r="DT36" s="72"/>
      <c r="DU36" s="72"/>
      <c r="DV36" s="72"/>
      <c r="DW36" s="72"/>
      <c r="DX36" s="72"/>
      <c r="DY36" s="72"/>
      <c r="DZ36" s="72"/>
      <c r="EA36" s="72"/>
      <c r="EB36" s="72"/>
      <c r="EC36" s="72"/>
      <c r="ED36" s="72"/>
      <c r="EE36" s="72"/>
      <c r="EF36" s="72"/>
      <c r="EG36" s="72"/>
      <c r="EH36" s="72"/>
      <c r="EI36" s="72"/>
      <c r="EJ36" s="72"/>
      <c r="EK36" s="72"/>
      <c r="EL36" s="72"/>
      <c r="EM36" s="72"/>
      <c r="EN36" s="72"/>
      <c r="EO36" s="72"/>
      <c r="EP36" s="72"/>
      <c r="EQ36" s="72"/>
      <c r="ER36" s="72"/>
      <c r="ES36" s="72"/>
      <c r="ET36" s="72"/>
      <c r="EU36" s="72"/>
      <c r="EV36" s="72"/>
      <c r="EW36" s="72"/>
      <c r="EX36" s="72"/>
      <c r="EY36" s="72"/>
      <c r="EZ36" s="72"/>
      <c r="FA36" s="72"/>
      <c r="FB36" s="72"/>
      <c r="FC36" s="72"/>
      <c r="FD36" s="72"/>
      <c r="FE36" s="72"/>
      <c r="FF36" s="72"/>
      <c r="FG36" s="72"/>
      <c r="FH36" s="72"/>
      <c r="FI36" s="72"/>
      <c r="FJ36" s="72"/>
      <c r="FK36" s="72"/>
      <c r="FL36" s="72"/>
      <c r="FM36" s="72"/>
      <c r="FN36" s="72"/>
      <c r="FO36" s="72"/>
      <c r="FP36" s="72"/>
      <c r="FQ36" s="72"/>
      <c r="FR36" s="72"/>
      <c r="FS36" s="72"/>
      <c r="FT36" s="72"/>
      <c r="FU36" s="72"/>
      <c r="FV36" s="72"/>
      <c r="FW36" s="72"/>
      <c r="FX36" s="72"/>
      <c r="FY36" s="72"/>
      <c r="FZ36" s="72"/>
      <c r="GA36" s="72"/>
      <c r="GB36" s="72"/>
      <c r="GC36" s="72"/>
      <c r="GD36" s="72"/>
      <c r="GE36" s="72"/>
      <c r="GF36" s="72"/>
      <c r="GG36" s="72"/>
      <c r="GH36" s="72"/>
      <c r="GI36" s="72"/>
      <c r="GJ36" s="72"/>
      <c r="GK36" s="72"/>
      <c r="GL36" s="73"/>
      <c r="GM36" s="73"/>
      <c r="GN36" s="73"/>
      <c r="GO36" s="73"/>
      <c r="GP36" s="73"/>
      <c r="GQ36" s="73"/>
      <c r="GR36" s="73"/>
      <c r="GS36" s="73"/>
      <c r="GT36" s="73"/>
      <c r="GU36" s="73"/>
      <c r="GV36" s="73"/>
      <c r="GW36" s="73"/>
      <c r="GX36" s="73"/>
      <c r="GY36" s="73"/>
      <c r="GZ36" s="73"/>
      <c r="HA36" s="73"/>
      <c r="HB36" s="73"/>
      <c r="HC36" s="73"/>
      <c r="HD36" s="73"/>
      <c r="HE36" s="73"/>
      <c r="HF36" s="73"/>
      <c r="HG36" s="73"/>
      <c r="HH36" s="73"/>
      <c r="HI36" s="73"/>
      <c r="HJ36" s="73"/>
      <c r="HK36" s="73"/>
      <c r="HL36" s="73"/>
      <c r="HM36" s="73"/>
      <c r="HN36" s="73"/>
      <c r="HO36" s="73"/>
      <c r="HP36" s="73"/>
      <c r="HQ36" s="73"/>
      <c r="HR36" s="73"/>
      <c r="HS36" s="73"/>
      <c r="HT36" s="73"/>
      <c r="HU36" s="73"/>
      <c r="HV36" s="73"/>
      <c r="HW36" s="73"/>
      <c r="HX36" s="73"/>
      <c r="HY36" s="73"/>
      <c r="HZ36" s="73"/>
      <c r="IA36" s="73"/>
      <c r="IB36" s="73"/>
      <c r="IC36" s="73"/>
      <c r="ID36" s="73"/>
      <c r="IE36" s="73"/>
      <c r="IF36" s="73"/>
      <c r="IG36" s="73"/>
      <c r="IH36" s="73"/>
      <c r="II36" s="73"/>
      <c r="IJ36" s="73"/>
      <c r="IK36" s="73"/>
      <c r="IL36" s="73"/>
      <c r="IM36" s="73"/>
      <c r="IN36" s="73"/>
      <c r="IO36" s="73"/>
      <c r="IP36" s="73"/>
      <c r="IQ36" s="73"/>
      <c r="IR36" s="73"/>
      <c r="IS36" s="73"/>
      <c r="IT36" s="73"/>
      <c r="IU36" s="73"/>
      <c r="IV36" s="73"/>
      <c r="IW36" s="73"/>
      <c r="IX36" s="73"/>
      <c r="IY36" s="73"/>
      <c r="IZ36" s="73"/>
      <c r="JA36" s="73"/>
      <c r="JB36" s="73"/>
      <c r="JC36" s="73"/>
    </row>
    <row r="37" spans="1:263" s="21" customFormat="1" ht="12.6" customHeight="1">
      <c r="A37" s="22">
        <v>2021</v>
      </c>
      <c r="B37" s="83">
        <v>386</v>
      </c>
      <c r="C37" s="87" t="s">
        <v>339</v>
      </c>
      <c r="D37" s="14">
        <f t="shared" si="1"/>
        <v>0</v>
      </c>
      <c r="E37" s="140">
        <f>SUMIFS('Plan rashoda za unos u SAP'!$I$3:$I$501,'Plan rashoda za unos u SAP'!$C$3:$C$501,"=11",'Plan rashoda za unos u SAP'!$M$3:$M$501,"=386")+SUMIFS('ANALITIKA EU PROJEKATA'!$G$3:$G$501,'ANALITIKA EU PROJEKATA'!$A$3:$A$501,"=11",'ANALITIKA EU PROJEKATA'!$P$3:$P$501,"=386")</f>
        <v>0</v>
      </c>
      <c r="F37" s="140">
        <f>SUMIFS('Plan rashoda za unos u SAP'!$I$3:$I$501,'Plan rashoda za unos u SAP'!$C$3:$C$501,"=12",'Plan rashoda za unos u SAP'!$M$3:$M$501,"=386")+SUMIFS('ANALITIKA EU PROJEKATA'!$G$3:$G$501,'ANALITIKA EU PROJEKATA'!$A$3:$A$501,"=12",'ANALITIKA EU PROJEKATA'!$P$3:$P$501,"=386")</f>
        <v>0</v>
      </c>
      <c r="G37" s="140">
        <f>SUMIFS('Plan rashoda za unos u SAP'!$I$3:$I$501,'Plan rashoda za unos u SAP'!$C$3:$C$501,"=31",'Plan rashoda za unos u SAP'!$M$3:$M$501,"=386")+SUMIFS('ANALITIKA EU PROJEKATA'!$G$3:$G$501,'ANALITIKA EU PROJEKATA'!$A$3:$A$501,"=31",'ANALITIKA EU PROJEKATA'!$P$3:$P$501,"=386")</f>
        <v>0</v>
      </c>
      <c r="H37" s="140">
        <f>SUMIFS('Plan rashoda za unos u SAP'!$I$3:$I$501,'Plan rashoda za unos u SAP'!$C$3:$C$501,"=41",'Plan rashoda za unos u SAP'!$M$3:$M$501,"=386")+SUMIFS('ANALITIKA EU PROJEKATA'!$G$3:$G$501,'ANALITIKA EU PROJEKATA'!$A$3:$A$501,"=41",'ANALITIKA EU PROJEKATA'!$P$3:$P$501,"=386")</f>
        <v>0</v>
      </c>
      <c r="I37" s="140">
        <f>SUMIFS('Plan rashoda za unos u SAP'!$I$3:$I$501,'Plan rashoda za unos u SAP'!$C$3:$C$501,"=43",'Plan rashoda za unos u SAP'!$M$3:$M$501,"=386")+SUMIFS('ANALITIKA EU PROJEKATA'!$G$3:$G$501,'ANALITIKA EU PROJEKATA'!$A$3:$A$501,"=43",'ANALITIKA EU PROJEKATA'!$P$3:$P$501,"=386")</f>
        <v>0</v>
      </c>
      <c r="J37" s="140">
        <f>SUMIFS('Plan rashoda za unos u SAP'!$I$3:$I$501,'Plan rashoda za unos u SAP'!$C$3:$C$501,"=51",'Plan rashoda za unos u SAP'!$M$3:$M$501,"=386")+SUMIFS('ANALITIKA EU PROJEKATA'!$G$3:$G$501,'ANALITIKA EU PROJEKATA'!$A$3:$A$501,"=51",'ANALITIKA EU PROJEKATA'!$P$3:$P$501,"=386")</f>
        <v>0</v>
      </c>
      <c r="K37" s="140">
        <f>SUMIFS('Plan rashoda za unos u SAP'!$I$3:$I$501,'Plan rashoda za unos u SAP'!$C$3:$C$501,"=52",'Plan rashoda za unos u SAP'!$M$3:$M$501,"=386")+SUMIFS('ANALITIKA EU PROJEKATA'!$G$3:$G$501,'ANALITIKA EU PROJEKATA'!$A$3:$A$501,"=52",'ANALITIKA EU PROJEKATA'!$P$3:$P$501,"=386")</f>
        <v>0</v>
      </c>
      <c r="L37" s="140">
        <f>SUMIFS('Plan rashoda za unos u SAP'!$I$3:$I$501,'Plan rashoda za unos u SAP'!$C$3:$C$501,"=552",'Plan rashoda za unos u SAP'!$M$3:$M$501,"=386")+SUMIFS('ANALITIKA EU PROJEKATA'!$G$3:$G$501,'ANALITIKA EU PROJEKATA'!$A$3:$A$501,"=552",'ANALITIKA EU PROJEKATA'!$P$3:$P$501,"=386")</f>
        <v>0</v>
      </c>
      <c r="M37" s="140">
        <f>SUMIFS('Plan rashoda za unos u SAP'!$I$3:$I$501,'Plan rashoda za unos u SAP'!$C$3:$C$501,"=559",'Plan rashoda za unos u SAP'!$M$3:$M$501,"=386")+SUMIFS('ANALITIKA EU PROJEKATA'!$G$3:$G$501,'ANALITIKA EU PROJEKATA'!$A$3:$A$501,"=559",'ANALITIKA EU PROJEKATA'!$P$3:$P$501,"=386")</f>
        <v>0</v>
      </c>
      <c r="N37" s="140">
        <f>SUMIFS('Plan rashoda za unos u SAP'!$I$3:$I$501,'Plan rashoda za unos u SAP'!$C$3:$C$501,"=561",'Plan rashoda za unos u SAP'!$M$3:$M$501,"=386")+SUMIFS('ANALITIKA EU PROJEKATA'!$G$3:$G$501,'ANALITIKA EU PROJEKATA'!$A$3:$A$501,"=561",'ANALITIKA EU PROJEKATA'!$P$3:$P$501,"=386")</f>
        <v>0</v>
      </c>
      <c r="O37" s="140">
        <f>SUMIFS('Plan rashoda za unos u SAP'!$I$3:$I$501,'Plan rashoda za unos u SAP'!$C$3:$C$501,"=563",'Plan rashoda za unos u SAP'!$M$3:$M$501,"=386")+SUMIFS('ANALITIKA EU PROJEKATA'!$G$3:$G$501,'ANALITIKA EU PROJEKATA'!$A$3:$A$501,"=563",'ANALITIKA EU PROJEKATA'!$P$3:$P$501,"=386")</f>
        <v>0</v>
      </c>
      <c r="P37" s="140">
        <f>SUMIFS('Plan rashoda za unos u SAP'!$I$3:$I$501,'Plan rashoda za unos u SAP'!$C$3:$C$501,"=573",'Plan rashoda za unos u SAP'!$M$3:$M$501,"=386")+SUMIFS('ANALITIKA EU PROJEKATA'!$G$3:$G$501,'ANALITIKA EU PROJEKATA'!$A$3:$A$501,"=573",'ANALITIKA EU PROJEKATA'!$P$3:$P$501,"=386")</f>
        <v>0</v>
      </c>
      <c r="Q37" s="140">
        <f>SUMIFS('Plan rashoda za unos u SAP'!$I$3:$I$501,'Plan rashoda za unos u SAP'!$C$3:$C$501,"=575",'Plan rashoda za unos u SAP'!$M$3:$M$501,"=386")+SUMIFS('ANALITIKA EU PROJEKATA'!$G$3:$G$501,'ANALITIKA EU PROJEKATA'!$A$3:$A$501,"=575",'ANALITIKA EU PROJEKATA'!$P$3:$P$501,"=386")</f>
        <v>0</v>
      </c>
      <c r="R37" s="140">
        <f>SUMIFS('Plan rashoda za unos u SAP'!$I$3:$I$501,'Plan rashoda za unos u SAP'!$C$3:$C$501,"=576",'Plan rashoda za unos u SAP'!$M$3:$M$501,"=386")+SUMIFS('ANALITIKA EU PROJEKATA'!$G$3:$G$501,'ANALITIKA EU PROJEKATA'!$A$3:$A$501,"=576",'ANALITIKA EU PROJEKATA'!$P$3:$P$501,"=386")</f>
        <v>0</v>
      </c>
      <c r="S37" s="140">
        <f>SUMIFS('Plan rashoda za unos u SAP'!$I$3:$I$501,'Plan rashoda za unos u SAP'!$C$3:$C$501,"=61",'Plan rashoda za unos u SAP'!$M$3:$M$501,"=386")+SUMIFS('ANALITIKA EU PROJEKATA'!$G$3:$G$501,'ANALITIKA EU PROJEKATA'!$A$3:$A$501,"=61",'ANALITIKA EU PROJEKATA'!$P$3:$P$501,"=386")</f>
        <v>0</v>
      </c>
      <c r="T37" s="140">
        <f>SUMIFS('Plan rashoda za unos u SAP'!$I$3:$I$501,'Plan rashoda za unos u SAP'!$C$3:$C$501,"=63",'Plan rashoda za unos u SAP'!$M$3:$M$501,"=386")+SUMIFS('ANALITIKA EU PROJEKATA'!$G$3:$G$501,'ANALITIKA EU PROJEKATA'!$A$3:$A$501,"=63",'ANALITIKA EU PROJEKATA'!$P$3:$P$501,"=386")</f>
        <v>0</v>
      </c>
      <c r="U37" s="140">
        <f>SUMIFS('Plan rashoda za unos u SAP'!$I$3:$I$501,'Plan rashoda za unos u SAP'!$C$3:$C$501,"=71",'Plan rashoda za unos u SAP'!$M$3:$M$501,"=386")+SUMIFS('ANALITIKA EU PROJEKATA'!$G$3:$G$501,'ANALITIKA EU PROJEKATA'!$A$3:$A$501,"=71",'ANALITIKA EU PROJEKATA'!$P$3:$P$501,"=386")</f>
        <v>0</v>
      </c>
      <c r="V37" s="140">
        <f>SUMIFS('Plan rashoda za unos u SAP'!$I$3:$I$501,'Plan rashoda za unos u SAP'!$C$3:$C$501,"=81",'Plan rashoda za unos u SAP'!$M$3:$M$501,"=386")+SUMIFS('ANALITIKA EU PROJEKATA'!$G$3:$G$501,'ANALITIKA EU PROJEKATA'!$A$3:$A$501,"=81",'ANALITIKA EU PROJEKATA'!$P$3:$P$501,"=386")</f>
        <v>0</v>
      </c>
      <c r="W37" s="140">
        <f>SUMIFS('Plan rashoda za unos u SAP'!$I$3:$I$501,'Plan rashoda za unos u SAP'!$C$3:$C$501,"=83",'Plan rashoda za unos u SAP'!$M$3:$M$501,"=386")+SUMIFS('ANALITIKA EU PROJEKATA'!$G$3:$G$501,'ANALITIKA EU PROJEKATA'!$A$3:$A$501,"=83",'ANALITIKA EU PROJEKATA'!$P$3:$P$501,"=386")</f>
        <v>0</v>
      </c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72"/>
      <c r="BN37" s="72"/>
      <c r="BO37" s="72"/>
      <c r="BP37" s="72"/>
      <c r="BQ37" s="72"/>
      <c r="BR37" s="72"/>
      <c r="BS37" s="72"/>
      <c r="BT37" s="72"/>
      <c r="BU37" s="72"/>
      <c r="BV37" s="72"/>
      <c r="BW37" s="72"/>
      <c r="BX37" s="72"/>
      <c r="BY37" s="72"/>
      <c r="BZ37" s="72"/>
      <c r="CA37" s="72"/>
      <c r="CB37" s="72"/>
      <c r="CC37" s="72"/>
      <c r="CD37" s="72"/>
      <c r="CE37" s="72"/>
      <c r="CF37" s="72"/>
      <c r="CG37" s="72"/>
      <c r="CH37" s="72"/>
      <c r="CI37" s="72"/>
      <c r="CJ37" s="72"/>
      <c r="CK37" s="72"/>
      <c r="CL37" s="72"/>
      <c r="CM37" s="72"/>
      <c r="CN37" s="72"/>
      <c r="CO37" s="72"/>
      <c r="CP37" s="72"/>
      <c r="CQ37" s="72"/>
      <c r="CR37" s="72"/>
      <c r="CS37" s="72"/>
      <c r="CT37" s="72"/>
      <c r="CU37" s="72"/>
      <c r="CV37" s="72"/>
      <c r="CW37" s="72"/>
      <c r="CX37" s="72"/>
      <c r="CY37" s="72"/>
      <c r="CZ37" s="72"/>
      <c r="DA37" s="72"/>
      <c r="DB37" s="72"/>
      <c r="DC37" s="72"/>
      <c r="DD37" s="72"/>
      <c r="DE37" s="72"/>
      <c r="DF37" s="72"/>
      <c r="DG37" s="72"/>
      <c r="DH37" s="72"/>
      <c r="DI37" s="72"/>
      <c r="DJ37" s="72"/>
      <c r="DK37" s="72"/>
      <c r="DL37" s="72"/>
      <c r="DM37" s="72"/>
      <c r="DN37" s="72"/>
      <c r="DO37" s="72"/>
      <c r="DP37" s="72"/>
      <c r="DQ37" s="72"/>
      <c r="DR37" s="72"/>
      <c r="DS37" s="72"/>
      <c r="DT37" s="72"/>
      <c r="DU37" s="72"/>
      <c r="DV37" s="72"/>
      <c r="DW37" s="72"/>
      <c r="DX37" s="72"/>
      <c r="DY37" s="72"/>
      <c r="DZ37" s="72"/>
      <c r="EA37" s="72"/>
      <c r="EB37" s="72"/>
      <c r="EC37" s="72"/>
      <c r="ED37" s="72"/>
      <c r="EE37" s="72"/>
      <c r="EF37" s="72"/>
      <c r="EG37" s="72"/>
      <c r="EH37" s="72"/>
      <c r="EI37" s="72"/>
      <c r="EJ37" s="72"/>
      <c r="EK37" s="72"/>
      <c r="EL37" s="72"/>
      <c r="EM37" s="72"/>
      <c r="EN37" s="72"/>
      <c r="EO37" s="72"/>
      <c r="EP37" s="72"/>
      <c r="EQ37" s="72"/>
      <c r="ER37" s="72"/>
      <c r="ES37" s="72"/>
      <c r="ET37" s="72"/>
      <c r="EU37" s="72"/>
      <c r="EV37" s="72"/>
      <c r="EW37" s="72"/>
      <c r="EX37" s="72"/>
      <c r="EY37" s="72"/>
      <c r="EZ37" s="72"/>
      <c r="FA37" s="72"/>
      <c r="FB37" s="72"/>
      <c r="FC37" s="72"/>
      <c r="FD37" s="72"/>
      <c r="FE37" s="72"/>
      <c r="FF37" s="72"/>
      <c r="FG37" s="72"/>
      <c r="FH37" s="72"/>
      <c r="FI37" s="72"/>
      <c r="FJ37" s="72"/>
      <c r="FK37" s="72"/>
      <c r="FL37" s="72"/>
      <c r="FM37" s="72"/>
      <c r="FN37" s="72"/>
      <c r="FO37" s="72"/>
      <c r="FP37" s="72"/>
      <c r="FQ37" s="72"/>
      <c r="FR37" s="72"/>
      <c r="FS37" s="72"/>
      <c r="FT37" s="72"/>
      <c r="FU37" s="72"/>
      <c r="FV37" s="72"/>
      <c r="FW37" s="72"/>
      <c r="FX37" s="72"/>
      <c r="FY37" s="72"/>
      <c r="FZ37" s="72"/>
      <c r="GA37" s="72"/>
      <c r="GB37" s="72"/>
      <c r="GC37" s="72"/>
      <c r="GD37" s="72"/>
      <c r="GE37" s="72"/>
      <c r="GF37" s="72"/>
      <c r="GG37" s="72"/>
      <c r="GH37" s="72"/>
      <c r="GI37" s="72"/>
      <c r="GJ37" s="72"/>
      <c r="GK37" s="72"/>
      <c r="GL37" s="73"/>
      <c r="GM37" s="73"/>
      <c r="GN37" s="73"/>
      <c r="GO37" s="73"/>
      <c r="GP37" s="73"/>
      <c r="GQ37" s="73"/>
      <c r="GR37" s="73"/>
      <c r="GS37" s="73"/>
      <c r="GT37" s="73"/>
      <c r="GU37" s="73"/>
      <c r="GV37" s="73"/>
      <c r="GW37" s="73"/>
      <c r="GX37" s="73"/>
      <c r="GY37" s="73"/>
      <c r="GZ37" s="73"/>
      <c r="HA37" s="73"/>
      <c r="HB37" s="73"/>
      <c r="HC37" s="73"/>
      <c r="HD37" s="73"/>
      <c r="HE37" s="73"/>
      <c r="HF37" s="73"/>
      <c r="HG37" s="73"/>
      <c r="HH37" s="73"/>
      <c r="HI37" s="73"/>
      <c r="HJ37" s="73"/>
      <c r="HK37" s="73"/>
      <c r="HL37" s="73"/>
      <c r="HM37" s="73"/>
      <c r="HN37" s="73"/>
      <c r="HO37" s="73"/>
      <c r="HP37" s="73"/>
      <c r="HQ37" s="73"/>
      <c r="HR37" s="73"/>
      <c r="HS37" s="73"/>
      <c r="HT37" s="73"/>
      <c r="HU37" s="73"/>
      <c r="HV37" s="73"/>
      <c r="HW37" s="73"/>
      <c r="HX37" s="73"/>
      <c r="HY37" s="73"/>
      <c r="HZ37" s="73"/>
      <c r="IA37" s="73"/>
      <c r="IB37" s="73"/>
      <c r="IC37" s="73"/>
      <c r="ID37" s="73"/>
      <c r="IE37" s="73"/>
      <c r="IF37" s="73"/>
      <c r="IG37" s="73"/>
      <c r="IH37" s="73"/>
      <c r="II37" s="73"/>
      <c r="IJ37" s="73"/>
      <c r="IK37" s="73"/>
      <c r="IL37" s="73"/>
      <c r="IM37" s="73"/>
      <c r="IN37" s="73"/>
      <c r="IO37" s="73"/>
      <c r="IP37" s="73"/>
      <c r="IQ37" s="73"/>
      <c r="IR37" s="73"/>
      <c r="IS37" s="73"/>
      <c r="IT37" s="73"/>
      <c r="IU37" s="73"/>
      <c r="IV37" s="73"/>
      <c r="IW37" s="73"/>
      <c r="IX37" s="73"/>
      <c r="IY37" s="73"/>
      <c r="IZ37" s="73"/>
      <c r="JA37" s="73"/>
      <c r="JB37" s="73"/>
      <c r="JC37" s="73"/>
    </row>
    <row r="38" spans="1:263" s="21" customFormat="1" ht="12.6" customHeight="1">
      <c r="A38" s="22">
        <v>2021</v>
      </c>
      <c r="B38" s="127">
        <v>4</v>
      </c>
      <c r="C38" s="128" t="s">
        <v>216</v>
      </c>
      <c r="D38" s="126">
        <f t="shared" si="1"/>
        <v>667000</v>
      </c>
      <c r="E38" s="126">
        <f>E42+E49+E51+E53+E39</f>
        <v>172000</v>
      </c>
      <c r="F38" s="126">
        <f t="shared" ref="F38:W38" si="10">F42+F49+F51+F53+F39</f>
        <v>0</v>
      </c>
      <c r="G38" s="126">
        <f t="shared" si="10"/>
        <v>325000</v>
      </c>
      <c r="H38" s="126">
        <f>H42+H49+H51+H53+H39</f>
        <v>0</v>
      </c>
      <c r="I38" s="126">
        <f t="shared" si="10"/>
        <v>170000</v>
      </c>
      <c r="J38" s="126">
        <f t="shared" si="10"/>
        <v>0</v>
      </c>
      <c r="K38" s="126">
        <f t="shared" si="10"/>
        <v>0</v>
      </c>
      <c r="L38" s="126">
        <f>L42+L49+L51+L53+L39</f>
        <v>0</v>
      </c>
      <c r="M38" s="126">
        <f t="shared" si="10"/>
        <v>0</v>
      </c>
      <c r="N38" s="126">
        <f t="shared" si="10"/>
        <v>0</v>
      </c>
      <c r="O38" s="126">
        <f t="shared" si="10"/>
        <v>0</v>
      </c>
      <c r="P38" s="126">
        <f>P42+P49+P51+P53+P39</f>
        <v>0</v>
      </c>
      <c r="Q38" s="126">
        <f>Q42+Q49+Q51+Q53+Q39</f>
        <v>0</v>
      </c>
      <c r="R38" s="126">
        <f>R42+R49+R51+R53+R39</f>
        <v>0</v>
      </c>
      <c r="S38" s="126">
        <f t="shared" si="10"/>
        <v>0</v>
      </c>
      <c r="T38" s="126">
        <f t="shared" si="10"/>
        <v>0</v>
      </c>
      <c r="U38" s="126">
        <f t="shared" si="10"/>
        <v>0</v>
      </c>
      <c r="V38" s="126">
        <f t="shared" si="10"/>
        <v>0</v>
      </c>
      <c r="W38" s="126">
        <f t="shared" si="10"/>
        <v>0</v>
      </c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2"/>
      <c r="BQ38" s="72"/>
      <c r="BR38" s="72"/>
      <c r="BS38" s="72"/>
      <c r="BT38" s="72"/>
      <c r="BU38" s="72"/>
      <c r="BV38" s="72"/>
      <c r="BW38" s="72"/>
      <c r="BX38" s="72"/>
      <c r="BY38" s="72"/>
      <c r="BZ38" s="72"/>
      <c r="CA38" s="72"/>
      <c r="CB38" s="72"/>
      <c r="CC38" s="72"/>
      <c r="CD38" s="72"/>
      <c r="CE38" s="72"/>
      <c r="CF38" s="72"/>
      <c r="CG38" s="72"/>
      <c r="CH38" s="72"/>
      <c r="CI38" s="72"/>
      <c r="CJ38" s="72"/>
      <c r="CK38" s="72"/>
      <c r="CL38" s="72"/>
      <c r="CM38" s="72"/>
      <c r="CN38" s="72"/>
      <c r="CO38" s="72"/>
      <c r="CP38" s="72"/>
      <c r="CQ38" s="72"/>
      <c r="CR38" s="72"/>
      <c r="CS38" s="72"/>
      <c r="CT38" s="72"/>
      <c r="CU38" s="72"/>
      <c r="CV38" s="72"/>
      <c r="CW38" s="72"/>
      <c r="CX38" s="72"/>
      <c r="CY38" s="72"/>
      <c r="CZ38" s="72"/>
      <c r="DA38" s="72"/>
      <c r="DB38" s="72"/>
      <c r="DC38" s="72"/>
      <c r="DD38" s="72"/>
      <c r="DE38" s="72"/>
      <c r="DF38" s="72"/>
      <c r="DG38" s="72"/>
      <c r="DH38" s="72"/>
      <c r="DI38" s="72"/>
      <c r="DJ38" s="72"/>
      <c r="DK38" s="72"/>
      <c r="DL38" s="72"/>
      <c r="DM38" s="72"/>
      <c r="DN38" s="72"/>
      <c r="DO38" s="72"/>
      <c r="DP38" s="72"/>
      <c r="DQ38" s="72"/>
      <c r="DR38" s="72"/>
      <c r="DS38" s="72"/>
      <c r="DT38" s="72"/>
      <c r="DU38" s="72"/>
      <c r="DV38" s="72"/>
      <c r="DW38" s="72"/>
      <c r="DX38" s="72"/>
      <c r="DY38" s="72"/>
      <c r="DZ38" s="72"/>
      <c r="EA38" s="72"/>
      <c r="EB38" s="72"/>
      <c r="EC38" s="72"/>
      <c r="ED38" s="72"/>
      <c r="EE38" s="72"/>
      <c r="EF38" s="72"/>
      <c r="EG38" s="72"/>
      <c r="EH38" s="72"/>
      <c r="EI38" s="72"/>
      <c r="EJ38" s="72"/>
      <c r="EK38" s="72"/>
      <c r="EL38" s="72"/>
      <c r="EM38" s="72"/>
      <c r="EN38" s="72"/>
      <c r="EO38" s="72"/>
      <c r="EP38" s="72"/>
      <c r="EQ38" s="72"/>
      <c r="ER38" s="72"/>
      <c r="ES38" s="72"/>
      <c r="ET38" s="72"/>
      <c r="EU38" s="72"/>
      <c r="EV38" s="72"/>
      <c r="EW38" s="72"/>
      <c r="EX38" s="72"/>
      <c r="EY38" s="72"/>
      <c r="EZ38" s="72"/>
      <c r="FA38" s="72"/>
      <c r="FB38" s="72"/>
      <c r="FC38" s="72"/>
      <c r="FD38" s="72"/>
      <c r="FE38" s="72"/>
      <c r="FF38" s="72"/>
      <c r="FG38" s="72"/>
      <c r="FH38" s="72"/>
      <c r="FI38" s="72"/>
      <c r="FJ38" s="72"/>
      <c r="FK38" s="72"/>
      <c r="FL38" s="72"/>
      <c r="FM38" s="72"/>
      <c r="FN38" s="72"/>
      <c r="FO38" s="72"/>
      <c r="FP38" s="72"/>
      <c r="FQ38" s="72"/>
      <c r="FR38" s="72"/>
      <c r="FS38" s="72"/>
      <c r="FT38" s="72"/>
      <c r="FU38" s="72"/>
      <c r="FV38" s="72"/>
      <c r="FW38" s="72"/>
      <c r="FX38" s="72"/>
      <c r="FY38" s="72"/>
      <c r="FZ38" s="72"/>
      <c r="GA38" s="72"/>
      <c r="GB38" s="72"/>
      <c r="GC38" s="72"/>
      <c r="GD38" s="72"/>
      <c r="GE38" s="72"/>
      <c r="GF38" s="72"/>
      <c r="GG38" s="72"/>
      <c r="GH38" s="72"/>
      <c r="GI38" s="72"/>
      <c r="GJ38" s="72"/>
      <c r="GK38" s="72"/>
      <c r="GL38" s="73"/>
      <c r="GM38" s="73"/>
      <c r="GN38" s="73"/>
      <c r="GO38" s="73"/>
      <c r="GP38" s="73"/>
      <c r="GQ38" s="73"/>
      <c r="GR38" s="73"/>
      <c r="GS38" s="73"/>
      <c r="GT38" s="73"/>
      <c r="GU38" s="73"/>
      <c r="GV38" s="73"/>
      <c r="GW38" s="73"/>
      <c r="GX38" s="73"/>
      <c r="GY38" s="73"/>
      <c r="GZ38" s="73"/>
      <c r="HA38" s="73"/>
      <c r="HB38" s="73"/>
      <c r="HC38" s="73"/>
      <c r="HD38" s="73"/>
      <c r="HE38" s="73"/>
      <c r="HF38" s="73"/>
      <c r="HG38" s="73"/>
      <c r="HH38" s="73"/>
      <c r="HI38" s="73"/>
      <c r="HJ38" s="73"/>
      <c r="HK38" s="73"/>
      <c r="HL38" s="73"/>
      <c r="HM38" s="73"/>
      <c r="HN38" s="73"/>
      <c r="HO38" s="73"/>
      <c r="HP38" s="73"/>
      <c r="HQ38" s="73"/>
      <c r="HR38" s="73"/>
      <c r="HS38" s="73"/>
      <c r="HT38" s="73"/>
      <c r="HU38" s="73"/>
      <c r="HV38" s="73"/>
      <c r="HW38" s="73"/>
      <c r="HX38" s="73"/>
      <c r="HY38" s="73"/>
      <c r="HZ38" s="73"/>
      <c r="IA38" s="73"/>
      <c r="IB38" s="73"/>
      <c r="IC38" s="73"/>
      <c r="ID38" s="73"/>
      <c r="IE38" s="73"/>
      <c r="IF38" s="73"/>
      <c r="IG38" s="73"/>
      <c r="IH38" s="73"/>
      <c r="II38" s="73"/>
      <c r="IJ38" s="73"/>
      <c r="IK38" s="73"/>
      <c r="IL38" s="73"/>
      <c r="IM38" s="73"/>
      <c r="IN38" s="73"/>
      <c r="IO38" s="73"/>
      <c r="IP38" s="73"/>
      <c r="IQ38" s="73"/>
      <c r="IR38" s="73"/>
      <c r="IS38" s="73"/>
      <c r="IT38" s="73"/>
      <c r="IU38" s="73"/>
      <c r="IV38" s="73"/>
      <c r="IW38" s="73"/>
      <c r="IX38" s="73"/>
      <c r="IY38" s="73"/>
      <c r="IZ38" s="73"/>
      <c r="JA38" s="73"/>
      <c r="JB38" s="73"/>
      <c r="JC38" s="73"/>
    </row>
    <row r="39" spans="1:263" s="13" customFormat="1" ht="12.6" customHeight="1">
      <c r="A39" s="22">
        <v>2021</v>
      </c>
      <c r="B39" s="10">
        <v>41</v>
      </c>
      <c r="C39" s="11" t="s">
        <v>340</v>
      </c>
      <c r="D39" s="4">
        <f t="shared" si="1"/>
        <v>90000</v>
      </c>
      <c r="E39" s="12">
        <f t="shared" ref="E39:W39" si="11">SUM(E40:E41)</f>
        <v>0</v>
      </c>
      <c r="F39" s="12">
        <f t="shared" si="11"/>
        <v>0</v>
      </c>
      <c r="G39" s="12">
        <f t="shared" si="11"/>
        <v>30000</v>
      </c>
      <c r="H39" s="12">
        <f>SUM(H40:H41)</f>
        <v>0</v>
      </c>
      <c r="I39" s="12">
        <f t="shared" si="11"/>
        <v>60000</v>
      </c>
      <c r="J39" s="12">
        <f t="shared" si="11"/>
        <v>0</v>
      </c>
      <c r="K39" s="12">
        <f t="shared" si="11"/>
        <v>0</v>
      </c>
      <c r="L39" s="12">
        <f>SUM(L40:L41)</f>
        <v>0</v>
      </c>
      <c r="M39" s="12">
        <f t="shared" si="11"/>
        <v>0</v>
      </c>
      <c r="N39" s="12">
        <f t="shared" si="11"/>
        <v>0</v>
      </c>
      <c r="O39" s="12">
        <f t="shared" si="11"/>
        <v>0</v>
      </c>
      <c r="P39" s="12">
        <f>SUM(P40:P41)</f>
        <v>0</v>
      </c>
      <c r="Q39" s="12">
        <f>SUM(Q40:Q41)</f>
        <v>0</v>
      </c>
      <c r="R39" s="12">
        <f>SUM(R40:R41)</f>
        <v>0</v>
      </c>
      <c r="S39" s="12">
        <f t="shared" si="11"/>
        <v>0</v>
      </c>
      <c r="T39" s="12">
        <f t="shared" si="11"/>
        <v>0</v>
      </c>
      <c r="U39" s="12">
        <f t="shared" si="11"/>
        <v>0</v>
      </c>
      <c r="V39" s="12">
        <f t="shared" si="11"/>
        <v>0</v>
      </c>
      <c r="W39" s="12">
        <f t="shared" si="11"/>
        <v>0</v>
      </c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79"/>
      <c r="AT39" s="79"/>
      <c r="AU39" s="79"/>
      <c r="AV39" s="79"/>
      <c r="AW39" s="79"/>
      <c r="AX39" s="79"/>
      <c r="AY39" s="79"/>
      <c r="AZ39" s="79"/>
      <c r="BA39" s="79"/>
      <c r="BB39" s="79"/>
      <c r="BC39" s="79"/>
      <c r="BD39" s="79"/>
      <c r="BE39" s="79"/>
      <c r="BF39" s="79"/>
      <c r="BG39" s="79"/>
      <c r="BH39" s="79"/>
      <c r="BI39" s="79"/>
      <c r="BJ39" s="79"/>
      <c r="BK39" s="79"/>
      <c r="BL39" s="79"/>
      <c r="BM39" s="79"/>
      <c r="BN39" s="79"/>
      <c r="BO39" s="79"/>
      <c r="BP39" s="79"/>
      <c r="BQ39" s="79"/>
      <c r="BR39" s="79"/>
      <c r="BS39" s="79"/>
      <c r="BT39" s="79"/>
      <c r="BU39" s="79"/>
      <c r="BV39" s="79"/>
      <c r="BW39" s="79"/>
      <c r="BX39" s="79"/>
      <c r="BY39" s="79"/>
      <c r="BZ39" s="79"/>
      <c r="CA39" s="79"/>
      <c r="CB39" s="79"/>
      <c r="CC39" s="79"/>
      <c r="CD39" s="79"/>
      <c r="CE39" s="79"/>
      <c r="CF39" s="79"/>
      <c r="CG39" s="79"/>
      <c r="CH39" s="79"/>
      <c r="CI39" s="79"/>
      <c r="CJ39" s="79"/>
      <c r="CK39" s="79"/>
      <c r="CL39" s="79"/>
      <c r="CM39" s="79"/>
      <c r="CN39" s="79"/>
      <c r="CO39" s="79"/>
      <c r="CP39" s="79"/>
      <c r="CQ39" s="79"/>
      <c r="CR39" s="79"/>
      <c r="CS39" s="79"/>
      <c r="CT39" s="79"/>
      <c r="CU39" s="79"/>
      <c r="CV39" s="79"/>
      <c r="CW39" s="79"/>
      <c r="CX39" s="79"/>
      <c r="CY39" s="79"/>
      <c r="CZ39" s="79"/>
      <c r="DA39" s="79"/>
      <c r="DB39" s="79"/>
      <c r="DC39" s="79"/>
      <c r="DD39" s="79"/>
      <c r="DE39" s="79"/>
      <c r="DF39" s="79"/>
      <c r="DG39" s="79"/>
      <c r="DH39" s="79"/>
      <c r="DI39" s="79"/>
      <c r="DJ39" s="79"/>
      <c r="DK39" s="79"/>
      <c r="DL39" s="79"/>
      <c r="DM39" s="79"/>
      <c r="DN39" s="79"/>
      <c r="DO39" s="79"/>
      <c r="DP39" s="79"/>
      <c r="DQ39" s="79"/>
      <c r="DR39" s="79"/>
      <c r="DS39" s="79"/>
      <c r="DT39" s="79"/>
      <c r="DU39" s="79"/>
      <c r="DV39" s="79"/>
      <c r="DW39" s="79"/>
      <c r="DX39" s="79"/>
      <c r="DY39" s="79"/>
      <c r="DZ39" s="79"/>
      <c r="EA39" s="79"/>
      <c r="EB39" s="79"/>
      <c r="EC39" s="79"/>
      <c r="ED39" s="79"/>
      <c r="EE39" s="79"/>
      <c r="EF39" s="79"/>
      <c r="EG39" s="79"/>
      <c r="EH39" s="79"/>
      <c r="EI39" s="79"/>
      <c r="EJ39" s="79"/>
      <c r="EK39" s="79"/>
      <c r="EL39" s="79"/>
      <c r="EM39" s="79"/>
      <c r="EN39" s="79"/>
      <c r="EO39" s="79"/>
      <c r="EP39" s="79"/>
      <c r="EQ39" s="79"/>
      <c r="ER39" s="79"/>
      <c r="ES39" s="79"/>
      <c r="ET39" s="79"/>
      <c r="EU39" s="79"/>
      <c r="EV39" s="79"/>
      <c r="EW39" s="79"/>
      <c r="EX39" s="79"/>
      <c r="EY39" s="79"/>
      <c r="EZ39" s="79"/>
      <c r="FA39" s="79"/>
      <c r="FB39" s="79"/>
      <c r="FC39" s="79"/>
      <c r="FD39" s="79"/>
      <c r="FE39" s="79"/>
      <c r="FF39" s="79"/>
      <c r="FG39" s="79"/>
      <c r="FH39" s="79"/>
      <c r="FI39" s="79"/>
      <c r="FJ39" s="79"/>
      <c r="FK39" s="79"/>
      <c r="FL39" s="79"/>
      <c r="FM39" s="79"/>
      <c r="FN39" s="79"/>
      <c r="FO39" s="79"/>
      <c r="FP39" s="79"/>
      <c r="FQ39" s="79"/>
      <c r="FR39" s="79"/>
      <c r="FS39" s="79"/>
      <c r="FT39" s="79"/>
      <c r="FU39" s="79"/>
      <c r="FV39" s="79"/>
      <c r="FW39" s="79"/>
      <c r="FX39" s="79"/>
      <c r="FY39" s="79"/>
      <c r="FZ39" s="79"/>
      <c r="GA39" s="79"/>
      <c r="GB39" s="79"/>
      <c r="GC39" s="79"/>
      <c r="GD39" s="79"/>
      <c r="GE39" s="79"/>
      <c r="GF39" s="79"/>
      <c r="GG39" s="79"/>
      <c r="GH39" s="79"/>
      <c r="GI39" s="79"/>
      <c r="GJ39" s="79"/>
      <c r="GK39" s="79"/>
      <c r="GL39" s="80"/>
      <c r="GM39" s="80"/>
      <c r="GN39" s="80"/>
      <c r="GO39" s="80"/>
      <c r="GP39" s="80"/>
      <c r="GQ39" s="80"/>
      <c r="GR39" s="80"/>
      <c r="GS39" s="80"/>
      <c r="GT39" s="80"/>
      <c r="GU39" s="80"/>
      <c r="GV39" s="80"/>
      <c r="GW39" s="80"/>
      <c r="GX39" s="80"/>
      <c r="GY39" s="80"/>
      <c r="GZ39" s="80"/>
      <c r="HA39" s="80"/>
      <c r="HB39" s="80"/>
      <c r="HC39" s="80"/>
      <c r="HD39" s="80"/>
      <c r="HE39" s="80"/>
      <c r="HF39" s="80"/>
      <c r="HG39" s="80"/>
      <c r="HH39" s="80"/>
      <c r="HI39" s="80"/>
      <c r="HJ39" s="80"/>
      <c r="HK39" s="80"/>
      <c r="HL39" s="80"/>
      <c r="HM39" s="80"/>
      <c r="HN39" s="80"/>
      <c r="HO39" s="80"/>
      <c r="HP39" s="80"/>
      <c r="HQ39" s="80"/>
      <c r="HR39" s="80"/>
      <c r="HS39" s="80"/>
      <c r="HT39" s="80"/>
      <c r="HU39" s="80"/>
      <c r="HV39" s="80"/>
      <c r="HW39" s="80"/>
      <c r="HX39" s="80"/>
      <c r="HY39" s="80"/>
      <c r="HZ39" s="80"/>
      <c r="IA39" s="80"/>
      <c r="IB39" s="80"/>
      <c r="IC39" s="80"/>
      <c r="ID39" s="80"/>
      <c r="IE39" s="80"/>
      <c r="IF39" s="80"/>
      <c r="IG39" s="80"/>
      <c r="IH39" s="80"/>
      <c r="II39" s="80"/>
      <c r="IJ39" s="80"/>
      <c r="IK39" s="80"/>
      <c r="IL39" s="80"/>
      <c r="IM39" s="80"/>
      <c r="IN39" s="80"/>
      <c r="IO39" s="80"/>
      <c r="IP39" s="80"/>
      <c r="IQ39" s="80"/>
      <c r="IR39" s="80"/>
      <c r="IS39" s="80"/>
      <c r="IT39" s="80"/>
      <c r="IU39" s="80"/>
      <c r="IV39" s="80"/>
      <c r="IW39" s="80"/>
      <c r="IX39" s="80"/>
      <c r="IY39" s="80"/>
      <c r="IZ39" s="80"/>
      <c r="JA39" s="80"/>
      <c r="JB39" s="80"/>
      <c r="JC39" s="80"/>
    </row>
    <row r="40" spans="1:263" s="13" customFormat="1" ht="12.6" customHeight="1">
      <c r="A40" s="22">
        <v>2021</v>
      </c>
      <c r="B40" s="81">
        <v>411</v>
      </c>
      <c r="C40" s="81" t="s">
        <v>341</v>
      </c>
      <c r="D40" s="14">
        <f t="shared" si="1"/>
        <v>0</v>
      </c>
      <c r="E40" s="140">
        <f>SUMIFS('Plan rashoda za unos u SAP'!$I$3:$I$501,'Plan rashoda za unos u SAP'!$C$3:$C$501,"=11",'Plan rashoda za unos u SAP'!$M$3:$M$501,"=411")+SUMIFS('ANALITIKA EU PROJEKATA'!$G$3:$G$501,'ANALITIKA EU PROJEKATA'!$A$3:$A$501,"=11",'ANALITIKA EU PROJEKATA'!$P$3:$P$501,"=411")</f>
        <v>0</v>
      </c>
      <c r="F40" s="140">
        <f>SUMIFS('Plan rashoda za unos u SAP'!$I$3:$I$501,'Plan rashoda za unos u SAP'!$C$3:$C$501,"=12",'Plan rashoda za unos u SAP'!$M$3:$M$501,"=411")+SUMIFS('ANALITIKA EU PROJEKATA'!$G$3:$G$501,'ANALITIKA EU PROJEKATA'!$A$3:$A$501,"=12",'ANALITIKA EU PROJEKATA'!$P$3:$P$501,"=411")</f>
        <v>0</v>
      </c>
      <c r="G40" s="140">
        <f>SUMIFS('Plan rashoda za unos u SAP'!$I$3:$I$501,'Plan rashoda za unos u SAP'!$C$3:$C$501,"=31",'Plan rashoda za unos u SAP'!$M$3:$M$501,"=411")+SUMIFS('ANALITIKA EU PROJEKATA'!$G$3:$G$501,'ANALITIKA EU PROJEKATA'!$A$3:$A$501,"=31",'ANALITIKA EU PROJEKATA'!$P$3:$P$501,"=411")</f>
        <v>0</v>
      </c>
      <c r="H40" s="140">
        <f>SUMIFS('Plan rashoda za unos u SAP'!$I$3:$I$501,'Plan rashoda za unos u SAP'!$C$3:$C$501,"=41",'Plan rashoda za unos u SAP'!$M$3:$M$501,"=411")+SUMIFS('ANALITIKA EU PROJEKATA'!$G$3:$G$501,'ANALITIKA EU PROJEKATA'!$A$3:$A$501,"=41",'ANALITIKA EU PROJEKATA'!$P$3:$P$501,"=411")</f>
        <v>0</v>
      </c>
      <c r="I40" s="140">
        <f>SUMIFS('Plan rashoda za unos u SAP'!$I$3:$I$501,'Plan rashoda za unos u SAP'!$C$3:$C$501,"=43",'Plan rashoda za unos u SAP'!$M$3:$M$501,"=411")+SUMIFS('ANALITIKA EU PROJEKATA'!$G$3:$G$501,'ANALITIKA EU PROJEKATA'!$A$3:$A$501,"=43",'ANALITIKA EU PROJEKATA'!$P$3:$P$501,"=411")</f>
        <v>0</v>
      </c>
      <c r="J40" s="140">
        <f>SUMIFS('Plan rashoda za unos u SAP'!$I$3:$I$501,'Plan rashoda za unos u SAP'!$C$3:$C$501,"=51",'Plan rashoda za unos u SAP'!$M$3:$M$501,"=411")+SUMIFS('ANALITIKA EU PROJEKATA'!$G$3:$G$501,'ANALITIKA EU PROJEKATA'!$A$3:$A$501,"=51",'ANALITIKA EU PROJEKATA'!$P$3:$P$501,"=411")</f>
        <v>0</v>
      </c>
      <c r="K40" s="140">
        <f>SUMIFS('Plan rashoda za unos u SAP'!$I$3:$I$501,'Plan rashoda za unos u SAP'!$C$3:$C$501,"=52",'Plan rashoda za unos u SAP'!$M$3:$M$501,"=411")+SUMIFS('ANALITIKA EU PROJEKATA'!$G$3:$G$501,'ANALITIKA EU PROJEKATA'!$A$3:$A$501,"=52",'ANALITIKA EU PROJEKATA'!$P$3:$P$501,"=411")</f>
        <v>0</v>
      </c>
      <c r="L40" s="140">
        <f>SUMIFS('Plan rashoda za unos u SAP'!$I$3:$I$501,'Plan rashoda za unos u SAP'!$C$3:$C$501,"=552",'Plan rashoda za unos u SAP'!$M$3:$M$501,"=411")+SUMIFS('ANALITIKA EU PROJEKATA'!$G$3:$G$501,'ANALITIKA EU PROJEKATA'!$A$3:$A$501,"=552",'ANALITIKA EU PROJEKATA'!$P$3:$P$501,"=411")</f>
        <v>0</v>
      </c>
      <c r="M40" s="140">
        <f>SUMIFS('Plan rashoda za unos u SAP'!$I$3:$I$501,'Plan rashoda za unos u SAP'!$C$3:$C$501,"=559",'Plan rashoda za unos u SAP'!$M$3:$M$501,"=411")+SUMIFS('ANALITIKA EU PROJEKATA'!$G$3:$G$501,'ANALITIKA EU PROJEKATA'!$A$3:$A$501,"=559",'ANALITIKA EU PROJEKATA'!$P$3:$P$501,"=411")</f>
        <v>0</v>
      </c>
      <c r="N40" s="140">
        <f>SUMIFS('Plan rashoda za unos u SAP'!$I$3:$I$501,'Plan rashoda za unos u SAP'!$C$3:$C$501,"=561",'Plan rashoda za unos u SAP'!$M$3:$M$501,"=411")+SUMIFS('ANALITIKA EU PROJEKATA'!$G$3:$G$501,'ANALITIKA EU PROJEKATA'!$A$3:$A$501,"=561",'ANALITIKA EU PROJEKATA'!$P$3:$P$501,"=411")</f>
        <v>0</v>
      </c>
      <c r="O40" s="140">
        <f>SUMIFS('Plan rashoda za unos u SAP'!$I$3:$I$501,'Plan rashoda za unos u SAP'!$C$3:$C$501,"=563",'Plan rashoda za unos u SAP'!$M$3:$M$501,"=411")+SUMIFS('ANALITIKA EU PROJEKATA'!$G$3:$G$501,'ANALITIKA EU PROJEKATA'!$A$3:$A$501,"=563",'ANALITIKA EU PROJEKATA'!$P$3:$P$501,"=411")</f>
        <v>0</v>
      </c>
      <c r="P40" s="140">
        <f>SUMIFS('Plan rashoda za unos u SAP'!$I$3:$I$501,'Plan rashoda za unos u SAP'!$C$3:$C$501,"=573",'Plan rashoda za unos u SAP'!$M$3:$M$501,"=411")+SUMIFS('ANALITIKA EU PROJEKATA'!$G$3:$G$501,'ANALITIKA EU PROJEKATA'!$A$3:$A$501,"=573",'ANALITIKA EU PROJEKATA'!$P$3:$P$501,"=411")</f>
        <v>0</v>
      </c>
      <c r="Q40" s="140">
        <f>SUMIFS('Plan rashoda za unos u SAP'!$I$3:$I$501,'Plan rashoda za unos u SAP'!$C$3:$C$501,"=575",'Plan rashoda za unos u SAP'!$M$3:$M$501,"=411")+SUMIFS('ANALITIKA EU PROJEKATA'!$G$3:$G$501,'ANALITIKA EU PROJEKATA'!$A$3:$A$501,"=575",'ANALITIKA EU PROJEKATA'!$P$3:$P$501,"=411")</f>
        <v>0</v>
      </c>
      <c r="R40" s="140">
        <f>SUMIFS('Plan rashoda za unos u SAP'!$I$3:$I$501,'Plan rashoda za unos u SAP'!$C$3:$C$501,"=576",'Plan rashoda za unos u SAP'!$M$3:$M$501,"=411")+SUMIFS('ANALITIKA EU PROJEKATA'!$G$3:$G$501,'ANALITIKA EU PROJEKATA'!$A$3:$A$501,"=576",'ANALITIKA EU PROJEKATA'!$P$3:$P$501,"=411")</f>
        <v>0</v>
      </c>
      <c r="S40" s="140">
        <f>SUMIFS('Plan rashoda za unos u SAP'!$I$3:$I$501,'Plan rashoda za unos u SAP'!$C$3:$C$501,"=61",'Plan rashoda za unos u SAP'!$M$3:$M$501,"=411")+SUMIFS('ANALITIKA EU PROJEKATA'!$G$3:$G$501,'ANALITIKA EU PROJEKATA'!$A$3:$A$501,"=61",'ANALITIKA EU PROJEKATA'!$P$3:$P$501,"=411")</f>
        <v>0</v>
      </c>
      <c r="T40" s="140">
        <f>SUMIFS('Plan rashoda za unos u SAP'!$I$3:$I$501,'Plan rashoda za unos u SAP'!$C$3:$C$501,"=63",'Plan rashoda za unos u SAP'!$M$3:$M$501,"=411")+SUMIFS('ANALITIKA EU PROJEKATA'!$G$3:$G$501,'ANALITIKA EU PROJEKATA'!$A$3:$A$501,"=63",'ANALITIKA EU PROJEKATA'!$P$3:$P$501,"=411")</f>
        <v>0</v>
      </c>
      <c r="U40" s="140">
        <f>SUMIFS('Plan rashoda za unos u SAP'!$I$3:$I$501,'Plan rashoda za unos u SAP'!$C$3:$C$501,"=71",'Plan rashoda za unos u SAP'!$M$3:$M$501,"=411")+SUMIFS('ANALITIKA EU PROJEKATA'!$G$3:$G$501,'ANALITIKA EU PROJEKATA'!$A$3:$A$501,"=71",'ANALITIKA EU PROJEKATA'!$P$3:$P$501,"=411")</f>
        <v>0</v>
      </c>
      <c r="V40" s="140">
        <f>SUMIFS('Plan rashoda za unos u SAP'!$I$3:$I$501,'Plan rashoda za unos u SAP'!$C$3:$C$501,"=81",'Plan rashoda za unos u SAP'!$M$3:$M$501,"=411")+SUMIFS('ANALITIKA EU PROJEKATA'!$G$3:$G$501,'ANALITIKA EU PROJEKATA'!$A$3:$A$501,"=81",'ANALITIKA EU PROJEKATA'!$P$3:$P$501,"=411")</f>
        <v>0</v>
      </c>
      <c r="W40" s="140">
        <f>SUMIFS('Plan rashoda za unos u SAP'!$I$3:$I$501,'Plan rashoda za unos u SAP'!$C$3:$C$501,"=83",'Plan rashoda za unos u SAP'!$M$3:$M$501,"=411")+SUMIFS('ANALITIKA EU PROJEKATA'!$G$3:$G$501,'ANALITIKA EU PROJEKATA'!$A$3:$A$501,"=83",'ANALITIKA EU PROJEKATA'!$P$3:$P$501,"=411")</f>
        <v>0</v>
      </c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2"/>
      <c r="BF40" s="72"/>
      <c r="BG40" s="72"/>
      <c r="BH40" s="72"/>
      <c r="BI40" s="72"/>
      <c r="BJ40" s="72"/>
      <c r="BK40" s="72"/>
      <c r="BL40" s="72"/>
      <c r="BM40" s="72"/>
      <c r="BN40" s="72"/>
      <c r="BO40" s="72"/>
      <c r="BP40" s="72"/>
      <c r="BQ40" s="72"/>
      <c r="BR40" s="72"/>
      <c r="BS40" s="72"/>
      <c r="BT40" s="72"/>
      <c r="BU40" s="72"/>
      <c r="BV40" s="72"/>
      <c r="BW40" s="72"/>
      <c r="BX40" s="72"/>
      <c r="BY40" s="72"/>
      <c r="BZ40" s="72"/>
      <c r="CA40" s="72"/>
      <c r="CB40" s="72"/>
      <c r="CC40" s="72"/>
      <c r="CD40" s="72"/>
      <c r="CE40" s="72"/>
      <c r="CF40" s="72"/>
      <c r="CG40" s="72"/>
      <c r="CH40" s="72"/>
      <c r="CI40" s="72"/>
      <c r="CJ40" s="72"/>
      <c r="CK40" s="72"/>
      <c r="CL40" s="72"/>
      <c r="CM40" s="72"/>
      <c r="CN40" s="72"/>
      <c r="CO40" s="72"/>
      <c r="CP40" s="72"/>
      <c r="CQ40" s="72"/>
      <c r="CR40" s="72"/>
      <c r="CS40" s="72"/>
      <c r="CT40" s="72"/>
      <c r="CU40" s="72"/>
      <c r="CV40" s="72"/>
      <c r="CW40" s="72"/>
      <c r="CX40" s="72"/>
      <c r="CY40" s="72"/>
      <c r="CZ40" s="72"/>
      <c r="DA40" s="72"/>
      <c r="DB40" s="72"/>
      <c r="DC40" s="72"/>
      <c r="DD40" s="72"/>
      <c r="DE40" s="72"/>
      <c r="DF40" s="72"/>
      <c r="DG40" s="72"/>
      <c r="DH40" s="72"/>
      <c r="DI40" s="72"/>
      <c r="DJ40" s="72"/>
      <c r="DK40" s="72"/>
      <c r="DL40" s="72"/>
      <c r="DM40" s="72"/>
      <c r="DN40" s="72"/>
      <c r="DO40" s="72"/>
      <c r="DP40" s="72"/>
      <c r="DQ40" s="72"/>
      <c r="DR40" s="72"/>
      <c r="DS40" s="72"/>
      <c r="DT40" s="72"/>
      <c r="DU40" s="72"/>
      <c r="DV40" s="72"/>
      <c r="DW40" s="72"/>
      <c r="DX40" s="72"/>
      <c r="DY40" s="72"/>
      <c r="DZ40" s="72"/>
      <c r="EA40" s="72"/>
      <c r="EB40" s="72"/>
      <c r="EC40" s="72"/>
      <c r="ED40" s="72"/>
      <c r="EE40" s="72"/>
      <c r="EF40" s="72"/>
      <c r="EG40" s="72"/>
      <c r="EH40" s="72"/>
      <c r="EI40" s="72"/>
      <c r="EJ40" s="72"/>
      <c r="EK40" s="72"/>
      <c r="EL40" s="72"/>
      <c r="EM40" s="72"/>
      <c r="EN40" s="72"/>
      <c r="EO40" s="72"/>
      <c r="EP40" s="72"/>
      <c r="EQ40" s="72"/>
      <c r="ER40" s="72"/>
      <c r="ES40" s="72"/>
      <c r="ET40" s="72"/>
      <c r="EU40" s="72"/>
      <c r="EV40" s="72"/>
      <c r="EW40" s="72"/>
      <c r="EX40" s="72"/>
      <c r="EY40" s="72"/>
      <c r="EZ40" s="72"/>
      <c r="FA40" s="72"/>
      <c r="FB40" s="72"/>
      <c r="FC40" s="72"/>
      <c r="FD40" s="72"/>
      <c r="FE40" s="72"/>
      <c r="FF40" s="72"/>
      <c r="FG40" s="72"/>
      <c r="FH40" s="72"/>
      <c r="FI40" s="72"/>
      <c r="FJ40" s="72"/>
      <c r="FK40" s="72"/>
      <c r="FL40" s="72"/>
      <c r="FM40" s="72"/>
      <c r="FN40" s="72"/>
      <c r="FO40" s="72"/>
      <c r="FP40" s="72"/>
      <c r="FQ40" s="72"/>
      <c r="FR40" s="72"/>
      <c r="FS40" s="72"/>
      <c r="FT40" s="72"/>
      <c r="FU40" s="72"/>
      <c r="FV40" s="72"/>
      <c r="FW40" s="72"/>
      <c r="FX40" s="72"/>
      <c r="FY40" s="72"/>
      <c r="FZ40" s="72"/>
      <c r="GA40" s="72"/>
      <c r="GB40" s="72"/>
      <c r="GC40" s="72"/>
      <c r="GD40" s="72"/>
      <c r="GE40" s="72"/>
      <c r="GF40" s="72"/>
      <c r="GG40" s="72"/>
      <c r="GH40" s="72"/>
      <c r="GI40" s="72"/>
      <c r="GJ40" s="72"/>
      <c r="GK40" s="72"/>
      <c r="GL40" s="73"/>
      <c r="GM40" s="73"/>
      <c r="GN40" s="73"/>
      <c r="GO40" s="73"/>
      <c r="GP40" s="73"/>
      <c r="GQ40" s="73"/>
      <c r="GR40" s="73"/>
      <c r="GS40" s="73"/>
      <c r="GT40" s="73"/>
      <c r="GU40" s="73"/>
      <c r="GV40" s="73"/>
      <c r="GW40" s="73"/>
      <c r="GX40" s="73"/>
      <c r="GY40" s="73"/>
      <c r="GZ40" s="73"/>
      <c r="HA40" s="73"/>
      <c r="HB40" s="73"/>
      <c r="HC40" s="73"/>
      <c r="HD40" s="73"/>
      <c r="HE40" s="73"/>
      <c r="HF40" s="73"/>
      <c r="HG40" s="73"/>
      <c r="HH40" s="73"/>
      <c r="HI40" s="73"/>
      <c r="HJ40" s="73"/>
      <c r="HK40" s="73"/>
      <c r="HL40" s="73"/>
      <c r="HM40" s="73"/>
      <c r="HN40" s="73"/>
      <c r="HO40" s="73"/>
      <c r="HP40" s="73"/>
      <c r="HQ40" s="73"/>
      <c r="HR40" s="73"/>
      <c r="HS40" s="73"/>
      <c r="HT40" s="73"/>
      <c r="HU40" s="73"/>
      <c r="HV40" s="73"/>
      <c r="HW40" s="73"/>
      <c r="HX40" s="73"/>
      <c r="HY40" s="73"/>
      <c r="HZ40" s="73"/>
      <c r="IA40" s="73"/>
      <c r="IB40" s="73"/>
      <c r="IC40" s="73"/>
      <c r="ID40" s="73"/>
      <c r="IE40" s="73"/>
      <c r="IF40" s="73"/>
      <c r="IG40" s="73"/>
      <c r="IH40" s="73"/>
      <c r="II40" s="73"/>
      <c r="IJ40" s="73"/>
      <c r="IK40" s="73"/>
      <c r="IL40" s="73"/>
      <c r="IM40" s="73"/>
      <c r="IN40" s="73"/>
      <c r="IO40" s="73"/>
      <c r="IP40" s="73"/>
      <c r="IQ40" s="73"/>
      <c r="IR40" s="73"/>
      <c r="IS40" s="73"/>
      <c r="IT40" s="73"/>
      <c r="IU40" s="73"/>
      <c r="IV40" s="73"/>
      <c r="IW40" s="73"/>
      <c r="IX40" s="73"/>
      <c r="IY40" s="73"/>
      <c r="IZ40" s="73"/>
      <c r="JA40" s="73"/>
      <c r="JB40" s="73"/>
      <c r="JC40" s="73"/>
    </row>
    <row r="41" spans="1:263" s="13" customFormat="1" ht="12.6" customHeight="1">
      <c r="A41" s="22">
        <v>2021</v>
      </c>
      <c r="B41" s="82">
        <v>412</v>
      </c>
      <c r="C41" s="8" t="s">
        <v>342</v>
      </c>
      <c r="D41" s="14">
        <f t="shared" si="1"/>
        <v>90000</v>
      </c>
      <c r="E41" s="140">
        <f>SUMIFS('Plan rashoda za unos u SAP'!$I$3:$I$501,'Plan rashoda za unos u SAP'!$C$3:$C$501,"=11",'Plan rashoda za unos u SAP'!$M$3:$M$501,"=412")+SUMIFS('ANALITIKA EU PROJEKATA'!$G$3:$G$501,'ANALITIKA EU PROJEKATA'!$A$3:$A$501,"=11",'ANALITIKA EU PROJEKATA'!$P$3:$P$501,"=412")</f>
        <v>0</v>
      </c>
      <c r="F41" s="140">
        <f>SUMIFS('Plan rashoda za unos u SAP'!$I$3:$I$501,'Plan rashoda za unos u SAP'!$C$3:$C$501,"=12",'Plan rashoda za unos u SAP'!$M$3:$M$501,"=412")+SUMIFS('ANALITIKA EU PROJEKATA'!$G$3:$G$501,'ANALITIKA EU PROJEKATA'!$A$3:$A$501,"=12",'ANALITIKA EU PROJEKATA'!$P$3:$P$501,"=412")</f>
        <v>0</v>
      </c>
      <c r="G41" s="140">
        <f>SUMIFS('Plan rashoda za unos u SAP'!$I$3:$I$501,'Plan rashoda za unos u SAP'!$C$3:$C$501,"=31",'Plan rashoda za unos u SAP'!$M$3:$M$501,"=412")+SUMIFS('ANALITIKA EU PROJEKATA'!$G$3:$G$501,'ANALITIKA EU PROJEKATA'!$A$3:$A$501,"=31",'ANALITIKA EU PROJEKATA'!$P$3:$P$501,"=412")</f>
        <v>30000</v>
      </c>
      <c r="H41" s="140">
        <f>SUMIFS('Plan rashoda za unos u SAP'!$I$3:$I$501,'Plan rashoda za unos u SAP'!$C$3:$C$501,"=41",'Plan rashoda za unos u SAP'!$M$3:$M$501,"=412")+SUMIFS('ANALITIKA EU PROJEKATA'!$G$3:$G$501,'ANALITIKA EU PROJEKATA'!$A$3:$A$501,"=41",'ANALITIKA EU PROJEKATA'!$P$3:$P$501,"=412")</f>
        <v>0</v>
      </c>
      <c r="I41" s="140">
        <f>SUMIFS('Plan rashoda za unos u SAP'!$I$3:$I$501,'Plan rashoda za unos u SAP'!$C$3:$C$501,"=43",'Plan rashoda za unos u SAP'!$M$3:$M$501,"=412")+SUMIFS('ANALITIKA EU PROJEKATA'!$G$3:$G$501,'ANALITIKA EU PROJEKATA'!$A$3:$A$501,"=43",'ANALITIKA EU PROJEKATA'!$P$3:$P$501,"=412")</f>
        <v>60000</v>
      </c>
      <c r="J41" s="140">
        <f>SUMIFS('Plan rashoda za unos u SAP'!$I$3:$I$501,'Plan rashoda za unos u SAP'!$C$3:$C$501,"=51",'Plan rashoda za unos u SAP'!$M$3:$M$501,"=412")+SUMIFS('ANALITIKA EU PROJEKATA'!$G$3:$G$501,'ANALITIKA EU PROJEKATA'!$A$3:$A$501,"=51",'ANALITIKA EU PROJEKATA'!$P$3:$P$501,"=412")</f>
        <v>0</v>
      </c>
      <c r="K41" s="140">
        <f>SUMIFS('Plan rashoda za unos u SAP'!$I$3:$I$501,'Plan rashoda za unos u SAP'!$C$3:$C$501,"=52",'Plan rashoda za unos u SAP'!$M$3:$M$501,"=412")+SUMIFS('ANALITIKA EU PROJEKATA'!$G$3:$G$501,'ANALITIKA EU PROJEKATA'!$A$3:$A$501,"=52",'ANALITIKA EU PROJEKATA'!$P$3:$P$501,"=412")</f>
        <v>0</v>
      </c>
      <c r="L41" s="140">
        <f>SUMIFS('Plan rashoda za unos u SAP'!$I$3:$I$501,'Plan rashoda za unos u SAP'!$C$3:$C$501,"=552",'Plan rashoda za unos u SAP'!$M$3:$M$501,"=412")+SUMIFS('ANALITIKA EU PROJEKATA'!$G$3:$G$501,'ANALITIKA EU PROJEKATA'!$A$3:$A$501,"=552",'ANALITIKA EU PROJEKATA'!$P$3:$P$501,"=412")</f>
        <v>0</v>
      </c>
      <c r="M41" s="140">
        <f>SUMIFS('Plan rashoda za unos u SAP'!$I$3:$I$501,'Plan rashoda za unos u SAP'!$C$3:$C$501,"=559",'Plan rashoda za unos u SAP'!$M$3:$M$501,"=412")+SUMIFS('ANALITIKA EU PROJEKATA'!$G$3:$G$501,'ANALITIKA EU PROJEKATA'!$A$3:$A$501,"=559",'ANALITIKA EU PROJEKATA'!$P$3:$P$501,"=412")</f>
        <v>0</v>
      </c>
      <c r="N41" s="140">
        <f>SUMIFS('Plan rashoda za unos u SAP'!$I$3:$I$501,'Plan rashoda za unos u SAP'!$C$3:$C$501,"=561",'Plan rashoda za unos u SAP'!$M$3:$M$501,"=412")+SUMIFS('ANALITIKA EU PROJEKATA'!$G$3:$G$501,'ANALITIKA EU PROJEKATA'!$A$3:$A$501,"=561",'ANALITIKA EU PROJEKATA'!$P$3:$P$501,"=412")</f>
        <v>0</v>
      </c>
      <c r="O41" s="140">
        <f>SUMIFS('Plan rashoda za unos u SAP'!$I$3:$I$501,'Plan rashoda za unos u SAP'!$C$3:$C$501,"=563",'Plan rashoda za unos u SAP'!$M$3:$M$501,"=412")+SUMIFS('ANALITIKA EU PROJEKATA'!$G$3:$G$501,'ANALITIKA EU PROJEKATA'!$A$3:$A$501,"=563",'ANALITIKA EU PROJEKATA'!$P$3:$P$501,"=412")</f>
        <v>0</v>
      </c>
      <c r="P41" s="140">
        <f>SUMIFS('Plan rashoda za unos u SAP'!$I$3:$I$501,'Plan rashoda za unos u SAP'!$C$3:$C$501,"=573",'Plan rashoda za unos u SAP'!$M$3:$M$501,"=412")+SUMIFS('ANALITIKA EU PROJEKATA'!$G$3:$G$501,'ANALITIKA EU PROJEKATA'!$A$3:$A$501,"=573",'ANALITIKA EU PROJEKATA'!$P$3:$P$501,"=412")</f>
        <v>0</v>
      </c>
      <c r="Q41" s="140">
        <f>SUMIFS('Plan rashoda za unos u SAP'!$I$3:$I$501,'Plan rashoda za unos u SAP'!$C$3:$C$501,"=575",'Plan rashoda za unos u SAP'!$M$3:$M$501,"=412")+SUMIFS('ANALITIKA EU PROJEKATA'!$G$3:$G$501,'ANALITIKA EU PROJEKATA'!$A$3:$A$501,"=575",'ANALITIKA EU PROJEKATA'!$P$3:$P$501,"=412")</f>
        <v>0</v>
      </c>
      <c r="R41" s="140">
        <f>SUMIFS('Plan rashoda za unos u SAP'!$I$3:$I$501,'Plan rashoda za unos u SAP'!$C$3:$C$501,"=576",'Plan rashoda za unos u SAP'!$M$3:$M$501,"=412")+SUMIFS('ANALITIKA EU PROJEKATA'!$G$3:$G$501,'ANALITIKA EU PROJEKATA'!$A$3:$A$501,"=576",'ANALITIKA EU PROJEKATA'!$P$3:$P$501,"=412")</f>
        <v>0</v>
      </c>
      <c r="S41" s="140">
        <f>SUMIFS('Plan rashoda za unos u SAP'!$I$3:$I$501,'Plan rashoda za unos u SAP'!$C$3:$C$501,"=61",'Plan rashoda za unos u SAP'!$M$3:$M$501,"=412")+SUMIFS('ANALITIKA EU PROJEKATA'!$G$3:$G$501,'ANALITIKA EU PROJEKATA'!$A$3:$A$501,"=61",'ANALITIKA EU PROJEKATA'!$P$3:$P$501,"=412")</f>
        <v>0</v>
      </c>
      <c r="T41" s="140">
        <f>SUMIFS('Plan rashoda za unos u SAP'!$I$3:$I$501,'Plan rashoda za unos u SAP'!$C$3:$C$501,"=63",'Plan rashoda za unos u SAP'!$M$3:$M$501,"=412")+SUMIFS('ANALITIKA EU PROJEKATA'!$G$3:$G$501,'ANALITIKA EU PROJEKATA'!$A$3:$A$501,"=63",'ANALITIKA EU PROJEKATA'!$P$3:$P$501,"=412")</f>
        <v>0</v>
      </c>
      <c r="U41" s="140">
        <f>SUMIFS('Plan rashoda za unos u SAP'!$I$3:$I$501,'Plan rashoda za unos u SAP'!$C$3:$C$501,"=71",'Plan rashoda za unos u SAP'!$M$3:$M$501,"=412")+SUMIFS('ANALITIKA EU PROJEKATA'!$G$3:$G$501,'ANALITIKA EU PROJEKATA'!$A$3:$A$501,"=71",'ANALITIKA EU PROJEKATA'!$P$3:$P$501,"=412")</f>
        <v>0</v>
      </c>
      <c r="V41" s="140">
        <f>SUMIFS('Plan rashoda za unos u SAP'!$I$3:$I$501,'Plan rashoda za unos u SAP'!$C$3:$C$501,"=81",'Plan rashoda za unos u SAP'!$M$3:$M$501,"=412")+SUMIFS('ANALITIKA EU PROJEKATA'!$G$3:$G$501,'ANALITIKA EU PROJEKATA'!$A$3:$A$501,"=81",'ANALITIKA EU PROJEKATA'!$P$3:$P$501,"=412")</f>
        <v>0</v>
      </c>
      <c r="W41" s="140">
        <f>SUMIFS('Plan rashoda za unos u SAP'!$I$3:$I$501,'Plan rashoda za unos u SAP'!$C$3:$C$501,"=83",'Plan rashoda za unos u SAP'!$M$3:$M$501,"=412")+SUMIFS('ANALITIKA EU PROJEKATA'!$G$3:$G$501,'ANALITIKA EU PROJEKATA'!$A$3:$A$501,"=83",'ANALITIKA EU PROJEKATA'!$P$3:$P$501,"=412")</f>
        <v>0</v>
      </c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2"/>
      <c r="AY41" s="72"/>
      <c r="AZ41" s="72"/>
      <c r="BA41" s="72"/>
      <c r="BB41" s="72"/>
      <c r="BC41" s="72"/>
      <c r="BD41" s="72"/>
      <c r="BE41" s="72"/>
      <c r="BF41" s="72"/>
      <c r="BG41" s="72"/>
      <c r="BH41" s="72"/>
      <c r="BI41" s="72"/>
      <c r="BJ41" s="72"/>
      <c r="BK41" s="72"/>
      <c r="BL41" s="72"/>
      <c r="BM41" s="72"/>
      <c r="BN41" s="72"/>
      <c r="BO41" s="72"/>
      <c r="BP41" s="72"/>
      <c r="BQ41" s="72"/>
      <c r="BR41" s="72"/>
      <c r="BS41" s="72"/>
      <c r="BT41" s="72"/>
      <c r="BU41" s="72"/>
      <c r="BV41" s="72"/>
      <c r="BW41" s="72"/>
      <c r="BX41" s="72"/>
      <c r="BY41" s="72"/>
      <c r="BZ41" s="72"/>
      <c r="CA41" s="72"/>
      <c r="CB41" s="72"/>
      <c r="CC41" s="72"/>
      <c r="CD41" s="72"/>
      <c r="CE41" s="72"/>
      <c r="CF41" s="72"/>
      <c r="CG41" s="72"/>
      <c r="CH41" s="72"/>
      <c r="CI41" s="72"/>
      <c r="CJ41" s="72"/>
      <c r="CK41" s="72"/>
      <c r="CL41" s="72"/>
      <c r="CM41" s="72"/>
      <c r="CN41" s="72"/>
      <c r="CO41" s="72"/>
      <c r="CP41" s="72"/>
      <c r="CQ41" s="72"/>
      <c r="CR41" s="72"/>
      <c r="CS41" s="72"/>
      <c r="CT41" s="72"/>
      <c r="CU41" s="72"/>
      <c r="CV41" s="72"/>
      <c r="CW41" s="72"/>
      <c r="CX41" s="72"/>
      <c r="CY41" s="72"/>
      <c r="CZ41" s="72"/>
      <c r="DA41" s="72"/>
      <c r="DB41" s="72"/>
      <c r="DC41" s="72"/>
      <c r="DD41" s="72"/>
      <c r="DE41" s="72"/>
      <c r="DF41" s="72"/>
      <c r="DG41" s="72"/>
      <c r="DH41" s="72"/>
      <c r="DI41" s="72"/>
      <c r="DJ41" s="72"/>
      <c r="DK41" s="72"/>
      <c r="DL41" s="72"/>
      <c r="DM41" s="72"/>
      <c r="DN41" s="72"/>
      <c r="DO41" s="72"/>
      <c r="DP41" s="72"/>
      <c r="DQ41" s="72"/>
      <c r="DR41" s="72"/>
      <c r="DS41" s="72"/>
      <c r="DT41" s="72"/>
      <c r="DU41" s="72"/>
      <c r="DV41" s="72"/>
      <c r="DW41" s="72"/>
      <c r="DX41" s="72"/>
      <c r="DY41" s="72"/>
      <c r="DZ41" s="72"/>
      <c r="EA41" s="72"/>
      <c r="EB41" s="72"/>
      <c r="EC41" s="72"/>
      <c r="ED41" s="72"/>
      <c r="EE41" s="72"/>
      <c r="EF41" s="72"/>
      <c r="EG41" s="72"/>
      <c r="EH41" s="72"/>
      <c r="EI41" s="72"/>
      <c r="EJ41" s="72"/>
      <c r="EK41" s="72"/>
      <c r="EL41" s="72"/>
      <c r="EM41" s="72"/>
      <c r="EN41" s="72"/>
      <c r="EO41" s="72"/>
      <c r="EP41" s="72"/>
      <c r="EQ41" s="72"/>
      <c r="ER41" s="72"/>
      <c r="ES41" s="72"/>
      <c r="ET41" s="72"/>
      <c r="EU41" s="72"/>
      <c r="EV41" s="72"/>
      <c r="EW41" s="72"/>
      <c r="EX41" s="72"/>
      <c r="EY41" s="72"/>
      <c r="EZ41" s="72"/>
      <c r="FA41" s="72"/>
      <c r="FB41" s="72"/>
      <c r="FC41" s="72"/>
      <c r="FD41" s="72"/>
      <c r="FE41" s="72"/>
      <c r="FF41" s="72"/>
      <c r="FG41" s="72"/>
      <c r="FH41" s="72"/>
      <c r="FI41" s="72"/>
      <c r="FJ41" s="72"/>
      <c r="FK41" s="72"/>
      <c r="FL41" s="72"/>
      <c r="FM41" s="72"/>
      <c r="FN41" s="72"/>
      <c r="FO41" s="72"/>
      <c r="FP41" s="72"/>
      <c r="FQ41" s="72"/>
      <c r="FR41" s="72"/>
      <c r="FS41" s="72"/>
      <c r="FT41" s="72"/>
      <c r="FU41" s="72"/>
      <c r="FV41" s="72"/>
      <c r="FW41" s="72"/>
      <c r="FX41" s="72"/>
      <c r="FY41" s="72"/>
      <c r="FZ41" s="72"/>
      <c r="GA41" s="72"/>
      <c r="GB41" s="72"/>
      <c r="GC41" s="72"/>
      <c r="GD41" s="72"/>
      <c r="GE41" s="72"/>
      <c r="GF41" s="72"/>
      <c r="GG41" s="72"/>
      <c r="GH41" s="72"/>
      <c r="GI41" s="72"/>
      <c r="GJ41" s="72"/>
      <c r="GK41" s="72"/>
      <c r="GL41" s="73"/>
      <c r="GM41" s="73"/>
      <c r="GN41" s="73"/>
      <c r="GO41" s="73"/>
      <c r="GP41" s="73"/>
      <c r="GQ41" s="73"/>
      <c r="GR41" s="73"/>
      <c r="GS41" s="73"/>
      <c r="GT41" s="73"/>
      <c r="GU41" s="73"/>
      <c r="GV41" s="73"/>
      <c r="GW41" s="73"/>
      <c r="GX41" s="73"/>
      <c r="GY41" s="73"/>
      <c r="GZ41" s="73"/>
      <c r="HA41" s="73"/>
      <c r="HB41" s="73"/>
      <c r="HC41" s="73"/>
      <c r="HD41" s="73"/>
      <c r="HE41" s="73"/>
      <c r="HF41" s="73"/>
      <c r="HG41" s="73"/>
      <c r="HH41" s="73"/>
      <c r="HI41" s="73"/>
      <c r="HJ41" s="73"/>
      <c r="HK41" s="73"/>
      <c r="HL41" s="73"/>
      <c r="HM41" s="73"/>
      <c r="HN41" s="73"/>
      <c r="HO41" s="73"/>
      <c r="HP41" s="73"/>
      <c r="HQ41" s="73"/>
      <c r="HR41" s="73"/>
      <c r="HS41" s="73"/>
      <c r="HT41" s="73"/>
      <c r="HU41" s="73"/>
      <c r="HV41" s="73"/>
      <c r="HW41" s="73"/>
      <c r="HX41" s="73"/>
      <c r="HY41" s="73"/>
      <c r="HZ41" s="73"/>
      <c r="IA41" s="73"/>
      <c r="IB41" s="73"/>
      <c r="IC41" s="73"/>
      <c r="ID41" s="73"/>
      <c r="IE41" s="73"/>
      <c r="IF41" s="73"/>
      <c r="IG41" s="73"/>
      <c r="IH41" s="73"/>
      <c r="II41" s="73"/>
      <c r="IJ41" s="73"/>
      <c r="IK41" s="73"/>
      <c r="IL41" s="73"/>
      <c r="IM41" s="73"/>
      <c r="IN41" s="73"/>
      <c r="IO41" s="73"/>
      <c r="IP41" s="73"/>
      <c r="IQ41" s="73"/>
      <c r="IR41" s="73"/>
      <c r="IS41" s="73"/>
      <c r="IT41" s="73"/>
      <c r="IU41" s="73"/>
      <c r="IV41" s="73"/>
      <c r="IW41" s="73"/>
      <c r="IX41" s="73"/>
      <c r="IY41" s="73"/>
      <c r="IZ41" s="73"/>
      <c r="JA41" s="73"/>
      <c r="JB41" s="73"/>
      <c r="JC41" s="73"/>
    </row>
    <row r="42" spans="1:263" s="20" customFormat="1" ht="12.6" customHeight="1">
      <c r="A42" s="22">
        <v>2021</v>
      </c>
      <c r="B42" s="84">
        <v>42</v>
      </c>
      <c r="C42" s="15" t="s">
        <v>261</v>
      </c>
      <c r="D42" s="4">
        <f t="shared" si="1"/>
        <v>577000</v>
      </c>
      <c r="E42" s="4">
        <f t="shared" ref="E42:W42" si="12">SUM(E43:E48)</f>
        <v>172000</v>
      </c>
      <c r="F42" s="4">
        <f t="shared" si="12"/>
        <v>0</v>
      </c>
      <c r="G42" s="4">
        <f t="shared" si="12"/>
        <v>295000</v>
      </c>
      <c r="H42" s="4">
        <f>SUM(H43:H48)</f>
        <v>0</v>
      </c>
      <c r="I42" s="4">
        <f t="shared" si="12"/>
        <v>110000</v>
      </c>
      <c r="J42" s="4">
        <f t="shared" si="12"/>
        <v>0</v>
      </c>
      <c r="K42" s="4">
        <f t="shared" si="12"/>
        <v>0</v>
      </c>
      <c r="L42" s="4">
        <f>SUM(L43:L48)</f>
        <v>0</v>
      </c>
      <c r="M42" s="4">
        <f t="shared" si="12"/>
        <v>0</v>
      </c>
      <c r="N42" s="4">
        <f t="shared" si="12"/>
        <v>0</v>
      </c>
      <c r="O42" s="4">
        <f t="shared" si="12"/>
        <v>0</v>
      </c>
      <c r="P42" s="4">
        <f>SUM(P43:P48)</f>
        <v>0</v>
      </c>
      <c r="Q42" s="4">
        <f>SUM(Q43:Q48)</f>
        <v>0</v>
      </c>
      <c r="R42" s="4">
        <f>SUM(R43:R48)</f>
        <v>0</v>
      </c>
      <c r="S42" s="4">
        <f t="shared" si="12"/>
        <v>0</v>
      </c>
      <c r="T42" s="4">
        <f t="shared" si="12"/>
        <v>0</v>
      </c>
      <c r="U42" s="4">
        <f t="shared" si="12"/>
        <v>0</v>
      </c>
      <c r="V42" s="4">
        <f t="shared" si="12"/>
        <v>0</v>
      </c>
      <c r="W42" s="4">
        <f t="shared" si="12"/>
        <v>0</v>
      </c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5"/>
      <c r="BG42" s="85"/>
      <c r="BH42" s="85"/>
      <c r="BI42" s="85"/>
      <c r="BJ42" s="85"/>
      <c r="BK42" s="85"/>
      <c r="BL42" s="85"/>
      <c r="BM42" s="85"/>
      <c r="BN42" s="85"/>
      <c r="BO42" s="85"/>
      <c r="BP42" s="85"/>
      <c r="BQ42" s="85"/>
      <c r="BR42" s="85"/>
      <c r="BS42" s="85"/>
      <c r="BT42" s="85"/>
      <c r="BU42" s="85"/>
      <c r="BV42" s="85"/>
      <c r="BW42" s="85"/>
      <c r="BX42" s="85"/>
      <c r="BY42" s="85"/>
      <c r="BZ42" s="85"/>
      <c r="CA42" s="85"/>
      <c r="CB42" s="85"/>
      <c r="CC42" s="85"/>
      <c r="CD42" s="85"/>
      <c r="CE42" s="85"/>
      <c r="CF42" s="85"/>
      <c r="CG42" s="85"/>
      <c r="CH42" s="85"/>
      <c r="CI42" s="85"/>
      <c r="CJ42" s="85"/>
      <c r="CK42" s="85"/>
      <c r="CL42" s="85"/>
      <c r="CM42" s="85"/>
      <c r="CN42" s="85"/>
      <c r="CO42" s="85"/>
      <c r="CP42" s="85"/>
      <c r="CQ42" s="85"/>
      <c r="CR42" s="85"/>
      <c r="CS42" s="85"/>
      <c r="CT42" s="85"/>
      <c r="CU42" s="85"/>
      <c r="CV42" s="85"/>
      <c r="CW42" s="85"/>
      <c r="CX42" s="85"/>
      <c r="CY42" s="85"/>
      <c r="CZ42" s="85"/>
      <c r="DA42" s="85"/>
      <c r="DB42" s="85"/>
      <c r="DC42" s="85"/>
      <c r="DD42" s="85"/>
      <c r="DE42" s="85"/>
      <c r="DF42" s="85"/>
      <c r="DG42" s="85"/>
      <c r="DH42" s="85"/>
      <c r="DI42" s="85"/>
      <c r="DJ42" s="85"/>
      <c r="DK42" s="85"/>
      <c r="DL42" s="85"/>
      <c r="DM42" s="85"/>
      <c r="DN42" s="85"/>
      <c r="DO42" s="85"/>
      <c r="DP42" s="85"/>
      <c r="DQ42" s="85"/>
      <c r="DR42" s="85"/>
      <c r="DS42" s="85"/>
      <c r="DT42" s="85"/>
      <c r="DU42" s="85"/>
      <c r="DV42" s="85"/>
      <c r="DW42" s="85"/>
      <c r="DX42" s="85"/>
      <c r="DY42" s="85"/>
      <c r="DZ42" s="85"/>
      <c r="EA42" s="85"/>
      <c r="EB42" s="85"/>
      <c r="EC42" s="85"/>
      <c r="ED42" s="85"/>
      <c r="EE42" s="85"/>
      <c r="EF42" s="85"/>
      <c r="EG42" s="85"/>
      <c r="EH42" s="85"/>
      <c r="EI42" s="85"/>
      <c r="EJ42" s="85"/>
      <c r="EK42" s="85"/>
      <c r="EL42" s="85"/>
      <c r="EM42" s="85"/>
      <c r="EN42" s="85"/>
      <c r="EO42" s="85"/>
      <c r="EP42" s="85"/>
      <c r="EQ42" s="85"/>
      <c r="ER42" s="85"/>
      <c r="ES42" s="85"/>
      <c r="ET42" s="85"/>
      <c r="EU42" s="85"/>
      <c r="EV42" s="85"/>
      <c r="EW42" s="85"/>
      <c r="EX42" s="85"/>
      <c r="EY42" s="85"/>
      <c r="EZ42" s="85"/>
      <c r="FA42" s="85"/>
      <c r="FB42" s="85"/>
      <c r="FC42" s="85"/>
      <c r="FD42" s="85"/>
      <c r="FE42" s="85"/>
      <c r="FF42" s="85"/>
      <c r="FG42" s="85"/>
      <c r="FH42" s="85"/>
      <c r="FI42" s="85"/>
      <c r="FJ42" s="85"/>
      <c r="FK42" s="85"/>
      <c r="FL42" s="85"/>
      <c r="FM42" s="85"/>
      <c r="FN42" s="85"/>
      <c r="FO42" s="85"/>
      <c r="FP42" s="85"/>
      <c r="FQ42" s="85"/>
      <c r="FR42" s="85"/>
      <c r="FS42" s="85"/>
      <c r="FT42" s="85"/>
      <c r="FU42" s="85"/>
      <c r="FV42" s="85"/>
      <c r="FW42" s="85"/>
      <c r="FX42" s="85"/>
      <c r="FY42" s="85"/>
      <c r="FZ42" s="85"/>
      <c r="GA42" s="85"/>
      <c r="GB42" s="85"/>
      <c r="GC42" s="85"/>
      <c r="GD42" s="85"/>
      <c r="GE42" s="85"/>
      <c r="GF42" s="85"/>
      <c r="GG42" s="85"/>
      <c r="GH42" s="85"/>
      <c r="GI42" s="85"/>
      <c r="GJ42" s="85"/>
      <c r="GK42" s="85"/>
      <c r="GL42" s="86"/>
      <c r="GM42" s="86"/>
      <c r="GN42" s="86"/>
      <c r="GO42" s="86"/>
      <c r="GP42" s="86"/>
      <c r="GQ42" s="86"/>
      <c r="GR42" s="86"/>
      <c r="GS42" s="86"/>
      <c r="GT42" s="86"/>
      <c r="GU42" s="86"/>
      <c r="GV42" s="86"/>
      <c r="GW42" s="86"/>
      <c r="GX42" s="86"/>
      <c r="GY42" s="86"/>
      <c r="GZ42" s="86"/>
      <c r="HA42" s="86"/>
      <c r="HB42" s="86"/>
      <c r="HC42" s="86"/>
      <c r="HD42" s="86"/>
      <c r="HE42" s="86"/>
      <c r="HF42" s="86"/>
      <c r="HG42" s="86"/>
      <c r="HH42" s="86"/>
      <c r="HI42" s="86"/>
      <c r="HJ42" s="86"/>
      <c r="HK42" s="86"/>
      <c r="HL42" s="86"/>
      <c r="HM42" s="86"/>
      <c r="HN42" s="86"/>
      <c r="HO42" s="86"/>
      <c r="HP42" s="86"/>
      <c r="HQ42" s="86"/>
      <c r="HR42" s="86"/>
      <c r="HS42" s="86"/>
      <c r="HT42" s="86"/>
      <c r="HU42" s="86"/>
      <c r="HV42" s="86"/>
      <c r="HW42" s="86"/>
      <c r="HX42" s="86"/>
      <c r="HY42" s="86"/>
      <c r="HZ42" s="86"/>
      <c r="IA42" s="86"/>
      <c r="IB42" s="86"/>
      <c r="IC42" s="86"/>
      <c r="ID42" s="86"/>
      <c r="IE42" s="86"/>
      <c r="IF42" s="86"/>
      <c r="IG42" s="86"/>
      <c r="IH42" s="86"/>
      <c r="II42" s="86"/>
      <c r="IJ42" s="86"/>
      <c r="IK42" s="86"/>
      <c r="IL42" s="86"/>
      <c r="IM42" s="86"/>
      <c r="IN42" s="86"/>
      <c r="IO42" s="86"/>
      <c r="IP42" s="86"/>
      <c r="IQ42" s="86"/>
      <c r="IR42" s="86"/>
      <c r="IS42" s="86"/>
      <c r="IT42" s="86"/>
      <c r="IU42" s="86"/>
      <c r="IV42" s="86"/>
      <c r="IW42" s="86"/>
      <c r="IX42" s="86"/>
      <c r="IY42" s="86"/>
      <c r="IZ42" s="86"/>
      <c r="JA42" s="86"/>
      <c r="JB42" s="86"/>
      <c r="JC42" s="86"/>
    </row>
    <row r="43" spans="1:263" s="21" customFormat="1" ht="12.6" customHeight="1">
      <c r="A43" s="22">
        <v>2021</v>
      </c>
      <c r="B43" s="82">
        <v>421</v>
      </c>
      <c r="C43" s="8" t="s">
        <v>217</v>
      </c>
      <c r="D43" s="14">
        <f t="shared" si="1"/>
        <v>0</v>
      </c>
      <c r="E43" s="140">
        <f>SUMIFS('Plan rashoda za unos u SAP'!$I$3:$I$501,'Plan rashoda za unos u SAP'!$C$3:$C$501,"=11",'Plan rashoda za unos u SAP'!$M$3:$M$501,"=421")+SUMIFS('ANALITIKA EU PROJEKATA'!$G$3:$G$501,'ANALITIKA EU PROJEKATA'!$A$3:$A$501,"=11",'ANALITIKA EU PROJEKATA'!$P$3:$P$501,"=421")</f>
        <v>0</v>
      </c>
      <c r="F43" s="140">
        <f>SUMIFS('Plan rashoda za unos u SAP'!$I$3:$I$501,'Plan rashoda za unos u SAP'!$C$3:$C$501,"=12",'Plan rashoda za unos u SAP'!$M$3:$M$501,"=421")+SUMIFS('ANALITIKA EU PROJEKATA'!$G$3:$G$501,'ANALITIKA EU PROJEKATA'!$A$3:$A$501,"=12",'ANALITIKA EU PROJEKATA'!$P$3:$P$501,"=421")</f>
        <v>0</v>
      </c>
      <c r="G43" s="140">
        <f>SUMIFS('Plan rashoda za unos u SAP'!$I$3:$I$501,'Plan rashoda za unos u SAP'!$C$3:$C$501,"=31",'Plan rashoda za unos u SAP'!$M$3:$M$501,"=421")+SUMIFS('ANALITIKA EU PROJEKATA'!$G$3:$G$501,'ANALITIKA EU PROJEKATA'!$A$3:$A$501,"=31",'ANALITIKA EU PROJEKATA'!$P$3:$P$501,"=421")</f>
        <v>0</v>
      </c>
      <c r="H43" s="140">
        <f>SUMIFS('Plan rashoda za unos u SAP'!$I$3:$I$501,'Plan rashoda za unos u SAP'!$C$3:$C$501,"=41",'Plan rashoda za unos u SAP'!$M$3:$M$501,"=421")+SUMIFS('ANALITIKA EU PROJEKATA'!$G$3:$G$501,'ANALITIKA EU PROJEKATA'!$A$3:$A$501,"=41",'ANALITIKA EU PROJEKATA'!$P$3:$P$501,"=421")</f>
        <v>0</v>
      </c>
      <c r="I43" s="140">
        <f>SUMIFS('Plan rashoda za unos u SAP'!$I$3:$I$501,'Plan rashoda za unos u SAP'!$C$3:$C$501,"=43",'Plan rashoda za unos u SAP'!$M$3:$M$501,"=421")+SUMIFS('ANALITIKA EU PROJEKATA'!$G$3:$G$501,'ANALITIKA EU PROJEKATA'!$A$3:$A$501,"=43",'ANALITIKA EU PROJEKATA'!$P$3:$P$501,"=421")</f>
        <v>0</v>
      </c>
      <c r="J43" s="140">
        <f>SUMIFS('Plan rashoda za unos u SAP'!$I$3:$I$501,'Plan rashoda za unos u SAP'!$C$3:$C$501,"=51",'Plan rashoda za unos u SAP'!$M$3:$M$501,"=421")+SUMIFS('ANALITIKA EU PROJEKATA'!$G$3:$G$501,'ANALITIKA EU PROJEKATA'!$A$3:$A$501,"=51",'ANALITIKA EU PROJEKATA'!$P$3:$P$501,"=421")</f>
        <v>0</v>
      </c>
      <c r="K43" s="140">
        <f>SUMIFS('Plan rashoda za unos u SAP'!$I$3:$I$501,'Plan rashoda za unos u SAP'!$C$3:$C$501,"=52",'Plan rashoda za unos u SAP'!$M$3:$M$501,"=421")+SUMIFS('ANALITIKA EU PROJEKATA'!$G$3:$G$501,'ANALITIKA EU PROJEKATA'!$A$3:$A$501,"=52",'ANALITIKA EU PROJEKATA'!$P$3:$P$501,"=421")</f>
        <v>0</v>
      </c>
      <c r="L43" s="140">
        <f>SUMIFS('Plan rashoda za unos u SAP'!$I$3:$I$501,'Plan rashoda za unos u SAP'!$C$3:$C$501,"=552",'Plan rashoda za unos u SAP'!$M$3:$M$501,"=421")+SUMIFS('ANALITIKA EU PROJEKATA'!$G$3:$G$501,'ANALITIKA EU PROJEKATA'!$A$3:$A$501,"=552",'ANALITIKA EU PROJEKATA'!$P$3:$P$501,"=421")</f>
        <v>0</v>
      </c>
      <c r="M43" s="140">
        <f>SUMIFS('Plan rashoda za unos u SAP'!$I$3:$I$501,'Plan rashoda za unos u SAP'!$C$3:$C$501,"=559",'Plan rashoda za unos u SAP'!$M$3:$M$501,"=421")+SUMIFS('ANALITIKA EU PROJEKATA'!$G$3:$G$501,'ANALITIKA EU PROJEKATA'!$A$3:$A$501,"=559",'ANALITIKA EU PROJEKATA'!$P$3:$P$501,"=421")</f>
        <v>0</v>
      </c>
      <c r="N43" s="140">
        <f>SUMIFS('Plan rashoda za unos u SAP'!$I$3:$I$501,'Plan rashoda za unos u SAP'!$C$3:$C$501,"=561",'Plan rashoda za unos u SAP'!$M$3:$M$501,"=421")+SUMIFS('ANALITIKA EU PROJEKATA'!$G$3:$G$501,'ANALITIKA EU PROJEKATA'!$A$3:$A$501,"=561",'ANALITIKA EU PROJEKATA'!$P$3:$P$501,"=421")</f>
        <v>0</v>
      </c>
      <c r="O43" s="140">
        <f>SUMIFS('Plan rashoda za unos u SAP'!$I$3:$I$501,'Plan rashoda za unos u SAP'!$C$3:$C$501,"=563",'Plan rashoda za unos u SAP'!$M$3:$M$501,"=421")+SUMIFS('ANALITIKA EU PROJEKATA'!$G$3:$G$501,'ANALITIKA EU PROJEKATA'!$A$3:$A$501,"=563",'ANALITIKA EU PROJEKATA'!$P$3:$P$501,"=421")</f>
        <v>0</v>
      </c>
      <c r="P43" s="140">
        <f>SUMIFS('Plan rashoda za unos u SAP'!$I$3:$I$501,'Plan rashoda za unos u SAP'!$C$3:$C$501,"=573",'Plan rashoda za unos u SAP'!$M$3:$M$501,"=421")+SUMIFS('ANALITIKA EU PROJEKATA'!$G$3:$G$501,'ANALITIKA EU PROJEKATA'!$A$3:$A$501,"=573",'ANALITIKA EU PROJEKATA'!$P$3:$P$501,"=421")</f>
        <v>0</v>
      </c>
      <c r="Q43" s="140">
        <f>SUMIFS('Plan rashoda za unos u SAP'!$I$3:$I$501,'Plan rashoda za unos u SAP'!$C$3:$C$501,"=575",'Plan rashoda za unos u SAP'!$M$3:$M$501,"=421")+SUMIFS('ANALITIKA EU PROJEKATA'!$G$3:$G$501,'ANALITIKA EU PROJEKATA'!$A$3:$A$501,"=575",'ANALITIKA EU PROJEKATA'!$P$3:$P$501,"=421")</f>
        <v>0</v>
      </c>
      <c r="R43" s="140">
        <f>SUMIFS('Plan rashoda za unos u SAP'!$I$3:$I$501,'Plan rashoda za unos u SAP'!$C$3:$C$501,"=576",'Plan rashoda za unos u SAP'!$M$3:$M$501,"=421")+SUMIFS('ANALITIKA EU PROJEKATA'!$G$3:$G$501,'ANALITIKA EU PROJEKATA'!$A$3:$A$501,"=576",'ANALITIKA EU PROJEKATA'!$P$3:$P$501,"=421")</f>
        <v>0</v>
      </c>
      <c r="S43" s="140">
        <f>SUMIFS('Plan rashoda za unos u SAP'!$I$3:$I$501,'Plan rashoda za unos u SAP'!$C$3:$C$501,"=61",'Plan rashoda za unos u SAP'!$M$3:$M$501,"=421")+SUMIFS('ANALITIKA EU PROJEKATA'!$G$3:$G$501,'ANALITIKA EU PROJEKATA'!$A$3:$A$501,"=61",'ANALITIKA EU PROJEKATA'!$P$3:$P$501,"=421")</f>
        <v>0</v>
      </c>
      <c r="T43" s="140">
        <f>SUMIFS('Plan rashoda za unos u SAP'!$I$3:$I$501,'Plan rashoda za unos u SAP'!$C$3:$C$501,"=63",'Plan rashoda za unos u SAP'!$M$3:$M$501,"=421")+SUMIFS('ANALITIKA EU PROJEKATA'!$G$3:$G$501,'ANALITIKA EU PROJEKATA'!$A$3:$A$501,"=63",'ANALITIKA EU PROJEKATA'!$P$3:$P$501,"=421")</f>
        <v>0</v>
      </c>
      <c r="U43" s="140">
        <f>SUMIFS('Plan rashoda za unos u SAP'!$I$3:$I$501,'Plan rashoda za unos u SAP'!$C$3:$C$501,"=71",'Plan rashoda za unos u SAP'!$M$3:$M$501,"=421")+SUMIFS('ANALITIKA EU PROJEKATA'!$G$3:$G$501,'ANALITIKA EU PROJEKATA'!$A$3:$A$501,"=71",'ANALITIKA EU PROJEKATA'!$P$3:$P$501,"=421")</f>
        <v>0</v>
      </c>
      <c r="V43" s="140">
        <f>SUMIFS('Plan rashoda za unos u SAP'!$I$3:$I$501,'Plan rashoda za unos u SAP'!$C$3:$C$501,"=81",'Plan rashoda za unos u SAP'!$M$3:$M$501,"=421")+SUMIFS('ANALITIKA EU PROJEKATA'!$G$3:$G$501,'ANALITIKA EU PROJEKATA'!$A$3:$A$501,"=81",'ANALITIKA EU PROJEKATA'!$P$3:$P$501,"=421")</f>
        <v>0</v>
      </c>
      <c r="W43" s="140">
        <f>SUMIFS('Plan rashoda za unos u SAP'!$I$3:$I$501,'Plan rashoda za unos u SAP'!$C$3:$C$501,"=83",'Plan rashoda za unos u SAP'!$M$3:$M$501,"=421")+SUMIFS('ANALITIKA EU PROJEKATA'!$G$3:$G$501,'ANALITIKA EU PROJEKATA'!$A$3:$A$501,"=83",'ANALITIKA EU PROJEKATA'!$P$3:$P$501,"=421")</f>
        <v>0</v>
      </c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  <c r="CA43" s="72"/>
      <c r="CB43" s="72"/>
      <c r="CC43" s="72"/>
      <c r="CD43" s="72"/>
      <c r="CE43" s="72"/>
      <c r="CF43" s="72"/>
      <c r="CG43" s="72"/>
      <c r="CH43" s="72"/>
      <c r="CI43" s="72"/>
      <c r="CJ43" s="72"/>
      <c r="CK43" s="72"/>
      <c r="CL43" s="72"/>
      <c r="CM43" s="72"/>
      <c r="CN43" s="72"/>
      <c r="CO43" s="72"/>
      <c r="CP43" s="72"/>
      <c r="CQ43" s="72"/>
      <c r="CR43" s="72"/>
      <c r="CS43" s="72"/>
      <c r="CT43" s="72"/>
      <c r="CU43" s="72"/>
      <c r="CV43" s="72"/>
      <c r="CW43" s="72"/>
      <c r="CX43" s="72"/>
      <c r="CY43" s="72"/>
      <c r="CZ43" s="72"/>
      <c r="DA43" s="72"/>
      <c r="DB43" s="72"/>
      <c r="DC43" s="72"/>
      <c r="DD43" s="72"/>
      <c r="DE43" s="72"/>
      <c r="DF43" s="72"/>
      <c r="DG43" s="72"/>
      <c r="DH43" s="72"/>
      <c r="DI43" s="72"/>
      <c r="DJ43" s="72"/>
      <c r="DK43" s="72"/>
      <c r="DL43" s="72"/>
      <c r="DM43" s="72"/>
      <c r="DN43" s="72"/>
      <c r="DO43" s="72"/>
      <c r="DP43" s="72"/>
      <c r="DQ43" s="72"/>
      <c r="DR43" s="72"/>
      <c r="DS43" s="72"/>
      <c r="DT43" s="72"/>
      <c r="DU43" s="72"/>
      <c r="DV43" s="72"/>
      <c r="DW43" s="72"/>
      <c r="DX43" s="72"/>
      <c r="DY43" s="72"/>
      <c r="DZ43" s="72"/>
      <c r="EA43" s="72"/>
      <c r="EB43" s="72"/>
      <c r="EC43" s="72"/>
      <c r="ED43" s="72"/>
      <c r="EE43" s="72"/>
      <c r="EF43" s="72"/>
      <c r="EG43" s="72"/>
      <c r="EH43" s="72"/>
      <c r="EI43" s="72"/>
      <c r="EJ43" s="72"/>
      <c r="EK43" s="72"/>
      <c r="EL43" s="72"/>
      <c r="EM43" s="72"/>
      <c r="EN43" s="72"/>
      <c r="EO43" s="72"/>
      <c r="EP43" s="72"/>
      <c r="EQ43" s="72"/>
      <c r="ER43" s="72"/>
      <c r="ES43" s="72"/>
      <c r="ET43" s="72"/>
      <c r="EU43" s="72"/>
      <c r="EV43" s="72"/>
      <c r="EW43" s="72"/>
      <c r="EX43" s="72"/>
      <c r="EY43" s="72"/>
      <c r="EZ43" s="72"/>
      <c r="FA43" s="72"/>
      <c r="FB43" s="72"/>
      <c r="FC43" s="72"/>
      <c r="FD43" s="72"/>
      <c r="FE43" s="72"/>
      <c r="FF43" s="72"/>
      <c r="FG43" s="72"/>
      <c r="FH43" s="72"/>
      <c r="FI43" s="72"/>
      <c r="FJ43" s="72"/>
      <c r="FK43" s="72"/>
      <c r="FL43" s="72"/>
      <c r="FM43" s="72"/>
      <c r="FN43" s="72"/>
      <c r="FO43" s="72"/>
      <c r="FP43" s="72"/>
      <c r="FQ43" s="72"/>
      <c r="FR43" s="72"/>
      <c r="FS43" s="72"/>
      <c r="FT43" s="72"/>
      <c r="FU43" s="72"/>
      <c r="FV43" s="72"/>
      <c r="FW43" s="72"/>
      <c r="FX43" s="72"/>
      <c r="FY43" s="72"/>
      <c r="FZ43" s="72"/>
      <c r="GA43" s="72"/>
      <c r="GB43" s="72"/>
      <c r="GC43" s="72"/>
      <c r="GD43" s="72"/>
      <c r="GE43" s="72"/>
      <c r="GF43" s="72"/>
      <c r="GG43" s="72"/>
      <c r="GH43" s="72"/>
      <c r="GI43" s="72"/>
      <c r="GJ43" s="72"/>
      <c r="GK43" s="72"/>
      <c r="GL43" s="73"/>
      <c r="GM43" s="73"/>
      <c r="GN43" s="73"/>
      <c r="GO43" s="73"/>
      <c r="GP43" s="73"/>
      <c r="GQ43" s="73"/>
      <c r="GR43" s="73"/>
      <c r="GS43" s="73"/>
      <c r="GT43" s="73"/>
      <c r="GU43" s="73"/>
      <c r="GV43" s="73"/>
      <c r="GW43" s="73"/>
      <c r="GX43" s="73"/>
      <c r="GY43" s="73"/>
      <c r="GZ43" s="73"/>
      <c r="HA43" s="73"/>
      <c r="HB43" s="73"/>
      <c r="HC43" s="73"/>
      <c r="HD43" s="73"/>
      <c r="HE43" s="73"/>
      <c r="HF43" s="73"/>
      <c r="HG43" s="73"/>
      <c r="HH43" s="73"/>
      <c r="HI43" s="73"/>
      <c r="HJ43" s="73"/>
      <c r="HK43" s="73"/>
      <c r="HL43" s="73"/>
      <c r="HM43" s="73"/>
      <c r="HN43" s="73"/>
      <c r="HO43" s="73"/>
      <c r="HP43" s="73"/>
      <c r="HQ43" s="73"/>
      <c r="HR43" s="73"/>
      <c r="HS43" s="73"/>
      <c r="HT43" s="73"/>
      <c r="HU43" s="73"/>
      <c r="HV43" s="73"/>
      <c r="HW43" s="73"/>
      <c r="HX43" s="73"/>
      <c r="HY43" s="73"/>
      <c r="HZ43" s="73"/>
      <c r="IA43" s="73"/>
      <c r="IB43" s="73"/>
      <c r="IC43" s="73"/>
      <c r="ID43" s="73"/>
      <c r="IE43" s="73"/>
      <c r="IF43" s="73"/>
      <c r="IG43" s="73"/>
      <c r="IH43" s="73"/>
      <c r="II43" s="73"/>
      <c r="IJ43" s="73"/>
      <c r="IK43" s="73"/>
      <c r="IL43" s="73"/>
      <c r="IM43" s="73"/>
      <c r="IN43" s="73"/>
      <c r="IO43" s="73"/>
      <c r="IP43" s="73"/>
      <c r="IQ43" s="73"/>
      <c r="IR43" s="73"/>
      <c r="IS43" s="73"/>
      <c r="IT43" s="73"/>
      <c r="IU43" s="73"/>
      <c r="IV43" s="73"/>
      <c r="IW43" s="73"/>
      <c r="IX43" s="73"/>
      <c r="IY43" s="73"/>
      <c r="IZ43" s="73"/>
      <c r="JA43" s="73"/>
      <c r="JB43" s="73"/>
      <c r="JC43" s="73"/>
    </row>
    <row r="44" spans="1:263" s="21" customFormat="1" ht="12.6" customHeight="1">
      <c r="A44" s="22">
        <v>2021</v>
      </c>
      <c r="B44" s="82">
        <v>422</v>
      </c>
      <c r="C44" s="8" t="s">
        <v>218</v>
      </c>
      <c r="D44" s="14">
        <f t="shared" si="1"/>
        <v>461000</v>
      </c>
      <c r="E44" s="140">
        <f>SUMIFS('Plan rashoda za unos u SAP'!$I$3:$I$501,'Plan rashoda za unos u SAP'!$C$3:$C$501,"=11",'Plan rashoda za unos u SAP'!$M$3:$M$501,"=422")+SUMIFS('ANALITIKA EU PROJEKATA'!$G$3:$G$501,'ANALITIKA EU PROJEKATA'!$A$3:$A$501,"=11",'ANALITIKA EU PROJEKATA'!$P$3:$P$501,"=422")</f>
        <v>61000</v>
      </c>
      <c r="F44" s="140">
        <f>SUMIFS('Plan rashoda za unos u SAP'!$I$3:$I$501,'Plan rashoda za unos u SAP'!$C$3:$C$501,"=12",'Plan rashoda za unos u SAP'!$M$3:$M$501,"=422")+SUMIFS('ANALITIKA EU PROJEKATA'!$G$3:$G$501,'ANALITIKA EU PROJEKATA'!$A$3:$A$501,"=12",'ANALITIKA EU PROJEKATA'!$P$3:$P$501,"=422")</f>
        <v>0</v>
      </c>
      <c r="G44" s="140">
        <f>SUMIFS('Plan rashoda za unos u SAP'!$I$3:$I$501,'Plan rashoda za unos u SAP'!$C$3:$C$501,"=31",'Plan rashoda za unos u SAP'!$M$3:$M$501,"=422")+SUMIFS('ANALITIKA EU PROJEKATA'!$G$3:$G$501,'ANALITIKA EU PROJEKATA'!$A$3:$A$501,"=31",'ANALITIKA EU PROJEKATA'!$P$3:$P$501,"=422")</f>
        <v>290000</v>
      </c>
      <c r="H44" s="140">
        <f>SUMIFS('Plan rashoda za unos u SAP'!$I$3:$I$501,'Plan rashoda za unos u SAP'!$C$3:$C$501,"=41",'Plan rashoda za unos u SAP'!$M$3:$M$501,"=422")+SUMIFS('ANALITIKA EU PROJEKATA'!$G$3:$G$501,'ANALITIKA EU PROJEKATA'!$A$3:$A$501,"=41",'ANALITIKA EU PROJEKATA'!$P$3:$P$501,"=422")</f>
        <v>0</v>
      </c>
      <c r="I44" s="140">
        <f>SUMIFS('Plan rashoda za unos u SAP'!$I$3:$I$501,'Plan rashoda za unos u SAP'!$C$3:$C$501,"=43",'Plan rashoda za unos u SAP'!$M$3:$M$501,"=422")+SUMIFS('ANALITIKA EU PROJEKATA'!$G$3:$G$501,'ANALITIKA EU PROJEKATA'!$A$3:$A$501,"=43",'ANALITIKA EU PROJEKATA'!$P$3:$P$501,"=422")</f>
        <v>110000</v>
      </c>
      <c r="J44" s="140">
        <f>SUMIFS('Plan rashoda za unos u SAP'!$I$3:$I$501,'Plan rashoda za unos u SAP'!$C$3:$C$501,"=51",'Plan rashoda za unos u SAP'!$M$3:$M$501,"=422")+SUMIFS('ANALITIKA EU PROJEKATA'!$G$3:$G$501,'ANALITIKA EU PROJEKATA'!$A$3:$A$501,"=51",'ANALITIKA EU PROJEKATA'!$P$3:$P$501,"=422")</f>
        <v>0</v>
      </c>
      <c r="K44" s="140">
        <f>SUMIFS('Plan rashoda za unos u SAP'!$I$3:$I$501,'Plan rashoda za unos u SAP'!$C$3:$C$501,"=52",'Plan rashoda za unos u SAP'!$M$3:$M$501,"=422")+SUMIFS('ANALITIKA EU PROJEKATA'!$G$3:$G$501,'ANALITIKA EU PROJEKATA'!$A$3:$A$501,"=52",'ANALITIKA EU PROJEKATA'!$P$3:$P$501,"=422")</f>
        <v>0</v>
      </c>
      <c r="L44" s="140">
        <f>SUMIFS('Plan rashoda za unos u SAP'!$I$3:$I$501,'Plan rashoda za unos u SAP'!$C$3:$C$501,"=552",'Plan rashoda za unos u SAP'!$M$3:$M$501,"=422")+SUMIFS('ANALITIKA EU PROJEKATA'!$G$3:$G$501,'ANALITIKA EU PROJEKATA'!$A$3:$A$501,"=552",'ANALITIKA EU PROJEKATA'!$P$3:$P$501,"=422")</f>
        <v>0</v>
      </c>
      <c r="M44" s="140">
        <f>SUMIFS('Plan rashoda za unos u SAP'!$I$3:$I$501,'Plan rashoda za unos u SAP'!$C$3:$C$501,"=559",'Plan rashoda za unos u SAP'!$M$3:$M$501,"=422")+SUMIFS('ANALITIKA EU PROJEKATA'!$G$3:$G$501,'ANALITIKA EU PROJEKATA'!$A$3:$A$501,"=559",'ANALITIKA EU PROJEKATA'!$P$3:$P$501,"=422")</f>
        <v>0</v>
      </c>
      <c r="N44" s="140">
        <f>SUMIFS('Plan rashoda za unos u SAP'!$I$3:$I$501,'Plan rashoda za unos u SAP'!$C$3:$C$501,"=561",'Plan rashoda za unos u SAP'!$M$3:$M$501,"=422")+SUMIFS('ANALITIKA EU PROJEKATA'!$G$3:$G$501,'ANALITIKA EU PROJEKATA'!$A$3:$A$501,"=561",'ANALITIKA EU PROJEKATA'!$P$3:$P$501,"=422")</f>
        <v>0</v>
      </c>
      <c r="O44" s="140">
        <f>SUMIFS('Plan rashoda za unos u SAP'!$I$3:$I$501,'Plan rashoda za unos u SAP'!$C$3:$C$501,"=563",'Plan rashoda za unos u SAP'!$M$3:$M$501,"=422")+SUMIFS('ANALITIKA EU PROJEKATA'!$G$3:$G$501,'ANALITIKA EU PROJEKATA'!$A$3:$A$501,"=563",'ANALITIKA EU PROJEKATA'!$P$3:$P$501,"=422")</f>
        <v>0</v>
      </c>
      <c r="P44" s="140">
        <f>SUMIFS('Plan rashoda za unos u SAP'!$I$3:$I$501,'Plan rashoda za unos u SAP'!$C$3:$C$501,"=573",'Plan rashoda za unos u SAP'!$M$3:$M$501,"=422")+SUMIFS('ANALITIKA EU PROJEKATA'!$G$3:$G$501,'ANALITIKA EU PROJEKATA'!$A$3:$A$501,"=573",'ANALITIKA EU PROJEKATA'!$P$3:$P$501,"=422")</f>
        <v>0</v>
      </c>
      <c r="Q44" s="140">
        <f>SUMIFS('Plan rashoda za unos u SAP'!$I$3:$I$501,'Plan rashoda za unos u SAP'!$C$3:$C$501,"=575",'Plan rashoda za unos u SAP'!$M$3:$M$501,"=422")+SUMIFS('ANALITIKA EU PROJEKATA'!$G$3:$G$501,'ANALITIKA EU PROJEKATA'!$A$3:$A$501,"=575",'ANALITIKA EU PROJEKATA'!$P$3:$P$501,"=422")</f>
        <v>0</v>
      </c>
      <c r="R44" s="140">
        <f>SUMIFS('Plan rashoda za unos u SAP'!$I$3:$I$501,'Plan rashoda za unos u SAP'!$C$3:$C$501,"=576",'Plan rashoda za unos u SAP'!$M$3:$M$501,"=422")+SUMIFS('ANALITIKA EU PROJEKATA'!$G$3:$G$501,'ANALITIKA EU PROJEKATA'!$A$3:$A$501,"=576",'ANALITIKA EU PROJEKATA'!$P$3:$P$501,"=422")</f>
        <v>0</v>
      </c>
      <c r="S44" s="140">
        <f>SUMIFS('Plan rashoda za unos u SAP'!$I$3:$I$501,'Plan rashoda za unos u SAP'!$C$3:$C$501,"=61",'Plan rashoda za unos u SAP'!$M$3:$M$501,"=422")+SUMIFS('ANALITIKA EU PROJEKATA'!$G$3:$G$501,'ANALITIKA EU PROJEKATA'!$A$3:$A$501,"=61",'ANALITIKA EU PROJEKATA'!$P$3:$P$501,"=422")</f>
        <v>0</v>
      </c>
      <c r="T44" s="140">
        <f>SUMIFS('Plan rashoda za unos u SAP'!$I$3:$I$501,'Plan rashoda za unos u SAP'!$C$3:$C$501,"=63",'Plan rashoda za unos u SAP'!$M$3:$M$501,"=422")+SUMIFS('ANALITIKA EU PROJEKATA'!$G$3:$G$501,'ANALITIKA EU PROJEKATA'!$A$3:$A$501,"=63",'ANALITIKA EU PROJEKATA'!$P$3:$P$501,"=422")</f>
        <v>0</v>
      </c>
      <c r="U44" s="140">
        <f>SUMIFS('Plan rashoda za unos u SAP'!$I$3:$I$501,'Plan rashoda za unos u SAP'!$C$3:$C$501,"=71",'Plan rashoda za unos u SAP'!$M$3:$M$501,"=422")+SUMIFS('ANALITIKA EU PROJEKATA'!$G$3:$G$501,'ANALITIKA EU PROJEKATA'!$A$3:$A$501,"=71",'ANALITIKA EU PROJEKATA'!$P$3:$P$501,"=422")</f>
        <v>0</v>
      </c>
      <c r="V44" s="140">
        <f>SUMIFS('Plan rashoda za unos u SAP'!$I$3:$I$501,'Plan rashoda za unos u SAP'!$C$3:$C$501,"=81",'Plan rashoda za unos u SAP'!$M$3:$M$501,"=422")+SUMIFS('ANALITIKA EU PROJEKATA'!$G$3:$G$501,'ANALITIKA EU PROJEKATA'!$A$3:$A$501,"=81",'ANALITIKA EU PROJEKATA'!$P$3:$P$501,"=422")</f>
        <v>0</v>
      </c>
      <c r="W44" s="140">
        <f>SUMIFS('Plan rashoda za unos u SAP'!$I$3:$I$501,'Plan rashoda za unos u SAP'!$C$3:$C$501,"=83",'Plan rashoda za unos u SAP'!$M$3:$M$501,"=422")+SUMIFS('ANALITIKA EU PROJEKATA'!$G$3:$G$501,'ANALITIKA EU PROJEKATA'!$A$3:$A$501,"=83",'ANALITIKA EU PROJEKATA'!$P$3:$P$501,"=422")</f>
        <v>0</v>
      </c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72"/>
      <c r="BG44" s="72"/>
      <c r="BH44" s="72"/>
      <c r="BI44" s="72"/>
      <c r="BJ44" s="72"/>
      <c r="BK44" s="72"/>
      <c r="BL44" s="72"/>
      <c r="BM44" s="72"/>
      <c r="BN44" s="72"/>
      <c r="BO44" s="72"/>
      <c r="BP44" s="72"/>
      <c r="BQ44" s="72"/>
      <c r="BR44" s="72"/>
      <c r="BS44" s="72"/>
      <c r="BT44" s="72"/>
      <c r="BU44" s="72"/>
      <c r="BV44" s="72"/>
      <c r="BW44" s="72"/>
      <c r="BX44" s="72"/>
      <c r="BY44" s="72"/>
      <c r="BZ44" s="72"/>
      <c r="CA44" s="72"/>
      <c r="CB44" s="72"/>
      <c r="CC44" s="72"/>
      <c r="CD44" s="72"/>
      <c r="CE44" s="72"/>
      <c r="CF44" s="72"/>
      <c r="CG44" s="72"/>
      <c r="CH44" s="72"/>
      <c r="CI44" s="72"/>
      <c r="CJ44" s="72"/>
      <c r="CK44" s="72"/>
      <c r="CL44" s="72"/>
      <c r="CM44" s="72"/>
      <c r="CN44" s="72"/>
      <c r="CO44" s="72"/>
      <c r="CP44" s="72"/>
      <c r="CQ44" s="72"/>
      <c r="CR44" s="72"/>
      <c r="CS44" s="72"/>
      <c r="CT44" s="72"/>
      <c r="CU44" s="72"/>
      <c r="CV44" s="72"/>
      <c r="CW44" s="72"/>
      <c r="CX44" s="72"/>
      <c r="CY44" s="72"/>
      <c r="CZ44" s="72"/>
      <c r="DA44" s="72"/>
      <c r="DB44" s="72"/>
      <c r="DC44" s="72"/>
      <c r="DD44" s="72"/>
      <c r="DE44" s="72"/>
      <c r="DF44" s="72"/>
      <c r="DG44" s="72"/>
      <c r="DH44" s="72"/>
      <c r="DI44" s="72"/>
      <c r="DJ44" s="72"/>
      <c r="DK44" s="72"/>
      <c r="DL44" s="72"/>
      <c r="DM44" s="72"/>
      <c r="DN44" s="72"/>
      <c r="DO44" s="72"/>
      <c r="DP44" s="72"/>
      <c r="DQ44" s="72"/>
      <c r="DR44" s="72"/>
      <c r="DS44" s="72"/>
      <c r="DT44" s="72"/>
      <c r="DU44" s="72"/>
      <c r="DV44" s="72"/>
      <c r="DW44" s="72"/>
      <c r="DX44" s="72"/>
      <c r="DY44" s="72"/>
      <c r="DZ44" s="72"/>
      <c r="EA44" s="72"/>
      <c r="EB44" s="72"/>
      <c r="EC44" s="72"/>
      <c r="ED44" s="72"/>
      <c r="EE44" s="72"/>
      <c r="EF44" s="72"/>
      <c r="EG44" s="72"/>
      <c r="EH44" s="72"/>
      <c r="EI44" s="72"/>
      <c r="EJ44" s="72"/>
      <c r="EK44" s="72"/>
      <c r="EL44" s="72"/>
      <c r="EM44" s="72"/>
      <c r="EN44" s="72"/>
      <c r="EO44" s="72"/>
      <c r="EP44" s="72"/>
      <c r="EQ44" s="72"/>
      <c r="ER44" s="72"/>
      <c r="ES44" s="72"/>
      <c r="ET44" s="72"/>
      <c r="EU44" s="72"/>
      <c r="EV44" s="72"/>
      <c r="EW44" s="72"/>
      <c r="EX44" s="72"/>
      <c r="EY44" s="72"/>
      <c r="EZ44" s="72"/>
      <c r="FA44" s="72"/>
      <c r="FB44" s="72"/>
      <c r="FC44" s="72"/>
      <c r="FD44" s="72"/>
      <c r="FE44" s="72"/>
      <c r="FF44" s="72"/>
      <c r="FG44" s="72"/>
      <c r="FH44" s="72"/>
      <c r="FI44" s="72"/>
      <c r="FJ44" s="72"/>
      <c r="FK44" s="72"/>
      <c r="FL44" s="72"/>
      <c r="FM44" s="72"/>
      <c r="FN44" s="72"/>
      <c r="FO44" s="72"/>
      <c r="FP44" s="72"/>
      <c r="FQ44" s="72"/>
      <c r="FR44" s="72"/>
      <c r="FS44" s="72"/>
      <c r="FT44" s="72"/>
      <c r="FU44" s="72"/>
      <c r="FV44" s="72"/>
      <c r="FW44" s="72"/>
      <c r="FX44" s="72"/>
      <c r="FY44" s="72"/>
      <c r="FZ44" s="72"/>
      <c r="GA44" s="72"/>
      <c r="GB44" s="72"/>
      <c r="GC44" s="72"/>
      <c r="GD44" s="72"/>
      <c r="GE44" s="72"/>
      <c r="GF44" s="72"/>
      <c r="GG44" s="72"/>
      <c r="GH44" s="72"/>
      <c r="GI44" s="72"/>
      <c r="GJ44" s="72"/>
      <c r="GK44" s="72"/>
      <c r="GL44" s="73"/>
      <c r="GM44" s="73"/>
      <c r="GN44" s="73"/>
      <c r="GO44" s="73"/>
      <c r="GP44" s="73"/>
      <c r="GQ44" s="73"/>
      <c r="GR44" s="73"/>
      <c r="GS44" s="73"/>
      <c r="GT44" s="73"/>
      <c r="GU44" s="73"/>
      <c r="GV44" s="73"/>
      <c r="GW44" s="73"/>
      <c r="GX44" s="73"/>
      <c r="GY44" s="73"/>
      <c r="GZ44" s="73"/>
      <c r="HA44" s="73"/>
      <c r="HB44" s="73"/>
      <c r="HC44" s="73"/>
      <c r="HD44" s="73"/>
      <c r="HE44" s="73"/>
      <c r="HF44" s="73"/>
      <c r="HG44" s="73"/>
      <c r="HH44" s="73"/>
      <c r="HI44" s="73"/>
      <c r="HJ44" s="73"/>
      <c r="HK44" s="73"/>
      <c r="HL44" s="73"/>
      <c r="HM44" s="73"/>
      <c r="HN44" s="73"/>
      <c r="HO44" s="73"/>
      <c r="HP44" s="73"/>
      <c r="HQ44" s="73"/>
      <c r="HR44" s="73"/>
      <c r="HS44" s="73"/>
      <c r="HT44" s="73"/>
      <c r="HU44" s="73"/>
      <c r="HV44" s="73"/>
      <c r="HW44" s="73"/>
      <c r="HX44" s="73"/>
      <c r="HY44" s="73"/>
      <c r="HZ44" s="73"/>
      <c r="IA44" s="73"/>
      <c r="IB44" s="73"/>
      <c r="IC44" s="73"/>
      <c r="ID44" s="73"/>
      <c r="IE44" s="73"/>
      <c r="IF44" s="73"/>
      <c r="IG44" s="73"/>
      <c r="IH44" s="73"/>
      <c r="II44" s="73"/>
      <c r="IJ44" s="73"/>
      <c r="IK44" s="73"/>
      <c r="IL44" s="73"/>
      <c r="IM44" s="73"/>
      <c r="IN44" s="73"/>
      <c r="IO44" s="73"/>
      <c r="IP44" s="73"/>
      <c r="IQ44" s="73"/>
      <c r="IR44" s="73"/>
      <c r="IS44" s="73"/>
      <c r="IT44" s="73"/>
      <c r="IU44" s="73"/>
      <c r="IV44" s="73"/>
      <c r="IW44" s="73"/>
      <c r="IX44" s="73"/>
      <c r="IY44" s="73"/>
      <c r="IZ44" s="73"/>
      <c r="JA44" s="73"/>
      <c r="JB44" s="73"/>
      <c r="JC44" s="73"/>
    </row>
    <row r="45" spans="1:263" s="21" customFormat="1" ht="12.6" customHeight="1">
      <c r="A45" s="22">
        <v>2021</v>
      </c>
      <c r="B45" s="83">
        <v>423</v>
      </c>
      <c r="C45" s="8" t="s">
        <v>219</v>
      </c>
      <c r="D45" s="14">
        <f t="shared" si="1"/>
        <v>0</v>
      </c>
      <c r="E45" s="140">
        <f>SUMIFS('Plan rashoda za unos u SAP'!$I$3:$I$501,'Plan rashoda za unos u SAP'!$C$3:$C$501,"=11",'Plan rashoda za unos u SAP'!$M$3:$M$501,"=423")+SUMIFS('ANALITIKA EU PROJEKATA'!$G$3:$G$501,'ANALITIKA EU PROJEKATA'!$A$3:$A$501,"=11",'ANALITIKA EU PROJEKATA'!$P$3:$P$501,"=423")</f>
        <v>0</v>
      </c>
      <c r="F45" s="140">
        <f>SUMIFS('Plan rashoda za unos u SAP'!$I$3:$I$501,'Plan rashoda za unos u SAP'!$C$3:$C$501,"=12",'Plan rashoda za unos u SAP'!$M$3:$M$501,"=423")+SUMIFS('ANALITIKA EU PROJEKATA'!$G$3:$G$501,'ANALITIKA EU PROJEKATA'!$A$3:$A$501,"=12",'ANALITIKA EU PROJEKATA'!$P$3:$P$501,"=423")</f>
        <v>0</v>
      </c>
      <c r="G45" s="140">
        <f>SUMIFS('Plan rashoda za unos u SAP'!$I$3:$I$501,'Plan rashoda za unos u SAP'!$C$3:$C$501,"=31",'Plan rashoda za unos u SAP'!$M$3:$M$501,"=423")+SUMIFS('ANALITIKA EU PROJEKATA'!$G$3:$G$501,'ANALITIKA EU PROJEKATA'!$A$3:$A$501,"=31",'ANALITIKA EU PROJEKATA'!$P$3:$P$501,"=423")</f>
        <v>0</v>
      </c>
      <c r="H45" s="140">
        <f>SUMIFS('Plan rashoda za unos u SAP'!$I$3:$I$501,'Plan rashoda za unos u SAP'!$C$3:$C$501,"=41",'Plan rashoda za unos u SAP'!$M$3:$M$501,"=423")+SUMIFS('ANALITIKA EU PROJEKATA'!$G$3:$G$501,'ANALITIKA EU PROJEKATA'!$A$3:$A$501,"=41",'ANALITIKA EU PROJEKATA'!$P$3:$P$501,"=423")</f>
        <v>0</v>
      </c>
      <c r="I45" s="140">
        <f>SUMIFS('Plan rashoda za unos u SAP'!$I$3:$I$501,'Plan rashoda za unos u SAP'!$C$3:$C$501,"=43",'Plan rashoda za unos u SAP'!$M$3:$M$501,"=423")+SUMIFS('ANALITIKA EU PROJEKATA'!$G$3:$G$501,'ANALITIKA EU PROJEKATA'!$A$3:$A$501,"=43",'ANALITIKA EU PROJEKATA'!$P$3:$P$501,"=423")</f>
        <v>0</v>
      </c>
      <c r="J45" s="140">
        <f>SUMIFS('Plan rashoda za unos u SAP'!$I$3:$I$501,'Plan rashoda za unos u SAP'!$C$3:$C$501,"=51",'Plan rashoda za unos u SAP'!$M$3:$M$501,"=423")+SUMIFS('ANALITIKA EU PROJEKATA'!$G$3:$G$501,'ANALITIKA EU PROJEKATA'!$A$3:$A$501,"=51",'ANALITIKA EU PROJEKATA'!$P$3:$P$501,"=423")</f>
        <v>0</v>
      </c>
      <c r="K45" s="140">
        <f>SUMIFS('Plan rashoda za unos u SAP'!$I$3:$I$501,'Plan rashoda za unos u SAP'!$C$3:$C$501,"=52",'Plan rashoda za unos u SAP'!$M$3:$M$501,"=423")+SUMIFS('ANALITIKA EU PROJEKATA'!$G$3:$G$501,'ANALITIKA EU PROJEKATA'!$A$3:$A$501,"=52",'ANALITIKA EU PROJEKATA'!$P$3:$P$501,"=423")</f>
        <v>0</v>
      </c>
      <c r="L45" s="140">
        <f>SUMIFS('Plan rashoda za unos u SAP'!$I$3:$I$501,'Plan rashoda za unos u SAP'!$C$3:$C$501,"=552",'Plan rashoda za unos u SAP'!$M$3:$M$501,"=423")+SUMIFS('ANALITIKA EU PROJEKATA'!$G$3:$G$501,'ANALITIKA EU PROJEKATA'!$A$3:$A$501,"=552",'ANALITIKA EU PROJEKATA'!$P$3:$P$501,"=423")</f>
        <v>0</v>
      </c>
      <c r="M45" s="140">
        <f>SUMIFS('Plan rashoda za unos u SAP'!$I$3:$I$501,'Plan rashoda za unos u SAP'!$C$3:$C$501,"=559",'Plan rashoda za unos u SAP'!$M$3:$M$501,"=423")+SUMIFS('ANALITIKA EU PROJEKATA'!$G$3:$G$501,'ANALITIKA EU PROJEKATA'!$A$3:$A$501,"=559",'ANALITIKA EU PROJEKATA'!$P$3:$P$501,"=423")</f>
        <v>0</v>
      </c>
      <c r="N45" s="140">
        <f>SUMIFS('Plan rashoda za unos u SAP'!$I$3:$I$501,'Plan rashoda za unos u SAP'!$C$3:$C$501,"=561",'Plan rashoda za unos u SAP'!$M$3:$M$501,"=423")+SUMIFS('ANALITIKA EU PROJEKATA'!$G$3:$G$501,'ANALITIKA EU PROJEKATA'!$A$3:$A$501,"=561",'ANALITIKA EU PROJEKATA'!$P$3:$P$501,"=423")</f>
        <v>0</v>
      </c>
      <c r="O45" s="140">
        <f>SUMIFS('Plan rashoda za unos u SAP'!$I$3:$I$501,'Plan rashoda za unos u SAP'!$C$3:$C$501,"=563",'Plan rashoda za unos u SAP'!$M$3:$M$501,"=423")+SUMIFS('ANALITIKA EU PROJEKATA'!$G$3:$G$501,'ANALITIKA EU PROJEKATA'!$A$3:$A$501,"=563",'ANALITIKA EU PROJEKATA'!$P$3:$P$501,"=423")</f>
        <v>0</v>
      </c>
      <c r="P45" s="140">
        <f>SUMIFS('Plan rashoda za unos u SAP'!$I$3:$I$501,'Plan rashoda za unos u SAP'!$C$3:$C$501,"=573",'Plan rashoda za unos u SAP'!$M$3:$M$501,"=423")+SUMIFS('ANALITIKA EU PROJEKATA'!$G$3:$G$501,'ANALITIKA EU PROJEKATA'!$A$3:$A$501,"=573",'ANALITIKA EU PROJEKATA'!$P$3:$P$501,"=423")</f>
        <v>0</v>
      </c>
      <c r="Q45" s="140">
        <f>SUMIFS('Plan rashoda za unos u SAP'!$I$3:$I$501,'Plan rashoda za unos u SAP'!$C$3:$C$501,"=575",'Plan rashoda za unos u SAP'!$M$3:$M$501,"=423")+SUMIFS('ANALITIKA EU PROJEKATA'!$G$3:$G$501,'ANALITIKA EU PROJEKATA'!$A$3:$A$501,"=575",'ANALITIKA EU PROJEKATA'!$P$3:$P$501,"=423")</f>
        <v>0</v>
      </c>
      <c r="R45" s="140">
        <f>SUMIFS('Plan rashoda za unos u SAP'!$I$3:$I$501,'Plan rashoda za unos u SAP'!$C$3:$C$501,"=576",'Plan rashoda za unos u SAP'!$M$3:$M$501,"=423")+SUMIFS('ANALITIKA EU PROJEKATA'!$G$3:$G$501,'ANALITIKA EU PROJEKATA'!$A$3:$A$501,"=576",'ANALITIKA EU PROJEKATA'!$P$3:$P$501,"=423")</f>
        <v>0</v>
      </c>
      <c r="S45" s="140">
        <f>SUMIFS('Plan rashoda za unos u SAP'!$I$3:$I$501,'Plan rashoda za unos u SAP'!$C$3:$C$501,"=61",'Plan rashoda za unos u SAP'!$M$3:$M$501,"=423")+SUMIFS('ANALITIKA EU PROJEKATA'!$G$3:$G$501,'ANALITIKA EU PROJEKATA'!$A$3:$A$501,"=61",'ANALITIKA EU PROJEKATA'!$P$3:$P$501,"=423")</f>
        <v>0</v>
      </c>
      <c r="T45" s="140">
        <f>SUMIFS('Plan rashoda za unos u SAP'!$I$3:$I$501,'Plan rashoda za unos u SAP'!$C$3:$C$501,"=63",'Plan rashoda za unos u SAP'!$M$3:$M$501,"=423")+SUMIFS('ANALITIKA EU PROJEKATA'!$G$3:$G$501,'ANALITIKA EU PROJEKATA'!$A$3:$A$501,"=63",'ANALITIKA EU PROJEKATA'!$P$3:$P$501,"=423")</f>
        <v>0</v>
      </c>
      <c r="U45" s="140">
        <f>SUMIFS('Plan rashoda za unos u SAP'!$I$3:$I$501,'Plan rashoda za unos u SAP'!$C$3:$C$501,"=71",'Plan rashoda za unos u SAP'!$M$3:$M$501,"=423")+SUMIFS('ANALITIKA EU PROJEKATA'!$G$3:$G$501,'ANALITIKA EU PROJEKATA'!$A$3:$A$501,"=71",'ANALITIKA EU PROJEKATA'!$P$3:$P$501,"=423")</f>
        <v>0</v>
      </c>
      <c r="V45" s="140">
        <f>SUMIFS('Plan rashoda za unos u SAP'!$I$3:$I$501,'Plan rashoda za unos u SAP'!$C$3:$C$501,"=81",'Plan rashoda za unos u SAP'!$M$3:$M$501,"=423")+SUMIFS('ANALITIKA EU PROJEKATA'!$G$3:$G$501,'ANALITIKA EU PROJEKATA'!$A$3:$A$501,"=81",'ANALITIKA EU PROJEKATA'!$P$3:$P$501,"=423")</f>
        <v>0</v>
      </c>
      <c r="W45" s="140">
        <f>SUMIFS('Plan rashoda za unos u SAP'!$I$3:$I$501,'Plan rashoda za unos u SAP'!$C$3:$C$501,"=83",'Plan rashoda za unos u SAP'!$M$3:$M$501,"=423")+SUMIFS('ANALITIKA EU PROJEKATA'!$G$3:$G$501,'ANALITIKA EU PROJEKATA'!$A$3:$A$501,"=83",'ANALITIKA EU PROJEKATA'!$P$3:$P$501,"=423")</f>
        <v>0</v>
      </c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72"/>
      <c r="CB45" s="72"/>
      <c r="CC45" s="72"/>
      <c r="CD45" s="72"/>
      <c r="CE45" s="72"/>
      <c r="CF45" s="72"/>
      <c r="CG45" s="72"/>
      <c r="CH45" s="72"/>
      <c r="CI45" s="72"/>
      <c r="CJ45" s="72"/>
      <c r="CK45" s="72"/>
      <c r="CL45" s="72"/>
      <c r="CM45" s="72"/>
      <c r="CN45" s="72"/>
      <c r="CO45" s="72"/>
      <c r="CP45" s="72"/>
      <c r="CQ45" s="72"/>
      <c r="CR45" s="72"/>
      <c r="CS45" s="72"/>
      <c r="CT45" s="72"/>
      <c r="CU45" s="72"/>
      <c r="CV45" s="72"/>
      <c r="CW45" s="72"/>
      <c r="CX45" s="72"/>
      <c r="CY45" s="72"/>
      <c r="CZ45" s="72"/>
      <c r="DA45" s="72"/>
      <c r="DB45" s="72"/>
      <c r="DC45" s="72"/>
      <c r="DD45" s="72"/>
      <c r="DE45" s="72"/>
      <c r="DF45" s="72"/>
      <c r="DG45" s="72"/>
      <c r="DH45" s="72"/>
      <c r="DI45" s="72"/>
      <c r="DJ45" s="72"/>
      <c r="DK45" s="72"/>
      <c r="DL45" s="72"/>
      <c r="DM45" s="72"/>
      <c r="DN45" s="72"/>
      <c r="DO45" s="72"/>
      <c r="DP45" s="72"/>
      <c r="DQ45" s="72"/>
      <c r="DR45" s="72"/>
      <c r="DS45" s="72"/>
      <c r="DT45" s="72"/>
      <c r="DU45" s="72"/>
      <c r="DV45" s="72"/>
      <c r="DW45" s="72"/>
      <c r="DX45" s="72"/>
      <c r="DY45" s="72"/>
      <c r="DZ45" s="72"/>
      <c r="EA45" s="72"/>
      <c r="EB45" s="72"/>
      <c r="EC45" s="72"/>
      <c r="ED45" s="72"/>
      <c r="EE45" s="72"/>
      <c r="EF45" s="72"/>
      <c r="EG45" s="72"/>
      <c r="EH45" s="72"/>
      <c r="EI45" s="72"/>
      <c r="EJ45" s="72"/>
      <c r="EK45" s="72"/>
      <c r="EL45" s="72"/>
      <c r="EM45" s="72"/>
      <c r="EN45" s="72"/>
      <c r="EO45" s="72"/>
      <c r="EP45" s="72"/>
      <c r="EQ45" s="72"/>
      <c r="ER45" s="72"/>
      <c r="ES45" s="72"/>
      <c r="ET45" s="72"/>
      <c r="EU45" s="72"/>
      <c r="EV45" s="72"/>
      <c r="EW45" s="72"/>
      <c r="EX45" s="72"/>
      <c r="EY45" s="72"/>
      <c r="EZ45" s="72"/>
      <c r="FA45" s="72"/>
      <c r="FB45" s="72"/>
      <c r="FC45" s="72"/>
      <c r="FD45" s="72"/>
      <c r="FE45" s="72"/>
      <c r="FF45" s="72"/>
      <c r="FG45" s="72"/>
      <c r="FH45" s="72"/>
      <c r="FI45" s="72"/>
      <c r="FJ45" s="72"/>
      <c r="FK45" s="72"/>
      <c r="FL45" s="72"/>
      <c r="FM45" s="72"/>
      <c r="FN45" s="72"/>
      <c r="FO45" s="72"/>
      <c r="FP45" s="72"/>
      <c r="FQ45" s="72"/>
      <c r="FR45" s="72"/>
      <c r="FS45" s="72"/>
      <c r="FT45" s="72"/>
      <c r="FU45" s="72"/>
      <c r="FV45" s="72"/>
      <c r="FW45" s="72"/>
      <c r="FX45" s="72"/>
      <c r="FY45" s="72"/>
      <c r="FZ45" s="72"/>
      <c r="GA45" s="72"/>
      <c r="GB45" s="72"/>
      <c r="GC45" s="72"/>
      <c r="GD45" s="72"/>
      <c r="GE45" s="72"/>
      <c r="GF45" s="72"/>
      <c r="GG45" s="72"/>
      <c r="GH45" s="72"/>
      <c r="GI45" s="72"/>
      <c r="GJ45" s="72"/>
      <c r="GK45" s="72"/>
      <c r="GL45" s="73"/>
      <c r="GM45" s="73"/>
      <c r="GN45" s="73"/>
      <c r="GO45" s="73"/>
      <c r="GP45" s="73"/>
      <c r="GQ45" s="73"/>
      <c r="GR45" s="73"/>
      <c r="GS45" s="73"/>
      <c r="GT45" s="73"/>
      <c r="GU45" s="73"/>
      <c r="GV45" s="73"/>
      <c r="GW45" s="73"/>
      <c r="GX45" s="73"/>
      <c r="GY45" s="73"/>
      <c r="GZ45" s="73"/>
      <c r="HA45" s="73"/>
      <c r="HB45" s="73"/>
      <c r="HC45" s="73"/>
      <c r="HD45" s="73"/>
      <c r="HE45" s="73"/>
      <c r="HF45" s="73"/>
      <c r="HG45" s="73"/>
      <c r="HH45" s="73"/>
      <c r="HI45" s="73"/>
      <c r="HJ45" s="73"/>
      <c r="HK45" s="73"/>
      <c r="HL45" s="73"/>
      <c r="HM45" s="73"/>
      <c r="HN45" s="73"/>
      <c r="HO45" s="73"/>
      <c r="HP45" s="73"/>
      <c r="HQ45" s="73"/>
      <c r="HR45" s="73"/>
      <c r="HS45" s="73"/>
      <c r="HT45" s="73"/>
      <c r="HU45" s="73"/>
      <c r="HV45" s="73"/>
      <c r="HW45" s="73"/>
      <c r="HX45" s="73"/>
      <c r="HY45" s="73"/>
      <c r="HZ45" s="73"/>
      <c r="IA45" s="73"/>
      <c r="IB45" s="73"/>
      <c r="IC45" s="73"/>
      <c r="ID45" s="73"/>
      <c r="IE45" s="73"/>
      <c r="IF45" s="73"/>
      <c r="IG45" s="73"/>
      <c r="IH45" s="73"/>
      <c r="II45" s="73"/>
      <c r="IJ45" s="73"/>
      <c r="IK45" s="73"/>
      <c r="IL45" s="73"/>
      <c r="IM45" s="73"/>
      <c r="IN45" s="73"/>
      <c r="IO45" s="73"/>
      <c r="IP45" s="73"/>
      <c r="IQ45" s="73"/>
      <c r="IR45" s="73"/>
      <c r="IS45" s="73"/>
      <c r="IT45" s="73"/>
      <c r="IU45" s="73"/>
      <c r="IV45" s="73"/>
      <c r="IW45" s="73"/>
      <c r="IX45" s="73"/>
      <c r="IY45" s="73"/>
      <c r="IZ45" s="73"/>
      <c r="JA45" s="73"/>
      <c r="JB45" s="73"/>
      <c r="JC45" s="73"/>
    </row>
    <row r="46" spans="1:263" s="21" customFormat="1" ht="12.6" customHeight="1">
      <c r="A46" s="22">
        <v>2021</v>
      </c>
      <c r="B46" s="83">
        <v>424</v>
      </c>
      <c r="C46" s="87" t="s">
        <v>220</v>
      </c>
      <c r="D46" s="14">
        <f t="shared" si="1"/>
        <v>116000</v>
      </c>
      <c r="E46" s="140">
        <f>SUMIFS('Plan rashoda za unos u SAP'!$I$3:$I$501,'Plan rashoda za unos u SAP'!$C$3:$C$501,"=11",'Plan rashoda za unos u SAP'!$M$3:$M$501,"=424")+SUMIFS('ANALITIKA EU PROJEKATA'!$G$3:$G$501,'ANALITIKA EU PROJEKATA'!$A$3:$A$501,"=11",'ANALITIKA EU PROJEKATA'!$P$3:$P$501,"=424")</f>
        <v>111000</v>
      </c>
      <c r="F46" s="140">
        <f>SUMIFS('Plan rashoda za unos u SAP'!$I$3:$I$501,'Plan rashoda za unos u SAP'!$C$3:$C$501,"=12",'Plan rashoda za unos u SAP'!$M$3:$M$501,"=424")+SUMIFS('ANALITIKA EU PROJEKATA'!$G$3:$G$501,'ANALITIKA EU PROJEKATA'!$A$3:$A$501,"=12",'ANALITIKA EU PROJEKATA'!$P$3:$P$501,"=424")</f>
        <v>0</v>
      </c>
      <c r="G46" s="140">
        <f>SUMIFS('Plan rashoda za unos u SAP'!$I$3:$I$501,'Plan rashoda za unos u SAP'!$C$3:$C$501,"=31",'Plan rashoda za unos u SAP'!$M$3:$M$501,"=424")+SUMIFS('ANALITIKA EU PROJEKATA'!$G$3:$G$501,'ANALITIKA EU PROJEKATA'!$A$3:$A$501,"=31",'ANALITIKA EU PROJEKATA'!$P$3:$P$501,"=424")</f>
        <v>5000</v>
      </c>
      <c r="H46" s="140">
        <f>SUMIFS('Plan rashoda za unos u SAP'!$I$3:$I$501,'Plan rashoda za unos u SAP'!$C$3:$C$501,"=41",'Plan rashoda za unos u SAP'!$M$3:$M$501,"=424")+SUMIFS('ANALITIKA EU PROJEKATA'!$G$3:$G$501,'ANALITIKA EU PROJEKATA'!$A$3:$A$501,"=41",'ANALITIKA EU PROJEKATA'!$P$3:$P$501,"=424")</f>
        <v>0</v>
      </c>
      <c r="I46" s="140">
        <f>SUMIFS('Plan rashoda za unos u SAP'!$I$3:$I$501,'Plan rashoda za unos u SAP'!$C$3:$C$501,"=43",'Plan rashoda za unos u SAP'!$M$3:$M$501,"=424")+SUMIFS('ANALITIKA EU PROJEKATA'!$G$3:$G$501,'ANALITIKA EU PROJEKATA'!$A$3:$A$501,"=43",'ANALITIKA EU PROJEKATA'!$P$3:$P$501,"=424")</f>
        <v>0</v>
      </c>
      <c r="J46" s="140">
        <f>SUMIFS('Plan rashoda za unos u SAP'!$I$3:$I$501,'Plan rashoda za unos u SAP'!$C$3:$C$501,"=51",'Plan rashoda za unos u SAP'!$M$3:$M$501,"=424")+SUMIFS('ANALITIKA EU PROJEKATA'!$G$3:$G$501,'ANALITIKA EU PROJEKATA'!$A$3:$A$501,"=51",'ANALITIKA EU PROJEKATA'!$P$3:$P$501,"=424")</f>
        <v>0</v>
      </c>
      <c r="K46" s="140">
        <f>SUMIFS('Plan rashoda za unos u SAP'!$I$3:$I$501,'Plan rashoda za unos u SAP'!$C$3:$C$501,"=52",'Plan rashoda za unos u SAP'!$M$3:$M$501,"=424")+SUMIFS('ANALITIKA EU PROJEKATA'!$G$3:$G$501,'ANALITIKA EU PROJEKATA'!$A$3:$A$501,"=52",'ANALITIKA EU PROJEKATA'!$P$3:$P$501,"=424")</f>
        <v>0</v>
      </c>
      <c r="L46" s="140">
        <f>SUMIFS('Plan rashoda za unos u SAP'!$I$3:$I$501,'Plan rashoda za unos u SAP'!$C$3:$C$501,"=552",'Plan rashoda za unos u SAP'!$M$3:$M$501,"=424")+SUMIFS('ANALITIKA EU PROJEKATA'!$G$3:$G$501,'ANALITIKA EU PROJEKATA'!$A$3:$A$501,"=552",'ANALITIKA EU PROJEKATA'!$P$3:$P$501,"=424")</f>
        <v>0</v>
      </c>
      <c r="M46" s="140">
        <f>SUMIFS('Plan rashoda za unos u SAP'!$I$3:$I$501,'Plan rashoda za unos u SAP'!$C$3:$C$501,"=559",'Plan rashoda za unos u SAP'!$M$3:$M$501,"=424")+SUMIFS('ANALITIKA EU PROJEKATA'!$G$3:$G$501,'ANALITIKA EU PROJEKATA'!$A$3:$A$501,"=559",'ANALITIKA EU PROJEKATA'!$P$3:$P$501,"=424")</f>
        <v>0</v>
      </c>
      <c r="N46" s="140">
        <f>SUMIFS('Plan rashoda za unos u SAP'!$I$3:$I$501,'Plan rashoda za unos u SAP'!$C$3:$C$501,"=561",'Plan rashoda za unos u SAP'!$M$3:$M$501,"=424")+SUMIFS('ANALITIKA EU PROJEKATA'!$G$3:$G$501,'ANALITIKA EU PROJEKATA'!$A$3:$A$501,"=561",'ANALITIKA EU PROJEKATA'!$P$3:$P$501,"=424")</f>
        <v>0</v>
      </c>
      <c r="O46" s="140">
        <f>SUMIFS('Plan rashoda za unos u SAP'!$I$3:$I$501,'Plan rashoda za unos u SAP'!$C$3:$C$501,"=563",'Plan rashoda za unos u SAP'!$M$3:$M$501,"=424")+SUMIFS('ANALITIKA EU PROJEKATA'!$G$3:$G$501,'ANALITIKA EU PROJEKATA'!$A$3:$A$501,"=563",'ANALITIKA EU PROJEKATA'!$P$3:$P$501,"=424")</f>
        <v>0</v>
      </c>
      <c r="P46" s="140">
        <f>SUMIFS('Plan rashoda za unos u SAP'!$I$3:$I$501,'Plan rashoda za unos u SAP'!$C$3:$C$501,"=573",'Plan rashoda za unos u SAP'!$M$3:$M$501,"=424")+SUMIFS('ANALITIKA EU PROJEKATA'!$G$3:$G$501,'ANALITIKA EU PROJEKATA'!$A$3:$A$501,"=573",'ANALITIKA EU PROJEKATA'!$P$3:$P$501,"=424")</f>
        <v>0</v>
      </c>
      <c r="Q46" s="140">
        <f>SUMIFS('Plan rashoda za unos u SAP'!$I$3:$I$501,'Plan rashoda za unos u SAP'!$C$3:$C$501,"=575",'Plan rashoda za unos u SAP'!$M$3:$M$501,"=424")+SUMIFS('ANALITIKA EU PROJEKATA'!$G$3:$G$501,'ANALITIKA EU PROJEKATA'!$A$3:$A$501,"=575",'ANALITIKA EU PROJEKATA'!$P$3:$P$501,"=424")</f>
        <v>0</v>
      </c>
      <c r="R46" s="140">
        <f>SUMIFS('Plan rashoda za unos u SAP'!$I$3:$I$501,'Plan rashoda za unos u SAP'!$C$3:$C$501,"=576",'Plan rashoda za unos u SAP'!$M$3:$M$501,"=424")+SUMIFS('ANALITIKA EU PROJEKATA'!$G$3:$G$501,'ANALITIKA EU PROJEKATA'!$A$3:$A$501,"=576",'ANALITIKA EU PROJEKATA'!$P$3:$P$501,"=424")</f>
        <v>0</v>
      </c>
      <c r="S46" s="140">
        <f>SUMIFS('Plan rashoda za unos u SAP'!$I$3:$I$501,'Plan rashoda za unos u SAP'!$C$3:$C$501,"=61",'Plan rashoda za unos u SAP'!$M$3:$M$501,"=424")+SUMIFS('ANALITIKA EU PROJEKATA'!$G$3:$G$501,'ANALITIKA EU PROJEKATA'!$A$3:$A$501,"=61",'ANALITIKA EU PROJEKATA'!$P$3:$P$501,"=424")</f>
        <v>0</v>
      </c>
      <c r="T46" s="140">
        <f>SUMIFS('Plan rashoda za unos u SAP'!$I$3:$I$501,'Plan rashoda za unos u SAP'!$C$3:$C$501,"=63",'Plan rashoda za unos u SAP'!$M$3:$M$501,"=424")+SUMIFS('ANALITIKA EU PROJEKATA'!$G$3:$G$501,'ANALITIKA EU PROJEKATA'!$A$3:$A$501,"=63",'ANALITIKA EU PROJEKATA'!$P$3:$P$501,"=424")</f>
        <v>0</v>
      </c>
      <c r="U46" s="140">
        <f>SUMIFS('Plan rashoda za unos u SAP'!$I$3:$I$501,'Plan rashoda za unos u SAP'!$C$3:$C$501,"=71",'Plan rashoda za unos u SAP'!$M$3:$M$501,"=424")+SUMIFS('ANALITIKA EU PROJEKATA'!$G$3:$G$501,'ANALITIKA EU PROJEKATA'!$A$3:$A$501,"=71",'ANALITIKA EU PROJEKATA'!$P$3:$P$501,"=424")</f>
        <v>0</v>
      </c>
      <c r="V46" s="140">
        <f>SUMIFS('Plan rashoda za unos u SAP'!$I$3:$I$501,'Plan rashoda za unos u SAP'!$C$3:$C$501,"=81",'Plan rashoda za unos u SAP'!$M$3:$M$501,"=424")+SUMIFS('ANALITIKA EU PROJEKATA'!$G$3:$G$501,'ANALITIKA EU PROJEKATA'!$A$3:$A$501,"=81",'ANALITIKA EU PROJEKATA'!$P$3:$P$501,"=424")</f>
        <v>0</v>
      </c>
      <c r="W46" s="140">
        <f>SUMIFS('Plan rashoda za unos u SAP'!$I$3:$I$501,'Plan rashoda za unos u SAP'!$C$3:$C$501,"=83",'Plan rashoda za unos u SAP'!$M$3:$M$501,"=424")+SUMIFS('ANALITIKA EU PROJEKATA'!$G$3:$G$501,'ANALITIKA EU PROJEKATA'!$A$3:$A$501,"=83",'ANALITIKA EU PROJEKATA'!$P$3:$P$501,"=424")</f>
        <v>0</v>
      </c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72"/>
      <c r="CB46" s="72"/>
      <c r="CC46" s="72"/>
      <c r="CD46" s="72"/>
      <c r="CE46" s="72"/>
      <c r="CF46" s="72"/>
      <c r="CG46" s="72"/>
      <c r="CH46" s="72"/>
      <c r="CI46" s="72"/>
      <c r="CJ46" s="72"/>
      <c r="CK46" s="72"/>
      <c r="CL46" s="72"/>
      <c r="CM46" s="72"/>
      <c r="CN46" s="72"/>
      <c r="CO46" s="72"/>
      <c r="CP46" s="72"/>
      <c r="CQ46" s="72"/>
      <c r="CR46" s="72"/>
      <c r="CS46" s="72"/>
      <c r="CT46" s="72"/>
      <c r="CU46" s="72"/>
      <c r="CV46" s="72"/>
      <c r="CW46" s="72"/>
      <c r="CX46" s="72"/>
      <c r="CY46" s="72"/>
      <c r="CZ46" s="72"/>
      <c r="DA46" s="72"/>
      <c r="DB46" s="72"/>
      <c r="DC46" s="72"/>
      <c r="DD46" s="72"/>
      <c r="DE46" s="72"/>
      <c r="DF46" s="72"/>
      <c r="DG46" s="72"/>
      <c r="DH46" s="72"/>
      <c r="DI46" s="72"/>
      <c r="DJ46" s="72"/>
      <c r="DK46" s="72"/>
      <c r="DL46" s="72"/>
      <c r="DM46" s="72"/>
      <c r="DN46" s="72"/>
      <c r="DO46" s="72"/>
      <c r="DP46" s="72"/>
      <c r="DQ46" s="72"/>
      <c r="DR46" s="72"/>
      <c r="DS46" s="72"/>
      <c r="DT46" s="72"/>
      <c r="DU46" s="72"/>
      <c r="DV46" s="72"/>
      <c r="DW46" s="72"/>
      <c r="DX46" s="72"/>
      <c r="DY46" s="72"/>
      <c r="DZ46" s="72"/>
      <c r="EA46" s="72"/>
      <c r="EB46" s="72"/>
      <c r="EC46" s="72"/>
      <c r="ED46" s="72"/>
      <c r="EE46" s="72"/>
      <c r="EF46" s="72"/>
      <c r="EG46" s="72"/>
      <c r="EH46" s="72"/>
      <c r="EI46" s="72"/>
      <c r="EJ46" s="72"/>
      <c r="EK46" s="72"/>
      <c r="EL46" s="72"/>
      <c r="EM46" s="72"/>
      <c r="EN46" s="72"/>
      <c r="EO46" s="72"/>
      <c r="EP46" s="72"/>
      <c r="EQ46" s="72"/>
      <c r="ER46" s="72"/>
      <c r="ES46" s="72"/>
      <c r="ET46" s="72"/>
      <c r="EU46" s="72"/>
      <c r="EV46" s="72"/>
      <c r="EW46" s="72"/>
      <c r="EX46" s="72"/>
      <c r="EY46" s="72"/>
      <c r="EZ46" s="72"/>
      <c r="FA46" s="72"/>
      <c r="FB46" s="72"/>
      <c r="FC46" s="72"/>
      <c r="FD46" s="72"/>
      <c r="FE46" s="72"/>
      <c r="FF46" s="72"/>
      <c r="FG46" s="72"/>
      <c r="FH46" s="72"/>
      <c r="FI46" s="72"/>
      <c r="FJ46" s="72"/>
      <c r="FK46" s="72"/>
      <c r="FL46" s="72"/>
      <c r="FM46" s="72"/>
      <c r="FN46" s="72"/>
      <c r="FO46" s="72"/>
      <c r="FP46" s="72"/>
      <c r="FQ46" s="72"/>
      <c r="FR46" s="72"/>
      <c r="FS46" s="72"/>
      <c r="FT46" s="72"/>
      <c r="FU46" s="72"/>
      <c r="FV46" s="72"/>
      <c r="FW46" s="72"/>
      <c r="FX46" s="72"/>
      <c r="FY46" s="72"/>
      <c r="FZ46" s="72"/>
      <c r="GA46" s="72"/>
      <c r="GB46" s="72"/>
      <c r="GC46" s="72"/>
      <c r="GD46" s="72"/>
      <c r="GE46" s="72"/>
      <c r="GF46" s="72"/>
      <c r="GG46" s="72"/>
      <c r="GH46" s="72"/>
      <c r="GI46" s="72"/>
      <c r="GJ46" s="72"/>
      <c r="GK46" s="72"/>
      <c r="GL46" s="73"/>
      <c r="GM46" s="73"/>
      <c r="GN46" s="73"/>
      <c r="GO46" s="73"/>
      <c r="GP46" s="73"/>
      <c r="GQ46" s="73"/>
      <c r="GR46" s="73"/>
      <c r="GS46" s="73"/>
      <c r="GT46" s="73"/>
      <c r="GU46" s="73"/>
      <c r="GV46" s="73"/>
      <c r="GW46" s="73"/>
      <c r="GX46" s="73"/>
      <c r="GY46" s="73"/>
      <c r="GZ46" s="73"/>
      <c r="HA46" s="73"/>
      <c r="HB46" s="73"/>
      <c r="HC46" s="73"/>
      <c r="HD46" s="73"/>
      <c r="HE46" s="73"/>
      <c r="HF46" s="73"/>
      <c r="HG46" s="73"/>
      <c r="HH46" s="73"/>
      <c r="HI46" s="73"/>
      <c r="HJ46" s="73"/>
      <c r="HK46" s="73"/>
      <c r="HL46" s="73"/>
      <c r="HM46" s="73"/>
      <c r="HN46" s="73"/>
      <c r="HO46" s="73"/>
      <c r="HP46" s="73"/>
      <c r="HQ46" s="73"/>
      <c r="HR46" s="73"/>
      <c r="HS46" s="73"/>
      <c r="HT46" s="73"/>
      <c r="HU46" s="73"/>
      <c r="HV46" s="73"/>
      <c r="HW46" s="73"/>
      <c r="HX46" s="73"/>
      <c r="HY46" s="73"/>
      <c r="HZ46" s="73"/>
      <c r="IA46" s="73"/>
      <c r="IB46" s="73"/>
      <c r="IC46" s="73"/>
      <c r="ID46" s="73"/>
      <c r="IE46" s="73"/>
      <c r="IF46" s="73"/>
      <c r="IG46" s="73"/>
      <c r="IH46" s="73"/>
      <c r="II46" s="73"/>
      <c r="IJ46" s="73"/>
      <c r="IK46" s="73"/>
      <c r="IL46" s="73"/>
      <c r="IM46" s="73"/>
      <c r="IN46" s="73"/>
      <c r="IO46" s="73"/>
      <c r="IP46" s="73"/>
      <c r="IQ46" s="73"/>
      <c r="IR46" s="73"/>
      <c r="IS46" s="73"/>
      <c r="IT46" s="73"/>
      <c r="IU46" s="73"/>
      <c r="IV46" s="73"/>
      <c r="IW46" s="73"/>
      <c r="IX46" s="73"/>
      <c r="IY46" s="73"/>
      <c r="IZ46" s="73"/>
      <c r="JA46" s="73"/>
      <c r="JB46" s="73"/>
      <c r="JC46" s="73"/>
    </row>
    <row r="47" spans="1:263" s="21" customFormat="1" ht="12.6" customHeight="1">
      <c r="A47" s="22">
        <v>2021</v>
      </c>
      <c r="B47" s="83">
        <v>425</v>
      </c>
      <c r="C47" s="87" t="s">
        <v>343</v>
      </c>
      <c r="D47" s="14">
        <f t="shared" si="1"/>
        <v>0</v>
      </c>
      <c r="E47" s="140">
        <f>SUMIFS('Plan rashoda za unos u SAP'!$I$3:$I$501,'Plan rashoda za unos u SAP'!$C$3:$C$501,"=11",'Plan rashoda za unos u SAP'!$M$3:$M$501,"=425")+SUMIFS('ANALITIKA EU PROJEKATA'!$G$3:$G$501,'ANALITIKA EU PROJEKATA'!$A$3:$A$501,"=11",'ANALITIKA EU PROJEKATA'!$P$3:$P$501,"=425")</f>
        <v>0</v>
      </c>
      <c r="F47" s="140">
        <f>SUMIFS('Plan rashoda za unos u SAP'!$I$3:$I$501,'Plan rashoda za unos u SAP'!$C$3:$C$501,"=12",'Plan rashoda za unos u SAP'!$M$3:$M$501,"=425")+SUMIFS('ANALITIKA EU PROJEKATA'!$G$3:$G$501,'ANALITIKA EU PROJEKATA'!$A$3:$A$501,"=12",'ANALITIKA EU PROJEKATA'!$P$3:$P$501,"=425")</f>
        <v>0</v>
      </c>
      <c r="G47" s="140">
        <f>SUMIFS('Plan rashoda za unos u SAP'!$I$3:$I$501,'Plan rashoda za unos u SAP'!$C$3:$C$501,"=31",'Plan rashoda za unos u SAP'!$M$3:$M$501,"=425")+SUMIFS('ANALITIKA EU PROJEKATA'!$G$3:$G$501,'ANALITIKA EU PROJEKATA'!$A$3:$A$501,"=31",'ANALITIKA EU PROJEKATA'!$P$3:$P$501,"=425")</f>
        <v>0</v>
      </c>
      <c r="H47" s="140">
        <f>SUMIFS('Plan rashoda za unos u SAP'!$I$3:$I$501,'Plan rashoda za unos u SAP'!$C$3:$C$501,"=41",'Plan rashoda za unos u SAP'!$M$3:$M$501,"=425")+SUMIFS('ANALITIKA EU PROJEKATA'!$G$3:$G$501,'ANALITIKA EU PROJEKATA'!$A$3:$A$501,"=41",'ANALITIKA EU PROJEKATA'!$P$3:$P$501,"=425")</f>
        <v>0</v>
      </c>
      <c r="I47" s="140">
        <f>SUMIFS('Plan rashoda za unos u SAP'!$I$3:$I$501,'Plan rashoda za unos u SAP'!$C$3:$C$501,"=43",'Plan rashoda za unos u SAP'!$M$3:$M$501,"=425")+SUMIFS('ANALITIKA EU PROJEKATA'!$G$3:$G$501,'ANALITIKA EU PROJEKATA'!$A$3:$A$501,"=43",'ANALITIKA EU PROJEKATA'!$P$3:$P$501,"=425")</f>
        <v>0</v>
      </c>
      <c r="J47" s="140">
        <f>SUMIFS('Plan rashoda za unos u SAP'!$I$3:$I$501,'Plan rashoda za unos u SAP'!$C$3:$C$501,"=51",'Plan rashoda za unos u SAP'!$M$3:$M$501,"=425")+SUMIFS('ANALITIKA EU PROJEKATA'!$G$3:$G$501,'ANALITIKA EU PROJEKATA'!$A$3:$A$501,"=51",'ANALITIKA EU PROJEKATA'!$P$3:$P$501,"=425")</f>
        <v>0</v>
      </c>
      <c r="K47" s="140">
        <f>SUMIFS('Plan rashoda za unos u SAP'!$I$3:$I$501,'Plan rashoda za unos u SAP'!$C$3:$C$501,"=52",'Plan rashoda za unos u SAP'!$M$3:$M$501,"=425")+SUMIFS('ANALITIKA EU PROJEKATA'!$G$3:$G$501,'ANALITIKA EU PROJEKATA'!$A$3:$A$501,"=52",'ANALITIKA EU PROJEKATA'!$P$3:$P$501,"=425")</f>
        <v>0</v>
      </c>
      <c r="L47" s="140">
        <f>SUMIFS('Plan rashoda za unos u SAP'!$I$3:$I$501,'Plan rashoda za unos u SAP'!$C$3:$C$501,"=552",'Plan rashoda za unos u SAP'!$M$3:$M$501,"=425")+SUMIFS('ANALITIKA EU PROJEKATA'!$G$3:$G$501,'ANALITIKA EU PROJEKATA'!$A$3:$A$501,"=552",'ANALITIKA EU PROJEKATA'!$P$3:$P$501,"=425")</f>
        <v>0</v>
      </c>
      <c r="M47" s="140">
        <f>SUMIFS('Plan rashoda za unos u SAP'!$I$3:$I$501,'Plan rashoda za unos u SAP'!$C$3:$C$501,"=559",'Plan rashoda za unos u SAP'!$M$3:$M$501,"=425")+SUMIFS('ANALITIKA EU PROJEKATA'!$G$3:$G$501,'ANALITIKA EU PROJEKATA'!$A$3:$A$501,"=559",'ANALITIKA EU PROJEKATA'!$P$3:$P$501,"=425")</f>
        <v>0</v>
      </c>
      <c r="N47" s="140">
        <f>SUMIFS('Plan rashoda za unos u SAP'!$I$3:$I$501,'Plan rashoda za unos u SAP'!$C$3:$C$501,"=561",'Plan rashoda za unos u SAP'!$M$3:$M$501,"=425")+SUMIFS('ANALITIKA EU PROJEKATA'!$G$3:$G$501,'ANALITIKA EU PROJEKATA'!$A$3:$A$501,"=561",'ANALITIKA EU PROJEKATA'!$P$3:$P$501,"=425")</f>
        <v>0</v>
      </c>
      <c r="O47" s="140">
        <f>SUMIFS('Plan rashoda za unos u SAP'!$I$3:$I$501,'Plan rashoda za unos u SAP'!$C$3:$C$501,"=563",'Plan rashoda za unos u SAP'!$M$3:$M$501,"=425")+SUMIFS('ANALITIKA EU PROJEKATA'!$G$3:$G$501,'ANALITIKA EU PROJEKATA'!$A$3:$A$501,"=563",'ANALITIKA EU PROJEKATA'!$P$3:$P$501,"=425")</f>
        <v>0</v>
      </c>
      <c r="P47" s="140">
        <f>SUMIFS('Plan rashoda za unos u SAP'!$I$3:$I$501,'Plan rashoda za unos u SAP'!$C$3:$C$501,"=573",'Plan rashoda za unos u SAP'!$M$3:$M$501,"=425")+SUMIFS('ANALITIKA EU PROJEKATA'!$G$3:$G$501,'ANALITIKA EU PROJEKATA'!$A$3:$A$501,"=573",'ANALITIKA EU PROJEKATA'!$P$3:$P$501,"=425")</f>
        <v>0</v>
      </c>
      <c r="Q47" s="140">
        <f>SUMIFS('Plan rashoda za unos u SAP'!$I$3:$I$501,'Plan rashoda za unos u SAP'!$C$3:$C$501,"=575",'Plan rashoda za unos u SAP'!$M$3:$M$501,"=425")+SUMIFS('ANALITIKA EU PROJEKATA'!$G$3:$G$501,'ANALITIKA EU PROJEKATA'!$A$3:$A$501,"=575",'ANALITIKA EU PROJEKATA'!$P$3:$P$501,"=425")</f>
        <v>0</v>
      </c>
      <c r="R47" s="140">
        <f>SUMIFS('Plan rashoda za unos u SAP'!$I$3:$I$501,'Plan rashoda za unos u SAP'!$C$3:$C$501,"=576",'Plan rashoda za unos u SAP'!$M$3:$M$501,"=425")+SUMIFS('ANALITIKA EU PROJEKATA'!$G$3:$G$501,'ANALITIKA EU PROJEKATA'!$A$3:$A$501,"=576",'ANALITIKA EU PROJEKATA'!$P$3:$P$501,"=425")</f>
        <v>0</v>
      </c>
      <c r="S47" s="140">
        <f>SUMIFS('Plan rashoda za unos u SAP'!$I$3:$I$501,'Plan rashoda za unos u SAP'!$C$3:$C$501,"=61",'Plan rashoda za unos u SAP'!$M$3:$M$501,"=425")+SUMIFS('ANALITIKA EU PROJEKATA'!$G$3:$G$501,'ANALITIKA EU PROJEKATA'!$A$3:$A$501,"=61",'ANALITIKA EU PROJEKATA'!$P$3:$P$501,"=425")</f>
        <v>0</v>
      </c>
      <c r="T47" s="140">
        <f>SUMIFS('Plan rashoda za unos u SAP'!$I$3:$I$501,'Plan rashoda za unos u SAP'!$C$3:$C$501,"=63",'Plan rashoda za unos u SAP'!$M$3:$M$501,"=425")+SUMIFS('ANALITIKA EU PROJEKATA'!$G$3:$G$501,'ANALITIKA EU PROJEKATA'!$A$3:$A$501,"=63",'ANALITIKA EU PROJEKATA'!$P$3:$P$501,"=425")</f>
        <v>0</v>
      </c>
      <c r="U47" s="140">
        <f>SUMIFS('Plan rashoda za unos u SAP'!$I$3:$I$501,'Plan rashoda za unos u SAP'!$C$3:$C$501,"=71",'Plan rashoda za unos u SAP'!$M$3:$M$501,"=425")+SUMIFS('ANALITIKA EU PROJEKATA'!$G$3:$G$501,'ANALITIKA EU PROJEKATA'!$A$3:$A$501,"=71",'ANALITIKA EU PROJEKATA'!$P$3:$P$501,"=425")</f>
        <v>0</v>
      </c>
      <c r="V47" s="140">
        <f>SUMIFS('Plan rashoda za unos u SAP'!$I$3:$I$501,'Plan rashoda za unos u SAP'!$C$3:$C$501,"=81",'Plan rashoda za unos u SAP'!$M$3:$M$501,"=425")+SUMIFS('ANALITIKA EU PROJEKATA'!$G$3:$G$501,'ANALITIKA EU PROJEKATA'!$A$3:$A$501,"=81",'ANALITIKA EU PROJEKATA'!$P$3:$P$501,"=425")</f>
        <v>0</v>
      </c>
      <c r="W47" s="140">
        <f>SUMIFS('Plan rashoda za unos u SAP'!$I$3:$I$501,'Plan rashoda za unos u SAP'!$C$3:$C$501,"=83",'Plan rashoda za unos u SAP'!$M$3:$M$501,"=425")+SUMIFS('ANALITIKA EU PROJEKATA'!$G$3:$G$501,'ANALITIKA EU PROJEKATA'!$A$3:$A$501,"=83",'ANALITIKA EU PROJEKATA'!$P$3:$P$501,"=425")</f>
        <v>0</v>
      </c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2"/>
      <c r="BF47" s="72"/>
      <c r="BG47" s="72"/>
      <c r="BH47" s="72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72"/>
      <c r="CA47" s="72"/>
      <c r="CB47" s="72"/>
      <c r="CC47" s="72"/>
      <c r="CD47" s="72"/>
      <c r="CE47" s="72"/>
      <c r="CF47" s="72"/>
      <c r="CG47" s="72"/>
      <c r="CH47" s="72"/>
      <c r="CI47" s="72"/>
      <c r="CJ47" s="72"/>
      <c r="CK47" s="72"/>
      <c r="CL47" s="72"/>
      <c r="CM47" s="72"/>
      <c r="CN47" s="72"/>
      <c r="CO47" s="72"/>
      <c r="CP47" s="72"/>
      <c r="CQ47" s="72"/>
      <c r="CR47" s="72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72"/>
      <c r="DG47" s="72"/>
      <c r="DH47" s="72"/>
      <c r="DI47" s="72"/>
      <c r="DJ47" s="72"/>
      <c r="DK47" s="72"/>
      <c r="DL47" s="72"/>
      <c r="DM47" s="72"/>
      <c r="DN47" s="72"/>
      <c r="DO47" s="72"/>
      <c r="DP47" s="72"/>
      <c r="DQ47" s="72"/>
      <c r="DR47" s="72"/>
      <c r="DS47" s="72"/>
      <c r="DT47" s="72"/>
      <c r="DU47" s="72"/>
      <c r="DV47" s="72"/>
      <c r="DW47" s="72"/>
      <c r="DX47" s="72"/>
      <c r="DY47" s="72"/>
      <c r="DZ47" s="72"/>
      <c r="EA47" s="72"/>
      <c r="EB47" s="72"/>
      <c r="EC47" s="72"/>
      <c r="ED47" s="72"/>
      <c r="EE47" s="72"/>
      <c r="EF47" s="72"/>
      <c r="EG47" s="72"/>
      <c r="EH47" s="72"/>
      <c r="EI47" s="72"/>
      <c r="EJ47" s="72"/>
      <c r="EK47" s="72"/>
      <c r="EL47" s="72"/>
      <c r="EM47" s="72"/>
      <c r="EN47" s="72"/>
      <c r="EO47" s="72"/>
      <c r="EP47" s="72"/>
      <c r="EQ47" s="72"/>
      <c r="ER47" s="72"/>
      <c r="ES47" s="72"/>
      <c r="ET47" s="72"/>
      <c r="EU47" s="72"/>
      <c r="EV47" s="72"/>
      <c r="EW47" s="72"/>
      <c r="EX47" s="72"/>
      <c r="EY47" s="72"/>
      <c r="EZ47" s="72"/>
      <c r="FA47" s="72"/>
      <c r="FB47" s="72"/>
      <c r="FC47" s="72"/>
      <c r="FD47" s="72"/>
      <c r="FE47" s="72"/>
      <c r="FF47" s="72"/>
      <c r="FG47" s="72"/>
      <c r="FH47" s="72"/>
      <c r="FI47" s="72"/>
      <c r="FJ47" s="72"/>
      <c r="FK47" s="72"/>
      <c r="FL47" s="72"/>
      <c r="FM47" s="72"/>
      <c r="FN47" s="72"/>
      <c r="FO47" s="72"/>
      <c r="FP47" s="72"/>
      <c r="FQ47" s="72"/>
      <c r="FR47" s="72"/>
      <c r="FS47" s="72"/>
      <c r="FT47" s="72"/>
      <c r="FU47" s="72"/>
      <c r="FV47" s="72"/>
      <c r="FW47" s="72"/>
      <c r="FX47" s="72"/>
      <c r="FY47" s="72"/>
      <c r="FZ47" s="72"/>
      <c r="GA47" s="72"/>
      <c r="GB47" s="72"/>
      <c r="GC47" s="72"/>
      <c r="GD47" s="72"/>
      <c r="GE47" s="72"/>
      <c r="GF47" s="72"/>
      <c r="GG47" s="72"/>
      <c r="GH47" s="72"/>
      <c r="GI47" s="72"/>
      <c r="GJ47" s="72"/>
      <c r="GK47" s="72"/>
      <c r="GL47" s="73"/>
      <c r="GM47" s="73"/>
      <c r="GN47" s="73"/>
      <c r="GO47" s="73"/>
      <c r="GP47" s="73"/>
      <c r="GQ47" s="73"/>
      <c r="GR47" s="73"/>
      <c r="GS47" s="73"/>
      <c r="GT47" s="73"/>
      <c r="GU47" s="73"/>
      <c r="GV47" s="73"/>
      <c r="GW47" s="73"/>
      <c r="GX47" s="73"/>
      <c r="GY47" s="73"/>
      <c r="GZ47" s="73"/>
      <c r="HA47" s="73"/>
      <c r="HB47" s="73"/>
      <c r="HC47" s="73"/>
      <c r="HD47" s="73"/>
      <c r="HE47" s="73"/>
      <c r="HF47" s="73"/>
      <c r="HG47" s="73"/>
      <c r="HH47" s="73"/>
      <c r="HI47" s="73"/>
      <c r="HJ47" s="73"/>
      <c r="HK47" s="73"/>
      <c r="HL47" s="73"/>
      <c r="HM47" s="73"/>
      <c r="HN47" s="73"/>
      <c r="HO47" s="73"/>
      <c r="HP47" s="73"/>
      <c r="HQ47" s="73"/>
      <c r="HR47" s="73"/>
      <c r="HS47" s="73"/>
      <c r="HT47" s="73"/>
      <c r="HU47" s="73"/>
      <c r="HV47" s="73"/>
      <c r="HW47" s="73"/>
      <c r="HX47" s="73"/>
      <c r="HY47" s="73"/>
      <c r="HZ47" s="73"/>
      <c r="IA47" s="73"/>
      <c r="IB47" s="73"/>
      <c r="IC47" s="73"/>
      <c r="ID47" s="73"/>
      <c r="IE47" s="73"/>
      <c r="IF47" s="73"/>
      <c r="IG47" s="73"/>
      <c r="IH47" s="73"/>
      <c r="II47" s="73"/>
      <c r="IJ47" s="73"/>
      <c r="IK47" s="73"/>
      <c r="IL47" s="73"/>
      <c r="IM47" s="73"/>
      <c r="IN47" s="73"/>
      <c r="IO47" s="73"/>
      <c r="IP47" s="73"/>
      <c r="IQ47" s="73"/>
      <c r="IR47" s="73"/>
      <c r="IS47" s="73"/>
      <c r="IT47" s="73"/>
      <c r="IU47" s="73"/>
      <c r="IV47" s="73"/>
      <c r="IW47" s="73"/>
      <c r="IX47" s="73"/>
      <c r="IY47" s="73"/>
      <c r="IZ47" s="73"/>
      <c r="JA47" s="73"/>
      <c r="JB47" s="73"/>
      <c r="JC47" s="73"/>
    </row>
    <row r="48" spans="1:263" s="21" customFormat="1" ht="12.6" customHeight="1">
      <c r="A48" s="22">
        <v>2021</v>
      </c>
      <c r="B48" s="83">
        <v>426</v>
      </c>
      <c r="C48" s="8" t="s">
        <v>221</v>
      </c>
      <c r="D48" s="14">
        <f t="shared" si="1"/>
        <v>0</v>
      </c>
      <c r="E48" s="140">
        <f>SUMIFS('Plan rashoda za unos u SAP'!$I$3:$I$501,'Plan rashoda za unos u SAP'!$C$3:$C$501,"=11",'Plan rashoda za unos u SAP'!$M$3:$M$501,"=426")+SUMIFS('ANALITIKA EU PROJEKATA'!$G$3:$G$501,'ANALITIKA EU PROJEKATA'!$A$3:$A$501,"=11",'ANALITIKA EU PROJEKATA'!$P$3:$P$501,"=426")</f>
        <v>0</v>
      </c>
      <c r="F48" s="140">
        <f>SUMIFS('Plan rashoda za unos u SAP'!$I$3:$I$501,'Plan rashoda za unos u SAP'!$C$3:$C$501,"=12",'Plan rashoda za unos u SAP'!$M$3:$M$501,"=426")+SUMIFS('ANALITIKA EU PROJEKATA'!$G$3:$G$501,'ANALITIKA EU PROJEKATA'!$A$3:$A$501,"=12",'ANALITIKA EU PROJEKATA'!$P$3:$P$501,"=426")</f>
        <v>0</v>
      </c>
      <c r="G48" s="140">
        <f>SUMIFS('Plan rashoda za unos u SAP'!$I$3:$I$501,'Plan rashoda za unos u SAP'!$C$3:$C$501,"=31",'Plan rashoda za unos u SAP'!$M$3:$M$501,"=426")+SUMIFS('ANALITIKA EU PROJEKATA'!$G$3:$G$501,'ANALITIKA EU PROJEKATA'!$A$3:$A$501,"=31",'ANALITIKA EU PROJEKATA'!$P$3:$P$501,"=426")</f>
        <v>0</v>
      </c>
      <c r="H48" s="140">
        <f>SUMIFS('Plan rashoda za unos u SAP'!$I$3:$I$501,'Plan rashoda za unos u SAP'!$C$3:$C$501,"=41",'Plan rashoda za unos u SAP'!$M$3:$M$501,"=426")+SUMIFS('ANALITIKA EU PROJEKATA'!$G$3:$G$501,'ANALITIKA EU PROJEKATA'!$A$3:$A$501,"=41",'ANALITIKA EU PROJEKATA'!$P$3:$P$501,"=426")</f>
        <v>0</v>
      </c>
      <c r="I48" s="140">
        <f>SUMIFS('Plan rashoda za unos u SAP'!$I$3:$I$501,'Plan rashoda za unos u SAP'!$C$3:$C$501,"=43",'Plan rashoda za unos u SAP'!$M$3:$M$501,"=426")+SUMIFS('ANALITIKA EU PROJEKATA'!$G$3:$G$501,'ANALITIKA EU PROJEKATA'!$A$3:$A$501,"=43",'ANALITIKA EU PROJEKATA'!$P$3:$P$501,"=426")</f>
        <v>0</v>
      </c>
      <c r="J48" s="140">
        <f>SUMIFS('Plan rashoda za unos u SAP'!$I$3:$I$501,'Plan rashoda za unos u SAP'!$C$3:$C$501,"=51",'Plan rashoda za unos u SAP'!$M$3:$M$501,"=426")+SUMIFS('ANALITIKA EU PROJEKATA'!$G$3:$G$501,'ANALITIKA EU PROJEKATA'!$A$3:$A$501,"=51",'ANALITIKA EU PROJEKATA'!$P$3:$P$501,"=426")</f>
        <v>0</v>
      </c>
      <c r="K48" s="140">
        <f>SUMIFS('Plan rashoda za unos u SAP'!$I$3:$I$501,'Plan rashoda za unos u SAP'!$C$3:$C$501,"=52",'Plan rashoda za unos u SAP'!$M$3:$M$501,"=426")+SUMIFS('ANALITIKA EU PROJEKATA'!$G$3:$G$501,'ANALITIKA EU PROJEKATA'!$A$3:$A$501,"=52",'ANALITIKA EU PROJEKATA'!$P$3:$P$501,"=426")</f>
        <v>0</v>
      </c>
      <c r="L48" s="140">
        <f>SUMIFS('Plan rashoda za unos u SAP'!$I$3:$I$501,'Plan rashoda za unos u SAP'!$C$3:$C$501,"=552",'Plan rashoda za unos u SAP'!$M$3:$M$501,"=426")+SUMIFS('ANALITIKA EU PROJEKATA'!$G$3:$G$501,'ANALITIKA EU PROJEKATA'!$A$3:$A$501,"=552",'ANALITIKA EU PROJEKATA'!$P$3:$P$501,"=426")</f>
        <v>0</v>
      </c>
      <c r="M48" s="140">
        <f>SUMIFS('Plan rashoda za unos u SAP'!$I$3:$I$501,'Plan rashoda za unos u SAP'!$C$3:$C$501,"=559",'Plan rashoda za unos u SAP'!$M$3:$M$501,"=426")+SUMIFS('ANALITIKA EU PROJEKATA'!$G$3:$G$501,'ANALITIKA EU PROJEKATA'!$A$3:$A$501,"=559",'ANALITIKA EU PROJEKATA'!$P$3:$P$501,"=426")</f>
        <v>0</v>
      </c>
      <c r="N48" s="140">
        <f>SUMIFS('Plan rashoda za unos u SAP'!$I$3:$I$501,'Plan rashoda za unos u SAP'!$C$3:$C$501,"=561",'Plan rashoda za unos u SAP'!$M$3:$M$501,"=426")+SUMIFS('ANALITIKA EU PROJEKATA'!$G$3:$G$501,'ANALITIKA EU PROJEKATA'!$A$3:$A$501,"=561",'ANALITIKA EU PROJEKATA'!$P$3:$P$501,"=426")</f>
        <v>0</v>
      </c>
      <c r="O48" s="140">
        <f>SUMIFS('Plan rashoda za unos u SAP'!$I$3:$I$501,'Plan rashoda za unos u SAP'!$C$3:$C$501,"=563",'Plan rashoda za unos u SAP'!$M$3:$M$501,"=426")+SUMIFS('ANALITIKA EU PROJEKATA'!$G$3:$G$501,'ANALITIKA EU PROJEKATA'!$A$3:$A$501,"=563",'ANALITIKA EU PROJEKATA'!$P$3:$P$501,"=426")</f>
        <v>0</v>
      </c>
      <c r="P48" s="140">
        <f>SUMIFS('Plan rashoda za unos u SAP'!$I$3:$I$501,'Plan rashoda za unos u SAP'!$C$3:$C$501,"=573",'Plan rashoda za unos u SAP'!$M$3:$M$501,"=426")+SUMIFS('ANALITIKA EU PROJEKATA'!$G$3:$G$501,'ANALITIKA EU PROJEKATA'!$A$3:$A$501,"=573",'ANALITIKA EU PROJEKATA'!$P$3:$P$501,"=426")</f>
        <v>0</v>
      </c>
      <c r="Q48" s="140">
        <f>SUMIFS('Plan rashoda za unos u SAP'!$I$3:$I$501,'Plan rashoda za unos u SAP'!$C$3:$C$501,"=575",'Plan rashoda za unos u SAP'!$M$3:$M$501,"=426")+SUMIFS('ANALITIKA EU PROJEKATA'!$G$3:$G$501,'ANALITIKA EU PROJEKATA'!$A$3:$A$501,"=575",'ANALITIKA EU PROJEKATA'!$P$3:$P$501,"=426")</f>
        <v>0</v>
      </c>
      <c r="R48" s="140">
        <f>SUMIFS('Plan rashoda za unos u SAP'!$I$3:$I$501,'Plan rashoda za unos u SAP'!$C$3:$C$501,"=576",'Plan rashoda za unos u SAP'!$M$3:$M$501,"=426")+SUMIFS('ANALITIKA EU PROJEKATA'!$G$3:$G$501,'ANALITIKA EU PROJEKATA'!$A$3:$A$501,"=576",'ANALITIKA EU PROJEKATA'!$P$3:$P$501,"=426")</f>
        <v>0</v>
      </c>
      <c r="S48" s="140">
        <f>SUMIFS('Plan rashoda za unos u SAP'!$I$3:$I$501,'Plan rashoda za unos u SAP'!$C$3:$C$501,"=61",'Plan rashoda za unos u SAP'!$M$3:$M$501,"=426")+SUMIFS('ANALITIKA EU PROJEKATA'!$G$3:$G$501,'ANALITIKA EU PROJEKATA'!$A$3:$A$501,"=61",'ANALITIKA EU PROJEKATA'!$P$3:$P$501,"=426")</f>
        <v>0</v>
      </c>
      <c r="T48" s="140">
        <f>SUMIFS('Plan rashoda za unos u SAP'!$I$3:$I$501,'Plan rashoda za unos u SAP'!$C$3:$C$501,"=63",'Plan rashoda za unos u SAP'!$M$3:$M$501,"=426")+SUMIFS('ANALITIKA EU PROJEKATA'!$G$3:$G$501,'ANALITIKA EU PROJEKATA'!$A$3:$A$501,"=63",'ANALITIKA EU PROJEKATA'!$P$3:$P$501,"=426")</f>
        <v>0</v>
      </c>
      <c r="U48" s="140">
        <f>SUMIFS('Plan rashoda za unos u SAP'!$I$3:$I$501,'Plan rashoda za unos u SAP'!$C$3:$C$501,"=71",'Plan rashoda za unos u SAP'!$M$3:$M$501,"=426")+SUMIFS('ANALITIKA EU PROJEKATA'!$G$3:$G$501,'ANALITIKA EU PROJEKATA'!$A$3:$A$501,"=71",'ANALITIKA EU PROJEKATA'!$P$3:$P$501,"=426")</f>
        <v>0</v>
      </c>
      <c r="V48" s="140">
        <f>SUMIFS('Plan rashoda za unos u SAP'!$I$3:$I$501,'Plan rashoda za unos u SAP'!$C$3:$C$501,"=81",'Plan rashoda za unos u SAP'!$M$3:$M$501,"=426")+SUMIFS('ANALITIKA EU PROJEKATA'!$G$3:$G$501,'ANALITIKA EU PROJEKATA'!$A$3:$A$501,"=81",'ANALITIKA EU PROJEKATA'!$P$3:$P$501,"=426")</f>
        <v>0</v>
      </c>
      <c r="W48" s="140">
        <f>SUMIFS('Plan rashoda za unos u SAP'!$I$3:$I$501,'Plan rashoda za unos u SAP'!$C$3:$C$501,"=83",'Plan rashoda za unos u SAP'!$M$3:$M$501,"=426")+SUMIFS('ANALITIKA EU PROJEKATA'!$G$3:$G$501,'ANALITIKA EU PROJEKATA'!$A$3:$A$501,"=83",'ANALITIKA EU PROJEKATA'!$P$3:$P$501,"=426")</f>
        <v>0</v>
      </c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72"/>
      <c r="CB48" s="72"/>
      <c r="CC48" s="72"/>
      <c r="CD48" s="72"/>
      <c r="CE48" s="72"/>
      <c r="CF48" s="72"/>
      <c r="CG48" s="72"/>
      <c r="CH48" s="72"/>
      <c r="CI48" s="72"/>
      <c r="CJ48" s="72"/>
      <c r="CK48" s="72"/>
      <c r="CL48" s="72"/>
      <c r="CM48" s="72"/>
      <c r="CN48" s="72"/>
      <c r="CO48" s="72"/>
      <c r="CP48" s="72"/>
      <c r="CQ48" s="72"/>
      <c r="CR48" s="72"/>
      <c r="CS48" s="72"/>
      <c r="CT48" s="72"/>
      <c r="CU48" s="72"/>
      <c r="CV48" s="72"/>
      <c r="CW48" s="72"/>
      <c r="CX48" s="72"/>
      <c r="CY48" s="72"/>
      <c r="CZ48" s="72"/>
      <c r="DA48" s="72"/>
      <c r="DB48" s="72"/>
      <c r="DC48" s="72"/>
      <c r="DD48" s="72"/>
      <c r="DE48" s="72"/>
      <c r="DF48" s="72"/>
      <c r="DG48" s="72"/>
      <c r="DH48" s="72"/>
      <c r="DI48" s="72"/>
      <c r="DJ48" s="72"/>
      <c r="DK48" s="72"/>
      <c r="DL48" s="72"/>
      <c r="DM48" s="72"/>
      <c r="DN48" s="72"/>
      <c r="DO48" s="72"/>
      <c r="DP48" s="72"/>
      <c r="DQ48" s="72"/>
      <c r="DR48" s="72"/>
      <c r="DS48" s="72"/>
      <c r="DT48" s="72"/>
      <c r="DU48" s="72"/>
      <c r="DV48" s="72"/>
      <c r="DW48" s="72"/>
      <c r="DX48" s="72"/>
      <c r="DY48" s="72"/>
      <c r="DZ48" s="72"/>
      <c r="EA48" s="72"/>
      <c r="EB48" s="72"/>
      <c r="EC48" s="72"/>
      <c r="ED48" s="72"/>
      <c r="EE48" s="72"/>
      <c r="EF48" s="72"/>
      <c r="EG48" s="72"/>
      <c r="EH48" s="72"/>
      <c r="EI48" s="72"/>
      <c r="EJ48" s="72"/>
      <c r="EK48" s="72"/>
      <c r="EL48" s="72"/>
      <c r="EM48" s="72"/>
      <c r="EN48" s="72"/>
      <c r="EO48" s="72"/>
      <c r="EP48" s="72"/>
      <c r="EQ48" s="72"/>
      <c r="ER48" s="72"/>
      <c r="ES48" s="72"/>
      <c r="ET48" s="72"/>
      <c r="EU48" s="72"/>
      <c r="EV48" s="72"/>
      <c r="EW48" s="72"/>
      <c r="EX48" s="72"/>
      <c r="EY48" s="72"/>
      <c r="EZ48" s="72"/>
      <c r="FA48" s="72"/>
      <c r="FB48" s="72"/>
      <c r="FC48" s="72"/>
      <c r="FD48" s="72"/>
      <c r="FE48" s="72"/>
      <c r="FF48" s="72"/>
      <c r="FG48" s="72"/>
      <c r="FH48" s="72"/>
      <c r="FI48" s="72"/>
      <c r="FJ48" s="72"/>
      <c r="FK48" s="72"/>
      <c r="FL48" s="72"/>
      <c r="FM48" s="72"/>
      <c r="FN48" s="72"/>
      <c r="FO48" s="72"/>
      <c r="FP48" s="72"/>
      <c r="FQ48" s="72"/>
      <c r="FR48" s="72"/>
      <c r="FS48" s="72"/>
      <c r="FT48" s="72"/>
      <c r="FU48" s="72"/>
      <c r="FV48" s="72"/>
      <c r="FW48" s="72"/>
      <c r="FX48" s="72"/>
      <c r="FY48" s="72"/>
      <c r="FZ48" s="72"/>
      <c r="GA48" s="72"/>
      <c r="GB48" s="72"/>
      <c r="GC48" s="72"/>
      <c r="GD48" s="72"/>
      <c r="GE48" s="72"/>
      <c r="GF48" s="72"/>
      <c r="GG48" s="72"/>
      <c r="GH48" s="72"/>
      <c r="GI48" s="72"/>
      <c r="GJ48" s="72"/>
      <c r="GK48" s="72"/>
      <c r="GL48" s="73"/>
      <c r="GM48" s="73"/>
      <c r="GN48" s="73"/>
      <c r="GO48" s="73"/>
      <c r="GP48" s="73"/>
      <c r="GQ48" s="73"/>
      <c r="GR48" s="73"/>
      <c r="GS48" s="73"/>
      <c r="GT48" s="73"/>
      <c r="GU48" s="73"/>
      <c r="GV48" s="73"/>
      <c r="GW48" s="73"/>
      <c r="GX48" s="73"/>
      <c r="GY48" s="73"/>
      <c r="GZ48" s="73"/>
      <c r="HA48" s="73"/>
      <c r="HB48" s="73"/>
      <c r="HC48" s="73"/>
      <c r="HD48" s="73"/>
      <c r="HE48" s="73"/>
      <c r="HF48" s="73"/>
      <c r="HG48" s="73"/>
      <c r="HH48" s="73"/>
      <c r="HI48" s="73"/>
      <c r="HJ48" s="73"/>
      <c r="HK48" s="73"/>
      <c r="HL48" s="73"/>
      <c r="HM48" s="73"/>
      <c r="HN48" s="73"/>
      <c r="HO48" s="73"/>
      <c r="HP48" s="73"/>
      <c r="HQ48" s="73"/>
      <c r="HR48" s="73"/>
      <c r="HS48" s="73"/>
      <c r="HT48" s="73"/>
      <c r="HU48" s="73"/>
      <c r="HV48" s="73"/>
      <c r="HW48" s="73"/>
      <c r="HX48" s="73"/>
      <c r="HY48" s="73"/>
      <c r="HZ48" s="73"/>
      <c r="IA48" s="73"/>
      <c r="IB48" s="73"/>
      <c r="IC48" s="73"/>
      <c r="ID48" s="73"/>
      <c r="IE48" s="73"/>
      <c r="IF48" s="73"/>
      <c r="IG48" s="73"/>
      <c r="IH48" s="73"/>
      <c r="II48" s="73"/>
      <c r="IJ48" s="73"/>
      <c r="IK48" s="73"/>
      <c r="IL48" s="73"/>
      <c r="IM48" s="73"/>
      <c r="IN48" s="73"/>
      <c r="IO48" s="73"/>
      <c r="IP48" s="73"/>
      <c r="IQ48" s="73"/>
      <c r="IR48" s="73"/>
      <c r="IS48" s="73"/>
      <c r="IT48" s="73"/>
      <c r="IU48" s="73"/>
      <c r="IV48" s="73"/>
      <c r="IW48" s="73"/>
      <c r="IX48" s="73"/>
      <c r="IY48" s="73"/>
      <c r="IZ48" s="73"/>
      <c r="JA48" s="73"/>
      <c r="JB48" s="73"/>
      <c r="JC48" s="73"/>
    </row>
    <row r="49" spans="1:263" s="13" customFormat="1" ht="12.6" customHeight="1">
      <c r="A49" s="22">
        <v>2021</v>
      </c>
      <c r="B49" s="10">
        <v>43</v>
      </c>
      <c r="C49" s="11" t="s">
        <v>344</v>
      </c>
      <c r="D49" s="4">
        <f t="shared" si="1"/>
        <v>0</v>
      </c>
      <c r="E49" s="12">
        <f>SUM(E50)</f>
        <v>0</v>
      </c>
      <c r="F49" s="12">
        <f>SUM(F50)</f>
        <v>0</v>
      </c>
      <c r="G49" s="12">
        <f>SUM(G50)</f>
        <v>0</v>
      </c>
      <c r="H49" s="12">
        <f>SUM(H50)</f>
        <v>0</v>
      </c>
      <c r="I49" s="12">
        <f t="shared" ref="I49:V49" si="13">SUM(I50)</f>
        <v>0</v>
      </c>
      <c r="J49" s="12">
        <f t="shared" si="13"/>
        <v>0</v>
      </c>
      <c r="K49" s="12">
        <f t="shared" si="13"/>
        <v>0</v>
      </c>
      <c r="L49" s="12">
        <f>SUM(L50)</f>
        <v>0</v>
      </c>
      <c r="M49" s="12">
        <f t="shared" si="13"/>
        <v>0</v>
      </c>
      <c r="N49" s="12">
        <f t="shared" si="13"/>
        <v>0</v>
      </c>
      <c r="O49" s="12">
        <f t="shared" si="13"/>
        <v>0</v>
      </c>
      <c r="P49" s="12">
        <f>SUM(P50)</f>
        <v>0</v>
      </c>
      <c r="Q49" s="12">
        <f>SUM(Q50)</f>
        <v>0</v>
      </c>
      <c r="R49" s="12">
        <f>SUM(R50)</f>
        <v>0</v>
      </c>
      <c r="S49" s="12">
        <f t="shared" si="13"/>
        <v>0</v>
      </c>
      <c r="T49" s="12">
        <f t="shared" si="13"/>
        <v>0</v>
      </c>
      <c r="U49" s="12">
        <f t="shared" si="13"/>
        <v>0</v>
      </c>
      <c r="V49" s="12">
        <f t="shared" si="13"/>
        <v>0</v>
      </c>
      <c r="W49" s="12">
        <f>SUM(W50)</f>
        <v>0</v>
      </c>
      <c r="X49" s="79"/>
      <c r="Y49" s="79"/>
      <c r="Z49" s="79"/>
      <c r="AA49" s="79"/>
      <c r="AB49" s="79"/>
      <c r="AC49" s="79"/>
      <c r="AD49" s="79"/>
      <c r="AE49" s="79"/>
      <c r="AF49" s="79"/>
      <c r="AG49" s="79"/>
      <c r="AH49" s="79"/>
      <c r="AI49" s="79"/>
      <c r="AJ49" s="79"/>
      <c r="AK49" s="79"/>
      <c r="AL49" s="79"/>
      <c r="AM49" s="79"/>
      <c r="AN49" s="79"/>
      <c r="AO49" s="79"/>
      <c r="AP49" s="79"/>
      <c r="AQ49" s="79"/>
      <c r="AR49" s="79"/>
      <c r="AS49" s="79"/>
      <c r="AT49" s="79"/>
      <c r="AU49" s="79"/>
      <c r="AV49" s="79"/>
      <c r="AW49" s="79"/>
      <c r="AX49" s="79"/>
      <c r="AY49" s="79"/>
      <c r="AZ49" s="79"/>
      <c r="BA49" s="79"/>
      <c r="BB49" s="79"/>
      <c r="BC49" s="79"/>
      <c r="BD49" s="79"/>
      <c r="BE49" s="79"/>
      <c r="BF49" s="79"/>
      <c r="BG49" s="79"/>
      <c r="BH49" s="79"/>
      <c r="BI49" s="79"/>
      <c r="BJ49" s="79"/>
      <c r="BK49" s="79"/>
      <c r="BL49" s="79"/>
      <c r="BM49" s="79"/>
      <c r="BN49" s="79"/>
      <c r="BO49" s="79"/>
      <c r="BP49" s="79"/>
      <c r="BQ49" s="79"/>
      <c r="BR49" s="79"/>
      <c r="BS49" s="79"/>
      <c r="BT49" s="79"/>
      <c r="BU49" s="79"/>
      <c r="BV49" s="79"/>
      <c r="BW49" s="79"/>
      <c r="BX49" s="79"/>
      <c r="BY49" s="79"/>
      <c r="BZ49" s="79"/>
      <c r="CA49" s="79"/>
      <c r="CB49" s="79"/>
      <c r="CC49" s="79"/>
      <c r="CD49" s="79"/>
      <c r="CE49" s="79"/>
      <c r="CF49" s="79"/>
      <c r="CG49" s="79"/>
      <c r="CH49" s="79"/>
      <c r="CI49" s="79"/>
      <c r="CJ49" s="79"/>
      <c r="CK49" s="79"/>
      <c r="CL49" s="79"/>
      <c r="CM49" s="79"/>
      <c r="CN49" s="79"/>
      <c r="CO49" s="79"/>
      <c r="CP49" s="79"/>
      <c r="CQ49" s="79"/>
      <c r="CR49" s="79"/>
      <c r="CS49" s="79"/>
      <c r="CT49" s="79"/>
      <c r="CU49" s="79"/>
      <c r="CV49" s="79"/>
      <c r="CW49" s="79"/>
      <c r="CX49" s="79"/>
      <c r="CY49" s="79"/>
      <c r="CZ49" s="79"/>
      <c r="DA49" s="79"/>
      <c r="DB49" s="79"/>
      <c r="DC49" s="79"/>
      <c r="DD49" s="79"/>
      <c r="DE49" s="79"/>
      <c r="DF49" s="79"/>
      <c r="DG49" s="79"/>
      <c r="DH49" s="79"/>
      <c r="DI49" s="79"/>
      <c r="DJ49" s="79"/>
      <c r="DK49" s="79"/>
      <c r="DL49" s="79"/>
      <c r="DM49" s="79"/>
      <c r="DN49" s="79"/>
      <c r="DO49" s="79"/>
      <c r="DP49" s="79"/>
      <c r="DQ49" s="79"/>
      <c r="DR49" s="79"/>
      <c r="DS49" s="79"/>
      <c r="DT49" s="79"/>
      <c r="DU49" s="79"/>
      <c r="DV49" s="79"/>
      <c r="DW49" s="79"/>
      <c r="DX49" s="79"/>
      <c r="DY49" s="79"/>
      <c r="DZ49" s="79"/>
      <c r="EA49" s="79"/>
      <c r="EB49" s="79"/>
      <c r="EC49" s="79"/>
      <c r="ED49" s="79"/>
      <c r="EE49" s="79"/>
      <c r="EF49" s="79"/>
      <c r="EG49" s="79"/>
      <c r="EH49" s="79"/>
      <c r="EI49" s="79"/>
      <c r="EJ49" s="79"/>
      <c r="EK49" s="79"/>
      <c r="EL49" s="79"/>
      <c r="EM49" s="79"/>
      <c r="EN49" s="79"/>
      <c r="EO49" s="79"/>
      <c r="EP49" s="79"/>
      <c r="EQ49" s="79"/>
      <c r="ER49" s="79"/>
      <c r="ES49" s="79"/>
      <c r="ET49" s="79"/>
      <c r="EU49" s="79"/>
      <c r="EV49" s="79"/>
      <c r="EW49" s="79"/>
      <c r="EX49" s="79"/>
      <c r="EY49" s="79"/>
      <c r="EZ49" s="79"/>
      <c r="FA49" s="79"/>
      <c r="FB49" s="79"/>
      <c r="FC49" s="79"/>
      <c r="FD49" s="79"/>
      <c r="FE49" s="79"/>
      <c r="FF49" s="79"/>
      <c r="FG49" s="79"/>
      <c r="FH49" s="79"/>
      <c r="FI49" s="79"/>
      <c r="FJ49" s="79"/>
      <c r="FK49" s="79"/>
      <c r="FL49" s="79"/>
      <c r="FM49" s="79"/>
      <c r="FN49" s="79"/>
      <c r="FO49" s="79"/>
      <c r="FP49" s="79"/>
      <c r="FQ49" s="79"/>
      <c r="FR49" s="79"/>
      <c r="FS49" s="79"/>
      <c r="FT49" s="79"/>
      <c r="FU49" s="79"/>
      <c r="FV49" s="79"/>
      <c r="FW49" s="79"/>
      <c r="FX49" s="79"/>
      <c r="FY49" s="79"/>
      <c r="FZ49" s="79"/>
      <c r="GA49" s="79"/>
      <c r="GB49" s="79"/>
      <c r="GC49" s="79"/>
      <c r="GD49" s="79"/>
      <c r="GE49" s="79"/>
      <c r="GF49" s="79"/>
      <c r="GG49" s="79"/>
      <c r="GH49" s="79"/>
      <c r="GI49" s="79"/>
      <c r="GJ49" s="79"/>
      <c r="GK49" s="79"/>
      <c r="GL49" s="80"/>
      <c r="GM49" s="80"/>
      <c r="GN49" s="80"/>
      <c r="GO49" s="80"/>
      <c r="GP49" s="80"/>
      <c r="GQ49" s="80"/>
      <c r="GR49" s="80"/>
      <c r="GS49" s="80"/>
      <c r="GT49" s="80"/>
      <c r="GU49" s="80"/>
      <c r="GV49" s="80"/>
      <c r="GW49" s="80"/>
      <c r="GX49" s="80"/>
      <c r="GY49" s="80"/>
      <c r="GZ49" s="80"/>
      <c r="HA49" s="80"/>
      <c r="HB49" s="80"/>
      <c r="HC49" s="80"/>
      <c r="HD49" s="80"/>
      <c r="HE49" s="80"/>
      <c r="HF49" s="80"/>
      <c r="HG49" s="80"/>
      <c r="HH49" s="80"/>
      <c r="HI49" s="80"/>
      <c r="HJ49" s="80"/>
      <c r="HK49" s="80"/>
      <c r="HL49" s="80"/>
      <c r="HM49" s="80"/>
      <c r="HN49" s="80"/>
      <c r="HO49" s="80"/>
      <c r="HP49" s="80"/>
      <c r="HQ49" s="80"/>
      <c r="HR49" s="80"/>
      <c r="HS49" s="80"/>
      <c r="HT49" s="80"/>
      <c r="HU49" s="80"/>
      <c r="HV49" s="80"/>
      <c r="HW49" s="80"/>
      <c r="HX49" s="80"/>
      <c r="HY49" s="80"/>
      <c r="HZ49" s="80"/>
      <c r="IA49" s="80"/>
      <c r="IB49" s="80"/>
      <c r="IC49" s="80"/>
      <c r="ID49" s="80"/>
      <c r="IE49" s="80"/>
      <c r="IF49" s="80"/>
      <c r="IG49" s="80"/>
      <c r="IH49" s="80"/>
      <c r="II49" s="80"/>
      <c r="IJ49" s="80"/>
      <c r="IK49" s="80"/>
      <c r="IL49" s="80"/>
      <c r="IM49" s="80"/>
      <c r="IN49" s="80"/>
      <c r="IO49" s="80"/>
      <c r="IP49" s="80"/>
      <c r="IQ49" s="80"/>
      <c r="IR49" s="80"/>
      <c r="IS49" s="80"/>
      <c r="IT49" s="80"/>
      <c r="IU49" s="80"/>
      <c r="IV49" s="80"/>
      <c r="IW49" s="80"/>
      <c r="IX49" s="80"/>
      <c r="IY49" s="80"/>
      <c r="IZ49" s="80"/>
      <c r="JA49" s="80"/>
      <c r="JB49" s="80"/>
      <c r="JC49" s="80"/>
    </row>
    <row r="50" spans="1:263" s="13" customFormat="1" ht="12.6" customHeight="1">
      <c r="A50" s="22">
        <v>2021</v>
      </c>
      <c r="B50" s="82">
        <v>431</v>
      </c>
      <c r="C50" s="8" t="s">
        <v>345</v>
      </c>
      <c r="D50" s="14">
        <f t="shared" si="1"/>
        <v>0</v>
      </c>
      <c r="E50" s="140">
        <f>SUMIFS('Plan rashoda za unos u SAP'!$I$3:$I$501,'Plan rashoda za unos u SAP'!$C$3:$C$501,"=11",'Plan rashoda za unos u SAP'!$M$3:$M$501,"=431")+SUMIFS('ANALITIKA EU PROJEKATA'!$G$3:$G$501,'ANALITIKA EU PROJEKATA'!$A$3:$A$501,"=11",'ANALITIKA EU PROJEKATA'!$P$3:$P$501,"=431")</f>
        <v>0</v>
      </c>
      <c r="F50" s="140">
        <f>SUMIFS('Plan rashoda za unos u SAP'!$I$3:$I$501,'Plan rashoda za unos u SAP'!$C$3:$C$501,"=12",'Plan rashoda za unos u SAP'!$M$3:$M$501,"=431")+SUMIFS('ANALITIKA EU PROJEKATA'!$G$3:$G$501,'ANALITIKA EU PROJEKATA'!$A$3:$A$501,"=12",'ANALITIKA EU PROJEKATA'!$P$3:$P$501,"=431")</f>
        <v>0</v>
      </c>
      <c r="G50" s="140">
        <f>SUMIFS('Plan rashoda za unos u SAP'!$I$3:$I$501,'Plan rashoda za unos u SAP'!$C$3:$C$501,"=31",'Plan rashoda za unos u SAP'!$M$3:$M$501,"=431")+SUMIFS('ANALITIKA EU PROJEKATA'!$G$3:$G$501,'ANALITIKA EU PROJEKATA'!$A$3:$A$501,"=31",'ANALITIKA EU PROJEKATA'!$P$3:$P$501,"=431")</f>
        <v>0</v>
      </c>
      <c r="H50" s="140">
        <f>SUMIFS('Plan rashoda za unos u SAP'!$I$3:$I$501,'Plan rashoda za unos u SAP'!$C$3:$C$501,"=41",'Plan rashoda za unos u SAP'!$M$3:$M$501,"=431")+SUMIFS('ANALITIKA EU PROJEKATA'!$G$3:$G$501,'ANALITIKA EU PROJEKATA'!$A$3:$A$501,"=41",'ANALITIKA EU PROJEKATA'!$P$3:$P$501,"=431")</f>
        <v>0</v>
      </c>
      <c r="I50" s="140">
        <f>SUMIFS('Plan rashoda za unos u SAP'!$I$3:$I$501,'Plan rashoda za unos u SAP'!$C$3:$C$501,"=43",'Plan rashoda za unos u SAP'!$M$3:$M$501,"=431")+SUMIFS('ANALITIKA EU PROJEKATA'!$G$3:$G$501,'ANALITIKA EU PROJEKATA'!$A$3:$A$501,"=43",'ANALITIKA EU PROJEKATA'!$P$3:$P$501,"=431")</f>
        <v>0</v>
      </c>
      <c r="J50" s="140">
        <f>SUMIFS('Plan rashoda za unos u SAP'!$I$3:$I$501,'Plan rashoda za unos u SAP'!$C$3:$C$501,"=51",'Plan rashoda za unos u SAP'!$M$3:$M$501,"=431")+SUMIFS('ANALITIKA EU PROJEKATA'!$G$3:$G$501,'ANALITIKA EU PROJEKATA'!$A$3:$A$501,"=51",'ANALITIKA EU PROJEKATA'!$P$3:$P$501,"=431")</f>
        <v>0</v>
      </c>
      <c r="K50" s="140">
        <f>SUMIFS('Plan rashoda za unos u SAP'!$I$3:$I$501,'Plan rashoda za unos u SAP'!$C$3:$C$501,"=52",'Plan rashoda za unos u SAP'!$M$3:$M$501,"=431")+SUMIFS('ANALITIKA EU PROJEKATA'!$G$3:$G$501,'ANALITIKA EU PROJEKATA'!$A$3:$A$501,"=52",'ANALITIKA EU PROJEKATA'!$P$3:$P$501,"=431")</f>
        <v>0</v>
      </c>
      <c r="L50" s="140">
        <f>SUMIFS('Plan rashoda za unos u SAP'!$I$3:$I$501,'Plan rashoda za unos u SAP'!$C$3:$C$501,"=552",'Plan rashoda za unos u SAP'!$M$3:$M$501,"=431")+SUMIFS('ANALITIKA EU PROJEKATA'!$G$3:$G$501,'ANALITIKA EU PROJEKATA'!$A$3:$A$501,"=552",'ANALITIKA EU PROJEKATA'!$P$3:$P$501,"=431")</f>
        <v>0</v>
      </c>
      <c r="M50" s="140">
        <f>SUMIFS('Plan rashoda za unos u SAP'!$I$3:$I$501,'Plan rashoda za unos u SAP'!$C$3:$C$501,"=559",'Plan rashoda za unos u SAP'!$M$3:$M$501,"=431")+SUMIFS('ANALITIKA EU PROJEKATA'!$G$3:$G$501,'ANALITIKA EU PROJEKATA'!$A$3:$A$501,"=559",'ANALITIKA EU PROJEKATA'!$P$3:$P$501,"=431")</f>
        <v>0</v>
      </c>
      <c r="N50" s="140">
        <f>SUMIFS('Plan rashoda za unos u SAP'!$I$3:$I$501,'Plan rashoda za unos u SAP'!$C$3:$C$501,"=561",'Plan rashoda za unos u SAP'!$M$3:$M$501,"=431")+SUMIFS('ANALITIKA EU PROJEKATA'!$G$3:$G$501,'ANALITIKA EU PROJEKATA'!$A$3:$A$501,"=561",'ANALITIKA EU PROJEKATA'!$P$3:$P$501,"=431")</f>
        <v>0</v>
      </c>
      <c r="O50" s="140">
        <f>SUMIFS('Plan rashoda za unos u SAP'!$I$3:$I$501,'Plan rashoda za unos u SAP'!$C$3:$C$501,"=563",'Plan rashoda za unos u SAP'!$M$3:$M$501,"=431")+SUMIFS('ANALITIKA EU PROJEKATA'!$G$3:$G$501,'ANALITIKA EU PROJEKATA'!$A$3:$A$501,"=563",'ANALITIKA EU PROJEKATA'!$P$3:$P$501,"=431")</f>
        <v>0</v>
      </c>
      <c r="P50" s="140">
        <f>SUMIFS('Plan rashoda za unos u SAP'!$I$3:$I$501,'Plan rashoda za unos u SAP'!$C$3:$C$501,"=573",'Plan rashoda za unos u SAP'!$M$3:$M$501,"=431")+SUMIFS('ANALITIKA EU PROJEKATA'!$G$3:$G$501,'ANALITIKA EU PROJEKATA'!$A$3:$A$501,"=573",'ANALITIKA EU PROJEKATA'!$P$3:$P$501,"=431")</f>
        <v>0</v>
      </c>
      <c r="Q50" s="140">
        <f>SUMIFS('Plan rashoda za unos u SAP'!$I$3:$I$501,'Plan rashoda za unos u SAP'!$C$3:$C$501,"=575",'Plan rashoda za unos u SAP'!$M$3:$M$501,"=431")+SUMIFS('ANALITIKA EU PROJEKATA'!$G$3:$G$501,'ANALITIKA EU PROJEKATA'!$A$3:$A$501,"=575",'ANALITIKA EU PROJEKATA'!$P$3:$P$501,"=431")</f>
        <v>0</v>
      </c>
      <c r="R50" s="140">
        <f>SUMIFS('Plan rashoda za unos u SAP'!$I$3:$I$501,'Plan rashoda za unos u SAP'!$C$3:$C$501,"=576",'Plan rashoda za unos u SAP'!$M$3:$M$501,"=431")+SUMIFS('ANALITIKA EU PROJEKATA'!$G$3:$G$501,'ANALITIKA EU PROJEKATA'!$A$3:$A$501,"=576",'ANALITIKA EU PROJEKATA'!$P$3:$P$501,"=431")</f>
        <v>0</v>
      </c>
      <c r="S50" s="140">
        <f>SUMIFS('Plan rashoda za unos u SAP'!$I$3:$I$501,'Plan rashoda za unos u SAP'!$C$3:$C$501,"=61",'Plan rashoda za unos u SAP'!$M$3:$M$501,"=431")+SUMIFS('ANALITIKA EU PROJEKATA'!$G$3:$G$501,'ANALITIKA EU PROJEKATA'!$A$3:$A$501,"=61",'ANALITIKA EU PROJEKATA'!$P$3:$P$501,"=431")</f>
        <v>0</v>
      </c>
      <c r="T50" s="140">
        <f>SUMIFS('Plan rashoda za unos u SAP'!$I$3:$I$501,'Plan rashoda za unos u SAP'!$C$3:$C$501,"=63",'Plan rashoda za unos u SAP'!$M$3:$M$501,"=431")+SUMIFS('ANALITIKA EU PROJEKATA'!$G$3:$G$501,'ANALITIKA EU PROJEKATA'!$A$3:$A$501,"=63",'ANALITIKA EU PROJEKATA'!$P$3:$P$501,"=431")</f>
        <v>0</v>
      </c>
      <c r="U50" s="140">
        <f>SUMIFS('Plan rashoda za unos u SAP'!$I$3:$I$501,'Plan rashoda za unos u SAP'!$C$3:$C$501,"=71",'Plan rashoda za unos u SAP'!$M$3:$M$501,"=431")+SUMIFS('ANALITIKA EU PROJEKATA'!$G$3:$G$501,'ANALITIKA EU PROJEKATA'!$A$3:$A$501,"=71",'ANALITIKA EU PROJEKATA'!$P$3:$P$501,"=431")</f>
        <v>0</v>
      </c>
      <c r="V50" s="140">
        <f>SUMIFS('Plan rashoda za unos u SAP'!$I$3:$I$501,'Plan rashoda za unos u SAP'!$C$3:$C$501,"=81",'Plan rashoda za unos u SAP'!$M$3:$M$501,"=431")+SUMIFS('ANALITIKA EU PROJEKATA'!$G$3:$G$501,'ANALITIKA EU PROJEKATA'!$A$3:$A$501,"=81",'ANALITIKA EU PROJEKATA'!$P$3:$P$501,"=431")</f>
        <v>0</v>
      </c>
      <c r="W50" s="140">
        <f>SUMIFS('Plan rashoda za unos u SAP'!$I$3:$I$501,'Plan rashoda za unos u SAP'!$C$3:$C$501,"=83",'Plan rashoda za unos u SAP'!$M$3:$M$501,"=431")+SUMIFS('ANALITIKA EU PROJEKATA'!$G$3:$G$501,'ANALITIKA EU PROJEKATA'!$A$3:$A$501,"=83",'ANALITIKA EU PROJEKATA'!$P$3:$P$501,"=431")</f>
        <v>0</v>
      </c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2"/>
      <c r="BR50" s="72"/>
      <c r="BS50" s="72"/>
      <c r="BT50" s="72"/>
      <c r="BU50" s="72"/>
      <c r="BV50" s="72"/>
      <c r="BW50" s="72"/>
      <c r="BX50" s="72"/>
      <c r="BY50" s="72"/>
      <c r="BZ50" s="72"/>
      <c r="CA50" s="72"/>
      <c r="CB50" s="72"/>
      <c r="CC50" s="72"/>
      <c r="CD50" s="72"/>
      <c r="CE50" s="72"/>
      <c r="CF50" s="72"/>
      <c r="CG50" s="72"/>
      <c r="CH50" s="72"/>
      <c r="CI50" s="72"/>
      <c r="CJ50" s="72"/>
      <c r="CK50" s="72"/>
      <c r="CL50" s="72"/>
      <c r="CM50" s="72"/>
      <c r="CN50" s="72"/>
      <c r="CO50" s="72"/>
      <c r="CP50" s="72"/>
      <c r="CQ50" s="72"/>
      <c r="CR50" s="72"/>
      <c r="CS50" s="72"/>
      <c r="CT50" s="72"/>
      <c r="CU50" s="72"/>
      <c r="CV50" s="72"/>
      <c r="CW50" s="72"/>
      <c r="CX50" s="72"/>
      <c r="CY50" s="72"/>
      <c r="CZ50" s="72"/>
      <c r="DA50" s="72"/>
      <c r="DB50" s="72"/>
      <c r="DC50" s="72"/>
      <c r="DD50" s="72"/>
      <c r="DE50" s="72"/>
      <c r="DF50" s="72"/>
      <c r="DG50" s="72"/>
      <c r="DH50" s="72"/>
      <c r="DI50" s="72"/>
      <c r="DJ50" s="72"/>
      <c r="DK50" s="72"/>
      <c r="DL50" s="72"/>
      <c r="DM50" s="72"/>
      <c r="DN50" s="72"/>
      <c r="DO50" s="72"/>
      <c r="DP50" s="72"/>
      <c r="DQ50" s="72"/>
      <c r="DR50" s="72"/>
      <c r="DS50" s="72"/>
      <c r="DT50" s="72"/>
      <c r="DU50" s="72"/>
      <c r="DV50" s="72"/>
      <c r="DW50" s="72"/>
      <c r="DX50" s="72"/>
      <c r="DY50" s="72"/>
      <c r="DZ50" s="72"/>
      <c r="EA50" s="72"/>
      <c r="EB50" s="72"/>
      <c r="EC50" s="72"/>
      <c r="ED50" s="72"/>
      <c r="EE50" s="72"/>
      <c r="EF50" s="72"/>
      <c r="EG50" s="72"/>
      <c r="EH50" s="72"/>
      <c r="EI50" s="72"/>
      <c r="EJ50" s="72"/>
      <c r="EK50" s="72"/>
      <c r="EL50" s="72"/>
      <c r="EM50" s="72"/>
      <c r="EN50" s="72"/>
      <c r="EO50" s="72"/>
      <c r="EP50" s="72"/>
      <c r="EQ50" s="72"/>
      <c r="ER50" s="72"/>
      <c r="ES50" s="72"/>
      <c r="ET50" s="72"/>
      <c r="EU50" s="72"/>
      <c r="EV50" s="72"/>
      <c r="EW50" s="72"/>
      <c r="EX50" s="72"/>
      <c r="EY50" s="72"/>
      <c r="EZ50" s="72"/>
      <c r="FA50" s="72"/>
      <c r="FB50" s="72"/>
      <c r="FC50" s="72"/>
      <c r="FD50" s="72"/>
      <c r="FE50" s="72"/>
      <c r="FF50" s="72"/>
      <c r="FG50" s="72"/>
      <c r="FH50" s="72"/>
      <c r="FI50" s="72"/>
      <c r="FJ50" s="72"/>
      <c r="FK50" s="72"/>
      <c r="FL50" s="72"/>
      <c r="FM50" s="72"/>
      <c r="FN50" s="72"/>
      <c r="FO50" s="72"/>
      <c r="FP50" s="72"/>
      <c r="FQ50" s="72"/>
      <c r="FR50" s="72"/>
      <c r="FS50" s="72"/>
      <c r="FT50" s="72"/>
      <c r="FU50" s="72"/>
      <c r="FV50" s="72"/>
      <c r="FW50" s="72"/>
      <c r="FX50" s="72"/>
      <c r="FY50" s="72"/>
      <c r="FZ50" s="72"/>
      <c r="GA50" s="72"/>
      <c r="GB50" s="72"/>
      <c r="GC50" s="72"/>
      <c r="GD50" s="72"/>
      <c r="GE50" s="72"/>
      <c r="GF50" s="72"/>
      <c r="GG50" s="72"/>
      <c r="GH50" s="72"/>
      <c r="GI50" s="72"/>
      <c r="GJ50" s="72"/>
      <c r="GK50" s="72"/>
      <c r="GL50" s="73"/>
      <c r="GM50" s="73"/>
      <c r="GN50" s="73"/>
      <c r="GO50" s="73"/>
      <c r="GP50" s="73"/>
      <c r="GQ50" s="73"/>
      <c r="GR50" s="73"/>
      <c r="GS50" s="73"/>
      <c r="GT50" s="73"/>
      <c r="GU50" s="73"/>
      <c r="GV50" s="73"/>
      <c r="GW50" s="73"/>
      <c r="GX50" s="73"/>
      <c r="GY50" s="73"/>
      <c r="GZ50" s="73"/>
      <c r="HA50" s="73"/>
      <c r="HB50" s="73"/>
      <c r="HC50" s="73"/>
      <c r="HD50" s="73"/>
      <c r="HE50" s="73"/>
      <c r="HF50" s="73"/>
      <c r="HG50" s="73"/>
      <c r="HH50" s="73"/>
      <c r="HI50" s="73"/>
      <c r="HJ50" s="73"/>
      <c r="HK50" s="73"/>
      <c r="HL50" s="73"/>
      <c r="HM50" s="73"/>
      <c r="HN50" s="73"/>
      <c r="HO50" s="73"/>
      <c r="HP50" s="73"/>
      <c r="HQ50" s="73"/>
      <c r="HR50" s="73"/>
      <c r="HS50" s="73"/>
      <c r="HT50" s="73"/>
      <c r="HU50" s="73"/>
      <c r="HV50" s="73"/>
      <c r="HW50" s="73"/>
      <c r="HX50" s="73"/>
      <c r="HY50" s="73"/>
      <c r="HZ50" s="73"/>
      <c r="IA50" s="73"/>
      <c r="IB50" s="73"/>
      <c r="IC50" s="73"/>
      <c r="ID50" s="73"/>
      <c r="IE50" s="73"/>
      <c r="IF50" s="73"/>
      <c r="IG50" s="73"/>
      <c r="IH50" s="73"/>
      <c r="II50" s="73"/>
      <c r="IJ50" s="73"/>
      <c r="IK50" s="73"/>
      <c r="IL50" s="73"/>
      <c r="IM50" s="73"/>
      <c r="IN50" s="73"/>
      <c r="IO50" s="73"/>
      <c r="IP50" s="73"/>
      <c r="IQ50" s="73"/>
      <c r="IR50" s="73"/>
      <c r="IS50" s="73"/>
      <c r="IT50" s="73"/>
      <c r="IU50" s="73"/>
      <c r="IV50" s="73"/>
      <c r="IW50" s="73"/>
      <c r="IX50" s="73"/>
      <c r="IY50" s="73"/>
      <c r="IZ50" s="73"/>
      <c r="JA50" s="73"/>
      <c r="JB50" s="73"/>
      <c r="JC50" s="73"/>
    </row>
    <row r="51" spans="1:263" s="13" customFormat="1" ht="12.6" customHeight="1">
      <c r="A51" s="22">
        <v>2021</v>
      </c>
      <c r="B51" s="10">
        <v>44</v>
      </c>
      <c r="C51" s="11" t="s">
        <v>345</v>
      </c>
      <c r="D51" s="4">
        <f t="shared" si="1"/>
        <v>0</v>
      </c>
      <c r="E51" s="12">
        <f t="shared" ref="E51:W51" si="14">SUM(E52)</f>
        <v>0</v>
      </c>
      <c r="F51" s="12">
        <f t="shared" si="14"/>
        <v>0</v>
      </c>
      <c r="G51" s="12">
        <f t="shared" si="14"/>
        <v>0</v>
      </c>
      <c r="H51" s="12">
        <f t="shared" si="14"/>
        <v>0</v>
      </c>
      <c r="I51" s="12">
        <f t="shared" si="14"/>
        <v>0</v>
      </c>
      <c r="J51" s="12">
        <f t="shared" si="14"/>
        <v>0</v>
      </c>
      <c r="K51" s="12">
        <f t="shared" si="14"/>
        <v>0</v>
      </c>
      <c r="L51" s="12">
        <f t="shared" si="14"/>
        <v>0</v>
      </c>
      <c r="M51" s="12">
        <f t="shared" si="14"/>
        <v>0</v>
      </c>
      <c r="N51" s="12">
        <f t="shared" si="14"/>
        <v>0</v>
      </c>
      <c r="O51" s="12">
        <f t="shared" si="14"/>
        <v>0</v>
      </c>
      <c r="P51" s="12">
        <f t="shared" si="14"/>
        <v>0</v>
      </c>
      <c r="Q51" s="12">
        <f t="shared" si="14"/>
        <v>0</v>
      </c>
      <c r="R51" s="12">
        <f t="shared" si="14"/>
        <v>0</v>
      </c>
      <c r="S51" s="12">
        <f t="shared" si="14"/>
        <v>0</v>
      </c>
      <c r="T51" s="12">
        <f t="shared" si="14"/>
        <v>0</v>
      </c>
      <c r="U51" s="12">
        <f t="shared" si="14"/>
        <v>0</v>
      </c>
      <c r="V51" s="12">
        <f t="shared" si="14"/>
        <v>0</v>
      </c>
      <c r="W51" s="12">
        <f t="shared" si="14"/>
        <v>0</v>
      </c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79"/>
      <c r="AZ51" s="79"/>
      <c r="BA51" s="79"/>
      <c r="BB51" s="79"/>
      <c r="BC51" s="79"/>
      <c r="BD51" s="79"/>
      <c r="BE51" s="79"/>
      <c r="BF51" s="79"/>
      <c r="BG51" s="79"/>
      <c r="BH51" s="79"/>
      <c r="BI51" s="79"/>
      <c r="BJ51" s="79"/>
      <c r="BK51" s="79"/>
      <c r="BL51" s="79"/>
      <c r="BM51" s="79"/>
      <c r="BN51" s="79"/>
      <c r="BO51" s="79"/>
      <c r="BP51" s="79"/>
      <c r="BQ51" s="79"/>
      <c r="BR51" s="79"/>
      <c r="BS51" s="79"/>
      <c r="BT51" s="79"/>
      <c r="BU51" s="79"/>
      <c r="BV51" s="79"/>
      <c r="BW51" s="79"/>
      <c r="BX51" s="79"/>
      <c r="BY51" s="79"/>
      <c r="BZ51" s="79"/>
      <c r="CA51" s="79"/>
      <c r="CB51" s="79"/>
      <c r="CC51" s="79"/>
      <c r="CD51" s="79"/>
      <c r="CE51" s="79"/>
      <c r="CF51" s="79"/>
      <c r="CG51" s="79"/>
      <c r="CH51" s="79"/>
      <c r="CI51" s="79"/>
      <c r="CJ51" s="79"/>
      <c r="CK51" s="79"/>
      <c r="CL51" s="79"/>
      <c r="CM51" s="79"/>
      <c r="CN51" s="79"/>
      <c r="CO51" s="79"/>
      <c r="CP51" s="79"/>
      <c r="CQ51" s="79"/>
      <c r="CR51" s="79"/>
      <c r="CS51" s="79"/>
      <c r="CT51" s="79"/>
      <c r="CU51" s="79"/>
      <c r="CV51" s="79"/>
      <c r="CW51" s="79"/>
      <c r="CX51" s="79"/>
      <c r="CY51" s="79"/>
      <c r="CZ51" s="79"/>
      <c r="DA51" s="79"/>
      <c r="DB51" s="79"/>
      <c r="DC51" s="79"/>
      <c r="DD51" s="79"/>
      <c r="DE51" s="79"/>
      <c r="DF51" s="79"/>
      <c r="DG51" s="79"/>
      <c r="DH51" s="79"/>
      <c r="DI51" s="79"/>
      <c r="DJ51" s="79"/>
      <c r="DK51" s="79"/>
      <c r="DL51" s="79"/>
      <c r="DM51" s="79"/>
      <c r="DN51" s="79"/>
      <c r="DO51" s="79"/>
      <c r="DP51" s="79"/>
      <c r="DQ51" s="79"/>
      <c r="DR51" s="79"/>
      <c r="DS51" s="79"/>
      <c r="DT51" s="79"/>
      <c r="DU51" s="79"/>
      <c r="DV51" s="79"/>
      <c r="DW51" s="79"/>
      <c r="DX51" s="79"/>
      <c r="DY51" s="79"/>
      <c r="DZ51" s="79"/>
      <c r="EA51" s="79"/>
      <c r="EB51" s="79"/>
      <c r="EC51" s="79"/>
      <c r="ED51" s="79"/>
      <c r="EE51" s="79"/>
      <c r="EF51" s="79"/>
      <c r="EG51" s="79"/>
      <c r="EH51" s="79"/>
      <c r="EI51" s="79"/>
      <c r="EJ51" s="79"/>
      <c r="EK51" s="79"/>
      <c r="EL51" s="79"/>
      <c r="EM51" s="79"/>
      <c r="EN51" s="79"/>
      <c r="EO51" s="79"/>
      <c r="EP51" s="79"/>
      <c r="EQ51" s="79"/>
      <c r="ER51" s="79"/>
      <c r="ES51" s="79"/>
      <c r="ET51" s="79"/>
      <c r="EU51" s="79"/>
      <c r="EV51" s="79"/>
      <c r="EW51" s="79"/>
      <c r="EX51" s="79"/>
      <c r="EY51" s="79"/>
      <c r="EZ51" s="79"/>
      <c r="FA51" s="79"/>
      <c r="FB51" s="79"/>
      <c r="FC51" s="79"/>
      <c r="FD51" s="79"/>
      <c r="FE51" s="79"/>
      <c r="FF51" s="79"/>
      <c r="FG51" s="79"/>
      <c r="FH51" s="79"/>
      <c r="FI51" s="79"/>
      <c r="FJ51" s="79"/>
      <c r="FK51" s="79"/>
      <c r="FL51" s="79"/>
      <c r="FM51" s="79"/>
      <c r="FN51" s="79"/>
      <c r="FO51" s="79"/>
      <c r="FP51" s="79"/>
      <c r="FQ51" s="79"/>
      <c r="FR51" s="79"/>
      <c r="FS51" s="79"/>
      <c r="FT51" s="79"/>
      <c r="FU51" s="79"/>
      <c r="FV51" s="79"/>
      <c r="FW51" s="79"/>
      <c r="FX51" s="79"/>
      <c r="FY51" s="79"/>
      <c r="FZ51" s="79"/>
      <c r="GA51" s="79"/>
      <c r="GB51" s="79"/>
      <c r="GC51" s="79"/>
      <c r="GD51" s="79"/>
      <c r="GE51" s="79"/>
      <c r="GF51" s="79"/>
      <c r="GG51" s="79"/>
      <c r="GH51" s="79"/>
      <c r="GI51" s="79"/>
      <c r="GJ51" s="79"/>
      <c r="GK51" s="79"/>
      <c r="GL51" s="80"/>
      <c r="GM51" s="80"/>
      <c r="GN51" s="80"/>
      <c r="GO51" s="80"/>
      <c r="GP51" s="80"/>
      <c r="GQ51" s="80"/>
      <c r="GR51" s="80"/>
      <c r="GS51" s="80"/>
      <c r="GT51" s="80"/>
      <c r="GU51" s="80"/>
      <c r="GV51" s="80"/>
      <c r="GW51" s="80"/>
      <c r="GX51" s="80"/>
      <c r="GY51" s="80"/>
      <c r="GZ51" s="80"/>
      <c r="HA51" s="80"/>
      <c r="HB51" s="80"/>
      <c r="HC51" s="80"/>
      <c r="HD51" s="80"/>
      <c r="HE51" s="80"/>
      <c r="HF51" s="80"/>
      <c r="HG51" s="80"/>
      <c r="HH51" s="80"/>
      <c r="HI51" s="80"/>
      <c r="HJ51" s="80"/>
      <c r="HK51" s="80"/>
      <c r="HL51" s="80"/>
      <c r="HM51" s="80"/>
      <c r="HN51" s="80"/>
      <c r="HO51" s="80"/>
      <c r="HP51" s="80"/>
      <c r="HQ51" s="80"/>
      <c r="HR51" s="80"/>
      <c r="HS51" s="80"/>
      <c r="HT51" s="80"/>
      <c r="HU51" s="80"/>
      <c r="HV51" s="80"/>
      <c r="HW51" s="80"/>
      <c r="HX51" s="80"/>
      <c r="HY51" s="80"/>
      <c r="HZ51" s="80"/>
      <c r="IA51" s="80"/>
      <c r="IB51" s="80"/>
      <c r="IC51" s="80"/>
      <c r="ID51" s="80"/>
      <c r="IE51" s="80"/>
      <c r="IF51" s="80"/>
      <c r="IG51" s="80"/>
      <c r="IH51" s="80"/>
      <c r="II51" s="80"/>
      <c r="IJ51" s="80"/>
      <c r="IK51" s="80"/>
      <c r="IL51" s="80"/>
      <c r="IM51" s="80"/>
      <c r="IN51" s="80"/>
      <c r="IO51" s="80"/>
      <c r="IP51" s="80"/>
      <c r="IQ51" s="80"/>
      <c r="IR51" s="80"/>
      <c r="IS51" s="80"/>
      <c r="IT51" s="80"/>
      <c r="IU51" s="80"/>
      <c r="IV51" s="80"/>
      <c r="IW51" s="80"/>
      <c r="IX51" s="80"/>
      <c r="IY51" s="80"/>
      <c r="IZ51" s="80"/>
      <c r="JA51" s="80"/>
      <c r="JB51" s="80"/>
      <c r="JC51" s="80"/>
    </row>
    <row r="52" spans="1:263" s="13" customFormat="1" ht="12.6" customHeight="1">
      <c r="A52" s="22">
        <v>2021</v>
      </c>
      <c r="B52" s="83">
        <v>441</v>
      </c>
      <c r="C52" s="87" t="s">
        <v>346</v>
      </c>
      <c r="D52" s="14">
        <f t="shared" si="1"/>
        <v>0</v>
      </c>
      <c r="E52" s="140">
        <f>SUMIFS('Plan rashoda za unos u SAP'!$I$3:$I$501,'Plan rashoda za unos u SAP'!$C$3:$C$501,"=11",'Plan rashoda za unos u SAP'!$M$3:$M$501,"=441")+SUMIFS('ANALITIKA EU PROJEKATA'!$G$3:$G$501,'ANALITIKA EU PROJEKATA'!$A$3:$A$501,"=11",'ANALITIKA EU PROJEKATA'!$P$3:$P$501,"=441")</f>
        <v>0</v>
      </c>
      <c r="F52" s="140">
        <f>SUMIFS('Plan rashoda za unos u SAP'!$I$3:$I$501,'Plan rashoda za unos u SAP'!$C$3:$C$501,"=12",'Plan rashoda za unos u SAP'!$M$3:$M$501,"=441")+SUMIFS('ANALITIKA EU PROJEKATA'!$G$3:$G$501,'ANALITIKA EU PROJEKATA'!$A$3:$A$501,"=12",'ANALITIKA EU PROJEKATA'!$P$3:$P$501,"=441")</f>
        <v>0</v>
      </c>
      <c r="G52" s="140">
        <f>SUMIFS('Plan rashoda za unos u SAP'!$I$3:$I$501,'Plan rashoda za unos u SAP'!$C$3:$C$501,"=31",'Plan rashoda za unos u SAP'!$M$3:$M$501,"=441")+SUMIFS('ANALITIKA EU PROJEKATA'!$G$3:$G$501,'ANALITIKA EU PROJEKATA'!$A$3:$A$501,"=31",'ANALITIKA EU PROJEKATA'!$P$3:$P$501,"=441")</f>
        <v>0</v>
      </c>
      <c r="H52" s="140">
        <f>SUMIFS('Plan rashoda za unos u SAP'!$I$3:$I$501,'Plan rashoda za unos u SAP'!$C$3:$C$501,"=41",'Plan rashoda za unos u SAP'!$M$3:$M$501,"=441")+SUMIFS('ANALITIKA EU PROJEKATA'!$G$3:$G$501,'ANALITIKA EU PROJEKATA'!$A$3:$A$501,"=41",'ANALITIKA EU PROJEKATA'!$P$3:$P$501,"=441")</f>
        <v>0</v>
      </c>
      <c r="I52" s="140">
        <f>SUMIFS('Plan rashoda za unos u SAP'!$I$3:$I$501,'Plan rashoda za unos u SAP'!$C$3:$C$501,"=43",'Plan rashoda za unos u SAP'!$M$3:$M$501,"=441")+SUMIFS('ANALITIKA EU PROJEKATA'!$G$3:$G$501,'ANALITIKA EU PROJEKATA'!$A$3:$A$501,"=43",'ANALITIKA EU PROJEKATA'!$P$3:$P$501,"=441")</f>
        <v>0</v>
      </c>
      <c r="J52" s="140">
        <f>SUMIFS('Plan rashoda za unos u SAP'!$I$3:$I$501,'Plan rashoda za unos u SAP'!$C$3:$C$501,"=51",'Plan rashoda za unos u SAP'!$M$3:$M$501,"=441")+SUMIFS('ANALITIKA EU PROJEKATA'!$G$3:$G$501,'ANALITIKA EU PROJEKATA'!$A$3:$A$501,"=51",'ANALITIKA EU PROJEKATA'!$P$3:$P$501,"=441")</f>
        <v>0</v>
      </c>
      <c r="K52" s="140">
        <f>SUMIFS('Plan rashoda za unos u SAP'!$I$3:$I$501,'Plan rashoda za unos u SAP'!$C$3:$C$501,"=52",'Plan rashoda za unos u SAP'!$M$3:$M$501,"=441")+SUMIFS('ANALITIKA EU PROJEKATA'!$G$3:$G$501,'ANALITIKA EU PROJEKATA'!$A$3:$A$501,"=52",'ANALITIKA EU PROJEKATA'!$P$3:$P$501,"=441")</f>
        <v>0</v>
      </c>
      <c r="L52" s="140">
        <f>SUMIFS('Plan rashoda za unos u SAP'!$I$3:$I$501,'Plan rashoda za unos u SAP'!$C$3:$C$501,"=552",'Plan rashoda za unos u SAP'!$M$3:$M$501,"=441")+SUMIFS('ANALITIKA EU PROJEKATA'!$G$3:$G$501,'ANALITIKA EU PROJEKATA'!$A$3:$A$501,"=552",'ANALITIKA EU PROJEKATA'!$P$3:$P$501,"=441")</f>
        <v>0</v>
      </c>
      <c r="M52" s="140">
        <f>SUMIFS('Plan rashoda za unos u SAP'!$I$3:$I$501,'Plan rashoda za unos u SAP'!$C$3:$C$501,"=559",'Plan rashoda za unos u SAP'!$M$3:$M$501,"=441")+SUMIFS('ANALITIKA EU PROJEKATA'!$G$3:$G$501,'ANALITIKA EU PROJEKATA'!$A$3:$A$501,"=559",'ANALITIKA EU PROJEKATA'!$P$3:$P$501,"=441")</f>
        <v>0</v>
      </c>
      <c r="N52" s="140">
        <f>SUMIFS('Plan rashoda za unos u SAP'!$I$3:$I$501,'Plan rashoda za unos u SAP'!$C$3:$C$501,"=561",'Plan rashoda za unos u SAP'!$M$3:$M$501,"=441")+SUMIFS('ANALITIKA EU PROJEKATA'!$G$3:$G$501,'ANALITIKA EU PROJEKATA'!$A$3:$A$501,"=561",'ANALITIKA EU PROJEKATA'!$P$3:$P$501,"=441")</f>
        <v>0</v>
      </c>
      <c r="O52" s="140">
        <f>SUMIFS('Plan rashoda za unos u SAP'!$I$3:$I$501,'Plan rashoda za unos u SAP'!$C$3:$C$501,"=563",'Plan rashoda za unos u SAP'!$M$3:$M$501,"=441")+SUMIFS('ANALITIKA EU PROJEKATA'!$G$3:$G$501,'ANALITIKA EU PROJEKATA'!$A$3:$A$501,"=563",'ANALITIKA EU PROJEKATA'!$P$3:$P$501,"=441")</f>
        <v>0</v>
      </c>
      <c r="P52" s="140">
        <f>SUMIFS('Plan rashoda za unos u SAP'!$I$3:$I$501,'Plan rashoda za unos u SAP'!$C$3:$C$501,"=573",'Plan rashoda za unos u SAP'!$M$3:$M$501,"=441")+SUMIFS('ANALITIKA EU PROJEKATA'!$G$3:$G$501,'ANALITIKA EU PROJEKATA'!$A$3:$A$501,"=573",'ANALITIKA EU PROJEKATA'!$P$3:$P$501,"=441")</f>
        <v>0</v>
      </c>
      <c r="Q52" s="140">
        <f>SUMIFS('Plan rashoda za unos u SAP'!$I$3:$I$501,'Plan rashoda za unos u SAP'!$C$3:$C$501,"=575",'Plan rashoda za unos u SAP'!$M$3:$M$501,"=441")+SUMIFS('ANALITIKA EU PROJEKATA'!$G$3:$G$501,'ANALITIKA EU PROJEKATA'!$A$3:$A$501,"=575",'ANALITIKA EU PROJEKATA'!$P$3:$P$501,"=441")</f>
        <v>0</v>
      </c>
      <c r="R52" s="140">
        <f>SUMIFS('Plan rashoda za unos u SAP'!$I$3:$I$501,'Plan rashoda za unos u SAP'!$C$3:$C$501,"=576",'Plan rashoda za unos u SAP'!$M$3:$M$501,"=441")+SUMIFS('ANALITIKA EU PROJEKATA'!$G$3:$G$501,'ANALITIKA EU PROJEKATA'!$A$3:$A$501,"=576",'ANALITIKA EU PROJEKATA'!$P$3:$P$501,"=441")</f>
        <v>0</v>
      </c>
      <c r="S52" s="140">
        <f>SUMIFS('Plan rashoda za unos u SAP'!$I$3:$I$501,'Plan rashoda za unos u SAP'!$C$3:$C$501,"=61",'Plan rashoda za unos u SAP'!$M$3:$M$501,"=441")+SUMIFS('ANALITIKA EU PROJEKATA'!$G$3:$G$501,'ANALITIKA EU PROJEKATA'!$A$3:$A$501,"=61",'ANALITIKA EU PROJEKATA'!$P$3:$P$501,"=441")</f>
        <v>0</v>
      </c>
      <c r="T52" s="140">
        <f>SUMIFS('Plan rashoda za unos u SAP'!$I$3:$I$501,'Plan rashoda za unos u SAP'!$C$3:$C$501,"=63",'Plan rashoda za unos u SAP'!$M$3:$M$501,"=441")+SUMIFS('ANALITIKA EU PROJEKATA'!$G$3:$G$501,'ANALITIKA EU PROJEKATA'!$A$3:$A$501,"=63",'ANALITIKA EU PROJEKATA'!$P$3:$P$501,"=441")</f>
        <v>0</v>
      </c>
      <c r="U52" s="140">
        <f>SUMIFS('Plan rashoda za unos u SAP'!$I$3:$I$501,'Plan rashoda za unos u SAP'!$C$3:$C$501,"=71",'Plan rashoda za unos u SAP'!$M$3:$M$501,"=441")+SUMIFS('ANALITIKA EU PROJEKATA'!$G$3:$G$501,'ANALITIKA EU PROJEKATA'!$A$3:$A$501,"=71",'ANALITIKA EU PROJEKATA'!$P$3:$P$501,"=441")</f>
        <v>0</v>
      </c>
      <c r="V52" s="140">
        <f>SUMIFS('Plan rashoda za unos u SAP'!$I$3:$I$501,'Plan rashoda za unos u SAP'!$C$3:$C$501,"=81",'Plan rashoda za unos u SAP'!$M$3:$M$501,"=441")+SUMIFS('ANALITIKA EU PROJEKATA'!$G$3:$G$501,'ANALITIKA EU PROJEKATA'!$A$3:$A$501,"=81",'ANALITIKA EU PROJEKATA'!$P$3:$P$501,"=441")</f>
        <v>0</v>
      </c>
      <c r="W52" s="140">
        <f>SUMIFS('Plan rashoda za unos u SAP'!$I$3:$I$501,'Plan rashoda za unos u SAP'!$C$3:$C$501,"=83",'Plan rashoda za unos u SAP'!$M$3:$M$501,"=441")+SUMIFS('ANALITIKA EU PROJEKATA'!$G$3:$G$501,'ANALITIKA EU PROJEKATA'!$A$3:$A$501,"=83",'ANALITIKA EU PROJEKATA'!$P$3:$P$501,"=441")</f>
        <v>0</v>
      </c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  <c r="EF52" s="72"/>
      <c r="EG52" s="72"/>
      <c r="EH52" s="72"/>
      <c r="EI52" s="72"/>
      <c r="EJ52" s="72"/>
      <c r="EK52" s="72"/>
      <c r="EL52" s="72"/>
      <c r="EM52" s="72"/>
      <c r="EN52" s="72"/>
      <c r="EO52" s="72"/>
      <c r="EP52" s="72"/>
      <c r="EQ52" s="72"/>
      <c r="ER52" s="72"/>
      <c r="ES52" s="72"/>
      <c r="ET52" s="72"/>
      <c r="EU52" s="72"/>
      <c r="EV52" s="72"/>
      <c r="EW52" s="72"/>
      <c r="EX52" s="72"/>
      <c r="EY52" s="72"/>
      <c r="EZ52" s="72"/>
      <c r="FA52" s="72"/>
      <c r="FB52" s="72"/>
      <c r="FC52" s="72"/>
      <c r="FD52" s="72"/>
      <c r="FE52" s="72"/>
      <c r="FF52" s="72"/>
      <c r="FG52" s="72"/>
      <c r="FH52" s="72"/>
      <c r="FI52" s="72"/>
      <c r="FJ52" s="72"/>
      <c r="FK52" s="72"/>
      <c r="FL52" s="72"/>
      <c r="FM52" s="72"/>
      <c r="FN52" s="72"/>
      <c r="FO52" s="72"/>
      <c r="FP52" s="72"/>
      <c r="FQ52" s="72"/>
      <c r="FR52" s="72"/>
      <c r="FS52" s="72"/>
      <c r="FT52" s="72"/>
      <c r="FU52" s="72"/>
      <c r="FV52" s="72"/>
      <c r="FW52" s="72"/>
      <c r="FX52" s="72"/>
      <c r="FY52" s="72"/>
      <c r="FZ52" s="72"/>
      <c r="GA52" s="72"/>
      <c r="GB52" s="72"/>
      <c r="GC52" s="72"/>
      <c r="GD52" s="72"/>
      <c r="GE52" s="72"/>
      <c r="GF52" s="72"/>
      <c r="GG52" s="72"/>
      <c r="GH52" s="72"/>
      <c r="GI52" s="72"/>
      <c r="GJ52" s="72"/>
      <c r="GK52" s="72"/>
      <c r="GL52" s="73"/>
      <c r="GM52" s="73"/>
      <c r="GN52" s="73"/>
      <c r="GO52" s="73"/>
      <c r="GP52" s="73"/>
      <c r="GQ52" s="73"/>
      <c r="GR52" s="73"/>
      <c r="GS52" s="73"/>
      <c r="GT52" s="73"/>
      <c r="GU52" s="73"/>
      <c r="GV52" s="73"/>
      <c r="GW52" s="73"/>
      <c r="GX52" s="73"/>
      <c r="GY52" s="73"/>
      <c r="GZ52" s="73"/>
      <c r="HA52" s="73"/>
      <c r="HB52" s="73"/>
      <c r="HC52" s="73"/>
      <c r="HD52" s="73"/>
      <c r="HE52" s="73"/>
      <c r="HF52" s="73"/>
      <c r="HG52" s="73"/>
      <c r="HH52" s="73"/>
      <c r="HI52" s="73"/>
      <c r="HJ52" s="73"/>
      <c r="HK52" s="73"/>
      <c r="HL52" s="73"/>
      <c r="HM52" s="73"/>
      <c r="HN52" s="73"/>
      <c r="HO52" s="73"/>
      <c r="HP52" s="73"/>
      <c r="HQ52" s="73"/>
      <c r="HR52" s="73"/>
      <c r="HS52" s="73"/>
      <c r="HT52" s="73"/>
      <c r="HU52" s="73"/>
      <c r="HV52" s="73"/>
      <c r="HW52" s="73"/>
      <c r="HX52" s="73"/>
      <c r="HY52" s="73"/>
      <c r="HZ52" s="73"/>
      <c r="IA52" s="73"/>
      <c r="IB52" s="73"/>
      <c r="IC52" s="73"/>
      <c r="ID52" s="73"/>
      <c r="IE52" s="73"/>
      <c r="IF52" s="73"/>
      <c r="IG52" s="73"/>
      <c r="IH52" s="73"/>
      <c r="II52" s="73"/>
      <c r="IJ52" s="73"/>
      <c r="IK52" s="73"/>
      <c r="IL52" s="73"/>
      <c r="IM52" s="73"/>
      <c r="IN52" s="73"/>
      <c r="IO52" s="73"/>
      <c r="IP52" s="73"/>
      <c r="IQ52" s="73"/>
      <c r="IR52" s="73"/>
      <c r="IS52" s="73"/>
      <c r="IT52" s="73"/>
      <c r="IU52" s="73"/>
      <c r="IV52" s="73"/>
      <c r="IW52" s="73"/>
      <c r="IX52" s="73"/>
      <c r="IY52" s="73"/>
      <c r="IZ52" s="73"/>
      <c r="JA52" s="73"/>
      <c r="JB52" s="73"/>
      <c r="JC52" s="73"/>
    </row>
    <row r="53" spans="1:263" s="20" customFormat="1" ht="12.6" customHeight="1">
      <c r="A53" s="22">
        <v>2021</v>
      </c>
      <c r="B53" s="84">
        <v>45</v>
      </c>
      <c r="C53" s="15" t="s">
        <v>222</v>
      </c>
      <c r="D53" s="4">
        <f t="shared" si="1"/>
        <v>0</v>
      </c>
      <c r="E53" s="4">
        <f t="shared" ref="E53:W53" si="15">SUM(E54:E57)</f>
        <v>0</v>
      </c>
      <c r="F53" s="4">
        <f t="shared" si="15"/>
        <v>0</v>
      </c>
      <c r="G53" s="4">
        <f t="shared" si="15"/>
        <v>0</v>
      </c>
      <c r="H53" s="4">
        <f>SUM(H54:H57)</f>
        <v>0</v>
      </c>
      <c r="I53" s="4">
        <f t="shared" si="15"/>
        <v>0</v>
      </c>
      <c r="J53" s="4">
        <f t="shared" si="15"/>
        <v>0</v>
      </c>
      <c r="K53" s="4">
        <f t="shared" si="15"/>
        <v>0</v>
      </c>
      <c r="L53" s="4">
        <f>SUM(L54:L57)</f>
        <v>0</v>
      </c>
      <c r="M53" s="4">
        <f t="shared" si="15"/>
        <v>0</v>
      </c>
      <c r="N53" s="4">
        <f t="shared" si="15"/>
        <v>0</v>
      </c>
      <c r="O53" s="4">
        <f t="shared" si="15"/>
        <v>0</v>
      </c>
      <c r="P53" s="4">
        <f>SUM(P54:P57)</f>
        <v>0</v>
      </c>
      <c r="Q53" s="4">
        <f>SUM(Q54:Q57)</f>
        <v>0</v>
      </c>
      <c r="R53" s="4">
        <f>SUM(R54:R57)</f>
        <v>0</v>
      </c>
      <c r="S53" s="4">
        <f t="shared" si="15"/>
        <v>0</v>
      </c>
      <c r="T53" s="4">
        <f t="shared" si="15"/>
        <v>0</v>
      </c>
      <c r="U53" s="4">
        <f t="shared" si="15"/>
        <v>0</v>
      </c>
      <c r="V53" s="4">
        <f t="shared" si="15"/>
        <v>0</v>
      </c>
      <c r="W53" s="4">
        <f t="shared" si="15"/>
        <v>0</v>
      </c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85"/>
      <c r="BA53" s="85"/>
      <c r="BB53" s="85"/>
      <c r="BC53" s="85"/>
      <c r="BD53" s="85"/>
      <c r="BE53" s="85"/>
      <c r="BF53" s="85"/>
      <c r="BG53" s="85"/>
      <c r="BH53" s="85"/>
      <c r="BI53" s="85"/>
      <c r="BJ53" s="85"/>
      <c r="BK53" s="85"/>
      <c r="BL53" s="85"/>
      <c r="BM53" s="85"/>
      <c r="BN53" s="85"/>
      <c r="BO53" s="85"/>
      <c r="BP53" s="85"/>
      <c r="BQ53" s="85"/>
      <c r="BR53" s="85"/>
      <c r="BS53" s="85"/>
      <c r="BT53" s="85"/>
      <c r="BU53" s="85"/>
      <c r="BV53" s="85"/>
      <c r="BW53" s="85"/>
      <c r="BX53" s="85"/>
      <c r="BY53" s="85"/>
      <c r="BZ53" s="85"/>
      <c r="CA53" s="85"/>
      <c r="CB53" s="85"/>
      <c r="CC53" s="85"/>
      <c r="CD53" s="85"/>
      <c r="CE53" s="85"/>
      <c r="CF53" s="85"/>
      <c r="CG53" s="85"/>
      <c r="CH53" s="85"/>
      <c r="CI53" s="85"/>
      <c r="CJ53" s="85"/>
      <c r="CK53" s="85"/>
      <c r="CL53" s="85"/>
      <c r="CM53" s="85"/>
      <c r="CN53" s="85"/>
      <c r="CO53" s="85"/>
      <c r="CP53" s="85"/>
      <c r="CQ53" s="85"/>
      <c r="CR53" s="85"/>
      <c r="CS53" s="85"/>
      <c r="CT53" s="85"/>
      <c r="CU53" s="85"/>
      <c r="CV53" s="85"/>
      <c r="CW53" s="85"/>
      <c r="CX53" s="85"/>
      <c r="CY53" s="85"/>
      <c r="CZ53" s="85"/>
      <c r="DA53" s="85"/>
      <c r="DB53" s="85"/>
      <c r="DC53" s="85"/>
      <c r="DD53" s="85"/>
      <c r="DE53" s="85"/>
      <c r="DF53" s="85"/>
      <c r="DG53" s="85"/>
      <c r="DH53" s="85"/>
      <c r="DI53" s="85"/>
      <c r="DJ53" s="85"/>
      <c r="DK53" s="85"/>
      <c r="DL53" s="85"/>
      <c r="DM53" s="85"/>
      <c r="DN53" s="85"/>
      <c r="DO53" s="85"/>
      <c r="DP53" s="85"/>
      <c r="DQ53" s="85"/>
      <c r="DR53" s="85"/>
      <c r="DS53" s="85"/>
      <c r="DT53" s="85"/>
      <c r="DU53" s="85"/>
      <c r="DV53" s="85"/>
      <c r="DW53" s="85"/>
      <c r="DX53" s="85"/>
      <c r="DY53" s="85"/>
      <c r="DZ53" s="85"/>
      <c r="EA53" s="85"/>
      <c r="EB53" s="85"/>
      <c r="EC53" s="85"/>
      <c r="ED53" s="85"/>
      <c r="EE53" s="85"/>
      <c r="EF53" s="85"/>
      <c r="EG53" s="85"/>
      <c r="EH53" s="85"/>
      <c r="EI53" s="85"/>
      <c r="EJ53" s="85"/>
      <c r="EK53" s="85"/>
      <c r="EL53" s="85"/>
      <c r="EM53" s="85"/>
      <c r="EN53" s="85"/>
      <c r="EO53" s="85"/>
      <c r="EP53" s="85"/>
      <c r="EQ53" s="85"/>
      <c r="ER53" s="85"/>
      <c r="ES53" s="85"/>
      <c r="ET53" s="85"/>
      <c r="EU53" s="85"/>
      <c r="EV53" s="85"/>
      <c r="EW53" s="85"/>
      <c r="EX53" s="85"/>
      <c r="EY53" s="85"/>
      <c r="EZ53" s="85"/>
      <c r="FA53" s="85"/>
      <c r="FB53" s="85"/>
      <c r="FC53" s="85"/>
      <c r="FD53" s="85"/>
      <c r="FE53" s="85"/>
      <c r="FF53" s="85"/>
      <c r="FG53" s="85"/>
      <c r="FH53" s="85"/>
      <c r="FI53" s="85"/>
      <c r="FJ53" s="85"/>
      <c r="FK53" s="85"/>
      <c r="FL53" s="85"/>
      <c r="FM53" s="85"/>
      <c r="FN53" s="85"/>
      <c r="FO53" s="85"/>
      <c r="FP53" s="85"/>
      <c r="FQ53" s="85"/>
      <c r="FR53" s="85"/>
      <c r="FS53" s="85"/>
      <c r="FT53" s="85"/>
      <c r="FU53" s="85"/>
      <c r="FV53" s="85"/>
      <c r="FW53" s="85"/>
      <c r="FX53" s="85"/>
      <c r="FY53" s="85"/>
      <c r="FZ53" s="85"/>
      <c r="GA53" s="85"/>
      <c r="GB53" s="85"/>
      <c r="GC53" s="85"/>
      <c r="GD53" s="85"/>
      <c r="GE53" s="85"/>
      <c r="GF53" s="85"/>
      <c r="GG53" s="85"/>
      <c r="GH53" s="85"/>
      <c r="GI53" s="85"/>
      <c r="GJ53" s="85"/>
      <c r="GK53" s="85"/>
      <c r="GL53" s="86"/>
      <c r="GM53" s="86"/>
      <c r="GN53" s="86"/>
      <c r="GO53" s="86"/>
      <c r="GP53" s="86"/>
      <c r="GQ53" s="86"/>
      <c r="GR53" s="86"/>
      <c r="GS53" s="86"/>
      <c r="GT53" s="86"/>
      <c r="GU53" s="86"/>
      <c r="GV53" s="86"/>
      <c r="GW53" s="86"/>
      <c r="GX53" s="86"/>
      <c r="GY53" s="86"/>
      <c r="GZ53" s="86"/>
      <c r="HA53" s="86"/>
      <c r="HB53" s="86"/>
      <c r="HC53" s="86"/>
      <c r="HD53" s="86"/>
      <c r="HE53" s="86"/>
      <c r="HF53" s="86"/>
      <c r="HG53" s="86"/>
      <c r="HH53" s="86"/>
      <c r="HI53" s="86"/>
      <c r="HJ53" s="86"/>
      <c r="HK53" s="86"/>
      <c r="HL53" s="86"/>
      <c r="HM53" s="86"/>
      <c r="HN53" s="86"/>
      <c r="HO53" s="86"/>
      <c r="HP53" s="86"/>
      <c r="HQ53" s="86"/>
      <c r="HR53" s="86"/>
      <c r="HS53" s="86"/>
      <c r="HT53" s="86"/>
      <c r="HU53" s="86"/>
      <c r="HV53" s="86"/>
      <c r="HW53" s="86"/>
      <c r="HX53" s="86"/>
      <c r="HY53" s="86"/>
      <c r="HZ53" s="86"/>
      <c r="IA53" s="86"/>
      <c r="IB53" s="86"/>
      <c r="IC53" s="86"/>
      <c r="ID53" s="86"/>
      <c r="IE53" s="86"/>
      <c r="IF53" s="86"/>
      <c r="IG53" s="86"/>
      <c r="IH53" s="86"/>
      <c r="II53" s="86"/>
      <c r="IJ53" s="86"/>
      <c r="IK53" s="86"/>
      <c r="IL53" s="86"/>
      <c r="IM53" s="86"/>
      <c r="IN53" s="86"/>
      <c r="IO53" s="86"/>
      <c r="IP53" s="86"/>
      <c r="IQ53" s="86"/>
      <c r="IR53" s="86"/>
      <c r="IS53" s="86"/>
      <c r="IT53" s="86"/>
      <c r="IU53" s="86"/>
      <c r="IV53" s="86"/>
      <c r="IW53" s="86"/>
      <c r="IX53" s="86"/>
      <c r="IY53" s="86"/>
      <c r="IZ53" s="86"/>
      <c r="JA53" s="86"/>
      <c r="JB53" s="86"/>
      <c r="JC53" s="86"/>
    </row>
    <row r="54" spans="1:263" s="21" customFormat="1" ht="12.6" customHeight="1">
      <c r="A54" s="22">
        <v>2021</v>
      </c>
      <c r="B54" s="82">
        <v>451</v>
      </c>
      <c r="C54" s="8" t="s">
        <v>128</v>
      </c>
      <c r="D54" s="14">
        <f t="shared" si="1"/>
        <v>0</v>
      </c>
      <c r="E54" s="140">
        <f>SUMIFS('Plan rashoda za unos u SAP'!$I$3:$I$501,'Plan rashoda za unos u SAP'!$C$3:$C$501,"=11",'Plan rashoda za unos u SAP'!$M$3:$M$501,"=451")+SUMIFS('ANALITIKA EU PROJEKATA'!$G$3:$G$501,'ANALITIKA EU PROJEKATA'!$A$3:$A$501,"=11",'ANALITIKA EU PROJEKATA'!$P$3:$P$501,"=451")</f>
        <v>0</v>
      </c>
      <c r="F54" s="140">
        <f>SUMIFS('Plan rashoda za unos u SAP'!$I$3:$I$501,'Plan rashoda za unos u SAP'!$C$3:$C$501,"=12",'Plan rashoda za unos u SAP'!$M$3:$M$501,"=451")+SUMIFS('ANALITIKA EU PROJEKATA'!$G$3:$G$501,'ANALITIKA EU PROJEKATA'!$A$3:$A$501,"=12",'ANALITIKA EU PROJEKATA'!$P$3:$P$501,"=451")</f>
        <v>0</v>
      </c>
      <c r="G54" s="140">
        <f>SUMIFS('Plan rashoda za unos u SAP'!$I$3:$I$501,'Plan rashoda za unos u SAP'!$C$3:$C$501,"=31",'Plan rashoda za unos u SAP'!$M$3:$M$501,"=451")+SUMIFS('ANALITIKA EU PROJEKATA'!$G$3:$G$501,'ANALITIKA EU PROJEKATA'!$A$3:$A$501,"=31",'ANALITIKA EU PROJEKATA'!$P$3:$P$501,"=451")</f>
        <v>0</v>
      </c>
      <c r="H54" s="140">
        <f>SUMIFS('Plan rashoda za unos u SAP'!$I$3:$I$501,'Plan rashoda za unos u SAP'!$C$3:$C$501,"=41",'Plan rashoda za unos u SAP'!$M$3:$M$501,"=451")+SUMIFS('ANALITIKA EU PROJEKATA'!$G$3:$G$501,'ANALITIKA EU PROJEKATA'!$A$3:$A$501,"=41",'ANALITIKA EU PROJEKATA'!$P$3:$P$501,"=451")</f>
        <v>0</v>
      </c>
      <c r="I54" s="140">
        <f>SUMIFS('Plan rashoda za unos u SAP'!$I$3:$I$501,'Plan rashoda za unos u SAP'!$C$3:$C$501,"=43",'Plan rashoda za unos u SAP'!$M$3:$M$501,"=451")+SUMIFS('ANALITIKA EU PROJEKATA'!$G$3:$G$501,'ANALITIKA EU PROJEKATA'!$A$3:$A$501,"=43",'ANALITIKA EU PROJEKATA'!$P$3:$P$501,"=451")</f>
        <v>0</v>
      </c>
      <c r="J54" s="140">
        <f>SUMIFS('Plan rashoda za unos u SAP'!$I$3:$I$501,'Plan rashoda za unos u SAP'!$C$3:$C$501,"=51",'Plan rashoda za unos u SAP'!$M$3:$M$501,"=451")+SUMIFS('ANALITIKA EU PROJEKATA'!$G$3:$G$501,'ANALITIKA EU PROJEKATA'!$A$3:$A$501,"=51",'ANALITIKA EU PROJEKATA'!$P$3:$P$501,"=451")</f>
        <v>0</v>
      </c>
      <c r="K54" s="140">
        <f>SUMIFS('Plan rashoda za unos u SAP'!$I$3:$I$501,'Plan rashoda za unos u SAP'!$C$3:$C$501,"=52",'Plan rashoda za unos u SAP'!$M$3:$M$501,"=451")+SUMIFS('ANALITIKA EU PROJEKATA'!$G$3:$G$501,'ANALITIKA EU PROJEKATA'!$A$3:$A$501,"=52",'ANALITIKA EU PROJEKATA'!$P$3:$P$501,"=451")</f>
        <v>0</v>
      </c>
      <c r="L54" s="140">
        <f>SUMIFS('Plan rashoda za unos u SAP'!$I$3:$I$501,'Plan rashoda za unos u SAP'!$C$3:$C$501,"=552",'Plan rashoda za unos u SAP'!$M$3:$M$501,"=451")+SUMIFS('ANALITIKA EU PROJEKATA'!$G$3:$G$501,'ANALITIKA EU PROJEKATA'!$A$3:$A$501,"=552",'ANALITIKA EU PROJEKATA'!$P$3:$P$501,"=451")</f>
        <v>0</v>
      </c>
      <c r="M54" s="140">
        <f>SUMIFS('Plan rashoda za unos u SAP'!$I$3:$I$501,'Plan rashoda za unos u SAP'!$C$3:$C$501,"=559",'Plan rashoda za unos u SAP'!$M$3:$M$501,"=451")+SUMIFS('ANALITIKA EU PROJEKATA'!$G$3:$G$501,'ANALITIKA EU PROJEKATA'!$A$3:$A$501,"=559",'ANALITIKA EU PROJEKATA'!$P$3:$P$501,"=451")</f>
        <v>0</v>
      </c>
      <c r="N54" s="140">
        <f>SUMIFS('Plan rashoda za unos u SAP'!$I$3:$I$501,'Plan rashoda za unos u SAP'!$C$3:$C$501,"=561",'Plan rashoda za unos u SAP'!$M$3:$M$501,"=451")+SUMIFS('ANALITIKA EU PROJEKATA'!$G$3:$G$501,'ANALITIKA EU PROJEKATA'!$A$3:$A$501,"=561",'ANALITIKA EU PROJEKATA'!$P$3:$P$501,"=451")</f>
        <v>0</v>
      </c>
      <c r="O54" s="140">
        <f>SUMIFS('Plan rashoda za unos u SAP'!$I$3:$I$501,'Plan rashoda za unos u SAP'!$C$3:$C$501,"=563",'Plan rashoda za unos u SAP'!$M$3:$M$501,"=451")+SUMIFS('ANALITIKA EU PROJEKATA'!$G$3:$G$501,'ANALITIKA EU PROJEKATA'!$A$3:$A$501,"=563",'ANALITIKA EU PROJEKATA'!$P$3:$P$501,"=451")</f>
        <v>0</v>
      </c>
      <c r="P54" s="140">
        <f>SUMIFS('Plan rashoda za unos u SAP'!$I$3:$I$501,'Plan rashoda za unos u SAP'!$C$3:$C$501,"=573",'Plan rashoda za unos u SAP'!$M$3:$M$501,"=451")+SUMIFS('ANALITIKA EU PROJEKATA'!$G$3:$G$501,'ANALITIKA EU PROJEKATA'!$A$3:$A$501,"=573",'ANALITIKA EU PROJEKATA'!$P$3:$P$501,"=451")</f>
        <v>0</v>
      </c>
      <c r="Q54" s="140">
        <f>SUMIFS('Plan rashoda za unos u SAP'!$I$3:$I$501,'Plan rashoda za unos u SAP'!$C$3:$C$501,"=575",'Plan rashoda za unos u SAP'!$M$3:$M$501,"=451")+SUMIFS('ANALITIKA EU PROJEKATA'!$G$3:$G$501,'ANALITIKA EU PROJEKATA'!$A$3:$A$501,"=575",'ANALITIKA EU PROJEKATA'!$P$3:$P$501,"=451")</f>
        <v>0</v>
      </c>
      <c r="R54" s="140">
        <f>SUMIFS('Plan rashoda za unos u SAP'!$I$3:$I$501,'Plan rashoda za unos u SAP'!$C$3:$C$501,"=576",'Plan rashoda za unos u SAP'!$M$3:$M$501,"=451")+SUMIFS('ANALITIKA EU PROJEKATA'!$G$3:$G$501,'ANALITIKA EU PROJEKATA'!$A$3:$A$501,"=576",'ANALITIKA EU PROJEKATA'!$P$3:$P$501,"=451")</f>
        <v>0</v>
      </c>
      <c r="S54" s="140">
        <f>SUMIFS('Plan rashoda za unos u SAP'!$I$3:$I$501,'Plan rashoda za unos u SAP'!$C$3:$C$501,"=61",'Plan rashoda za unos u SAP'!$M$3:$M$501,"=451")+SUMIFS('ANALITIKA EU PROJEKATA'!$G$3:$G$501,'ANALITIKA EU PROJEKATA'!$A$3:$A$501,"=61",'ANALITIKA EU PROJEKATA'!$P$3:$P$501,"=451")</f>
        <v>0</v>
      </c>
      <c r="T54" s="140">
        <f>SUMIFS('Plan rashoda za unos u SAP'!$I$3:$I$501,'Plan rashoda za unos u SAP'!$C$3:$C$501,"=63",'Plan rashoda za unos u SAP'!$M$3:$M$501,"=451")+SUMIFS('ANALITIKA EU PROJEKATA'!$G$3:$G$501,'ANALITIKA EU PROJEKATA'!$A$3:$A$501,"=63",'ANALITIKA EU PROJEKATA'!$P$3:$P$501,"=451")</f>
        <v>0</v>
      </c>
      <c r="U54" s="140">
        <f>SUMIFS('Plan rashoda za unos u SAP'!$I$3:$I$501,'Plan rashoda za unos u SAP'!$C$3:$C$501,"=71",'Plan rashoda za unos u SAP'!$M$3:$M$501,"=451")+SUMIFS('ANALITIKA EU PROJEKATA'!$G$3:$G$501,'ANALITIKA EU PROJEKATA'!$A$3:$A$501,"=71",'ANALITIKA EU PROJEKATA'!$P$3:$P$501,"=451")</f>
        <v>0</v>
      </c>
      <c r="V54" s="140">
        <f>SUMIFS('Plan rashoda za unos u SAP'!$I$3:$I$501,'Plan rashoda za unos u SAP'!$C$3:$C$501,"=81",'Plan rashoda za unos u SAP'!$M$3:$M$501,"=451")+SUMIFS('ANALITIKA EU PROJEKATA'!$G$3:$G$501,'ANALITIKA EU PROJEKATA'!$A$3:$A$501,"=81",'ANALITIKA EU PROJEKATA'!$P$3:$P$501,"=451")</f>
        <v>0</v>
      </c>
      <c r="W54" s="140">
        <f>SUMIFS('Plan rashoda za unos u SAP'!$I$3:$I$501,'Plan rashoda za unos u SAP'!$C$3:$C$501,"=83",'Plan rashoda za unos u SAP'!$M$3:$M$501,"=451")+SUMIFS('ANALITIKA EU PROJEKATA'!$G$3:$G$501,'ANALITIKA EU PROJEKATA'!$A$3:$A$501,"=83",'ANALITIKA EU PROJEKATA'!$P$3:$P$501,"=451")</f>
        <v>0</v>
      </c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Q54" s="72"/>
      <c r="BR54" s="72"/>
      <c r="BS54" s="72"/>
      <c r="BT54" s="72"/>
      <c r="BU54" s="72"/>
      <c r="BV54" s="72"/>
      <c r="BW54" s="72"/>
      <c r="BX54" s="72"/>
      <c r="BY54" s="72"/>
      <c r="BZ54" s="72"/>
      <c r="CA54" s="72"/>
      <c r="CB54" s="72"/>
      <c r="CC54" s="72"/>
      <c r="CD54" s="72"/>
      <c r="CE54" s="72"/>
      <c r="CF54" s="72"/>
      <c r="CG54" s="72"/>
      <c r="CH54" s="72"/>
      <c r="CI54" s="72"/>
      <c r="CJ54" s="72"/>
      <c r="CK54" s="72"/>
      <c r="CL54" s="72"/>
      <c r="CM54" s="72"/>
      <c r="CN54" s="72"/>
      <c r="CO54" s="72"/>
      <c r="CP54" s="72"/>
      <c r="CQ54" s="72"/>
      <c r="CR54" s="72"/>
      <c r="CS54" s="72"/>
      <c r="CT54" s="72"/>
      <c r="CU54" s="72"/>
      <c r="CV54" s="72"/>
      <c r="CW54" s="72"/>
      <c r="CX54" s="72"/>
      <c r="CY54" s="72"/>
      <c r="CZ54" s="72"/>
      <c r="DA54" s="72"/>
      <c r="DB54" s="72"/>
      <c r="DC54" s="72"/>
      <c r="DD54" s="72"/>
      <c r="DE54" s="72"/>
      <c r="DF54" s="72"/>
      <c r="DG54" s="72"/>
      <c r="DH54" s="72"/>
      <c r="DI54" s="72"/>
      <c r="DJ54" s="72"/>
      <c r="DK54" s="72"/>
      <c r="DL54" s="72"/>
      <c r="DM54" s="72"/>
      <c r="DN54" s="72"/>
      <c r="DO54" s="72"/>
      <c r="DP54" s="72"/>
      <c r="DQ54" s="72"/>
      <c r="DR54" s="72"/>
      <c r="DS54" s="72"/>
      <c r="DT54" s="72"/>
      <c r="DU54" s="72"/>
      <c r="DV54" s="72"/>
      <c r="DW54" s="72"/>
      <c r="DX54" s="72"/>
      <c r="DY54" s="72"/>
      <c r="DZ54" s="72"/>
      <c r="EA54" s="72"/>
      <c r="EB54" s="72"/>
      <c r="EC54" s="72"/>
      <c r="ED54" s="72"/>
      <c r="EE54" s="72"/>
      <c r="EF54" s="72"/>
      <c r="EG54" s="72"/>
      <c r="EH54" s="72"/>
      <c r="EI54" s="72"/>
      <c r="EJ54" s="72"/>
      <c r="EK54" s="72"/>
      <c r="EL54" s="72"/>
      <c r="EM54" s="72"/>
      <c r="EN54" s="72"/>
      <c r="EO54" s="72"/>
      <c r="EP54" s="72"/>
      <c r="EQ54" s="72"/>
      <c r="ER54" s="72"/>
      <c r="ES54" s="72"/>
      <c r="ET54" s="72"/>
      <c r="EU54" s="72"/>
      <c r="EV54" s="72"/>
      <c r="EW54" s="72"/>
      <c r="EX54" s="72"/>
      <c r="EY54" s="72"/>
      <c r="EZ54" s="72"/>
      <c r="FA54" s="72"/>
      <c r="FB54" s="72"/>
      <c r="FC54" s="72"/>
      <c r="FD54" s="72"/>
      <c r="FE54" s="72"/>
      <c r="FF54" s="72"/>
      <c r="FG54" s="72"/>
      <c r="FH54" s="72"/>
      <c r="FI54" s="72"/>
      <c r="FJ54" s="72"/>
      <c r="FK54" s="72"/>
      <c r="FL54" s="72"/>
      <c r="FM54" s="72"/>
      <c r="FN54" s="72"/>
      <c r="FO54" s="72"/>
      <c r="FP54" s="72"/>
      <c r="FQ54" s="72"/>
      <c r="FR54" s="72"/>
      <c r="FS54" s="72"/>
      <c r="FT54" s="72"/>
      <c r="FU54" s="72"/>
      <c r="FV54" s="72"/>
      <c r="FW54" s="72"/>
      <c r="FX54" s="72"/>
      <c r="FY54" s="72"/>
      <c r="FZ54" s="72"/>
      <c r="GA54" s="72"/>
      <c r="GB54" s="72"/>
      <c r="GC54" s="72"/>
      <c r="GD54" s="72"/>
      <c r="GE54" s="72"/>
      <c r="GF54" s="72"/>
      <c r="GG54" s="72"/>
      <c r="GH54" s="72"/>
      <c r="GI54" s="72"/>
      <c r="GJ54" s="72"/>
      <c r="GK54" s="72"/>
      <c r="GL54" s="73"/>
      <c r="GM54" s="73"/>
      <c r="GN54" s="73"/>
      <c r="GO54" s="73"/>
      <c r="GP54" s="73"/>
      <c r="GQ54" s="73"/>
      <c r="GR54" s="73"/>
      <c r="GS54" s="73"/>
      <c r="GT54" s="73"/>
      <c r="GU54" s="73"/>
      <c r="GV54" s="73"/>
      <c r="GW54" s="73"/>
      <c r="GX54" s="73"/>
      <c r="GY54" s="73"/>
      <c r="GZ54" s="73"/>
      <c r="HA54" s="73"/>
      <c r="HB54" s="73"/>
      <c r="HC54" s="73"/>
      <c r="HD54" s="73"/>
      <c r="HE54" s="73"/>
      <c r="HF54" s="73"/>
      <c r="HG54" s="73"/>
      <c r="HH54" s="73"/>
      <c r="HI54" s="73"/>
      <c r="HJ54" s="73"/>
      <c r="HK54" s="73"/>
      <c r="HL54" s="73"/>
      <c r="HM54" s="73"/>
      <c r="HN54" s="73"/>
      <c r="HO54" s="73"/>
      <c r="HP54" s="73"/>
      <c r="HQ54" s="73"/>
      <c r="HR54" s="73"/>
      <c r="HS54" s="73"/>
      <c r="HT54" s="73"/>
      <c r="HU54" s="73"/>
      <c r="HV54" s="73"/>
      <c r="HW54" s="73"/>
      <c r="HX54" s="73"/>
      <c r="HY54" s="73"/>
      <c r="HZ54" s="73"/>
      <c r="IA54" s="73"/>
      <c r="IB54" s="73"/>
      <c r="IC54" s="73"/>
      <c r="ID54" s="73"/>
      <c r="IE54" s="73"/>
      <c r="IF54" s="73"/>
      <c r="IG54" s="73"/>
      <c r="IH54" s="73"/>
      <c r="II54" s="73"/>
      <c r="IJ54" s="73"/>
      <c r="IK54" s="73"/>
      <c r="IL54" s="73"/>
      <c r="IM54" s="73"/>
      <c r="IN54" s="73"/>
      <c r="IO54" s="73"/>
      <c r="IP54" s="73"/>
      <c r="IQ54" s="73"/>
      <c r="IR54" s="73"/>
      <c r="IS54" s="73"/>
      <c r="IT54" s="73"/>
      <c r="IU54" s="73"/>
      <c r="IV54" s="73"/>
      <c r="IW54" s="73"/>
      <c r="IX54" s="73"/>
      <c r="IY54" s="73"/>
      <c r="IZ54" s="73"/>
      <c r="JA54" s="73"/>
      <c r="JB54" s="73"/>
      <c r="JC54" s="73"/>
    </row>
    <row r="55" spans="1:263" s="21" customFormat="1" ht="12.6" customHeight="1">
      <c r="A55" s="22">
        <v>2021</v>
      </c>
      <c r="B55" s="82">
        <v>452</v>
      </c>
      <c r="C55" s="8" t="s">
        <v>147</v>
      </c>
      <c r="D55" s="14">
        <f t="shared" si="1"/>
        <v>0</v>
      </c>
      <c r="E55" s="140">
        <f>SUMIFS('Plan rashoda za unos u SAP'!$I$3:$I$501,'Plan rashoda za unos u SAP'!$C$3:$C$501,"=11",'Plan rashoda za unos u SAP'!$M$3:$M$501,"=452")+SUMIFS('ANALITIKA EU PROJEKATA'!$G$3:$G$501,'ANALITIKA EU PROJEKATA'!$A$3:$A$501,"=11",'ANALITIKA EU PROJEKATA'!$P$3:$P$501,"=452")</f>
        <v>0</v>
      </c>
      <c r="F55" s="140">
        <f>SUMIFS('Plan rashoda za unos u SAP'!$I$3:$I$501,'Plan rashoda za unos u SAP'!$C$3:$C$501,"=12",'Plan rashoda za unos u SAP'!$M$3:$M$501,"=452")+SUMIFS('ANALITIKA EU PROJEKATA'!$G$3:$G$501,'ANALITIKA EU PROJEKATA'!$A$3:$A$501,"=12",'ANALITIKA EU PROJEKATA'!$P$3:$P$501,"=452")</f>
        <v>0</v>
      </c>
      <c r="G55" s="140">
        <f>SUMIFS('Plan rashoda za unos u SAP'!$I$3:$I$501,'Plan rashoda za unos u SAP'!$C$3:$C$501,"=31",'Plan rashoda za unos u SAP'!$M$3:$M$501,"=452")+SUMIFS('ANALITIKA EU PROJEKATA'!$G$3:$G$501,'ANALITIKA EU PROJEKATA'!$A$3:$A$501,"=31",'ANALITIKA EU PROJEKATA'!$P$3:$P$501,"=452")</f>
        <v>0</v>
      </c>
      <c r="H55" s="140">
        <f>SUMIFS('Plan rashoda za unos u SAP'!$I$3:$I$501,'Plan rashoda za unos u SAP'!$C$3:$C$501,"=41",'Plan rashoda za unos u SAP'!$M$3:$M$501,"=452")+SUMIFS('ANALITIKA EU PROJEKATA'!$G$3:$G$501,'ANALITIKA EU PROJEKATA'!$A$3:$A$501,"=41",'ANALITIKA EU PROJEKATA'!$P$3:$P$501,"=452")</f>
        <v>0</v>
      </c>
      <c r="I55" s="140">
        <f>SUMIFS('Plan rashoda za unos u SAP'!$I$3:$I$501,'Plan rashoda za unos u SAP'!$C$3:$C$501,"=43",'Plan rashoda za unos u SAP'!$M$3:$M$501,"=452")+SUMIFS('ANALITIKA EU PROJEKATA'!$G$3:$G$501,'ANALITIKA EU PROJEKATA'!$A$3:$A$501,"=43",'ANALITIKA EU PROJEKATA'!$P$3:$P$501,"=452")</f>
        <v>0</v>
      </c>
      <c r="J55" s="140">
        <f>SUMIFS('Plan rashoda za unos u SAP'!$I$3:$I$501,'Plan rashoda za unos u SAP'!$C$3:$C$501,"=51",'Plan rashoda za unos u SAP'!$M$3:$M$501,"=452")+SUMIFS('ANALITIKA EU PROJEKATA'!$G$3:$G$501,'ANALITIKA EU PROJEKATA'!$A$3:$A$501,"=51",'ANALITIKA EU PROJEKATA'!$P$3:$P$501,"=452")</f>
        <v>0</v>
      </c>
      <c r="K55" s="140">
        <f>SUMIFS('Plan rashoda za unos u SAP'!$I$3:$I$501,'Plan rashoda za unos u SAP'!$C$3:$C$501,"=52",'Plan rashoda za unos u SAP'!$M$3:$M$501,"=452")+SUMIFS('ANALITIKA EU PROJEKATA'!$G$3:$G$501,'ANALITIKA EU PROJEKATA'!$A$3:$A$501,"=52",'ANALITIKA EU PROJEKATA'!$P$3:$P$501,"=452")</f>
        <v>0</v>
      </c>
      <c r="L55" s="140">
        <f>SUMIFS('Plan rashoda za unos u SAP'!$I$3:$I$501,'Plan rashoda za unos u SAP'!$C$3:$C$501,"=552",'Plan rashoda za unos u SAP'!$M$3:$M$501,"=452")+SUMIFS('ANALITIKA EU PROJEKATA'!$G$3:$G$501,'ANALITIKA EU PROJEKATA'!$A$3:$A$501,"=552",'ANALITIKA EU PROJEKATA'!$P$3:$P$501,"=452")</f>
        <v>0</v>
      </c>
      <c r="M55" s="140">
        <f>SUMIFS('Plan rashoda za unos u SAP'!$I$3:$I$501,'Plan rashoda za unos u SAP'!$C$3:$C$501,"=559",'Plan rashoda za unos u SAP'!$M$3:$M$501,"=452")+SUMIFS('ANALITIKA EU PROJEKATA'!$G$3:$G$501,'ANALITIKA EU PROJEKATA'!$A$3:$A$501,"=559",'ANALITIKA EU PROJEKATA'!$P$3:$P$501,"=452")</f>
        <v>0</v>
      </c>
      <c r="N55" s="140">
        <f>SUMIFS('Plan rashoda za unos u SAP'!$I$3:$I$501,'Plan rashoda za unos u SAP'!$C$3:$C$501,"=561",'Plan rashoda za unos u SAP'!$M$3:$M$501,"=452")+SUMIFS('ANALITIKA EU PROJEKATA'!$G$3:$G$501,'ANALITIKA EU PROJEKATA'!$A$3:$A$501,"=561",'ANALITIKA EU PROJEKATA'!$P$3:$P$501,"=452")</f>
        <v>0</v>
      </c>
      <c r="O55" s="140">
        <f>SUMIFS('Plan rashoda za unos u SAP'!$I$3:$I$501,'Plan rashoda za unos u SAP'!$C$3:$C$501,"=563",'Plan rashoda za unos u SAP'!$M$3:$M$501,"=452")+SUMIFS('ANALITIKA EU PROJEKATA'!$G$3:$G$501,'ANALITIKA EU PROJEKATA'!$A$3:$A$501,"=563",'ANALITIKA EU PROJEKATA'!$P$3:$P$501,"=452")</f>
        <v>0</v>
      </c>
      <c r="P55" s="140">
        <f>SUMIFS('Plan rashoda za unos u SAP'!$I$3:$I$501,'Plan rashoda za unos u SAP'!$C$3:$C$501,"=573",'Plan rashoda za unos u SAP'!$M$3:$M$501,"=452")+SUMIFS('ANALITIKA EU PROJEKATA'!$G$3:$G$501,'ANALITIKA EU PROJEKATA'!$A$3:$A$501,"=573",'ANALITIKA EU PROJEKATA'!$P$3:$P$501,"=452")</f>
        <v>0</v>
      </c>
      <c r="Q55" s="140">
        <f>SUMIFS('Plan rashoda za unos u SAP'!$I$3:$I$501,'Plan rashoda za unos u SAP'!$C$3:$C$501,"=575",'Plan rashoda za unos u SAP'!$M$3:$M$501,"=452")+SUMIFS('ANALITIKA EU PROJEKATA'!$G$3:$G$501,'ANALITIKA EU PROJEKATA'!$A$3:$A$501,"=575",'ANALITIKA EU PROJEKATA'!$P$3:$P$501,"=452")</f>
        <v>0</v>
      </c>
      <c r="R55" s="140">
        <f>SUMIFS('Plan rashoda za unos u SAP'!$I$3:$I$501,'Plan rashoda za unos u SAP'!$C$3:$C$501,"=576",'Plan rashoda za unos u SAP'!$M$3:$M$501,"=452")+SUMIFS('ANALITIKA EU PROJEKATA'!$G$3:$G$501,'ANALITIKA EU PROJEKATA'!$A$3:$A$501,"=576",'ANALITIKA EU PROJEKATA'!$P$3:$P$501,"=452")</f>
        <v>0</v>
      </c>
      <c r="S55" s="140">
        <f>SUMIFS('Plan rashoda za unos u SAP'!$I$3:$I$501,'Plan rashoda za unos u SAP'!$C$3:$C$501,"=61",'Plan rashoda za unos u SAP'!$M$3:$M$501,"=452")+SUMIFS('ANALITIKA EU PROJEKATA'!$G$3:$G$501,'ANALITIKA EU PROJEKATA'!$A$3:$A$501,"=61",'ANALITIKA EU PROJEKATA'!$P$3:$P$501,"=452")</f>
        <v>0</v>
      </c>
      <c r="T55" s="140">
        <f>SUMIFS('Plan rashoda za unos u SAP'!$I$3:$I$501,'Plan rashoda za unos u SAP'!$C$3:$C$501,"=63",'Plan rashoda za unos u SAP'!$M$3:$M$501,"=452")+SUMIFS('ANALITIKA EU PROJEKATA'!$G$3:$G$501,'ANALITIKA EU PROJEKATA'!$A$3:$A$501,"=63",'ANALITIKA EU PROJEKATA'!$P$3:$P$501,"=452")</f>
        <v>0</v>
      </c>
      <c r="U55" s="140">
        <f>SUMIFS('Plan rashoda za unos u SAP'!$I$3:$I$501,'Plan rashoda za unos u SAP'!$C$3:$C$501,"=71",'Plan rashoda za unos u SAP'!$M$3:$M$501,"=452")+SUMIFS('ANALITIKA EU PROJEKATA'!$G$3:$G$501,'ANALITIKA EU PROJEKATA'!$A$3:$A$501,"=71",'ANALITIKA EU PROJEKATA'!$P$3:$P$501,"=452")</f>
        <v>0</v>
      </c>
      <c r="V55" s="140">
        <f>SUMIFS('Plan rashoda za unos u SAP'!$I$3:$I$501,'Plan rashoda za unos u SAP'!$C$3:$C$501,"=81",'Plan rashoda za unos u SAP'!$M$3:$M$501,"=452")+SUMIFS('ANALITIKA EU PROJEKATA'!$G$3:$G$501,'ANALITIKA EU PROJEKATA'!$A$3:$A$501,"=81",'ANALITIKA EU PROJEKATA'!$P$3:$P$501,"=452")</f>
        <v>0</v>
      </c>
      <c r="W55" s="140">
        <f>SUMIFS('Plan rashoda za unos u SAP'!$I$3:$I$501,'Plan rashoda za unos u SAP'!$C$3:$C$501,"=83",'Plan rashoda za unos u SAP'!$M$3:$M$501,"=452")+SUMIFS('ANALITIKA EU PROJEKATA'!$G$3:$G$501,'ANALITIKA EU PROJEKATA'!$A$3:$A$501,"=83",'ANALITIKA EU PROJEKATA'!$P$3:$P$501,"=452")</f>
        <v>0</v>
      </c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  <c r="BQ55" s="72"/>
      <c r="BR55" s="72"/>
      <c r="BS55" s="72"/>
      <c r="BT55" s="72"/>
      <c r="BU55" s="72"/>
      <c r="BV55" s="72"/>
      <c r="BW55" s="72"/>
      <c r="BX55" s="72"/>
      <c r="BY55" s="72"/>
      <c r="BZ55" s="72"/>
      <c r="CA55" s="72"/>
      <c r="CB55" s="72"/>
      <c r="CC55" s="72"/>
      <c r="CD55" s="72"/>
      <c r="CE55" s="72"/>
      <c r="CF55" s="72"/>
      <c r="CG55" s="72"/>
      <c r="CH55" s="72"/>
      <c r="CI55" s="72"/>
      <c r="CJ55" s="72"/>
      <c r="CK55" s="72"/>
      <c r="CL55" s="72"/>
      <c r="CM55" s="72"/>
      <c r="CN55" s="72"/>
      <c r="CO55" s="72"/>
      <c r="CP55" s="72"/>
      <c r="CQ55" s="72"/>
      <c r="CR55" s="72"/>
      <c r="CS55" s="72"/>
      <c r="CT55" s="72"/>
      <c r="CU55" s="72"/>
      <c r="CV55" s="72"/>
      <c r="CW55" s="72"/>
      <c r="CX55" s="72"/>
      <c r="CY55" s="72"/>
      <c r="CZ55" s="72"/>
      <c r="DA55" s="72"/>
      <c r="DB55" s="72"/>
      <c r="DC55" s="72"/>
      <c r="DD55" s="72"/>
      <c r="DE55" s="72"/>
      <c r="DF55" s="72"/>
      <c r="DG55" s="72"/>
      <c r="DH55" s="72"/>
      <c r="DI55" s="72"/>
      <c r="DJ55" s="72"/>
      <c r="DK55" s="72"/>
      <c r="DL55" s="72"/>
      <c r="DM55" s="72"/>
      <c r="DN55" s="72"/>
      <c r="DO55" s="72"/>
      <c r="DP55" s="72"/>
      <c r="DQ55" s="72"/>
      <c r="DR55" s="72"/>
      <c r="DS55" s="72"/>
      <c r="DT55" s="72"/>
      <c r="DU55" s="72"/>
      <c r="DV55" s="72"/>
      <c r="DW55" s="72"/>
      <c r="DX55" s="72"/>
      <c r="DY55" s="72"/>
      <c r="DZ55" s="72"/>
      <c r="EA55" s="72"/>
      <c r="EB55" s="72"/>
      <c r="EC55" s="72"/>
      <c r="ED55" s="72"/>
      <c r="EE55" s="72"/>
      <c r="EF55" s="72"/>
      <c r="EG55" s="72"/>
      <c r="EH55" s="72"/>
      <c r="EI55" s="72"/>
      <c r="EJ55" s="72"/>
      <c r="EK55" s="72"/>
      <c r="EL55" s="72"/>
      <c r="EM55" s="72"/>
      <c r="EN55" s="72"/>
      <c r="EO55" s="72"/>
      <c r="EP55" s="72"/>
      <c r="EQ55" s="72"/>
      <c r="ER55" s="72"/>
      <c r="ES55" s="72"/>
      <c r="ET55" s="72"/>
      <c r="EU55" s="72"/>
      <c r="EV55" s="72"/>
      <c r="EW55" s="72"/>
      <c r="EX55" s="72"/>
      <c r="EY55" s="72"/>
      <c r="EZ55" s="72"/>
      <c r="FA55" s="72"/>
      <c r="FB55" s="72"/>
      <c r="FC55" s="72"/>
      <c r="FD55" s="72"/>
      <c r="FE55" s="72"/>
      <c r="FF55" s="72"/>
      <c r="FG55" s="72"/>
      <c r="FH55" s="72"/>
      <c r="FI55" s="72"/>
      <c r="FJ55" s="72"/>
      <c r="FK55" s="72"/>
      <c r="FL55" s="72"/>
      <c r="FM55" s="72"/>
      <c r="FN55" s="72"/>
      <c r="FO55" s="72"/>
      <c r="FP55" s="72"/>
      <c r="FQ55" s="72"/>
      <c r="FR55" s="72"/>
      <c r="FS55" s="72"/>
      <c r="FT55" s="72"/>
      <c r="FU55" s="72"/>
      <c r="FV55" s="72"/>
      <c r="FW55" s="72"/>
      <c r="FX55" s="72"/>
      <c r="FY55" s="72"/>
      <c r="FZ55" s="72"/>
      <c r="GA55" s="72"/>
      <c r="GB55" s="72"/>
      <c r="GC55" s="72"/>
      <c r="GD55" s="72"/>
      <c r="GE55" s="72"/>
      <c r="GF55" s="72"/>
      <c r="GG55" s="72"/>
      <c r="GH55" s="72"/>
      <c r="GI55" s="72"/>
      <c r="GJ55" s="72"/>
      <c r="GK55" s="72"/>
      <c r="GL55" s="73"/>
      <c r="GM55" s="73"/>
      <c r="GN55" s="73"/>
      <c r="GO55" s="73"/>
      <c r="GP55" s="73"/>
      <c r="GQ55" s="73"/>
      <c r="GR55" s="73"/>
      <c r="GS55" s="73"/>
      <c r="GT55" s="73"/>
      <c r="GU55" s="73"/>
      <c r="GV55" s="73"/>
      <c r="GW55" s="73"/>
      <c r="GX55" s="73"/>
      <c r="GY55" s="73"/>
      <c r="GZ55" s="73"/>
      <c r="HA55" s="73"/>
      <c r="HB55" s="73"/>
      <c r="HC55" s="73"/>
      <c r="HD55" s="73"/>
      <c r="HE55" s="73"/>
      <c r="HF55" s="73"/>
      <c r="HG55" s="73"/>
      <c r="HH55" s="73"/>
      <c r="HI55" s="73"/>
      <c r="HJ55" s="73"/>
      <c r="HK55" s="73"/>
      <c r="HL55" s="73"/>
      <c r="HM55" s="73"/>
      <c r="HN55" s="73"/>
      <c r="HO55" s="73"/>
      <c r="HP55" s="73"/>
      <c r="HQ55" s="73"/>
      <c r="HR55" s="73"/>
      <c r="HS55" s="73"/>
      <c r="HT55" s="73"/>
      <c r="HU55" s="73"/>
      <c r="HV55" s="73"/>
      <c r="HW55" s="73"/>
      <c r="HX55" s="73"/>
      <c r="HY55" s="73"/>
      <c r="HZ55" s="73"/>
      <c r="IA55" s="73"/>
      <c r="IB55" s="73"/>
      <c r="IC55" s="73"/>
      <c r="ID55" s="73"/>
      <c r="IE55" s="73"/>
      <c r="IF55" s="73"/>
      <c r="IG55" s="73"/>
      <c r="IH55" s="73"/>
      <c r="II55" s="73"/>
      <c r="IJ55" s="73"/>
      <c r="IK55" s="73"/>
      <c r="IL55" s="73"/>
      <c r="IM55" s="73"/>
      <c r="IN55" s="73"/>
      <c r="IO55" s="73"/>
      <c r="IP55" s="73"/>
      <c r="IQ55" s="73"/>
      <c r="IR55" s="73"/>
      <c r="IS55" s="73"/>
      <c r="IT55" s="73"/>
      <c r="IU55" s="73"/>
      <c r="IV55" s="73"/>
      <c r="IW55" s="73"/>
      <c r="IX55" s="73"/>
      <c r="IY55" s="73"/>
      <c r="IZ55" s="73"/>
      <c r="JA55" s="73"/>
      <c r="JB55" s="73"/>
      <c r="JC55" s="73"/>
    </row>
    <row r="56" spans="1:263" s="21" customFormat="1" ht="12.6" customHeight="1">
      <c r="A56" s="22">
        <v>2021</v>
      </c>
      <c r="B56" s="83">
        <v>453</v>
      </c>
      <c r="C56" s="8" t="s">
        <v>190</v>
      </c>
      <c r="D56" s="14">
        <f t="shared" si="1"/>
        <v>0</v>
      </c>
      <c r="E56" s="140">
        <f>SUMIFS('Plan rashoda za unos u SAP'!$I$3:$I$501,'Plan rashoda za unos u SAP'!$C$3:$C$501,"=11",'Plan rashoda za unos u SAP'!$M$3:$M$501,"=453")+SUMIFS('ANALITIKA EU PROJEKATA'!$G$3:$G$501,'ANALITIKA EU PROJEKATA'!$A$3:$A$501,"=11",'ANALITIKA EU PROJEKATA'!$P$3:$P$501,"=453")</f>
        <v>0</v>
      </c>
      <c r="F56" s="140">
        <f>SUMIFS('Plan rashoda za unos u SAP'!$I$3:$I$501,'Plan rashoda za unos u SAP'!$C$3:$C$501,"=12",'Plan rashoda za unos u SAP'!$M$3:$M$501,"=453")+SUMIFS('ANALITIKA EU PROJEKATA'!$G$3:$G$501,'ANALITIKA EU PROJEKATA'!$A$3:$A$501,"=12",'ANALITIKA EU PROJEKATA'!$P$3:$P$501,"=453")</f>
        <v>0</v>
      </c>
      <c r="G56" s="140">
        <f>SUMIFS('Plan rashoda za unos u SAP'!$I$3:$I$501,'Plan rashoda za unos u SAP'!$C$3:$C$501,"=31",'Plan rashoda za unos u SAP'!$M$3:$M$501,"=453")+SUMIFS('ANALITIKA EU PROJEKATA'!$G$3:$G$501,'ANALITIKA EU PROJEKATA'!$A$3:$A$501,"=31",'ANALITIKA EU PROJEKATA'!$P$3:$P$501,"=453")</f>
        <v>0</v>
      </c>
      <c r="H56" s="140">
        <f>SUMIFS('Plan rashoda za unos u SAP'!$I$3:$I$501,'Plan rashoda za unos u SAP'!$C$3:$C$501,"=41",'Plan rashoda za unos u SAP'!$M$3:$M$501,"=453")+SUMIFS('ANALITIKA EU PROJEKATA'!$G$3:$G$501,'ANALITIKA EU PROJEKATA'!$A$3:$A$501,"=41",'ANALITIKA EU PROJEKATA'!$P$3:$P$501,"=453")</f>
        <v>0</v>
      </c>
      <c r="I56" s="140">
        <f>SUMIFS('Plan rashoda za unos u SAP'!$I$3:$I$501,'Plan rashoda za unos u SAP'!$C$3:$C$501,"=43",'Plan rashoda za unos u SAP'!$M$3:$M$501,"=453")+SUMIFS('ANALITIKA EU PROJEKATA'!$G$3:$G$501,'ANALITIKA EU PROJEKATA'!$A$3:$A$501,"=43",'ANALITIKA EU PROJEKATA'!$P$3:$P$501,"=453")</f>
        <v>0</v>
      </c>
      <c r="J56" s="140">
        <f>SUMIFS('Plan rashoda za unos u SAP'!$I$3:$I$501,'Plan rashoda za unos u SAP'!$C$3:$C$501,"=51",'Plan rashoda za unos u SAP'!$M$3:$M$501,"=453")+SUMIFS('ANALITIKA EU PROJEKATA'!$G$3:$G$501,'ANALITIKA EU PROJEKATA'!$A$3:$A$501,"=51",'ANALITIKA EU PROJEKATA'!$P$3:$P$501,"=453")</f>
        <v>0</v>
      </c>
      <c r="K56" s="140">
        <f>SUMIFS('Plan rashoda za unos u SAP'!$I$3:$I$501,'Plan rashoda za unos u SAP'!$C$3:$C$501,"=52",'Plan rashoda za unos u SAP'!$M$3:$M$501,"=453")+SUMIFS('ANALITIKA EU PROJEKATA'!$G$3:$G$501,'ANALITIKA EU PROJEKATA'!$A$3:$A$501,"=52",'ANALITIKA EU PROJEKATA'!$P$3:$P$501,"=453")</f>
        <v>0</v>
      </c>
      <c r="L56" s="140">
        <f>SUMIFS('Plan rashoda za unos u SAP'!$I$3:$I$501,'Plan rashoda za unos u SAP'!$C$3:$C$501,"=552",'Plan rashoda za unos u SAP'!$M$3:$M$501,"=453")+SUMIFS('ANALITIKA EU PROJEKATA'!$G$3:$G$501,'ANALITIKA EU PROJEKATA'!$A$3:$A$501,"=552",'ANALITIKA EU PROJEKATA'!$P$3:$P$501,"=453")</f>
        <v>0</v>
      </c>
      <c r="M56" s="140">
        <f>SUMIFS('Plan rashoda za unos u SAP'!$I$3:$I$501,'Plan rashoda za unos u SAP'!$C$3:$C$501,"=559",'Plan rashoda za unos u SAP'!$M$3:$M$501,"=453")+SUMIFS('ANALITIKA EU PROJEKATA'!$G$3:$G$501,'ANALITIKA EU PROJEKATA'!$A$3:$A$501,"=559",'ANALITIKA EU PROJEKATA'!$P$3:$P$501,"=453")</f>
        <v>0</v>
      </c>
      <c r="N56" s="140">
        <f>SUMIFS('Plan rashoda za unos u SAP'!$I$3:$I$501,'Plan rashoda za unos u SAP'!$C$3:$C$501,"=561",'Plan rashoda za unos u SAP'!$M$3:$M$501,"=453")+SUMIFS('ANALITIKA EU PROJEKATA'!$G$3:$G$501,'ANALITIKA EU PROJEKATA'!$A$3:$A$501,"=561",'ANALITIKA EU PROJEKATA'!$P$3:$P$501,"=453")</f>
        <v>0</v>
      </c>
      <c r="O56" s="140">
        <f>SUMIFS('Plan rashoda za unos u SAP'!$I$3:$I$501,'Plan rashoda za unos u SAP'!$C$3:$C$501,"=563",'Plan rashoda za unos u SAP'!$M$3:$M$501,"=453")+SUMIFS('ANALITIKA EU PROJEKATA'!$G$3:$G$501,'ANALITIKA EU PROJEKATA'!$A$3:$A$501,"=563",'ANALITIKA EU PROJEKATA'!$P$3:$P$501,"=453")</f>
        <v>0</v>
      </c>
      <c r="P56" s="140">
        <f>SUMIFS('Plan rashoda za unos u SAP'!$I$3:$I$501,'Plan rashoda za unos u SAP'!$C$3:$C$501,"=573",'Plan rashoda za unos u SAP'!$M$3:$M$501,"=453")+SUMIFS('ANALITIKA EU PROJEKATA'!$G$3:$G$501,'ANALITIKA EU PROJEKATA'!$A$3:$A$501,"=573",'ANALITIKA EU PROJEKATA'!$P$3:$P$501,"=453")</f>
        <v>0</v>
      </c>
      <c r="Q56" s="140">
        <f>SUMIFS('Plan rashoda za unos u SAP'!$I$3:$I$501,'Plan rashoda za unos u SAP'!$C$3:$C$501,"=575",'Plan rashoda za unos u SAP'!$M$3:$M$501,"=453")+SUMIFS('ANALITIKA EU PROJEKATA'!$G$3:$G$501,'ANALITIKA EU PROJEKATA'!$A$3:$A$501,"=575",'ANALITIKA EU PROJEKATA'!$P$3:$P$501,"=453")</f>
        <v>0</v>
      </c>
      <c r="R56" s="140">
        <f>SUMIFS('Plan rashoda za unos u SAP'!$I$3:$I$501,'Plan rashoda za unos u SAP'!$C$3:$C$501,"=576",'Plan rashoda za unos u SAP'!$M$3:$M$501,"=453")+SUMIFS('ANALITIKA EU PROJEKATA'!$G$3:$G$501,'ANALITIKA EU PROJEKATA'!$A$3:$A$501,"=576",'ANALITIKA EU PROJEKATA'!$P$3:$P$501,"=453")</f>
        <v>0</v>
      </c>
      <c r="S56" s="140">
        <f>SUMIFS('Plan rashoda za unos u SAP'!$I$3:$I$501,'Plan rashoda za unos u SAP'!$C$3:$C$501,"=61",'Plan rashoda za unos u SAP'!$M$3:$M$501,"=453")+SUMIFS('ANALITIKA EU PROJEKATA'!$G$3:$G$501,'ANALITIKA EU PROJEKATA'!$A$3:$A$501,"=61",'ANALITIKA EU PROJEKATA'!$P$3:$P$501,"=453")</f>
        <v>0</v>
      </c>
      <c r="T56" s="140">
        <f>SUMIFS('Plan rashoda za unos u SAP'!$I$3:$I$501,'Plan rashoda za unos u SAP'!$C$3:$C$501,"=63",'Plan rashoda za unos u SAP'!$M$3:$M$501,"=453")+SUMIFS('ANALITIKA EU PROJEKATA'!$G$3:$G$501,'ANALITIKA EU PROJEKATA'!$A$3:$A$501,"=63",'ANALITIKA EU PROJEKATA'!$P$3:$P$501,"=453")</f>
        <v>0</v>
      </c>
      <c r="U56" s="140">
        <f>SUMIFS('Plan rashoda za unos u SAP'!$I$3:$I$501,'Plan rashoda za unos u SAP'!$C$3:$C$501,"=71",'Plan rashoda za unos u SAP'!$M$3:$M$501,"=453")+SUMIFS('ANALITIKA EU PROJEKATA'!$G$3:$G$501,'ANALITIKA EU PROJEKATA'!$A$3:$A$501,"=71",'ANALITIKA EU PROJEKATA'!$P$3:$P$501,"=453")</f>
        <v>0</v>
      </c>
      <c r="V56" s="140">
        <f>SUMIFS('Plan rashoda za unos u SAP'!$I$3:$I$501,'Plan rashoda za unos u SAP'!$C$3:$C$501,"=81",'Plan rashoda za unos u SAP'!$M$3:$M$501,"=453")+SUMIFS('ANALITIKA EU PROJEKATA'!$G$3:$G$501,'ANALITIKA EU PROJEKATA'!$A$3:$A$501,"=81",'ANALITIKA EU PROJEKATA'!$P$3:$P$501,"=453")</f>
        <v>0</v>
      </c>
      <c r="W56" s="140">
        <f>SUMIFS('Plan rashoda za unos u SAP'!$I$3:$I$501,'Plan rashoda za unos u SAP'!$C$3:$C$501,"=83",'Plan rashoda za unos u SAP'!$M$3:$M$501,"=453")+SUMIFS('ANALITIKA EU PROJEKATA'!$G$3:$G$501,'ANALITIKA EU PROJEKATA'!$A$3:$A$501,"=83",'ANALITIKA EU PROJEKATA'!$P$3:$P$501,"=453")</f>
        <v>0</v>
      </c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  <c r="BQ56" s="72"/>
      <c r="BR56" s="72"/>
      <c r="BS56" s="72"/>
      <c r="BT56" s="72"/>
      <c r="BU56" s="72"/>
      <c r="BV56" s="72"/>
      <c r="BW56" s="72"/>
      <c r="BX56" s="72"/>
      <c r="BY56" s="72"/>
      <c r="BZ56" s="72"/>
      <c r="CA56" s="72"/>
      <c r="CB56" s="72"/>
      <c r="CC56" s="72"/>
      <c r="CD56" s="72"/>
      <c r="CE56" s="72"/>
      <c r="CF56" s="72"/>
      <c r="CG56" s="72"/>
      <c r="CH56" s="72"/>
      <c r="CI56" s="72"/>
      <c r="CJ56" s="72"/>
      <c r="CK56" s="72"/>
      <c r="CL56" s="72"/>
      <c r="CM56" s="72"/>
      <c r="CN56" s="72"/>
      <c r="CO56" s="72"/>
      <c r="CP56" s="72"/>
      <c r="CQ56" s="72"/>
      <c r="CR56" s="72"/>
      <c r="CS56" s="72"/>
      <c r="CT56" s="72"/>
      <c r="CU56" s="72"/>
      <c r="CV56" s="72"/>
      <c r="CW56" s="72"/>
      <c r="CX56" s="72"/>
      <c r="CY56" s="72"/>
      <c r="CZ56" s="72"/>
      <c r="DA56" s="72"/>
      <c r="DB56" s="72"/>
      <c r="DC56" s="72"/>
      <c r="DD56" s="72"/>
      <c r="DE56" s="72"/>
      <c r="DF56" s="72"/>
      <c r="DG56" s="72"/>
      <c r="DH56" s="72"/>
      <c r="DI56" s="72"/>
      <c r="DJ56" s="72"/>
      <c r="DK56" s="72"/>
      <c r="DL56" s="72"/>
      <c r="DM56" s="72"/>
      <c r="DN56" s="72"/>
      <c r="DO56" s="72"/>
      <c r="DP56" s="72"/>
      <c r="DQ56" s="72"/>
      <c r="DR56" s="72"/>
      <c r="DS56" s="72"/>
      <c r="DT56" s="72"/>
      <c r="DU56" s="72"/>
      <c r="DV56" s="72"/>
      <c r="DW56" s="72"/>
      <c r="DX56" s="72"/>
      <c r="DY56" s="72"/>
      <c r="DZ56" s="72"/>
      <c r="EA56" s="72"/>
      <c r="EB56" s="72"/>
      <c r="EC56" s="72"/>
      <c r="ED56" s="72"/>
      <c r="EE56" s="72"/>
      <c r="EF56" s="72"/>
      <c r="EG56" s="72"/>
      <c r="EH56" s="72"/>
      <c r="EI56" s="72"/>
      <c r="EJ56" s="72"/>
      <c r="EK56" s="72"/>
      <c r="EL56" s="72"/>
      <c r="EM56" s="72"/>
      <c r="EN56" s="72"/>
      <c r="EO56" s="72"/>
      <c r="EP56" s="72"/>
      <c r="EQ56" s="72"/>
      <c r="ER56" s="72"/>
      <c r="ES56" s="72"/>
      <c r="ET56" s="72"/>
      <c r="EU56" s="72"/>
      <c r="EV56" s="72"/>
      <c r="EW56" s="72"/>
      <c r="EX56" s="72"/>
      <c r="EY56" s="72"/>
      <c r="EZ56" s="72"/>
      <c r="FA56" s="72"/>
      <c r="FB56" s="72"/>
      <c r="FC56" s="72"/>
      <c r="FD56" s="72"/>
      <c r="FE56" s="72"/>
      <c r="FF56" s="72"/>
      <c r="FG56" s="72"/>
      <c r="FH56" s="72"/>
      <c r="FI56" s="72"/>
      <c r="FJ56" s="72"/>
      <c r="FK56" s="72"/>
      <c r="FL56" s="72"/>
      <c r="FM56" s="72"/>
      <c r="FN56" s="72"/>
      <c r="FO56" s="72"/>
      <c r="FP56" s="72"/>
      <c r="FQ56" s="72"/>
      <c r="FR56" s="72"/>
      <c r="FS56" s="72"/>
      <c r="FT56" s="72"/>
      <c r="FU56" s="72"/>
      <c r="FV56" s="72"/>
      <c r="FW56" s="72"/>
      <c r="FX56" s="72"/>
      <c r="FY56" s="72"/>
      <c r="FZ56" s="72"/>
      <c r="GA56" s="72"/>
      <c r="GB56" s="72"/>
      <c r="GC56" s="72"/>
      <c r="GD56" s="72"/>
      <c r="GE56" s="72"/>
      <c r="GF56" s="72"/>
      <c r="GG56" s="72"/>
      <c r="GH56" s="72"/>
      <c r="GI56" s="72"/>
      <c r="GJ56" s="72"/>
      <c r="GK56" s="72"/>
      <c r="GL56" s="73"/>
      <c r="GM56" s="73"/>
      <c r="GN56" s="73"/>
      <c r="GO56" s="73"/>
      <c r="GP56" s="73"/>
      <c r="GQ56" s="73"/>
      <c r="GR56" s="73"/>
      <c r="GS56" s="73"/>
      <c r="GT56" s="73"/>
      <c r="GU56" s="73"/>
      <c r="GV56" s="73"/>
      <c r="GW56" s="73"/>
      <c r="GX56" s="73"/>
      <c r="GY56" s="73"/>
      <c r="GZ56" s="73"/>
      <c r="HA56" s="73"/>
      <c r="HB56" s="73"/>
      <c r="HC56" s="73"/>
      <c r="HD56" s="73"/>
      <c r="HE56" s="73"/>
      <c r="HF56" s="73"/>
      <c r="HG56" s="73"/>
      <c r="HH56" s="73"/>
      <c r="HI56" s="73"/>
      <c r="HJ56" s="73"/>
      <c r="HK56" s="73"/>
      <c r="HL56" s="73"/>
      <c r="HM56" s="73"/>
      <c r="HN56" s="73"/>
      <c r="HO56" s="73"/>
      <c r="HP56" s="73"/>
      <c r="HQ56" s="73"/>
      <c r="HR56" s="73"/>
      <c r="HS56" s="73"/>
      <c r="HT56" s="73"/>
      <c r="HU56" s="73"/>
      <c r="HV56" s="73"/>
      <c r="HW56" s="73"/>
      <c r="HX56" s="73"/>
      <c r="HY56" s="73"/>
      <c r="HZ56" s="73"/>
      <c r="IA56" s="73"/>
      <c r="IB56" s="73"/>
      <c r="IC56" s="73"/>
      <c r="ID56" s="73"/>
      <c r="IE56" s="73"/>
      <c r="IF56" s="73"/>
      <c r="IG56" s="73"/>
      <c r="IH56" s="73"/>
      <c r="II56" s="73"/>
      <c r="IJ56" s="73"/>
      <c r="IK56" s="73"/>
      <c r="IL56" s="73"/>
      <c r="IM56" s="73"/>
      <c r="IN56" s="73"/>
      <c r="IO56" s="73"/>
      <c r="IP56" s="73"/>
      <c r="IQ56" s="73"/>
      <c r="IR56" s="73"/>
      <c r="IS56" s="73"/>
      <c r="IT56" s="73"/>
      <c r="IU56" s="73"/>
      <c r="IV56" s="73"/>
      <c r="IW56" s="73"/>
      <c r="IX56" s="73"/>
      <c r="IY56" s="73"/>
      <c r="IZ56" s="73"/>
      <c r="JA56" s="73"/>
      <c r="JB56" s="73"/>
      <c r="JC56" s="73"/>
    </row>
    <row r="57" spans="1:263" s="21" customFormat="1" ht="12.6" customHeight="1">
      <c r="A57" s="22">
        <v>2021</v>
      </c>
      <c r="B57" s="83">
        <v>454</v>
      </c>
      <c r="C57" s="87" t="s">
        <v>142</v>
      </c>
      <c r="D57" s="14">
        <f t="shared" si="1"/>
        <v>0</v>
      </c>
      <c r="E57" s="140">
        <f>SUMIFS('Plan rashoda za unos u SAP'!$I$3:$I$501,'Plan rashoda za unos u SAP'!$C$3:$C$501,"=11",'Plan rashoda za unos u SAP'!$M$3:$M$501,"=454")+SUMIFS('ANALITIKA EU PROJEKATA'!$G$3:$G$501,'ANALITIKA EU PROJEKATA'!$A$3:$A$501,"=11",'ANALITIKA EU PROJEKATA'!$P$3:$P$501,"=454")</f>
        <v>0</v>
      </c>
      <c r="F57" s="140">
        <f>SUMIFS('Plan rashoda za unos u SAP'!$I$3:$I$501,'Plan rashoda za unos u SAP'!$C$3:$C$501,"=12",'Plan rashoda za unos u SAP'!$M$3:$M$501,"=454")+SUMIFS('ANALITIKA EU PROJEKATA'!$G$3:$G$501,'ANALITIKA EU PROJEKATA'!$A$3:$A$501,"=12",'ANALITIKA EU PROJEKATA'!$P$3:$P$501,"=454")</f>
        <v>0</v>
      </c>
      <c r="G57" s="140">
        <f>SUMIFS('Plan rashoda za unos u SAP'!$I$3:$I$501,'Plan rashoda za unos u SAP'!$C$3:$C$501,"=31",'Plan rashoda za unos u SAP'!$M$3:$M$501,"=454")+SUMIFS('ANALITIKA EU PROJEKATA'!$G$3:$G$501,'ANALITIKA EU PROJEKATA'!$A$3:$A$501,"=31",'ANALITIKA EU PROJEKATA'!$P$3:$P$501,"=454")</f>
        <v>0</v>
      </c>
      <c r="H57" s="140">
        <f>SUMIFS('Plan rashoda za unos u SAP'!$I$3:$I$501,'Plan rashoda za unos u SAP'!$C$3:$C$501,"=41",'Plan rashoda za unos u SAP'!$M$3:$M$501,"=454")+SUMIFS('ANALITIKA EU PROJEKATA'!$G$3:$G$501,'ANALITIKA EU PROJEKATA'!$A$3:$A$501,"=41",'ANALITIKA EU PROJEKATA'!$P$3:$P$501,"=454")</f>
        <v>0</v>
      </c>
      <c r="I57" s="140">
        <f>SUMIFS('Plan rashoda za unos u SAP'!$I$3:$I$501,'Plan rashoda za unos u SAP'!$C$3:$C$501,"=43",'Plan rashoda za unos u SAP'!$M$3:$M$501,"=454")+SUMIFS('ANALITIKA EU PROJEKATA'!$G$3:$G$501,'ANALITIKA EU PROJEKATA'!$A$3:$A$501,"=43",'ANALITIKA EU PROJEKATA'!$P$3:$P$501,"=454")</f>
        <v>0</v>
      </c>
      <c r="J57" s="140">
        <f>SUMIFS('Plan rashoda za unos u SAP'!$I$3:$I$501,'Plan rashoda za unos u SAP'!$C$3:$C$501,"=51",'Plan rashoda za unos u SAP'!$M$3:$M$501,"=454")+SUMIFS('ANALITIKA EU PROJEKATA'!$G$3:$G$501,'ANALITIKA EU PROJEKATA'!$A$3:$A$501,"=51",'ANALITIKA EU PROJEKATA'!$P$3:$P$501,"=454")</f>
        <v>0</v>
      </c>
      <c r="K57" s="140">
        <f>SUMIFS('Plan rashoda za unos u SAP'!$I$3:$I$501,'Plan rashoda za unos u SAP'!$C$3:$C$501,"=52",'Plan rashoda za unos u SAP'!$M$3:$M$501,"=454")+SUMIFS('ANALITIKA EU PROJEKATA'!$G$3:$G$501,'ANALITIKA EU PROJEKATA'!$A$3:$A$501,"=52",'ANALITIKA EU PROJEKATA'!$P$3:$P$501,"=454")</f>
        <v>0</v>
      </c>
      <c r="L57" s="140">
        <f>SUMIFS('Plan rashoda za unos u SAP'!$I$3:$I$501,'Plan rashoda za unos u SAP'!$C$3:$C$501,"=552",'Plan rashoda za unos u SAP'!$M$3:$M$501,"=454")+SUMIFS('ANALITIKA EU PROJEKATA'!$G$3:$G$501,'ANALITIKA EU PROJEKATA'!$A$3:$A$501,"=552",'ANALITIKA EU PROJEKATA'!$P$3:$P$501,"=454")</f>
        <v>0</v>
      </c>
      <c r="M57" s="140">
        <f>SUMIFS('Plan rashoda za unos u SAP'!$I$3:$I$501,'Plan rashoda za unos u SAP'!$C$3:$C$501,"=559",'Plan rashoda za unos u SAP'!$M$3:$M$501,"=454")+SUMIFS('ANALITIKA EU PROJEKATA'!$G$3:$G$501,'ANALITIKA EU PROJEKATA'!$A$3:$A$501,"=559",'ANALITIKA EU PROJEKATA'!$P$3:$P$501,"=454")</f>
        <v>0</v>
      </c>
      <c r="N57" s="140">
        <f>SUMIFS('Plan rashoda za unos u SAP'!$I$3:$I$501,'Plan rashoda za unos u SAP'!$C$3:$C$501,"=561",'Plan rashoda za unos u SAP'!$M$3:$M$501,"=454")+SUMIFS('ANALITIKA EU PROJEKATA'!$G$3:$G$501,'ANALITIKA EU PROJEKATA'!$A$3:$A$501,"=561",'ANALITIKA EU PROJEKATA'!$P$3:$P$501,"=454")</f>
        <v>0</v>
      </c>
      <c r="O57" s="140">
        <f>SUMIFS('Plan rashoda za unos u SAP'!$I$3:$I$501,'Plan rashoda za unos u SAP'!$C$3:$C$501,"=563",'Plan rashoda za unos u SAP'!$M$3:$M$501,"=454")+SUMIFS('ANALITIKA EU PROJEKATA'!$G$3:$G$501,'ANALITIKA EU PROJEKATA'!$A$3:$A$501,"=563",'ANALITIKA EU PROJEKATA'!$P$3:$P$501,"=454")</f>
        <v>0</v>
      </c>
      <c r="P57" s="140">
        <f>SUMIFS('Plan rashoda za unos u SAP'!$I$3:$I$501,'Plan rashoda za unos u SAP'!$C$3:$C$501,"=573",'Plan rashoda za unos u SAP'!$M$3:$M$501,"=454")+SUMIFS('ANALITIKA EU PROJEKATA'!$G$3:$G$501,'ANALITIKA EU PROJEKATA'!$A$3:$A$501,"=573",'ANALITIKA EU PROJEKATA'!$P$3:$P$501,"=454")</f>
        <v>0</v>
      </c>
      <c r="Q57" s="140">
        <f>SUMIFS('Plan rashoda za unos u SAP'!$I$3:$I$501,'Plan rashoda za unos u SAP'!$C$3:$C$501,"=575",'Plan rashoda za unos u SAP'!$M$3:$M$501,"=454")+SUMIFS('ANALITIKA EU PROJEKATA'!$G$3:$G$501,'ANALITIKA EU PROJEKATA'!$A$3:$A$501,"=575",'ANALITIKA EU PROJEKATA'!$P$3:$P$501,"=454")</f>
        <v>0</v>
      </c>
      <c r="R57" s="140">
        <f>SUMIFS('Plan rashoda za unos u SAP'!$I$3:$I$501,'Plan rashoda za unos u SAP'!$C$3:$C$501,"=576",'Plan rashoda za unos u SAP'!$M$3:$M$501,"=454")+SUMIFS('ANALITIKA EU PROJEKATA'!$G$3:$G$501,'ANALITIKA EU PROJEKATA'!$A$3:$A$501,"=576",'ANALITIKA EU PROJEKATA'!$P$3:$P$501,"=454")</f>
        <v>0</v>
      </c>
      <c r="S57" s="140">
        <f>SUMIFS('Plan rashoda za unos u SAP'!$I$3:$I$501,'Plan rashoda za unos u SAP'!$C$3:$C$501,"=61",'Plan rashoda za unos u SAP'!$M$3:$M$501,"=454")+SUMIFS('ANALITIKA EU PROJEKATA'!$G$3:$G$501,'ANALITIKA EU PROJEKATA'!$A$3:$A$501,"=61",'ANALITIKA EU PROJEKATA'!$P$3:$P$501,"=454")</f>
        <v>0</v>
      </c>
      <c r="T57" s="140">
        <f>SUMIFS('Plan rashoda za unos u SAP'!$I$3:$I$501,'Plan rashoda za unos u SAP'!$C$3:$C$501,"=63",'Plan rashoda za unos u SAP'!$M$3:$M$501,"=454")+SUMIFS('ANALITIKA EU PROJEKATA'!$G$3:$G$501,'ANALITIKA EU PROJEKATA'!$A$3:$A$501,"=63",'ANALITIKA EU PROJEKATA'!$P$3:$P$501,"=454")</f>
        <v>0</v>
      </c>
      <c r="U57" s="140">
        <f>SUMIFS('Plan rashoda za unos u SAP'!$I$3:$I$501,'Plan rashoda za unos u SAP'!$C$3:$C$501,"=71",'Plan rashoda za unos u SAP'!$M$3:$M$501,"=454")+SUMIFS('ANALITIKA EU PROJEKATA'!$G$3:$G$501,'ANALITIKA EU PROJEKATA'!$A$3:$A$501,"=71",'ANALITIKA EU PROJEKATA'!$P$3:$P$501,"=454")</f>
        <v>0</v>
      </c>
      <c r="V57" s="140">
        <f>SUMIFS('Plan rashoda za unos u SAP'!$I$3:$I$501,'Plan rashoda za unos u SAP'!$C$3:$C$501,"=81",'Plan rashoda za unos u SAP'!$M$3:$M$501,"=454")+SUMIFS('ANALITIKA EU PROJEKATA'!$G$3:$G$501,'ANALITIKA EU PROJEKATA'!$A$3:$A$501,"=81",'ANALITIKA EU PROJEKATA'!$P$3:$P$501,"=454")</f>
        <v>0</v>
      </c>
      <c r="W57" s="140">
        <f>SUMIFS('Plan rashoda za unos u SAP'!$I$3:$I$501,'Plan rashoda za unos u SAP'!$C$3:$C$501,"=83",'Plan rashoda za unos u SAP'!$M$3:$M$501,"=454")+SUMIFS('ANALITIKA EU PROJEKATA'!$G$3:$G$501,'ANALITIKA EU PROJEKATA'!$A$3:$A$501,"=83",'ANALITIKA EU PROJEKATA'!$P$3:$P$501,"=454")</f>
        <v>0</v>
      </c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  <c r="BQ57" s="72"/>
      <c r="BR57" s="72"/>
      <c r="BS57" s="72"/>
      <c r="BT57" s="72"/>
      <c r="BU57" s="72"/>
      <c r="BV57" s="72"/>
      <c r="BW57" s="72"/>
      <c r="BX57" s="72"/>
      <c r="BY57" s="72"/>
      <c r="BZ57" s="72"/>
      <c r="CA57" s="72"/>
      <c r="CB57" s="72"/>
      <c r="CC57" s="72"/>
      <c r="CD57" s="72"/>
      <c r="CE57" s="72"/>
      <c r="CF57" s="72"/>
      <c r="CG57" s="72"/>
      <c r="CH57" s="72"/>
      <c r="CI57" s="72"/>
      <c r="CJ57" s="72"/>
      <c r="CK57" s="72"/>
      <c r="CL57" s="72"/>
      <c r="CM57" s="72"/>
      <c r="CN57" s="72"/>
      <c r="CO57" s="72"/>
      <c r="CP57" s="72"/>
      <c r="CQ57" s="72"/>
      <c r="CR57" s="72"/>
      <c r="CS57" s="72"/>
      <c r="CT57" s="72"/>
      <c r="CU57" s="72"/>
      <c r="CV57" s="72"/>
      <c r="CW57" s="72"/>
      <c r="CX57" s="72"/>
      <c r="CY57" s="72"/>
      <c r="CZ57" s="72"/>
      <c r="DA57" s="72"/>
      <c r="DB57" s="72"/>
      <c r="DC57" s="72"/>
      <c r="DD57" s="72"/>
      <c r="DE57" s="72"/>
      <c r="DF57" s="72"/>
      <c r="DG57" s="72"/>
      <c r="DH57" s="72"/>
      <c r="DI57" s="72"/>
      <c r="DJ57" s="72"/>
      <c r="DK57" s="72"/>
      <c r="DL57" s="72"/>
      <c r="DM57" s="72"/>
      <c r="DN57" s="72"/>
      <c r="DO57" s="72"/>
      <c r="DP57" s="72"/>
      <c r="DQ57" s="72"/>
      <c r="DR57" s="72"/>
      <c r="DS57" s="72"/>
      <c r="DT57" s="72"/>
      <c r="DU57" s="72"/>
      <c r="DV57" s="72"/>
      <c r="DW57" s="72"/>
      <c r="DX57" s="72"/>
      <c r="DY57" s="72"/>
      <c r="DZ57" s="72"/>
      <c r="EA57" s="72"/>
      <c r="EB57" s="72"/>
      <c r="EC57" s="72"/>
      <c r="ED57" s="72"/>
      <c r="EE57" s="72"/>
      <c r="EF57" s="72"/>
      <c r="EG57" s="72"/>
      <c r="EH57" s="72"/>
      <c r="EI57" s="72"/>
      <c r="EJ57" s="72"/>
      <c r="EK57" s="72"/>
      <c r="EL57" s="72"/>
      <c r="EM57" s="72"/>
      <c r="EN57" s="72"/>
      <c r="EO57" s="72"/>
      <c r="EP57" s="72"/>
      <c r="EQ57" s="72"/>
      <c r="ER57" s="72"/>
      <c r="ES57" s="72"/>
      <c r="ET57" s="72"/>
      <c r="EU57" s="72"/>
      <c r="EV57" s="72"/>
      <c r="EW57" s="72"/>
      <c r="EX57" s="72"/>
      <c r="EY57" s="72"/>
      <c r="EZ57" s="72"/>
      <c r="FA57" s="72"/>
      <c r="FB57" s="72"/>
      <c r="FC57" s="72"/>
      <c r="FD57" s="72"/>
      <c r="FE57" s="72"/>
      <c r="FF57" s="72"/>
      <c r="FG57" s="72"/>
      <c r="FH57" s="72"/>
      <c r="FI57" s="72"/>
      <c r="FJ57" s="72"/>
      <c r="FK57" s="72"/>
      <c r="FL57" s="72"/>
      <c r="FM57" s="72"/>
      <c r="FN57" s="72"/>
      <c r="FO57" s="72"/>
      <c r="FP57" s="72"/>
      <c r="FQ57" s="72"/>
      <c r="FR57" s="72"/>
      <c r="FS57" s="72"/>
      <c r="FT57" s="72"/>
      <c r="FU57" s="72"/>
      <c r="FV57" s="72"/>
      <c r="FW57" s="72"/>
      <c r="FX57" s="72"/>
      <c r="FY57" s="72"/>
      <c r="FZ57" s="72"/>
      <c r="GA57" s="72"/>
      <c r="GB57" s="72"/>
      <c r="GC57" s="72"/>
      <c r="GD57" s="72"/>
      <c r="GE57" s="72"/>
      <c r="GF57" s="72"/>
      <c r="GG57" s="72"/>
      <c r="GH57" s="72"/>
      <c r="GI57" s="72"/>
      <c r="GJ57" s="72"/>
      <c r="GK57" s="72"/>
      <c r="GL57" s="73"/>
      <c r="GM57" s="73"/>
      <c r="GN57" s="73"/>
      <c r="GO57" s="73"/>
      <c r="GP57" s="73"/>
      <c r="GQ57" s="73"/>
      <c r="GR57" s="73"/>
      <c r="GS57" s="73"/>
      <c r="GT57" s="73"/>
      <c r="GU57" s="73"/>
      <c r="GV57" s="73"/>
      <c r="GW57" s="73"/>
      <c r="GX57" s="73"/>
      <c r="GY57" s="73"/>
      <c r="GZ57" s="73"/>
      <c r="HA57" s="73"/>
      <c r="HB57" s="73"/>
      <c r="HC57" s="73"/>
      <c r="HD57" s="73"/>
      <c r="HE57" s="73"/>
      <c r="HF57" s="73"/>
      <c r="HG57" s="73"/>
      <c r="HH57" s="73"/>
      <c r="HI57" s="73"/>
      <c r="HJ57" s="73"/>
      <c r="HK57" s="73"/>
      <c r="HL57" s="73"/>
      <c r="HM57" s="73"/>
      <c r="HN57" s="73"/>
      <c r="HO57" s="73"/>
      <c r="HP57" s="73"/>
      <c r="HQ57" s="73"/>
      <c r="HR57" s="73"/>
      <c r="HS57" s="73"/>
      <c r="HT57" s="73"/>
      <c r="HU57" s="73"/>
      <c r="HV57" s="73"/>
      <c r="HW57" s="73"/>
      <c r="HX57" s="73"/>
      <c r="HY57" s="73"/>
      <c r="HZ57" s="73"/>
      <c r="IA57" s="73"/>
      <c r="IB57" s="73"/>
      <c r="IC57" s="73"/>
      <c r="ID57" s="73"/>
      <c r="IE57" s="73"/>
      <c r="IF57" s="73"/>
      <c r="IG57" s="73"/>
      <c r="IH57" s="73"/>
      <c r="II57" s="73"/>
      <c r="IJ57" s="73"/>
      <c r="IK57" s="73"/>
      <c r="IL57" s="73"/>
      <c r="IM57" s="73"/>
      <c r="IN57" s="73"/>
      <c r="IO57" s="73"/>
      <c r="IP57" s="73"/>
      <c r="IQ57" s="73"/>
      <c r="IR57" s="73"/>
      <c r="IS57" s="73"/>
      <c r="IT57" s="73"/>
      <c r="IU57" s="73"/>
      <c r="IV57" s="73"/>
      <c r="IW57" s="73"/>
      <c r="IX57" s="73"/>
      <c r="IY57" s="73"/>
      <c r="IZ57" s="73"/>
      <c r="JA57" s="73"/>
      <c r="JB57" s="73"/>
      <c r="JC57" s="73"/>
    </row>
    <row r="58" spans="1:263" s="9" customFormat="1" ht="12.6" customHeight="1">
      <c r="A58" s="22">
        <v>2021</v>
      </c>
      <c r="B58" s="122">
        <v>5</v>
      </c>
      <c r="C58" s="123" t="s">
        <v>16</v>
      </c>
      <c r="D58" s="126">
        <f t="shared" si="1"/>
        <v>0</v>
      </c>
      <c r="E58" s="125">
        <f t="shared" ref="E58:W58" si="16">+E59+E63</f>
        <v>0</v>
      </c>
      <c r="F58" s="125">
        <f t="shared" si="16"/>
        <v>0</v>
      </c>
      <c r="G58" s="125">
        <f t="shared" si="16"/>
        <v>0</v>
      </c>
      <c r="H58" s="125">
        <f>+H59+H63</f>
        <v>0</v>
      </c>
      <c r="I58" s="125">
        <f t="shared" si="16"/>
        <v>0</v>
      </c>
      <c r="J58" s="125">
        <f t="shared" si="16"/>
        <v>0</v>
      </c>
      <c r="K58" s="125">
        <f t="shared" si="16"/>
        <v>0</v>
      </c>
      <c r="L58" s="125">
        <f>+L59+L63</f>
        <v>0</v>
      </c>
      <c r="M58" s="125">
        <f t="shared" si="16"/>
        <v>0</v>
      </c>
      <c r="N58" s="125">
        <f t="shared" si="16"/>
        <v>0</v>
      </c>
      <c r="O58" s="125">
        <f t="shared" si="16"/>
        <v>0</v>
      </c>
      <c r="P58" s="125">
        <f>+P59+P63</f>
        <v>0</v>
      </c>
      <c r="Q58" s="125">
        <f>+Q59+Q63</f>
        <v>0</v>
      </c>
      <c r="R58" s="125">
        <f>+R59+R63</f>
        <v>0</v>
      </c>
      <c r="S58" s="125">
        <f t="shared" si="16"/>
        <v>0</v>
      </c>
      <c r="T58" s="125">
        <f t="shared" si="16"/>
        <v>0</v>
      </c>
      <c r="U58" s="125">
        <f t="shared" si="16"/>
        <v>0</v>
      </c>
      <c r="V58" s="125">
        <f t="shared" si="16"/>
        <v>0</v>
      </c>
      <c r="W58" s="125">
        <f t="shared" si="16"/>
        <v>0</v>
      </c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  <c r="BQ58" s="72"/>
      <c r="BR58" s="72"/>
      <c r="BS58" s="72"/>
      <c r="BT58" s="72"/>
      <c r="BU58" s="72"/>
      <c r="BV58" s="72"/>
      <c r="BW58" s="72"/>
      <c r="BX58" s="72"/>
      <c r="BY58" s="72"/>
      <c r="BZ58" s="72"/>
      <c r="CA58" s="72"/>
      <c r="CB58" s="72"/>
      <c r="CC58" s="72"/>
      <c r="CD58" s="72"/>
      <c r="CE58" s="72"/>
      <c r="CF58" s="72"/>
      <c r="CG58" s="72"/>
      <c r="CH58" s="72"/>
      <c r="CI58" s="72"/>
      <c r="CJ58" s="72"/>
      <c r="CK58" s="72"/>
      <c r="CL58" s="72"/>
      <c r="CM58" s="72"/>
      <c r="CN58" s="72"/>
      <c r="CO58" s="72"/>
      <c r="CP58" s="72"/>
      <c r="CQ58" s="72"/>
      <c r="CR58" s="72"/>
      <c r="CS58" s="72"/>
      <c r="CT58" s="72"/>
      <c r="CU58" s="72"/>
      <c r="CV58" s="72"/>
      <c r="CW58" s="72"/>
      <c r="CX58" s="72"/>
      <c r="CY58" s="72"/>
      <c r="CZ58" s="72"/>
      <c r="DA58" s="72"/>
      <c r="DB58" s="72"/>
      <c r="DC58" s="72"/>
      <c r="DD58" s="72"/>
      <c r="DE58" s="72"/>
      <c r="DF58" s="72"/>
      <c r="DG58" s="72"/>
      <c r="DH58" s="72"/>
      <c r="DI58" s="72"/>
      <c r="DJ58" s="72"/>
      <c r="DK58" s="72"/>
      <c r="DL58" s="72"/>
      <c r="DM58" s="72"/>
      <c r="DN58" s="72"/>
      <c r="DO58" s="72"/>
      <c r="DP58" s="72"/>
      <c r="DQ58" s="72"/>
      <c r="DR58" s="72"/>
      <c r="DS58" s="72"/>
      <c r="DT58" s="72"/>
      <c r="DU58" s="72"/>
      <c r="DV58" s="72"/>
      <c r="DW58" s="72"/>
      <c r="DX58" s="72"/>
      <c r="DY58" s="72"/>
      <c r="DZ58" s="72"/>
      <c r="EA58" s="72"/>
      <c r="EB58" s="72"/>
      <c r="EC58" s="72"/>
      <c r="ED58" s="72"/>
      <c r="EE58" s="72"/>
      <c r="EF58" s="72"/>
      <c r="EG58" s="72"/>
      <c r="EH58" s="72"/>
      <c r="EI58" s="72"/>
      <c r="EJ58" s="72"/>
      <c r="EK58" s="72"/>
      <c r="EL58" s="72"/>
      <c r="EM58" s="72"/>
      <c r="EN58" s="72"/>
      <c r="EO58" s="72"/>
      <c r="EP58" s="72"/>
      <c r="EQ58" s="72"/>
      <c r="ER58" s="72"/>
      <c r="ES58" s="72"/>
      <c r="ET58" s="72"/>
      <c r="EU58" s="72"/>
      <c r="EV58" s="72"/>
      <c r="EW58" s="72"/>
      <c r="EX58" s="72"/>
      <c r="EY58" s="72"/>
      <c r="EZ58" s="72"/>
      <c r="FA58" s="72"/>
      <c r="FB58" s="72"/>
      <c r="FC58" s="72"/>
      <c r="FD58" s="72"/>
      <c r="FE58" s="72"/>
      <c r="FF58" s="72"/>
      <c r="FG58" s="72"/>
      <c r="FH58" s="72"/>
      <c r="FI58" s="72"/>
      <c r="FJ58" s="72"/>
      <c r="FK58" s="72"/>
      <c r="FL58" s="72"/>
      <c r="FM58" s="72"/>
      <c r="FN58" s="72"/>
      <c r="FO58" s="72"/>
      <c r="FP58" s="72"/>
      <c r="FQ58" s="72"/>
      <c r="FR58" s="72"/>
      <c r="FS58" s="72"/>
      <c r="FT58" s="72"/>
      <c r="FU58" s="72"/>
      <c r="FV58" s="72"/>
      <c r="FW58" s="72"/>
      <c r="FX58" s="72"/>
      <c r="FY58" s="72"/>
      <c r="FZ58" s="72"/>
      <c r="GA58" s="72"/>
      <c r="GB58" s="72"/>
      <c r="GC58" s="72"/>
      <c r="GD58" s="72"/>
      <c r="GE58" s="72"/>
      <c r="GF58" s="72"/>
      <c r="GG58" s="72"/>
      <c r="GH58" s="72"/>
      <c r="GI58" s="72"/>
      <c r="GJ58" s="72"/>
      <c r="GK58" s="72"/>
      <c r="GL58" s="73"/>
      <c r="GM58" s="73"/>
      <c r="GN58" s="73"/>
      <c r="GO58" s="73"/>
      <c r="GP58" s="73"/>
      <c r="GQ58" s="73"/>
      <c r="GR58" s="73"/>
      <c r="GS58" s="73"/>
      <c r="GT58" s="73"/>
      <c r="GU58" s="73"/>
      <c r="GV58" s="73"/>
      <c r="GW58" s="73"/>
      <c r="GX58" s="73"/>
      <c r="GY58" s="73"/>
      <c r="GZ58" s="73"/>
      <c r="HA58" s="73"/>
      <c r="HB58" s="73"/>
      <c r="HC58" s="73"/>
      <c r="HD58" s="73"/>
      <c r="HE58" s="73"/>
      <c r="HF58" s="73"/>
      <c r="HG58" s="73"/>
      <c r="HH58" s="73"/>
      <c r="HI58" s="73"/>
      <c r="HJ58" s="73"/>
      <c r="HK58" s="73"/>
      <c r="HL58" s="73"/>
      <c r="HM58" s="73"/>
      <c r="HN58" s="73"/>
      <c r="HO58" s="73"/>
      <c r="HP58" s="73"/>
      <c r="HQ58" s="73"/>
      <c r="HR58" s="73"/>
      <c r="HS58" s="73"/>
      <c r="HT58" s="73"/>
      <c r="HU58" s="73"/>
      <c r="HV58" s="73"/>
      <c r="HW58" s="73"/>
      <c r="HX58" s="73"/>
      <c r="HY58" s="73"/>
      <c r="HZ58" s="73"/>
      <c r="IA58" s="73"/>
      <c r="IB58" s="73"/>
      <c r="IC58" s="73"/>
      <c r="ID58" s="73"/>
      <c r="IE58" s="73"/>
      <c r="IF58" s="73"/>
      <c r="IG58" s="73"/>
      <c r="IH58" s="73"/>
      <c r="II58" s="73"/>
      <c r="IJ58" s="73"/>
      <c r="IK58" s="73"/>
      <c r="IL58" s="73"/>
      <c r="IM58" s="73"/>
      <c r="IN58" s="73"/>
      <c r="IO58" s="73"/>
      <c r="IP58" s="73"/>
      <c r="IQ58" s="73"/>
      <c r="IR58" s="73"/>
      <c r="IS58" s="73"/>
      <c r="IT58" s="73"/>
      <c r="IU58" s="73"/>
      <c r="IV58" s="73"/>
      <c r="IW58" s="73"/>
      <c r="IX58" s="73"/>
      <c r="IY58" s="73"/>
      <c r="IZ58" s="73"/>
      <c r="JA58" s="73"/>
      <c r="JB58" s="73"/>
      <c r="JC58" s="73"/>
    </row>
    <row r="59" spans="1:263" s="13" customFormat="1" ht="12.6" customHeight="1">
      <c r="A59" s="22">
        <v>2021</v>
      </c>
      <c r="B59" s="10">
        <v>51</v>
      </c>
      <c r="C59" s="11" t="s">
        <v>357</v>
      </c>
      <c r="D59" s="78">
        <f t="shared" si="1"/>
        <v>0</v>
      </c>
      <c r="E59" s="12">
        <f t="shared" ref="E59:W59" si="17">SUM(E60:E62)</f>
        <v>0</v>
      </c>
      <c r="F59" s="12">
        <f t="shared" si="17"/>
        <v>0</v>
      </c>
      <c r="G59" s="12">
        <f t="shared" si="17"/>
        <v>0</v>
      </c>
      <c r="H59" s="12">
        <f t="shared" si="17"/>
        <v>0</v>
      </c>
      <c r="I59" s="12">
        <f t="shared" si="17"/>
        <v>0</v>
      </c>
      <c r="J59" s="12">
        <f t="shared" si="17"/>
        <v>0</v>
      </c>
      <c r="K59" s="12">
        <f t="shared" si="17"/>
        <v>0</v>
      </c>
      <c r="L59" s="12">
        <f t="shared" si="17"/>
        <v>0</v>
      </c>
      <c r="M59" s="12">
        <f t="shared" si="17"/>
        <v>0</v>
      </c>
      <c r="N59" s="12">
        <f t="shared" si="17"/>
        <v>0</v>
      </c>
      <c r="O59" s="12">
        <f t="shared" si="17"/>
        <v>0</v>
      </c>
      <c r="P59" s="12">
        <f t="shared" si="17"/>
        <v>0</v>
      </c>
      <c r="Q59" s="12">
        <f t="shared" si="17"/>
        <v>0</v>
      </c>
      <c r="R59" s="12">
        <f t="shared" ref="R59" si="18">SUM(R60:R62)</f>
        <v>0</v>
      </c>
      <c r="S59" s="12">
        <f t="shared" si="17"/>
        <v>0</v>
      </c>
      <c r="T59" s="12">
        <f t="shared" si="17"/>
        <v>0</v>
      </c>
      <c r="U59" s="12">
        <f t="shared" si="17"/>
        <v>0</v>
      </c>
      <c r="V59" s="12">
        <f t="shared" si="17"/>
        <v>0</v>
      </c>
      <c r="W59" s="12">
        <f t="shared" si="17"/>
        <v>0</v>
      </c>
      <c r="X59" s="79"/>
      <c r="Y59" s="79"/>
      <c r="Z59" s="79"/>
      <c r="AA59" s="79"/>
      <c r="AB59" s="79"/>
      <c r="AC59" s="79"/>
      <c r="AD59" s="79"/>
      <c r="AE59" s="79"/>
      <c r="AF59" s="79"/>
      <c r="AG59" s="79"/>
      <c r="AH59" s="79"/>
      <c r="AI59" s="79"/>
      <c r="AJ59" s="79"/>
      <c r="AK59" s="79"/>
      <c r="AL59" s="79"/>
      <c r="AM59" s="79"/>
      <c r="AN59" s="79"/>
      <c r="AO59" s="79"/>
      <c r="AP59" s="79"/>
      <c r="AQ59" s="79"/>
      <c r="AR59" s="79"/>
      <c r="AS59" s="79"/>
      <c r="AT59" s="79"/>
      <c r="AU59" s="79"/>
      <c r="AV59" s="79"/>
      <c r="AW59" s="79"/>
      <c r="AX59" s="79"/>
      <c r="AY59" s="79"/>
      <c r="AZ59" s="79"/>
      <c r="BA59" s="79"/>
      <c r="BB59" s="79"/>
      <c r="BC59" s="79"/>
      <c r="BD59" s="79"/>
      <c r="BE59" s="79"/>
      <c r="BF59" s="79"/>
      <c r="BG59" s="79"/>
      <c r="BH59" s="79"/>
      <c r="BI59" s="79"/>
      <c r="BJ59" s="79"/>
      <c r="BK59" s="79"/>
      <c r="BL59" s="79"/>
      <c r="BM59" s="79"/>
      <c r="BN59" s="79"/>
      <c r="BO59" s="79"/>
      <c r="BP59" s="79"/>
      <c r="BQ59" s="79"/>
      <c r="BR59" s="79"/>
      <c r="BS59" s="79"/>
      <c r="BT59" s="79"/>
      <c r="BU59" s="79"/>
      <c r="BV59" s="79"/>
      <c r="BW59" s="79"/>
      <c r="BX59" s="79"/>
      <c r="BY59" s="79"/>
      <c r="BZ59" s="79"/>
      <c r="CA59" s="79"/>
      <c r="CB59" s="79"/>
      <c r="CC59" s="79"/>
      <c r="CD59" s="79"/>
      <c r="CE59" s="79"/>
      <c r="CF59" s="79"/>
      <c r="CG59" s="79"/>
      <c r="CH59" s="79"/>
      <c r="CI59" s="79"/>
      <c r="CJ59" s="79"/>
      <c r="CK59" s="79"/>
      <c r="CL59" s="79"/>
      <c r="CM59" s="79"/>
      <c r="CN59" s="79"/>
      <c r="CO59" s="79"/>
      <c r="CP59" s="79"/>
      <c r="CQ59" s="79"/>
      <c r="CR59" s="79"/>
      <c r="CS59" s="79"/>
      <c r="CT59" s="79"/>
      <c r="CU59" s="79"/>
      <c r="CV59" s="79"/>
      <c r="CW59" s="79"/>
      <c r="CX59" s="79"/>
      <c r="CY59" s="79"/>
      <c r="CZ59" s="79"/>
      <c r="DA59" s="79"/>
      <c r="DB59" s="79"/>
      <c r="DC59" s="79"/>
      <c r="DD59" s="79"/>
      <c r="DE59" s="79"/>
      <c r="DF59" s="79"/>
      <c r="DG59" s="79"/>
      <c r="DH59" s="79"/>
      <c r="DI59" s="79"/>
      <c r="DJ59" s="79"/>
      <c r="DK59" s="79"/>
      <c r="DL59" s="79"/>
      <c r="DM59" s="79"/>
      <c r="DN59" s="79"/>
      <c r="DO59" s="79"/>
      <c r="DP59" s="79"/>
      <c r="DQ59" s="79"/>
      <c r="DR59" s="79"/>
      <c r="DS59" s="79"/>
      <c r="DT59" s="79"/>
      <c r="DU59" s="79"/>
      <c r="DV59" s="79"/>
      <c r="DW59" s="79"/>
      <c r="DX59" s="79"/>
      <c r="DY59" s="79"/>
      <c r="DZ59" s="79"/>
      <c r="EA59" s="79"/>
      <c r="EB59" s="79"/>
      <c r="EC59" s="79"/>
      <c r="ED59" s="79"/>
      <c r="EE59" s="79"/>
      <c r="EF59" s="79"/>
      <c r="EG59" s="79"/>
      <c r="EH59" s="79"/>
      <c r="EI59" s="79"/>
      <c r="EJ59" s="79"/>
      <c r="EK59" s="79"/>
      <c r="EL59" s="79"/>
      <c r="EM59" s="79"/>
      <c r="EN59" s="79"/>
      <c r="EO59" s="79"/>
      <c r="EP59" s="79"/>
      <c r="EQ59" s="79"/>
      <c r="ER59" s="79"/>
      <c r="ES59" s="79"/>
      <c r="ET59" s="79"/>
      <c r="EU59" s="79"/>
      <c r="EV59" s="79"/>
      <c r="EW59" s="79"/>
      <c r="EX59" s="79"/>
      <c r="EY59" s="79"/>
      <c r="EZ59" s="79"/>
      <c r="FA59" s="79"/>
      <c r="FB59" s="79"/>
      <c r="FC59" s="79"/>
      <c r="FD59" s="79"/>
      <c r="FE59" s="79"/>
      <c r="FF59" s="79"/>
      <c r="FG59" s="79"/>
      <c r="FH59" s="79"/>
      <c r="FI59" s="79"/>
      <c r="FJ59" s="79"/>
      <c r="FK59" s="79"/>
      <c r="FL59" s="79"/>
      <c r="FM59" s="79"/>
      <c r="FN59" s="79"/>
      <c r="FO59" s="79"/>
      <c r="FP59" s="79"/>
      <c r="FQ59" s="79"/>
      <c r="FR59" s="79"/>
      <c r="FS59" s="79"/>
      <c r="FT59" s="79"/>
      <c r="FU59" s="79"/>
      <c r="FV59" s="79"/>
      <c r="FW59" s="79"/>
      <c r="FX59" s="79"/>
      <c r="FY59" s="79"/>
      <c r="FZ59" s="79"/>
      <c r="GA59" s="79"/>
      <c r="GB59" s="79"/>
      <c r="GC59" s="79"/>
      <c r="GD59" s="79"/>
      <c r="GE59" s="79"/>
      <c r="GF59" s="79"/>
      <c r="GG59" s="79"/>
      <c r="GH59" s="79"/>
      <c r="GI59" s="79"/>
      <c r="GJ59" s="79"/>
      <c r="GK59" s="79"/>
      <c r="GL59" s="80"/>
      <c r="GM59" s="80"/>
      <c r="GN59" s="80"/>
      <c r="GO59" s="80"/>
      <c r="GP59" s="80"/>
      <c r="GQ59" s="80"/>
      <c r="GR59" s="80"/>
      <c r="GS59" s="80"/>
      <c r="GT59" s="80"/>
      <c r="GU59" s="80"/>
      <c r="GV59" s="80"/>
      <c r="GW59" s="80"/>
      <c r="GX59" s="80"/>
      <c r="GY59" s="80"/>
      <c r="GZ59" s="80"/>
      <c r="HA59" s="80"/>
      <c r="HB59" s="80"/>
      <c r="HC59" s="80"/>
      <c r="HD59" s="80"/>
      <c r="HE59" s="80"/>
      <c r="HF59" s="80"/>
      <c r="HG59" s="80"/>
      <c r="HH59" s="80"/>
      <c r="HI59" s="80"/>
      <c r="HJ59" s="80"/>
      <c r="HK59" s="80"/>
      <c r="HL59" s="80"/>
      <c r="HM59" s="80"/>
      <c r="HN59" s="80"/>
      <c r="HO59" s="80"/>
      <c r="HP59" s="80"/>
      <c r="HQ59" s="80"/>
      <c r="HR59" s="80"/>
      <c r="HS59" s="80"/>
      <c r="HT59" s="80"/>
      <c r="HU59" s="80"/>
      <c r="HV59" s="80"/>
      <c r="HW59" s="80"/>
      <c r="HX59" s="80"/>
      <c r="HY59" s="80"/>
      <c r="HZ59" s="80"/>
      <c r="IA59" s="80"/>
      <c r="IB59" s="80"/>
      <c r="IC59" s="80"/>
      <c r="ID59" s="80"/>
      <c r="IE59" s="80"/>
      <c r="IF59" s="80"/>
      <c r="IG59" s="80"/>
      <c r="IH59" s="80"/>
      <c r="II59" s="80"/>
      <c r="IJ59" s="80"/>
      <c r="IK59" s="80"/>
      <c r="IL59" s="80"/>
      <c r="IM59" s="80"/>
      <c r="IN59" s="80"/>
      <c r="IO59" s="80"/>
      <c r="IP59" s="80"/>
      <c r="IQ59" s="80"/>
      <c r="IR59" s="80"/>
      <c r="IS59" s="80"/>
      <c r="IT59" s="80"/>
      <c r="IU59" s="80"/>
      <c r="IV59" s="80"/>
      <c r="IW59" s="80"/>
      <c r="IX59" s="80"/>
      <c r="IY59" s="80"/>
      <c r="IZ59" s="80"/>
      <c r="JA59" s="80"/>
      <c r="JB59" s="80"/>
      <c r="JC59" s="80"/>
    </row>
    <row r="60" spans="1:263" s="13" customFormat="1" ht="12.6" customHeight="1">
      <c r="A60" s="22">
        <v>2021</v>
      </c>
      <c r="B60" s="137">
        <v>512</v>
      </c>
      <c r="C60" s="81" t="s">
        <v>362</v>
      </c>
      <c r="D60" s="78">
        <f t="shared" si="1"/>
        <v>0</v>
      </c>
      <c r="E60" s="140">
        <f>SUMIFS('Plan rashoda za unos u SAP'!$I$3:$I$501,'Plan rashoda za unos u SAP'!$C$3:$C$501,"=11",'Plan rashoda za unos u SAP'!$M$3:$M$501,"=512")+SUMIFS('ANALITIKA EU PROJEKATA'!$G$3:$G$501,'ANALITIKA EU PROJEKATA'!$A$3:$A$501,"=11",'ANALITIKA EU PROJEKATA'!$P$3:$P$501,"=512")</f>
        <v>0</v>
      </c>
      <c r="F60" s="140">
        <f>SUMIFS('Plan rashoda za unos u SAP'!$I$3:$I$501,'Plan rashoda za unos u SAP'!$C$3:$C$501,"=12",'Plan rashoda za unos u SAP'!$M$3:$M$501,"=512")+SUMIFS('ANALITIKA EU PROJEKATA'!$G$3:$G$501,'ANALITIKA EU PROJEKATA'!$A$3:$A$501,"=12",'ANALITIKA EU PROJEKATA'!$P$3:$P$501,"=512")</f>
        <v>0</v>
      </c>
      <c r="G60" s="140">
        <f>SUMIFS('Plan rashoda za unos u SAP'!$I$3:$I$501,'Plan rashoda za unos u SAP'!$C$3:$C$501,"=31",'Plan rashoda za unos u SAP'!$M$3:$M$501,"=512")+SUMIFS('ANALITIKA EU PROJEKATA'!$G$3:$G$501,'ANALITIKA EU PROJEKATA'!$A$3:$A$501,"=31",'ANALITIKA EU PROJEKATA'!$P$3:$P$501,"=512")</f>
        <v>0</v>
      </c>
      <c r="H60" s="140">
        <f>SUMIFS('Plan rashoda za unos u SAP'!$I$3:$I$501,'Plan rashoda za unos u SAP'!$C$3:$C$501,"=41",'Plan rashoda za unos u SAP'!$M$3:$M$501,"=512")+SUMIFS('ANALITIKA EU PROJEKATA'!$G$3:$G$501,'ANALITIKA EU PROJEKATA'!$A$3:$A$501,"=41",'ANALITIKA EU PROJEKATA'!$P$3:$P$501,"=512")</f>
        <v>0</v>
      </c>
      <c r="I60" s="140">
        <f>SUMIFS('Plan rashoda za unos u SAP'!$I$3:$I$501,'Plan rashoda za unos u SAP'!$C$3:$C$501,"=43",'Plan rashoda za unos u SAP'!$M$3:$M$501,"=512")+SUMIFS('ANALITIKA EU PROJEKATA'!$G$3:$G$501,'ANALITIKA EU PROJEKATA'!$A$3:$A$501,"=43",'ANALITIKA EU PROJEKATA'!$P$3:$P$501,"=512")</f>
        <v>0</v>
      </c>
      <c r="J60" s="140">
        <f>SUMIFS('Plan rashoda za unos u SAP'!$I$3:$I$501,'Plan rashoda za unos u SAP'!$C$3:$C$501,"=51",'Plan rashoda za unos u SAP'!$M$3:$M$501,"=512")+SUMIFS('ANALITIKA EU PROJEKATA'!$G$3:$G$501,'ANALITIKA EU PROJEKATA'!$A$3:$A$501,"=51",'ANALITIKA EU PROJEKATA'!$P$3:$P$501,"=512")</f>
        <v>0</v>
      </c>
      <c r="K60" s="140">
        <f>SUMIFS('Plan rashoda za unos u SAP'!$I$3:$I$501,'Plan rashoda za unos u SAP'!$C$3:$C$501,"=52",'Plan rashoda za unos u SAP'!$M$3:$M$501,"=512")+SUMIFS('ANALITIKA EU PROJEKATA'!$G$3:$G$501,'ANALITIKA EU PROJEKATA'!$A$3:$A$501,"=52",'ANALITIKA EU PROJEKATA'!$P$3:$P$501,"=512")</f>
        <v>0</v>
      </c>
      <c r="L60" s="140">
        <f>SUMIFS('Plan rashoda za unos u SAP'!$I$3:$I$501,'Plan rashoda za unos u SAP'!$C$3:$C$501,"=552",'Plan rashoda za unos u SAP'!$M$3:$M$501,"=512")+SUMIFS('ANALITIKA EU PROJEKATA'!$G$3:$G$501,'ANALITIKA EU PROJEKATA'!$A$3:$A$501,"=552",'ANALITIKA EU PROJEKATA'!$P$3:$P$501,"=512")</f>
        <v>0</v>
      </c>
      <c r="M60" s="140">
        <f>SUMIFS('Plan rashoda za unos u SAP'!$I$3:$I$501,'Plan rashoda za unos u SAP'!$C$3:$C$501,"=559",'Plan rashoda za unos u SAP'!$M$3:$M$501,"=512")+SUMIFS('ANALITIKA EU PROJEKATA'!$G$3:$G$501,'ANALITIKA EU PROJEKATA'!$A$3:$A$501,"=559",'ANALITIKA EU PROJEKATA'!$P$3:$P$501,"=512")</f>
        <v>0</v>
      </c>
      <c r="N60" s="140">
        <f>SUMIFS('Plan rashoda za unos u SAP'!$I$3:$I$501,'Plan rashoda za unos u SAP'!$C$3:$C$501,"=561",'Plan rashoda za unos u SAP'!$M$3:$M$501,"=512")+SUMIFS('ANALITIKA EU PROJEKATA'!$G$3:$G$501,'ANALITIKA EU PROJEKATA'!$A$3:$A$501,"=561",'ANALITIKA EU PROJEKATA'!$P$3:$P$501,"=512")</f>
        <v>0</v>
      </c>
      <c r="O60" s="140">
        <f>SUMIFS('Plan rashoda za unos u SAP'!$I$3:$I$501,'Plan rashoda za unos u SAP'!$C$3:$C$501,"=563",'Plan rashoda za unos u SAP'!$M$3:$M$501,"=512")+SUMIFS('ANALITIKA EU PROJEKATA'!$G$3:$G$501,'ANALITIKA EU PROJEKATA'!$A$3:$A$501,"=563",'ANALITIKA EU PROJEKATA'!$P$3:$P$501,"=512")</f>
        <v>0</v>
      </c>
      <c r="P60" s="140">
        <f>SUMIFS('Plan rashoda za unos u SAP'!$I$3:$I$501,'Plan rashoda za unos u SAP'!$C$3:$C$501,"=573",'Plan rashoda za unos u SAP'!$M$3:$M$501,"=512")+SUMIFS('ANALITIKA EU PROJEKATA'!$G$3:$G$501,'ANALITIKA EU PROJEKATA'!$A$3:$A$501,"=573",'ANALITIKA EU PROJEKATA'!$P$3:$P$501,"=512")</f>
        <v>0</v>
      </c>
      <c r="Q60" s="140">
        <f>SUMIFS('Plan rashoda za unos u SAP'!$I$3:$I$501,'Plan rashoda za unos u SAP'!$C$3:$C$501,"=575",'Plan rashoda za unos u SAP'!$M$3:$M$501,"=512")+SUMIFS('ANALITIKA EU PROJEKATA'!$G$3:$G$501,'ANALITIKA EU PROJEKATA'!$A$3:$A$501,"=575",'ANALITIKA EU PROJEKATA'!$P$3:$P$501,"=512")</f>
        <v>0</v>
      </c>
      <c r="R60" s="140">
        <f>SUMIFS('Plan rashoda za unos u SAP'!$I$3:$I$501,'Plan rashoda za unos u SAP'!$C$3:$C$501,"=576",'Plan rashoda za unos u SAP'!$M$3:$M$501,"=512")+SUMIFS('ANALITIKA EU PROJEKATA'!$G$3:$G$501,'ANALITIKA EU PROJEKATA'!$A$3:$A$501,"=576",'ANALITIKA EU PROJEKATA'!$P$3:$P$501,"=512")</f>
        <v>0</v>
      </c>
      <c r="S60" s="140">
        <f>SUMIFS('Plan rashoda za unos u SAP'!$I$3:$I$501,'Plan rashoda za unos u SAP'!$C$3:$C$501,"=61",'Plan rashoda za unos u SAP'!$M$3:$M$501,"=512")+SUMIFS('ANALITIKA EU PROJEKATA'!$G$3:$G$501,'ANALITIKA EU PROJEKATA'!$A$3:$A$501,"=61",'ANALITIKA EU PROJEKATA'!$P$3:$P$501,"=512")</f>
        <v>0</v>
      </c>
      <c r="T60" s="140">
        <f>SUMIFS('Plan rashoda za unos u SAP'!$I$3:$I$501,'Plan rashoda za unos u SAP'!$C$3:$C$501,"=63",'Plan rashoda za unos u SAP'!$M$3:$M$501,"=512")+SUMIFS('ANALITIKA EU PROJEKATA'!$G$3:$G$501,'ANALITIKA EU PROJEKATA'!$A$3:$A$501,"=63",'ANALITIKA EU PROJEKATA'!$P$3:$P$501,"=512")</f>
        <v>0</v>
      </c>
      <c r="U60" s="140">
        <f>SUMIFS('Plan rashoda za unos u SAP'!$I$3:$I$501,'Plan rashoda za unos u SAP'!$C$3:$C$501,"=71",'Plan rashoda za unos u SAP'!$M$3:$M$501,"=512")+SUMIFS('ANALITIKA EU PROJEKATA'!$G$3:$G$501,'ANALITIKA EU PROJEKATA'!$A$3:$A$501,"=71",'ANALITIKA EU PROJEKATA'!$P$3:$P$501,"=512")</f>
        <v>0</v>
      </c>
      <c r="V60" s="140">
        <f>SUMIFS('Plan rashoda za unos u SAP'!$I$3:$I$501,'Plan rashoda za unos u SAP'!$C$3:$C$501,"=81",'Plan rashoda za unos u SAP'!$M$3:$M$501,"=512")+SUMIFS('ANALITIKA EU PROJEKATA'!$G$3:$G$501,'ANALITIKA EU PROJEKATA'!$A$3:$A$501,"=81",'ANALITIKA EU PROJEKATA'!$P$3:$P$501,"=512")</f>
        <v>0</v>
      </c>
      <c r="W60" s="140">
        <f>SUMIFS('Plan rashoda za unos u SAP'!$I$3:$I$501,'Plan rashoda za unos u SAP'!$C$3:$C$501,"=83",'Plan rashoda za unos u SAP'!$M$3:$M$501,"=512")+SUMIFS('ANALITIKA EU PROJEKATA'!$G$3:$G$501,'ANALITIKA EU PROJEKATA'!$A$3:$A$501,"=83",'ANALITIKA EU PROJEKATA'!$P$3:$P$501,"=512")</f>
        <v>0</v>
      </c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2"/>
      <c r="BK60" s="72"/>
      <c r="BL60" s="72"/>
      <c r="BM60" s="72"/>
      <c r="BN60" s="72"/>
      <c r="BO60" s="72"/>
      <c r="BP60" s="72"/>
      <c r="BQ60" s="72"/>
      <c r="BR60" s="72"/>
      <c r="BS60" s="72"/>
      <c r="BT60" s="72"/>
      <c r="BU60" s="72"/>
      <c r="BV60" s="72"/>
      <c r="BW60" s="72"/>
      <c r="BX60" s="72"/>
      <c r="BY60" s="72"/>
      <c r="BZ60" s="72"/>
      <c r="CA60" s="72"/>
      <c r="CB60" s="72"/>
      <c r="CC60" s="72"/>
      <c r="CD60" s="72"/>
      <c r="CE60" s="72"/>
      <c r="CF60" s="72"/>
      <c r="CG60" s="72"/>
      <c r="CH60" s="72"/>
      <c r="CI60" s="72"/>
      <c r="CJ60" s="72"/>
      <c r="CK60" s="72"/>
      <c r="CL60" s="72"/>
      <c r="CM60" s="72"/>
      <c r="CN60" s="72"/>
      <c r="CO60" s="72"/>
      <c r="CP60" s="72"/>
      <c r="CQ60" s="72"/>
      <c r="CR60" s="72"/>
      <c r="CS60" s="72"/>
      <c r="CT60" s="72"/>
      <c r="CU60" s="72"/>
      <c r="CV60" s="72"/>
      <c r="CW60" s="72"/>
      <c r="CX60" s="72"/>
      <c r="CY60" s="72"/>
      <c r="CZ60" s="72"/>
      <c r="DA60" s="72"/>
      <c r="DB60" s="72"/>
      <c r="DC60" s="72"/>
      <c r="DD60" s="72"/>
      <c r="DE60" s="72"/>
      <c r="DF60" s="72"/>
      <c r="DG60" s="72"/>
      <c r="DH60" s="72"/>
      <c r="DI60" s="72"/>
      <c r="DJ60" s="72"/>
      <c r="DK60" s="72"/>
      <c r="DL60" s="72"/>
      <c r="DM60" s="72"/>
      <c r="DN60" s="72"/>
      <c r="DO60" s="72"/>
      <c r="DP60" s="72"/>
      <c r="DQ60" s="72"/>
      <c r="DR60" s="72"/>
      <c r="DS60" s="72"/>
      <c r="DT60" s="72"/>
      <c r="DU60" s="72"/>
      <c r="DV60" s="72"/>
      <c r="DW60" s="72"/>
      <c r="DX60" s="72"/>
      <c r="DY60" s="72"/>
      <c r="DZ60" s="72"/>
      <c r="EA60" s="72"/>
      <c r="EB60" s="72"/>
      <c r="EC60" s="72"/>
      <c r="ED60" s="72"/>
      <c r="EE60" s="72"/>
      <c r="EF60" s="72"/>
      <c r="EG60" s="72"/>
      <c r="EH60" s="72"/>
      <c r="EI60" s="72"/>
      <c r="EJ60" s="72"/>
      <c r="EK60" s="72"/>
      <c r="EL60" s="72"/>
      <c r="EM60" s="72"/>
      <c r="EN60" s="72"/>
      <c r="EO60" s="72"/>
      <c r="EP60" s="72"/>
      <c r="EQ60" s="72"/>
      <c r="ER60" s="72"/>
      <c r="ES60" s="72"/>
      <c r="ET60" s="72"/>
      <c r="EU60" s="72"/>
      <c r="EV60" s="72"/>
      <c r="EW60" s="72"/>
      <c r="EX60" s="72"/>
      <c r="EY60" s="72"/>
      <c r="EZ60" s="72"/>
      <c r="FA60" s="72"/>
      <c r="FB60" s="72"/>
      <c r="FC60" s="72"/>
      <c r="FD60" s="72"/>
      <c r="FE60" s="72"/>
      <c r="FF60" s="72"/>
      <c r="FG60" s="72"/>
      <c r="FH60" s="72"/>
      <c r="FI60" s="72"/>
      <c r="FJ60" s="72"/>
      <c r="FK60" s="72"/>
      <c r="FL60" s="72"/>
      <c r="FM60" s="72"/>
      <c r="FN60" s="72"/>
      <c r="FO60" s="72"/>
      <c r="FP60" s="72"/>
      <c r="FQ60" s="72"/>
      <c r="FR60" s="72"/>
      <c r="FS60" s="72"/>
      <c r="FT60" s="72"/>
      <c r="FU60" s="72"/>
      <c r="FV60" s="72"/>
      <c r="FW60" s="72"/>
      <c r="FX60" s="72"/>
      <c r="FY60" s="72"/>
      <c r="FZ60" s="72"/>
      <c r="GA60" s="72"/>
      <c r="GB60" s="72"/>
      <c r="GC60" s="72"/>
      <c r="GD60" s="72"/>
      <c r="GE60" s="72"/>
      <c r="GF60" s="72"/>
      <c r="GG60" s="72"/>
      <c r="GH60" s="72"/>
      <c r="GI60" s="72"/>
      <c r="GJ60" s="72"/>
      <c r="GK60" s="72"/>
      <c r="GL60" s="73"/>
      <c r="GM60" s="73"/>
      <c r="GN60" s="73"/>
      <c r="GO60" s="73"/>
      <c r="GP60" s="73"/>
      <c r="GQ60" s="73"/>
      <c r="GR60" s="73"/>
      <c r="GS60" s="73"/>
      <c r="GT60" s="73"/>
      <c r="GU60" s="73"/>
      <c r="GV60" s="73"/>
      <c r="GW60" s="73"/>
      <c r="GX60" s="73"/>
      <c r="GY60" s="73"/>
      <c r="GZ60" s="73"/>
      <c r="HA60" s="73"/>
      <c r="HB60" s="73"/>
      <c r="HC60" s="73"/>
      <c r="HD60" s="73"/>
      <c r="HE60" s="73"/>
      <c r="HF60" s="73"/>
      <c r="HG60" s="73"/>
      <c r="HH60" s="73"/>
      <c r="HI60" s="73"/>
      <c r="HJ60" s="73"/>
      <c r="HK60" s="73"/>
      <c r="HL60" s="73"/>
      <c r="HM60" s="73"/>
      <c r="HN60" s="73"/>
      <c r="HO60" s="73"/>
      <c r="HP60" s="73"/>
      <c r="HQ60" s="73"/>
      <c r="HR60" s="73"/>
      <c r="HS60" s="73"/>
      <c r="HT60" s="73"/>
      <c r="HU60" s="73"/>
      <c r="HV60" s="73"/>
      <c r="HW60" s="73"/>
      <c r="HX60" s="73"/>
      <c r="HY60" s="73"/>
      <c r="HZ60" s="73"/>
      <c r="IA60" s="73"/>
      <c r="IB60" s="73"/>
      <c r="IC60" s="73"/>
      <c r="ID60" s="73"/>
      <c r="IE60" s="73"/>
      <c r="IF60" s="73"/>
      <c r="IG60" s="73"/>
      <c r="IH60" s="73"/>
      <c r="II60" s="73"/>
      <c r="IJ60" s="73"/>
      <c r="IK60" s="73"/>
      <c r="IL60" s="73"/>
      <c r="IM60" s="73"/>
      <c r="IN60" s="73"/>
      <c r="IO60" s="73"/>
      <c r="IP60" s="73"/>
      <c r="IQ60" s="73"/>
      <c r="IR60" s="73"/>
      <c r="IS60" s="73"/>
      <c r="IT60" s="73"/>
      <c r="IU60" s="73"/>
      <c r="IV60" s="73"/>
      <c r="IW60" s="73"/>
      <c r="IX60" s="73"/>
      <c r="IY60" s="73"/>
      <c r="IZ60" s="73"/>
      <c r="JA60" s="73"/>
      <c r="JB60" s="73"/>
      <c r="JC60" s="73"/>
    </row>
    <row r="61" spans="1:263" s="13" customFormat="1" ht="12.6" customHeight="1">
      <c r="A61" s="22">
        <v>2021</v>
      </c>
      <c r="B61" s="137">
        <v>514</v>
      </c>
      <c r="C61" s="81" t="s">
        <v>363</v>
      </c>
      <c r="D61" s="78">
        <f t="shared" si="1"/>
        <v>0</v>
      </c>
      <c r="E61" s="140">
        <f>SUMIFS('Plan rashoda za unos u SAP'!$I$3:$I$501,'Plan rashoda za unos u SAP'!$C$3:$C$501,"=11",'Plan rashoda za unos u SAP'!$M$3:$M$501,"=514")+SUMIFS('ANALITIKA EU PROJEKATA'!$G$3:$G$501,'ANALITIKA EU PROJEKATA'!$A$3:$A$501,"=11",'ANALITIKA EU PROJEKATA'!$P$3:$P$501,"=514")</f>
        <v>0</v>
      </c>
      <c r="F61" s="140">
        <f>SUMIFS('Plan rashoda za unos u SAP'!$I$3:$I$501,'Plan rashoda za unos u SAP'!$C$3:$C$501,"=12",'Plan rashoda za unos u SAP'!$M$3:$M$501,"=514")+SUMIFS('ANALITIKA EU PROJEKATA'!$G$3:$G$501,'ANALITIKA EU PROJEKATA'!$A$3:$A$501,"=12",'ANALITIKA EU PROJEKATA'!$P$3:$P$501,"=514")</f>
        <v>0</v>
      </c>
      <c r="G61" s="140">
        <f>SUMIFS('Plan rashoda za unos u SAP'!$I$3:$I$501,'Plan rashoda za unos u SAP'!$C$3:$C$501,"=31",'Plan rashoda za unos u SAP'!$M$3:$M$501,"=514")+SUMIFS('ANALITIKA EU PROJEKATA'!$G$3:$G$501,'ANALITIKA EU PROJEKATA'!$A$3:$A$501,"=31",'ANALITIKA EU PROJEKATA'!$P$3:$P$501,"=514")</f>
        <v>0</v>
      </c>
      <c r="H61" s="140">
        <f>SUMIFS('Plan rashoda za unos u SAP'!$I$3:$I$501,'Plan rashoda za unos u SAP'!$C$3:$C$501,"=41",'Plan rashoda za unos u SAP'!$M$3:$M$501,"=514")+SUMIFS('ANALITIKA EU PROJEKATA'!$G$3:$G$501,'ANALITIKA EU PROJEKATA'!$A$3:$A$501,"=41",'ANALITIKA EU PROJEKATA'!$P$3:$P$501,"=514")</f>
        <v>0</v>
      </c>
      <c r="I61" s="140">
        <f>SUMIFS('Plan rashoda za unos u SAP'!$I$3:$I$501,'Plan rashoda za unos u SAP'!$C$3:$C$501,"=43",'Plan rashoda za unos u SAP'!$M$3:$M$501,"=514")+SUMIFS('ANALITIKA EU PROJEKATA'!$G$3:$G$501,'ANALITIKA EU PROJEKATA'!$A$3:$A$501,"=43",'ANALITIKA EU PROJEKATA'!$P$3:$P$501,"=514")</f>
        <v>0</v>
      </c>
      <c r="J61" s="140">
        <f>SUMIFS('Plan rashoda za unos u SAP'!$I$3:$I$501,'Plan rashoda za unos u SAP'!$C$3:$C$501,"=51",'Plan rashoda za unos u SAP'!$M$3:$M$501,"=514")+SUMIFS('ANALITIKA EU PROJEKATA'!$G$3:$G$501,'ANALITIKA EU PROJEKATA'!$A$3:$A$501,"=51",'ANALITIKA EU PROJEKATA'!$P$3:$P$501,"=514")</f>
        <v>0</v>
      </c>
      <c r="K61" s="140">
        <f>SUMIFS('Plan rashoda za unos u SAP'!$I$3:$I$501,'Plan rashoda za unos u SAP'!$C$3:$C$501,"=52",'Plan rashoda za unos u SAP'!$M$3:$M$501,"=514")+SUMIFS('ANALITIKA EU PROJEKATA'!$G$3:$G$501,'ANALITIKA EU PROJEKATA'!$A$3:$A$501,"=52",'ANALITIKA EU PROJEKATA'!$P$3:$P$501,"=514")</f>
        <v>0</v>
      </c>
      <c r="L61" s="140">
        <f>SUMIFS('Plan rashoda za unos u SAP'!$I$3:$I$501,'Plan rashoda za unos u SAP'!$C$3:$C$501,"=552",'Plan rashoda za unos u SAP'!$M$3:$M$501,"=514")+SUMIFS('ANALITIKA EU PROJEKATA'!$G$3:$G$501,'ANALITIKA EU PROJEKATA'!$A$3:$A$501,"=552",'ANALITIKA EU PROJEKATA'!$P$3:$P$501,"=514")</f>
        <v>0</v>
      </c>
      <c r="M61" s="140">
        <f>SUMIFS('Plan rashoda za unos u SAP'!$I$3:$I$501,'Plan rashoda za unos u SAP'!$C$3:$C$501,"=559",'Plan rashoda za unos u SAP'!$M$3:$M$501,"=514")+SUMIFS('ANALITIKA EU PROJEKATA'!$G$3:$G$501,'ANALITIKA EU PROJEKATA'!$A$3:$A$501,"=559",'ANALITIKA EU PROJEKATA'!$P$3:$P$501,"=514")</f>
        <v>0</v>
      </c>
      <c r="N61" s="140">
        <f>SUMIFS('Plan rashoda za unos u SAP'!$I$3:$I$501,'Plan rashoda za unos u SAP'!$C$3:$C$501,"=561",'Plan rashoda za unos u SAP'!$M$3:$M$501,"=514")+SUMIFS('ANALITIKA EU PROJEKATA'!$G$3:$G$501,'ANALITIKA EU PROJEKATA'!$A$3:$A$501,"=561",'ANALITIKA EU PROJEKATA'!$P$3:$P$501,"=514")</f>
        <v>0</v>
      </c>
      <c r="O61" s="140">
        <f>SUMIFS('Plan rashoda za unos u SAP'!$I$3:$I$501,'Plan rashoda za unos u SAP'!$C$3:$C$501,"=563",'Plan rashoda za unos u SAP'!$M$3:$M$501,"=514")+SUMIFS('ANALITIKA EU PROJEKATA'!$G$3:$G$501,'ANALITIKA EU PROJEKATA'!$A$3:$A$501,"=563",'ANALITIKA EU PROJEKATA'!$P$3:$P$501,"=514")</f>
        <v>0</v>
      </c>
      <c r="P61" s="140">
        <f>SUMIFS('Plan rashoda za unos u SAP'!$I$3:$I$501,'Plan rashoda za unos u SAP'!$C$3:$C$501,"=573",'Plan rashoda za unos u SAP'!$M$3:$M$501,"=514")+SUMIFS('ANALITIKA EU PROJEKATA'!$G$3:$G$501,'ANALITIKA EU PROJEKATA'!$A$3:$A$501,"=573",'ANALITIKA EU PROJEKATA'!$P$3:$P$501,"=514")</f>
        <v>0</v>
      </c>
      <c r="Q61" s="140">
        <f>SUMIFS('Plan rashoda za unos u SAP'!$I$3:$I$501,'Plan rashoda za unos u SAP'!$C$3:$C$501,"=575",'Plan rashoda za unos u SAP'!$M$3:$M$501,"=514")+SUMIFS('ANALITIKA EU PROJEKATA'!$G$3:$G$501,'ANALITIKA EU PROJEKATA'!$A$3:$A$501,"=575",'ANALITIKA EU PROJEKATA'!$P$3:$P$501,"=514")</f>
        <v>0</v>
      </c>
      <c r="R61" s="140">
        <f>SUMIFS('Plan rashoda za unos u SAP'!$I$3:$I$501,'Plan rashoda za unos u SAP'!$C$3:$C$501,"=576",'Plan rashoda za unos u SAP'!$M$3:$M$501,"=514")+SUMIFS('ANALITIKA EU PROJEKATA'!$G$3:$G$501,'ANALITIKA EU PROJEKATA'!$A$3:$A$501,"=576",'ANALITIKA EU PROJEKATA'!$P$3:$P$501,"=514")</f>
        <v>0</v>
      </c>
      <c r="S61" s="140">
        <f>SUMIFS('Plan rashoda za unos u SAP'!$I$3:$I$501,'Plan rashoda za unos u SAP'!$C$3:$C$501,"=61",'Plan rashoda za unos u SAP'!$M$3:$M$501,"=514")+SUMIFS('ANALITIKA EU PROJEKATA'!$G$3:$G$501,'ANALITIKA EU PROJEKATA'!$A$3:$A$501,"=61",'ANALITIKA EU PROJEKATA'!$P$3:$P$501,"=514")</f>
        <v>0</v>
      </c>
      <c r="T61" s="140">
        <f>SUMIFS('Plan rashoda za unos u SAP'!$I$3:$I$501,'Plan rashoda za unos u SAP'!$C$3:$C$501,"=63",'Plan rashoda za unos u SAP'!$M$3:$M$501,"=514")+SUMIFS('ANALITIKA EU PROJEKATA'!$G$3:$G$501,'ANALITIKA EU PROJEKATA'!$A$3:$A$501,"=63",'ANALITIKA EU PROJEKATA'!$P$3:$P$501,"=514")</f>
        <v>0</v>
      </c>
      <c r="U61" s="140">
        <f>SUMIFS('Plan rashoda za unos u SAP'!$I$3:$I$501,'Plan rashoda za unos u SAP'!$C$3:$C$501,"=71",'Plan rashoda za unos u SAP'!$M$3:$M$501,"=514")+SUMIFS('ANALITIKA EU PROJEKATA'!$G$3:$G$501,'ANALITIKA EU PROJEKATA'!$A$3:$A$501,"=71",'ANALITIKA EU PROJEKATA'!$P$3:$P$501,"=514")</f>
        <v>0</v>
      </c>
      <c r="V61" s="140">
        <f>SUMIFS('Plan rashoda za unos u SAP'!$I$3:$I$501,'Plan rashoda za unos u SAP'!$C$3:$C$501,"=81",'Plan rashoda za unos u SAP'!$M$3:$M$501,"=514")+SUMIFS('ANALITIKA EU PROJEKATA'!$G$3:$G$501,'ANALITIKA EU PROJEKATA'!$A$3:$A$501,"=81",'ANALITIKA EU PROJEKATA'!$P$3:$P$501,"=514")</f>
        <v>0</v>
      </c>
      <c r="W61" s="140">
        <f>SUMIFS('Plan rashoda za unos u SAP'!$I$3:$I$501,'Plan rashoda za unos u SAP'!$C$3:$C$501,"=83",'Plan rashoda za unos u SAP'!$M$3:$M$501,"=514")+SUMIFS('ANALITIKA EU PROJEKATA'!$G$3:$G$501,'ANALITIKA EU PROJEKATA'!$A$3:$A$501,"=83",'ANALITIKA EU PROJEKATA'!$P$3:$P$501,"=514")</f>
        <v>0</v>
      </c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/>
      <c r="BM61" s="72"/>
      <c r="BN61" s="72"/>
      <c r="BO61" s="72"/>
      <c r="BP61" s="72"/>
      <c r="BQ61" s="72"/>
      <c r="BR61" s="72"/>
      <c r="BS61" s="72"/>
      <c r="BT61" s="72"/>
      <c r="BU61" s="72"/>
      <c r="BV61" s="72"/>
      <c r="BW61" s="72"/>
      <c r="BX61" s="72"/>
      <c r="BY61" s="72"/>
      <c r="BZ61" s="72"/>
      <c r="CA61" s="72"/>
      <c r="CB61" s="72"/>
      <c r="CC61" s="72"/>
      <c r="CD61" s="72"/>
      <c r="CE61" s="72"/>
      <c r="CF61" s="72"/>
      <c r="CG61" s="72"/>
      <c r="CH61" s="72"/>
      <c r="CI61" s="72"/>
      <c r="CJ61" s="72"/>
      <c r="CK61" s="72"/>
      <c r="CL61" s="72"/>
      <c r="CM61" s="72"/>
      <c r="CN61" s="72"/>
      <c r="CO61" s="72"/>
      <c r="CP61" s="72"/>
      <c r="CQ61" s="72"/>
      <c r="CR61" s="72"/>
      <c r="CS61" s="72"/>
      <c r="CT61" s="72"/>
      <c r="CU61" s="72"/>
      <c r="CV61" s="72"/>
      <c r="CW61" s="72"/>
      <c r="CX61" s="72"/>
      <c r="CY61" s="72"/>
      <c r="CZ61" s="72"/>
      <c r="DA61" s="72"/>
      <c r="DB61" s="72"/>
      <c r="DC61" s="72"/>
      <c r="DD61" s="72"/>
      <c r="DE61" s="72"/>
      <c r="DF61" s="72"/>
      <c r="DG61" s="72"/>
      <c r="DH61" s="72"/>
      <c r="DI61" s="72"/>
      <c r="DJ61" s="72"/>
      <c r="DK61" s="72"/>
      <c r="DL61" s="72"/>
      <c r="DM61" s="72"/>
      <c r="DN61" s="72"/>
      <c r="DO61" s="72"/>
      <c r="DP61" s="72"/>
      <c r="DQ61" s="72"/>
      <c r="DR61" s="72"/>
      <c r="DS61" s="72"/>
      <c r="DT61" s="72"/>
      <c r="DU61" s="72"/>
      <c r="DV61" s="72"/>
      <c r="DW61" s="72"/>
      <c r="DX61" s="72"/>
      <c r="DY61" s="72"/>
      <c r="DZ61" s="72"/>
      <c r="EA61" s="72"/>
      <c r="EB61" s="72"/>
      <c r="EC61" s="72"/>
      <c r="ED61" s="72"/>
      <c r="EE61" s="72"/>
      <c r="EF61" s="72"/>
      <c r="EG61" s="72"/>
      <c r="EH61" s="72"/>
      <c r="EI61" s="72"/>
      <c r="EJ61" s="72"/>
      <c r="EK61" s="72"/>
      <c r="EL61" s="72"/>
      <c r="EM61" s="72"/>
      <c r="EN61" s="72"/>
      <c r="EO61" s="72"/>
      <c r="EP61" s="72"/>
      <c r="EQ61" s="72"/>
      <c r="ER61" s="72"/>
      <c r="ES61" s="72"/>
      <c r="ET61" s="72"/>
      <c r="EU61" s="72"/>
      <c r="EV61" s="72"/>
      <c r="EW61" s="72"/>
      <c r="EX61" s="72"/>
      <c r="EY61" s="72"/>
      <c r="EZ61" s="72"/>
      <c r="FA61" s="72"/>
      <c r="FB61" s="72"/>
      <c r="FC61" s="72"/>
      <c r="FD61" s="72"/>
      <c r="FE61" s="72"/>
      <c r="FF61" s="72"/>
      <c r="FG61" s="72"/>
      <c r="FH61" s="72"/>
      <c r="FI61" s="72"/>
      <c r="FJ61" s="72"/>
      <c r="FK61" s="72"/>
      <c r="FL61" s="72"/>
      <c r="FM61" s="72"/>
      <c r="FN61" s="72"/>
      <c r="FO61" s="72"/>
      <c r="FP61" s="72"/>
      <c r="FQ61" s="72"/>
      <c r="FR61" s="72"/>
      <c r="FS61" s="72"/>
      <c r="FT61" s="72"/>
      <c r="FU61" s="72"/>
      <c r="FV61" s="72"/>
      <c r="FW61" s="72"/>
      <c r="FX61" s="72"/>
      <c r="FY61" s="72"/>
      <c r="FZ61" s="72"/>
      <c r="GA61" s="72"/>
      <c r="GB61" s="72"/>
      <c r="GC61" s="72"/>
      <c r="GD61" s="72"/>
      <c r="GE61" s="72"/>
      <c r="GF61" s="72"/>
      <c r="GG61" s="72"/>
      <c r="GH61" s="72"/>
      <c r="GI61" s="72"/>
      <c r="GJ61" s="72"/>
      <c r="GK61" s="72"/>
      <c r="GL61" s="73"/>
      <c r="GM61" s="73"/>
      <c r="GN61" s="73"/>
      <c r="GO61" s="73"/>
      <c r="GP61" s="73"/>
      <c r="GQ61" s="73"/>
      <c r="GR61" s="73"/>
      <c r="GS61" s="73"/>
      <c r="GT61" s="73"/>
      <c r="GU61" s="73"/>
      <c r="GV61" s="73"/>
      <c r="GW61" s="73"/>
      <c r="GX61" s="73"/>
      <c r="GY61" s="73"/>
      <c r="GZ61" s="73"/>
      <c r="HA61" s="73"/>
      <c r="HB61" s="73"/>
      <c r="HC61" s="73"/>
      <c r="HD61" s="73"/>
      <c r="HE61" s="73"/>
      <c r="HF61" s="73"/>
      <c r="HG61" s="73"/>
      <c r="HH61" s="73"/>
      <c r="HI61" s="73"/>
      <c r="HJ61" s="73"/>
      <c r="HK61" s="73"/>
      <c r="HL61" s="73"/>
      <c r="HM61" s="73"/>
      <c r="HN61" s="73"/>
      <c r="HO61" s="73"/>
      <c r="HP61" s="73"/>
      <c r="HQ61" s="73"/>
      <c r="HR61" s="73"/>
      <c r="HS61" s="73"/>
      <c r="HT61" s="73"/>
      <c r="HU61" s="73"/>
      <c r="HV61" s="73"/>
      <c r="HW61" s="73"/>
      <c r="HX61" s="73"/>
      <c r="HY61" s="73"/>
      <c r="HZ61" s="73"/>
      <c r="IA61" s="73"/>
      <c r="IB61" s="73"/>
      <c r="IC61" s="73"/>
      <c r="ID61" s="73"/>
      <c r="IE61" s="73"/>
      <c r="IF61" s="73"/>
      <c r="IG61" s="73"/>
      <c r="IH61" s="73"/>
      <c r="II61" s="73"/>
      <c r="IJ61" s="73"/>
      <c r="IK61" s="73"/>
      <c r="IL61" s="73"/>
      <c r="IM61" s="73"/>
      <c r="IN61" s="73"/>
      <c r="IO61" s="73"/>
      <c r="IP61" s="73"/>
      <c r="IQ61" s="73"/>
      <c r="IR61" s="73"/>
      <c r="IS61" s="73"/>
      <c r="IT61" s="73"/>
      <c r="IU61" s="73"/>
      <c r="IV61" s="73"/>
      <c r="IW61" s="73"/>
      <c r="IX61" s="73"/>
      <c r="IY61" s="73"/>
      <c r="IZ61" s="73"/>
      <c r="JA61" s="73"/>
      <c r="JB61" s="73"/>
      <c r="JC61" s="73"/>
    </row>
    <row r="62" spans="1:263" s="13" customFormat="1" ht="12.6" customHeight="1">
      <c r="A62" s="22">
        <v>2021</v>
      </c>
      <c r="B62" s="137">
        <v>518</v>
      </c>
      <c r="C62" s="81" t="s">
        <v>364</v>
      </c>
      <c r="D62" s="78">
        <f t="shared" si="1"/>
        <v>0</v>
      </c>
      <c r="E62" s="140">
        <f>SUMIFS('Plan rashoda za unos u SAP'!$I$3:$I$501,'Plan rashoda za unos u SAP'!$C$3:$C$501,"=11",'Plan rashoda za unos u SAP'!$M$3:$M$501,"=518")+SUMIFS('ANALITIKA EU PROJEKATA'!$G$3:$G$501,'ANALITIKA EU PROJEKATA'!$A$3:$A$501,"=11",'ANALITIKA EU PROJEKATA'!$P$3:$P$501,"=518")</f>
        <v>0</v>
      </c>
      <c r="F62" s="140">
        <f>SUMIFS('Plan rashoda za unos u SAP'!$I$3:$I$501,'Plan rashoda za unos u SAP'!$C$3:$C$501,"=12",'Plan rashoda za unos u SAP'!$M$3:$M$501,"=518")+SUMIFS('ANALITIKA EU PROJEKATA'!$G$3:$G$501,'ANALITIKA EU PROJEKATA'!$A$3:$A$501,"=12",'ANALITIKA EU PROJEKATA'!$P$3:$P$501,"=518")</f>
        <v>0</v>
      </c>
      <c r="G62" s="140">
        <f>SUMIFS('Plan rashoda za unos u SAP'!$I$3:$I$501,'Plan rashoda za unos u SAP'!$C$3:$C$501,"=31",'Plan rashoda za unos u SAP'!$M$3:$M$501,"=518")+SUMIFS('ANALITIKA EU PROJEKATA'!$G$3:$G$501,'ANALITIKA EU PROJEKATA'!$A$3:$A$501,"=31",'ANALITIKA EU PROJEKATA'!$P$3:$P$501,"=518")</f>
        <v>0</v>
      </c>
      <c r="H62" s="140">
        <f>SUMIFS('Plan rashoda za unos u SAP'!$I$3:$I$501,'Plan rashoda za unos u SAP'!$C$3:$C$501,"=41",'Plan rashoda za unos u SAP'!$M$3:$M$501,"=518")+SUMIFS('ANALITIKA EU PROJEKATA'!$G$3:$G$501,'ANALITIKA EU PROJEKATA'!$A$3:$A$501,"=41",'ANALITIKA EU PROJEKATA'!$P$3:$P$501,"=518")</f>
        <v>0</v>
      </c>
      <c r="I62" s="140">
        <f>SUMIFS('Plan rashoda za unos u SAP'!$I$3:$I$501,'Plan rashoda za unos u SAP'!$C$3:$C$501,"=43",'Plan rashoda za unos u SAP'!$M$3:$M$501,"=518")+SUMIFS('ANALITIKA EU PROJEKATA'!$G$3:$G$501,'ANALITIKA EU PROJEKATA'!$A$3:$A$501,"=43",'ANALITIKA EU PROJEKATA'!$P$3:$P$501,"=518")</f>
        <v>0</v>
      </c>
      <c r="J62" s="140">
        <f>SUMIFS('Plan rashoda za unos u SAP'!$I$3:$I$501,'Plan rashoda za unos u SAP'!$C$3:$C$501,"=51",'Plan rashoda za unos u SAP'!$M$3:$M$501,"=518")+SUMIFS('ANALITIKA EU PROJEKATA'!$G$3:$G$501,'ANALITIKA EU PROJEKATA'!$A$3:$A$501,"=51",'ANALITIKA EU PROJEKATA'!$P$3:$P$501,"=518")</f>
        <v>0</v>
      </c>
      <c r="K62" s="140">
        <f>SUMIFS('Plan rashoda za unos u SAP'!$I$3:$I$501,'Plan rashoda za unos u SAP'!$C$3:$C$501,"=52",'Plan rashoda za unos u SAP'!$M$3:$M$501,"=518")+SUMIFS('ANALITIKA EU PROJEKATA'!$G$3:$G$501,'ANALITIKA EU PROJEKATA'!$A$3:$A$501,"=52",'ANALITIKA EU PROJEKATA'!$P$3:$P$501,"=518")</f>
        <v>0</v>
      </c>
      <c r="L62" s="140">
        <f>SUMIFS('Plan rashoda za unos u SAP'!$I$3:$I$501,'Plan rashoda za unos u SAP'!$C$3:$C$501,"=552",'Plan rashoda za unos u SAP'!$M$3:$M$501,"=518")+SUMIFS('ANALITIKA EU PROJEKATA'!$G$3:$G$501,'ANALITIKA EU PROJEKATA'!$A$3:$A$501,"=552",'ANALITIKA EU PROJEKATA'!$P$3:$P$501,"=518")</f>
        <v>0</v>
      </c>
      <c r="M62" s="140">
        <f>SUMIFS('Plan rashoda za unos u SAP'!$I$3:$I$501,'Plan rashoda za unos u SAP'!$C$3:$C$501,"=559",'Plan rashoda za unos u SAP'!$M$3:$M$501,"=518")+SUMIFS('ANALITIKA EU PROJEKATA'!$G$3:$G$501,'ANALITIKA EU PROJEKATA'!$A$3:$A$501,"=559",'ANALITIKA EU PROJEKATA'!$P$3:$P$501,"=518")</f>
        <v>0</v>
      </c>
      <c r="N62" s="140">
        <f>SUMIFS('Plan rashoda za unos u SAP'!$I$3:$I$501,'Plan rashoda za unos u SAP'!$C$3:$C$501,"=561",'Plan rashoda za unos u SAP'!$M$3:$M$501,"=518")+SUMIFS('ANALITIKA EU PROJEKATA'!$G$3:$G$501,'ANALITIKA EU PROJEKATA'!$A$3:$A$501,"=561",'ANALITIKA EU PROJEKATA'!$P$3:$P$501,"=518")</f>
        <v>0</v>
      </c>
      <c r="O62" s="140">
        <f>SUMIFS('Plan rashoda za unos u SAP'!$I$3:$I$501,'Plan rashoda za unos u SAP'!$C$3:$C$501,"=563",'Plan rashoda za unos u SAP'!$M$3:$M$501,"=518")+SUMIFS('ANALITIKA EU PROJEKATA'!$G$3:$G$501,'ANALITIKA EU PROJEKATA'!$A$3:$A$501,"=563",'ANALITIKA EU PROJEKATA'!$P$3:$P$501,"=518")</f>
        <v>0</v>
      </c>
      <c r="P62" s="140">
        <f>SUMIFS('Plan rashoda za unos u SAP'!$I$3:$I$501,'Plan rashoda za unos u SAP'!$C$3:$C$501,"=573",'Plan rashoda za unos u SAP'!$M$3:$M$501,"=518")+SUMIFS('ANALITIKA EU PROJEKATA'!$G$3:$G$501,'ANALITIKA EU PROJEKATA'!$A$3:$A$501,"=573",'ANALITIKA EU PROJEKATA'!$P$3:$P$501,"=518")</f>
        <v>0</v>
      </c>
      <c r="Q62" s="140">
        <f>SUMIFS('Plan rashoda za unos u SAP'!$I$3:$I$501,'Plan rashoda za unos u SAP'!$C$3:$C$501,"=575",'Plan rashoda za unos u SAP'!$M$3:$M$501,"=518")+SUMIFS('ANALITIKA EU PROJEKATA'!$G$3:$G$501,'ANALITIKA EU PROJEKATA'!$A$3:$A$501,"=575",'ANALITIKA EU PROJEKATA'!$P$3:$P$501,"=518")</f>
        <v>0</v>
      </c>
      <c r="R62" s="140">
        <f>SUMIFS('Plan rashoda za unos u SAP'!$I$3:$I$501,'Plan rashoda za unos u SAP'!$C$3:$C$501,"=576",'Plan rashoda za unos u SAP'!$M$3:$M$501,"=518")+SUMIFS('ANALITIKA EU PROJEKATA'!$G$3:$G$501,'ANALITIKA EU PROJEKATA'!$A$3:$A$501,"=576",'ANALITIKA EU PROJEKATA'!$P$3:$P$501,"=518")</f>
        <v>0</v>
      </c>
      <c r="S62" s="140">
        <f>SUMIFS('Plan rashoda za unos u SAP'!$I$3:$I$501,'Plan rashoda za unos u SAP'!$C$3:$C$501,"=61",'Plan rashoda za unos u SAP'!$M$3:$M$501,"=518")+SUMIFS('ANALITIKA EU PROJEKATA'!$G$3:$G$501,'ANALITIKA EU PROJEKATA'!$A$3:$A$501,"=61",'ANALITIKA EU PROJEKATA'!$P$3:$P$501,"=518")</f>
        <v>0</v>
      </c>
      <c r="T62" s="140">
        <f>SUMIFS('Plan rashoda za unos u SAP'!$I$3:$I$501,'Plan rashoda za unos u SAP'!$C$3:$C$501,"=63",'Plan rashoda za unos u SAP'!$M$3:$M$501,"=518")+SUMIFS('ANALITIKA EU PROJEKATA'!$G$3:$G$501,'ANALITIKA EU PROJEKATA'!$A$3:$A$501,"=63",'ANALITIKA EU PROJEKATA'!$P$3:$P$501,"=518")</f>
        <v>0</v>
      </c>
      <c r="U62" s="140">
        <f>SUMIFS('Plan rashoda za unos u SAP'!$I$3:$I$501,'Plan rashoda za unos u SAP'!$C$3:$C$501,"=71",'Plan rashoda za unos u SAP'!$M$3:$M$501,"=518")+SUMIFS('ANALITIKA EU PROJEKATA'!$G$3:$G$501,'ANALITIKA EU PROJEKATA'!$A$3:$A$501,"=71",'ANALITIKA EU PROJEKATA'!$P$3:$P$501,"=518")</f>
        <v>0</v>
      </c>
      <c r="V62" s="140">
        <f>SUMIFS('Plan rashoda za unos u SAP'!$I$3:$I$501,'Plan rashoda za unos u SAP'!$C$3:$C$501,"=81",'Plan rashoda za unos u SAP'!$M$3:$M$501,"=518")+SUMIFS('ANALITIKA EU PROJEKATA'!$G$3:$G$501,'ANALITIKA EU PROJEKATA'!$A$3:$A$501,"=81",'ANALITIKA EU PROJEKATA'!$P$3:$P$501,"=518")</f>
        <v>0</v>
      </c>
      <c r="W62" s="140">
        <f>SUMIFS('Plan rashoda za unos u SAP'!$I$3:$I$501,'Plan rashoda za unos u SAP'!$C$3:$C$501,"=83",'Plan rashoda za unos u SAP'!$M$3:$M$501,"=518")+SUMIFS('ANALITIKA EU PROJEKATA'!$G$3:$G$501,'ANALITIKA EU PROJEKATA'!$A$3:$A$501,"=83",'ANALITIKA EU PROJEKATA'!$P$3:$P$501,"=518")</f>
        <v>0</v>
      </c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2"/>
      <c r="BJ62" s="72"/>
      <c r="BK62" s="72"/>
      <c r="BL62" s="72"/>
      <c r="BM62" s="72"/>
      <c r="BN62" s="72"/>
      <c r="BO62" s="72"/>
      <c r="BP62" s="72"/>
      <c r="BQ62" s="72"/>
      <c r="BR62" s="72"/>
      <c r="BS62" s="72"/>
      <c r="BT62" s="72"/>
      <c r="BU62" s="72"/>
      <c r="BV62" s="72"/>
      <c r="BW62" s="72"/>
      <c r="BX62" s="72"/>
      <c r="BY62" s="72"/>
      <c r="BZ62" s="72"/>
      <c r="CA62" s="72"/>
      <c r="CB62" s="72"/>
      <c r="CC62" s="72"/>
      <c r="CD62" s="72"/>
      <c r="CE62" s="72"/>
      <c r="CF62" s="72"/>
      <c r="CG62" s="72"/>
      <c r="CH62" s="72"/>
      <c r="CI62" s="72"/>
      <c r="CJ62" s="72"/>
      <c r="CK62" s="72"/>
      <c r="CL62" s="72"/>
      <c r="CM62" s="72"/>
      <c r="CN62" s="72"/>
      <c r="CO62" s="72"/>
      <c r="CP62" s="72"/>
      <c r="CQ62" s="72"/>
      <c r="CR62" s="72"/>
      <c r="CS62" s="72"/>
      <c r="CT62" s="72"/>
      <c r="CU62" s="72"/>
      <c r="CV62" s="72"/>
      <c r="CW62" s="72"/>
      <c r="CX62" s="72"/>
      <c r="CY62" s="72"/>
      <c r="CZ62" s="72"/>
      <c r="DA62" s="72"/>
      <c r="DB62" s="72"/>
      <c r="DC62" s="72"/>
      <c r="DD62" s="72"/>
      <c r="DE62" s="72"/>
      <c r="DF62" s="72"/>
      <c r="DG62" s="72"/>
      <c r="DH62" s="72"/>
      <c r="DI62" s="72"/>
      <c r="DJ62" s="72"/>
      <c r="DK62" s="72"/>
      <c r="DL62" s="72"/>
      <c r="DM62" s="72"/>
      <c r="DN62" s="72"/>
      <c r="DO62" s="72"/>
      <c r="DP62" s="72"/>
      <c r="DQ62" s="72"/>
      <c r="DR62" s="72"/>
      <c r="DS62" s="72"/>
      <c r="DT62" s="72"/>
      <c r="DU62" s="72"/>
      <c r="DV62" s="72"/>
      <c r="DW62" s="72"/>
      <c r="DX62" s="72"/>
      <c r="DY62" s="72"/>
      <c r="DZ62" s="72"/>
      <c r="EA62" s="72"/>
      <c r="EB62" s="72"/>
      <c r="EC62" s="72"/>
      <c r="ED62" s="72"/>
      <c r="EE62" s="72"/>
      <c r="EF62" s="72"/>
      <c r="EG62" s="72"/>
      <c r="EH62" s="72"/>
      <c r="EI62" s="72"/>
      <c r="EJ62" s="72"/>
      <c r="EK62" s="72"/>
      <c r="EL62" s="72"/>
      <c r="EM62" s="72"/>
      <c r="EN62" s="72"/>
      <c r="EO62" s="72"/>
      <c r="EP62" s="72"/>
      <c r="EQ62" s="72"/>
      <c r="ER62" s="72"/>
      <c r="ES62" s="72"/>
      <c r="ET62" s="72"/>
      <c r="EU62" s="72"/>
      <c r="EV62" s="72"/>
      <c r="EW62" s="72"/>
      <c r="EX62" s="72"/>
      <c r="EY62" s="72"/>
      <c r="EZ62" s="72"/>
      <c r="FA62" s="72"/>
      <c r="FB62" s="72"/>
      <c r="FC62" s="72"/>
      <c r="FD62" s="72"/>
      <c r="FE62" s="72"/>
      <c r="FF62" s="72"/>
      <c r="FG62" s="72"/>
      <c r="FH62" s="72"/>
      <c r="FI62" s="72"/>
      <c r="FJ62" s="72"/>
      <c r="FK62" s="72"/>
      <c r="FL62" s="72"/>
      <c r="FM62" s="72"/>
      <c r="FN62" s="72"/>
      <c r="FO62" s="72"/>
      <c r="FP62" s="72"/>
      <c r="FQ62" s="72"/>
      <c r="FR62" s="72"/>
      <c r="FS62" s="72"/>
      <c r="FT62" s="72"/>
      <c r="FU62" s="72"/>
      <c r="FV62" s="72"/>
      <c r="FW62" s="72"/>
      <c r="FX62" s="72"/>
      <c r="FY62" s="72"/>
      <c r="FZ62" s="72"/>
      <c r="GA62" s="72"/>
      <c r="GB62" s="72"/>
      <c r="GC62" s="72"/>
      <c r="GD62" s="72"/>
      <c r="GE62" s="72"/>
      <c r="GF62" s="72"/>
      <c r="GG62" s="72"/>
      <c r="GH62" s="72"/>
      <c r="GI62" s="72"/>
      <c r="GJ62" s="72"/>
      <c r="GK62" s="72"/>
      <c r="GL62" s="73"/>
      <c r="GM62" s="73"/>
      <c r="GN62" s="73"/>
      <c r="GO62" s="73"/>
      <c r="GP62" s="73"/>
      <c r="GQ62" s="73"/>
      <c r="GR62" s="73"/>
      <c r="GS62" s="73"/>
      <c r="GT62" s="73"/>
      <c r="GU62" s="73"/>
      <c r="GV62" s="73"/>
      <c r="GW62" s="73"/>
      <c r="GX62" s="73"/>
      <c r="GY62" s="73"/>
      <c r="GZ62" s="73"/>
      <c r="HA62" s="73"/>
      <c r="HB62" s="73"/>
      <c r="HC62" s="73"/>
      <c r="HD62" s="73"/>
      <c r="HE62" s="73"/>
      <c r="HF62" s="73"/>
      <c r="HG62" s="73"/>
      <c r="HH62" s="73"/>
      <c r="HI62" s="73"/>
      <c r="HJ62" s="73"/>
      <c r="HK62" s="73"/>
      <c r="HL62" s="73"/>
      <c r="HM62" s="73"/>
      <c r="HN62" s="73"/>
      <c r="HO62" s="73"/>
      <c r="HP62" s="73"/>
      <c r="HQ62" s="73"/>
      <c r="HR62" s="73"/>
      <c r="HS62" s="73"/>
      <c r="HT62" s="73"/>
      <c r="HU62" s="73"/>
      <c r="HV62" s="73"/>
      <c r="HW62" s="73"/>
      <c r="HX62" s="73"/>
      <c r="HY62" s="73"/>
      <c r="HZ62" s="73"/>
      <c r="IA62" s="73"/>
      <c r="IB62" s="73"/>
      <c r="IC62" s="73"/>
      <c r="ID62" s="73"/>
      <c r="IE62" s="73"/>
      <c r="IF62" s="73"/>
      <c r="IG62" s="73"/>
      <c r="IH62" s="73"/>
      <c r="II62" s="73"/>
      <c r="IJ62" s="73"/>
      <c r="IK62" s="73"/>
      <c r="IL62" s="73"/>
      <c r="IM62" s="73"/>
      <c r="IN62" s="73"/>
      <c r="IO62" s="73"/>
      <c r="IP62" s="73"/>
      <c r="IQ62" s="73"/>
      <c r="IR62" s="73"/>
      <c r="IS62" s="73"/>
      <c r="IT62" s="73"/>
      <c r="IU62" s="73"/>
      <c r="IV62" s="73"/>
      <c r="IW62" s="73"/>
      <c r="IX62" s="73"/>
      <c r="IY62" s="73"/>
      <c r="IZ62" s="73"/>
      <c r="JA62" s="73"/>
      <c r="JB62" s="73"/>
      <c r="JC62" s="73"/>
    </row>
    <row r="63" spans="1:263" s="13" customFormat="1" ht="12.6" customHeight="1">
      <c r="A63" s="22">
        <v>2021</v>
      </c>
      <c r="B63" s="10">
        <v>54</v>
      </c>
      <c r="C63" s="11" t="s">
        <v>358</v>
      </c>
      <c r="D63" s="78">
        <f t="shared" si="1"/>
        <v>0</v>
      </c>
      <c r="E63" s="12">
        <f>SUM(E64:E68)</f>
        <v>0</v>
      </c>
      <c r="F63" s="12">
        <f t="shared" ref="F63:W63" si="19">SUM(F64:F68)</f>
        <v>0</v>
      </c>
      <c r="G63" s="12">
        <f t="shared" si="19"/>
        <v>0</v>
      </c>
      <c r="H63" s="12">
        <f>SUM(H64:H68)</f>
        <v>0</v>
      </c>
      <c r="I63" s="12">
        <f t="shared" si="19"/>
        <v>0</v>
      </c>
      <c r="J63" s="12">
        <f>SUM(J64:J68)</f>
        <v>0</v>
      </c>
      <c r="K63" s="12">
        <f t="shared" si="19"/>
        <v>0</v>
      </c>
      <c r="L63" s="12">
        <f>SUM(L64:L68)</f>
        <v>0</v>
      </c>
      <c r="M63" s="12">
        <f t="shared" si="19"/>
        <v>0</v>
      </c>
      <c r="N63" s="12">
        <f t="shared" si="19"/>
        <v>0</v>
      </c>
      <c r="O63" s="12">
        <f t="shared" si="19"/>
        <v>0</v>
      </c>
      <c r="P63" s="12">
        <f>SUM(P64:P68)</f>
        <v>0</v>
      </c>
      <c r="Q63" s="12">
        <f>SUM(Q64:Q68)</f>
        <v>0</v>
      </c>
      <c r="R63" s="12">
        <f>SUM(R64:R68)</f>
        <v>0</v>
      </c>
      <c r="S63" s="12">
        <f t="shared" si="19"/>
        <v>0</v>
      </c>
      <c r="T63" s="12">
        <f t="shared" si="19"/>
        <v>0</v>
      </c>
      <c r="U63" s="12">
        <f t="shared" si="19"/>
        <v>0</v>
      </c>
      <c r="V63" s="12">
        <f t="shared" si="19"/>
        <v>0</v>
      </c>
      <c r="W63" s="12">
        <f t="shared" si="19"/>
        <v>0</v>
      </c>
      <c r="X63" s="79"/>
      <c r="Y63" s="79"/>
      <c r="Z63" s="79"/>
      <c r="AA63" s="79"/>
      <c r="AB63" s="79"/>
      <c r="AC63" s="79"/>
      <c r="AD63" s="79"/>
      <c r="AE63" s="79"/>
      <c r="AF63" s="79"/>
      <c r="AG63" s="79"/>
      <c r="AH63" s="79"/>
      <c r="AI63" s="79"/>
      <c r="AJ63" s="79"/>
      <c r="AK63" s="79"/>
      <c r="AL63" s="79"/>
      <c r="AM63" s="79"/>
      <c r="AN63" s="79"/>
      <c r="AO63" s="79"/>
      <c r="AP63" s="79"/>
      <c r="AQ63" s="79"/>
      <c r="AR63" s="79"/>
      <c r="AS63" s="79"/>
      <c r="AT63" s="79"/>
      <c r="AU63" s="79"/>
      <c r="AV63" s="79"/>
      <c r="AW63" s="79"/>
      <c r="AX63" s="79"/>
      <c r="AY63" s="79"/>
      <c r="AZ63" s="79"/>
      <c r="BA63" s="79"/>
      <c r="BB63" s="79"/>
      <c r="BC63" s="79"/>
      <c r="BD63" s="79"/>
      <c r="BE63" s="79"/>
      <c r="BF63" s="79"/>
      <c r="BG63" s="79"/>
      <c r="BH63" s="79"/>
      <c r="BI63" s="79"/>
      <c r="BJ63" s="79"/>
      <c r="BK63" s="79"/>
      <c r="BL63" s="79"/>
      <c r="BM63" s="79"/>
      <c r="BN63" s="79"/>
      <c r="BO63" s="79"/>
      <c r="BP63" s="79"/>
      <c r="BQ63" s="79"/>
      <c r="BR63" s="79"/>
      <c r="BS63" s="79"/>
      <c r="BT63" s="79"/>
      <c r="BU63" s="79"/>
      <c r="BV63" s="79"/>
      <c r="BW63" s="79"/>
      <c r="BX63" s="79"/>
      <c r="BY63" s="79"/>
      <c r="BZ63" s="79"/>
      <c r="CA63" s="79"/>
      <c r="CB63" s="79"/>
      <c r="CC63" s="79"/>
      <c r="CD63" s="79"/>
      <c r="CE63" s="79"/>
      <c r="CF63" s="79"/>
      <c r="CG63" s="79"/>
      <c r="CH63" s="79"/>
      <c r="CI63" s="79"/>
      <c r="CJ63" s="79"/>
      <c r="CK63" s="79"/>
      <c r="CL63" s="79"/>
      <c r="CM63" s="79"/>
      <c r="CN63" s="79"/>
      <c r="CO63" s="79"/>
      <c r="CP63" s="79"/>
      <c r="CQ63" s="79"/>
      <c r="CR63" s="79"/>
      <c r="CS63" s="79"/>
      <c r="CT63" s="79"/>
      <c r="CU63" s="79"/>
      <c r="CV63" s="79"/>
      <c r="CW63" s="79"/>
      <c r="CX63" s="79"/>
      <c r="CY63" s="79"/>
      <c r="CZ63" s="79"/>
      <c r="DA63" s="79"/>
      <c r="DB63" s="79"/>
      <c r="DC63" s="79"/>
      <c r="DD63" s="79"/>
      <c r="DE63" s="79"/>
      <c r="DF63" s="79"/>
      <c r="DG63" s="79"/>
      <c r="DH63" s="79"/>
      <c r="DI63" s="79"/>
      <c r="DJ63" s="79"/>
      <c r="DK63" s="79"/>
      <c r="DL63" s="79"/>
      <c r="DM63" s="79"/>
      <c r="DN63" s="79"/>
      <c r="DO63" s="79"/>
      <c r="DP63" s="79"/>
      <c r="DQ63" s="79"/>
      <c r="DR63" s="79"/>
      <c r="DS63" s="79"/>
      <c r="DT63" s="79"/>
      <c r="DU63" s="79"/>
      <c r="DV63" s="79"/>
      <c r="DW63" s="79"/>
      <c r="DX63" s="79"/>
      <c r="DY63" s="79"/>
      <c r="DZ63" s="79"/>
      <c r="EA63" s="79"/>
      <c r="EB63" s="79"/>
      <c r="EC63" s="79"/>
      <c r="ED63" s="79"/>
      <c r="EE63" s="79"/>
      <c r="EF63" s="79"/>
      <c r="EG63" s="79"/>
      <c r="EH63" s="79"/>
      <c r="EI63" s="79"/>
      <c r="EJ63" s="79"/>
      <c r="EK63" s="79"/>
      <c r="EL63" s="79"/>
      <c r="EM63" s="79"/>
      <c r="EN63" s="79"/>
      <c r="EO63" s="79"/>
      <c r="EP63" s="79"/>
      <c r="EQ63" s="79"/>
      <c r="ER63" s="79"/>
      <c r="ES63" s="79"/>
      <c r="ET63" s="79"/>
      <c r="EU63" s="79"/>
      <c r="EV63" s="79"/>
      <c r="EW63" s="79"/>
      <c r="EX63" s="79"/>
      <c r="EY63" s="79"/>
      <c r="EZ63" s="79"/>
      <c r="FA63" s="79"/>
      <c r="FB63" s="79"/>
      <c r="FC63" s="79"/>
      <c r="FD63" s="79"/>
      <c r="FE63" s="79"/>
      <c r="FF63" s="79"/>
      <c r="FG63" s="79"/>
      <c r="FH63" s="79"/>
      <c r="FI63" s="79"/>
      <c r="FJ63" s="79"/>
      <c r="FK63" s="79"/>
      <c r="FL63" s="79"/>
      <c r="FM63" s="79"/>
      <c r="FN63" s="79"/>
      <c r="FO63" s="79"/>
      <c r="FP63" s="79"/>
      <c r="FQ63" s="79"/>
      <c r="FR63" s="79"/>
      <c r="FS63" s="79"/>
      <c r="FT63" s="79"/>
      <c r="FU63" s="79"/>
      <c r="FV63" s="79"/>
      <c r="FW63" s="79"/>
      <c r="FX63" s="79"/>
      <c r="FY63" s="79"/>
      <c r="FZ63" s="79"/>
      <c r="GA63" s="79"/>
      <c r="GB63" s="79"/>
      <c r="GC63" s="79"/>
      <c r="GD63" s="79"/>
      <c r="GE63" s="79"/>
      <c r="GF63" s="79"/>
      <c r="GG63" s="79"/>
      <c r="GH63" s="79"/>
      <c r="GI63" s="79"/>
      <c r="GJ63" s="79"/>
      <c r="GK63" s="79"/>
      <c r="GL63" s="80"/>
      <c r="GM63" s="80"/>
      <c r="GN63" s="80"/>
      <c r="GO63" s="80"/>
      <c r="GP63" s="80"/>
      <c r="GQ63" s="80"/>
      <c r="GR63" s="80"/>
      <c r="GS63" s="80"/>
      <c r="GT63" s="80"/>
      <c r="GU63" s="80"/>
      <c r="GV63" s="80"/>
      <c r="GW63" s="80"/>
      <c r="GX63" s="80"/>
      <c r="GY63" s="80"/>
      <c r="GZ63" s="80"/>
      <c r="HA63" s="80"/>
      <c r="HB63" s="80"/>
      <c r="HC63" s="80"/>
      <c r="HD63" s="80"/>
      <c r="HE63" s="80"/>
      <c r="HF63" s="80"/>
      <c r="HG63" s="80"/>
      <c r="HH63" s="80"/>
      <c r="HI63" s="80"/>
      <c r="HJ63" s="80"/>
      <c r="HK63" s="80"/>
      <c r="HL63" s="80"/>
      <c r="HM63" s="80"/>
      <c r="HN63" s="80"/>
      <c r="HO63" s="80"/>
      <c r="HP63" s="80"/>
      <c r="HQ63" s="80"/>
      <c r="HR63" s="80"/>
      <c r="HS63" s="80"/>
      <c r="HT63" s="80"/>
      <c r="HU63" s="80"/>
      <c r="HV63" s="80"/>
      <c r="HW63" s="80"/>
      <c r="HX63" s="80"/>
      <c r="HY63" s="80"/>
      <c r="HZ63" s="80"/>
      <c r="IA63" s="80"/>
      <c r="IB63" s="80"/>
      <c r="IC63" s="80"/>
      <c r="ID63" s="80"/>
      <c r="IE63" s="80"/>
      <c r="IF63" s="80"/>
      <c r="IG63" s="80"/>
      <c r="IH63" s="80"/>
      <c r="II63" s="80"/>
      <c r="IJ63" s="80"/>
      <c r="IK63" s="80"/>
      <c r="IL63" s="80"/>
      <c r="IM63" s="80"/>
      <c r="IN63" s="80"/>
      <c r="IO63" s="80"/>
      <c r="IP63" s="80"/>
      <c r="IQ63" s="80"/>
      <c r="IR63" s="80"/>
      <c r="IS63" s="80"/>
      <c r="IT63" s="80"/>
      <c r="IU63" s="80"/>
      <c r="IV63" s="80"/>
      <c r="IW63" s="80"/>
      <c r="IX63" s="80"/>
      <c r="IY63" s="80"/>
      <c r="IZ63" s="80"/>
      <c r="JA63" s="80"/>
      <c r="JB63" s="80"/>
      <c r="JC63" s="80"/>
    </row>
    <row r="64" spans="1:263" s="13" customFormat="1" ht="12.6" customHeight="1">
      <c r="A64" s="22">
        <v>2021</v>
      </c>
      <c r="B64" s="83">
        <v>542</v>
      </c>
      <c r="C64" s="8" t="s">
        <v>365</v>
      </c>
      <c r="D64" s="78">
        <f t="shared" si="1"/>
        <v>0</v>
      </c>
      <c r="E64" s="140">
        <f>SUMIFS('Plan rashoda za unos u SAP'!$I$3:$I$501,'Plan rashoda za unos u SAP'!$C$3:$C$501,"=11",'Plan rashoda za unos u SAP'!$M$3:$M$501,"=542")+SUMIFS('ANALITIKA EU PROJEKATA'!$G$3:$G$501,'ANALITIKA EU PROJEKATA'!$A$3:$A$501,"=11",'ANALITIKA EU PROJEKATA'!$P$3:$P$501,"=542")</f>
        <v>0</v>
      </c>
      <c r="F64" s="140">
        <f>SUMIFS('Plan rashoda za unos u SAP'!$I$3:$I$501,'Plan rashoda za unos u SAP'!$C$3:$C$501,"=12",'Plan rashoda za unos u SAP'!$M$3:$M$501,"=542")+SUMIFS('ANALITIKA EU PROJEKATA'!$G$3:$G$501,'ANALITIKA EU PROJEKATA'!$A$3:$A$501,"=12",'ANALITIKA EU PROJEKATA'!$P$3:$P$501,"=542")</f>
        <v>0</v>
      </c>
      <c r="G64" s="140">
        <f>SUMIFS('Plan rashoda za unos u SAP'!$I$3:$I$501,'Plan rashoda za unos u SAP'!$C$3:$C$501,"=31",'Plan rashoda za unos u SAP'!$M$3:$M$501,"=542")+SUMIFS('ANALITIKA EU PROJEKATA'!$G$3:$G$501,'ANALITIKA EU PROJEKATA'!$A$3:$A$501,"=31",'ANALITIKA EU PROJEKATA'!$P$3:$P$501,"=542")</f>
        <v>0</v>
      </c>
      <c r="H64" s="140">
        <f>SUMIFS('Plan rashoda za unos u SAP'!$I$3:$I$501,'Plan rashoda za unos u SAP'!$C$3:$C$501,"=41",'Plan rashoda za unos u SAP'!$M$3:$M$501,"=542")+SUMIFS('ANALITIKA EU PROJEKATA'!$G$3:$G$501,'ANALITIKA EU PROJEKATA'!$A$3:$A$501,"=41",'ANALITIKA EU PROJEKATA'!$P$3:$P$501,"=542")</f>
        <v>0</v>
      </c>
      <c r="I64" s="140">
        <f>SUMIFS('Plan rashoda za unos u SAP'!$I$3:$I$501,'Plan rashoda za unos u SAP'!$C$3:$C$501,"=43",'Plan rashoda za unos u SAP'!$M$3:$M$501,"=542")+SUMIFS('ANALITIKA EU PROJEKATA'!$G$3:$G$501,'ANALITIKA EU PROJEKATA'!$A$3:$A$501,"=43",'ANALITIKA EU PROJEKATA'!$P$3:$P$501,"=542")</f>
        <v>0</v>
      </c>
      <c r="J64" s="140">
        <f>SUMIFS('Plan rashoda za unos u SAP'!$I$3:$I$501,'Plan rashoda za unos u SAP'!$C$3:$C$501,"=51",'Plan rashoda za unos u SAP'!$M$3:$M$501,"=542")+SUMIFS('ANALITIKA EU PROJEKATA'!$G$3:$G$501,'ANALITIKA EU PROJEKATA'!$A$3:$A$501,"=51",'ANALITIKA EU PROJEKATA'!$P$3:$P$501,"=542")</f>
        <v>0</v>
      </c>
      <c r="K64" s="140">
        <f>SUMIFS('Plan rashoda za unos u SAP'!$I$3:$I$501,'Plan rashoda za unos u SAP'!$C$3:$C$501,"=52",'Plan rashoda za unos u SAP'!$M$3:$M$501,"=542")+SUMIFS('ANALITIKA EU PROJEKATA'!$G$3:$G$501,'ANALITIKA EU PROJEKATA'!$A$3:$A$501,"=52",'ANALITIKA EU PROJEKATA'!$P$3:$P$501,"=542")</f>
        <v>0</v>
      </c>
      <c r="L64" s="140">
        <f>SUMIFS('Plan rashoda za unos u SAP'!$I$3:$I$501,'Plan rashoda za unos u SAP'!$C$3:$C$501,"=552",'Plan rashoda za unos u SAP'!$M$3:$M$501,"=542")+SUMIFS('ANALITIKA EU PROJEKATA'!$G$3:$G$501,'ANALITIKA EU PROJEKATA'!$A$3:$A$501,"=552",'ANALITIKA EU PROJEKATA'!$P$3:$P$501,"=542")</f>
        <v>0</v>
      </c>
      <c r="M64" s="140">
        <f>SUMIFS('Plan rashoda za unos u SAP'!$I$3:$I$501,'Plan rashoda za unos u SAP'!$C$3:$C$501,"=559",'Plan rashoda za unos u SAP'!$M$3:$M$501,"=542")+SUMIFS('ANALITIKA EU PROJEKATA'!$G$3:$G$501,'ANALITIKA EU PROJEKATA'!$A$3:$A$501,"=559",'ANALITIKA EU PROJEKATA'!$P$3:$P$501,"=542")</f>
        <v>0</v>
      </c>
      <c r="N64" s="140">
        <f>SUMIFS('Plan rashoda za unos u SAP'!$I$3:$I$501,'Plan rashoda za unos u SAP'!$C$3:$C$501,"=561",'Plan rashoda za unos u SAP'!$M$3:$M$501,"=542")+SUMIFS('ANALITIKA EU PROJEKATA'!$G$3:$G$501,'ANALITIKA EU PROJEKATA'!$A$3:$A$501,"=561",'ANALITIKA EU PROJEKATA'!$P$3:$P$501,"=542")</f>
        <v>0</v>
      </c>
      <c r="O64" s="140">
        <f>SUMIFS('Plan rashoda za unos u SAP'!$I$3:$I$501,'Plan rashoda za unos u SAP'!$C$3:$C$501,"=563",'Plan rashoda za unos u SAP'!$M$3:$M$501,"=542")+SUMIFS('ANALITIKA EU PROJEKATA'!$G$3:$G$501,'ANALITIKA EU PROJEKATA'!$A$3:$A$501,"=563",'ANALITIKA EU PROJEKATA'!$P$3:$P$501,"=542")</f>
        <v>0</v>
      </c>
      <c r="P64" s="140">
        <f>SUMIFS('Plan rashoda za unos u SAP'!$I$3:$I$501,'Plan rashoda za unos u SAP'!$C$3:$C$501,"=573",'Plan rashoda za unos u SAP'!$M$3:$M$501,"=542")+SUMIFS('ANALITIKA EU PROJEKATA'!$G$3:$G$501,'ANALITIKA EU PROJEKATA'!$A$3:$A$501,"=573",'ANALITIKA EU PROJEKATA'!$P$3:$P$501,"=542")</f>
        <v>0</v>
      </c>
      <c r="Q64" s="140">
        <f>SUMIFS('Plan rashoda za unos u SAP'!$I$3:$I$501,'Plan rashoda za unos u SAP'!$C$3:$C$501,"=575",'Plan rashoda za unos u SAP'!$M$3:$M$501,"=542")+SUMIFS('ANALITIKA EU PROJEKATA'!$G$3:$G$501,'ANALITIKA EU PROJEKATA'!$A$3:$A$501,"=575",'ANALITIKA EU PROJEKATA'!$P$3:$P$501,"=542")</f>
        <v>0</v>
      </c>
      <c r="R64" s="140">
        <f>SUMIFS('Plan rashoda za unos u SAP'!$I$3:$I$501,'Plan rashoda za unos u SAP'!$C$3:$C$501,"=576",'Plan rashoda za unos u SAP'!$M$3:$M$501,"=542")+SUMIFS('ANALITIKA EU PROJEKATA'!$G$3:$G$501,'ANALITIKA EU PROJEKATA'!$A$3:$A$501,"=576",'ANALITIKA EU PROJEKATA'!$P$3:$P$501,"=542")</f>
        <v>0</v>
      </c>
      <c r="S64" s="140">
        <f>SUMIFS('Plan rashoda za unos u SAP'!$I$3:$I$501,'Plan rashoda za unos u SAP'!$C$3:$C$501,"=61",'Plan rashoda za unos u SAP'!$M$3:$M$501,"=542")+SUMIFS('ANALITIKA EU PROJEKATA'!$G$3:$G$501,'ANALITIKA EU PROJEKATA'!$A$3:$A$501,"=61",'ANALITIKA EU PROJEKATA'!$P$3:$P$501,"=542")</f>
        <v>0</v>
      </c>
      <c r="T64" s="140">
        <f>SUMIFS('Plan rashoda za unos u SAP'!$I$3:$I$501,'Plan rashoda za unos u SAP'!$C$3:$C$501,"=63",'Plan rashoda za unos u SAP'!$M$3:$M$501,"=542")+SUMIFS('ANALITIKA EU PROJEKATA'!$G$3:$G$501,'ANALITIKA EU PROJEKATA'!$A$3:$A$501,"=63",'ANALITIKA EU PROJEKATA'!$P$3:$P$501,"=542")</f>
        <v>0</v>
      </c>
      <c r="U64" s="140">
        <f>SUMIFS('Plan rashoda za unos u SAP'!$I$3:$I$501,'Plan rashoda za unos u SAP'!$C$3:$C$501,"=71",'Plan rashoda za unos u SAP'!$M$3:$M$501,"=542")+SUMIFS('ANALITIKA EU PROJEKATA'!$G$3:$G$501,'ANALITIKA EU PROJEKATA'!$A$3:$A$501,"=71",'ANALITIKA EU PROJEKATA'!$P$3:$P$501,"=542")</f>
        <v>0</v>
      </c>
      <c r="V64" s="140">
        <f>SUMIFS('Plan rashoda za unos u SAP'!$I$3:$I$501,'Plan rashoda za unos u SAP'!$C$3:$C$501,"=81",'Plan rashoda za unos u SAP'!$M$3:$M$501,"=542")+SUMIFS('ANALITIKA EU PROJEKATA'!$G$3:$G$501,'ANALITIKA EU PROJEKATA'!$A$3:$A$501,"=81",'ANALITIKA EU PROJEKATA'!$P$3:$P$501,"=542")</f>
        <v>0</v>
      </c>
      <c r="W64" s="140">
        <f>SUMIFS('Plan rashoda za unos u SAP'!$I$3:$I$501,'Plan rashoda za unos u SAP'!$C$3:$C$501,"=83",'Plan rashoda za unos u SAP'!$M$3:$M$501,"=542")+SUMIFS('ANALITIKA EU PROJEKATA'!$G$3:$G$501,'ANALITIKA EU PROJEKATA'!$A$3:$A$501,"=83",'ANALITIKA EU PROJEKATA'!$P$3:$P$501,"=542")</f>
        <v>0</v>
      </c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72"/>
      <c r="BN64" s="72"/>
      <c r="BO64" s="72"/>
      <c r="BP64" s="72"/>
      <c r="BQ64" s="72"/>
      <c r="BR64" s="72"/>
      <c r="BS64" s="72"/>
      <c r="BT64" s="72"/>
      <c r="BU64" s="72"/>
      <c r="BV64" s="72"/>
      <c r="BW64" s="72"/>
      <c r="BX64" s="72"/>
      <c r="BY64" s="72"/>
      <c r="BZ64" s="72"/>
      <c r="CA64" s="72"/>
      <c r="CB64" s="72"/>
      <c r="CC64" s="72"/>
      <c r="CD64" s="72"/>
      <c r="CE64" s="72"/>
      <c r="CF64" s="72"/>
      <c r="CG64" s="72"/>
      <c r="CH64" s="72"/>
      <c r="CI64" s="72"/>
      <c r="CJ64" s="72"/>
      <c r="CK64" s="72"/>
      <c r="CL64" s="72"/>
      <c r="CM64" s="72"/>
      <c r="CN64" s="72"/>
      <c r="CO64" s="72"/>
      <c r="CP64" s="72"/>
      <c r="CQ64" s="72"/>
      <c r="CR64" s="72"/>
      <c r="CS64" s="72"/>
      <c r="CT64" s="72"/>
      <c r="CU64" s="72"/>
      <c r="CV64" s="72"/>
      <c r="CW64" s="72"/>
      <c r="CX64" s="72"/>
      <c r="CY64" s="72"/>
      <c r="CZ64" s="72"/>
      <c r="DA64" s="72"/>
      <c r="DB64" s="72"/>
      <c r="DC64" s="72"/>
      <c r="DD64" s="72"/>
      <c r="DE64" s="72"/>
      <c r="DF64" s="72"/>
      <c r="DG64" s="72"/>
      <c r="DH64" s="72"/>
      <c r="DI64" s="72"/>
      <c r="DJ64" s="72"/>
      <c r="DK64" s="72"/>
      <c r="DL64" s="72"/>
      <c r="DM64" s="72"/>
      <c r="DN64" s="72"/>
      <c r="DO64" s="72"/>
      <c r="DP64" s="72"/>
      <c r="DQ64" s="72"/>
      <c r="DR64" s="72"/>
      <c r="DS64" s="72"/>
      <c r="DT64" s="72"/>
      <c r="DU64" s="72"/>
      <c r="DV64" s="72"/>
      <c r="DW64" s="72"/>
      <c r="DX64" s="72"/>
      <c r="DY64" s="72"/>
      <c r="DZ64" s="72"/>
      <c r="EA64" s="72"/>
      <c r="EB64" s="72"/>
      <c r="EC64" s="72"/>
      <c r="ED64" s="72"/>
      <c r="EE64" s="72"/>
      <c r="EF64" s="72"/>
      <c r="EG64" s="72"/>
      <c r="EH64" s="72"/>
      <c r="EI64" s="72"/>
      <c r="EJ64" s="72"/>
      <c r="EK64" s="72"/>
      <c r="EL64" s="72"/>
      <c r="EM64" s="72"/>
      <c r="EN64" s="72"/>
      <c r="EO64" s="72"/>
      <c r="EP64" s="72"/>
      <c r="EQ64" s="72"/>
      <c r="ER64" s="72"/>
      <c r="ES64" s="72"/>
      <c r="ET64" s="72"/>
      <c r="EU64" s="72"/>
      <c r="EV64" s="72"/>
      <c r="EW64" s="72"/>
      <c r="EX64" s="72"/>
      <c r="EY64" s="72"/>
      <c r="EZ64" s="72"/>
      <c r="FA64" s="72"/>
      <c r="FB64" s="72"/>
      <c r="FC64" s="72"/>
      <c r="FD64" s="72"/>
      <c r="FE64" s="72"/>
      <c r="FF64" s="72"/>
      <c r="FG64" s="72"/>
      <c r="FH64" s="72"/>
      <c r="FI64" s="72"/>
      <c r="FJ64" s="72"/>
      <c r="FK64" s="72"/>
      <c r="FL64" s="72"/>
      <c r="FM64" s="72"/>
      <c r="FN64" s="72"/>
      <c r="FO64" s="72"/>
      <c r="FP64" s="72"/>
      <c r="FQ64" s="72"/>
      <c r="FR64" s="72"/>
      <c r="FS64" s="72"/>
      <c r="FT64" s="72"/>
      <c r="FU64" s="72"/>
      <c r="FV64" s="72"/>
      <c r="FW64" s="72"/>
      <c r="FX64" s="72"/>
      <c r="FY64" s="72"/>
      <c r="FZ64" s="72"/>
      <c r="GA64" s="72"/>
      <c r="GB64" s="72"/>
      <c r="GC64" s="72"/>
      <c r="GD64" s="72"/>
      <c r="GE64" s="72"/>
      <c r="GF64" s="72"/>
      <c r="GG64" s="72"/>
      <c r="GH64" s="72"/>
      <c r="GI64" s="72"/>
      <c r="GJ64" s="72"/>
      <c r="GK64" s="72"/>
      <c r="GL64" s="73"/>
      <c r="GM64" s="73"/>
      <c r="GN64" s="73"/>
      <c r="GO64" s="73"/>
      <c r="GP64" s="73"/>
      <c r="GQ64" s="73"/>
      <c r="GR64" s="73"/>
      <c r="GS64" s="73"/>
      <c r="GT64" s="73"/>
      <c r="GU64" s="73"/>
      <c r="GV64" s="73"/>
      <c r="GW64" s="73"/>
      <c r="GX64" s="73"/>
      <c r="GY64" s="73"/>
      <c r="GZ64" s="73"/>
      <c r="HA64" s="73"/>
      <c r="HB64" s="73"/>
      <c r="HC64" s="73"/>
      <c r="HD64" s="73"/>
      <c r="HE64" s="73"/>
      <c r="HF64" s="73"/>
      <c r="HG64" s="73"/>
      <c r="HH64" s="73"/>
      <c r="HI64" s="73"/>
      <c r="HJ64" s="73"/>
      <c r="HK64" s="73"/>
      <c r="HL64" s="73"/>
      <c r="HM64" s="73"/>
      <c r="HN64" s="73"/>
      <c r="HO64" s="73"/>
      <c r="HP64" s="73"/>
      <c r="HQ64" s="73"/>
      <c r="HR64" s="73"/>
      <c r="HS64" s="73"/>
      <c r="HT64" s="73"/>
      <c r="HU64" s="73"/>
      <c r="HV64" s="73"/>
      <c r="HW64" s="73"/>
      <c r="HX64" s="73"/>
      <c r="HY64" s="73"/>
      <c r="HZ64" s="73"/>
      <c r="IA64" s="73"/>
      <c r="IB64" s="73"/>
      <c r="IC64" s="73"/>
      <c r="ID64" s="73"/>
      <c r="IE64" s="73"/>
      <c r="IF64" s="73"/>
      <c r="IG64" s="73"/>
      <c r="IH64" s="73"/>
      <c r="II64" s="73"/>
      <c r="IJ64" s="73"/>
      <c r="IK64" s="73"/>
      <c r="IL64" s="73"/>
      <c r="IM64" s="73"/>
      <c r="IN64" s="73"/>
      <c r="IO64" s="73"/>
      <c r="IP64" s="73"/>
      <c r="IQ64" s="73"/>
      <c r="IR64" s="73"/>
      <c r="IS64" s="73"/>
      <c r="IT64" s="73"/>
      <c r="IU64" s="73"/>
      <c r="IV64" s="73"/>
      <c r="IW64" s="73"/>
      <c r="IX64" s="73"/>
      <c r="IY64" s="73"/>
      <c r="IZ64" s="73"/>
      <c r="JA64" s="73"/>
      <c r="JB64" s="73"/>
      <c r="JC64" s="73"/>
    </row>
    <row r="65" spans="1:263" s="13" customFormat="1" ht="12.6" customHeight="1">
      <c r="A65" s="22">
        <v>2021</v>
      </c>
      <c r="B65" s="83">
        <v>543</v>
      </c>
      <c r="C65" s="8" t="s">
        <v>366</v>
      </c>
      <c r="D65" s="78">
        <f t="shared" si="1"/>
        <v>0</v>
      </c>
      <c r="E65" s="140">
        <f>SUMIFS('Plan rashoda za unos u SAP'!$I$3:$I$501,'Plan rashoda za unos u SAP'!$C$3:$C$501,"=11",'Plan rashoda za unos u SAP'!$M$3:$M$501,"=543")+SUMIFS('ANALITIKA EU PROJEKATA'!$G$3:$G$501,'ANALITIKA EU PROJEKATA'!$A$3:$A$501,"=11",'ANALITIKA EU PROJEKATA'!$P$3:$P$501,"=543")</f>
        <v>0</v>
      </c>
      <c r="F65" s="140">
        <f>SUMIFS('Plan rashoda za unos u SAP'!$I$3:$I$501,'Plan rashoda za unos u SAP'!$C$3:$C$501,"=12",'Plan rashoda za unos u SAP'!$M$3:$M$501,"=543")+SUMIFS('ANALITIKA EU PROJEKATA'!$G$3:$G$501,'ANALITIKA EU PROJEKATA'!$A$3:$A$501,"=12",'ANALITIKA EU PROJEKATA'!$P$3:$P$501,"=543")</f>
        <v>0</v>
      </c>
      <c r="G65" s="140">
        <f>SUMIFS('Plan rashoda za unos u SAP'!$I$3:$I$501,'Plan rashoda za unos u SAP'!$C$3:$C$501,"=31",'Plan rashoda za unos u SAP'!$M$3:$M$501,"=543")+SUMIFS('ANALITIKA EU PROJEKATA'!$G$3:$G$501,'ANALITIKA EU PROJEKATA'!$A$3:$A$501,"=31",'ANALITIKA EU PROJEKATA'!$P$3:$P$501,"=543")</f>
        <v>0</v>
      </c>
      <c r="H65" s="140">
        <f>SUMIFS('Plan rashoda za unos u SAP'!$I$3:$I$501,'Plan rashoda za unos u SAP'!$C$3:$C$501,"=41",'Plan rashoda za unos u SAP'!$M$3:$M$501,"=543")+SUMIFS('ANALITIKA EU PROJEKATA'!$G$3:$G$501,'ANALITIKA EU PROJEKATA'!$A$3:$A$501,"=41",'ANALITIKA EU PROJEKATA'!$P$3:$P$501,"=543")</f>
        <v>0</v>
      </c>
      <c r="I65" s="140">
        <f>SUMIFS('Plan rashoda za unos u SAP'!$I$3:$I$501,'Plan rashoda za unos u SAP'!$C$3:$C$501,"=43",'Plan rashoda za unos u SAP'!$M$3:$M$501,"=543")+SUMIFS('ANALITIKA EU PROJEKATA'!$G$3:$G$501,'ANALITIKA EU PROJEKATA'!$A$3:$A$501,"=43",'ANALITIKA EU PROJEKATA'!$P$3:$P$501,"=543")</f>
        <v>0</v>
      </c>
      <c r="J65" s="140">
        <f>SUMIFS('Plan rashoda za unos u SAP'!$I$3:$I$501,'Plan rashoda za unos u SAP'!$C$3:$C$501,"=51",'Plan rashoda za unos u SAP'!$M$3:$M$501,"=543")+SUMIFS('ANALITIKA EU PROJEKATA'!$G$3:$G$501,'ANALITIKA EU PROJEKATA'!$A$3:$A$501,"=51",'ANALITIKA EU PROJEKATA'!$P$3:$P$501,"=543")</f>
        <v>0</v>
      </c>
      <c r="K65" s="140">
        <f>SUMIFS('Plan rashoda za unos u SAP'!$I$3:$I$501,'Plan rashoda za unos u SAP'!$C$3:$C$501,"=52",'Plan rashoda za unos u SAP'!$M$3:$M$501,"=543")+SUMIFS('ANALITIKA EU PROJEKATA'!$G$3:$G$501,'ANALITIKA EU PROJEKATA'!$A$3:$A$501,"=52",'ANALITIKA EU PROJEKATA'!$P$3:$P$501,"=543")</f>
        <v>0</v>
      </c>
      <c r="L65" s="140">
        <f>SUMIFS('Plan rashoda za unos u SAP'!$I$3:$I$501,'Plan rashoda za unos u SAP'!$C$3:$C$501,"=552",'Plan rashoda za unos u SAP'!$M$3:$M$501,"=543")+SUMIFS('ANALITIKA EU PROJEKATA'!$G$3:$G$501,'ANALITIKA EU PROJEKATA'!$A$3:$A$501,"=552",'ANALITIKA EU PROJEKATA'!$P$3:$P$501,"=543")</f>
        <v>0</v>
      </c>
      <c r="M65" s="140">
        <f>SUMIFS('Plan rashoda za unos u SAP'!$I$3:$I$501,'Plan rashoda za unos u SAP'!$C$3:$C$501,"=559",'Plan rashoda za unos u SAP'!$M$3:$M$501,"=543")+SUMIFS('ANALITIKA EU PROJEKATA'!$G$3:$G$501,'ANALITIKA EU PROJEKATA'!$A$3:$A$501,"=559",'ANALITIKA EU PROJEKATA'!$P$3:$P$501,"=543")</f>
        <v>0</v>
      </c>
      <c r="N65" s="140">
        <f>SUMIFS('Plan rashoda za unos u SAP'!$I$3:$I$501,'Plan rashoda za unos u SAP'!$C$3:$C$501,"=561",'Plan rashoda za unos u SAP'!$M$3:$M$501,"=543")+SUMIFS('ANALITIKA EU PROJEKATA'!$G$3:$G$501,'ANALITIKA EU PROJEKATA'!$A$3:$A$501,"=561",'ANALITIKA EU PROJEKATA'!$P$3:$P$501,"=543")</f>
        <v>0</v>
      </c>
      <c r="O65" s="140">
        <f>SUMIFS('Plan rashoda za unos u SAP'!$I$3:$I$501,'Plan rashoda za unos u SAP'!$C$3:$C$501,"=563",'Plan rashoda za unos u SAP'!$M$3:$M$501,"=543")+SUMIFS('ANALITIKA EU PROJEKATA'!$G$3:$G$501,'ANALITIKA EU PROJEKATA'!$A$3:$A$501,"=563",'ANALITIKA EU PROJEKATA'!$P$3:$P$501,"=543")</f>
        <v>0</v>
      </c>
      <c r="P65" s="140">
        <f>SUMIFS('Plan rashoda za unos u SAP'!$I$3:$I$501,'Plan rashoda za unos u SAP'!$C$3:$C$501,"=573",'Plan rashoda za unos u SAP'!$M$3:$M$501,"=543")+SUMIFS('ANALITIKA EU PROJEKATA'!$G$3:$G$501,'ANALITIKA EU PROJEKATA'!$A$3:$A$501,"=573",'ANALITIKA EU PROJEKATA'!$P$3:$P$501,"=543")</f>
        <v>0</v>
      </c>
      <c r="Q65" s="140">
        <f>SUMIFS('Plan rashoda za unos u SAP'!$I$3:$I$501,'Plan rashoda za unos u SAP'!$C$3:$C$501,"=575",'Plan rashoda za unos u SAP'!$M$3:$M$501,"=543")+SUMIFS('ANALITIKA EU PROJEKATA'!$G$3:$G$501,'ANALITIKA EU PROJEKATA'!$A$3:$A$501,"=575",'ANALITIKA EU PROJEKATA'!$P$3:$P$501,"=543")</f>
        <v>0</v>
      </c>
      <c r="R65" s="140">
        <f>SUMIFS('Plan rashoda za unos u SAP'!$I$3:$I$501,'Plan rashoda za unos u SAP'!$C$3:$C$501,"=576",'Plan rashoda za unos u SAP'!$M$3:$M$501,"=543")+SUMIFS('ANALITIKA EU PROJEKATA'!$G$3:$G$501,'ANALITIKA EU PROJEKATA'!$A$3:$A$501,"=576",'ANALITIKA EU PROJEKATA'!$P$3:$P$501,"=543")</f>
        <v>0</v>
      </c>
      <c r="S65" s="140">
        <f>SUMIFS('Plan rashoda za unos u SAP'!$I$3:$I$501,'Plan rashoda za unos u SAP'!$C$3:$C$501,"=61",'Plan rashoda za unos u SAP'!$M$3:$M$501,"=543")+SUMIFS('ANALITIKA EU PROJEKATA'!$G$3:$G$501,'ANALITIKA EU PROJEKATA'!$A$3:$A$501,"=61",'ANALITIKA EU PROJEKATA'!$P$3:$P$501,"=543")</f>
        <v>0</v>
      </c>
      <c r="T65" s="140">
        <f>SUMIFS('Plan rashoda za unos u SAP'!$I$3:$I$501,'Plan rashoda za unos u SAP'!$C$3:$C$501,"=63",'Plan rashoda za unos u SAP'!$M$3:$M$501,"=543")+SUMIFS('ANALITIKA EU PROJEKATA'!$G$3:$G$501,'ANALITIKA EU PROJEKATA'!$A$3:$A$501,"=63",'ANALITIKA EU PROJEKATA'!$P$3:$P$501,"=543")</f>
        <v>0</v>
      </c>
      <c r="U65" s="140">
        <f>SUMIFS('Plan rashoda za unos u SAP'!$I$3:$I$501,'Plan rashoda za unos u SAP'!$C$3:$C$501,"=71",'Plan rashoda za unos u SAP'!$M$3:$M$501,"=543")+SUMIFS('ANALITIKA EU PROJEKATA'!$G$3:$G$501,'ANALITIKA EU PROJEKATA'!$A$3:$A$501,"=71",'ANALITIKA EU PROJEKATA'!$P$3:$P$501,"=543")</f>
        <v>0</v>
      </c>
      <c r="V65" s="140">
        <f>SUMIFS('Plan rashoda za unos u SAP'!$I$3:$I$501,'Plan rashoda za unos u SAP'!$C$3:$C$501,"=81",'Plan rashoda za unos u SAP'!$M$3:$M$501,"=543")+SUMIFS('ANALITIKA EU PROJEKATA'!$G$3:$G$501,'ANALITIKA EU PROJEKATA'!$A$3:$A$501,"=81",'ANALITIKA EU PROJEKATA'!$P$3:$P$501,"=543")</f>
        <v>0</v>
      </c>
      <c r="W65" s="140">
        <f>SUMIFS('Plan rashoda za unos u SAP'!$I$3:$I$501,'Plan rashoda za unos u SAP'!$C$3:$C$501,"=83",'Plan rashoda za unos u SAP'!$M$3:$M$501,"=543")+SUMIFS('ANALITIKA EU PROJEKATA'!$G$3:$G$501,'ANALITIKA EU PROJEKATA'!$A$3:$A$501,"=83",'ANALITIKA EU PROJEKATA'!$P$3:$P$501,"=543")</f>
        <v>0</v>
      </c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/>
      <c r="BM65" s="72"/>
      <c r="BN65" s="72"/>
      <c r="BO65" s="72"/>
      <c r="BP65" s="72"/>
      <c r="BQ65" s="72"/>
      <c r="BR65" s="72"/>
      <c r="BS65" s="72"/>
      <c r="BT65" s="72"/>
      <c r="BU65" s="72"/>
      <c r="BV65" s="72"/>
      <c r="BW65" s="72"/>
      <c r="BX65" s="72"/>
      <c r="BY65" s="72"/>
      <c r="BZ65" s="72"/>
      <c r="CA65" s="72"/>
      <c r="CB65" s="72"/>
      <c r="CC65" s="72"/>
      <c r="CD65" s="72"/>
      <c r="CE65" s="72"/>
      <c r="CF65" s="72"/>
      <c r="CG65" s="72"/>
      <c r="CH65" s="72"/>
      <c r="CI65" s="72"/>
      <c r="CJ65" s="72"/>
      <c r="CK65" s="72"/>
      <c r="CL65" s="72"/>
      <c r="CM65" s="72"/>
      <c r="CN65" s="72"/>
      <c r="CO65" s="72"/>
      <c r="CP65" s="72"/>
      <c r="CQ65" s="72"/>
      <c r="CR65" s="72"/>
      <c r="CS65" s="72"/>
      <c r="CT65" s="72"/>
      <c r="CU65" s="72"/>
      <c r="CV65" s="72"/>
      <c r="CW65" s="72"/>
      <c r="CX65" s="72"/>
      <c r="CY65" s="72"/>
      <c r="CZ65" s="72"/>
      <c r="DA65" s="72"/>
      <c r="DB65" s="72"/>
      <c r="DC65" s="72"/>
      <c r="DD65" s="72"/>
      <c r="DE65" s="72"/>
      <c r="DF65" s="72"/>
      <c r="DG65" s="72"/>
      <c r="DH65" s="72"/>
      <c r="DI65" s="72"/>
      <c r="DJ65" s="72"/>
      <c r="DK65" s="72"/>
      <c r="DL65" s="72"/>
      <c r="DM65" s="72"/>
      <c r="DN65" s="72"/>
      <c r="DO65" s="72"/>
      <c r="DP65" s="72"/>
      <c r="DQ65" s="72"/>
      <c r="DR65" s="72"/>
      <c r="DS65" s="72"/>
      <c r="DT65" s="72"/>
      <c r="DU65" s="72"/>
      <c r="DV65" s="72"/>
      <c r="DW65" s="72"/>
      <c r="DX65" s="72"/>
      <c r="DY65" s="72"/>
      <c r="DZ65" s="72"/>
      <c r="EA65" s="72"/>
      <c r="EB65" s="72"/>
      <c r="EC65" s="72"/>
      <c r="ED65" s="72"/>
      <c r="EE65" s="72"/>
      <c r="EF65" s="72"/>
      <c r="EG65" s="72"/>
      <c r="EH65" s="72"/>
      <c r="EI65" s="72"/>
      <c r="EJ65" s="72"/>
      <c r="EK65" s="72"/>
      <c r="EL65" s="72"/>
      <c r="EM65" s="72"/>
      <c r="EN65" s="72"/>
      <c r="EO65" s="72"/>
      <c r="EP65" s="72"/>
      <c r="EQ65" s="72"/>
      <c r="ER65" s="72"/>
      <c r="ES65" s="72"/>
      <c r="ET65" s="72"/>
      <c r="EU65" s="72"/>
      <c r="EV65" s="72"/>
      <c r="EW65" s="72"/>
      <c r="EX65" s="72"/>
      <c r="EY65" s="72"/>
      <c r="EZ65" s="72"/>
      <c r="FA65" s="72"/>
      <c r="FB65" s="72"/>
      <c r="FC65" s="72"/>
      <c r="FD65" s="72"/>
      <c r="FE65" s="72"/>
      <c r="FF65" s="72"/>
      <c r="FG65" s="72"/>
      <c r="FH65" s="72"/>
      <c r="FI65" s="72"/>
      <c r="FJ65" s="72"/>
      <c r="FK65" s="72"/>
      <c r="FL65" s="72"/>
      <c r="FM65" s="72"/>
      <c r="FN65" s="72"/>
      <c r="FO65" s="72"/>
      <c r="FP65" s="72"/>
      <c r="FQ65" s="72"/>
      <c r="FR65" s="72"/>
      <c r="FS65" s="72"/>
      <c r="FT65" s="72"/>
      <c r="FU65" s="72"/>
      <c r="FV65" s="72"/>
      <c r="FW65" s="72"/>
      <c r="FX65" s="72"/>
      <c r="FY65" s="72"/>
      <c r="FZ65" s="72"/>
      <c r="GA65" s="72"/>
      <c r="GB65" s="72"/>
      <c r="GC65" s="72"/>
      <c r="GD65" s="72"/>
      <c r="GE65" s="72"/>
      <c r="GF65" s="72"/>
      <c r="GG65" s="72"/>
      <c r="GH65" s="72"/>
      <c r="GI65" s="72"/>
      <c r="GJ65" s="72"/>
      <c r="GK65" s="72"/>
      <c r="GL65" s="73"/>
      <c r="GM65" s="73"/>
      <c r="GN65" s="73"/>
      <c r="GO65" s="73"/>
      <c r="GP65" s="73"/>
      <c r="GQ65" s="73"/>
      <c r="GR65" s="73"/>
      <c r="GS65" s="73"/>
      <c r="GT65" s="73"/>
      <c r="GU65" s="73"/>
      <c r="GV65" s="73"/>
      <c r="GW65" s="73"/>
      <c r="GX65" s="73"/>
      <c r="GY65" s="73"/>
      <c r="GZ65" s="73"/>
      <c r="HA65" s="73"/>
      <c r="HB65" s="73"/>
      <c r="HC65" s="73"/>
      <c r="HD65" s="73"/>
      <c r="HE65" s="73"/>
      <c r="HF65" s="73"/>
      <c r="HG65" s="73"/>
      <c r="HH65" s="73"/>
      <c r="HI65" s="73"/>
      <c r="HJ65" s="73"/>
      <c r="HK65" s="73"/>
      <c r="HL65" s="73"/>
      <c r="HM65" s="73"/>
      <c r="HN65" s="73"/>
      <c r="HO65" s="73"/>
      <c r="HP65" s="73"/>
      <c r="HQ65" s="73"/>
      <c r="HR65" s="73"/>
      <c r="HS65" s="73"/>
      <c r="HT65" s="73"/>
      <c r="HU65" s="73"/>
      <c r="HV65" s="73"/>
      <c r="HW65" s="73"/>
      <c r="HX65" s="73"/>
      <c r="HY65" s="73"/>
      <c r="HZ65" s="73"/>
      <c r="IA65" s="73"/>
      <c r="IB65" s="73"/>
      <c r="IC65" s="73"/>
      <c r="ID65" s="73"/>
      <c r="IE65" s="73"/>
      <c r="IF65" s="73"/>
      <c r="IG65" s="73"/>
      <c r="IH65" s="73"/>
      <c r="II65" s="73"/>
      <c r="IJ65" s="73"/>
      <c r="IK65" s="73"/>
      <c r="IL65" s="73"/>
      <c r="IM65" s="73"/>
      <c r="IN65" s="73"/>
      <c r="IO65" s="73"/>
      <c r="IP65" s="73"/>
      <c r="IQ65" s="73"/>
      <c r="IR65" s="73"/>
      <c r="IS65" s="73"/>
      <c r="IT65" s="73"/>
      <c r="IU65" s="73"/>
      <c r="IV65" s="73"/>
      <c r="IW65" s="73"/>
      <c r="IX65" s="73"/>
      <c r="IY65" s="73"/>
      <c r="IZ65" s="73"/>
      <c r="JA65" s="73"/>
      <c r="JB65" s="73"/>
      <c r="JC65" s="73"/>
    </row>
    <row r="66" spans="1:263" s="13" customFormat="1" ht="12.6" customHeight="1">
      <c r="A66" s="22">
        <v>2021</v>
      </c>
      <c r="B66" s="83">
        <v>544</v>
      </c>
      <c r="C66" s="8" t="s">
        <v>367</v>
      </c>
      <c r="D66" s="78">
        <f t="shared" si="1"/>
        <v>0</v>
      </c>
      <c r="E66" s="140">
        <f>SUMIFS('Plan rashoda za unos u SAP'!$I$3:$I$501,'Plan rashoda za unos u SAP'!$C$3:$C$501,"=11",'Plan rashoda za unos u SAP'!$M$3:$M$501,"=544")+SUMIFS('ANALITIKA EU PROJEKATA'!$G$3:$G$501,'ANALITIKA EU PROJEKATA'!$A$3:$A$501,"=11",'ANALITIKA EU PROJEKATA'!$P$3:$P$501,"=544")</f>
        <v>0</v>
      </c>
      <c r="F66" s="140">
        <f>SUMIFS('Plan rashoda za unos u SAP'!$I$3:$I$501,'Plan rashoda za unos u SAP'!$C$3:$C$501,"=12",'Plan rashoda za unos u SAP'!$M$3:$M$501,"=544")+SUMIFS('ANALITIKA EU PROJEKATA'!$G$3:$G$501,'ANALITIKA EU PROJEKATA'!$A$3:$A$501,"=12",'ANALITIKA EU PROJEKATA'!$P$3:$P$501,"=544")</f>
        <v>0</v>
      </c>
      <c r="G66" s="140">
        <f>SUMIFS('Plan rashoda za unos u SAP'!$I$3:$I$501,'Plan rashoda za unos u SAP'!$C$3:$C$501,"=31",'Plan rashoda za unos u SAP'!$M$3:$M$501,"=544")+SUMIFS('ANALITIKA EU PROJEKATA'!$G$3:$G$501,'ANALITIKA EU PROJEKATA'!$A$3:$A$501,"=31",'ANALITIKA EU PROJEKATA'!$P$3:$P$501,"=544")</f>
        <v>0</v>
      </c>
      <c r="H66" s="140">
        <f>SUMIFS('Plan rashoda za unos u SAP'!$I$3:$I$501,'Plan rashoda za unos u SAP'!$C$3:$C$501,"=41",'Plan rashoda za unos u SAP'!$M$3:$M$501,"=544")+SUMIFS('ANALITIKA EU PROJEKATA'!$G$3:$G$501,'ANALITIKA EU PROJEKATA'!$A$3:$A$501,"=41",'ANALITIKA EU PROJEKATA'!$P$3:$P$501,"=544")</f>
        <v>0</v>
      </c>
      <c r="I66" s="140">
        <f>SUMIFS('Plan rashoda za unos u SAP'!$I$3:$I$501,'Plan rashoda za unos u SAP'!$C$3:$C$501,"=43",'Plan rashoda za unos u SAP'!$M$3:$M$501,"=544")+SUMIFS('ANALITIKA EU PROJEKATA'!$G$3:$G$501,'ANALITIKA EU PROJEKATA'!$A$3:$A$501,"=43",'ANALITIKA EU PROJEKATA'!$P$3:$P$501,"=544")</f>
        <v>0</v>
      </c>
      <c r="J66" s="140">
        <f>SUMIFS('Plan rashoda za unos u SAP'!$I$3:$I$501,'Plan rashoda za unos u SAP'!$C$3:$C$501,"=51",'Plan rashoda za unos u SAP'!$M$3:$M$501,"=544")+SUMIFS('ANALITIKA EU PROJEKATA'!$G$3:$G$501,'ANALITIKA EU PROJEKATA'!$A$3:$A$501,"=51",'ANALITIKA EU PROJEKATA'!$P$3:$P$501,"=544")</f>
        <v>0</v>
      </c>
      <c r="K66" s="140">
        <f>SUMIFS('Plan rashoda za unos u SAP'!$I$3:$I$501,'Plan rashoda za unos u SAP'!$C$3:$C$501,"=52",'Plan rashoda za unos u SAP'!$M$3:$M$501,"=544")+SUMIFS('ANALITIKA EU PROJEKATA'!$G$3:$G$501,'ANALITIKA EU PROJEKATA'!$A$3:$A$501,"=52",'ANALITIKA EU PROJEKATA'!$P$3:$P$501,"=544")</f>
        <v>0</v>
      </c>
      <c r="L66" s="140">
        <f>SUMIFS('Plan rashoda za unos u SAP'!$I$3:$I$501,'Plan rashoda za unos u SAP'!$C$3:$C$501,"=552",'Plan rashoda za unos u SAP'!$M$3:$M$501,"=544")+SUMIFS('ANALITIKA EU PROJEKATA'!$G$3:$G$501,'ANALITIKA EU PROJEKATA'!$A$3:$A$501,"=552",'ANALITIKA EU PROJEKATA'!$P$3:$P$501,"=544")</f>
        <v>0</v>
      </c>
      <c r="M66" s="140">
        <f>SUMIFS('Plan rashoda za unos u SAP'!$I$3:$I$501,'Plan rashoda za unos u SAP'!$C$3:$C$501,"=559",'Plan rashoda za unos u SAP'!$M$3:$M$501,"=544")+SUMIFS('ANALITIKA EU PROJEKATA'!$G$3:$G$501,'ANALITIKA EU PROJEKATA'!$A$3:$A$501,"=559",'ANALITIKA EU PROJEKATA'!$P$3:$P$501,"=544")</f>
        <v>0</v>
      </c>
      <c r="N66" s="140">
        <f>SUMIFS('Plan rashoda za unos u SAP'!$I$3:$I$501,'Plan rashoda za unos u SAP'!$C$3:$C$501,"=561",'Plan rashoda za unos u SAP'!$M$3:$M$501,"=544")+SUMIFS('ANALITIKA EU PROJEKATA'!$G$3:$G$501,'ANALITIKA EU PROJEKATA'!$A$3:$A$501,"=561",'ANALITIKA EU PROJEKATA'!$P$3:$P$501,"=544")</f>
        <v>0</v>
      </c>
      <c r="O66" s="140">
        <f>SUMIFS('Plan rashoda za unos u SAP'!$I$3:$I$501,'Plan rashoda za unos u SAP'!$C$3:$C$501,"=563",'Plan rashoda za unos u SAP'!$M$3:$M$501,"=544")+SUMIFS('ANALITIKA EU PROJEKATA'!$G$3:$G$501,'ANALITIKA EU PROJEKATA'!$A$3:$A$501,"=563",'ANALITIKA EU PROJEKATA'!$P$3:$P$501,"=544")</f>
        <v>0</v>
      </c>
      <c r="P66" s="140">
        <f>SUMIFS('Plan rashoda za unos u SAP'!$I$3:$I$501,'Plan rashoda za unos u SAP'!$C$3:$C$501,"=573",'Plan rashoda za unos u SAP'!$M$3:$M$501,"=544")+SUMIFS('ANALITIKA EU PROJEKATA'!$G$3:$G$501,'ANALITIKA EU PROJEKATA'!$A$3:$A$501,"=573",'ANALITIKA EU PROJEKATA'!$P$3:$P$501,"=544")</f>
        <v>0</v>
      </c>
      <c r="Q66" s="140">
        <f>SUMIFS('Plan rashoda za unos u SAP'!$I$3:$I$501,'Plan rashoda za unos u SAP'!$C$3:$C$501,"=575",'Plan rashoda za unos u SAP'!$M$3:$M$501,"=544")+SUMIFS('ANALITIKA EU PROJEKATA'!$G$3:$G$501,'ANALITIKA EU PROJEKATA'!$A$3:$A$501,"=575",'ANALITIKA EU PROJEKATA'!$P$3:$P$501,"=544")</f>
        <v>0</v>
      </c>
      <c r="R66" s="140">
        <f>SUMIFS('Plan rashoda za unos u SAP'!$I$3:$I$501,'Plan rashoda za unos u SAP'!$C$3:$C$501,"=576",'Plan rashoda za unos u SAP'!$M$3:$M$501,"=544")+SUMIFS('ANALITIKA EU PROJEKATA'!$G$3:$G$501,'ANALITIKA EU PROJEKATA'!$A$3:$A$501,"=576",'ANALITIKA EU PROJEKATA'!$P$3:$P$501,"=544")</f>
        <v>0</v>
      </c>
      <c r="S66" s="140">
        <f>SUMIFS('Plan rashoda za unos u SAP'!$I$3:$I$501,'Plan rashoda za unos u SAP'!$C$3:$C$501,"=61",'Plan rashoda za unos u SAP'!$M$3:$M$501,"=544")+SUMIFS('ANALITIKA EU PROJEKATA'!$G$3:$G$501,'ANALITIKA EU PROJEKATA'!$A$3:$A$501,"=61",'ANALITIKA EU PROJEKATA'!$P$3:$P$501,"=544")</f>
        <v>0</v>
      </c>
      <c r="T66" s="140">
        <f>SUMIFS('Plan rashoda za unos u SAP'!$I$3:$I$501,'Plan rashoda za unos u SAP'!$C$3:$C$501,"=63",'Plan rashoda za unos u SAP'!$M$3:$M$501,"=544")+SUMIFS('ANALITIKA EU PROJEKATA'!$G$3:$G$501,'ANALITIKA EU PROJEKATA'!$A$3:$A$501,"=63",'ANALITIKA EU PROJEKATA'!$P$3:$P$501,"=544")</f>
        <v>0</v>
      </c>
      <c r="U66" s="140">
        <f>SUMIFS('Plan rashoda za unos u SAP'!$I$3:$I$501,'Plan rashoda za unos u SAP'!$C$3:$C$501,"=71",'Plan rashoda za unos u SAP'!$M$3:$M$501,"=544")+SUMIFS('ANALITIKA EU PROJEKATA'!$G$3:$G$501,'ANALITIKA EU PROJEKATA'!$A$3:$A$501,"=71",'ANALITIKA EU PROJEKATA'!$P$3:$P$501,"=544")</f>
        <v>0</v>
      </c>
      <c r="V66" s="140">
        <f>SUMIFS('Plan rashoda za unos u SAP'!$I$3:$I$501,'Plan rashoda za unos u SAP'!$C$3:$C$501,"=81",'Plan rashoda za unos u SAP'!$M$3:$M$501,"=544")+SUMIFS('ANALITIKA EU PROJEKATA'!$G$3:$G$501,'ANALITIKA EU PROJEKATA'!$A$3:$A$501,"=81",'ANALITIKA EU PROJEKATA'!$P$3:$P$501,"=544")</f>
        <v>0</v>
      </c>
      <c r="W66" s="140">
        <f>SUMIFS('Plan rashoda za unos u SAP'!$I$3:$I$501,'Plan rashoda za unos u SAP'!$C$3:$C$501,"=83",'Plan rashoda za unos u SAP'!$M$3:$M$501,"=544")+SUMIFS('ANALITIKA EU PROJEKATA'!$G$3:$G$501,'ANALITIKA EU PROJEKATA'!$A$3:$A$501,"=83",'ANALITIKA EU PROJEKATA'!$P$3:$P$501,"=544")</f>
        <v>0</v>
      </c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  <c r="BQ66" s="72"/>
      <c r="BR66" s="72"/>
      <c r="BS66" s="72"/>
      <c r="BT66" s="72"/>
      <c r="BU66" s="72"/>
      <c r="BV66" s="72"/>
      <c r="BW66" s="72"/>
      <c r="BX66" s="72"/>
      <c r="BY66" s="72"/>
      <c r="BZ66" s="72"/>
      <c r="CA66" s="72"/>
      <c r="CB66" s="72"/>
      <c r="CC66" s="72"/>
      <c r="CD66" s="72"/>
      <c r="CE66" s="72"/>
      <c r="CF66" s="72"/>
      <c r="CG66" s="72"/>
      <c r="CH66" s="72"/>
      <c r="CI66" s="72"/>
      <c r="CJ66" s="72"/>
      <c r="CK66" s="72"/>
      <c r="CL66" s="72"/>
      <c r="CM66" s="72"/>
      <c r="CN66" s="72"/>
      <c r="CO66" s="72"/>
      <c r="CP66" s="72"/>
      <c r="CQ66" s="72"/>
      <c r="CR66" s="72"/>
      <c r="CS66" s="72"/>
      <c r="CT66" s="72"/>
      <c r="CU66" s="72"/>
      <c r="CV66" s="72"/>
      <c r="CW66" s="72"/>
      <c r="CX66" s="72"/>
      <c r="CY66" s="72"/>
      <c r="CZ66" s="72"/>
      <c r="DA66" s="72"/>
      <c r="DB66" s="72"/>
      <c r="DC66" s="72"/>
      <c r="DD66" s="72"/>
      <c r="DE66" s="72"/>
      <c r="DF66" s="72"/>
      <c r="DG66" s="72"/>
      <c r="DH66" s="72"/>
      <c r="DI66" s="72"/>
      <c r="DJ66" s="72"/>
      <c r="DK66" s="72"/>
      <c r="DL66" s="72"/>
      <c r="DM66" s="72"/>
      <c r="DN66" s="72"/>
      <c r="DO66" s="72"/>
      <c r="DP66" s="72"/>
      <c r="DQ66" s="72"/>
      <c r="DR66" s="72"/>
      <c r="DS66" s="72"/>
      <c r="DT66" s="72"/>
      <c r="DU66" s="72"/>
      <c r="DV66" s="72"/>
      <c r="DW66" s="72"/>
      <c r="DX66" s="72"/>
      <c r="DY66" s="72"/>
      <c r="DZ66" s="72"/>
      <c r="EA66" s="72"/>
      <c r="EB66" s="72"/>
      <c r="EC66" s="72"/>
      <c r="ED66" s="72"/>
      <c r="EE66" s="72"/>
      <c r="EF66" s="72"/>
      <c r="EG66" s="72"/>
      <c r="EH66" s="72"/>
      <c r="EI66" s="72"/>
      <c r="EJ66" s="72"/>
      <c r="EK66" s="72"/>
      <c r="EL66" s="72"/>
      <c r="EM66" s="72"/>
      <c r="EN66" s="72"/>
      <c r="EO66" s="72"/>
      <c r="EP66" s="72"/>
      <c r="EQ66" s="72"/>
      <c r="ER66" s="72"/>
      <c r="ES66" s="72"/>
      <c r="ET66" s="72"/>
      <c r="EU66" s="72"/>
      <c r="EV66" s="72"/>
      <c r="EW66" s="72"/>
      <c r="EX66" s="72"/>
      <c r="EY66" s="72"/>
      <c r="EZ66" s="72"/>
      <c r="FA66" s="72"/>
      <c r="FB66" s="72"/>
      <c r="FC66" s="72"/>
      <c r="FD66" s="72"/>
      <c r="FE66" s="72"/>
      <c r="FF66" s="72"/>
      <c r="FG66" s="72"/>
      <c r="FH66" s="72"/>
      <c r="FI66" s="72"/>
      <c r="FJ66" s="72"/>
      <c r="FK66" s="72"/>
      <c r="FL66" s="72"/>
      <c r="FM66" s="72"/>
      <c r="FN66" s="72"/>
      <c r="FO66" s="72"/>
      <c r="FP66" s="72"/>
      <c r="FQ66" s="72"/>
      <c r="FR66" s="72"/>
      <c r="FS66" s="72"/>
      <c r="FT66" s="72"/>
      <c r="FU66" s="72"/>
      <c r="FV66" s="72"/>
      <c r="FW66" s="72"/>
      <c r="FX66" s="72"/>
      <c r="FY66" s="72"/>
      <c r="FZ66" s="72"/>
      <c r="GA66" s="72"/>
      <c r="GB66" s="72"/>
      <c r="GC66" s="72"/>
      <c r="GD66" s="72"/>
      <c r="GE66" s="72"/>
      <c r="GF66" s="72"/>
      <c r="GG66" s="72"/>
      <c r="GH66" s="72"/>
      <c r="GI66" s="72"/>
      <c r="GJ66" s="72"/>
      <c r="GK66" s="72"/>
      <c r="GL66" s="73"/>
      <c r="GM66" s="73"/>
      <c r="GN66" s="73"/>
      <c r="GO66" s="73"/>
      <c r="GP66" s="73"/>
      <c r="GQ66" s="73"/>
      <c r="GR66" s="73"/>
      <c r="GS66" s="73"/>
      <c r="GT66" s="73"/>
      <c r="GU66" s="73"/>
      <c r="GV66" s="73"/>
      <c r="GW66" s="73"/>
      <c r="GX66" s="73"/>
      <c r="GY66" s="73"/>
      <c r="GZ66" s="73"/>
      <c r="HA66" s="73"/>
      <c r="HB66" s="73"/>
      <c r="HC66" s="73"/>
      <c r="HD66" s="73"/>
      <c r="HE66" s="73"/>
      <c r="HF66" s="73"/>
      <c r="HG66" s="73"/>
      <c r="HH66" s="73"/>
      <c r="HI66" s="73"/>
      <c r="HJ66" s="73"/>
      <c r="HK66" s="73"/>
      <c r="HL66" s="73"/>
      <c r="HM66" s="73"/>
      <c r="HN66" s="73"/>
      <c r="HO66" s="73"/>
      <c r="HP66" s="73"/>
      <c r="HQ66" s="73"/>
      <c r="HR66" s="73"/>
      <c r="HS66" s="73"/>
      <c r="HT66" s="73"/>
      <c r="HU66" s="73"/>
      <c r="HV66" s="73"/>
      <c r="HW66" s="73"/>
      <c r="HX66" s="73"/>
      <c r="HY66" s="73"/>
      <c r="HZ66" s="73"/>
      <c r="IA66" s="73"/>
      <c r="IB66" s="73"/>
      <c r="IC66" s="73"/>
      <c r="ID66" s="73"/>
      <c r="IE66" s="73"/>
      <c r="IF66" s="73"/>
      <c r="IG66" s="73"/>
      <c r="IH66" s="73"/>
      <c r="II66" s="73"/>
      <c r="IJ66" s="73"/>
      <c r="IK66" s="73"/>
      <c r="IL66" s="73"/>
      <c r="IM66" s="73"/>
      <c r="IN66" s="73"/>
      <c r="IO66" s="73"/>
      <c r="IP66" s="73"/>
      <c r="IQ66" s="73"/>
      <c r="IR66" s="73"/>
      <c r="IS66" s="73"/>
      <c r="IT66" s="73"/>
      <c r="IU66" s="73"/>
      <c r="IV66" s="73"/>
      <c r="IW66" s="73"/>
      <c r="IX66" s="73"/>
      <c r="IY66" s="73"/>
      <c r="IZ66" s="73"/>
      <c r="JA66" s="73"/>
      <c r="JB66" s="73"/>
      <c r="JC66" s="73"/>
    </row>
    <row r="67" spans="1:263" s="13" customFormat="1" ht="12.6" customHeight="1">
      <c r="A67" s="22">
        <v>2021</v>
      </c>
      <c r="B67" s="83">
        <v>545</v>
      </c>
      <c r="C67" s="8" t="s">
        <v>368</v>
      </c>
      <c r="D67" s="78">
        <f t="shared" si="1"/>
        <v>0</v>
      </c>
      <c r="E67" s="140">
        <f>SUMIFS('Plan rashoda za unos u SAP'!$I$3:$I$501,'Plan rashoda za unos u SAP'!$C$3:$C$501,"=11",'Plan rashoda za unos u SAP'!$M$3:$M$501,"=545")+SUMIFS('ANALITIKA EU PROJEKATA'!$G$3:$G$501,'ANALITIKA EU PROJEKATA'!$A$3:$A$501,"=11",'ANALITIKA EU PROJEKATA'!$P$3:$P$501,"=545")</f>
        <v>0</v>
      </c>
      <c r="F67" s="140">
        <f>SUMIFS('Plan rashoda za unos u SAP'!$I$3:$I$501,'Plan rashoda za unos u SAP'!$C$3:$C$501,"=12",'Plan rashoda za unos u SAP'!$M$3:$M$501,"=545")+SUMIFS('ANALITIKA EU PROJEKATA'!$G$3:$G$501,'ANALITIKA EU PROJEKATA'!$A$3:$A$501,"=12",'ANALITIKA EU PROJEKATA'!$P$3:$P$501,"=545")</f>
        <v>0</v>
      </c>
      <c r="G67" s="140">
        <f>SUMIFS('Plan rashoda za unos u SAP'!$I$3:$I$501,'Plan rashoda za unos u SAP'!$C$3:$C$501,"=31",'Plan rashoda za unos u SAP'!$M$3:$M$501,"=545")+SUMIFS('ANALITIKA EU PROJEKATA'!$G$3:$G$501,'ANALITIKA EU PROJEKATA'!$A$3:$A$501,"=31",'ANALITIKA EU PROJEKATA'!$P$3:$P$501,"=545")</f>
        <v>0</v>
      </c>
      <c r="H67" s="140">
        <f>SUMIFS('Plan rashoda za unos u SAP'!$I$3:$I$501,'Plan rashoda za unos u SAP'!$C$3:$C$501,"=41",'Plan rashoda za unos u SAP'!$M$3:$M$501,"=545")+SUMIFS('ANALITIKA EU PROJEKATA'!$G$3:$G$501,'ANALITIKA EU PROJEKATA'!$A$3:$A$501,"=41",'ANALITIKA EU PROJEKATA'!$P$3:$P$501,"=545")</f>
        <v>0</v>
      </c>
      <c r="I67" s="140">
        <f>SUMIFS('Plan rashoda za unos u SAP'!$I$3:$I$501,'Plan rashoda za unos u SAP'!$C$3:$C$501,"=43",'Plan rashoda za unos u SAP'!$M$3:$M$501,"=545")+SUMIFS('ANALITIKA EU PROJEKATA'!$G$3:$G$501,'ANALITIKA EU PROJEKATA'!$A$3:$A$501,"=43",'ANALITIKA EU PROJEKATA'!$P$3:$P$501,"=545")</f>
        <v>0</v>
      </c>
      <c r="J67" s="140">
        <f>SUMIFS('Plan rashoda za unos u SAP'!$I$3:$I$501,'Plan rashoda za unos u SAP'!$C$3:$C$501,"=51",'Plan rashoda za unos u SAP'!$M$3:$M$501,"=545")+SUMIFS('ANALITIKA EU PROJEKATA'!$G$3:$G$501,'ANALITIKA EU PROJEKATA'!$A$3:$A$501,"=51",'ANALITIKA EU PROJEKATA'!$P$3:$P$501,"=545")</f>
        <v>0</v>
      </c>
      <c r="K67" s="140">
        <f>SUMIFS('Plan rashoda za unos u SAP'!$I$3:$I$501,'Plan rashoda za unos u SAP'!$C$3:$C$501,"=52",'Plan rashoda za unos u SAP'!$M$3:$M$501,"=545")+SUMIFS('ANALITIKA EU PROJEKATA'!$G$3:$G$501,'ANALITIKA EU PROJEKATA'!$A$3:$A$501,"=52",'ANALITIKA EU PROJEKATA'!$P$3:$P$501,"=545")</f>
        <v>0</v>
      </c>
      <c r="L67" s="140">
        <f>SUMIFS('Plan rashoda za unos u SAP'!$I$3:$I$501,'Plan rashoda za unos u SAP'!$C$3:$C$501,"=552",'Plan rashoda za unos u SAP'!$M$3:$M$501,"=545")+SUMIFS('ANALITIKA EU PROJEKATA'!$G$3:$G$501,'ANALITIKA EU PROJEKATA'!$A$3:$A$501,"=552",'ANALITIKA EU PROJEKATA'!$P$3:$P$501,"=545")</f>
        <v>0</v>
      </c>
      <c r="M67" s="140">
        <f>SUMIFS('Plan rashoda za unos u SAP'!$I$3:$I$501,'Plan rashoda za unos u SAP'!$C$3:$C$501,"=559",'Plan rashoda za unos u SAP'!$M$3:$M$501,"=545")+SUMIFS('ANALITIKA EU PROJEKATA'!$G$3:$G$501,'ANALITIKA EU PROJEKATA'!$A$3:$A$501,"=559",'ANALITIKA EU PROJEKATA'!$P$3:$P$501,"=545")</f>
        <v>0</v>
      </c>
      <c r="N67" s="140">
        <f>SUMIFS('Plan rashoda za unos u SAP'!$I$3:$I$501,'Plan rashoda za unos u SAP'!$C$3:$C$501,"=561",'Plan rashoda za unos u SAP'!$M$3:$M$501,"=545")+SUMIFS('ANALITIKA EU PROJEKATA'!$G$3:$G$501,'ANALITIKA EU PROJEKATA'!$A$3:$A$501,"=561",'ANALITIKA EU PROJEKATA'!$P$3:$P$501,"=545")</f>
        <v>0</v>
      </c>
      <c r="O67" s="140">
        <f>SUMIFS('Plan rashoda za unos u SAP'!$I$3:$I$501,'Plan rashoda za unos u SAP'!$C$3:$C$501,"=563",'Plan rashoda za unos u SAP'!$M$3:$M$501,"=545")+SUMIFS('ANALITIKA EU PROJEKATA'!$G$3:$G$501,'ANALITIKA EU PROJEKATA'!$A$3:$A$501,"=563",'ANALITIKA EU PROJEKATA'!$P$3:$P$501,"=545")</f>
        <v>0</v>
      </c>
      <c r="P67" s="140">
        <f>SUMIFS('Plan rashoda za unos u SAP'!$I$3:$I$501,'Plan rashoda za unos u SAP'!$C$3:$C$501,"=573",'Plan rashoda za unos u SAP'!$M$3:$M$501,"=545")+SUMIFS('ANALITIKA EU PROJEKATA'!$G$3:$G$501,'ANALITIKA EU PROJEKATA'!$A$3:$A$501,"=573",'ANALITIKA EU PROJEKATA'!$P$3:$P$501,"=545")</f>
        <v>0</v>
      </c>
      <c r="Q67" s="140">
        <f>SUMIFS('Plan rashoda za unos u SAP'!$I$3:$I$501,'Plan rashoda za unos u SAP'!$C$3:$C$501,"=575",'Plan rashoda za unos u SAP'!$M$3:$M$501,"=545")+SUMIFS('ANALITIKA EU PROJEKATA'!$G$3:$G$501,'ANALITIKA EU PROJEKATA'!$A$3:$A$501,"=575",'ANALITIKA EU PROJEKATA'!$P$3:$P$501,"=545")</f>
        <v>0</v>
      </c>
      <c r="R67" s="140">
        <f>SUMIFS('Plan rashoda za unos u SAP'!$I$3:$I$501,'Plan rashoda za unos u SAP'!$C$3:$C$501,"=576",'Plan rashoda za unos u SAP'!$M$3:$M$501,"=545")+SUMIFS('ANALITIKA EU PROJEKATA'!$G$3:$G$501,'ANALITIKA EU PROJEKATA'!$A$3:$A$501,"=576",'ANALITIKA EU PROJEKATA'!$P$3:$P$501,"=545")</f>
        <v>0</v>
      </c>
      <c r="S67" s="140">
        <f>SUMIFS('Plan rashoda za unos u SAP'!$I$3:$I$501,'Plan rashoda za unos u SAP'!$C$3:$C$501,"=61",'Plan rashoda za unos u SAP'!$M$3:$M$501,"=545")+SUMIFS('ANALITIKA EU PROJEKATA'!$G$3:$G$501,'ANALITIKA EU PROJEKATA'!$A$3:$A$501,"=61",'ANALITIKA EU PROJEKATA'!$P$3:$P$501,"=545")</f>
        <v>0</v>
      </c>
      <c r="T67" s="140">
        <f>SUMIFS('Plan rashoda za unos u SAP'!$I$3:$I$501,'Plan rashoda za unos u SAP'!$C$3:$C$501,"=63",'Plan rashoda za unos u SAP'!$M$3:$M$501,"=545")+SUMIFS('ANALITIKA EU PROJEKATA'!$G$3:$G$501,'ANALITIKA EU PROJEKATA'!$A$3:$A$501,"=63",'ANALITIKA EU PROJEKATA'!$P$3:$P$501,"=545")</f>
        <v>0</v>
      </c>
      <c r="U67" s="140">
        <f>SUMIFS('Plan rashoda za unos u SAP'!$I$3:$I$501,'Plan rashoda za unos u SAP'!$C$3:$C$501,"=71",'Plan rashoda za unos u SAP'!$M$3:$M$501,"=545")+SUMIFS('ANALITIKA EU PROJEKATA'!$G$3:$G$501,'ANALITIKA EU PROJEKATA'!$A$3:$A$501,"=71",'ANALITIKA EU PROJEKATA'!$P$3:$P$501,"=545")</f>
        <v>0</v>
      </c>
      <c r="V67" s="140">
        <f>SUMIFS('Plan rashoda za unos u SAP'!$I$3:$I$501,'Plan rashoda za unos u SAP'!$C$3:$C$501,"=81",'Plan rashoda za unos u SAP'!$M$3:$M$501,"=545")+SUMIFS('ANALITIKA EU PROJEKATA'!$G$3:$G$501,'ANALITIKA EU PROJEKATA'!$A$3:$A$501,"=81",'ANALITIKA EU PROJEKATA'!$P$3:$P$501,"=545")</f>
        <v>0</v>
      </c>
      <c r="W67" s="140">
        <f>SUMIFS('Plan rashoda za unos u SAP'!$I$3:$I$501,'Plan rashoda za unos u SAP'!$C$3:$C$501,"=83",'Plan rashoda za unos u SAP'!$M$3:$M$501,"=545")+SUMIFS('ANALITIKA EU PROJEKATA'!$G$3:$G$501,'ANALITIKA EU PROJEKATA'!$A$3:$A$501,"=83",'ANALITIKA EU PROJEKATA'!$P$3:$P$501,"=545")</f>
        <v>0</v>
      </c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/>
      <c r="BF67" s="72"/>
      <c r="BG67" s="72"/>
      <c r="BH67" s="72"/>
      <c r="BI67" s="72"/>
      <c r="BJ67" s="72"/>
      <c r="BK67" s="72"/>
      <c r="BL67" s="72"/>
      <c r="BM67" s="72"/>
      <c r="BN67" s="72"/>
      <c r="BO67" s="72"/>
      <c r="BP67" s="72"/>
      <c r="BQ67" s="72"/>
      <c r="BR67" s="72"/>
      <c r="BS67" s="72"/>
      <c r="BT67" s="72"/>
      <c r="BU67" s="72"/>
      <c r="BV67" s="72"/>
      <c r="BW67" s="72"/>
      <c r="BX67" s="72"/>
      <c r="BY67" s="72"/>
      <c r="BZ67" s="72"/>
      <c r="CA67" s="72"/>
      <c r="CB67" s="72"/>
      <c r="CC67" s="72"/>
      <c r="CD67" s="72"/>
      <c r="CE67" s="72"/>
      <c r="CF67" s="72"/>
      <c r="CG67" s="72"/>
      <c r="CH67" s="72"/>
      <c r="CI67" s="72"/>
      <c r="CJ67" s="72"/>
      <c r="CK67" s="72"/>
      <c r="CL67" s="72"/>
      <c r="CM67" s="72"/>
      <c r="CN67" s="72"/>
      <c r="CO67" s="72"/>
      <c r="CP67" s="72"/>
      <c r="CQ67" s="72"/>
      <c r="CR67" s="72"/>
      <c r="CS67" s="72"/>
      <c r="CT67" s="72"/>
      <c r="CU67" s="72"/>
      <c r="CV67" s="72"/>
      <c r="CW67" s="72"/>
      <c r="CX67" s="72"/>
      <c r="CY67" s="72"/>
      <c r="CZ67" s="72"/>
      <c r="DA67" s="72"/>
      <c r="DB67" s="72"/>
      <c r="DC67" s="72"/>
      <c r="DD67" s="72"/>
      <c r="DE67" s="72"/>
      <c r="DF67" s="72"/>
      <c r="DG67" s="72"/>
      <c r="DH67" s="72"/>
      <c r="DI67" s="72"/>
      <c r="DJ67" s="72"/>
      <c r="DK67" s="72"/>
      <c r="DL67" s="72"/>
      <c r="DM67" s="72"/>
      <c r="DN67" s="72"/>
      <c r="DO67" s="72"/>
      <c r="DP67" s="72"/>
      <c r="DQ67" s="72"/>
      <c r="DR67" s="72"/>
      <c r="DS67" s="72"/>
      <c r="DT67" s="72"/>
      <c r="DU67" s="72"/>
      <c r="DV67" s="72"/>
      <c r="DW67" s="72"/>
      <c r="DX67" s="72"/>
      <c r="DY67" s="72"/>
      <c r="DZ67" s="72"/>
      <c r="EA67" s="72"/>
      <c r="EB67" s="72"/>
      <c r="EC67" s="72"/>
      <c r="ED67" s="72"/>
      <c r="EE67" s="72"/>
      <c r="EF67" s="72"/>
      <c r="EG67" s="72"/>
      <c r="EH67" s="72"/>
      <c r="EI67" s="72"/>
      <c r="EJ67" s="72"/>
      <c r="EK67" s="72"/>
      <c r="EL67" s="72"/>
      <c r="EM67" s="72"/>
      <c r="EN67" s="72"/>
      <c r="EO67" s="72"/>
      <c r="EP67" s="72"/>
      <c r="EQ67" s="72"/>
      <c r="ER67" s="72"/>
      <c r="ES67" s="72"/>
      <c r="ET67" s="72"/>
      <c r="EU67" s="72"/>
      <c r="EV67" s="72"/>
      <c r="EW67" s="72"/>
      <c r="EX67" s="72"/>
      <c r="EY67" s="72"/>
      <c r="EZ67" s="72"/>
      <c r="FA67" s="72"/>
      <c r="FB67" s="72"/>
      <c r="FC67" s="72"/>
      <c r="FD67" s="72"/>
      <c r="FE67" s="72"/>
      <c r="FF67" s="72"/>
      <c r="FG67" s="72"/>
      <c r="FH67" s="72"/>
      <c r="FI67" s="72"/>
      <c r="FJ67" s="72"/>
      <c r="FK67" s="72"/>
      <c r="FL67" s="72"/>
      <c r="FM67" s="72"/>
      <c r="FN67" s="72"/>
      <c r="FO67" s="72"/>
      <c r="FP67" s="72"/>
      <c r="FQ67" s="72"/>
      <c r="FR67" s="72"/>
      <c r="FS67" s="72"/>
      <c r="FT67" s="72"/>
      <c r="FU67" s="72"/>
      <c r="FV67" s="72"/>
      <c r="FW67" s="72"/>
      <c r="FX67" s="72"/>
      <c r="FY67" s="72"/>
      <c r="FZ67" s="72"/>
      <c r="GA67" s="72"/>
      <c r="GB67" s="72"/>
      <c r="GC67" s="72"/>
      <c r="GD67" s="72"/>
      <c r="GE67" s="72"/>
      <c r="GF67" s="72"/>
      <c r="GG67" s="72"/>
      <c r="GH67" s="72"/>
      <c r="GI67" s="72"/>
      <c r="GJ67" s="72"/>
      <c r="GK67" s="72"/>
      <c r="GL67" s="73"/>
      <c r="GM67" s="73"/>
      <c r="GN67" s="73"/>
      <c r="GO67" s="73"/>
      <c r="GP67" s="73"/>
      <c r="GQ67" s="73"/>
      <c r="GR67" s="73"/>
      <c r="GS67" s="73"/>
      <c r="GT67" s="73"/>
      <c r="GU67" s="73"/>
      <c r="GV67" s="73"/>
      <c r="GW67" s="73"/>
      <c r="GX67" s="73"/>
      <c r="GY67" s="73"/>
      <c r="GZ67" s="73"/>
      <c r="HA67" s="73"/>
      <c r="HB67" s="73"/>
      <c r="HC67" s="73"/>
      <c r="HD67" s="73"/>
      <c r="HE67" s="73"/>
      <c r="HF67" s="73"/>
      <c r="HG67" s="73"/>
      <c r="HH67" s="73"/>
      <c r="HI67" s="73"/>
      <c r="HJ67" s="73"/>
      <c r="HK67" s="73"/>
      <c r="HL67" s="73"/>
      <c r="HM67" s="73"/>
      <c r="HN67" s="73"/>
      <c r="HO67" s="73"/>
      <c r="HP67" s="73"/>
      <c r="HQ67" s="73"/>
      <c r="HR67" s="73"/>
      <c r="HS67" s="73"/>
      <c r="HT67" s="73"/>
      <c r="HU67" s="73"/>
      <c r="HV67" s="73"/>
      <c r="HW67" s="73"/>
      <c r="HX67" s="73"/>
      <c r="HY67" s="73"/>
      <c r="HZ67" s="73"/>
      <c r="IA67" s="73"/>
      <c r="IB67" s="73"/>
      <c r="IC67" s="73"/>
      <c r="ID67" s="73"/>
      <c r="IE67" s="73"/>
      <c r="IF67" s="73"/>
      <c r="IG67" s="73"/>
      <c r="IH67" s="73"/>
      <c r="II67" s="73"/>
      <c r="IJ67" s="73"/>
      <c r="IK67" s="73"/>
      <c r="IL67" s="73"/>
      <c r="IM67" s="73"/>
      <c r="IN67" s="73"/>
      <c r="IO67" s="73"/>
      <c r="IP67" s="73"/>
      <c r="IQ67" s="73"/>
      <c r="IR67" s="73"/>
      <c r="IS67" s="73"/>
      <c r="IT67" s="73"/>
      <c r="IU67" s="73"/>
      <c r="IV67" s="73"/>
      <c r="IW67" s="73"/>
      <c r="IX67" s="73"/>
      <c r="IY67" s="73"/>
      <c r="IZ67" s="73"/>
      <c r="JA67" s="73"/>
      <c r="JB67" s="73"/>
      <c r="JC67" s="73"/>
    </row>
    <row r="68" spans="1:263" s="13" customFormat="1" ht="12.6" customHeight="1">
      <c r="A68" s="22">
        <v>2021</v>
      </c>
      <c r="B68" s="83">
        <v>547</v>
      </c>
      <c r="C68" s="8" t="s">
        <v>369</v>
      </c>
      <c r="D68" s="78">
        <f>SUM(E68:W68)</f>
        <v>0</v>
      </c>
      <c r="E68" s="140">
        <f>SUMIFS('Plan rashoda za unos u SAP'!$I$3:$I$501,'Plan rashoda za unos u SAP'!$C$3:$C$501,"=11",'Plan rashoda za unos u SAP'!$M$3:$M$501,"=547")+SUMIFS('ANALITIKA EU PROJEKATA'!$G$3:$G$501,'ANALITIKA EU PROJEKATA'!$A$3:$A$501,"=11",'ANALITIKA EU PROJEKATA'!$P$3:$P$501,"=547")</f>
        <v>0</v>
      </c>
      <c r="F68" s="140">
        <f>SUMIFS('Plan rashoda za unos u SAP'!$I$3:$I$501,'Plan rashoda za unos u SAP'!$C$3:$C$501,"=12",'Plan rashoda za unos u SAP'!$M$3:$M$501,"=547")+SUMIFS('ANALITIKA EU PROJEKATA'!$G$3:$G$501,'ANALITIKA EU PROJEKATA'!$A$3:$A$501,"=12",'ANALITIKA EU PROJEKATA'!$P$3:$P$501,"=547")</f>
        <v>0</v>
      </c>
      <c r="G68" s="140">
        <f>SUMIFS('Plan rashoda za unos u SAP'!$I$3:$I$501,'Plan rashoda za unos u SAP'!$C$3:$C$501,"=31",'Plan rashoda za unos u SAP'!$M$3:$M$501,"=547")+SUMIFS('ANALITIKA EU PROJEKATA'!$G$3:$G$501,'ANALITIKA EU PROJEKATA'!$A$3:$A$501,"=31",'ANALITIKA EU PROJEKATA'!$P$3:$P$501,"=547")</f>
        <v>0</v>
      </c>
      <c r="H68" s="140">
        <f>SUMIFS('Plan rashoda za unos u SAP'!$I$3:$I$501,'Plan rashoda za unos u SAP'!$C$3:$C$501,"=41",'Plan rashoda za unos u SAP'!$M$3:$M$501,"=547")+SUMIFS('ANALITIKA EU PROJEKATA'!$G$3:$G$501,'ANALITIKA EU PROJEKATA'!$A$3:$A$501,"=41",'ANALITIKA EU PROJEKATA'!$P$3:$P$501,"=547")</f>
        <v>0</v>
      </c>
      <c r="I68" s="140">
        <f>SUMIFS('Plan rashoda za unos u SAP'!$I$3:$I$501,'Plan rashoda za unos u SAP'!$C$3:$C$501,"=43",'Plan rashoda za unos u SAP'!$M$3:$M$501,"=547")+SUMIFS('ANALITIKA EU PROJEKATA'!$G$3:$G$501,'ANALITIKA EU PROJEKATA'!$A$3:$A$501,"=43",'ANALITIKA EU PROJEKATA'!$P$3:$P$501,"=547")</f>
        <v>0</v>
      </c>
      <c r="J68" s="140">
        <f>SUMIFS('Plan rashoda za unos u SAP'!$I$3:$I$501,'Plan rashoda za unos u SAP'!$C$3:$C$501,"=51",'Plan rashoda za unos u SAP'!$M$3:$M$501,"=547")+SUMIFS('ANALITIKA EU PROJEKATA'!$G$3:$G$501,'ANALITIKA EU PROJEKATA'!$A$3:$A$501,"=51",'ANALITIKA EU PROJEKATA'!$P$3:$P$501,"=547")</f>
        <v>0</v>
      </c>
      <c r="K68" s="140">
        <f>SUMIFS('Plan rashoda za unos u SAP'!$I$3:$I$501,'Plan rashoda za unos u SAP'!$C$3:$C$501,"=52",'Plan rashoda za unos u SAP'!$M$3:$M$501,"=547")+SUMIFS('ANALITIKA EU PROJEKATA'!$G$3:$G$501,'ANALITIKA EU PROJEKATA'!$A$3:$A$501,"=52",'ANALITIKA EU PROJEKATA'!$P$3:$P$501,"=547")</f>
        <v>0</v>
      </c>
      <c r="L68" s="140">
        <f>SUMIFS('Plan rashoda za unos u SAP'!$I$3:$I$501,'Plan rashoda za unos u SAP'!$C$3:$C$501,"=552",'Plan rashoda za unos u SAP'!$M$3:$M$501,"=547")+SUMIFS('ANALITIKA EU PROJEKATA'!$G$3:$G$501,'ANALITIKA EU PROJEKATA'!$A$3:$A$501,"=552",'ANALITIKA EU PROJEKATA'!$P$3:$P$501,"=547")</f>
        <v>0</v>
      </c>
      <c r="M68" s="140">
        <f>SUMIFS('Plan rashoda za unos u SAP'!$I$3:$I$501,'Plan rashoda za unos u SAP'!$C$3:$C$501,"=559",'Plan rashoda za unos u SAP'!$M$3:$M$501,"=547")+SUMIFS('ANALITIKA EU PROJEKATA'!$G$3:$G$501,'ANALITIKA EU PROJEKATA'!$A$3:$A$501,"=559",'ANALITIKA EU PROJEKATA'!$P$3:$P$501,"=547")</f>
        <v>0</v>
      </c>
      <c r="N68" s="140">
        <f>SUMIFS('Plan rashoda za unos u SAP'!$I$3:$I$501,'Plan rashoda za unos u SAP'!$C$3:$C$501,"=561",'Plan rashoda za unos u SAP'!$M$3:$M$501,"=547")+SUMIFS('ANALITIKA EU PROJEKATA'!$G$3:$G$501,'ANALITIKA EU PROJEKATA'!$A$3:$A$501,"=561",'ANALITIKA EU PROJEKATA'!$P$3:$P$501,"=547")</f>
        <v>0</v>
      </c>
      <c r="O68" s="140">
        <f>SUMIFS('Plan rashoda za unos u SAP'!$I$3:$I$501,'Plan rashoda za unos u SAP'!$C$3:$C$501,"=563",'Plan rashoda za unos u SAP'!$M$3:$M$501,"=547")+SUMIFS('ANALITIKA EU PROJEKATA'!$G$3:$G$501,'ANALITIKA EU PROJEKATA'!$A$3:$A$501,"=563",'ANALITIKA EU PROJEKATA'!$P$3:$P$501,"=547")</f>
        <v>0</v>
      </c>
      <c r="P68" s="140">
        <f>SUMIFS('Plan rashoda za unos u SAP'!$I$3:$I$501,'Plan rashoda za unos u SAP'!$C$3:$C$501,"=573",'Plan rashoda za unos u SAP'!$M$3:$M$501,"=547")+SUMIFS('ANALITIKA EU PROJEKATA'!$G$3:$G$501,'ANALITIKA EU PROJEKATA'!$A$3:$A$501,"=573",'ANALITIKA EU PROJEKATA'!$P$3:$P$501,"=547")</f>
        <v>0</v>
      </c>
      <c r="Q68" s="140">
        <f>SUMIFS('Plan rashoda za unos u SAP'!$I$3:$I$501,'Plan rashoda za unos u SAP'!$C$3:$C$501,"=575",'Plan rashoda za unos u SAP'!$M$3:$M$501,"=547")+SUMIFS('ANALITIKA EU PROJEKATA'!$G$3:$G$501,'ANALITIKA EU PROJEKATA'!$A$3:$A$501,"=575",'ANALITIKA EU PROJEKATA'!$P$3:$P$501,"=547")</f>
        <v>0</v>
      </c>
      <c r="R68" s="140">
        <f>SUMIFS('Plan rashoda za unos u SAP'!$I$3:$I$501,'Plan rashoda za unos u SAP'!$C$3:$C$501,"=576",'Plan rashoda za unos u SAP'!$M$3:$M$501,"=547")+SUMIFS('ANALITIKA EU PROJEKATA'!$G$3:$G$501,'ANALITIKA EU PROJEKATA'!$A$3:$A$501,"=576",'ANALITIKA EU PROJEKATA'!$P$3:$P$501,"=547")</f>
        <v>0</v>
      </c>
      <c r="S68" s="140">
        <f>SUMIFS('Plan rashoda za unos u SAP'!$I$3:$I$501,'Plan rashoda za unos u SAP'!$C$3:$C$501,"=61",'Plan rashoda za unos u SAP'!$M$3:$M$501,"=547")+SUMIFS('ANALITIKA EU PROJEKATA'!$G$3:$G$501,'ANALITIKA EU PROJEKATA'!$A$3:$A$501,"=61",'ANALITIKA EU PROJEKATA'!$P$3:$P$501,"=547")</f>
        <v>0</v>
      </c>
      <c r="T68" s="140">
        <f>SUMIFS('Plan rashoda za unos u SAP'!$I$3:$I$501,'Plan rashoda za unos u SAP'!$C$3:$C$501,"=63",'Plan rashoda za unos u SAP'!$M$3:$M$501,"=547")+SUMIFS('ANALITIKA EU PROJEKATA'!$G$3:$G$501,'ANALITIKA EU PROJEKATA'!$A$3:$A$501,"=63",'ANALITIKA EU PROJEKATA'!$P$3:$P$501,"=547")</f>
        <v>0</v>
      </c>
      <c r="U68" s="140">
        <f>SUMIFS('Plan rashoda za unos u SAP'!$I$3:$I$501,'Plan rashoda za unos u SAP'!$C$3:$C$501,"=71",'Plan rashoda za unos u SAP'!$M$3:$M$501,"=547")+SUMIFS('ANALITIKA EU PROJEKATA'!$G$3:$G$501,'ANALITIKA EU PROJEKATA'!$A$3:$A$501,"=71",'ANALITIKA EU PROJEKATA'!$P$3:$P$501,"=547")</f>
        <v>0</v>
      </c>
      <c r="V68" s="140">
        <f>SUMIFS('Plan rashoda za unos u SAP'!$I$3:$I$501,'Plan rashoda za unos u SAP'!$C$3:$C$501,"=81",'Plan rashoda za unos u SAP'!$M$3:$M$501,"=547")+SUMIFS('ANALITIKA EU PROJEKATA'!$G$3:$G$501,'ANALITIKA EU PROJEKATA'!$A$3:$A$501,"=81",'ANALITIKA EU PROJEKATA'!$P$3:$P$501,"=547")</f>
        <v>0</v>
      </c>
      <c r="W68" s="140">
        <f>SUMIFS('Plan rashoda za unos u SAP'!$I$3:$I$501,'Plan rashoda za unos u SAP'!$C$3:$C$501,"=83",'Plan rashoda za unos u SAP'!$M$3:$M$501,"=547")+SUMIFS('ANALITIKA EU PROJEKATA'!$G$3:$G$501,'ANALITIKA EU PROJEKATA'!$A$3:$A$501,"=83",'ANALITIKA EU PROJEKATA'!$P$3:$P$501,"=547")</f>
        <v>0</v>
      </c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/>
      <c r="BF68" s="72"/>
      <c r="BG68" s="72"/>
      <c r="BH68" s="72"/>
      <c r="BI68" s="72"/>
      <c r="BJ68" s="72"/>
      <c r="BK68" s="72"/>
      <c r="BL68" s="72"/>
      <c r="BM68" s="72"/>
      <c r="BN68" s="72"/>
      <c r="BO68" s="72"/>
      <c r="BP68" s="72"/>
      <c r="BQ68" s="72"/>
      <c r="BR68" s="72"/>
      <c r="BS68" s="72"/>
      <c r="BT68" s="72"/>
      <c r="BU68" s="72"/>
      <c r="BV68" s="72"/>
      <c r="BW68" s="72"/>
      <c r="BX68" s="72"/>
      <c r="BY68" s="72"/>
      <c r="BZ68" s="72"/>
      <c r="CA68" s="72"/>
      <c r="CB68" s="72"/>
      <c r="CC68" s="72"/>
      <c r="CD68" s="72"/>
      <c r="CE68" s="72"/>
      <c r="CF68" s="72"/>
      <c r="CG68" s="72"/>
      <c r="CH68" s="72"/>
      <c r="CI68" s="72"/>
      <c r="CJ68" s="72"/>
      <c r="CK68" s="72"/>
      <c r="CL68" s="72"/>
      <c r="CM68" s="72"/>
      <c r="CN68" s="72"/>
      <c r="CO68" s="72"/>
      <c r="CP68" s="72"/>
      <c r="CQ68" s="72"/>
      <c r="CR68" s="72"/>
      <c r="CS68" s="72"/>
      <c r="CT68" s="72"/>
      <c r="CU68" s="72"/>
      <c r="CV68" s="72"/>
      <c r="CW68" s="72"/>
      <c r="CX68" s="72"/>
      <c r="CY68" s="72"/>
      <c r="CZ68" s="72"/>
      <c r="DA68" s="72"/>
      <c r="DB68" s="72"/>
      <c r="DC68" s="72"/>
      <c r="DD68" s="72"/>
      <c r="DE68" s="72"/>
      <c r="DF68" s="72"/>
      <c r="DG68" s="72"/>
      <c r="DH68" s="72"/>
      <c r="DI68" s="72"/>
      <c r="DJ68" s="72"/>
      <c r="DK68" s="72"/>
      <c r="DL68" s="72"/>
      <c r="DM68" s="72"/>
      <c r="DN68" s="72"/>
      <c r="DO68" s="72"/>
      <c r="DP68" s="72"/>
      <c r="DQ68" s="72"/>
      <c r="DR68" s="72"/>
      <c r="DS68" s="72"/>
      <c r="DT68" s="72"/>
      <c r="DU68" s="72"/>
      <c r="DV68" s="72"/>
      <c r="DW68" s="72"/>
      <c r="DX68" s="72"/>
      <c r="DY68" s="72"/>
      <c r="DZ68" s="72"/>
      <c r="EA68" s="72"/>
      <c r="EB68" s="72"/>
      <c r="EC68" s="72"/>
      <c r="ED68" s="72"/>
      <c r="EE68" s="72"/>
      <c r="EF68" s="72"/>
      <c r="EG68" s="72"/>
      <c r="EH68" s="72"/>
      <c r="EI68" s="72"/>
      <c r="EJ68" s="72"/>
      <c r="EK68" s="72"/>
      <c r="EL68" s="72"/>
      <c r="EM68" s="72"/>
      <c r="EN68" s="72"/>
      <c r="EO68" s="72"/>
      <c r="EP68" s="72"/>
      <c r="EQ68" s="72"/>
      <c r="ER68" s="72"/>
      <c r="ES68" s="72"/>
      <c r="ET68" s="72"/>
      <c r="EU68" s="72"/>
      <c r="EV68" s="72"/>
      <c r="EW68" s="72"/>
      <c r="EX68" s="72"/>
      <c r="EY68" s="72"/>
      <c r="EZ68" s="72"/>
      <c r="FA68" s="72"/>
      <c r="FB68" s="72"/>
      <c r="FC68" s="72"/>
      <c r="FD68" s="72"/>
      <c r="FE68" s="72"/>
      <c r="FF68" s="72"/>
      <c r="FG68" s="72"/>
      <c r="FH68" s="72"/>
      <c r="FI68" s="72"/>
      <c r="FJ68" s="72"/>
      <c r="FK68" s="72"/>
      <c r="FL68" s="72"/>
      <c r="FM68" s="72"/>
      <c r="FN68" s="72"/>
      <c r="FO68" s="72"/>
      <c r="FP68" s="72"/>
      <c r="FQ68" s="72"/>
      <c r="FR68" s="72"/>
      <c r="FS68" s="72"/>
      <c r="FT68" s="72"/>
      <c r="FU68" s="72"/>
      <c r="FV68" s="72"/>
      <c r="FW68" s="72"/>
      <c r="FX68" s="72"/>
      <c r="FY68" s="72"/>
      <c r="FZ68" s="72"/>
      <c r="GA68" s="72"/>
      <c r="GB68" s="72"/>
      <c r="GC68" s="72"/>
      <c r="GD68" s="72"/>
      <c r="GE68" s="72"/>
      <c r="GF68" s="72"/>
      <c r="GG68" s="72"/>
      <c r="GH68" s="72"/>
      <c r="GI68" s="72"/>
      <c r="GJ68" s="72"/>
      <c r="GK68" s="72"/>
      <c r="GL68" s="73"/>
      <c r="GM68" s="73"/>
      <c r="GN68" s="73"/>
      <c r="GO68" s="73"/>
      <c r="GP68" s="73"/>
      <c r="GQ68" s="73"/>
      <c r="GR68" s="73"/>
      <c r="GS68" s="73"/>
      <c r="GT68" s="73"/>
      <c r="GU68" s="73"/>
      <c r="GV68" s="73"/>
      <c r="GW68" s="73"/>
      <c r="GX68" s="73"/>
      <c r="GY68" s="73"/>
      <c r="GZ68" s="73"/>
      <c r="HA68" s="73"/>
      <c r="HB68" s="73"/>
      <c r="HC68" s="73"/>
      <c r="HD68" s="73"/>
      <c r="HE68" s="73"/>
      <c r="HF68" s="73"/>
      <c r="HG68" s="73"/>
      <c r="HH68" s="73"/>
      <c r="HI68" s="73"/>
      <c r="HJ68" s="73"/>
      <c r="HK68" s="73"/>
      <c r="HL68" s="73"/>
      <c r="HM68" s="73"/>
      <c r="HN68" s="73"/>
      <c r="HO68" s="73"/>
      <c r="HP68" s="73"/>
      <c r="HQ68" s="73"/>
      <c r="HR68" s="73"/>
      <c r="HS68" s="73"/>
      <c r="HT68" s="73"/>
      <c r="HU68" s="73"/>
      <c r="HV68" s="73"/>
      <c r="HW68" s="73"/>
      <c r="HX68" s="73"/>
      <c r="HY68" s="73"/>
      <c r="HZ68" s="73"/>
      <c r="IA68" s="73"/>
      <c r="IB68" s="73"/>
      <c r="IC68" s="73"/>
      <c r="ID68" s="73"/>
      <c r="IE68" s="73"/>
      <c r="IF68" s="73"/>
      <c r="IG68" s="73"/>
      <c r="IH68" s="73"/>
      <c r="II68" s="73"/>
      <c r="IJ68" s="73"/>
      <c r="IK68" s="73"/>
      <c r="IL68" s="73"/>
      <c r="IM68" s="73"/>
      <c r="IN68" s="73"/>
      <c r="IO68" s="73"/>
      <c r="IP68" s="73"/>
      <c r="IQ68" s="73"/>
      <c r="IR68" s="73"/>
      <c r="IS68" s="73"/>
      <c r="IT68" s="73"/>
      <c r="IU68" s="73"/>
      <c r="IV68" s="73"/>
      <c r="IW68" s="73"/>
      <c r="IX68" s="73"/>
      <c r="IY68" s="73"/>
      <c r="IZ68" s="73"/>
      <c r="JA68" s="73"/>
      <c r="JB68" s="73"/>
      <c r="JC68" s="73"/>
    </row>
    <row r="69" spans="1:263" s="72" customFormat="1">
      <c r="B69" s="73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GL69" s="73"/>
      <c r="GM69" s="73"/>
      <c r="GN69" s="73"/>
      <c r="GO69" s="73"/>
      <c r="GP69" s="73"/>
      <c r="GQ69" s="73"/>
      <c r="GR69" s="73"/>
      <c r="GS69" s="73"/>
      <c r="GT69" s="73"/>
      <c r="GU69" s="73"/>
      <c r="GV69" s="73"/>
      <c r="GW69" s="73"/>
      <c r="GX69" s="73"/>
      <c r="GY69" s="73"/>
      <c r="GZ69" s="73"/>
      <c r="HA69" s="73"/>
      <c r="HB69" s="73"/>
      <c r="HC69" s="73"/>
      <c r="HD69" s="73"/>
      <c r="HE69" s="73"/>
      <c r="HF69" s="73"/>
      <c r="HG69" s="73"/>
      <c r="HH69" s="73"/>
      <c r="HI69" s="73"/>
      <c r="HJ69" s="73"/>
      <c r="HK69" s="73"/>
      <c r="HL69" s="73"/>
      <c r="HM69" s="73"/>
      <c r="HN69" s="73"/>
      <c r="HO69" s="73"/>
      <c r="HP69" s="73"/>
      <c r="HQ69" s="73"/>
      <c r="HR69" s="73"/>
      <c r="HS69" s="73"/>
      <c r="HT69" s="73"/>
      <c r="HU69" s="73"/>
      <c r="HV69" s="73"/>
      <c r="HW69" s="73"/>
      <c r="HX69" s="73"/>
      <c r="HY69" s="73"/>
      <c r="HZ69" s="73"/>
      <c r="IA69" s="73"/>
      <c r="IB69" s="73"/>
      <c r="IC69" s="73"/>
      <c r="ID69" s="73"/>
      <c r="IE69" s="73"/>
      <c r="IF69" s="73"/>
      <c r="IG69" s="73"/>
      <c r="IH69" s="73"/>
      <c r="II69" s="73"/>
      <c r="IJ69" s="73"/>
      <c r="IK69" s="73"/>
      <c r="IL69" s="73"/>
      <c r="IM69" s="73"/>
      <c r="IN69" s="73"/>
      <c r="IO69" s="73"/>
      <c r="IP69" s="73"/>
      <c r="IQ69" s="73"/>
      <c r="IR69" s="73"/>
      <c r="IS69" s="73"/>
      <c r="IT69" s="73"/>
      <c r="IU69" s="73"/>
      <c r="IV69" s="73"/>
      <c r="IW69" s="73"/>
      <c r="IX69" s="73"/>
      <c r="IY69" s="73"/>
      <c r="IZ69" s="73"/>
      <c r="JA69" s="73"/>
      <c r="JB69" s="73"/>
      <c r="JC69" s="73"/>
    </row>
    <row r="70" spans="1:263" s="74" customFormat="1" ht="71.45" customHeight="1">
      <c r="A70" s="93" t="s">
        <v>2139</v>
      </c>
      <c r="B70" s="93" t="s">
        <v>202</v>
      </c>
      <c r="C70" s="93" t="s">
        <v>203</v>
      </c>
      <c r="D70" s="2" t="s">
        <v>355</v>
      </c>
      <c r="E70" s="2" t="s">
        <v>40</v>
      </c>
      <c r="F70" s="2" t="s">
        <v>325</v>
      </c>
      <c r="G70" s="93" t="s">
        <v>19</v>
      </c>
      <c r="H70" s="93" t="s">
        <v>1560</v>
      </c>
      <c r="I70" s="93" t="s">
        <v>20</v>
      </c>
      <c r="J70" s="93" t="s">
        <v>273</v>
      </c>
      <c r="K70" s="93" t="s">
        <v>274</v>
      </c>
      <c r="L70" s="93" t="s">
        <v>1561</v>
      </c>
      <c r="M70" s="93" t="s">
        <v>275</v>
      </c>
      <c r="N70" s="93" t="s">
        <v>276</v>
      </c>
      <c r="O70" s="93" t="s">
        <v>277</v>
      </c>
      <c r="P70" s="93" t="s">
        <v>1562</v>
      </c>
      <c r="Q70" s="93" t="s">
        <v>1563</v>
      </c>
      <c r="R70" s="93" t="s">
        <v>2133</v>
      </c>
      <c r="S70" s="93" t="s">
        <v>278</v>
      </c>
      <c r="T70" s="93" t="s">
        <v>279</v>
      </c>
      <c r="U70" s="93" t="s">
        <v>1534</v>
      </c>
      <c r="V70" s="93" t="s">
        <v>1533</v>
      </c>
      <c r="W70" s="93" t="s">
        <v>1535</v>
      </c>
      <c r="GL70" s="73"/>
      <c r="GM70" s="73"/>
      <c r="GN70" s="73"/>
      <c r="GO70" s="73"/>
      <c r="GP70" s="73"/>
      <c r="GQ70" s="73"/>
      <c r="GR70" s="73"/>
      <c r="GS70" s="73"/>
      <c r="GT70" s="73"/>
      <c r="GU70" s="73"/>
      <c r="GV70" s="73"/>
      <c r="GW70" s="73"/>
      <c r="GX70" s="73"/>
      <c r="GY70" s="73"/>
      <c r="GZ70" s="73"/>
      <c r="HA70" s="73"/>
      <c r="HB70" s="73"/>
      <c r="HC70" s="73"/>
      <c r="HD70" s="73"/>
      <c r="HE70" s="73"/>
      <c r="HF70" s="73"/>
      <c r="HG70" s="73"/>
      <c r="HH70" s="73"/>
      <c r="HI70" s="73"/>
      <c r="HJ70" s="73"/>
      <c r="HK70" s="73"/>
      <c r="HL70" s="73"/>
      <c r="HM70" s="73"/>
      <c r="HN70" s="73"/>
      <c r="HO70" s="73"/>
      <c r="HP70" s="73"/>
      <c r="HQ70" s="73"/>
      <c r="HR70" s="73"/>
      <c r="HS70" s="73"/>
      <c r="HT70" s="73"/>
      <c r="HU70" s="73"/>
      <c r="HV70" s="73"/>
      <c r="HW70" s="73"/>
      <c r="HX70" s="73"/>
      <c r="HY70" s="73"/>
      <c r="HZ70" s="73"/>
      <c r="IA70" s="73"/>
      <c r="IB70" s="73"/>
      <c r="IC70" s="73"/>
      <c r="ID70" s="73"/>
      <c r="IE70" s="73"/>
      <c r="IF70" s="73"/>
      <c r="IG70" s="73"/>
      <c r="IH70" s="73"/>
      <c r="II70" s="73"/>
      <c r="IJ70" s="73"/>
      <c r="IK70" s="73"/>
      <c r="IL70" s="73"/>
      <c r="IM70" s="73"/>
      <c r="IN70" s="73"/>
      <c r="IO70" s="73"/>
      <c r="IP70" s="73"/>
      <c r="IQ70" s="73"/>
      <c r="IR70" s="73"/>
      <c r="IS70" s="73"/>
      <c r="IT70" s="73"/>
      <c r="IU70" s="73"/>
      <c r="IV70" s="73"/>
      <c r="IW70" s="73"/>
      <c r="IX70" s="73"/>
      <c r="IY70" s="73"/>
      <c r="IZ70" s="73"/>
      <c r="JA70" s="73"/>
      <c r="JB70" s="73"/>
      <c r="JC70" s="73"/>
    </row>
    <row r="71" spans="1:263" s="22" customFormat="1" ht="19.5" customHeight="1">
      <c r="A71" s="22">
        <v>2022</v>
      </c>
      <c r="B71" s="119"/>
      <c r="C71" s="119" t="s">
        <v>359</v>
      </c>
      <c r="D71" s="120">
        <f>SUM(E71:W71)</f>
        <v>38170074.899999999</v>
      </c>
      <c r="E71" s="121">
        <f t="shared" ref="E71:V71" si="20">+E72+E80+E86</f>
        <v>25161690</v>
      </c>
      <c r="F71" s="121">
        <f t="shared" si="20"/>
        <v>0</v>
      </c>
      <c r="G71" s="121">
        <f t="shared" si="20"/>
        <v>4514845</v>
      </c>
      <c r="H71" s="121">
        <f>+H72+H80+H86</f>
        <v>0</v>
      </c>
      <c r="I71" s="121">
        <f t="shared" si="20"/>
        <v>6185784.9000000004</v>
      </c>
      <c r="J71" s="121">
        <f t="shared" si="20"/>
        <v>1172775</v>
      </c>
      <c r="K71" s="121">
        <f t="shared" si="20"/>
        <v>338939</v>
      </c>
      <c r="L71" s="121">
        <f>+L72+L80+L86</f>
        <v>0</v>
      </c>
      <c r="M71" s="121">
        <f t="shared" si="20"/>
        <v>0</v>
      </c>
      <c r="N71" s="121">
        <f t="shared" si="20"/>
        <v>620041</v>
      </c>
      <c r="O71" s="121">
        <f t="shared" si="20"/>
        <v>0</v>
      </c>
      <c r="P71" s="121">
        <f>+P72+P80+P86</f>
        <v>0</v>
      </c>
      <c r="Q71" s="121">
        <f>+Q72+Q80+Q86</f>
        <v>0</v>
      </c>
      <c r="R71" s="121">
        <f>+R72+R80+R86</f>
        <v>0</v>
      </c>
      <c r="S71" s="121">
        <f t="shared" si="20"/>
        <v>176000</v>
      </c>
      <c r="T71" s="121">
        <f t="shared" si="20"/>
        <v>0</v>
      </c>
      <c r="U71" s="121">
        <f t="shared" si="20"/>
        <v>0</v>
      </c>
      <c r="V71" s="121">
        <f t="shared" si="20"/>
        <v>0</v>
      </c>
      <c r="W71" s="121">
        <f>+W72+W80+W86</f>
        <v>0</v>
      </c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  <c r="AJ71" s="75"/>
      <c r="AK71" s="75"/>
      <c r="AL71" s="75"/>
      <c r="AM71" s="75"/>
      <c r="AN71" s="76"/>
      <c r="AO71" s="76"/>
      <c r="AP71" s="76"/>
      <c r="AQ71" s="76"/>
      <c r="AR71" s="75"/>
      <c r="AS71" s="75"/>
      <c r="AT71" s="75"/>
      <c r="AU71" s="75"/>
      <c r="AV71" s="75"/>
      <c r="AW71" s="75"/>
      <c r="AX71" s="75"/>
      <c r="AY71" s="75"/>
      <c r="AZ71" s="75"/>
      <c r="BA71" s="75"/>
      <c r="BB71" s="75"/>
      <c r="BC71" s="75"/>
      <c r="BD71" s="75"/>
      <c r="BE71" s="75"/>
      <c r="BF71" s="75"/>
      <c r="BG71" s="75"/>
      <c r="BH71" s="75"/>
      <c r="BI71" s="75"/>
      <c r="BJ71" s="75"/>
      <c r="BK71" s="75"/>
      <c r="BL71" s="75"/>
      <c r="BM71" s="75"/>
      <c r="BN71" s="75"/>
      <c r="BO71" s="75"/>
      <c r="BP71" s="75"/>
      <c r="BQ71" s="75"/>
      <c r="BR71" s="75"/>
      <c r="BS71" s="75"/>
      <c r="BT71" s="75"/>
      <c r="BU71" s="75"/>
      <c r="BV71" s="75"/>
      <c r="BW71" s="75"/>
      <c r="BX71" s="75"/>
      <c r="BY71" s="75"/>
      <c r="BZ71" s="75"/>
      <c r="CA71" s="75"/>
      <c r="CB71" s="75"/>
      <c r="CC71" s="75"/>
      <c r="CD71" s="75"/>
      <c r="CE71" s="75"/>
      <c r="CF71" s="75"/>
      <c r="CG71" s="75"/>
      <c r="CH71" s="75"/>
      <c r="CI71" s="75"/>
      <c r="CJ71" s="75"/>
      <c r="CK71" s="75"/>
      <c r="CL71" s="75"/>
      <c r="CM71" s="75"/>
      <c r="CN71" s="75"/>
      <c r="CO71" s="75"/>
      <c r="CP71" s="75"/>
      <c r="CQ71" s="75"/>
      <c r="CR71" s="75"/>
      <c r="CS71" s="75"/>
      <c r="CT71" s="75"/>
      <c r="CU71" s="75"/>
      <c r="CV71" s="75"/>
      <c r="CW71" s="75"/>
      <c r="CX71" s="75"/>
      <c r="CY71" s="75"/>
      <c r="CZ71" s="75"/>
      <c r="DA71" s="75"/>
      <c r="DB71" s="75"/>
      <c r="DC71" s="75"/>
      <c r="DD71" s="75"/>
      <c r="DE71" s="75"/>
      <c r="DF71" s="75"/>
      <c r="DG71" s="75"/>
      <c r="DH71" s="75"/>
      <c r="DI71" s="75"/>
      <c r="DJ71" s="75"/>
      <c r="DK71" s="75"/>
      <c r="DL71" s="75"/>
      <c r="DM71" s="75"/>
      <c r="DN71" s="75"/>
      <c r="DO71" s="75"/>
      <c r="DP71" s="75"/>
      <c r="DQ71" s="75"/>
      <c r="DR71" s="75"/>
      <c r="DS71" s="75"/>
      <c r="DT71" s="75"/>
      <c r="DU71" s="75"/>
      <c r="DV71" s="75"/>
      <c r="DW71" s="75"/>
      <c r="DX71" s="75"/>
      <c r="DY71" s="75"/>
      <c r="DZ71" s="75"/>
      <c r="EA71" s="75"/>
      <c r="EB71" s="75"/>
      <c r="EC71" s="75"/>
      <c r="ED71" s="75"/>
      <c r="EE71" s="75"/>
      <c r="EF71" s="75"/>
      <c r="EG71" s="75"/>
      <c r="EH71" s="75"/>
      <c r="EI71" s="75"/>
      <c r="EJ71" s="75"/>
      <c r="EK71" s="75"/>
      <c r="EL71" s="75"/>
      <c r="EM71" s="75"/>
      <c r="EN71" s="75"/>
      <c r="EO71" s="75"/>
      <c r="EP71" s="75"/>
      <c r="EQ71" s="75"/>
      <c r="ER71" s="75"/>
      <c r="ES71" s="75"/>
      <c r="ET71" s="75"/>
      <c r="EU71" s="75"/>
      <c r="EV71" s="75"/>
      <c r="EW71" s="75"/>
      <c r="EX71" s="75"/>
      <c r="EY71" s="75"/>
      <c r="EZ71" s="75"/>
      <c r="FA71" s="75"/>
      <c r="FB71" s="75"/>
      <c r="FC71" s="75"/>
      <c r="FD71" s="75"/>
      <c r="FE71" s="75"/>
      <c r="FF71" s="75"/>
      <c r="FG71" s="75"/>
      <c r="FH71" s="75"/>
      <c r="FI71" s="75"/>
      <c r="FJ71" s="75"/>
      <c r="FK71" s="75"/>
      <c r="FL71" s="75"/>
      <c r="FM71" s="75"/>
      <c r="FN71" s="75"/>
      <c r="FO71" s="75"/>
      <c r="FP71" s="75"/>
      <c r="FQ71" s="75"/>
      <c r="FR71" s="75"/>
      <c r="FS71" s="75"/>
      <c r="FT71" s="75"/>
      <c r="FU71" s="75"/>
      <c r="FV71" s="75"/>
      <c r="FW71" s="75"/>
      <c r="FX71" s="75"/>
      <c r="FY71" s="75"/>
      <c r="FZ71" s="75"/>
      <c r="GA71" s="75"/>
      <c r="GB71" s="75"/>
      <c r="GC71" s="75"/>
      <c r="GD71" s="75"/>
      <c r="GE71" s="75"/>
      <c r="GF71" s="75"/>
      <c r="GG71" s="75"/>
      <c r="GH71" s="75"/>
      <c r="GI71" s="75"/>
      <c r="GJ71" s="75"/>
      <c r="GK71" s="75"/>
      <c r="GL71" s="76"/>
      <c r="GM71" s="76"/>
      <c r="GN71" s="76"/>
      <c r="GO71" s="76"/>
      <c r="GP71" s="76"/>
      <c r="GQ71" s="76"/>
      <c r="GR71" s="76"/>
      <c r="GS71" s="76"/>
      <c r="GT71" s="76"/>
      <c r="GU71" s="76"/>
      <c r="GV71" s="76"/>
      <c r="GW71" s="76"/>
      <c r="GX71" s="76"/>
      <c r="GY71" s="76"/>
      <c r="GZ71" s="76"/>
      <c r="HA71" s="76"/>
      <c r="HB71" s="76"/>
      <c r="HC71" s="76"/>
      <c r="HD71" s="76"/>
      <c r="HE71" s="76"/>
      <c r="HF71" s="76"/>
      <c r="HG71" s="76"/>
      <c r="HH71" s="76"/>
      <c r="HI71" s="76"/>
      <c r="HJ71" s="76"/>
      <c r="HK71" s="76"/>
      <c r="HL71" s="76"/>
      <c r="HM71" s="76"/>
      <c r="HN71" s="76"/>
      <c r="HO71" s="76"/>
      <c r="HP71" s="76"/>
      <c r="HQ71" s="76"/>
      <c r="HR71" s="76"/>
      <c r="HS71" s="76"/>
      <c r="HT71" s="76"/>
      <c r="HU71" s="76"/>
      <c r="HV71" s="76"/>
      <c r="HW71" s="76"/>
      <c r="HX71" s="76"/>
      <c r="HY71" s="76"/>
      <c r="HZ71" s="76"/>
      <c r="IA71" s="76"/>
      <c r="IB71" s="76"/>
      <c r="IC71" s="76"/>
      <c r="ID71" s="76"/>
      <c r="IE71" s="76"/>
      <c r="IF71" s="76"/>
      <c r="IG71" s="76"/>
      <c r="IH71" s="76"/>
      <c r="II71" s="76"/>
      <c r="IJ71" s="76"/>
      <c r="IK71" s="76"/>
      <c r="IL71" s="76"/>
      <c r="IM71" s="76"/>
      <c r="IN71" s="76"/>
      <c r="IO71" s="76"/>
      <c r="IP71" s="76"/>
      <c r="IQ71" s="76"/>
      <c r="IR71" s="76"/>
      <c r="IS71" s="76"/>
      <c r="IT71" s="76"/>
      <c r="IU71" s="76"/>
      <c r="IV71" s="76"/>
      <c r="IW71" s="76"/>
      <c r="IX71" s="76"/>
      <c r="IY71" s="76"/>
      <c r="IZ71" s="76"/>
      <c r="JA71" s="76"/>
      <c r="JB71" s="76"/>
      <c r="JC71" s="76"/>
    </row>
    <row r="72" spans="1:263" s="9" customFormat="1" ht="12.6" customHeight="1">
      <c r="A72" s="22">
        <v>2022</v>
      </c>
      <c r="B72" s="122">
        <v>3</v>
      </c>
      <c r="C72" s="123" t="s">
        <v>204</v>
      </c>
      <c r="D72" s="124">
        <f t="shared" ref="D72:D88" si="21">SUM(E72:W72)</f>
        <v>37496224.899999999</v>
      </c>
      <c r="E72" s="130">
        <f t="shared" ref="E72:V72" si="22">SUM(E73:E79)</f>
        <v>24989690</v>
      </c>
      <c r="F72" s="130">
        <f t="shared" si="22"/>
        <v>0</v>
      </c>
      <c r="G72" s="130">
        <f t="shared" si="22"/>
        <v>4203595</v>
      </c>
      <c r="H72" s="130">
        <f>SUM(H73:H79)</f>
        <v>0</v>
      </c>
      <c r="I72" s="130">
        <f t="shared" si="22"/>
        <v>5995184.9000000004</v>
      </c>
      <c r="J72" s="130">
        <f t="shared" si="22"/>
        <v>1172775</v>
      </c>
      <c r="K72" s="130">
        <f t="shared" si="22"/>
        <v>338939</v>
      </c>
      <c r="L72" s="130">
        <f>SUM(L73:L79)</f>
        <v>0</v>
      </c>
      <c r="M72" s="130">
        <f t="shared" si="22"/>
        <v>0</v>
      </c>
      <c r="N72" s="130">
        <f t="shared" si="22"/>
        <v>620041</v>
      </c>
      <c r="O72" s="130">
        <f t="shared" si="22"/>
        <v>0</v>
      </c>
      <c r="P72" s="130">
        <f>SUM(P73:P79)</f>
        <v>0</v>
      </c>
      <c r="Q72" s="130">
        <f>SUM(Q73:Q79)</f>
        <v>0</v>
      </c>
      <c r="R72" s="130">
        <f>SUM(R73:R79)</f>
        <v>0</v>
      </c>
      <c r="S72" s="130">
        <f t="shared" si="22"/>
        <v>176000</v>
      </c>
      <c r="T72" s="130">
        <f t="shared" si="22"/>
        <v>0</v>
      </c>
      <c r="U72" s="130">
        <f t="shared" si="22"/>
        <v>0</v>
      </c>
      <c r="V72" s="130">
        <f t="shared" si="22"/>
        <v>0</v>
      </c>
      <c r="W72" s="130">
        <f>SUM(W73:W79)</f>
        <v>0</v>
      </c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72"/>
      <c r="AQ72" s="72"/>
      <c r="AR72" s="72"/>
      <c r="AS72" s="72"/>
      <c r="AT72" s="72"/>
      <c r="AU72" s="72"/>
      <c r="AV72" s="72"/>
      <c r="AW72" s="72"/>
      <c r="AX72" s="72"/>
      <c r="AY72" s="72"/>
      <c r="AZ72" s="72"/>
      <c r="BA72" s="72"/>
      <c r="BB72" s="72"/>
      <c r="BC72" s="72"/>
      <c r="BD72" s="72"/>
      <c r="BE72" s="72"/>
      <c r="BF72" s="72"/>
      <c r="BG72" s="72"/>
      <c r="BH72" s="72"/>
      <c r="BI72" s="72"/>
      <c r="BJ72" s="72"/>
      <c r="BK72" s="72"/>
      <c r="BL72" s="72"/>
      <c r="BM72" s="72"/>
      <c r="BN72" s="72"/>
      <c r="BO72" s="72"/>
      <c r="BP72" s="72"/>
      <c r="BQ72" s="72"/>
      <c r="BR72" s="72"/>
      <c r="BS72" s="72"/>
      <c r="BT72" s="72"/>
      <c r="BU72" s="72"/>
      <c r="BV72" s="72"/>
      <c r="BW72" s="72"/>
      <c r="BX72" s="72"/>
      <c r="BY72" s="72"/>
      <c r="BZ72" s="72"/>
      <c r="CA72" s="72"/>
      <c r="CB72" s="72"/>
      <c r="CC72" s="72"/>
      <c r="CD72" s="72"/>
      <c r="CE72" s="72"/>
      <c r="CF72" s="72"/>
      <c r="CG72" s="72"/>
      <c r="CH72" s="72"/>
      <c r="CI72" s="72"/>
      <c r="CJ72" s="72"/>
      <c r="CK72" s="72"/>
      <c r="CL72" s="72"/>
      <c r="CM72" s="72"/>
      <c r="CN72" s="72"/>
      <c r="CO72" s="72"/>
      <c r="CP72" s="72"/>
      <c r="CQ72" s="72"/>
      <c r="CR72" s="72"/>
      <c r="CS72" s="72"/>
      <c r="CT72" s="72"/>
      <c r="CU72" s="72"/>
      <c r="CV72" s="72"/>
      <c r="CW72" s="72"/>
      <c r="CX72" s="72"/>
      <c r="CY72" s="72"/>
      <c r="CZ72" s="72"/>
      <c r="DA72" s="72"/>
      <c r="DB72" s="72"/>
      <c r="DC72" s="72"/>
      <c r="DD72" s="72"/>
      <c r="DE72" s="72"/>
      <c r="DF72" s="72"/>
      <c r="DG72" s="72"/>
      <c r="DH72" s="72"/>
      <c r="DI72" s="72"/>
      <c r="DJ72" s="72"/>
      <c r="DK72" s="72"/>
      <c r="DL72" s="72"/>
      <c r="DM72" s="72"/>
      <c r="DN72" s="72"/>
      <c r="DO72" s="72"/>
      <c r="DP72" s="72"/>
      <c r="DQ72" s="72"/>
      <c r="DR72" s="72"/>
      <c r="DS72" s="72"/>
      <c r="DT72" s="72"/>
      <c r="DU72" s="72"/>
      <c r="DV72" s="72"/>
      <c r="DW72" s="72"/>
      <c r="DX72" s="72"/>
      <c r="DY72" s="72"/>
      <c r="DZ72" s="72"/>
      <c r="EA72" s="72"/>
      <c r="EB72" s="72"/>
      <c r="EC72" s="72"/>
      <c r="ED72" s="72"/>
      <c r="EE72" s="72"/>
      <c r="EF72" s="72"/>
      <c r="EG72" s="72"/>
      <c r="EH72" s="72"/>
      <c r="EI72" s="72"/>
      <c r="EJ72" s="72"/>
      <c r="EK72" s="72"/>
      <c r="EL72" s="72"/>
      <c r="EM72" s="72"/>
      <c r="EN72" s="72"/>
      <c r="EO72" s="72"/>
      <c r="EP72" s="72"/>
      <c r="EQ72" s="72"/>
      <c r="ER72" s="72"/>
      <c r="ES72" s="72"/>
      <c r="ET72" s="72"/>
      <c r="EU72" s="72"/>
      <c r="EV72" s="72"/>
      <c r="EW72" s="72"/>
      <c r="EX72" s="72"/>
      <c r="EY72" s="72"/>
      <c r="EZ72" s="72"/>
      <c r="FA72" s="72"/>
      <c r="FB72" s="72"/>
      <c r="FC72" s="72"/>
      <c r="FD72" s="72"/>
      <c r="FE72" s="72"/>
      <c r="FF72" s="72"/>
      <c r="FG72" s="72"/>
      <c r="FH72" s="72"/>
      <c r="FI72" s="72"/>
      <c r="FJ72" s="72"/>
      <c r="FK72" s="72"/>
      <c r="FL72" s="72"/>
      <c r="FM72" s="72"/>
      <c r="FN72" s="72"/>
      <c r="FO72" s="72"/>
      <c r="FP72" s="72"/>
      <c r="FQ72" s="72"/>
      <c r="FR72" s="72"/>
      <c r="FS72" s="72"/>
      <c r="FT72" s="72"/>
      <c r="FU72" s="72"/>
      <c r="FV72" s="72"/>
      <c r="FW72" s="72"/>
      <c r="FX72" s="72"/>
      <c r="FY72" s="72"/>
      <c r="FZ72" s="72"/>
      <c r="GA72" s="72"/>
      <c r="GB72" s="72"/>
      <c r="GC72" s="72"/>
      <c r="GD72" s="72"/>
      <c r="GE72" s="72"/>
      <c r="GF72" s="72"/>
      <c r="GG72" s="72"/>
      <c r="GH72" s="72"/>
      <c r="GI72" s="72"/>
      <c r="GJ72" s="72"/>
      <c r="GK72" s="72"/>
      <c r="GL72" s="73"/>
      <c r="GM72" s="73"/>
      <c r="GN72" s="73"/>
      <c r="GO72" s="73"/>
      <c r="GP72" s="73"/>
      <c r="GQ72" s="73"/>
      <c r="GR72" s="73"/>
      <c r="GS72" s="73"/>
      <c r="GT72" s="73"/>
      <c r="GU72" s="73"/>
      <c r="GV72" s="73"/>
      <c r="GW72" s="73"/>
      <c r="GX72" s="73"/>
      <c r="GY72" s="73"/>
      <c r="GZ72" s="73"/>
      <c r="HA72" s="73"/>
      <c r="HB72" s="73"/>
      <c r="HC72" s="73"/>
      <c r="HD72" s="73"/>
      <c r="HE72" s="73"/>
      <c r="HF72" s="73"/>
      <c r="HG72" s="73"/>
      <c r="HH72" s="73"/>
      <c r="HI72" s="73"/>
      <c r="HJ72" s="73"/>
      <c r="HK72" s="73"/>
      <c r="HL72" s="73"/>
      <c r="HM72" s="73"/>
      <c r="HN72" s="73"/>
      <c r="HO72" s="73"/>
      <c r="HP72" s="73"/>
      <c r="HQ72" s="73"/>
      <c r="HR72" s="73"/>
      <c r="HS72" s="73"/>
      <c r="HT72" s="73"/>
      <c r="HU72" s="73"/>
      <c r="HV72" s="73"/>
      <c r="HW72" s="73"/>
      <c r="HX72" s="73"/>
      <c r="HY72" s="73"/>
      <c r="HZ72" s="73"/>
      <c r="IA72" s="73"/>
      <c r="IB72" s="73"/>
      <c r="IC72" s="73"/>
      <c r="ID72" s="73"/>
      <c r="IE72" s="73"/>
      <c r="IF72" s="73"/>
      <c r="IG72" s="73"/>
      <c r="IH72" s="73"/>
      <c r="II72" s="73"/>
      <c r="IJ72" s="73"/>
      <c r="IK72" s="73"/>
      <c r="IL72" s="73"/>
      <c r="IM72" s="73"/>
      <c r="IN72" s="73"/>
      <c r="IO72" s="73"/>
      <c r="IP72" s="73"/>
      <c r="IQ72" s="73"/>
      <c r="IR72" s="73"/>
      <c r="IS72" s="73"/>
      <c r="IT72" s="73"/>
      <c r="IU72" s="73"/>
      <c r="IV72" s="73"/>
      <c r="IW72" s="73"/>
      <c r="IX72" s="73"/>
      <c r="IY72" s="73"/>
      <c r="IZ72" s="73"/>
      <c r="JA72" s="73"/>
      <c r="JB72" s="73"/>
      <c r="JC72" s="73"/>
    </row>
    <row r="73" spans="1:263" s="13" customFormat="1" ht="12.6" customHeight="1">
      <c r="A73" s="22">
        <v>2022</v>
      </c>
      <c r="B73" s="10">
        <v>31</v>
      </c>
      <c r="C73" s="11" t="s">
        <v>205</v>
      </c>
      <c r="D73" s="132">
        <f t="shared" si="21"/>
        <v>30862138.899999999</v>
      </c>
      <c r="E73" s="140">
        <f>SUMIFS('Plan rashoda za unos u SAP'!$J$3:$J$501,'Plan rashoda za unos u SAP'!$C$3:$C$501,"=11",'Plan rashoda za unos u SAP'!$N$3:$N$501,"=31")+SUMIFS('ANALITIKA EU PROJEKATA'!$H$3:$H$501,'ANALITIKA EU PROJEKATA'!$A$3:$A$501,"=11",'ANALITIKA EU PROJEKATA'!$Q$3:$Q$501,"=31")</f>
        <v>21483610</v>
      </c>
      <c r="F73" s="140">
        <f>SUMIFS('Plan rashoda za unos u SAP'!$J$3:$J$501,'Plan rashoda za unos u SAP'!$C$3:$C$501,"=12",'Plan rashoda za unos u SAP'!$N$3:$N$501,"=31")+SUMIFS('ANALITIKA EU PROJEKATA'!$H$3:$H$501,'ANALITIKA EU PROJEKATA'!$A$3:$A$501,"=12",'ANALITIKA EU PROJEKATA'!$Q$3:$Q$501,"=31")</f>
        <v>0</v>
      </c>
      <c r="G73" s="140">
        <f>SUMIFS('Plan rashoda za unos u SAP'!$J$3:$J$501,'Plan rashoda za unos u SAP'!$C$3:$C$501,"=31",'Plan rashoda za unos u SAP'!$N$3:$N$501,"=31")+SUMIFS('ANALITIKA EU PROJEKATA'!$H$3:$H$501,'ANALITIKA EU PROJEKATA'!$A$3:$A$501,"=31",'ANALITIKA EU PROJEKATA'!$Q$3:$Q$501,"=31")</f>
        <v>3017860</v>
      </c>
      <c r="H73" s="140">
        <f>SUMIFS('Plan rashoda za unos u SAP'!$J$3:$J$501,'Plan rashoda za unos u SAP'!$C$3:$C$501,"=41",'Plan rashoda za unos u SAP'!$N$3:$N$501,"=31")+SUMIFS('ANALITIKA EU PROJEKATA'!$H$3:$H$501,'ANALITIKA EU PROJEKATA'!$A$3:$A$501,"=41",'ANALITIKA EU PROJEKATA'!$Q$3:$Q$501,"=31")</f>
        <v>0</v>
      </c>
      <c r="I73" s="140">
        <f>SUMIFS('Plan rashoda za unos u SAP'!$J$3:$J$501,'Plan rashoda za unos u SAP'!$C$3:$C$501,"=43",'Plan rashoda za unos u SAP'!$N$3:$N$501,"=31")+SUMIFS('ANALITIKA EU PROJEKATA'!$H$3:$H$501,'ANALITIKA EU PROJEKATA'!$A$3:$A$501,"=43",'ANALITIKA EU PROJEKATA'!$Q$3:$Q$501,"=31")</f>
        <v>5333188.9000000004</v>
      </c>
      <c r="J73" s="140">
        <f>SUMIFS('Plan rashoda za unos u SAP'!$J$3:$J$501,'Plan rashoda za unos u SAP'!$C$3:$C$501,"=51",'Plan rashoda za unos u SAP'!$N$3:$N$501,"=31")+SUMIFS('ANALITIKA EU PROJEKATA'!$H$3:$H$501,'ANALITIKA EU PROJEKATA'!$A$3:$A$501,"=51",'ANALITIKA EU PROJEKATA'!$Q$3:$Q$501,"=31")</f>
        <v>526500</v>
      </c>
      <c r="K73" s="140">
        <f>SUMIFS('Plan rashoda za unos u SAP'!$J$3:$J$501,'Plan rashoda za unos u SAP'!$C$3:$C$501,"=52",'Plan rashoda za unos u SAP'!$N$3:$N$501,"=31")+SUMIFS('ANALITIKA EU PROJEKATA'!$H$3:$H$501,'ANALITIKA EU PROJEKATA'!$A$3:$A$501,"=52",'ANALITIKA EU PROJEKATA'!$Q$3:$Q$501,"=31")</f>
        <v>58939</v>
      </c>
      <c r="L73" s="140">
        <f>SUMIFS('Plan rashoda za unos u SAP'!$J$3:$J$501,'Plan rashoda za unos u SAP'!$C$3:$C$501,"=552",'Plan rashoda za unos u SAP'!$N$3:$N$501,"=31")+SUMIFS('ANALITIKA EU PROJEKATA'!$H$3:$H$501,'ANALITIKA EU PROJEKATA'!$A$3:$A$501,"=552",'ANALITIKA EU PROJEKATA'!$Q$3:$Q$501,"=31")</f>
        <v>0</v>
      </c>
      <c r="M73" s="140">
        <f>SUMIFS('Plan rashoda za unos u SAP'!$J$3:$J$501,'Plan rashoda za unos u SAP'!$C$3:$C$501,"=559",'Plan rashoda za unos u SAP'!$N$3:$N$501,"=31")+SUMIFS('ANALITIKA EU PROJEKATA'!$H$3:$H$501,'ANALITIKA EU PROJEKATA'!$A$3:$A$501,"=559",'ANALITIKA EU PROJEKATA'!$Q$3:$Q$501,"=31")</f>
        <v>0</v>
      </c>
      <c r="N73" s="140">
        <f>SUMIFS('Plan rashoda za unos u SAP'!$J$3:$J$501,'Plan rashoda za unos u SAP'!$C$3:$C$501,"=561",'Plan rashoda za unos u SAP'!$N$3:$N$501,"=31")+SUMIFS('ANALITIKA EU PROJEKATA'!$H$3:$H$501,'ANALITIKA EU PROJEKATA'!$A$3:$A$501,"=561",'ANALITIKA EU PROJEKATA'!$Q$3:$Q$501,"=31")</f>
        <v>306041</v>
      </c>
      <c r="O73" s="140">
        <f>SUMIFS('Plan rashoda za unos u SAP'!$J$3:$J$501,'Plan rashoda za unos u SAP'!$C$3:$C$501,"=563",'Plan rashoda za unos u SAP'!$N$3:$N$501,"=31")+SUMIFS('ANALITIKA EU PROJEKATA'!$H$3:$H$501,'ANALITIKA EU PROJEKATA'!$A$3:$A$501,"=563",'ANALITIKA EU PROJEKATA'!$Q$3:$Q$501,"=31")</f>
        <v>0</v>
      </c>
      <c r="P73" s="140">
        <f>SUMIFS('Plan rashoda za unos u SAP'!$J$3:$J$501,'Plan rashoda za unos u SAP'!$C$3:$C$501,"=573",'Plan rashoda za unos u SAP'!$N$3:$N$501,"=31")+SUMIFS('ANALITIKA EU PROJEKATA'!$H$3:$H$501,'ANALITIKA EU PROJEKATA'!$A$3:$A$501,"=573",'ANALITIKA EU PROJEKATA'!$Q$3:$Q$501,"=31")</f>
        <v>0</v>
      </c>
      <c r="Q73" s="140">
        <f>SUMIFS('Plan rashoda za unos u SAP'!$J$3:$J$501,'Plan rashoda za unos u SAP'!$C$3:$C$501,"=575",'Plan rashoda za unos u SAP'!$N$3:$N$501,"=31")+SUMIFS('ANALITIKA EU PROJEKATA'!$H$3:$H$501,'ANALITIKA EU PROJEKATA'!$A$3:$A$501,"=575",'ANALITIKA EU PROJEKATA'!$Q$3:$Q$501,"=31")</f>
        <v>0</v>
      </c>
      <c r="R73" s="140">
        <f>SUMIFS('Plan rashoda za unos u SAP'!$J$3:$J$501,'Plan rashoda za unos u SAP'!$C$3:$C$501,"=576",'Plan rashoda za unos u SAP'!$N$3:$N$501,"=31")+SUMIFS('ANALITIKA EU PROJEKATA'!$H$3:$H$501,'ANALITIKA EU PROJEKATA'!$A$3:$A$501,"=576",'ANALITIKA EU PROJEKATA'!$Q$3:$Q$501,"=31")</f>
        <v>0</v>
      </c>
      <c r="S73" s="140">
        <f>SUMIFS('Plan rashoda za unos u SAP'!$J$3:$J$501,'Plan rashoda za unos u SAP'!$C$3:$C$501,"=61",'Plan rashoda za unos u SAP'!$N$3:$N$501,"=31")+SUMIFS('ANALITIKA EU PROJEKATA'!$H$3:$H$501,'ANALITIKA EU PROJEKATA'!$A$3:$A$501,"=61",'ANALITIKA EU PROJEKATA'!$Q$3:$Q$501,"=31")</f>
        <v>136000</v>
      </c>
      <c r="T73" s="140">
        <f>SUMIFS('Plan rashoda za unos u SAP'!$J$3:$J$501,'Plan rashoda za unos u SAP'!$C$3:$C$501,"=63",'Plan rashoda za unos u SAP'!$N$3:$N$501,"=31")+SUMIFS('ANALITIKA EU PROJEKATA'!$H$3:$H$501,'ANALITIKA EU PROJEKATA'!$A$3:$A$501,"=63",'ANALITIKA EU PROJEKATA'!$Q$3:$Q$501,"=31")</f>
        <v>0</v>
      </c>
      <c r="U73" s="140">
        <f>SUMIFS('Plan rashoda za unos u SAP'!$J$3:$J$501,'Plan rashoda za unos u SAP'!$C$3:$C$501,"=71",'Plan rashoda za unos u SAP'!$N$3:$N$501,"=31")+SUMIFS('ANALITIKA EU PROJEKATA'!$H$3:$H$501,'ANALITIKA EU PROJEKATA'!$A$3:$A$501,"=71",'ANALITIKA EU PROJEKATA'!$Q$3:$Q$501,"=31")</f>
        <v>0</v>
      </c>
      <c r="V73" s="140">
        <f>SUMIFS('Plan rashoda za unos u SAP'!$J$3:$J$501,'Plan rashoda za unos u SAP'!$C$3:$C$501,"=81",'Plan rashoda za unos u SAP'!$N$3:$N$501,"=31")+SUMIFS('ANALITIKA EU PROJEKATA'!$H$3:$H$501,'ANALITIKA EU PROJEKATA'!$A$3:$A$501,"=81",'ANALITIKA EU PROJEKATA'!$Q$3:$Q$501,"=31")</f>
        <v>0</v>
      </c>
      <c r="W73" s="140">
        <f>SUMIFS('Plan rashoda za unos u SAP'!$J$3:$J$501,'Plan rashoda za unos u SAP'!$C$3:$C$501,"=83",'Plan rashoda za unos u SAP'!$N$3:$N$501,"=31")+SUMIFS('ANALITIKA EU PROJEKATA'!$H$3:$H$501,'ANALITIKA EU PROJEKATA'!$A$3:$A$501,"=83",'ANALITIKA EU PROJEKATA'!$Q$3:$Q$501,"=31")</f>
        <v>0</v>
      </c>
      <c r="X73" s="85"/>
      <c r="Y73" s="85"/>
      <c r="Z73" s="85"/>
      <c r="AA73" s="85"/>
      <c r="AB73" s="85"/>
      <c r="AC73" s="85"/>
      <c r="AD73" s="85"/>
      <c r="AE73" s="85"/>
      <c r="AF73" s="85"/>
      <c r="AG73" s="85"/>
      <c r="AH73" s="85"/>
      <c r="AI73" s="85"/>
      <c r="AJ73" s="85"/>
      <c r="AK73" s="85"/>
      <c r="AL73" s="85"/>
      <c r="AM73" s="85"/>
      <c r="AN73" s="85"/>
      <c r="AO73" s="85"/>
      <c r="AP73" s="85"/>
      <c r="AQ73" s="85"/>
      <c r="AR73" s="85"/>
      <c r="AS73" s="85"/>
      <c r="AT73" s="85"/>
      <c r="AU73" s="85"/>
      <c r="AV73" s="85"/>
      <c r="AW73" s="85"/>
      <c r="AX73" s="85"/>
      <c r="AY73" s="85"/>
      <c r="AZ73" s="85"/>
      <c r="BA73" s="85"/>
      <c r="BB73" s="85"/>
      <c r="BC73" s="85"/>
      <c r="BD73" s="85"/>
      <c r="BE73" s="85"/>
      <c r="BF73" s="85"/>
      <c r="BG73" s="85"/>
      <c r="BH73" s="85"/>
      <c r="BI73" s="85"/>
      <c r="BJ73" s="85"/>
      <c r="BK73" s="85"/>
      <c r="BL73" s="85"/>
      <c r="BM73" s="85"/>
      <c r="BN73" s="85"/>
      <c r="BO73" s="85"/>
      <c r="BP73" s="85"/>
      <c r="BQ73" s="85"/>
      <c r="BR73" s="85"/>
      <c r="BS73" s="85"/>
      <c r="BT73" s="85"/>
      <c r="BU73" s="85"/>
      <c r="BV73" s="85"/>
      <c r="BW73" s="85"/>
      <c r="BX73" s="85"/>
      <c r="BY73" s="85"/>
      <c r="BZ73" s="85"/>
      <c r="CA73" s="85"/>
      <c r="CB73" s="85"/>
      <c r="CC73" s="85"/>
      <c r="CD73" s="85"/>
      <c r="CE73" s="85"/>
      <c r="CF73" s="85"/>
      <c r="CG73" s="85"/>
      <c r="CH73" s="85"/>
      <c r="CI73" s="85"/>
      <c r="CJ73" s="85"/>
      <c r="CK73" s="85"/>
      <c r="CL73" s="85"/>
      <c r="CM73" s="85"/>
      <c r="CN73" s="85"/>
      <c r="CO73" s="85"/>
      <c r="CP73" s="85"/>
      <c r="CQ73" s="85"/>
      <c r="CR73" s="85"/>
      <c r="CS73" s="85"/>
      <c r="CT73" s="85"/>
      <c r="CU73" s="85"/>
      <c r="CV73" s="85"/>
      <c r="CW73" s="85"/>
      <c r="CX73" s="85"/>
      <c r="CY73" s="85"/>
      <c r="CZ73" s="85"/>
      <c r="DA73" s="85"/>
      <c r="DB73" s="85"/>
      <c r="DC73" s="85"/>
      <c r="DD73" s="85"/>
      <c r="DE73" s="85"/>
      <c r="DF73" s="85"/>
      <c r="DG73" s="85"/>
      <c r="DH73" s="85"/>
      <c r="DI73" s="85"/>
      <c r="DJ73" s="85"/>
      <c r="DK73" s="85"/>
      <c r="DL73" s="85"/>
      <c r="DM73" s="85"/>
      <c r="DN73" s="85"/>
      <c r="DO73" s="85"/>
      <c r="DP73" s="85"/>
      <c r="DQ73" s="85"/>
      <c r="DR73" s="85"/>
      <c r="DS73" s="85"/>
      <c r="DT73" s="85"/>
      <c r="DU73" s="85"/>
      <c r="DV73" s="85"/>
      <c r="DW73" s="85"/>
      <c r="DX73" s="85"/>
      <c r="DY73" s="85"/>
      <c r="DZ73" s="85"/>
      <c r="EA73" s="85"/>
      <c r="EB73" s="85"/>
      <c r="EC73" s="85"/>
      <c r="ED73" s="85"/>
      <c r="EE73" s="85"/>
      <c r="EF73" s="85"/>
      <c r="EG73" s="85"/>
      <c r="EH73" s="85"/>
      <c r="EI73" s="85"/>
      <c r="EJ73" s="85"/>
      <c r="EK73" s="85"/>
      <c r="EL73" s="85"/>
      <c r="EM73" s="85"/>
      <c r="EN73" s="85"/>
      <c r="EO73" s="85"/>
      <c r="EP73" s="85"/>
      <c r="EQ73" s="85"/>
      <c r="ER73" s="85"/>
      <c r="ES73" s="85"/>
      <c r="ET73" s="85"/>
      <c r="EU73" s="85"/>
      <c r="EV73" s="85"/>
      <c r="EW73" s="85"/>
      <c r="EX73" s="85"/>
      <c r="EY73" s="85"/>
      <c r="EZ73" s="85"/>
      <c r="FA73" s="85"/>
      <c r="FB73" s="85"/>
      <c r="FC73" s="85"/>
      <c r="FD73" s="85"/>
      <c r="FE73" s="85"/>
      <c r="FF73" s="85"/>
      <c r="FG73" s="85"/>
      <c r="FH73" s="85"/>
      <c r="FI73" s="85"/>
      <c r="FJ73" s="85"/>
      <c r="FK73" s="85"/>
      <c r="FL73" s="85"/>
      <c r="FM73" s="85"/>
      <c r="FN73" s="85"/>
      <c r="FO73" s="85"/>
      <c r="FP73" s="85"/>
      <c r="FQ73" s="85"/>
      <c r="FR73" s="85"/>
      <c r="FS73" s="85"/>
      <c r="FT73" s="85"/>
      <c r="FU73" s="85"/>
      <c r="FV73" s="85"/>
      <c r="FW73" s="85"/>
      <c r="FX73" s="85"/>
      <c r="FY73" s="85"/>
      <c r="FZ73" s="85"/>
      <c r="GA73" s="85"/>
      <c r="GB73" s="85"/>
      <c r="GC73" s="85"/>
      <c r="GD73" s="85"/>
      <c r="GE73" s="85"/>
      <c r="GF73" s="85"/>
      <c r="GG73" s="85"/>
      <c r="GH73" s="85"/>
      <c r="GI73" s="85"/>
      <c r="GJ73" s="85"/>
      <c r="GK73" s="85"/>
      <c r="GL73" s="86"/>
      <c r="GM73" s="86"/>
      <c r="GN73" s="86"/>
      <c r="GO73" s="86"/>
      <c r="GP73" s="86"/>
      <c r="GQ73" s="86"/>
      <c r="GR73" s="86"/>
      <c r="GS73" s="86"/>
      <c r="GT73" s="86"/>
      <c r="GU73" s="86"/>
      <c r="GV73" s="86"/>
      <c r="GW73" s="86"/>
      <c r="GX73" s="86"/>
      <c r="GY73" s="86"/>
      <c r="GZ73" s="86"/>
      <c r="HA73" s="86"/>
      <c r="HB73" s="86"/>
      <c r="HC73" s="86"/>
      <c r="HD73" s="86"/>
      <c r="HE73" s="86"/>
      <c r="HF73" s="86"/>
      <c r="HG73" s="86"/>
      <c r="HH73" s="86"/>
      <c r="HI73" s="86"/>
      <c r="HJ73" s="86"/>
      <c r="HK73" s="86"/>
      <c r="HL73" s="86"/>
      <c r="HM73" s="86"/>
      <c r="HN73" s="86"/>
      <c r="HO73" s="86"/>
      <c r="HP73" s="86"/>
      <c r="HQ73" s="86"/>
      <c r="HR73" s="86"/>
      <c r="HS73" s="86"/>
      <c r="HT73" s="86"/>
      <c r="HU73" s="86"/>
      <c r="HV73" s="86"/>
      <c r="HW73" s="86"/>
      <c r="HX73" s="86"/>
      <c r="HY73" s="86"/>
      <c r="HZ73" s="86"/>
      <c r="IA73" s="86"/>
      <c r="IB73" s="86"/>
      <c r="IC73" s="86"/>
      <c r="ID73" s="86"/>
      <c r="IE73" s="86"/>
      <c r="IF73" s="86"/>
      <c r="IG73" s="86"/>
      <c r="IH73" s="86"/>
      <c r="II73" s="86"/>
      <c r="IJ73" s="86"/>
      <c r="IK73" s="86"/>
      <c r="IL73" s="86"/>
      <c r="IM73" s="86"/>
      <c r="IN73" s="86"/>
      <c r="IO73" s="86"/>
      <c r="IP73" s="86"/>
      <c r="IQ73" s="86"/>
      <c r="IR73" s="86"/>
      <c r="IS73" s="86"/>
      <c r="IT73" s="86"/>
      <c r="IU73" s="86"/>
      <c r="IV73" s="86"/>
      <c r="IW73" s="86"/>
      <c r="IX73" s="86"/>
      <c r="IY73" s="86"/>
      <c r="IZ73" s="86"/>
      <c r="JA73" s="86"/>
      <c r="JB73" s="86"/>
      <c r="JC73" s="86"/>
    </row>
    <row r="74" spans="1:263" s="85" customFormat="1" ht="12.6" customHeight="1">
      <c r="A74" s="22">
        <v>2022</v>
      </c>
      <c r="B74" s="84">
        <v>32</v>
      </c>
      <c r="C74" s="15" t="s">
        <v>206</v>
      </c>
      <c r="D74" s="133">
        <f t="shared" si="21"/>
        <v>6408245</v>
      </c>
      <c r="E74" s="140">
        <f>SUMIFS('Plan rashoda za unos u SAP'!$J$3:$J$501,'Plan rashoda za unos u SAP'!$C$3:$C$501,"=11",'Plan rashoda za unos u SAP'!$N$3:$N$501,"=32")+SUMIFS('ANALITIKA EU PROJEKATA'!$H$3:$H$501,'ANALITIKA EU PROJEKATA'!$A$3:$A$501,"=11",'ANALITIKA EU PROJEKATA'!$Q$3:$Q$501,"=32")</f>
        <v>3485080</v>
      </c>
      <c r="F74" s="140">
        <f>SUMIFS('Plan rashoda za unos u SAP'!$J$3:$J$501,'Plan rashoda za unos u SAP'!$C$3:$C$501,"=12",'Plan rashoda za unos u SAP'!$N$3:$N$501,"=32")+SUMIFS('ANALITIKA EU PROJEKATA'!$H$3:$H$501,'ANALITIKA EU PROJEKATA'!$A$3:$A$501,"=12",'ANALITIKA EU PROJEKATA'!$Q$3:$Q$501,"=32")</f>
        <v>0</v>
      </c>
      <c r="G74" s="140">
        <f>SUMIFS('Plan rashoda za unos u SAP'!$J$3:$J$501,'Plan rashoda za unos u SAP'!$C$3:$C$501,"=31",'Plan rashoda za unos u SAP'!$N$3:$N$501,"=32")+SUMIFS('ANALITIKA EU PROJEKATA'!$H$3:$H$501,'ANALITIKA EU PROJEKATA'!$A$3:$A$501,"=31",'ANALITIKA EU PROJEKATA'!$Q$3:$Q$501,"=32")</f>
        <v>1181100</v>
      </c>
      <c r="H74" s="140">
        <f>SUMIFS('Plan rashoda za unos u SAP'!$J$3:$J$501,'Plan rashoda za unos u SAP'!$C$3:$C$501,"=41",'Plan rashoda za unos u SAP'!$N$3:$N$501,"=32")+SUMIFS('ANALITIKA EU PROJEKATA'!$H$3:$H$501,'ANALITIKA EU PROJEKATA'!$A$3:$A$501,"=41",'ANALITIKA EU PROJEKATA'!$Q$3:$Q$501,"=32")</f>
        <v>0</v>
      </c>
      <c r="I74" s="140">
        <f>SUMIFS('Plan rashoda za unos u SAP'!$J$3:$J$501,'Plan rashoda za unos u SAP'!$C$3:$C$501,"=43",'Plan rashoda za unos u SAP'!$N$3:$N$501,"=32")+SUMIFS('ANALITIKA EU PROJEKATA'!$H$3:$H$501,'ANALITIKA EU PROJEKATA'!$A$3:$A$501,"=43",'ANALITIKA EU PROJEKATA'!$Q$3:$Q$501,"=32")</f>
        <v>661790</v>
      </c>
      <c r="J74" s="140">
        <f>SUMIFS('Plan rashoda za unos u SAP'!$J$3:$J$501,'Plan rashoda za unos u SAP'!$C$3:$C$501,"=51",'Plan rashoda za unos u SAP'!$N$3:$N$501,"=32")+SUMIFS('ANALITIKA EU PROJEKATA'!$H$3:$H$501,'ANALITIKA EU PROJEKATA'!$A$3:$A$501,"=51",'ANALITIKA EU PROJEKATA'!$Q$3:$Q$501,"=32")</f>
        <v>646275</v>
      </c>
      <c r="K74" s="140">
        <f>SUMIFS('Plan rashoda za unos u SAP'!$J$3:$J$501,'Plan rashoda za unos u SAP'!$C$3:$C$501,"=52",'Plan rashoda za unos u SAP'!$N$3:$N$501,"=32")+SUMIFS('ANALITIKA EU PROJEKATA'!$H$3:$H$501,'ANALITIKA EU PROJEKATA'!$A$3:$A$501,"=52",'ANALITIKA EU PROJEKATA'!$Q$3:$Q$501,"=32")</f>
        <v>80000</v>
      </c>
      <c r="L74" s="140">
        <f>SUMIFS('Plan rashoda za unos u SAP'!$J$3:$J$501,'Plan rashoda za unos u SAP'!$C$3:$C$501,"=552",'Plan rashoda za unos u SAP'!$N$3:$N$501,"=32")+SUMIFS('ANALITIKA EU PROJEKATA'!$H$3:$H$501,'ANALITIKA EU PROJEKATA'!$A$3:$A$501,"=552",'ANALITIKA EU PROJEKATA'!$Q$3:$Q$501,"=32")</f>
        <v>0</v>
      </c>
      <c r="M74" s="140">
        <f>SUMIFS('Plan rashoda za unos u SAP'!$J$3:$J$501,'Plan rashoda za unos u SAP'!$C$3:$C$501,"=559",'Plan rashoda za unos u SAP'!$N$3:$N$501,"=32")+SUMIFS('ANALITIKA EU PROJEKATA'!$H$3:$H$501,'ANALITIKA EU PROJEKATA'!$A$3:$A$501,"=559",'ANALITIKA EU PROJEKATA'!$Q$3:$Q$501,"=32")</f>
        <v>0</v>
      </c>
      <c r="N74" s="140">
        <f>SUMIFS('Plan rashoda za unos u SAP'!$J$3:$J$501,'Plan rashoda za unos u SAP'!$C$3:$C$501,"=561",'Plan rashoda za unos u SAP'!$N$3:$N$501,"=32")+SUMIFS('ANALITIKA EU PROJEKATA'!$H$3:$H$501,'ANALITIKA EU PROJEKATA'!$A$3:$A$501,"=561",'ANALITIKA EU PROJEKATA'!$Q$3:$Q$501,"=32")</f>
        <v>314000</v>
      </c>
      <c r="O74" s="140">
        <f>SUMIFS('Plan rashoda za unos u SAP'!$J$3:$J$501,'Plan rashoda za unos u SAP'!$C$3:$C$501,"=563",'Plan rashoda za unos u SAP'!$N$3:$N$501,"=32")+SUMIFS('ANALITIKA EU PROJEKATA'!$H$3:$H$501,'ANALITIKA EU PROJEKATA'!$A$3:$A$501,"=563",'ANALITIKA EU PROJEKATA'!$Q$3:$Q$501,"=32")</f>
        <v>0</v>
      </c>
      <c r="P74" s="140">
        <f>SUMIFS('Plan rashoda za unos u SAP'!$J$3:$J$501,'Plan rashoda za unos u SAP'!$C$3:$C$501,"=573",'Plan rashoda za unos u SAP'!$N$3:$N$501,"=32")+SUMIFS('ANALITIKA EU PROJEKATA'!$H$3:$H$501,'ANALITIKA EU PROJEKATA'!$A$3:$A$501,"=573",'ANALITIKA EU PROJEKATA'!$Q$3:$Q$501,"=32")</f>
        <v>0</v>
      </c>
      <c r="Q74" s="140">
        <f>SUMIFS('Plan rashoda za unos u SAP'!$J$3:$J$501,'Plan rashoda za unos u SAP'!$C$3:$C$501,"=575",'Plan rashoda za unos u SAP'!$N$3:$N$501,"=32")+SUMIFS('ANALITIKA EU PROJEKATA'!$H$3:$H$501,'ANALITIKA EU PROJEKATA'!$A$3:$A$501,"=575",'ANALITIKA EU PROJEKATA'!$Q$3:$Q$501,"=32")</f>
        <v>0</v>
      </c>
      <c r="R74" s="140">
        <f>SUMIFS('Plan rashoda za unos u SAP'!$J$3:$J$501,'Plan rashoda za unos u SAP'!$C$3:$C$501,"=576",'Plan rashoda za unos u SAP'!$N$3:$N$501,"=32")+SUMIFS('ANALITIKA EU PROJEKATA'!$H$3:$H$501,'ANALITIKA EU PROJEKATA'!$A$3:$A$501,"=576",'ANALITIKA EU PROJEKATA'!$Q$3:$Q$501,"=32")</f>
        <v>0</v>
      </c>
      <c r="S74" s="140">
        <f>SUMIFS('Plan rashoda za unos u SAP'!$J$3:$J$501,'Plan rashoda za unos u SAP'!$C$3:$C$501,"=61",'Plan rashoda za unos u SAP'!$N$3:$N$501,"=32")+SUMIFS('ANALITIKA EU PROJEKATA'!$H$3:$H$501,'ANALITIKA EU PROJEKATA'!$A$3:$A$501,"=61",'ANALITIKA EU PROJEKATA'!$Q$3:$Q$501,"=32")</f>
        <v>40000</v>
      </c>
      <c r="T74" s="140">
        <f>SUMIFS('Plan rashoda za unos u SAP'!$J$3:$J$501,'Plan rashoda za unos u SAP'!$C$3:$C$501,"=63",'Plan rashoda za unos u SAP'!$N$3:$N$501,"=32")+SUMIFS('ANALITIKA EU PROJEKATA'!$H$3:$H$501,'ANALITIKA EU PROJEKATA'!$A$3:$A$501,"=63",'ANALITIKA EU PROJEKATA'!$Q$3:$Q$501,"=32")</f>
        <v>0</v>
      </c>
      <c r="U74" s="140">
        <f>SUMIFS('Plan rashoda za unos u SAP'!$J$3:$J$501,'Plan rashoda za unos u SAP'!$C$3:$C$501,"=71",'Plan rashoda za unos u SAP'!$N$3:$N$501,"=32")+SUMIFS('ANALITIKA EU PROJEKATA'!$H$3:$H$501,'ANALITIKA EU PROJEKATA'!$A$3:$A$501,"=71",'ANALITIKA EU PROJEKATA'!$Q$3:$Q$501,"=32")</f>
        <v>0</v>
      </c>
      <c r="V74" s="140">
        <f>SUMIFS('Plan rashoda za unos u SAP'!$J$3:$J$501,'Plan rashoda za unos u SAP'!$C$3:$C$501,"=81",'Plan rashoda za unos u SAP'!$N$3:$N$501,"=32")+SUMIFS('ANALITIKA EU PROJEKATA'!$H$3:$H$501,'ANALITIKA EU PROJEKATA'!$A$3:$A$501,"=81",'ANALITIKA EU PROJEKATA'!$Q$3:$Q$501,"=32")</f>
        <v>0</v>
      </c>
      <c r="W74" s="140">
        <f>SUMIFS('Plan rashoda za unos u SAP'!$J$3:$J$501,'Plan rashoda za unos u SAP'!$C$3:$C$501,"=83",'Plan rashoda za unos u SAP'!$N$3:$N$501,"=32")+SUMIFS('ANALITIKA EU PROJEKATA'!$H$3:$H$501,'ANALITIKA EU PROJEKATA'!$A$3:$A$501,"=83",'ANALITIKA EU PROJEKATA'!$Q$3:$Q$501,"=32")</f>
        <v>0</v>
      </c>
      <c r="GL74" s="86"/>
      <c r="GM74" s="86"/>
      <c r="GN74" s="86"/>
      <c r="GO74" s="86"/>
      <c r="GP74" s="86"/>
      <c r="GQ74" s="86"/>
      <c r="GR74" s="86"/>
      <c r="GS74" s="86"/>
      <c r="GT74" s="86"/>
      <c r="GU74" s="86"/>
      <c r="GV74" s="86"/>
      <c r="GW74" s="86"/>
      <c r="GX74" s="86"/>
      <c r="GY74" s="86"/>
      <c r="GZ74" s="86"/>
      <c r="HA74" s="86"/>
      <c r="HB74" s="86"/>
      <c r="HC74" s="86"/>
      <c r="HD74" s="86"/>
      <c r="HE74" s="86"/>
      <c r="HF74" s="86"/>
      <c r="HG74" s="86"/>
      <c r="HH74" s="86"/>
      <c r="HI74" s="86"/>
      <c r="HJ74" s="86"/>
      <c r="HK74" s="86"/>
      <c r="HL74" s="86"/>
      <c r="HM74" s="86"/>
      <c r="HN74" s="86"/>
      <c r="HO74" s="86"/>
      <c r="HP74" s="86"/>
      <c r="HQ74" s="86"/>
      <c r="HR74" s="86"/>
      <c r="HS74" s="86"/>
      <c r="HT74" s="86"/>
      <c r="HU74" s="86"/>
      <c r="HV74" s="86"/>
      <c r="HW74" s="86"/>
      <c r="HX74" s="86"/>
      <c r="HY74" s="86"/>
      <c r="HZ74" s="86"/>
      <c r="IA74" s="86"/>
      <c r="IB74" s="86"/>
      <c r="IC74" s="86"/>
      <c r="ID74" s="86"/>
      <c r="IE74" s="86"/>
      <c r="IF74" s="86"/>
      <c r="IG74" s="86"/>
      <c r="IH74" s="86"/>
      <c r="II74" s="86"/>
      <c r="IJ74" s="86"/>
      <c r="IK74" s="86"/>
      <c r="IL74" s="86"/>
      <c r="IM74" s="86"/>
      <c r="IN74" s="86"/>
      <c r="IO74" s="86"/>
      <c r="IP74" s="86"/>
      <c r="IQ74" s="86"/>
      <c r="IR74" s="86"/>
      <c r="IS74" s="86"/>
      <c r="IT74" s="86"/>
      <c r="IU74" s="86"/>
      <c r="IV74" s="86"/>
      <c r="IW74" s="86"/>
      <c r="IX74" s="86"/>
      <c r="IY74" s="86"/>
      <c r="IZ74" s="86"/>
      <c r="JA74" s="86"/>
      <c r="JB74" s="86"/>
      <c r="JC74" s="86"/>
    </row>
    <row r="75" spans="1:263" s="16" customFormat="1" ht="12.6" customHeight="1">
      <c r="A75" s="22">
        <v>2022</v>
      </c>
      <c r="B75" s="84">
        <v>34</v>
      </c>
      <c r="C75" s="15" t="s">
        <v>210</v>
      </c>
      <c r="D75" s="133">
        <f t="shared" si="21"/>
        <v>25841</v>
      </c>
      <c r="E75" s="140">
        <f>SUMIFS('Plan rashoda za unos u SAP'!$J$3:$J$501,'Plan rashoda za unos u SAP'!$C$3:$C$501,"=11",'Plan rashoda za unos u SAP'!$N$3:$N$501,"=34")+SUMIFS('ANALITIKA EU PROJEKATA'!$H$3:$H$501,'ANALITIKA EU PROJEKATA'!$A$3:$A$501,"=11",'ANALITIKA EU PROJEKATA'!$Q$3:$Q$501,"=34")</f>
        <v>21000</v>
      </c>
      <c r="F75" s="140">
        <f>SUMIFS('Plan rashoda za unos u SAP'!$J$3:$J$501,'Plan rashoda za unos u SAP'!$C$3:$C$501,"=12",'Plan rashoda za unos u SAP'!$N$3:$N$501,"=34")+SUMIFS('ANALITIKA EU PROJEKATA'!$H$3:$H$501,'ANALITIKA EU PROJEKATA'!$A$3:$A$501,"=12",'ANALITIKA EU PROJEKATA'!$Q$3:$Q$501,"=34")</f>
        <v>0</v>
      </c>
      <c r="G75" s="140">
        <f>SUMIFS('Plan rashoda za unos u SAP'!$J$3:$J$501,'Plan rashoda za unos u SAP'!$C$3:$C$501,"=31",'Plan rashoda za unos u SAP'!$N$3:$N$501,"=34")+SUMIFS('ANALITIKA EU PROJEKATA'!$H$3:$H$501,'ANALITIKA EU PROJEKATA'!$A$3:$A$501,"=31",'ANALITIKA EU PROJEKATA'!$Q$3:$Q$501,"=34")</f>
        <v>4635</v>
      </c>
      <c r="H75" s="140">
        <f>SUMIFS('Plan rashoda za unos u SAP'!$J$3:$J$501,'Plan rashoda za unos u SAP'!$C$3:$C$501,"=41",'Plan rashoda za unos u SAP'!$N$3:$N$501,"=34")+SUMIFS('ANALITIKA EU PROJEKATA'!$H$3:$H$501,'ANALITIKA EU PROJEKATA'!$A$3:$A$501,"=41",'ANALITIKA EU PROJEKATA'!$Q$3:$Q$501,"=34")</f>
        <v>0</v>
      </c>
      <c r="I75" s="140">
        <f>SUMIFS('Plan rashoda za unos u SAP'!$J$3:$J$501,'Plan rashoda za unos u SAP'!$C$3:$C$501,"=43",'Plan rashoda za unos u SAP'!$N$3:$N$501,"=34")+SUMIFS('ANALITIKA EU PROJEKATA'!$H$3:$H$501,'ANALITIKA EU PROJEKATA'!$A$3:$A$501,"=43",'ANALITIKA EU PROJEKATA'!$Q$3:$Q$501,"=34")</f>
        <v>206</v>
      </c>
      <c r="J75" s="140">
        <f>SUMIFS('Plan rashoda za unos u SAP'!$J$3:$J$501,'Plan rashoda za unos u SAP'!$C$3:$C$501,"=51",'Plan rashoda za unos u SAP'!$N$3:$N$501,"=34")+SUMIFS('ANALITIKA EU PROJEKATA'!$H$3:$H$501,'ANALITIKA EU PROJEKATA'!$A$3:$A$501,"=51",'ANALITIKA EU PROJEKATA'!$Q$3:$Q$501,"=34")</f>
        <v>0</v>
      </c>
      <c r="K75" s="140">
        <f>SUMIFS('Plan rashoda za unos u SAP'!$J$3:$J$501,'Plan rashoda za unos u SAP'!$C$3:$C$501,"=52",'Plan rashoda za unos u SAP'!$N$3:$N$501,"=34")+SUMIFS('ANALITIKA EU PROJEKATA'!$H$3:$H$501,'ANALITIKA EU PROJEKATA'!$A$3:$A$501,"=52",'ANALITIKA EU PROJEKATA'!$Q$3:$Q$501,"=34")</f>
        <v>0</v>
      </c>
      <c r="L75" s="140">
        <f>SUMIFS('Plan rashoda za unos u SAP'!$J$3:$J$501,'Plan rashoda za unos u SAP'!$C$3:$C$501,"=552",'Plan rashoda za unos u SAP'!$N$3:$N$501,"=34")+SUMIFS('ANALITIKA EU PROJEKATA'!$H$3:$H$501,'ANALITIKA EU PROJEKATA'!$A$3:$A$501,"=552",'ANALITIKA EU PROJEKATA'!$Q$3:$Q$501,"=34")</f>
        <v>0</v>
      </c>
      <c r="M75" s="140">
        <f>SUMIFS('Plan rashoda za unos u SAP'!$J$3:$J$501,'Plan rashoda za unos u SAP'!$C$3:$C$501,"=559",'Plan rashoda za unos u SAP'!$N$3:$N$501,"=34")+SUMIFS('ANALITIKA EU PROJEKATA'!$H$3:$H$501,'ANALITIKA EU PROJEKATA'!$A$3:$A$501,"=559",'ANALITIKA EU PROJEKATA'!$Q$3:$Q$501,"=34")</f>
        <v>0</v>
      </c>
      <c r="N75" s="140">
        <f>SUMIFS('Plan rashoda za unos u SAP'!$J$3:$J$501,'Plan rashoda za unos u SAP'!$C$3:$C$501,"=561",'Plan rashoda za unos u SAP'!$N$3:$N$501,"=34")+SUMIFS('ANALITIKA EU PROJEKATA'!$H$3:$H$501,'ANALITIKA EU PROJEKATA'!$A$3:$A$501,"=561",'ANALITIKA EU PROJEKATA'!$Q$3:$Q$501,"=34")</f>
        <v>0</v>
      </c>
      <c r="O75" s="140">
        <f>SUMIFS('Plan rashoda za unos u SAP'!$J$3:$J$501,'Plan rashoda za unos u SAP'!$C$3:$C$501,"=563",'Plan rashoda za unos u SAP'!$N$3:$N$501,"=34")+SUMIFS('ANALITIKA EU PROJEKATA'!$H$3:$H$501,'ANALITIKA EU PROJEKATA'!$A$3:$A$501,"=563",'ANALITIKA EU PROJEKATA'!$Q$3:$Q$501,"=34")</f>
        <v>0</v>
      </c>
      <c r="P75" s="140">
        <f>SUMIFS('Plan rashoda za unos u SAP'!$J$3:$J$501,'Plan rashoda za unos u SAP'!$C$3:$C$501,"=573",'Plan rashoda za unos u SAP'!$N$3:$N$501,"=34")+SUMIFS('ANALITIKA EU PROJEKATA'!$H$3:$H$501,'ANALITIKA EU PROJEKATA'!$A$3:$A$501,"=573",'ANALITIKA EU PROJEKATA'!$Q$3:$Q$501,"=34")</f>
        <v>0</v>
      </c>
      <c r="Q75" s="140">
        <f>SUMIFS('Plan rashoda za unos u SAP'!$J$3:$J$501,'Plan rashoda za unos u SAP'!$C$3:$C$501,"=575",'Plan rashoda za unos u SAP'!$N$3:$N$501,"=34")+SUMIFS('ANALITIKA EU PROJEKATA'!$H$3:$H$501,'ANALITIKA EU PROJEKATA'!$A$3:$A$501,"=575",'ANALITIKA EU PROJEKATA'!$Q$3:$Q$501,"=34")</f>
        <v>0</v>
      </c>
      <c r="R75" s="140">
        <f>SUMIFS('Plan rashoda za unos u SAP'!$J$3:$J$501,'Plan rashoda za unos u SAP'!$C$3:$C$501,"=576",'Plan rashoda za unos u SAP'!$N$3:$N$501,"=34")+SUMIFS('ANALITIKA EU PROJEKATA'!$H$3:$H$501,'ANALITIKA EU PROJEKATA'!$A$3:$A$501,"=576",'ANALITIKA EU PROJEKATA'!$Q$3:$Q$501,"=34")</f>
        <v>0</v>
      </c>
      <c r="S75" s="140">
        <f>SUMIFS('Plan rashoda za unos u SAP'!$J$3:$J$501,'Plan rashoda za unos u SAP'!$C$3:$C$501,"=61",'Plan rashoda za unos u SAP'!$N$3:$N$501,"=34")+SUMIFS('ANALITIKA EU PROJEKATA'!$H$3:$H$501,'ANALITIKA EU PROJEKATA'!$A$3:$A$501,"=61",'ANALITIKA EU PROJEKATA'!$Q$3:$Q$501,"=34")</f>
        <v>0</v>
      </c>
      <c r="T75" s="140">
        <f>SUMIFS('Plan rashoda za unos u SAP'!$J$3:$J$501,'Plan rashoda za unos u SAP'!$C$3:$C$501,"=63",'Plan rashoda za unos u SAP'!$N$3:$N$501,"=34")+SUMIFS('ANALITIKA EU PROJEKATA'!$H$3:$H$501,'ANALITIKA EU PROJEKATA'!$A$3:$A$501,"=63",'ANALITIKA EU PROJEKATA'!$Q$3:$Q$501,"=34")</f>
        <v>0</v>
      </c>
      <c r="U75" s="140">
        <f>SUMIFS('Plan rashoda za unos u SAP'!$J$3:$J$501,'Plan rashoda za unos u SAP'!$C$3:$C$501,"=71",'Plan rashoda za unos u SAP'!$N$3:$N$501,"=34")+SUMIFS('ANALITIKA EU PROJEKATA'!$H$3:$H$501,'ANALITIKA EU PROJEKATA'!$A$3:$A$501,"=71",'ANALITIKA EU PROJEKATA'!$Q$3:$Q$501,"=34")</f>
        <v>0</v>
      </c>
      <c r="V75" s="140">
        <f>SUMIFS('Plan rashoda za unos u SAP'!$J$3:$J$501,'Plan rashoda za unos u SAP'!$C$3:$C$501,"=81",'Plan rashoda za unos u SAP'!$N$3:$N$501,"=34")+SUMIFS('ANALITIKA EU PROJEKATA'!$H$3:$H$501,'ANALITIKA EU PROJEKATA'!$A$3:$A$501,"=81",'ANALITIKA EU PROJEKATA'!$Q$3:$Q$501,"=34")</f>
        <v>0</v>
      </c>
      <c r="W75" s="140">
        <f>SUMIFS('Plan rashoda za unos u SAP'!$J$3:$J$501,'Plan rashoda za unos u SAP'!$C$3:$C$501,"=83",'Plan rashoda za unos u SAP'!$N$3:$N$501,"=34")+SUMIFS('ANALITIKA EU PROJEKATA'!$H$3:$H$501,'ANALITIKA EU PROJEKATA'!$A$3:$A$501,"=83",'ANALITIKA EU PROJEKATA'!$Q$3:$Q$501,"=34")</f>
        <v>0</v>
      </c>
      <c r="X75" s="85"/>
      <c r="Y75" s="85"/>
      <c r="Z75" s="85"/>
      <c r="AA75" s="85"/>
      <c r="AB75" s="85"/>
      <c r="AC75" s="85"/>
      <c r="AD75" s="85"/>
      <c r="AE75" s="85"/>
      <c r="AF75" s="85"/>
      <c r="AG75" s="85"/>
      <c r="AH75" s="85"/>
      <c r="AI75" s="85"/>
      <c r="AJ75" s="85"/>
      <c r="AK75" s="85"/>
      <c r="AL75" s="85"/>
      <c r="AM75" s="85"/>
      <c r="AN75" s="85"/>
      <c r="AO75" s="85"/>
      <c r="AP75" s="85"/>
      <c r="AQ75" s="85"/>
      <c r="AR75" s="85"/>
      <c r="AS75" s="85"/>
      <c r="AT75" s="85"/>
      <c r="AU75" s="85"/>
      <c r="AV75" s="85"/>
      <c r="AW75" s="85"/>
      <c r="AX75" s="85"/>
      <c r="AY75" s="85"/>
      <c r="AZ75" s="85"/>
      <c r="BA75" s="85"/>
      <c r="BB75" s="85"/>
      <c r="BC75" s="85"/>
      <c r="BD75" s="85"/>
      <c r="BE75" s="85"/>
      <c r="BF75" s="85"/>
      <c r="BG75" s="85"/>
      <c r="BH75" s="85"/>
      <c r="BI75" s="85"/>
      <c r="BJ75" s="85"/>
      <c r="BK75" s="85"/>
      <c r="BL75" s="85"/>
      <c r="BM75" s="85"/>
      <c r="BN75" s="85"/>
      <c r="BO75" s="85"/>
      <c r="BP75" s="85"/>
      <c r="BQ75" s="85"/>
      <c r="BR75" s="85"/>
      <c r="BS75" s="85"/>
      <c r="BT75" s="85"/>
      <c r="BU75" s="85"/>
      <c r="BV75" s="85"/>
      <c r="BW75" s="85"/>
      <c r="BX75" s="85"/>
      <c r="BY75" s="85"/>
      <c r="BZ75" s="85"/>
      <c r="CA75" s="85"/>
      <c r="CB75" s="85"/>
      <c r="CC75" s="85"/>
      <c r="CD75" s="85"/>
      <c r="CE75" s="85"/>
      <c r="CF75" s="85"/>
      <c r="CG75" s="85"/>
      <c r="CH75" s="85"/>
      <c r="CI75" s="85"/>
      <c r="CJ75" s="85"/>
      <c r="CK75" s="85"/>
      <c r="CL75" s="85"/>
      <c r="CM75" s="85"/>
      <c r="CN75" s="85"/>
      <c r="CO75" s="85"/>
      <c r="CP75" s="85"/>
      <c r="CQ75" s="85"/>
      <c r="CR75" s="85"/>
      <c r="CS75" s="85"/>
      <c r="CT75" s="85"/>
      <c r="CU75" s="85"/>
      <c r="CV75" s="85"/>
      <c r="CW75" s="85"/>
      <c r="CX75" s="85"/>
      <c r="CY75" s="85"/>
      <c r="CZ75" s="85"/>
      <c r="DA75" s="85"/>
      <c r="DB75" s="85"/>
      <c r="DC75" s="85"/>
      <c r="DD75" s="85"/>
      <c r="DE75" s="85"/>
      <c r="DF75" s="85"/>
      <c r="DG75" s="85"/>
      <c r="DH75" s="85"/>
      <c r="DI75" s="85"/>
      <c r="DJ75" s="85"/>
      <c r="DK75" s="85"/>
      <c r="DL75" s="85"/>
      <c r="DM75" s="85"/>
      <c r="DN75" s="85"/>
      <c r="DO75" s="85"/>
      <c r="DP75" s="85"/>
      <c r="DQ75" s="85"/>
      <c r="DR75" s="85"/>
      <c r="DS75" s="85"/>
      <c r="DT75" s="85"/>
      <c r="DU75" s="85"/>
      <c r="DV75" s="85"/>
      <c r="DW75" s="85"/>
      <c r="DX75" s="85"/>
      <c r="DY75" s="85"/>
      <c r="DZ75" s="85"/>
      <c r="EA75" s="85"/>
      <c r="EB75" s="85"/>
      <c r="EC75" s="85"/>
      <c r="ED75" s="85"/>
      <c r="EE75" s="85"/>
      <c r="EF75" s="85"/>
      <c r="EG75" s="85"/>
      <c r="EH75" s="85"/>
      <c r="EI75" s="85"/>
      <c r="EJ75" s="85"/>
      <c r="EK75" s="85"/>
      <c r="EL75" s="85"/>
      <c r="EM75" s="85"/>
      <c r="EN75" s="85"/>
      <c r="EO75" s="85"/>
      <c r="EP75" s="85"/>
      <c r="EQ75" s="85"/>
      <c r="ER75" s="85"/>
      <c r="ES75" s="85"/>
      <c r="ET75" s="85"/>
      <c r="EU75" s="85"/>
      <c r="EV75" s="85"/>
      <c r="EW75" s="85"/>
      <c r="EX75" s="85"/>
      <c r="EY75" s="85"/>
      <c r="EZ75" s="85"/>
      <c r="FA75" s="85"/>
      <c r="FB75" s="85"/>
      <c r="FC75" s="85"/>
      <c r="FD75" s="85"/>
      <c r="FE75" s="85"/>
      <c r="FF75" s="85"/>
      <c r="FG75" s="85"/>
      <c r="FH75" s="85"/>
      <c r="FI75" s="85"/>
      <c r="FJ75" s="85"/>
      <c r="FK75" s="85"/>
      <c r="FL75" s="85"/>
      <c r="FM75" s="85"/>
      <c r="FN75" s="85"/>
      <c r="FO75" s="85"/>
      <c r="FP75" s="85"/>
      <c r="FQ75" s="85"/>
      <c r="FR75" s="85"/>
      <c r="FS75" s="85"/>
      <c r="FT75" s="85"/>
      <c r="FU75" s="85"/>
      <c r="FV75" s="85"/>
      <c r="FW75" s="85"/>
      <c r="FX75" s="85"/>
      <c r="FY75" s="85"/>
      <c r="FZ75" s="85"/>
      <c r="GA75" s="85"/>
      <c r="GB75" s="85"/>
      <c r="GC75" s="85"/>
      <c r="GD75" s="85"/>
      <c r="GE75" s="85"/>
      <c r="GF75" s="85"/>
      <c r="GG75" s="85"/>
      <c r="GH75" s="85"/>
      <c r="GI75" s="85"/>
      <c r="GJ75" s="85"/>
      <c r="GK75" s="85"/>
      <c r="GL75" s="86"/>
      <c r="GM75" s="86"/>
      <c r="GN75" s="86"/>
      <c r="GO75" s="86"/>
      <c r="GP75" s="86"/>
      <c r="GQ75" s="86"/>
      <c r="GR75" s="86"/>
      <c r="GS75" s="86"/>
      <c r="GT75" s="86"/>
      <c r="GU75" s="86"/>
      <c r="GV75" s="86"/>
      <c r="GW75" s="86"/>
      <c r="GX75" s="86"/>
      <c r="GY75" s="86"/>
      <c r="GZ75" s="86"/>
      <c r="HA75" s="86"/>
      <c r="HB75" s="86"/>
      <c r="HC75" s="86"/>
      <c r="HD75" s="86"/>
      <c r="HE75" s="86"/>
      <c r="HF75" s="86"/>
      <c r="HG75" s="86"/>
      <c r="HH75" s="86"/>
      <c r="HI75" s="86"/>
      <c r="HJ75" s="86"/>
      <c r="HK75" s="86"/>
      <c r="HL75" s="86"/>
      <c r="HM75" s="86"/>
      <c r="HN75" s="86"/>
      <c r="HO75" s="86"/>
      <c r="HP75" s="86"/>
      <c r="HQ75" s="86"/>
      <c r="HR75" s="86"/>
      <c r="HS75" s="86"/>
      <c r="HT75" s="86"/>
      <c r="HU75" s="86"/>
      <c r="HV75" s="86"/>
      <c r="HW75" s="86"/>
      <c r="HX75" s="86"/>
      <c r="HY75" s="86"/>
      <c r="HZ75" s="86"/>
      <c r="IA75" s="86"/>
      <c r="IB75" s="86"/>
      <c r="IC75" s="86"/>
      <c r="ID75" s="86"/>
      <c r="IE75" s="86"/>
      <c r="IF75" s="86"/>
      <c r="IG75" s="86"/>
      <c r="IH75" s="86"/>
      <c r="II75" s="86"/>
      <c r="IJ75" s="86"/>
      <c r="IK75" s="86"/>
      <c r="IL75" s="86"/>
      <c r="IM75" s="86"/>
      <c r="IN75" s="86"/>
      <c r="IO75" s="86"/>
      <c r="IP75" s="86"/>
      <c r="IQ75" s="86"/>
      <c r="IR75" s="86"/>
      <c r="IS75" s="86"/>
      <c r="IT75" s="86"/>
      <c r="IU75" s="86"/>
      <c r="IV75" s="86"/>
      <c r="IW75" s="86"/>
      <c r="IX75" s="86"/>
      <c r="IY75" s="86"/>
      <c r="IZ75" s="86"/>
      <c r="JA75" s="86"/>
      <c r="JB75" s="86"/>
      <c r="JC75" s="86"/>
    </row>
    <row r="76" spans="1:263" s="85" customFormat="1" ht="12.6" customHeight="1">
      <c r="A76" s="22">
        <v>2022</v>
      </c>
      <c r="B76" s="84">
        <v>35</v>
      </c>
      <c r="C76" s="15" t="s">
        <v>328</v>
      </c>
      <c r="D76" s="133">
        <f t="shared" si="21"/>
        <v>0</v>
      </c>
      <c r="E76" s="140">
        <f>SUMIFS('Plan rashoda za unos u SAP'!$J$3:$J$501,'Plan rashoda za unos u SAP'!$C$3:$C$501,"=11",'Plan rashoda za unos u SAP'!$N$3:$N$501,"=35")+SUMIFS('ANALITIKA EU PROJEKATA'!$H$3:$H$501,'ANALITIKA EU PROJEKATA'!$A$3:$A$501,"=11",'ANALITIKA EU PROJEKATA'!$Q$3:$Q$501,"=35")</f>
        <v>0</v>
      </c>
      <c r="F76" s="140">
        <f>SUMIFS('Plan rashoda za unos u SAP'!$J$3:$J$501,'Plan rashoda za unos u SAP'!$C$3:$C$501,"=12",'Plan rashoda za unos u SAP'!$N$3:$N$501,"=35")+SUMIFS('ANALITIKA EU PROJEKATA'!$H$3:$H$501,'ANALITIKA EU PROJEKATA'!$A$3:$A$501,"=12",'ANALITIKA EU PROJEKATA'!$Q$3:$Q$501,"=35")</f>
        <v>0</v>
      </c>
      <c r="G76" s="140">
        <f>SUMIFS('Plan rashoda za unos u SAP'!$J$3:$J$501,'Plan rashoda za unos u SAP'!$C$3:$C$501,"=31",'Plan rashoda za unos u SAP'!$N$3:$N$501,"=35")+SUMIFS('ANALITIKA EU PROJEKATA'!$H$3:$H$501,'ANALITIKA EU PROJEKATA'!$A$3:$A$501,"=31",'ANALITIKA EU PROJEKATA'!$Q$3:$Q$501,"=35")</f>
        <v>0</v>
      </c>
      <c r="H76" s="140">
        <f>SUMIFS('Plan rashoda za unos u SAP'!$J$3:$J$501,'Plan rashoda za unos u SAP'!$C$3:$C$501,"=41",'Plan rashoda za unos u SAP'!$N$3:$N$501,"=35")+SUMIFS('ANALITIKA EU PROJEKATA'!$H$3:$H$501,'ANALITIKA EU PROJEKATA'!$A$3:$A$501,"=41",'ANALITIKA EU PROJEKATA'!$Q$3:$Q$501,"=35")</f>
        <v>0</v>
      </c>
      <c r="I76" s="140">
        <f>SUMIFS('Plan rashoda za unos u SAP'!$J$3:$J$501,'Plan rashoda za unos u SAP'!$C$3:$C$501,"=43",'Plan rashoda za unos u SAP'!$N$3:$N$501,"=35")+SUMIFS('ANALITIKA EU PROJEKATA'!$H$3:$H$501,'ANALITIKA EU PROJEKATA'!$A$3:$A$501,"=43",'ANALITIKA EU PROJEKATA'!$Q$3:$Q$501,"=35")</f>
        <v>0</v>
      </c>
      <c r="J76" s="140">
        <f>SUMIFS('Plan rashoda za unos u SAP'!$J$3:$J$501,'Plan rashoda za unos u SAP'!$C$3:$C$501,"=51",'Plan rashoda za unos u SAP'!$N$3:$N$501,"=35")+SUMIFS('ANALITIKA EU PROJEKATA'!$H$3:$H$501,'ANALITIKA EU PROJEKATA'!$A$3:$A$501,"=51",'ANALITIKA EU PROJEKATA'!$Q$3:$Q$501,"=35")</f>
        <v>0</v>
      </c>
      <c r="K76" s="140">
        <f>SUMIFS('Plan rashoda za unos u SAP'!$J$3:$J$501,'Plan rashoda za unos u SAP'!$C$3:$C$501,"=52",'Plan rashoda za unos u SAP'!$N$3:$N$501,"=35")+SUMIFS('ANALITIKA EU PROJEKATA'!$H$3:$H$501,'ANALITIKA EU PROJEKATA'!$A$3:$A$501,"=52",'ANALITIKA EU PROJEKATA'!$Q$3:$Q$501,"=35")</f>
        <v>0</v>
      </c>
      <c r="L76" s="140">
        <f>SUMIFS('Plan rashoda za unos u SAP'!$J$3:$J$501,'Plan rashoda za unos u SAP'!$C$3:$C$501,"=552",'Plan rashoda za unos u SAP'!$N$3:$N$501,"=35")+SUMIFS('ANALITIKA EU PROJEKATA'!$H$3:$H$501,'ANALITIKA EU PROJEKATA'!$A$3:$A$501,"=552",'ANALITIKA EU PROJEKATA'!$Q$3:$Q$501,"=35")</f>
        <v>0</v>
      </c>
      <c r="M76" s="140">
        <f>SUMIFS('Plan rashoda za unos u SAP'!$J$3:$J$501,'Plan rashoda za unos u SAP'!$C$3:$C$501,"=559",'Plan rashoda za unos u SAP'!$N$3:$N$501,"=35")+SUMIFS('ANALITIKA EU PROJEKATA'!$H$3:$H$501,'ANALITIKA EU PROJEKATA'!$A$3:$A$501,"=559",'ANALITIKA EU PROJEKATA'!$Q$3:$Q$501,"=35")</f>
        <v>0</v>
      </c>
      <c r="N76" s="140">
        <f>SUMIFS('Plan rashoda za unos u SAP'!$J$3:$J$501,'Plan rashoda za unos u SAP'!$C$3:$C$501,"=561",'Plan rashoda za unos u SAP'!$N$3:$N$501,"=35")+SUMIFS('ANALITIKA EU PROJEKATA'!$H$3:$H$501,'ANALITIKA EU PROJEKATA'!$A$3:$A$501,"=561",'ANALITIKA EU PROJEKATA'!$Q$3:$Q$501,"=35")</f>
        <v>0</v>
      </c>
      <c r="O76" s="140">
        <f>SUMIFS('Plan rashoda za unos u SAP'!$J$3:$J$501,'Plan rashoda za unos u SAP'!$C$3:$C$501,"=563",'Plan rashoda za unos u SAP'!$N$3:$N$501,"=35")+SUMIFS('ANALITIKA EU PROJEKATA'!$H$3:$H$501,'ANALITIKA EU PROJEKATA'!$A$3:$A$501,"=563",'ANALITIKA EU PROJEKATA'!$Q$3:$Q$501,"=35")</f>
        <v>0</v>
      </c>
      <c r="P76" s="140">
        <f>SUMIFS('Plan rashoda za unos u SAP'!$J$3:$J$501,'Plan rashoda za unos u SAP'!$C$3:$C$501,"=573",'Plan rashoda za unos u SAP'!$N$3:$N$501,"=35")+SUMIFS('ANALITIKA EU PROJEKATA'!$H$3:$H$501,'ANALITIKA EU PROJEKATA'!$A$3:$A$501,"=573",'ANALITIKA EU PROJEKATA'!$Q$3:$Q$501,"=35")</f>
        <v>0</v>
      </c>
      <c r="Q76" s="140">
        <f>SUMIFS('Plan rashoda za unos u SAP'!$J$3:$J$501,'Plan rashoda za unos u SAP'!$C$3:$C$501,"=575",'Plan rashoda za unos u SAP'!$N$3:$N$501,"=35")+SUMIFS('ANALITIKA EU PROJEKATA'!$H$3:$H$501,'ANALITIKA EU PROJEKATA'!$A$3:$A$501,"=575",'ANALITIKA EU PROJEKATA'!$Q$3:$Q$501,"=35")</f>
        <v>0</v>
      </c>
      <c r="R76" s="140">
        <f>SUMIFS('Plan rashoda za unos u SAP'!$J$3:$J$501,'Plan rashoda za unos u SAP'!$C$3:$C$501,"=576",'Plan rashoda za unos u SAP'!$N$3:$N$501,"=35")+SUMIFS('ANALITIKA EU PROJEKATA'!$H$3:$H$501,'ANALITIKA EU PROJEKATA'!$A$3:$A$501,"=576",'ANALITIKA EU PROJEKATA'!$Q$3:$Q$501,"=35")</f>
        <v>0</v>
      </c>
      <c r="S76" s="140">
        <f>SUMIFS('Plan rashoda za unos u SAP'!$J$3:$J$501,'Plan rashoda za unos u SAP'!$C$3:$C$501,"=61",'Plan rashoda za unos u SAP'!$N$3:$N$501,"=35")+SUMIFS('ANALITIKA EU PROJEKATA'!$H$3:$H$501,'ANALITIKA EU PROJEKATA'!$A$3:$A$501,"=61",'ANALITIKA EU PROJEKATA'!$Q$3:$Q$501,"=35")</f>
        <v>0</v>
      </c>
      <c r="T76" s="140">
        <f>SUMIFS('Plan rashoda za unos u SAP'!$J$3:$J$501,'Plan rashoda za unos u SAP'!$C$3:$C$501,"=63",'Plan rashoda za unos u SAP'!$N$3:$N$501,"=35")+SUMIFS('ANALITIKA EU PROJEKATA'!$H$3:$H$501,'ANALITIKA EU PROJEKATA'!$A$3:$A$501,"=63",'ANALITIKA EU PROJEKATA'!$Q$3:$Q$501,"=35")</f>
        <v>0</v>
      </c>
      <c r="U76" s="140">
        <f>SUMIFS('Plan rashoda za unos u SAP'!$J$3:$J$501,'Plan rashoda za unos u SAP'!$C$3:$C$501,"=71",'Plan rashoda za unos u SAP'!$N$3:$N$501,"=35")+SUMIFS('ANALITIKA EU PROJEKATA'!$H$3:$H$501,'ANALITIKA EU PROJEKATA'!$A$3:$A$501,"=71",'ANALITIKA EU PROJEKATA'!$Q$3:$Q$501,"=35")</f>
        <v>0</v>
      </c>
      <c r="V76" s="140">
        <f>SUMIFS('Plan rashoda za unos u SAP'!$J$3:$J$501,'Plan rashoda za unos u SAP'!$C$3:$C$501,"=81",'Plan rashoda za unos u SAP'!$N$3:$N$501,"=35")+SUMIFS('ANALITIKA EU PROJEKATA'!$H$3:$H$501,'ANALITIKA EU PROJEKATA'!$A$3:$A$501,"=81",'ANALITIKA EU PROJEKATA'!$Q$3:$Q$501,"=35")</f>
        <v>0</v>
      </c>
      <c r="W76" s="140">
        <f>SUMIFS('Plan rashoda za unos u SAP'!$J$3:$J$501,'Plan rashoda za unos u SAP'!$C$3:$C$501,"=83",'Plan rashoda za unos u SAP'!$N$3:$N$501,"=35")+SUMIFS('ANALITIKA EU PROJEKATA'!$H$3:$H$501,'ANALITIKA EU PROJEKATA'!$A$3:$A$501,"=83",'ANALITIKA EU PROJEKATA'!$Q$3:$Q$501,"=35")</f>
        <v>0</v>
      </c>
      <c r="GL76" s="86"/>
      <c r="GM76" s="86"/>
      <c r="GN76" s="86"/>
      <c r="GO76" s="86"/>
      <c r="GP76" s="86"/>
      <c r="GQ76" s="86"/>
      <c r="GR76" s="86"/>
      <c r="GS76" s="86"/>
      <c r="GT76" s="86"/>
      <c r="GU76" s="86"/>
      <c r="GV76" s="86"/>
      <c r="GW76" s="86"/>
      <c r="GX76" s="86"/>
      <c r="GY76" s="86"/>
      <c r="GZ76" s="86"/>
      <c r="HA76" s="86"/>
      <c r="HB76" s="86"/>
      <c r="HC76" s="86"/>
      <c r="HD76" s="86"/>
      <c r="HE76" s="86"/>
      <c r="HF76" s="86"/>
      <c r="HG76" s="86"/>
      <c r="HH76" s="86"/>
      <c r="HI76" s="86"/>
      <c r="HJ76" s="86"/>
      <c r="HK76" s="86"/>
      <c r="HL76" s="86"/>
      <c r="HM76" s="86"/>
      <c r="HN76" s="86"/>
      <c r="HO76" s="86"/>
      <c r="HP76" s="86"/>
      <c r="HQ76" s="86"/>
      <c r="HR76" s="86"/>
      <c r="HS76" s="86"/>
      <c r="HT76" s="86"/>
      <c r="HU76" s="86"/>
      <c r="HV76" s="86"/>
      <c r="HW76" s="86"/>
      <c r="HX76" s="86"/>
      <c r="HY76" s="86"/>
      <c r="HZ76" s="86"/>
      <c r="IA76" s="86"/>
      <c r="IB76" s="86"/>
      <c r="IC76" s="86"/>
      <c r="ID76" s="86"/>
      <c r="IE76" s="86"/>
      <c r="IF76" s="86"/>
      <c r="IG76" s="86"/>
      <c r="IH76" s="86"/>
      <c r="II76" s="86"/>
      <c r="IJ76" s="86"/>
      <c r="IK76" s="86"/>
      <c r="IL76" s="86"/>
      <c r="IM76" s="86"/>
      <c r="IN76" s="86"/>
      <c r="IO76" s="86"/>
      <c r="IP76" s="86"/>
      <c r="IQ76" s="86"/>
      <c r="IR76" s="86"/>
      <c r="IS76" s="86"/>
      <c r="IT76" s="86"/>
      <c r="IU76" s="86"/>
      <c r="IV76" s="86"/>
      <c r="IW76" s="86"/>
      <c r="IX76" s="86"/>
      <c r="IY76" s="86"/>
      <c r="IZ76" s="86"/>
      <c r="JA76" s="86"/>
      <c r="JB76" s="86"/>
      <c r="JC76" s="86"/>
    </row>
    <row r="77" spans="1:263" s="85" customFormat="1" ht="12.6" customHeight="1">
      <c r="A77" s="22">
        <v>2022</v>
      </c>
      <c r="B77" s="84">
        <v>36</v>
      </c>
      <c r="C77" s="18" t="s">
        <v>212</v>
      </c>
      <c r="D77" s="133">
        <f t="shared" si="21"/>
        <v>200000</v>
      </c>
      <c r="E77" s="140">
        <f>SUMIFS('Plan rashoda za unos u SAP'!$J$3:$J$501,'Plan rashoda za unos u SAP'!$C$3:$C$501,"=11",'Plan rashoda za unos u SAP'!$N$3:$N$501,"=36")+SUMIFS('ANALITIKA EU PROJEKATA'!$H$3:$H$501,'ANALITIKA EU PROJEKATA'!$A$3:$A$501,"=11",'ANALITIKA EU PROJEKATA'!$Q$3:$Q$501,"=36")</f>
        <v>0</v>
      </c>
      <c r="F77" s="140">
        <f>SUMIFS('Plan rashoda za unos u SAP'!$J$3:$J$501,'Plan rashoda za unos u SAP'!$C$3:$C$501,"=12",'Plan rashoda za unos u SAP'!$N$3:$N$501,"=36")+SUMIFS('ANALITIKA EU PROJEKATA'!$H$3:$H$501,'ANALITIKA EU PROJEKATA'!$A$3:$A$501,"=12",'ANALITIKA EU PROJEKATA'!$Q$3:$Q$501,"=36")</f>
        <v>0</v>
      </c>
      <c r="G77" s="140">
        <f>SUMIFS('Plan rashoda za unos u SAP'!$J$3:$J$501,'Plan rashoda za unos u SAP'!$C$3:$C$501,"=31",'Plan rashoda za unos u SAP'!$N$3:$N$501,"=36")+SUMIFS('ANALITIKA EU PROJEKATA'!$H$3:$H$501,'ANALITIKA EU PROJEKATA'!$A$3:$A$501,"=31",'ANALITIKA EU PROJEKATA'!$Q$3:$Q$501,"=36")</f>
        <v>0</v>
      </c>
      <c r="H77" s="140">
        <f>SUMIFS('Plan rashoda za unos u SAP'!$J$3:$J$501,'Plan rashoda za unos u SAP'!$C$3:$C$501,"=41",'Plan rashoda za unos u SAP'!$N$3:$N$501,"=36")+SUMIFS('ANALITIKA EU PROJEKATA'!$H$3:$H$501,'ANALITIKA EU PROJEKATA'!$A$3:$A$501,"=41",'ANALITIKA EU PROJEKATA'!$Q$3:$Q$501,"=36")</f>
        <v>0</v>
      </c>
      <c r="I77" s="140">
        <f>SUMIFS('Plan rashoda za unos u SAP'!$J$3:$J$501,'Plan rashoda za unos u SAP'!$C$3:$C$501,"=43",'Plan rashoda za unos u SAP'!$N$3:$N$501,"=36")+SUMIFS('ANALITIKA EU PROJEKATA'!$H$3:$H$501,'ANALITIKA EU PROJEKATA'!$A$3:$A$501,"=43",'ANALITIKA EU PROJEKATA'!$Q$3:$Q$501,"=36")</f>
        <v>0</v>
      </c>
      <c r="J77" s="140">
        <f>SUMIFS('Plan rashoda za unos u SAP'!$J$3:$J$501,'Plan rashoda za unos u SAP'!$C$3:$C$501,"=51",'Plan rashoda za unos u SAP'!$N$3:$N$501,"=36")+SUMIFS('ANALITIKA EU PROJEKATA'!$H$3:$H$501,'ANALITIKA EU PROJEKATA'!$A$3:$A$501,"=51",'ANALITIKA EU PROJEKATA'!$Q$3:$Q$501,"=36")</f>
        <v>0</v>
      </c>
      <c r="K77" s="140">
        <f>SUMIFS('Plan rashoda za unos u SAP'!$J$3:$J$501,'Plan rashoda za unos u SAP'!$C$3:$C$501,"=52",'Plan rashoda za unos u SAP'!$N$3:$N$501,"=36")+SUMIFS('ANALITIKA EU PROJEKATA'!$H$3:$H$501,'ANALITIKA EU PROJEKATA'!$A$3:$A$501,"=52",'ANALITIKA EU PROJEKATA'!$Q$3:$Q$501,"=36")</f>
        <v>200000</v>
      </c>
      <c r="L77" s="140">
        <f>SUMIFS('Plan rashoda za unos u SAP'!$J$3:$J$501,'Plan rashoda za unos u SAP'!$C$3:$C$501,"=552",'Plan rashoda za unos u SAP'!$N$3:$N$501,"=36")+SUMIFS('ANALITIKA EU PROJEKATA'!$H$3:$H$501,'ANALITIKA EU PROJEKATA'!$A$3:$A$501,"=552",'ANALITIKA EU PROJEKATA'!$Q$3:$Q$501,"=36")</f>
        <v>0</v>
      </c>
      <c r="M77" s="140">
        <f>SUMIFS('Plan rashoda za unos u SAP'!$J$3:$J$501,'Plan rashoda za unos u SAP'!$C$3:$C$501,"=559",'Plan rashoda za unos u SAP'!$N$3:$N$501,"=36")+SUMIFS('ANALITIKA EU PROJEKATA'!$H$3:$H$501,'ANALITIKA EU PROJEKATA'!$A$3:$A$501,"=559",'ANALITIKA EU PROJEKATA'!$Q$3:$Q$501,"=36")</f>
        <v>0</v>
      </c>
      <c r="N77" s="140">
        <f>SUMIFS('Plan rashoda za unos u SAP'!$J$3:$J$501,'Plan rashoda za unos u SAP'!$C$3:$C$501,"=561",'Plan rashoda za unos u SAP'!$N$3:$N$501,"=36")+SUMIFS('ANALITIKA EU PROJEKATA'!$H$3:$H$501,'ANALITIKA EU PROJEKATA'!$A$3:$A$501,"=561",'ANALITIKA EU PROJEKATA'!$Q$3:$Q$501,"=36")</f>
        <v>0</v>
      </c>
      <c r="O77" s="140">
        <f>SUMIFS('Plan rashoda za unos u SAP'!$J$3:$J$501,'Plan rashoda za unos u SAP'!$C$3:$C$501,"=563",'Plan rashoda za unos u SAP'!$N$3:$N$501,"=36")+SUMIFS('ANALITIKA EU PROJEKATA'!$H$3:$H$501,'ANALITIKA EU PROJEKATA'!$A$3:$A$501,"=563",'ANALITIKA EU PROJEKATA'!$Q$3:$Q$501,"=36")</f>
        <v>0</v>
      </c>
      <c r="P77" s="140">
        <f>SUMIFS('Plan rashoda za unos u SAP'!$J$3:$J$501,'Plan rashoda za unos u SAP'!$C$3:$C$501,"=573",'Plan rashoda za unos u SAP'!$N$3:$N$501,"=36")+SUMIFS('ANALITIKA EU PROJEKATA'!$H$3:$H$501,'ANALITIKA EU PROJEKATA'!$A$3:$A$501,"=573",'ANALITIKA EU PROJEKATA'!$Q$3:$Q$501,"=36")</f>
        <v>0</v>
      </c>
      <c r="Q77" s="140">
        <f>SUMIFS('Plan rashoda za unos u SAP'!$J$3:$J$501,'Plan rashoda za unos u SAP'!$C$3:$C$501,"=575",'Plan rashoda za unos u SAP'!$N$3:$N$501,"=36")+SUMIFS('ANALITIKA EU PROJEKATA'!$H$3:$H$501,'ANALITIKA EU PROJEKATA'!$A$3:$A$501,"=575",'ANALITIKA EU PROJEKATA'!$Q$3:$Q$501,"=36")</f>
        <v>0</v>
      </c>
      <c r="R77" s="140">
        <f>SUMIFS('Plan rashoda za unos u SAP'!$J$3:$J$501,'Plan rashoda za unos u SAP'!$C$3:$C$501,"=576",'Plan rashoda za unos u SAP'!$N$3:$N$501,"=36")+SUMIFS('ANALITIKA EU PROJEKATA'!$H$3:$H$501,'ANALITIKA EU PROJEKATA'!$A$3:$A$501,"=576",'ANALITIKA EU PROJEKATA'!$Q$3:$Q$501,"=36")</f>
        <v>0</v>
      </c>
      <c r="S77" s="140">
        <f>SUMIFS('Plan rashoda za unos u SAP'!$J$3:$J$501,'Plan rashoda za unos u SAP'!$C$3:$C$501,"=61",'Plan rashoda za unos u SAP'!$N$3:$N$501,"=36")+SUMIFS('ANALITIKA EU PROJEKATA'!$H$3:$H$501,'ANALITIKA EU PROJEKATA'!$A$3:$A$501,"=61",'ANALITIKA EU PROJEKATA'!$Q$3:$Q$501,"=36")</f>
        <v>0</v>
      </c>
      <c r="T77" s="140">
        <f>SUMIFS('Plan rashoda za unos u SAP'!$J$3:$J$501,'Plan rashoda za unos u SAP'!$C$3:$C$501,"=63",'Plan rashoda za unos u SAP'!$N$3:$N$501,"=36")+SUMIFS('ANALITIKA EU PROJEKATA'!$H$3:$H$501,'ANALITIKA EU PROJEKATA'!$A$3:$A$501,"=63",'ANALITIKA EU PROJEKATA'!$Q$3:$Q$501,"=36")</f>
        <v>0</v>
      </c>
      <c r="U77" s="140">
        <f>SUMIFS('Plan rashoda za unos u SAP'!$J$3:$J$501,'Plan rashoda za unos u SAP'!$C$3:$C$501,"=71",'Plan rashoda za unos u SAP'!$N$3:$N$501,"=36")+SUMIFS('ANALITIKA EU PROJEKATA'!$H$3:$H$501,'ANALITIKA EU PROJEKATA'!$A$3:$A$501,"=71",'ANALITIKA EU PROJEKATA'!$Q$3:$Q$501,"=36")</f>
        <v>0</v>
      </c>
      <c r="V77" s="140">
        <f>SUMIFS('Plan rashoda za unos u SAP'!$J$3:$J$501,'Plan rashoda za unos u SAP'!$C$3:$C$501,"=81",'Plan rashoda za unos u SAP'!$N$3:$N$501,"=36")+SUMIFS('ANALITIKA EU PROJEKATA'!$H$3:$H$501,'ANALITIKA EU PROJEKATA'!$A$3:$A$501,"=81",'ANALITIKA EU PROJEKATA'!$Q$3:$Q$501,"=36")</f>
        <v>0</v>
      </c>
      <c r="W77" s="140">
        <f>SUMIFS('Plan rashoda za unos u SAP'!$J$3:$J$501,'Plan rashoda za unos u SAP'!$C$3:$C$501,"=83",'Plan rashoda za unos u SAP'!$N$3:$N$501,"=36")+SUMIFS('ANALITIKA EU PROJEKATA'!$H$3:$H$501,'ANALITIKA EU PROJEKATA'!$A$3:$A$501,"=83",'ANALITIKA EU PROJEKATA'!$Q$3:$Q$501,"=36")</f>
        <v>0</v>
      </c>
      <c r="GL77" s="86"/>
      <c r="GM77" s="86"/>
      <c r="GN77" s="86"/>
      <c r="GO77" s="86"/>
      <c r="GP77" s="86"/>
      <c r="GQ77" s="86"/>
      <c r="GR77" s="86"/>
      <c r="GS77" s="86"/>
      <c r="GT77" s="86"/>
      <c r="GU77" s="86"/>
      <c r="GV77" s="86"/>
      <c r="GW77" s="86"/>
      <c r="GX77" s="86"/>
      <c r="GY77" s="86"/>
      <c r="GZ77" s="86"/>
      <c r="HA77" s="86"/>
      <c r="HB77" s="86"/>
      <c r="HC77" s="86"/>
      <c r="HD77" s="86"/>
      <c r="HE77" s="86"/>
      <c r="HF77" s="86"/>
      <c r="HG77" s="86"/>
      <c r="HH77" s="86"/>
      <c r="HI77" s="86"/>
      <c r="HJ77" s="86"/>
      <c r="HK77" s="86"/>
      <c r="HL77" s="86"/>
      <c r="HM77" s="86"/>
      <c r="HN77" s="86"/>
      <c r="HO77" s="86"/>
      <c r="HP77" s="86"/>
      <c r="HQ77" s="86"/>
      <c r="HR77" s="86"/>
      <c r="HS77" s="86"/>
      <c r="HT77" s="86"/>
      <c r="HU77" s="86"/>
      <c r="HV77" s="86"/>
      <c r="HW77" s="86"/>
      <c r="HX77" s="86"/>
      <c r="HY77" s="86"/>
      <c r="HZ77" s="86"/>
      <c r="IA77" s="86"/>
      <c r="IB77" s="86"/>
      <c r="IC77" s="86"/>
      <c r="ID77" s="86"/>
      <c r="IE77" s="86"/>
      <c r="IF77" s="86"/>
      <c r="IG77" s="86"/>
      <c r="IH77" s="86"/>
      <c r="II77" s="86"/>
      <c r="IJ77" s="86"/>
      <c r="IK77" s="86"/>
      <c r="IL77" s="86"/>
      <c r="IM77" s="86"/>
      <c r="IN77" s="86"/>
      <c r="IO77" s="86"/>
      <c r="IP77" s="86"/>
      <c r="IQ77" s="86"/>
      <c r="IR77" s="86"/>
      <c r="IS77" s="86"/>
      <c r="IT77" s="86"/>
      <c r="IU77" s="86"/>
      <c r="IV77" s="86"/>
      <c r="IW77" s="86"/>
      <c r="IX77" s="86"/>
      <c r="IY77" s="86"/>
      <c r="IZ77" s="86"/>
      <c r="JA77" s="86"/>
      <c r="JB77" s="86"/>
      <c r="JC77" s="86"/>
    </row>
    <row r="78" spans="1:263" s="20" customFormat="1" ht="12.6" customHeight="1">
      <c r="A78" s="22">
        <v>2022</v>
      </c>
      <c r="B78" s="84">
        <v>37</v>
      </c>
      <c r="C78" s="15" t="s">
        <v>335</v>
      </c>
      <c r="D78" s="133">
        <f t="shared" si="21"/>
        <v>0</v>
      </c>
      <c r="E78" s="140">
        <f>SUMIFS('Plan rashoda za unos u SAP'!$J$3:$J$501,'Plan rashoda za unos u SAP'!$C$3:$C$501,"=11",'Plan rashoda za unos u SAP'!$N$3:$N$501,"=37")+SUMIFS('ANALITIKA EU PROJEKATA'!$H$3:$H$501,'ANALITIKA EU PROJEKATA'!$A$3:$A$501,"=11",'ANALITIKA EU PROJEKATA'!$Q$3:$Q$501,"=37")</f>
        <v>0</v>
      </c>
      <c r="F78" s="140">
        <f>SUMIFS('Plan rashoda za unos u SAP'!$J$3:$J$501,'Plan rashoda za unos u SAP'!$C$3:$C$501,"=12",'Plan rashoda za unos u SAP'!$N$3:$N$501,"=37")+SUMIFS('ANALITIKA EU PROJEKATA'!$H$3:$H$501,'ANALITIKA EU PROJEKATA'!$A$3:$A$501,"=12",'ANALITIKA EU PROJEKATA'!$Q$3:$Q$501,"=37")</f>
        <v>0</v>
      </c>
      <c r="G78" s="140">
        <f>SUMIFS('Plan rashoda za unos u SAP'!$J$3:$J$501,'Plan rashoda za unos u SAP'!$C$3:$C$501,"=31",'Plan rashoda za unos u SAP'!$N$3:$N$501,"=37")+SUMIFS('ANALITIKA EU PROJEKATA'!$H$3:$H$501,'ANALITIKA EU PROJEKATA'!$A$3:$A$501,"=31",'ANALITIKA EU PROJEKATA'!$Q$3:$Q$501,"=37")</f>
        <v>0</v>
      </c>
      <c r="H78" s="140">
        <f>SUMIFS('Plan rashoda za unos u SAP'!$J$3:$J$501,'Plan rashoda za unos u SAP'!$C$3:$C$501,"=41",'Plan rashoda za unos u SAP'!$N$3:$N$501,"=37")+SUMIFS('ANALITIKA EU PROJEKATA'!$H$3:$H$501,'ANALITIKA EU PROJEKATA'!$A$3:$A$501,"=41",'ANALITIKA EU PROJEKATA'!$Q$3:$Q$501,"=37")</f>
        <v>0</v>
      </c>
      <c r="I78" s="140">
        <f>SUMIFS('Plan rashoda za unos u SAP'!$J$3:$J$501,'Plan rashoda za unos u SAP'!$C$3:$C$501,"=43",'Plan rashoda za unos u SAP'!$N$3:$N$501,"=37")+SUMIFS('ANALITIKA EU PROJEKATA'!$H$3:$H$501,'ANALITIKA EU PROJEKATA'!$A$3:$A$501,"=43",'ANALITIKA EU PROJEKATA'!$Q$3:$Q$501,"=37")</f>
        <v>0</v>
      </c>
      <c r="J78" s="140">
        <f>SUMIFS('Plan rashoda za unos u SAP'!$J$3:$J$501,'Plan rashoda za unos u SAP'!$C$3:$C$501,"=51",'Plan rashoda za unos u SAP'!$N$3:$N$501,"=37")+SUMIFS('ANALITIKA EU PROJEKATA'!$H$3:$H$501,'ANALITIKA EU PROJEKATA'!$A$3:$A$501,"=51",'ANALITIKA EU PROJEKATA'!$Q$3:$Q$501,"=37")</f>
        <v>0</v>
      </c>
      <c r="K78" s="140">
        <f>SUMIFS('Plan rashoda za unos u SAP'!$J$3:$J$501,'Plan rashoda za unos u SAP'!$C$3:$C$501,"=52",'Plan rashoda za unos u SAP'!$N$3:$N$501,"=37")+SUMIFS('ANALITIKA EU PROJEKATA'!$H$3:$H$501,'ANALITIKA EU PROJEKATA'!$A$3:$A$501,"=52",'ANALITIKA EU PROJEKATA'!$Q$3:$Q$501,"=37")</f>
        <v>0</v>
      </c>
      <c r="L78" s="140">
        <f>SUMIFS('Plan rashoda za unos u SAP'!$J$3:$J$501,'Plan rashoda za unos u SAP'!$C$3:$C$501,"=552",'Plan rashoda za unos u SAP'!$N$3:$N$501,"=37")+SUMIFS('ANALITIKA EU PROJEKATA'!$H$3:$H$501,'ANALITIKA EU PROJEKATA'!$A$3:$A$501,"=552",'ANALITIKA EU PROJEKATA'!$Q$3:$Q$501,"=37")</f>
        <v>0</v>
      </c>
      <c r="M78" s="140">
        <f>SUMIFS('Plan rashoda za unos u SAP'!$J$3:$J$501,'Plan rashoda za unos u SAP'!$C$3:$C$501,"=559",'Plan rashoda za unos u SAP'!$N$3:$N$501,"=37")+SUMIFS('ANALITIKA EU PROJEKATA'!$H$3:$H$501,'ANALITIKA EU PROJEKATA'!$A$3:$A$501,"=559",'ANALITIKA EU PROJEKATA'!$Q$3:$Q$501,"=37")</f>
        <v>0</v>
      </c>
      <c r="N78" s="140">
        <f>SUMIFS('Plan rashoda za unos u SAP'!$J$3:$J$501,'Plan rashoda za unos u SAP'!$C$3:$C$501,"=561",'Plan rashoda za unos u SAP'!$N$3:$N$501,"=37")+SUMIFS('ANALITIKA EU PROJEKATA'!$H$3:$H$501,'ANALITIKA EU PROJEKATA'!$A$3:$A$501,"=561",'ANALITIKA EU PROJEKATA'!$Q$3:$Q$501,"=37")</f>
        <v>0</v>
      </c>
      <c r="O78" s="140">
        <f>SUMIFS('Plan rashoda za unos u SAP'!$J$3:$J$501,'Plan rashoda za unos u SAP'!$C$3:$C$501,"=563",'Plan rashoda za unos u SAP'!$N$3:$N$501,"=37")+SUMIFS('ANALITIKA EU PROJEKATA'!$H$3:$H$501,'ANALITIKA EU PROJEKATA'!$A$3:$A$501,"=563",'ANALITIKA EU PROJEKATA'!$Q$3:$Q$501,"=37")</f>
        <v>0</v>
      </c>
      <c r="P78" s="140">
        <f>SUMIFS('Plan rashoda za unos u SAP'!$J$3:$J$501,'Plan rashoda za unos u SAP'!$C$3:$C$501,"=573",'Plan rashoda za unos u SAP'!$N$3:$N$501,"=37")+SUMIFS('ANALITIKA EU PROJEKATA'!$H$3:$H$501,'ANALITIKA EU PROJEKATA'!$A$3:$A$501,"=573",'ANALITIKA EU PROJEKATA'!$Q$3:$Q$501,"=37")</f>
        <v>0</v>
      </c>
      <c r="Q78" s="140">
        <f>SUMIFS('Plan rashoda za unos u SAP'!$J$3:$J$501,'Plan rashoda za unos u SAP'!$C$3:$C$501,"=575",'Plan rashoda za unos u SAP'!$N$3:$N$501,"=37")+SUMIFS('ANALITIKA EU PROJEKATA'!$H$3:$H$501,'ANALITIKA EU PROJEKATA'!$A$3:$A$501,"=575",'ANALITIKA EU PROJEKATA'!$Q$3:$Q$501,"=37")</f>
        <v>0</v>
      </c>
      <c r="R78" s="140">
        <f>SUMIFS('Plan rashoda za unos u SAP'!$J$3:$J$501,'Plan rashoda za unos u SAP'!$C$3:$C$501,"=576",'Plan rashoda za unos u SAP'!$N$3:$N$501,"=37")+SUMIFS('ANALITIKA EU PROJEKATA'!$H$3:$H$501,'ANALITIKA EU PROJEKATA'!$A$3:$A$501,"=576",'ANALITIKA EU PROJEKATA'!$Q$3:$Q$501,"=37")</f>
        <v>0</v>
      </c>
      <c r="S78" s="140">
        <f>SUMIFS('Plan rashoda za unos u SAP'!$J$3:$J$501,'Plan rashoda za unos u SAP'!$C$3:$C$501,"=61",'Plan rashoda za unos u SAP'!$N$3:$N$501,"=37")+SUMIFS('ANALITIKA EU PROJEKATA'!$H$3:$H$501,'ANALITIKA EU PROJEKATA'!$A$3:$A$501,"=61",'ANALITIKA EU PROJEKATA'!$Q$3:$Q$501,"=37")</f>
        <v>0</v>
      </c>
      <c r="T78" s="140">
        <f>SUMIFS('Plan rashoda za unos u SAP'!$J$3:$J$501,'Plan rashoda za unos u SAP'!$C$3:$C$501,"=63",'Plan rashoda za unos u SAP'!$N$3:$N$501,"=37")+SUMIFS('ANALITIKA EU PROJEKATA'!$H$3:$H$501,'ANALITIKA EU PROJEKATA'!$A$3:$A$501,"=63",'ANALITIKA EU PROJEKATA'!$Q$3:$Q$501,"=37")</f>
        <v>0</v>
      </c>
      <c r="U78" s="140">
        <f>SUMIFS('Plan rashoda za unos u SAP'!$J$3:$J$501,'Plan rashoda za unos u SAP'!$C$3:$C$501,"=71",'Plan rashoda za unos u SAP'!$N$3:$N$501,"=37")+SUMIFS('ANALITIKA EU PROJEKATA'!$H$3:$H$501,'ANALITIKA EU PROJEKATA'!$A$3:$A$501,"=71",'ANALITIKA EU PROJEKATA'!$Q$3:$Q$501,"=37")</f>
        <v>0</v>
      </c>
      <c r="V78" s="140">
        <f>SUMIFS('Plan rashoda za unos u SAP'!$J$3:$J$501,'Plan rashoda za unos u SAP'!$C$3:$C$501,"=81",'Plan rashoda za unos u SAP'!$N$3:$N$501,"=37")+SUMIFS('ANALITIKA EU PROJEKATA'!$H$3:$H$501,'ANALITIKA EU PROJEKATA'!$A$3:$A$501,"=81",'ANALITIKA EU PROJEKATA'!$Q$3:$Q$501,"=37")</f>
        <v>0</v>
      </c>
      <c r="W78" s="140">
        <f>SUMIFS('Plan rashoda za unos u SAP'!$J$3:$J$501,'Plan rashoda za unos u SAP'!$C$3:$C$501,"=83",'Plan rashoda za unos u SAP'!$N$3:$N$501,"=37")+SUMIFS('ANALITIKA EU PROJEKATA'!$H$3:$H$501,'ANALITIKA EU PROJEKATA'!$A$3:$A$501,"=83",'ANALITIKA EU PROJEKATA'!$Q$3:$Q$501,"=37")</f>
        <v>0</v>
      </c>
      <c r="X78" s="85"/>
      <c r="Y78" s="85"/>
      <c r="Z78" s="85"/>
      <c r="AA78" s="85"/>
      <c r="AB78" s="85"/>
      <c r="AC78" s="85"/>
      <c r="AD78" s="85"/>
      <c r="AE78" s="85"/>
      <c r="AF78" s="85"/>
      <c r="AG78" s="85"/>
      <c r="AH78" s="85"/>
      <c r="AI78" s="85"/>
      <c r="AJ78" s="85"/>
      <c r="AK78" s="85"/>
      <c r="AL78" s="85"/>
      <c r="AM78" s="85"/>
      <c r="AN78" s="85"/>
      <c r="AO78" s="85"/>
      <c r="AP78" s="85"/>
      <c r="AQ78" s="85"/>
      <c r="AR78" s="85"/>
      <c r="AS78" s="85"/>
      <c r="AT78" s="85"/>
      <c r="AU78" s="85"/>
      <c r="AV78" s="85"/>
      <c r="AW78" s="85"/>
      <c r="AX78" s="85"/>
      <c r="AY78" s="85"/>
      <c r="AZ78" s="85"/>
      <c r="BA78" s="85"/>
      <c r="BB78" s="85"/>
      <c r="BC78" s="85"/>
      <c r="BD78" s="85"/>
      <c r="BE78" s="85"/>
      <c r="BF78" s="85"/>
      <c r="BG78" s="85"/>
      <c r="BH78" s="85"/>
      <c r="BI78" s="85"/>
      <c r="BJ78" s="85"/>
      <c r="BK78" s="85"/>
      <c r="BL78" s="85"/>
      <c r="BM78" s="85"/>
      <c r="BN78" s="85"/>
      <c r="BO78" s="85"/>
      <c r="BP78" s="85"/>
      <c r="BQ78" s="85"/>
      <c r="BR78" s="85"/>
      <c r="BS78" s="85"/>
      <c r="BT78" s="85"/>
      <c r="BU78" s="85"/>
      <c r="BV78" s="85"/>
      <c r="BW78" s="85"/>
      <c r="BX78" s="85"/>
      <c r="BY78" s="85"/>
      <c r="BZ78" s="85"/>
      <c r="CA78" s="85"/>
      <c r="CB78" s="85"/>
      <c r="CC78" s="85"/>
      <c r="CD78" s="85"/>
      <c r="CE78" s="85"/>
      <c r="CF78" s="85"/>
      <c r="CG78" s="85"/>
      <c r="CH78" s="85"/>
      <c r="CI78" s="85"/>
      <c r="CJ78" s="85"/>
      <c r="CK78" s="85"/>
      <c r="CL78" s="85"/>
      <c r="CM78" s="85"/>
      <c r="CN78" s="85"/>
      <c r="CO78" s="85"/>
      <c r="CP78" s="85"/>
      <c r="CQ78" s="85"/>
      <c r="CR78" s="85"/>
      <c r="CS78" s="85"/>
      <c r="CT78" s="85"/>
      <c r="CU78" s="85"/>
      <c r="CV78" s="85"/>
      <c r="CW78" s="85"/>
      <c r="CX78" s="85"/>
      <c r="CY78" s="85"/>
      <c r="CZ78" s="85"/>
      <c r="DA78" s="85"/>
      <c r="DB78" s="85"/>
      <c r="DC78" s="85"/>
      <c r="DD78" s="85"/>
      <c r="DE78" s="85"/>
      <c r="DF78" s="85"/>
      <c r="DG78" s="85"/>
      <c r="DH78" s="85"/>
      <c r="DI78" s="85"/>
      <c r="DJ78" s="85"/>
      <c r="DK78" s="85"/>
      <c r="DL78" s="85"/>
      <c r="DM78" s="85"/>
      <c r="DN78" s="85"/>
      <c r="DO78" s="85"/>
      <c r="DP78" s="85"/>
      <c r="DQ78" s="85"/>
      <c r="DR78" s="85"/>
      <c r="DS78" s="85"/>
      <c r="DT78" s="85"/>
      <c r="DU78" s="85"/>
      <c r="DV78" s="85"/>
      <c r="DW78" s="85"/>
      <c r="DX78" s="85"/>
      <c r="DY78" s="85"/>
      <c r="DZ78" s="85"/>
      <c r="EA78" s="85"/>
      <c r="EB78" s="85"/>
      <c r="EC78" s="85"/>
      <c r="ED78" s="85"/>
      <c r="EE78" s="85"/>
      <c r="EF78" s="85"/>
      <c r="EG78" s="85"/>
      <c r="EH78" s="85"/>
      <c r="EI78" s="85"/>
      <c r="EJ78" s="85"/>
      <c r="EK78" s="85"/>
      <c r="EL78" s="85"/>
      <c r="EM78" s="85"/>
      <c r="EN78" s="85"/>
      <c r="EO78" s="85"/>
      <c r="EP78" s="85"/>
      <c r="EQ78" s="85"/>
      <c r="ER78" s="85"/>
      <c r="ES78" s="85"/>
      <c r="ET78" s="85"/>
      <c r="EU78" s="85"/>
      <c r="EV78" s="85"/>
      <c r="EW78" s="85"/>
      <c r="EX78" s="85"/>
      <c r="EY78" s="85"/>
      <c r="EZ78" s="85"/>
      <c r="FA78" s="85"/>
      <c r="FB78" s="85"/>
      <c r="FC78" s="85"/>
      <c r="FD78" s="85"/>
      <c r="FE78" s="85"/>
      <c r="FF78" s="85"/>
      <c r="FG78" s="85"/>
      <c r="FH78" s="85"/>
      <c r="FI78" s="85"/>
      <c r="FJ78" s="85"/>
      <c r="FK78" s="85"/>
      <c r="FL78" s="85"/>
      <c r="FM78" s="85"/>
      <c r="FN78" s="85"/>
      <c r="FO78" s="85"/>
      <c r="FP78" s="85"/>
      <c r="FQ78" s="85"/>
      <c r="FR78" s="85"/>
      <c r="FS78" s="85"/>
      <c r="FT78" s="85"/>
      <c r="FU78" s="85"/>
      <c r="FV78" s="85"/>
      <c r="FW78" s="85"/>
      <c r="FX78" s="85"/>
      <c r="FY78" s="85"/>
      <c r="FZ78" s="85"/>
      <c r="GA78" s="85"/>
      <c r="GB78" s="85"/>
      <c r="GC78" s="85"/>
      <c r="GD78" s="85"/>
      <c r="GE78" s="85"/>
      <c r="GF78" s="85"/>
      <c r="GG78" s="85"/>
      <c r="GH78" s="85"/>
      <c r="GI78" s="85"/>
      <c r="GJ78" s="85"/>
      <c r="GK78" s="85"/>
      <c r="GL78" s="86"/>
      <c r="GM78" s="86"/>
      <c r="GN78" s="86"/>
      <c r="GO78" s="86"/>
      <c r="GP78" s="86"/>
      <c r="GQ78" s="86"/>
      <c r="GR78" s="86"/>
      <c r="GS78" s="86"/>
      <c r="GT78" s="86"/>
      <c r="GU78" s="86"/>
      <c r="GV78" s="86"/>
      <c r="GW78" s="86"/>
      <c r="GX78" s="86"/>
      <c r="GY78" s="86"/>
      <c r="GZ78" s="86"/>
      <c r="HA78" s="86"/>
      <c r="HB78" s="86"/>
      <c r="HC78" s="86"/>
      <c r="HD78" s="86"/>
      <c r="HE78" s="86"/>
      <c r="HF78" s="86"/>
      <c r="HG78" s="86"/>
      <c r="HH78" s="86"/>
      <c r="HI78" s="86"/>
      <c r="HJ78" s="86"/>
      <c r="HK78" s="86"/>
      <c r="HL78" s="86"/>
      <c r="HM78" s="86"/>
      <c r="HN78" s="86"/>
      <c r="HO78" s="86"/>
      <c r="HP78" s="86"/>
      <c r="HQ78" s="86"/>
      <c r="HR78" s="86"/>
      <c r="HS78" s="86"/>
      <c r="HT78" s="86"/>
      <c r="HU78" s="86"/>
      <c r="HV78" s="86"/>
      <c r="HW78" s="86"/>
      <c r="HX78" s="86"/>
      <c r="HY78" s="86"/>
      <c r="HZ78" s="86"/>
      <c r="IA78" s="86"/>
      <c r="IB78" s="86"/>
      <c r="IC78" s="86"/>
      <c r="ID78" s="86"/>
      <c r="IE78" s="86"/>
      <c r="IF78" s="86"/>
      <c r="IG78" s="86"/>
      <c r="IH78" s="86"/>
      <c r="II78" s="86"/>
      <c r="IJ78" s="86"/>
      <c r="IK78" s="86"/>
      <c r="IL78" s="86"/>
      <c r="IM78" s="86"/>
      <c r="IN78" s="86"/>
      <c r="IO78" s="86"/>
      <c r="IP78" s="86"/>
      <c r="IQ78" s="86"/>
      <c r="IR78" s="86"/>
      <c r="IS78" s="86"/>
      <c r="IT78" s="86"/>
      <c r="IU78" s="86"/>
      <c r="IV78" s="86"/>
      <c r="IW78" s="86"/>
      <c r="IX78" s="86"/>
      <c r="IY78" s="86"/>
      <c r="IZ78" s="86"/>
      <c r="JA78" s="86"/>
      <c r="JB78" s="86"/>
      <c r="JC78" s="86"/>
    </row>
    <row r="79" spans="1:263" s="20" customFormat="1" ht="12.6" customHeight="1">
      <c r="A79" s="22">
        <v>2022</v>
      </c>
      <c r="B79" s="84">
        <v>38</v>
      </c>
      <c r="C79" s="15" t="s">
        <v>214</v>
      </c>
      <c r="D79" s="133">
        <f t="shared" si="21"/>
        <v>0</v>
      </c>
      <c r="E79" s="140">
        <f>SUMIFS('Plan rashoda za unos u SAP'!$J$3:$J$501,'Plan rashoda za unos u SAP'!$C$3:$C$501,"=11",'Plan rashoda za unos u SAP'!$N$3:$N$501,"=38")+SUMIFS('ANALITIKA EU PROJEKATA'!$H$3:$H$501,'ANALITIKA EU PROJEKATA'!$A$3:$A$501,"=11",'ANALITIKA EU PROJEKATA'!$Q$3:$Q$501,"=38")</f>
        <v>0</v>
      </c>
      <c r="F79" s="140">
        <f>SUMIFS('Plan rashoda za unos u SAP'!$J$3:$J$501,'Plan rashoda za unos u SAP'!$C$3:$C$501,"=12",'Plan rashoda za unos u SAP'!$N$3:$N$501,"=38")+SUMIFS('ANALITIKA EU PROJEKATA'!$H$3:$H$501,'ANALITIKA EU PROJEKATA'!$A$3:$A$501,"=12",'ANALITIKA EU PROJEKATA'!$Q$3:$Q$501,"=38")</f>
        <v>0</v>
      </c>
      <c r="G79" s="140">
        <f>SUMIFS('Plan rashoda za unos u SAP'!$J$3:$J$501,'Plan rashoda za unos u SAP'!$C$3:$C$501,"=31",'Plan rashoda za unos u SAP'!$N$3:$N$501,"=38")+SUMIFS('ANALITIKA EU PROJEKATA'!$H$3:$H$501,'ANALITIKA EU PROJEKATA'!$A$3:$A$501,"=31",'ANALITIKA EU PROJEKATA'!$Q$3:$Q$501,"=38")</f>
        <v>0</v>
      </c>
      <c r="H79" s="140">
        <f>SUMIFS('Plan rashoda za unos u SAP'!$J$3:$J$501,'Plan rashoda za unos u SAP'!$C$3:$C$501,"=41",'Plan rashoda za unos u SAP'!$N$3:$N$501,"=38")+SUMIFS('ANALITIKA EU PROJEKATA'!$H$3:$H$501,'ANALITIKA EU PROJEKATA'!$A$3:$A$501,"=41",'ANALITIKA EU PROJEKATA'!$Q$3:$Q$501,"=38")</f>
        <v>0</v>
      </c>
      <c r="I79" s="140">
        <f>SUMIFS('Plan rashoda za unos u SAP'!$J$3:$J$501,'Plan rashoda za unos u SAP'!$C$3:$C$501,"=43",'Plan rashoda za unos u SAP'!$N$3:$N$501,"=38")+SUMIFS('ANALITIKA EU PROJEKATA'!$H$3:$H$501,'ANALITIKA EU PROJEKATA'!$A$3:$A$501,"=43",'ANALITIKA EU PROJEKATA'!$Q$3:$Q$501,"=38")</f>
        <v>0</v>
      </c>
      <c r="J79" s="140">
        <f>SUMIFS('Plan rashoda za unos u SAP'!$J$3:$J$501,'Plan rashoda za unos u SAP'!$C$3:$C$501,"=51",'Plan rashoda za unos u SAP'!$N$3:$N$501,"=38")+SUMIFS('ANALITIKA EU PROJEKATA'!$H$3:$H$501,'ANALITIKA EU PROJEKATA'!$A$3:$A$501,"=51",'ANALITIKA EU PROJEKATA'!$Q$3:$Q$501,"=38")</f>
        <v>0</v>
      </c>
      <c r="K79" s="140">
        <f>SUMIFS('Plan rashoda za unos u SAP'!$J$3:$J$501,'Plan rashoda za unos u SAP'!$C$3:$C$501,"=52",'Plan rashoda za unos u SAP'!$N$3:$N$501,"=38")+SUMIFS('ANALITIKA EU PROJEKATA'!$H$3:$H$501,'ANALITIKA EU PROJEKATA'!$A$3:$A$501,"=52",'ANALITIKA EU PROJEKATA'!$Q$3:$Q$501,"=38")</f>
        <v>0</v>
      </c>
      <c r="L79" s="140">
        <f>SUMIFS('Plan rashoda za unos u SAP'!$J$3:$J$501,'Plan rashoda za unos u SAP'!$C$3:$C$501,"=552",'Plan rashoda za unos u SAP'!$N$3:$N$501,"=38")+SUMIFS('ANALITIKA EU PROJEKATA'!$H$3:$H$501,'ANALITIKA EU PROJEKATA'!$A$3:$A$501,"=552",'ANALITIKA EU PROJEKATA'!$Q$3:$Q$501,"=38")</f>
        <v>0</v>
      </c>
      <c r="M79" s="140">
        <f>SUMIFS('Plan rashoda za unos u SAP'!$J$3:$J$501,'Plan rashoda za unos u SAP'!$C$3:$C$501,"=559",'Plan rashoda za unos u SAP'!$N$3:$N$501,"=38")+SUMIFS('ANALITIKA EU PROJEKATA'!$H$3:$H$501,'ANALITIKA EU PROJEKATA'!$A$3:$A$501,"=559",'ANALITIKA EU PROJEKATA'!$Q$3:$Q$501,"=38")</f>
        <v>0</v>
      </c>
      <c r="N79" s="140">
        <f>SUMIFS('Plan rashoda za unos u SAP'!$J$3:$J$501,'Plan rashoda za unos u SAP'!$C$3:$C$501,"=561",'Plan rashoda za unos u SAP'!$N$3:$N$501,"=38")+SUMIFS('ANALITIKA EU PROJEKATA'!$H$3:$H$501,'ANALITIKA EU PROJEKATA'!$A$3:$A$501,"=561",'ANALITIKA EU PROJEKATA'!$Q$3:$Q$501,"=38")</f>
        <v>0</v>
      </c>
      <c r="O79" s="140">
        <f>SUMIFS('Plan rashoda za unos u SAP'!$J$3:$J$501,'Plan rashoda za unos u SAP'!$C$3:$C$501,"=563",'Plan rashoda za unos u SAP'!$N$3:$N$501,"=38")+SUMIFS('ANALITIKA EU PROJEKATA'!$H$3:$H$501,'ANALITIKA EU PROJEKATA'!$A$3:$A$501,"=563",'ANALITIKA EU PROJEKATA'!$Q$3:$Q$501,"=38")</f>
        <v>0</v>
      </c>
      <c r="P79" s="140">
        <f>SUMIFS('Plan rashoda za unos u SAP'!$J$3:$J$501,'Plan rashoda za unos u SAP'!$C$3:$C$501,"=573",'Plan rashoda za unos u SAP'!$N$3:$N$501,"=38")+SUMIFS('ANALITIKA EU PROJEKATA'!$H$3:$H$501,'ANALITIKA EU PROJEKATA'!$A$3:$A$501,"=573",'ANALITIKA EU PROJEKATA'!$Q$3:$Q$501,"=38")</f>
        <v>0</v>
      </c>
      <c r="Q79" s="140">
        <f>SUMIFS('Plan rashoda za unos u SAP'!$J$3:$J$501,'Plan rashoda za unos u SAP'!$C$3:$C$501,"=575",'Plan rashoda za unos u SAP'!$N$3:$N$501,"=38")+SUMIFS('ANALITIKA EU PROJEKATA'!$H$3:$H$501,'ANALITIKA EU PROJEKATA'!$A$3:$A$501,"=575",'ANALITIKA EU PROJEKATA'!$Q$3:$Q$501,"=38")</f>
        <v>0</v>
      </c>
      <c r="R79" s="140">
        <f>SUMIFS('Plan rashoda za unos u SAP'!$J$3:$J$501,'Plan rashoda za unos u SAP'!$C$3:$C$501,"=576",'Plan rashoda za unos u SAP'!$N$3:$N$501,"=38")+SUMIFS('ANALITIKA EU PROJEKATA'!$H$3:$H$501,'ANALITIKA EU PROJEKATA'!$A$3:$A$501,"=576",'ANALITIKA EU PROJEKATA'!$Q$3:$Q$501,"=38")</f>
        <v>0</v>
      </c>
      <c r="S79" s="140">
        <f>SUMIFS('Plan rashoda za unos u SAP'!$J$3:$J$501,'Plan rashoda za unos u SAP'!$C$3:$C$501,"=61",'Plan rashoda za unos u SAP'!$N$3:$N$501,"=38")+SUMIFS('ANALITIKA EU PROJEKATA'!$H$3:$H$501,'ANALITIKA EU PROJEKATA'!$A$3:$A$501,"=61",'ANALITIKA EU PROJEKATA'!$Q$3:$Q$501,"=38")</f>
        <v>0</v>
      </c>
      <c r="T79" s="140">
        <f>SUMIFS('Plan rashoda za unos u SAP'!$J$3:$J$501,'Plan rashoda za unos u SAP'!$C$3:$C$501,"=63",'Plan rashoda za unos u SAP'!$N$3:$N$501,"=38")+SUMIFS('ANALITIKA EU PROJEKATA'!$H$3:$H$501,'ANALITIKA EU PROJEKATA'!$A$3:$A$501,"=63",'ANALITIKA EU PROJEKATA'!$Q$3:$Q$501,"=38")</f>
        <v>0</v>
      </c>
      <c r="U79" s="140">
        <f>SUMIFS('Plan rashoda za unos u SAP'!$J$3:$J$501,'Plan rashoda za unos u SAP'!$C$3:$C$501,"=71",'Plan rashoda za unos u SAP'!$N$3:$N$501,"=38")+SUMIFS('ANALITIKA EU PROJEKATA'!$H$3:$H$501,'ANALITIKA EU PROJEKATA'!$A$3:$A$501,"=71",'ANALITIKA EU PROJEKATA'!$Q$3:$Q$501,"=38")</f>
        <v>0</v>
      </c>
      <c r="V79" s="140">
        <f>SUMIFS('Plan rashoda za unos u SAP'!$J$3:$J$501,'Plan rashoda za unos u SAP'!$C$3:$C$501,"=81",'Plan rashoda za unos u SAP'!$N$3:$N$501,"=38")+SUMIFS('ANALITIKA EU PROJEKATA'!$H$3:$H$501,'ANALITIKA EU PROJEKATA'!$A$3:$A$501,"=81",'ANALITIKA EU PROJEKATA'!$Q$3:$Q$501,"=38")</f>
        <v>0</v>
      </c>
      <c r="W79" s="140">
        <f>SUMIFS('Plan rashoda za unos u SAP'!$J$3:$J$501,'Plan rashoda za unos u SAP'!$C$3:$C$501,"=83",'Plan rashoda za unos u SAP'!$N$3:$N$501,"=38")+SUMIFS('ANALITIKA EU PROJEKATA'!$H$3:$H$501,'ANALITIKA EU PROJEKATA'!$A$3:$A$501,"=83",'ANALITIKA EU PROJEKATA'!$Q$3:$Q$501,"=38")</f>
        <v>0</v>
      </c>
      <c r="X79" s="85"/>
      <c r="Y79" s="85"/>
      <c r="Z79" s="85"/>
      <c r="AA79" s="85"/>
      <c r="AB79" s="85"/>
      <c r="AC79" s="85"/>
      <c r="AD79" s="85"/>
      <c r="AE79" s="85"/>
      <c r="AF79" s="85"/>
      <c r="AG79" s="85"/>
      <c r="AH79" s="85"/>
      <c r="AI79" s="85"/>
      <c r="AJ79" s="85"/>
      <c r="AK79" s="85"/>
      <c r="AL79" s="85"/>
      <c r="AM79" s="85"/>
      <c r="AN79" s="85"/>
      <c r="AO79" s="85"/>
      <c r="AP79" s="85"/>
      <c r="AQ79" s="85"/>
      <c r="AR79" s="85"/>
      <c r="AS79" s="85"/>
      <c r="AT79" s="85"/>
      <c r="AU79" s="85"/>
      <c r="AV79" s="85"/>
      <c r="AW79" s="85"/>
      <c r="AX79" s="85"/>
      <c r="AY79" s="85"/>
      <c r="AZ79" s="85"/>
      <c r="BA79" s="85"/>
      <c r="BB79" s="85"/>
      <c r="BC79" s="85"/>
      <c r="BD79" s="85"/>
      <c r="BE79" s="85"/>
      <c r="BF79" s="85"/>
      <c r="BG79" s="85"/>
      <c r="BH79" s="85"/>
      <c r="BI79" s="85"/>
      <c r="BJ79" s="85"/>
      <c r="BK79" s="85"/>
      <c r="BL79" s="85"/>
      <c r="BM79" s="85"/>
      <c r="BN79" s="85"/>
      <c r="BO79" s="85"/>
      <c r="BP79" s="85"/>
      <c r="BQ79" s="85"/>
      <c r="BR79" s="85"/>
      <c r="BS79" s="85"/>
      <c r="BT79" s="85"/>
      <c r="BU79" s="85"/>
      <c r="BV79" s="85"/>
      <c r="BW79" s="85"/>
      <c r="BX79" s="85"/>
      <c r="BY79" s="85"/>
      <c r="BZ79" s="85"/>
      <c r="CA79" s="85"/>
      <c r="CB79" s="85"/>
      <c r="CC79" s="85"/>
      <c r="CD79" s="85"/>
      <c r="CE79" s="85"/>
      <c r="CF79" s="85"/>
      <c r="CG79" s="85"/>
      <c r="CH79" s="85"/>
      <c r="CI79" s="85"/>
      <c r="CJ79" s="85"/>
      <c r="CK79" s="85"/>
      <c r="CL79" s="85"/>
      <c r="CM79" s="85"/>
      <c r="CN79" s="85"/>
      <c r="CO79" s="85"/>
      <c r="CP79" s="85"/>
      <c r="CQ79" s="85"/>
      <c r="CR79" s="85"/>
      <c r="CS79" s="85"/>
      <c r="CT79" s="85"/>
      <c r="CU79" s="85"/>
      <c r="CV79" s="85"/>
      <c r="CW79" s="85"/>
      <c r="CX79" s="85"/>
      <c r="CY79" s="85"/>
      <c r="CZ79" s="85"/>
      <c r="DA79" s="85"/>
      <c r="DB79" s="85"/>
      <c r="DC79" s="85"/>
      <c r="DD79" s="85"/>
      <c r="DE79" s="85"/>
      <c r="DF79" s="85"/>
      <c r="DG79" s="85"/>
      <c r="DH79" s="85"/>
      <c r="DI79" s="85"/>
      <c r="DJ79" s="85"/>
      <c r="DK79" s="85"/>
      <c r="DL79" s="85"/>
      <c r="DM79" s="85"/>
      <c r="DN79" s="85"/>
      <c r="DO79" s="85"/>
      <c r="DP79" s="85"/>
      <c r="DQ79" s="85"/>
      <c r="DR79" s="85"/>
      <c r="DS79" s="85"/>
      <c r="DT79" s="85"/>
      <c r="DU79" s="85"/>
      <c r="DV79" s="85"/>
      <c r="DW79" s="85"/>
      <c r="DX79" s="85"/>
      <c r="DY79" s="85"/>
      <c r="DZ79" s="85"/>
      <c r="EA79" s="85"/>
      <c r="EB79" s="85"/>
      <c r="EC79" s="85"/>
      <c r="ED79" s="85"/>
      <c r="EE79" s="85"/>
      <c r="EF79" s="85"/>
      <c r="EG79" s="85"/>
      <c r="EH79" s="85"/>
      <c r="EI79" s="85"/>
      <c r="EJ79" s="85"/>
      <c r="EK79" s="85"/>
      <c r="EL79" s="85"/>
      <c r="EM79" s="85"/>
      <c r="EN79" s="85"/>
      <c r="EO79" s="85"/>
      <c r="EP79" s="85"/>
      <c r="EQ79" s="85"/>
      <c r="ER79" s="85"/>
      <c r="ES79" s="85"/>
      <c r="ET79" s="85"/>
      <c r="EU79" s="85"/>
      <c r="EV79" s="85"/>
      <c r="EW79" s="85"/>
      <c r="EX79" s="85"/>
      <c r="EY79" s="85"/>
      <c r="EZ79" s="85"/>
      <c r="FA79" s="85"/>
      <c r="FB79" s="85"/>
      <c r="FC79" s="85"/>
      <c r="FD79" s="85"/>
      <c r="FE79" s="85"/>
      <c r="FF79" s="85"/>
      <c r="FG79" s="85"/>
      <c r="FH79" s="85"/>
      <c r="FI79" s="85"/>
      <c r="FJ79" s="85"/>
      <c r="FK79" s="85"/>
      <c r="FL79" s="85"/>
      <c r="FM79" s="85"/>
      <c r="FN79" s="85"/>
      <c r="FO79" s="85"/>
      <c r="FP79" s="85"/>
      <c r="FQ79" s="85"/>
      <c r="FR79" s="85"/>
      <c r="FS79" s="85"/>
      <c r="FT79" s="85"/>
      <c r="FU79" s="85"/>
      <c r="FV79" s="85"/>
      <c r="FW79" s="85"/>
      <c r="FX79" s="85"/>
      <c r="FY79" s="85"/>
      <c r="FZ79" s="85"/>
      <c r="GA79" s="85"/>
      <c r="GB79" s="85"/>
      <c r="GC79" s="85"/>
      <c r="GD79" s="85"/>
      <c r="GE79" s="85"/>
      <c r="GF79" s="85"/>
      <c r="GG79" s="85"/>
      <c r="GH79" s="85"/>
      <c r="GI79" s="85"/>
      <c r="GJ79" s="85"/>
      <c r="GK79" s="85"/>
      <c r="GL79" s="86"/>
      <c r="GM79" s="86"/>
      <c r="GN79" s="86"/>
      <c r="GO79" s="86"/>
      <c r="GP79" s="86"/>
      <c r="GQ79" s="86"/>
      <c r="GR79" s="86"/>
      <c r="GS79" s="86"/>
      <c r="GT79" s="86"/>
      <c r="GU79" s="86"/>
      <c r="GV79" s="86"/>
      <c r="GW79" s="86"/>
      <c r="GX79" s="86"/>
      <c r="GY79" s="86"/>
      <c r="GZ79" s="86"/>
      <c r="HA79" s="86"/>
      <c r="HB79" s="86"/>
      <c r="HC79" s="86"/>
      <c r="HD79" s="86"/>
      <c r="HE79" s="86"/>
      <c r="HF79" s="86"/>
      <c r="HG79" s="86"/>
      <c r="HH79" s="86"/>
      <c r="HI79" s="86"/>
      <c r="HJ79" s="86"/>
      <c r="HK79" s="86"/>
      <c r="HL79" s="86"/>
      <c r="HM79" s="86"/>
      <c r="HN79" s="86"/>
      <c r="HO79" s="86"/>
      <c r="HP79" s="86"/>
      <c r="HQ79" s="86"/>
      <c r="HR79" s="86"/>
      <c r="HS79" s="86"/>
      <c r="HT79" s="86"/>
      <c r="HU79" s="86"/>
      <c r="HV79" s="86"/>
      <c r="HW79" s="86"/>
      <c r="HX79" s="86"/>
      <c r="HY79" s="86"/>
      <c r="HZ79" s="86"/>
      <c r="IA79" s="86"/>
      <c r="IB79" s="86"/>
      <c r="IC79" s="86"/>
      <c r="ID79" s="86"/>
      <c r="IE79" s="86"/>
      <c r="IF79" s="86"/>
      <c r="IG79" s="86"/>
      <c r="IH79" s="86"/>
      <c r="II79" s="86"/>
      <c r="IJ79" s="86"/>
      <c r="IK79" s="86"/>
      <c r="IL79" s="86"/>
      <c r="IM79" s="86"/>
      <c r="IN79" s="86"/>
      <c r="IO79" s="86"/>
      <c r="IP79" s="86"/>
      <c r="IQ79" s="86"/>
      <c r="IR79" s="86"/>
      <c r="IS79" s="86"/>
      <c r="IT79" s="86"/>
      <c r="IU79" s="86"/>
      <c r="IV79" s="86"/>
      <c r="IW79" s="86"/>
      <c r="IX79" s="86"/>
      <c r="IY79" s="86"/>
      <c r="IZ79" s="86"/>
      <c r="JA79" s="86"/>
      <c r="JB79" s="86"/>
      <c r="JC79" s="86"/>
    </row>
    <row r="80" spans="1:263" s="21" customFormat="1" ht="12.6" customHeight="1">
      <c r="A80" s="22">
        <v>2022</v>
      </c>
      <c r="B80" s="127">
        <v>4</v>
      </c>
      <c r="C80" s="128" t="s">
        <v>216</v>
      </c>
      <c r="D80" s="126">
        <f t="shared" si="21"/>
        <v>673850</v>
      </c>
      <c r="E80" s="131">
        <f t="shared" ref="E80:V80" si="23">SUM(E81:E85)</f>
        <v>172000</v>
      </c>
      <c r="F80" s="131">
        <f t="shared" si="23"/>
        <v>0</v>
      </c>
      <c r="G80" s="131">
        <f t="shared" si="23"/>
        <v>311250</v>
      </c>
      <c r="H80" s="131">
        <f>SUM(H81:H85)</f>
        <v>0</v>
      </c>
      <c r="I80" s="131">
        <f t="shared" si="23"/>
        <v>190600</v>
      </c>
      <c r="J80" s="131">
        <f t="shared" si="23"/>
        <v>0</v>
      </c>
      <c r="K80" s="131">
        <f t="shared" si="23"/>
        <v>0</v>
      </c>
      <c r="L80" s="131">
        <f>SUM(L81:L85)</f>
        <v>0</v>
      </c>
      <c r="M80" s="131">
        <f t="shared" si="23"/>
        <v>0</v>
      </c>
      <c r="N80" s="131">
        <f t="shared" si="23"/>
        <v>0</v>
      </c>
      <c r="O80" s="131">
        <f t="shared" si="23"/>
        <v>0</v>
      </c>
      <c r="P80" s="131">
        <f>SUM(P81:P85)</f>
        <v>0</v>
      </c>
      <c r="Q80" s="131">
        <f>SUM(Q81:Q85)</f>
        <v>0</v>
      </c>
      <c r="R80" s="131">
        <f>SUM(R81:R85)</f>
        <v>0</v>
      </c>
      <c r="S80" s="131">
        <f t="shared" si="23"/>
        <v>0</v>
      </c>
      <c r="T80" s="131">
        <f t="shared" si="23"/>
        <v>0</v>
      </c>
      <c r="U80" s="131">
        <f t="shared" si="23"/>
        <v>0</v>
      </c>
      <c r="V80" s="131">
        <f t="shared" si="23"/>
        <v>0</v>
      </c>
      <c r="W80" s="131">
        <f>SUM(W81:W85)</f>
        <v>0</v>
      </c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  <c r="CC80" s="72"/>
      <c r="CD80" s="72"/>
      <c r="CE80" s="72"/>
      <c r="CF80" s="72"/>
      <c r="CG80" s="72"/>
      <c r="CH80" s="72"/>
      <c r="CI80" s="72"/>
      <c r="CJ80" s="72"/>
      <c r="CK80" s="72"/>
      <c r="CL80" s="72"/>
      <c r="CM80" s="72"/>
      <c r="CN80" s="72"/>
      <c r="CO80" s="72"/>
      <c r="CP80" s="72"/>
      <c r="CQ80" s="72"/>
      <c r="CR80" s="72"/>
      <c r="CS80" s="72"/>
      <c r="CT80" s="72"/>
      <c r="CU80" s="72"/>
      <c r="CV80" s="72"/>
      <c r="CW80" s="72"/>
      <c r="CX80" s="72"/>
      <c r="CY80" s="72"/>
      <c r="CZ80" s="72"/>
      <c r="DA80" s="72"/>
      <c r="DB80" s="72"/>
      <c r="DC80" s="72"/>
      <c r="DD80" s="72"/>
      <c r="DE80" s="72"/>
      <c r="DF80" s="72"/>
      <c r="DG80" s="72"/>
      <c r="DH80" s="72"/>
      <c r="DI80" s="72"/>
      <c r="DJ80" s="72"/>
      <c r="DK80" s="72"/>
      <c r="DL80" s="72"/>
      <c r="DM80" s="72"/>
      <c r="DN80" s="72"/>
      <c r="DO80" s="72"/>
      <c r="DP80" s="72"/>
      <c r="DQ80" s="72"/>
      <c r="DR80" s="72"/>
      <c r="DS80" s="72"/>
      <c r="DT80" s="72"/>
      <c r="DU80" s="72"/>
      <c r="DV80" s="72"/>
      <c r="DW80" s="72"/>
      <c r="DX80" s="72"/>
      <c r="DY80" s="72"/>
      <c r="DZ80" s="72"/>
      <c r="EA80" s="72"/>
      <c r="EB80" s="72"/>
      <c r="EC80" s="72"/>
      <c r="ED80" s="72"/>
      <c r="EE80" s="72"/>
      <c r="EF80" s="72"/>
      <c r="EG80" s="72"/>
      <c r="EH80" s="72"/>
      <c r="EI80" s="72"/>
      <c r="EJ80" s="72"/>
      <c r="EK80" s="72"/>
      <c r="EL80" s="72"/>
      <c r="EM80" s="72"/>
      <c r="EN80" s="72"/>
      <c r="EO80" s="72"/>
      <c r="EP80" s="72"/>
      <c r="EQ80" s="72"/>
      <c r="ER80" s="72"/>
      <c r="ES80" s="72"/>
      <c r="ET80" s="72"/>
      <c r="EU80" s="72"/>
      <c r="EV80" s="72"/>
      <c r="EW80" s="72"/>
      <c r="EX80" s="72"/>
      <c r="EY80" s="72"/>
      <c r="EZ80" s="72"/>
      <c r="FA80" s="72"/>
      <c r="FB80" s="72"/>
      <c r="FC80" s="72"/>
      <c r="FD80" s="72"/>
      <c r="FE80" s="72"/>
      <c r="FF80" s="72"/>
      <c r="FG80" s="72"/>
      <c r="FH80" s="72"/>
      <c r="FI80" s="72"/>
      <c r="FJ80" s="72"/>
      <c r="FK80" s="72"/>
      <c r="FL80" s="72"/>
      <c r="FM80" s="72"/>
      <c r="FN80" s="72"/>
      <c r="FO80" s="72"/>
      <c r="FP80" s="72"/>
      <c r="FQ80" s="72"/>
      <c r="FR80" s="72"/>
      <c r="FS80" s="72"/>
      <c r="FT80" s="72"/>
      <c r="FU80" s="72"/>
      <c r="FV80" s="72"/>
      <c r="FW80" s="72"/>
      <c r="FX80" s="72"/>
      <c r="FY80" s="72"/>
      <c r="FZ80" s="72"/>
      <c r="GA80" s="72"/>
      <c r="GB80" s="72"/>
      <c r="GC80" s="72"/>
      <c r="GD80" s="72"/>
      <c r="GE80" s="72"/>
      <c r="GF80" s="72"/>
      <c r="GG80" s="72"/>
      <c r="GH80" s="72"/>
      <c r="GI80" s="72"/>
      <c r="GJ80" s="72"/>
      <c r="GK80" s="72"/>
      <c r="GL80" s="73"/>
      <c r="GM80" s="73"/>
      <c r="GN80" s="73"/>
      <c r="GO80" s="73"/>
      <c r="GP80" s="73"/>
      <c r="GQ80" s="73"/>
      <c r="GR80" s="73"/>
      <c r="GS80" s="73"/>
      <c r="GT80" s="73"/>
      <c r="GU80" s="73"/>
      <c r="GV80" s="73"/>
      <c r="GW80" s="73"/>
      <c r="GX80" s="73"/>
      <c r="GY80" s="73"/>
      <c r="GZ80" s="73"/>
      <c r="HA80" s="73"/>
      <c r="HB80" s="73"/>
      <c r="HC80" s="73"/>
      <c r="HD80" s="73"/>
      <c r="HE80" s="73"/>
      <c r="HF80" s="73"/>
      <c r="HG80" s="73"/>
      <c r="HH80" s="73"/>
      <c r="HI80" s="73"/>
      <c r="HJ80" s="73"/>
      <c r="HK80" s="73"/>
      <c r="HL80" s="73"/>
      <c r="HM80" s="73"/>
      <c r="HN80" s="73"/>
      <c r="HO80" s="73"/>
      <c r="HP80" s="73"/>
      <c r="HQ80" s="73"/>
      <c r="HR80" s="73"/>
      <c r="HS80" s="73"/>
      <c r="HT80" s="73"/>
      <c r="HU80" s="73"/>
      <c r="HV80" s="73"/>
      <c r="HW80" s="73"/>
      <c r="HX80" s="73"/>
      <c r="HY80" s="73"/>
      <c r="HZ80" s="73"/>
      <c r="IA80" s="73"/>
      <c r="IB80" s="73"/>
      <c r="IC80" s="73"/>
      <c r="ID80" s="73"/>
      <c r="IE80" s="73"/>
      <c r="IF80" s="73"/>
      <c r="IG80" s="73"/>
      <c r="IH80" s="73"/>
      <c r="II80" s="73"/>
      <c r="IJ80" s="73"/>
      <c r="IK80" s="73"/>
      <c r="IL80" s="73"/>
      <c r="IM80" s="73"/>
      <c r="IN80" s="73"/>
      <c r="IO80" s="73"/>
      <c r="IP80" s="73"/>
      <c r="IQ80" s="73"/>
      <c r="IR80" s="73"/>
      <c r="IS80" s="73"/>
      <c r="IT80" s="73"/>
      <c r="IU80" s="73"/>
      <c r="IV80" s="73"/>
      <c r="IW80" s="73"/>
      <c r="IX80" s="73"/>
      <c r="IY80" s="73"/>
      <c r="IZ80" s="73"/>
      <c r="JA80" s="73"/>
      <c r="JB80" s="73"/>
      <c r="JC80" s="73"/>
    </row>
    <row r="81" spans="1:263" s="13" customFormat="1" ht="12.6" customHeight="1">
      <c r="A81" s="22">
        <v>2022</v>
      </c>
      <c r="B81" s="10">
        <v>41</v>
      </c>
      <c r="C81" s="11" t="s">
        <v>340</v>
      </c>
      <c r="D81" s="133">
        <f t="shared" si="21"/>
        <v>103200</v>
      </c>
      <c r="E81" s="140">
        <f>SUMIFS('Plan rashoda za unos u SAP'!$J$3:$J$501,'Plan rashoda za unos u SAP'!$C$3:$C$501,"=11",'Plan rashoda za unos u SAP'!$N$3:$N$501,"=41")+SUMIFS('ANALITIKA EU PROJEKATA'!$H$3:$H$501,'ANALITIKA EU PROJEKATA'!$A$3:$A$501,"=11",'ANALITIKA EU PROJEKATA'!$Q$3:$Q$501,"=41")</f>
        <v>0</v>
      </c>
      <c r="F81" s="140">
        <f>SUMIFS('Plan rashoda za unos u SAP'!$J$3:$J$501,'Plan rashoda za unos u SAP'!$C$3:$C$501,"=12",'Plan rashoda za unos u SAP'!$N$3:$N$501,"=41")+SUMIFS('ANALITIKA EU PROJEKATA'!$H$3:$H$501,'ANALITIKA EU PROJEKATA'!$A$3:$A$501,"=12",'ANALITIKA EU PROJEKATA'!$Q$3:$Q$501,"=41")</f>
        <v>0</v>
      </c>
      <c r="G81" s="140">
        <f>SUMIFS('Plan rashoda za unos u SAP'!$J$3:$J$501,'Plan rashoda za unos u SAP'!$C$3:$C$501,"=31",'Plan rashoda za unos u SAP'!$N$3:$N$501,"=41")+SUMIFS('ANALITIKA EU PROJEKATA'!$H$3:$H$501,'ANALITIKA EU PROJEKATA'!$A$3:$A$501,"=31",'ANALITIKA EU PROJEKATA'!$Q$3:$Q$501,"=41")</f>
        <v>30900</v>
      </c>
      <c r="H81" s="140">
        <f>SUMIFS('Plan rashoda za unos u SAP'!$J$3:$J$501,'Plan rashoda za unos u SAP'!$C$3:$C$501,"=41",'Plan rashoda za unos u SAP'!$N$3:$N$501,"=41")+SUMIFS('ANALITIKA EU PROJEKATA'!$H$3:$H$501,'ANALITIKA EU PROJEKATA'!$A$3:$A$501,"=41",'ANALITIKA EU PROJEKATA'!$Q$3:$Q$501,"=41")</f>
        <v>0</v>
      </c>
      <c r="I81" s="140">
        <f>SUMIFS('Plan rashoda za unos u SAP'!$J$3:$J$501,'Plan rashoda za unos u SAP'!$C$3:$C$501,"=43",'Plan rashoda za unos u SAP'!$N$3:$N$501,"=41")+SUMIFS('ANALITIKA EU PROJEKATA'!$H$3:$H$501,'ANALITIKA EU PROJEKATA'!$A$3:$A$501,"=43",'ANALITIKA EU PROJEKATA'!$Q$3:$Q$501,"=41")</f>
        <v>72300</v>
      </c>
      <c r="J81" s="140">
        <f>SUMIFS('Plan rashoda za unos u SAP'!$J$3:$J$501,'Plan rashoda za unos u SAP'!$C$3:$C$501,"=51",'Plan rashoda za unos u SAP'!$N$3:$N$501,"=41")+SUMIFS('ANALITIKA EU PROJEKATA'!$H$3:$H$501,'ANALITIKA EU PROJEKATA'!$A$3:$A$501,"=51",'ANALITIKA EU PROJEKATA'!$Q$3:$Q$501,"=41")</f>
        <v>0</v>
      </c>
      <c r="K81" s="140">
        <f>SUMIFS('Plan rashoda za unos u SAP'!$J$3:$J$501,'Plan rashoda za unos u SAP'!$C$3:$C$501,"=52",'Plan rashoda za unos u SAP'!$N$3:$N$501,"=41")+SUMIFS('ANALITIKA EU PROJEKATA'!$H$3:$H$501,'ANALITIKA EU PROJEKATA'!$A$3:$A$501,"=52",'ANALITIKA EU PROJEKATA'!$Q$3:$Q$501,"=41")</f>
        <v>0</v>
      </c>
      <c r="L81" s="140">
        <f>SUMIFS('Plan rashoda za unos u SAP'!$J$3:$J$501,'Plan rashoda za unos u SAP'!$C$3:$C$501,"=552",'Plan rashoda za unos u SAP'!$N$3:$N$501,"=41")+SUMIFS('ANALITIKA EU PROJEKATA'!$H$3:$H$501,'ANALITIKA EU PROJEKATA'!$A$3:$A$501,"=552",'ANALITIKA EU PROJEKATA'!$Q$3:$Q$501,"=41")</f>
        <v>0</v>
      </c>
      <c r="M81" s="140">
        <f>SUMIFS('Plan rashoda za unos u SAP'!$J$3:$J$501,'Plan rashoda za unos u SAP'!$C$3:$C$501,"=559",'Plan rashoda za unos u SAP'!$N$3:$N$501,"=41")+SUMIFS('ANALITIKA EU PROJEKATA'!$H$3:$H$501,'ANALITIKA EU PROJEKATA'!$A$3:$A$501,"=559",'ANALITIKA EU PROJEKATA'!$Q$3:$Q$501,"=41")</f>
        <v>0</v>
      </c>
      <c r="N81" s="140">
        <f>SUMIFS('Plan rashoda za unos u SAP'!$J$3:$J$501,'Plan rashoda za unos u SAP'!$C$3:$C$501,"=561",'Plan rashoda za unos u SAP'!$N$3:$N$501,"=41")+SUMIFS('ANALITIKA EU PROJEKATA'!$H$3:$H$501,'ANALITIKA EU PROJEKATA'!$A$3:$A$501,"=561",'ANALITIKA EU PROJEKATA'!$Q$3:$Q$501,"=41")</f>
        <v>0</v>
      </c>
      <c r="O81" s="140">
        <f>SUMIFS('Plan rashoda za unos u SAP'!$J$3:$J$501,'Plan rashoda za unos u SAP'!$C$3:$C$501,"=563",'Plan rashoda za unos u SAP'!$N$3:$N$501,"=41")+SUMIFS('ANALITIKA EU PROJEKATA'!$H$3:$H$501,'ANALITIKA EU PROJEKATA'!$A$3:$A$501,"=563",'ANALITIKA EU PROJEKATA'!$Q$3:$Q$501,"=41")</f>
        <v>0</v>
      </c>
      <c r="P81" s="140">
        <f>SUMIFS('Plan rashoda za unos u SAP'!$J$3:$J$501,'Plan rashoda za unos u SAP'!$C$3:$C$501,"=573",'Plan rashoda za unos u SAP'!$N$3:$N$501,"=41")+SUMIFS('ANALITIKA EU PROJEKATA'!$H$3:$H$501,'ANALITIKA EU PROJEKATA'!$A$3:$A$501,"=573",'ANALITIKA EU PROJEKATA'!$Q$3:$Q$501,"=41")</f>
        <v>0</v>
      </c>
      <c r="Q81" s="140">
        <f>SUMIFS('Plan rashoda za unos u SAP'!$J$3:$J$501,'Plan rashoda za unos u SAP'!$C$3:$C$501,"=575",'Plan rashoda za unos u SAP'!$N$3:$N$501,"=41")+SUMIFS('ANALITIKA EU PROJEKATA'!$H$3:$H$501,'ANALITIKA EU PROJEKATA'!$A$3:$A$501,"=575",'ANALITIKA EU PROJEKATA'!$Q$3:$Q$501,"=41")</f>
        <v>0</v>
      </c>
      <c r="R81" s="140">
        <f>SUMIFS('Plan rashoda za unos u SAP'!$J$3:$J$501,'Plan rashoda za unos u SAP'!$C$3:$C$501,"=576",'Plan rashoda za unos u SAP'!$N$3:$N$501,"=41")+SUMIFS('ANALITIKA EU PROJEKATA'!$H$3:$H$501,'ANALITIKA EU PROJEKATA'!$A$3:$A$501,"=576",'ANALITIKA EU PROJEKATA'!$Q$3:$Q$501,"=41")</f>
        <v>0</v>
      </c>
      <c r="S81" s="140">
        <f>SUMIFS('Plan rashoda za unos u SAP'!$J$3:$J$501,'Plan rashoda za unos u SAP'!$C$3:$C$501,"=61",'Plan rashoda za unos u SAP'!$N$3:$N$501,"=41")+SUMIFS('ANALITIKA EU PROJEKATA'!$H$3:$H$501,'ANALITIKA EU PROJEKATA'!$A$3:$A$501,"=61",'ANALITIKA EU PROJEKATA'!$Q$3:$Q$501,"=41")</f>
        <v>0</v>
      </c>
      <c r="T81" s="140">
        <f>SUMIFS('Plan rashoda za unos u SAP'!$J$3:$J$501,'Plan rashoda za unos u SAP'!$C$3:$C$501,"=63",'Plan rashoda za unos u SAP'!$N$3:$N$501,"=41")+SUMIFS('ANALITIKA EU PROJEKATA'!$H$3:$H$501,'ANALITIKA EU PROJEKATA'!$A$3:$A$501,"=63",'ANALITIKA EU PROJEKATA'!$Q$3:$Q$501,"=41")</f>
        <v>0</v>
      </c>
      <c r="U81" s="140">
        <f>SUMIFS('Plan rashoda za unos u SAP'!$J$3:$J$501,'Plan rashoda za unos u SAP'!$C$3:$C$501,"=71",'Plan rashoda za unos u SAP'!$N$3:$N$501,"=41")+SUMIFS('ANALITIKA EU PROJEKATA'!$H$3:$H$501,'ANALITIKA EU PROJEKATA'!$A$3:$A$501,"=71",'ANALITIKA EU PROJEKATA'!$Q$3:$Q$501,"=41")</f>
        <v>0</v>
      </c>
      <c r="V81" s="140">
        <f>SUMIFS('Plan rashoda za unos u SAP'!$J$3:$J$501,'Plan rashoda za unos u SAP'!$C$3:$C$501,"=81",'Plan rashoda za unos u SAP'!$N$3:$N$501,"=41")+SUMIFS('ANALITIKA EU PROJEKATA'!$H$3:$H$501,'ANALITIKA EU PROJEKATA'!$A$3:$A$501,"=81",'ANALITIKA EU PROJEKATA'!$Q$3:$Q$501,"=41")</f>
        <v>0</v>
      </c>
      <c r="W81" s="140">
        <f>SUMIFS('Plan rashoda za unos u SAP'!$J$3:$J$501,'Plan rashoda za unos u SAP'!$C$3:$C$501,"=83",'Plan rashoda za unos u SAP'!$N$3:$N$501,"=41")+SUMIFS('ANALITIKA EU PROJEKATA'!$H$3:$H$501,'ANALITIKA EU PROJEKATA'!$A$3:$A$501,"=83",'ANALITIKA EU PROJEKATA'!$Q$3:$Q$501,"=41")</f>
        <v>0</v>
      </c>
      <c r="X81" s="85"/>
      <c r="Y81" s="85"/>
      <c r="Z81" s="85"/>
      <c r="AA81" s="85"/>
      <c r="AB81" s="85"/>
      <c r="AC81" s="85"/>
      <c r="AD81" s="85"/>
      <c r="AE81" s="85"/>
      <c r="AF81" s="85"/>
      <c r="AG81" s="85"/>
      <c r="AH81" s="85"/>
      <c r="AI81" s="85"/>
      <c r="AJ81" s="85"/>
      <c r="AK81" s="85"/>
      <c r="AL81" s="85"/>
      <c r="AM81" s="85"/>
      <c r="AN81" s="85"/>
      <c r="AO81" s="85"/>
      <c r="AP81" s="85"/>
      <c r="AQ81" s="85"/>
      <c r="AR81" s="85"/>
      <c r="AS81" s="85"/>
      <c r="AT81" s="85"/>
      <c r="AU81" s="85"/>
      <c r="AV81" s="85"/>
      <c r="AW81" s="85"/>
      <c r="AX81" s="85"/>
      <c r="AY81" s="85"/>
      <c r="AZ81" s="85"/>
      <c r="BA81" s="85"/>
      <c r="BB81" s="85"/>
      <c r="BC81" s="85"/>
      <c r="BD81" s="85"/>
      <c r="BE81" s="85"/>
      <c r="BF81" s="85"/>
      <c r="BG81" s="85"/>
      <c r="BH81" s="85"/>
      <c r="BI81" s="85"/>
      <c r="BJ81" s="85"/>
      <c r="BK81" s="85"/>
      <c r="BL81" s="85"/>
      <c r="BM81" s="85"/>
      <c r="BN81" s="85"/>
      <c r="BO81" s="85"/>
      <c r="BP81" s="85"/>
      <c r="BQ81" s="85"/>
      <c r="BR81" s="85"/>
      <c r="BS81" s="85"/>
      <c r="BT81" s="85"/>
      <c r="BU81" s="85"/>
      <c r="BV81" s="85"/>
      <c r="BW81" s="85"/>
      <c r="BX81" s="85"/>
      <c r="BY81" s="85"/>
      <c r="BZ81" s="85"/>
      <c r="CA81" s="85"/>
      <c r="CB81" s="85"/>
      <c r="CC81" s="85"/>
      <c r="CD81" s="85"/>
      <c r="CE81" s="85"/>
      <c r="CF81" s="85"/>
      <c r="CG81" s="85"/>
      <c r="CH81" s="85"/>
      <c r="CI81" s="85"/>
      <c r="CJ81" s="85"/>
      <c r="CK81" s="85"/>
      <c r="CL81" s="85"/>
      <c r="CM81" s="85"/>
      <c r="CN81" s="85"/>
      <c r="CO81" s="85"/>
      <c r="CP81" s="85"/>
      <c r="CQ81" s="85"/>
      <c r="CR81" s="85"/>
      <c r="CS81" s="85"/>
      <c r="CT81" s="85"/>
      <c r="CU81" s="85"/>
      <c r="CV81" s="85"/>
      <c r="CW81" s="85"/>
      <c r="CX81" s="85"/>
      <c r="CY81" s="85"/>
      <c r="CZ81" s="85"/>
      <c r="DA81" s="85"/>
      <c r="DB81" s="85"/>
      <c r="DC81" s="85"/>
      <c r="DD81" s="85"/>
      <c r="DE81" s="85"/>
      <c r="DF81" s="85"/>
      <c r="DG81" s="85"/>
      <c r="DH81" s="85"/>
      <c r="DI81" s="85"/>
      <c r="DJ81" s="85"/>
      <c r="DK81" s="85"/>
      <c r="DL81" s="85"/>
      <c r="DM81" s="85"/>
      <c r="DN81" s="85"/>
      <c r="DO81" s="85"/>
      <c r="DP81" s="85"/>
      <c r="DQ81" s="85"/>
      <c r="DR81" s="85"/>
      <c r="DS81" s="85"/>
      <c r="DT81" s="85"/>
      <c r="DU81" s="85"/>
      <c r="DV81" s="85"/>
      <c r="DW81" s="85"/>
      <c r="DX81" s="85"/>
      <c r="DY81" s="85"/>
      <c r="DZ81" s="85"/>
      <c r="EA81" s="85"/>
      <c r="EB81" s="85"/>
      <c r="EC81" s="85"/>
      <c r="ED81" s="85"/>
      <c r="EE81" s="85"/>
      <c r="EF81" s="85"/>
      <c r="EG81" s="85"/>
      <c r="EH81" s="85"/>
      <c r="EI81" s="85"/>
      <c r="EJ81" s="85"/>
      <c r="EK81" s="85"/>
      <c r="EL81" s="85"/>
      <c r="EM81" s="85"/>
      <c r="EN81" s="85"/>
      <c r="EO81" s="85"/>
      <c r="EP81" s="85"/>
      <c r="EQ81" s="85"/>
      <c r="ER81" s="85"/>
      <c r="ES81" s="85"/>
      <c r="ET81" s="85"/>
      <c r="EU81" s="85"/>
      <c r="EV81" s="85"/>
      <c r="EW81" s="85"/>
      <c r="EX81" s="85"/>
      <c r="EY81" s="85"/>
      <c r="EZ81" s="85"/>
      <c r="FA81" s="85"/>
      <c r="FB81" s="85"/>
      <c r="FC81" s="85"/>
      <c r="FD81" s="85"/>
      <c r="FE81" s="85"/>
      <c r="FF81" s="85"/>
      <c r="FG81" s="85"/>
      <c r="FH81" s="85"/>
      <c r="FI81" s="85"/>
      <c r="FJ81" s="85"/>
      <c r="FK81" s="85"/>
      <c r="FL81" s="85"/>
      <c r="FM81" s="85"/>
      <c r="FN81" s="85"/>
      <c r="FO81" s="85"/>
      <c r="FP81" s="85"/>
      <c r="FQ81" s="85"/>
      <c r="FR81" s="85"/>
      <c r="FS81" s="85"/>
      <c r="FT81" s="85"/>
      <c r="FU81" s="85"/>
      <c r="FV81" s="85"/>
      <c r="FW81" s="85"/>
      <c r="FX81" s="85"/>
      <c r="FY81" s="85"/>
      <c r="FZ81" s="85"/>
      <c r="GA81" s="85"/>
      <c r="GB81" s="85"/>
      <c r="GC81" s="85"/>
      <c r="GD81" s="85"/>
      <c r="GE81" s="85"/>
      <c r="GF81" s="85"/>
      <c r="GG81" s="85"/>
      <c r="GH81" s="85"/>
      <c r="GI81" s="85"/>
      <c r="GJ81" s="85"/>
      <c r="GK81" s="85"/>
      <c r="GL81" s="86"/>
      <c r="GM81" s="86"/>
      <c r="GN81" s="86"/>
      <c r="GO81" s="86"/>
      <c r="GP81" s="86"/>
      <c r="GQ81" s="86"/>
      <c r="GR81" s="86"/>
      <c r="GS81" s="86"/>
      <c r="GT81" s="86"/>
      <c r="GU81" s="86"/>
      <c r="GV81" s="86"/>
      <c r="GW81" s="86"/>
      <c r="GX81" s="86"/>
      <c r="GY81" s="86"/>
      <c r="GZ81" s="86"/>
      <c r="HA81" s="86"/>
      <c r="HB81" s="86"/>
      <c r="HC81" s="86"/>
      <c r="HD81" s="86"/>
      <c r="HE81" s="86"/>
      <c r="HF81" s="86"/>
      <c r="HG81" s="86"/>
      <c r="HH81" s="86"/>
      <c r="HI81" s="86"/>
      <c r="HJ81" s="86"/>
      <c r="HK81" s="86"/>
      <c r="HL81" s="86"/>
      <c r="HM81" s="86"/>
      <c r="HN81" s="86"/>
      <c r="HO81" s="86"/>
      <c r="HP81" s="86"/>
      <c r="HQ81" s="86"/>
      <c r="HR81" s="86"/>
      <c r="HS81" s="86"/>
      <c r="HT81" s="86"/>
      <c r="HU81" s="86"/>
      <c r="HV81" s="86"/>
      <c r="HW81" s="86"/>
      <c r="HX81" s="86"/>
      <c r="HY81" s="86"/>
      <c r="HZ81" s="86"/>
      <c r="IA81" s="86"/>
      <c r="IB81" s="86"/>
      <c r="IC81" s="86"/>
      <c r="ID81" s="86"/>
      <c r="IE81" s="86"/>
      <c r="IF81" s="86"/>
      <c r="IG81" s="86"/>
      <c r="IH81" s="86"/>
      <c r="II81" s="86"/>
      <c r="IJ81" s="86"/>
      <c r="IK81" s="86"/>
      <c r="IL81" s="86"/>
      <c r="IM81" s="86"/>
      <c r="IN81" s="86"/>
      <c r="IO81" s="86"/>
      <c r="IP81" s="86"/>
      <c r="IQ81" s="86"/>
      <c r="IR81" s="86"/>
      <c r="IS81" s="86"/>
      <c r="IT81" s="86"/>
      <c r="IU81" s="86"/>
      <c r="IV81" s="86"/>
      <c r="IW81" s="86"/>
      <c r="IX81" s="86"/>
      <c r="IY81" s="86"/>
      <c r="IZ81" s="86"/>
      <c r="JA81" s="86"/>
      <c r="JB81" s="86"/>
      <c r="JC81" s="86"/>
    </row>
    <row r="82" spans="1:263" s="20" customFormat="1" ht="12.6" customHeight="1">
      <c r="A82" s="22">
        <v>2022</v>
      </c>
      <c r="B82" s="84">
        <v>42</v>
      </c>
      <c r="C82" s="15" t="s">
        <v>261</v>
      </c>
      <c r="D82" s="133">
        <f t="shared" si="21"/>
        <v>570650</v>
      </c>
      <c r="E82" s="140">
        <f>SUMIFS('Plan rashoda za unos u SAP'!$J$3:$J$501,'Plan rashoda za unos u SAP'!$C$3:$C$501,"=11",'Plan rashoda za unos u SAP'!$N$3:$N$501,"=42")+SUMIFS('ANALITIKA EU PROJEKATA'!$H$3:$H$501,'ANALITIKA EU PROJEKATA'!$A$3:$A$501,"=11",'ANALITIKA EU PROJEKATA'!$Q$3:$Q$501,"=42")</f>
        <v>172000</v>
      </c>
      <c r="F82" s="140">
        <f>SUMIFS('Plan rashoda za unos u SAP'!$J$3:$J$501,'Plan rashoda za unos u SAP'!$C$3:$C$501,"=12",'Plan rashoda za unos u SAP'!$N$3:$N$501,"=42")+SUMIFS('ANALITIKA EU PROJEKATA'!$H$3:$H$501,'ANALITIKA EU PROJEKATA'!$A$3:$A$501,"=12",'ANALITIKA EU PROJEKATA'!$Q$3:$Q$501,"=42")</f>
        <v>0</v>
      </c>
      <c r="G82" s="140">
        <f>SUMIFS('Plan rashoda za unos u SAP'!$J$3:$J$501,'Plan rashoda za unos u SAP'!$C$3:$C$501,"=31",'Plan rashoda za unos u SAP'!$N$3:$N$501,"=42")+SUMIFS('ANALITIKA EU PROJEKATA'!$H$3:$H$501,'ANALITIKA EU PROJEKATA'!$A$3:$A$501,"=31",'ANALITIKA EU PROJEKATA'!$Q$3:$Q$501,"=42")</f>
        <v>280350</v>
      </c>
      <c r="H82" s="140">
        <f>SUMIFS('Plan rashoda za unos u SAP'!$J$3:$J$501,'Plan rashoda za unos u SAP'!$C$3:$C$501,"=41",'Plan rashoda za unos u SAP'!$N$3:$N$501,"=42")+SUMIFS('ANALITIKA EU PROJEKATA'!$H$3:$H$501,'ANALITIKA EU PROJEKATA'!$A$3:$A$501,"=41",'ANALITIKA EU PROJEKATA'!$Q$3:$Q$501,"=42")</f>
        <v>0</v>
      </c>
      <c r="I82" s="140">
        <f>SUMIFS('Plan rashoda za unos u SAP'!$J$3:$J$501,'Plan rashoda za unos u SAP'!$C$3:$C$501,"=43",'Plan rashoda za unos u SAP'!$N$3:$N$501,"=42")+SUMIFS('ANALITIKA EU PROJEKATA'!$H$3:$H$501,'ANALITIKA EU PROJEKATA'!$A$3:$A$501,"=43",'ANALITIKA EU PROJEKATA'!$Q$3:$Q$501,"=42")</f>
        <v>118300</v>
      </c>
      <c r="J82" s="140">
        <f>SUMIFS('Plan rashoda za unos u SAP'!$J$3:$J$501,'Plan rashoda za unos u SAP'!$C$3:$C$501,"=51",'Plan rashoda za unos u SAP'!$N$3:$N$501,"=42")+SUMIFS('ANALITIKA EU PROJEKATA'!$H$3:$H$501,'ANALITIKA EU PROJEKATA'!$A$3:$A$501,"=51",'ANALITIKA EU PROJEKATA'!$Q$3:$Q$501,"=42")</f>
        <v>0</v>
      </c>
      <c r="K82" s="140">
        <f>SUMIFS('Plan rashoda za unos u SAP'!$J$3:$J$501,'Plan rashoda za unos u SAP'!$C$3:$C$501,"=52",'Plan rashoda za unos u SAP'!$N$3:$N$501,"=42")+SUMIFS('ANALITIKA EU PROJEKATA'!$H$3:$H$501,'ANALITIKA EU PROJEKATA'!$A$3:$A$501,"=52",'ANALITIKA EU PROJEKATA'!$Q$3:$Q$501,"=42")</f>
        <v>0</v>
      </c>
      <c r="L82" s="140">
        <f>SUMIFS('Plan rashoda za unos u SAP'!$J$3:$J$501,'Plan rashoda za unos u SAP'!$C$3:$C$501,"=552",'Plan rashoda za unos u SAP'!$N$3:$N$501,"=42")+SUMIFS('ANALITIKA EU PROJEKATA'!$H$3:$H$501,'ANALITIKA EU PROJEKATA'!$A$3:$A$501,"=552",'ANALITIKA EU PROJEKATA'!$Q$3:$Q$501,"=42")</f>
        <v>0</v>
      </c>
      <c r="M82" s="140">
        <f>SUMIFS('Plan rashoda za unos u SAP'!$J$3:$J$501,'Plan rashoda za unos u SAP'!$C$3:$C$501,"=559",'Plan rashoda za unos u SAP'!$N$3:$N$501,"=42")+SUMIFS('ANALITIKA EU PROJEKATA'!$H$3:$H$501,'ANALITIKA EU PROJEKATA'!$A$3:$A$501,"=559",'ANALITIKA EU PROJEKATA'!$Q$3:$Q$501,"=42")</f>
        <v>0</v>
      </c>
      <c r="N82" s="140">
        <f>SUMIFS('Plan rashoda za unos u SAP'!$J$3:$J$501,'Plan rashoda za unos u SAP'!$C$3:$C$501,"=561",'Plan rashoda za unos u SAP'!$N$3:$N$501,"=42")+SUMIFS('ANALITIKA EU PROJEKATA'!$H$3:$H$501,'ANALITIKA EU PROJEKATA'!$A$3:$A$501,"=561",'ANALITIKA EU PROJEKATA'!$Q$3:$Q$501,"=42")</f>
        <v>0</v>
      </c>
      <c r="O82" s="140">
        <f>SUMIFS('Plan rashoda za unos u SAP'!$J$3:$J$501,'Plan rashoda za unos u SAP'!$C$3:$C$501,"=563",'Plan rashoda za unos u SAP'!$N$3:$N$501,"=42")+SUMIFS('ANALITIKA EU PROJEKATA'!$H$3:$H$501,'ANALITIKA EU PROJEKATA'!$A$3:$A$501,"=563",'ANALITIKA EU PROJEKATA'!$Q$3:$Q$501,"=42")</f>
        <v>0</v>
      </c>
      <c r="P82" s="140">
        <f>SUMIFS('Plan rashoda za unos u SAP'!$J$3:$J$501,'Plan rashoda za unos u SAP'!$C$3:$C$501,"=573",'Plan rashoda za unos u SAP'!$N$3:$N$501,"=42")+SUMIFS('ANALITIKA EU PROJEKATA'!$H$3:$H$501,'ANALITIKA EU PROJEKATA'!$A$3:$A$501,"=573",'ANALITIKA EU PROJEKATA'!$Q$3:$Q$501,"=42")</f>
        <v>0</v>
      </c>
      <c r="Q82" s="140">
        <f>SUMIFS('Plan rashoda za unos u SAP'!$J$3:$J$501,'Plan rashoda za unos u SAP'!$C$3:$C$501,"=575",'Plan rashoda za unos u SAP'!$N$3:$N$501,"=42")+SUMIFS('ANALITIKA EU PROJEKATA'!$H$3:$H$501,'ANALITIKA EU PROJEKATA'!$A$3:$A$501,"=575",'ANALITIKA EU PROJEKATA'!$Q$3:$Q$501,"=42")</f>
        <v>0</v>
      </c>
      <c r="R82" s="140">
        <f>SUMIFS('Plan rashoda za unos u SAP'!$J$3:$J$501,'Plan rashoda za unos u SAP'!$C$3:$C$501,"=576",'Plan rashoda za unos u SAP'!$N$3:$N$501,"=42")+SUMIFS('ANALITIKA EU PROJEKATA'!$H$3:$H$501,'ANALITIKA EU PROJEKATA'!$A$3:$A$501,"=576",'ANALITIKA EU PROJEKATA'!$Q$3:$Q$501,"=42")</f>
        <v>0</v>
      </c>
      <c r="S82" s="140">
        <f>SUMIFS('Plan rashoda za unos u SAP'!$J$3:$J$501,'Plan rashoda za unos u SAP'!$C$3:$C$501,"=61",'Plan rashoda za unos u SAP'!$N$3:$N$501,"=42")+SUMIFS('ANALITIKA EU PROJEKATA'!$H$3:$H$501,'ANALITIKA EU PROJEKATA'!$A$3:$A$501,"=61",'ANALITIKA EU PROJEKATA'!$Q$3:$Q$501,"=42")</f>
        <v>0</v>
      </c>
      <c r="T82" s="140">
        <f>SUMIFS('Plan rashoda za unos u SAP'!$J$3:$J$501,'Plan rashoda za unos u SAP'!$C$3:$C$501,"=63",'Plan rashoda za unos u SAP'!$N$3:$N$501,"=42")+SUMIFS('ANALITIKA EU PROJEKATA'!$H$3:$H$501,'ANALITIKA EU PROJEKATA'!$A$3:$A$501,"=63",'ANALITIKA EU PROJEKATA'!$Q$3:$Q$501,"=42")</f>
        <v>0</v>
      </c>
      <c r="U82" s="140">
        <f>SUMIFS('Plan rashoda za unos u SAP'!$J$3:$J$501,'Plan rashoda za unos u SAP'!$C$3:$C$501,"=71",'Plan rashoda za unos u SAP'!$N$3:$N$501,"=42")+SUMIFS('ANALITIKA EU PROJEKATA'!$H$3:$H$501,'ANALITIKA EU PROJEKATA'!$A$3:$A$501,"=71",'ANALITIKA EU PROJEKATA'!$Q$3:$Q$501,"=42")</f>
        <v>0</v>
      </c>
      <c r="V82" s="140">
        <f>SUMIFS('Plan rashoda za unos u SAP'!$J$3:$J$501,'Plan rashoda za unos u SAP'!$C$3:$C$501,"=81",'Plan rashoda za unos u SAP'!$N$3:$N$501,"=42")+SUMIFS('ANALITIKA EU PROJEKATA'!$H$3:$H$501,'ANALITIKA EU PROJEKATA'!$A$3:$A$501,"=81",'ANALITIKA EU PROJEKATA'!$Q$3:$Q$501,"=42")</f>
        <v>0</v>
      </c>
      <c r="W82" s="140">
        <f>SUMIFS('Plan rashoda za unos u SAP'!$J$3:$J$501,'Plan rashoda za unos u SAP'!$C$3:$C$501,"=83",'Plan rashoda za unos u SAP'!$N$3:$N$501,"=42")+SUMIFS('ANALITIKA EU PROJEKATA'!$H$3:$H$501,'ANALITIKA EU PROJEKATA'!$A$3:$A$501,"=83",'ANALITIKA EU PROJEKATA'!$Q$3:$Q$501,"=42")</f>
        <v>0</v>
      </c>
      <c r="X82" s="85"/>
      <c r="Y82" s="85"/>
      <c r="Z82" s="85"/>
      <c r="AA82" s="85"/>
      <c r="AB82" s="85"/>
      <c r="AC82" s="85"/>
      <c r="AD82" s="85"/>
      <c r="AE82" s="85"/>
      <c r="AF82" s="85"/>
      <c r="AG82" s="85"/>
      <c r="AH82" s="85"/>
      <c r="AI82" s="85"/>
      <c r="AJ82" s="85"/>
      <c r="AK82" s="85"/>
      <c r="AL82" s="85"/>
      <c r="AM82" s="85"/>
      <c r="AN82" s="85"/>
      <c r="AO82" s="85"/>
      <c r="AP82" s="85"/>
      <c r="AQ82" s="85"/>
      <c r="AR82" s="85"/>
      <c r="AS82" s="85"/>
      <c r="AT82" s="85"/>
      <c r="AU82" s="85"/>
      <c r="AV82" s="85"/>
      <c r="AW82" s="85"/>
      <c r="AX82" s="85"/>
      <c r="AY82" s="85"/>
      <c r="AZ82" s="85"/>
      <c r="BA82" s="85"/>
      <c r="BB82" s="85"/>
      <c r="BC82" s="85"/>
      <c r="BD82" s="85"/>
      <c r="BE82" s="85"/>
      <c r="BF82" s="85"/>
      <c r="BG82" s="85"/>
      <c r="BH82" s="85"/>
      <c r="BI82" s="85"/>
      <c r="BJ82" s="85"/>
      <c r="BK82" s="85"/>
      <c r="BL82" s="85"/>
      <c r="BM82" s="85"/>
      <c r="BN82" s="85"/>
      <c r="BO82" s="85"/>
      <c r="BP82" s="85"/>
      <c r="BQ82" s="85"/>
      <c r="BR82" s="85"/>
      <c r="BS82" s="85"/>
      <c r="BT82" s="85"/>
      <c r="BU82" s="85"/>
      <c r="BV82" s="85"/>
      <c r="BW82" s="85"/>
      <c r="BX82" s="85"/>
      <c r="BY82" s="85"/>
      <c r="BZ82" s="85"/>
      <c r="CA82" s="85"/>
      <c r="CB82" s="85"/>
      <c r="CC82" s="85"/>
      <c r="CD82" s="85"/>
      <c r="CE82" s="85"/>
      <c r="CF82" s="85"/>
      <c r="CG82" s="85"/>
      <c r="CH82" s="85"/>
      <c r="CI82" s="85"/>
      <c r="CJ82" s="85"/>
      <c r="CK82" s="85"/>
      <c r="CL82" s="85"/>
      <c r="CM82" s="85"/>
      <c r="CN82" s="85"/>
      <c r="CO82" s="85"/>
      <c r="CP82" s="85"/>
      <c r="CQ82" s="85"/>
      <c r="CR82" s="85"/>
      <c r="CS82" s="85"/>
      <c r="CT82" s="85"/>
      <c r="CU82" s="85"/>
      <c r="CV82" s="85"/>
      <c r="CW82" s="85"/>
      <c r="CX82" s="85"/>
      <c r="CY82" s="85"/>
      <c r="CZ82" s="85"/>
      <c r="DA82" s="85"/>
      <c r="DB82" s="85"/>
      <c r="DC82" s="85"/>
      <c r="DD82" s="85"/>
      <c r="DE82" s="85"/>
      <c r="DF82" s="85"/>
      <c r="DG82" s="85"/>
      <c r="DH82" s="85"/>
      <c r="DI82" s="85"/>
      <c r="DJ82" s="85"/>
      <c r="DK82" s="85"/>
      <c r="DL82" s="85"/>
      <c r="DM82" s="85"/>
      <c r="DN82" s="85"/>
      <c r="DO82" s="85"/>
      <c r="DP82" s="85"/>
      <c r="DQ82" s="85"/>
      <c r="DR82" s="85"/>
      <c r="DS82" s="85"/>
      <c r="DT82" s="85"/>
      <c r="DU82" s="85"/>
      <c r="DV82" s="85"/>
      <c r="DW82" s="85"/>
      <c r="DX82" s="85"/>
      <c r="DY82" s="85"/>
      <c r="DZ82" s="85"/>
      <c r="EA82" s="85"/>
      <c r="EB82" s="85"/>
      <c r="EC82" s="85"/>
      <c r="ED82" s="85"/>
      <c r="EE82" s="85"/>
      <c r="EF82" s="85"/>
      <c r="EG82" s="85"/>
      <c r="EH82" s="85"/>
      <c r="EI82" s="85"/>
      <c r="EJ82" s="85"/>
      <c r="EK82" s="85"/>
      <c r="EL82" s="85"/>
      <c r="EM82" s="85"/>
      <c r="EN82" s="85"/>
      <c r="EO82" s="85"/>
      <c r="EP82" s="85"/>
      <c r="EQ82" s="85"/>
      <c r="ER82" s="85"/>
      <c r="ES82" s="85"/>
      <c r="ET82" s="85"/>
      <c r="EU82" s="85"/>
      <c r="EV82" s="85"/>
      <c r="EW82" s="85"/>
      <c r="EX82" s="85"/>
      <c r="EY82" s="85"/>
      <c r="EZ82" s="85"/>
      <c r="FA82" s="85"/>
      <c r="FB82" s="85"/>
      <c r="FC82" s="85"/>
      <c r="FD82" s="85"/>
      <c r="FE82" s="85"/>
      <c r="FF82" s="85"/>
      <c r="FG82" s="85"/>
      <c r="FH82" s="85"/>
      <c r="FI82" s="85"/>
      <c r="FJ82" s="85"/>
      <c r="FK82" s="85"/>
      <c r="FL82" s="85"/>
      <c r="FM82" s="85"/>
      <c r="FN82" s="85"/>
      <c r="FO82" s="85"/>
      <c r="FP82" s="85"/>
      <c r="FQ82" s="85"/>
      <c r="FR82" s="85"/>
      <c r="FS82" s="85"/>
      <c r="FT82" s="85"/>
      <c r="FU82" s="85"/>
      <c r="FV82" s="85"/>
      <c r="FW82" s="85"/>
      <c r="FX82" s="85"/>
      <c r="FY82" s="85"/>
      <c r="FZ82" s="85"/>
      <c r="GA82" s="85"/>
      <c r="GB82" s="85"/>
      <c r="GC82" s="85"/>
      <c r="GD82" s="85"/>
      <c r="GE82" s="85"/>
      <c r="GF82" s="85"/>
      <c r="GG82" s="85"/>
      <c r="GH82" s="85"/>
      <c r="GI82" s="85"/>
      <c r="GJ82" s="85"/>
      <c r="GK82" s="85"/>
      <c r="GL82" s="86"/>
      <c r="GM82" s="86"/>
      <c r="GN82" s="86"/>
      <c r="GO82" s="86"/>
      <c r="GP82" s="86"/>
      <c r="GQ82" s="86"/>
      <c r="GR82" s="86"/>
      <c r="GS82" s="86"/>
      <c r="GT82" s="86"/>
      <c r="GU82" s="86"/>
      <c r="GV82" s="86"/>
      <c r="GW82" s="86"/>
      <c r="GX82" s="86"/>
      <c r="GY82" s="86"/>
      <c r="GZ82" s="86"/>
      <c r="HA82" s="86"/>
      <c r="HB82" s="86"/>
      <c r="HC82" s="86"/>
      <c r="HD82" s="86"/>
      <c r="HE82" s="86"/>
      <c r="HF82" s="86"/>
      <c r="HG82" s="86"/>
      <c r="HH82" s="86"/>
      <c r="HI82" s="86"/>
      <c r="HJ82" s="86"/>
      <c r="HK82" s="86"/>
      <c r="HL82" s="86"/>
      <c r="HM82" s="86"/>
      <c r="HN82" s="86"/>
      <c r="HO82" s="86"/>
      <c r="HP82" s="86"/>
      <c r="HQ82" s="86"/>
      <c r="HR82" s="86"/>
      <c r="HS82" s="86"/>
      <c r="HT82" s="86"/>
      <c r="HU82" s="86"/>
      <c r="HV82" s="86"/>
      <c r="HW82" s="86"/>
      <c r="HX82" s="86"/>
      <c r="HY82" s="86"/>
      <c r="HZ82" s="86"/>
      <c r="IA82" s="86"/>
      <c r="IB82" s="86"/>
      <c r="IC82" s="86"/>
      <c r="ID82" s="86"/>
      <c r="IE82" s="86"/>
      <c r="IF82" s="86"/>
      <c r="IG82" s="86"/>
      <c r="IH82" s="86"/>
      <c r="II82" s="86"/>
      <c r="IJ82" s="86"/>
      <c r="IK82" s="86"/>
      <c r="IL82" s="86"/>
      <c r="IM82" s="86"/>
      <c r="IN82" s="86"/>
      <c r="IO82" s="86"/>
      <c r="IP82" s="86"/>
      <c r="IQ82" s="86"/>
      <c r="IR82" s="86"/>
      <c r="IS82" s="86"/>
      <c r="IT82" s="86"/>
      <c r="IU82" s="86"/>
      <c r="IV82" s="86"/>
      <c r="IW82" s="86"/>
      <c r="IX82" s="86"/>
      <c r="IY82" s="86"/>
      <c r="IZ82" s="86"/>
      <c r="JA82" s="86"/>
      <c r="JB82" s="86"/>
      <c r="JC82" s="86"/>
    </row>
    <row r="83" spans="1:263" s="13" customFormat="1" ht="12.6" customHeight="1">
      <c r="A83" s="22">
        <v>2022</v>
      </c>
      <c r="B83" s="10">
        <v>43</v>
      </c>
      <c r="C83" s="11" t="s">
        <v>344</v>
      </c>
      <c r="D83" s="133">
        <f t="shared" si="21"/>
        <v>0</v>
      </c>
      <c r="E83" s="140">
        <f>SUMIFS('Plan rashoda za unos u SAP'!$J$3:$J$501,'Plan rashoda za unos u SAP'!$C$3:$C$501,"=11",'Plan rashoda za unos u SAP'!$N$3:$N$501,"=43")+SUMIFS('ANALITIKA EU PROJEKATA'!$H$3:$H$501,'ANALITIKA EU PROJEKATA'!$A$3:$A$501,"=11",'ANALITIKA EU PROJEKATA'!$Q$3:$Q$501,"=43")</f>
        <v>0</v>
      </c>
      <c r="F83" s="140">
        <f>SUMIFS('Plan rashoda za unos u SAP'!$J$3:$J$501,'Plan rashoda za unos u SAP'!$C$3:$C$501,"=12",'Plan rashoda za unos u SAP'!$N$3:$N$501,"=43")+SUMIFS('ANALITIKA EU PROJEKATA'!$H$3:$H$501,'ANALITIKA EU PROJEKATA'!$A$3:$A$501,"=12",'ANALITIKA EU PROJEKATA'!$Q$3:$Q$501,"=43")</f>
        <v>0</v>
      </c>
      <c r="G83" s="140">
        <f>SUMIFS('Plan rashoda za unos u SAP'!$J$3:$J$501,'Plan rashoda za unos u SAP'!$C$3:$C$501,"=31",'Plan rashoda za unos u SAP'!$N$3:$N$501,"=43")+SUMIFS('ANALITIKA EU PROJEKATA'!$H$3:$H$501,'ANALITIKA EU PROJEKATA'!$A$3:$A$501,"=31",'ANALITIKA EU PROJEKATA'!$Q$3:$Q$501,"=43")</f>
        <v>0</v>
      </c>
      <c r="H83" s="140">
        <f>SUMIFS('Plan rashoda za unos u SAP'!$J$3:$J$501,'Plan rashoda za unos u SAP'!$C$3:$C$501,"=41",'Plan rashoda za unos u SAP'!$N$3:$N$501,"=43")+SUMIFS('ANALITIKA EU PROJEKATA'!$H$3:$H$501,'ANALITIKA EU PROJEKATA'!$A$3:$A$501,"=41",'ANALITIKA EU PROJEKATA'!$Q$3:$Q$501,"=43")</f>
        <v>0</v>
      </c>
      <c r="I83" s="140">
        <f>SUMIFS('Plan rashoda za unos u SAP'!$J$3:$J$501,'Plan rashoda za unos u SAP'!$C$3:$C$501,"=43",'Plan rashoda za unos u SAP'!$N$3:$N$501,"=43")+SUMIFS('ANALITIKA EU PROJEKATA'!$H$3:$H$501,'ANALITIKA EU PROJEKATA'!$A$3:$A$501,"=43",'ANALITIKA EU PROJEKATA'!$Q$3:$Q$501,"=43")</f>
        <v>0</v>
      </c>
      <c r="J83" s="140">
        <f>SUMIFS('Plan rashoda za unos u SAP'!$J$3:$J$501,'Plan rashoda za unos u SAP'!$C$3:$C$501,"=51",'Plan rashoda za unos u SAP'!$N$3:$N$501,"=43")+SUMIFS('ANALITIKA EU PROJEKATA'!$H$3:$H$501,'ANALITIKA EU PROJEKATA'!$A$3:$A$501,"=51",'ANALITIKA EU PROJEKATA'!$Q$3:$Q$501,"=43")</f>
        <v>0</v>
      </c>
      <c r="K83" s="140">
        <f>SUMIFS('Plan rashoda za unos u SAP'!$J$3:$J$501,'Plan rashoda za unos u SAP'!$C$3:$C$501,"=52",'Plan rashoda za unos u SAP'!$N$3:$N$501,"=43")+SUMIFS('ANALITIKA EU PROJEKATA'!$H$3:$H$501,'ANALITIKA EU PROJEKATA'!$A$3:$A$501,"=52",'ANALITIKA EU PROJEKATA'!$Q$3:$Q$501,"=43")</f>
        <v>0</v>
      </c>
      <c r="L83" s="140">
        <f>SUMIFS('Plan rashoda za unos u SAP'!$J$3:$J$501,'Plan rashoda za unos u SAP'!$C$3:$C$501,"=552",'Plan rashoda za unos u SAP'!$N$3:$N$501,"=43")+SUMIFS('ANALITIKA EU PROJEKATA'!$H$3:$H$501,'ANALITIKA EU PROJEKATA'!$A$3:$A$501,"=552",'ANALITIKA EU PROJEKATA'!$Q$3:$Q$501,"=43")</f>
        <v>0</v>
      </c>
      <c r="M83" s="140">
        <f>SUMIFS('Plan rashoda za unos u SAP'!$J$3:$J$501,'Plan rashoda za unos u SAP'!$C$3:$C$501,"=559",'Plan rashoda za unos u SAP'!$N$3:$N$501,"=43")+SUMIFS('ANALITIKA EU PROJEKATA'!$H$3:$H$501,'ANALITIKA EU PROJEKATA'!$A$3:$A$501,"=559",'ANALITIKA EU PROJEKATA'!$Q$3:$Q$501,"=43")</f>
        <v>0</v>
      </c>
      <c r="N83" s="140">
        <f>SUMIFS('Plan rashoda za unos u SAP'!$J$3:$J$501,'Plan rashoda za unos u SAP'!$C$3:$C$501,"=561",'Plan rashoda za unos u SAP'!$N$3:$N$501,"=43")+SUMIFS('ANALITIKA EU PROJEKATA'!$H$3:$H$501,'ANALITIKA EU PROJEKATA'!$A$3:$A$501,"=561",'ANALITIKA EU PROJEKATA'!$Q$3:$Q$501,"=43")</f>
        <v>0</v>
      </c>
      <c r="O83" s="140">
        <f>SUMIFS('Plan rashoda za unos u SAP'!$J$3:$J$501,'Plan rashoda za unos u SAP'!$C$3:$C$501,"=563",'Plan rashoda za unos u SAP'!$N$3:$N$501,"=43")+SUMIFS('ANALITIKA EU PROJEKATA'!$H$3:$H$501,'ANALITIKA EU PROJEKATA'!$A$3:$A$501,"=563",'ANALITIKA EU PROJEKATA'!$Q$3:$Q$501,"=43")</f>
        <v>0</v>
      </c>
      <c r="P83" s="140">
        <f>SUMIFS('Plan rashoda za unos u SAP'!$J$3:$J$501,'Plan rashoda za unos u SAP'!$C$3:$C$501,"=573",'Plan rashoda za unos u SAP'!$N$3:$N$501,"=43")+SUMIFS('ANALITIKA EU PROJEKATA'!$H$3:$H$501,'ANALITIKA EU PROJEKATA'!$A$3:$A$501,"=573",'ANALITIKA EU PROJEKATA'!$Q$3:$Q$501,"=43")</f>
        <v>0</v>
      </c>
      <c r="Q83" s="140">
        <f>SUMIFS('Plan rashoda za unos u SAP'!$J$3:$J$501,'Plan rashoda za unos u SAP'!$C$3:$C$501,"=575",'Plan rashoda za unos u SAP'!$N$3:$N$501,"=43")+SUMIFS('ANALITIKA EU PROJEKATA'!$H$3:$H$501,'ANALITIKA EU PROJEKATA'!$A$3:$A$501,"=575",'ANALITIKA EU PROJEKATA'!$Q$3:$Q$501,"=43")</f>
        <v>0</v>
      </c>
      <c r="R83" s="140">
        <f>SUMIFS('Plan rashoda za unos u SAP'!$J$3:$J$501,'Plan rashoda za unos u SAP'!$C$3:$C$501,"=576",'Plan rashoda za unos u SAP'!$N$3:$N$501,"=43")+SUMIFS('ANALITIKA EU PROJEKATA'!$H$3:$H$501,'ANALITIKA EU PROJEKATA'!$A$3:$A$501,"=576",'ANALITIKA EU PROJEKATA'!$Q$3:$Q$501,"=43")</f>
        <v>0</v>
      </c>
      <c r="S83" s="140">
        <f>SUMIFS('Plan rashoda za unos u SAP'!$J$3:$J$501,'Plan rashoda za unos u SAP'!$C$3:$C$501,"=61",'Plan rashoda za unos u SAP'!$N$3:$N$501,"=43")+SUMIFS('ANALITIKA EU PROJEKATA'!$H$3:$H$501,'ANALITIKA EU PROJEKATA'!$A$3:$A$501,"=61",'ANALITIKA EU PROJEKATA'!$Q$3:$Q$501,"=43")</f>
        <v>0</v>
      </c>
      <c r="T83" s="140">
        <f>SUMIFS('Plan rashoda za unos u SAP'!$J$3:$J$501,'Plan rashoda za unos u SAP'!$C$3:$C$501,"=63",'Plan rashoda za unos u SAP'!$N$3:$N$501,"=43")+SUMIFS('ANALITIKA EU PROJEKATA'!$H$3:$H$501,'ANALITIKA EU PROJEKATA'!$A$3:$A$501,"=63",'ANALITIKA EU PROJEKATA'!$Q$3:$Q$501,"=43")</f>
        <v>0</v>
      </c>
      <c r="U83" s="140">
        <f>SUMIFS('Plan rashoda za unos u SAP'!$J$3:$J$501,'Plan rashoda za unos u SAP'!$C$3:$C$501,"=71",'Plan rashoda za unos u SAP'!$N$3:$N$501,"=43")+SUMIFS('ANALITIKA EU PROJEKATA'!$H$3:$H$501,'ANALITIKA EU PROJEKATA'!$A$3:$A$501,"=71",'ANALITIKA EU PROJEKATA'!$Q$3:$Q$501,"=43")</f>
        <v>0</v>
      </c>
      <c r="V83" s="140">
        <f>SUMIFS('Plan rashoda za unos u SAP'!$J$3:$J$501,'Plan rashoda za unos u SAP'!$C$3:$C$501,"=81",'Plan rashoda za unos u SAP'!$N$3:$N$501,"=43")+SUMIFS('ANALITIKA EU PROJEKATA'!$H$3:$H$501,'ANALITIKA EU PROJEKATA'!$A$3:$A$501,"=81",'ANALITIKA EU PROJEKATA'!$Q$3:$Q$501,"=43")</f>
        <v>0</v>
      </c>
      <c r="W83" s="140">
        <f>SUMIFS('Plan rashoda za unos u SAP'!$J$3:$J$501,'Plan rashoda za unos u SAP'!$C$3:$C$501,"=83",'Plan rashoda za unos u SAP'!$N$3:$N$501,"=43")+SUMIFS('ANALITIKA EU PROJEKATA'!$H$3:$H$501,'ANALITIKA EU PROJEKATA'!$A$3:$A$501,"=83",'ANALITIKA EU PROJEKATA'!$Q$3:$Q$501,"=43")</f>
        <v>0</v>
      </c>
      <c r="X83" s="79"/>
      <c r="Y83" s="79"/>
      <c r="Z83" s="79"/>
      <c r="AA83" s="79"/>
      <c r="AB83" s="79"/>
      <c r="AC83" s="79"/>
      <c r="AD83" s="79"/>
      <c r="AE83" s="79"/>
      <c r="AF83" s="79"/>
      <c r="AG83" s="79"/>
      <c r="AH83" s="79"/>
      <c r="AI83" s="79"/>
      <c r="AJ83" s="79"/>
      <c r="AK83" s="79"/>
      <c r="AL83" s="79"/>
      <c r="AM83" s="79"/>
      <c r="AN83" s="79"/>
      <c r="AO83" s="79"/>
      <c r="AP83" s="79"/>
      <c r="AQ83" s="79"/>
      <c r="AR83" s="79"/>
      <c r="AS83" s="79"/>
      <c r="AT83" s="79"/>
      <c r="AU83" s="79"/>
      <c r="AV83" s="79"/>
      <c r="AW83" s="79"/>
      <c r="AX83" s="79"/>
      <c r="AY83" s="79"/>
      <c r="AZ83" s="79"/>
      <c r="BA83" s="79"/>
      <c r="BB83" s="79"/>
      <c r="BC83" s="79"/>
      <c r="BD83" s="79"/>
      <c r="BE83" s="79"/>
      <c r="BF83" s="79"/>
      <c r="BG83" s="79"/>
      <c r="BH83" s="79"/>
      <c r="BI83" s="79"/>
      <c r="BJ83" s="79"/>
      <c r="BK83" s="79"/>
      <c r="BL83" s="79"/>
      <c r="BM83" s="79"/>
      <c r="BN83" s="79"/>
      <c r="BO83" s="79"/>
      <c r="BP83" s="79"/>
      <c r="BQ83" s="79"/>
      <c r="BR83" s="79"/>
      <c r="BS83" s="79"/>
      <c r="BT83" s="79"/>
      <c r="BU83" s="79"/>
      <c r="BV83" s="79"/>
      <c r="BW83" s="79"/>
      <c r="BX83" s="79"/>
      <c r="BY83" s="79"/>
      <c r="BZ83" s="79"/>
      <c r="CA83" s="79"/>
      <c r="CB83" s="79"/>
      <c r="CC83" s="79"/>
      <c r="CD83" s="79"/>
      <c r="CE83" s="79"/>
      <c r="CF83" s="79"/>
      <c r="CG83" s="79"/>
      <c r="CH83" s="79"/>
      <c r="CI83" s="79"/>
      <c r="CJ83" s="79"/>
      <c r="CK83" s="79"/>
      <c r="CL83" s="79"/>
      <c r="CM83" s="79"/>
      <c r="CN83" s="79"/>
      <c r="CO83" s="79"/>
      <c r="CP83" s="79"/>
      <c r="CQ83" s="79"/>
      <c r="CR83" s="79"/>
      <c r="CS83" s="79"/>
      <c r="CT83" s="79"/>
      <c r="CU83" s="79"/>
      <c r="CV83" s="79"/>
      <c r="CW83" s="79"/>
      <c r="CX83" s="79"/>
      <c r="CY83" s="79"/>
      <c r="CZ83" s="79"/>
      <c r="DA83" s="79"/>
      <c r="DB83" s="79"/>
      <c r="DC83" s="79"/>
      <c r="DD83" s="79"/>
      <c r="DE83" s="79"/>
      <c r="DF83" s="79"/>
      <c r="DG83" s="79"/>
      <c r="DH83" s="79"/>
      <c r="DI83" s="79"/>
      <c r="DJ83" s="79"/>
      <c r="DK83" s="79"/>
      <c r="DL83" s="79"/>
      <c r="DM83" s="79"/>
      <c r="DN83" s="79"/>
      <c r="DO83" s="79"/>
      <c r="DP83" s="79"/>
      <c r="DQ83" s="79"/>
      <c r="DR83" s="79"/>
      <c r="DS83" s="79"/>
      <c r="DT83" s="79"/>
      <c r="DU83" s="79"/>
      <c r="DV83" s="79"/>
      <c r="DW83" s="79"/>
      <c r="DX83" s="79"/>
      <c r="DY83" s="79"/>
      <c r="DZ83" s="79"/>
      <c r="EA83" s="79"/>
      <c r="EB83" s="79"/>
      <c r="EC83" s="79"/>
      <c r="ED83" s="79"/>
      <c r="EE83" s="79"/>
      <c r="EF83" s="79"/>
      <c r="EG83" s="79"/>
      <c r="EH83" s="79"/>
      <c r="EI83" s="79"/>
      <c r="EJ83" s="79"/>
      <c r="EK83" s="79"/>
      <c r="EL83" s="79"/>
      <c r="EM83" s="79"/>
      <c r="EN83" s="79"/>
      <c r="EO83" s="79"/>
      <c r="EP83" s="79"/>
      <c r="EQ83" s="79"/>
      <c r="ER83" s="79"/>
      <c r="ES83" s="79"/>
      <c r="ET83" s="79"/>
      <c r="EU83" s="79"/>
      <c r="EV83" s="79"/>
      <c r="EW83" s="79"/>
      <c r="EX83" s="79"/>
      <c r="EY83" s="79"/>
      <c r="EZ83" s="79"/>
      <c r="FA83" s="79"/>
      <c r="FB83" s="79"/>
      <c r="FC83" s="79"/>
      <c r="FD83" s="79"/>
      <c r="FE83" s="79"/>
      <c r="FF83" s="79"/>
      <c r="FG83" s="79"/>
      <c r="FH83" s="79"/>
      <c r="FI83" s="79"/>
      <c r="FJ83" s="79"/>
      <c r="FK83" s="79"/>
      <c r="FL83" s="79"/>
      <c r="FM83" s="79"/>
      <c r="FN83" s="79"/>
      <c r="FO83" s="79"/>
      <c r="FP83" s="79"/>
      <c r="FQ83" s="79"/>
      <c r="FR83" s="79"/>
      <c r="FS83" s="79"/>
      <c r="FT83" s="79"/>
      <c r="FU83" s="79"/>
      <c r="FV83" s="79"/>
      <c r="FW83" s="79"/>
      <c r="FX83" s="79"/>
      <c r="FY83" s="79"/>
      <c r="FZ83" s="79"/>
      <c r="GA83" s="79"/>
      <c r="GB83" s="79"/>
      <c r="GC83" s="79"/>
      <c r="GD83" s="79"/>
      <c r="GE83" s="79"/>
      <c r="GF83" s="79"/>
      <c r="GG83" s="79"/>
      <c r="GH83" s="79"/>
      <c r="GI83" s="79"/>
      <c r="GJ83" s="79"/>
      <c r="GK83" s="79"/>
      <c r="GL83" s="80"/>
      <c r="GM83" s="80"/>
      <c r="GN83" s="80"/>
      <c r="GO83" s="80"/>
      <c r="GP83" s="80"/>
      <c r="GQ83" s="80"/>
      <c r="GR83" s="80"/>
      <c r="GS83" s="80"/>
      <c r="GT83" s="80"/>
      <c r="GU83" s="80"/>
      <c r="GV83" s="80"/>
      <c r="GW83" s="80"/>
      <c r="GX83" s="80"/>
      <c r="GY83" s="80"/>
      <c r="GZ83" s="80"/>
      <c r="HA83" s="80"/>
      <c r="HB83" s="80"/>
      <c r="HC83" s="80"/>
      <c r="HD83" s="80"/>
      <c r="HE83" s="80"/>
      <c r="HF83" s="80"/>
      <c r="HG83" s="80"/>
      <c r="HH83" s="80"/>
      <c r="HI83" s="80"/>
      <c r="HJ83" s="80"/>
      <c r="HK83" s="80"/>
      <c r="HL83" s="80"/>
      <c r="HM83" s="80"/>
      <c r="HN83" s="80"/>
      <c r="HO83" s="80"/>
      <c r="HP83" s="80"/>
      <c r="HQ83" s="80"/>
      <c r="HR83" s="80"/>
      <c r="HS83" s="80"/>
      <c r="HT83" s="80"/>
      <c r="HU83" s="80"/>
      <c r="HV83" s="80"/>
      <c r="HW83" s="80"/>
      <c r="HX83" s="80"/>
      <c r="HY83" s="80"/>
      <c r="HZ83" s="80"/>
      <c r="IA83" s="80"/>
      <c r="IB83" s="80"/>
      <c r="IC83" s="80"/>
      <c r="ID83" s="80"/>
      <c r="IE83" s="80"/>
      <c r="IF83" s="80"/>
      <c r="IG83" s="80"/>
      <c r="IH83" s="80"/>
      <c r="II83" s="80"/>
      <c r="IJ83" s="80"/>
      <c r="IK83" s="80"/>
      <c r="IL83" s="80"/>
      <c r="IM83" s="80"/>
      <c r="IN83" s="80"/>
      <c r="IO83" s="80"/>
      <c r="IP83" s="80"/>
      <c r="IQ83" s="80"/>
      <c r="IR83" s="80"/>
      <c r="IS83" s="80"/>
      <c r="IT83" s="80"/>
      <c r="IU83" s="80"/>
      <c r="IV83" s="80"/>
      <c r="IW83" s="80"/>
      <c r="IX83" s="80"/>
      <c r="IY83" s="80"/>
      <c r="IZ83" s="80"/>
      <c r="JA83" s="80"/>
      <c r="JB83" s="80"/>
      <c r="JC83" s="80"/>
    </row>
    <row r="84" spans="1:263" s="13" customFormat="1" ht="12.6" customHeight="1">
      <c r="A84" s="22">
        <v>2022</v>
      </c>
      <c r="B84" s="10">
        <v>44</v>
      </c>
      <c r="C84" s="11" t="s">
        <v>345</v>
      </c>
      <c r="D84" s="133">
        <f t="shared" si="21"/>
        <v>0</v>
      </c>
      <c r="E84" s="140">
        <f>SUMIFS('Plan rashoda za unos u SAP'!$J$3:$J$501,'Plan rashoda za unos u SAP'!$C$3:$C$501,"=11",'Plan rashoda za unos u SAP'!$N$3:$N$501,"=44")+SUMIFS('ANALITIKA EU PROJEKATA'!$H$3:$H$501,'ANALITIKA EU PROJEKATA'!$A$3:$A$501,"=11",'ANALITIKA EU PROJEKATA'!$Q$3:$Q$501,"=44")</f>
        <v>0</v>
      </c>
      <c r="F84" s="140">
        <f>SUMIFS('Plan rashoda za unos u SAP'!$J$3:$J$501,'Plan rashoda za unos u SAP'!$C$3:$C$501,"=12",'Plan rashoda za unos u SAP'!$N$3:$N$501,"=44")+SUMIFS('ANALITIKA EU PROJEKATA'!$H$3:$H$501,'ANALITIKA EU PROJEKATA'!$A$3:$A$501,"=12",'ANALITIKA EU PROJEKATA'!$Q$3:$Q$501,"=44")</f>
        <v>0</v>
      </c>
      <c r="G84" s="140">
        <f>SUMIFS('Plan rashoda za unos u SAP'!$J$3:$J$501,'Plan rashoda za unos u SAP'!$C$3:$C$501,"=31",'Plan rashoda za unos u SAP'!$N$3:$N$501,"=44")+SUMIFS('ANALITIKA EU PROJEKATA'!$H$3:$H$501,'ANALITIKA EU PROJEKATA'!$A$3:$A$501,"=31",'ANALITIKA EU PROJEKATA'!$Q$3:$Q$501,"=44")</f>
        <v>0</v>
      </c>
      <c r="H84" s="140">
        <f>SUMIFS('Plan rashoda za unos u SAP'!$J$3:$J$501,'Plan rashoda za unos u SAP'!$C$3:$C$501,"=41",'Plan rashoda za unos u SAP'!$N$3:$N$501,"=44")+SUMIFS('ANALITIKA EU PROJEKATA'!$H$3:$H$501,'ANALITIKA EU PROJEKATA'!$A$3:$A$501,"=41",'ANALITIKA EU PROJEKATA'!$Q$3:$Q$501,"=44")</f>
        <v>0</v>
      </c>
      <c r="I84" s="140">
        <f>SUMIFS('Plan rashoda za unos u SAP'!$J$3:$J$501,'Plan rashoda za unos u SAP'!$C$3:$C$501,"=43",'Plan rashoda za unos u SAP'!$N$3:$N$501,"=44")+SUMIFS('ANALITIKA EU PROJEKATA'!$H$3:$H$501,'ANALITIKA EU PROJEKATA'!$A$3:$A$501,"=43",'ANALITIKA EU PROJEKATA'!$Q$3:$Q$501,"=44")</f>
        <v>0</v>
      </c>
      <c r="J84" s="140">
        <f>SUMIFS('Plan rashoda za unos u SAP'!$J$3:$J$501,'Plan rashoda za unos u SAP'!$C$3:$C$501,"=51",'Plan rashoda za unos u SAP'!$N$3:$N$501,"=44")+SUMIFS('ANALITIKA EU PROJEKATA'!$H$3:$H$501,'ANALITIKA EU PROJEKATA'!$A$3:$A$501,"=51",'ANALITIKA EU PROJEKATA'!$Q$3:$Q$501,"=44")</f>
        <v>0</v>
      </c>
      <c r="K84" s="140">
        <f>SUMIFS('Plan rashoda za unos u SAP'!$J$3:$J$501,'Plan rashoda za unos u SAP'!$C$3:$C$501,"=52",'Plan rashoda za unos u SAP'!$N$3:$N$501,"=44")+SUMIFS('ANALITIKA EU PROJEKATA'!$H$3:$H$501,'ANALITIKA EU PROJEKATA'!$A$3:$A$501,"=52",'ANALITIKA EU PROJEKATA'!$Q$3:$Q$501,"=44")</f>
        <v>0</v>
      </c>
      <c r="L84" s="140">
        <f>SUMIFS('Plan rashoda za unos u SAP'!$J$3:$J$501,'Plan rashoda za unos u SAP'!$C$3:$C$501,"=552",'Plan rashoda za unos u SAP'!$N$3:$N$501,"=44")+SUMIFS('ANALITIKA EU PROJEKATA'!$H$3:$H$501,'ANALITIKA EU PROJEKATA'!$A$3:$A$501,"=552",'ANALITIKA EU PROJEKATA'!$Q$3:$Q$501,"=44")</f>
        <v>0</v>
      </c>
      <c r="M84" s="140">
        <f>SUMIFS('Plan rashoda za unos u SAP'!$J$3:$J$501,'Plan rashoda za unos u SAP'!$C$3:$C$501,"=559",'Plan rashoda za unos u SAP'!$N$3:$N$501,"=44")+SUMIFS('ANALITIKA EU PROJEKATA'!$H$3:$H$501,'ANALITIKA EU PROJEKATA'!$A$3:$A$501,"=559",'ANALITIKA EU PROJEKATA'!$Q$3:$Q$501,"=44")</f>
        <v>0</v>
      </c>
      <c r="N84" s="140">
        <f>SUMIFS('Plan rashoda za unos u SAP'!$J$3:$J$501,'Plan rashoda za unos u SAP'!$C$3:$C$501,"=561",'Plan rashoda za unos u SAP'!$N$3:$N$501,"=44")+SUMIFS('ANALITIKA EU PROJEKATA'!$H$3:$H$501,'ANALITIKA EU PROJEKATA'!$A$3:$A$501,"=561",'ANALITIKA EU PROJEKATA'!$Q$3:$Q$501,"=44")</f>
        <v>0</v>
      </c>
      <c r="O84" s="140">
        <f>SUMIFS('Plan rashoda za unos u SAP'!$J$3:$J$501,'Plan rashoda za unos u SAP'!$C$3:$C$501,"=563",'Plan rashoda za unos u SAP'!$N$3:$N$501,"=44")+SUMIFS('ANALITIKA EU PROJEKATA'!$H$3:$H$501,'ANALITIKA EU PROJEKATA'!$A$3:$A$501,"=563",'ANALITIKA EU PROJEKATA'!$Q$3:$Q$501,"=44")</f>
        <v>0</v>
      </c>
      <c r="P84" s="140">
        <f>SUMIFS('Plan rashoda za unos u SAP'!$J$3:$J$501,'Plan rashoda za unos u SAP'!$C$3:$C$501,"=573",'Plan rashoda za unos u SAP'!$N$3:$N$501,"=44")+SUMIFS('ANALITIKA EU PROJEKATA'!$H$3:$H$501,'ANALITIKA EU PROJEKATA'!$A$3:$A$501,"=573",'ANALITIKA EU PROJEKATA'!$Q$3:$Q$501,"=44")</f>
        <v>0</v>
      </c>
      <c r="Q84" s="140">
        <f>SUMIFS('Plan rashoda za unos u SAP'!$J$3:$J$501,'Plan rashoda za unos u SAP'!$C$3:$C$501,"=575",'Plan rashoda za unos u SAP'!$N$3:$N$501,"=44")+SUMIFS('ANALITIKA EU PROJEKATA'!$H$3:$H$501,'ANALITIKA EU PROJEKATA'!$A$3:$A$501,"=575",'ANALITIKA EU PROJEKATA'!$Q$3:$Q$501,"=44")</f>
        <v>0</v>
      </c>
      <c r="R84" s="140">
        <f>SUMIFS('Plan rashoda za unos u SAP'!$J$3:$J$501,'Plan rashoda za unos u SAP'!$C$3:$C$501,"=576",'Plan rashoda za unos u SAP'!$N$3:$N$501,"=44")+SUMIFS('ANALITIKA EU PROJEKATA'!$H$3:$H$501,'ANALITIKA EU PROJEKATA'!$A$3:$A$501,"=576",'ANALITIKA EU PROJEKATA'!$Q$3:$Q$501,"=44")</f>
        <v>0</v>
      </c>
      <c r="S84" s="140">
        <f>SUMIFS('Plan rashoda za unos u SAP'!$J$3:$J$501,'Plan rashoda za unos u SAP'!$C$3:$C$501,"=61",'Plan rashoda za unos u SAP'!$N$3:$N$501,"=44")+SUMIFS('ANALITIKA EU PROJEKATA'!$H$3:$H$501,'ANALITIKA EU PROJEKATA'!$A$3:$A$501,"=61",'ANALITIKA EU PROJEKATA'!$Q$3:$Q$501,"=44")</f>
        <v>0</v>
      </c>
      <c r="T84" s="140">
        <f>SUMIFS('Plan rashoda za unos u SAP'!$J$3:$J$501,'Plan rashoda za unos u SAP'!$C$3:$C$501,"=63",'Plan rashoda za unos u SAP'!$N$3:$N$501,"=44")+SUMIFS('ANALITIKA EU PROJEKATA'!$H$3:$H$501,'ANALITIKA EU PROJEKATA'!$A$3:$A$501,"=63",'ANALITIKA EU PROJEKATA'!$Q$3:$Q$501,"=44")</f>
        <v>0</v>
      </c>
      <c r="U84" s="140">
        <f>SUMIFS('Plan rashoda za unos u SAP'!$J$3:$J$501,'Plan rashoda za unos u SAP'!$C$3:$C$501,"=71",'Plan rashoda za unos u SAP'!$N$3:$N$501,"=44")+SUMIFS('ANALITIKA EU PROJEKATA'!$H$3:$H$501,'ANALITIKA EU PROJEKATA'!$A$3:$A$501,"=71",'ANALITIKA EU PROJEKATA'!$Q$3:$Q$501,"=44")</f>
        <v>0</v>
      </c>
      <c r="V84" s="140">
        <f>SUMIFS('Plan rashoda za unos u SAP'!$J$3:$J$501,'Plan rashoda za unos u SAP'!$C$3:$C$501,"=81",'Plan rashoda za unos u SAP'!$N$3:$N$501,"=44")+SUMIFS('ANALITIKA EU PROJEKATA'!$H$3:$H$501,'ANALITIKA EU PROJEKATA'!$A$3:$A$501,"=81",'ANALITIKA EU PROJEKATA'!$Q$3:$Q$501,"=44")</f>
        <v>0</v>
      </c>
      <c r="W84" s="140">
        <f>SUMIFS('Plan rashoda za unos u SAP'!$J$3:$J$501,'Plan rashoda za unos u SAP'!$C$3:$C$501,"=83",'Plan rashoda za unos u SAP'!$N$3:$N$501,"=44")+SUMIFS('ANALITIKA EU PROJEKATA'!$H$3:$H$501,'ANALITIKA EU PROJEKATA'!$A$3:$A$501,"=83",'ANALITIKA EU PROJEKATA'!$Q$3:$Q$501,"=44")</f>
        <v>0</v>
      </c>
      <c r="X84" s="79"/>
      <c r="Y84" s="79"/>
      <c r="Z84" s="79"/>
      <c r="AA84" s="79"/>
      <c r="AB84" s="79"/>
      <c r="AC84" s="79"/>
      <c r="AD84" s="79"/>
      <c r="AE84" s="79"/>
      <c r="AF84" s="79"/>
      <c r="AG84" s="79"/>
      <c r="AH84" s="79"/>
      <c r="AI84" s="79"/>
      <c r="AJ84" s="79"/>
      <c r="AK84" s="79"/>
      <c r="AL84" s="79"/>
      <c r="AM84" s="79"/>
      <c r="AN84" s="79"/>
      <c r="AO84" s="79"/>
      <c r="AP84" s="79"/>
      <c r="AQ84" s="79"/>
      <c r="AR84" s="79"/>
      <c r="AS84" s="79"/>
      <c r="AT84" s="79"/>
      <c r="AU84" s="79"/>
      <c r="AV84" s="79"/>
      <c r="AW84" s="79"/>
      <c r="AX84" s="79"/>
      <c r="AY84" s="79"/>
      <c r="AZ84" s="79"/>
      <c r="BA84" s="79"/>
      <c r="BB84" s="79"/>
      <c r="BC84" s="79"/>
      <c r="BD84" s="79"/>
      <c r="BE84" s="79"/>
      <c r="BF84" s="79"/>
      <c r="BG84" s="79"/>
      <c r="BH84" s="79"/>
      <c r="BI84" s="79"/>
      <c r="BJ84" s="79"/>
      <c r="BK84" s="79"/>
      <c r="BL84" s="79"/>
      <c r="BM84" s="79"/>
      <c r="BN84" s="79"/>
      <c r="BO84" s="79"/>
      <c r="BP84" s="79"/>
      <c r="BQ84" s="79"/>
      <c r="BR84" s="79"/>
      <c r="BS84" s="79"/>
      <c r="BT84" s="79"/>
      <c r="BU84" s="79"/>
      <c r="BV84" s="79"/>
      <c r="BW84" s="79"/>
      <c r="BX84" s="79"/>
      <c r="BY84" s="79"/>
      <c r="BZ84" s="79"/>
      <c r="CA84" s="79"/>
      <c r="CB84" s="79"/>
      <c r="CC84" s="79"/>
      <c r="CD84" s="79"/>
      <c r="CE84" s="79"/>
      <c r="CF84" s="79"/>
      <c r="CG84" s="79"/>
      <c r="CH84" s="79"/>
      <c r="CI84" s="79"/>
      <c r="CJ84" s="79"/>
      <c r="CK84" s="79"/>
      <c r="CL84" s="79"/>
      <c r="CM84" s="79"/>
      <c r="CN84" s="79"/>
      <c r="CO84" s="79"/>
      <c r="CP84" s="79"/>
      <c r="CQ84" s="79"/>
      <c r="CR84" s="79"/>
      <c r="CS84" s="79"/>
      <c r="CT84" s="79"/>
      <c r="CU84" s="79"/>
      <c r="CV84" s="79"/>
      <c r="CW84" s="79"/>
      <c r="CX84" s="79"/>
      <c r="CY84" s="79"/>
      <c r="CZ84" s="79"/>
      <c r="DA84" s="79"/>
      <c r="DB84" s="79"/>
      <c r="DC84" s="79"/>
      <c r="DD84" s="79"/>
      <c r="DE84" s="79"/>
      <c r="DF84" s="79"/>
      <c r="DG84" s="79"/>
      <c r="DH84" s="79"/>
      <c r="DI84" s="79"/>
      <c r="DJ84" s="79"/>
      <c r="DK84" s="79"/>
      <c r="DL84" s="79"/>
      <c r="DM84" s="79"/>
      <c r="DN84" s="79"/>
      <c r="DO84" s="79"/>
      <c r="DP84" s="79"/>
      <c r="DQ84" s="79"/>
      <c r="DR84" s="79"/>
      <c r="DS84" s="79"/>
      <c r="DT84" s="79"/>
      <c r="DU84" s="79"/>
      <c r="DV84" s="79"/>
      <c r="DW84" s="79"/>
      <c r="DX84" s="79"/>
      <c r="DY84" s="79"/>
      <c r="DZ84" s="79"/>
      <c r="EA84" s="79"/>
      <c r="EB84" s="79"/>
      <c r="EC84" s="79"/>
      <c r="ED84" s="79"/>
      <c r="EE84" s="79"/>
      <c r="EF84" s="79"/>
      <c r="EG84" s="79"/>
      <c r="EH84" s="79"/>
      <c r="EI84" s="79"/>
      <c r="EJ84" s="79"/>
      <c r="EK84" s="79"/>
      <c r="EL84" s="79"/>
      <c r="EM84" s="79"/>
      <c r="EN84" s="79"/>
      <c r="EO84" s="79"/>
      <c r="EP84" s="79"/>
      <c r="EQ84" s="79"/>
      <c r="ER84" s="79"/>
      <c r="ES84" s="79"/>
      <c r="ET84" s="79"/>
      <c r="EU84" s="79"/>
      <c r="EV84" s="79"/>
      <c r="EW84" s="79"/>
      <c r="EX84" s="79"/>
      <c r="EY84" s="79"/>
      <c r="EZ84" s="79"/>
      <c r="FA84" s="79"/>
      <c r="FB84" s="79"/>
      <c r="FC84" s="79"/>
      <c r="FD84" s="79"/>
      <c r="FE84" s="79"/>
      <c r="FF84" s="79"/>
      <c r="FG84" s="79"/>
      <c r="FH84" s="79"/>
      <c r="FI84" s="79"/>
      <c r="FJ84" s="79"/>
      <c r="FK84" s="79"/>
      <c r="FL84" s="79"/>
      <c r="FM84" s="79"/>
      <c r="FN84" s="79"/>
      <c r="FO84" s="79"/>
      <c r="FP84" s="79"/>
      <c r="FQ84" s="79"/>
      <c r="FR84" s="79"/>
      <c r="FS84" s="79"/>
      <c r="FT84" s="79"/>
      <c r="FU84" s="79"/>
      <c r="FV84" s="79"/>
      <c r="FW84" s="79"/>
      <c r="FX84" s="79"/>
      <c r="FY84" s="79"/>
      <c r="FZ84" s="79"/>
      <c r="GA84" s="79"/>
      <c r="GB84" s="79"/>
      <c r="GC84" s="79"/>
      <c r="GD84" s="79"/>
      <c r="GE84" s="79"/>
      <c r="GF84" s="79"/>
      <c r="GG84" s="79"/>
      <c r="GH84" s="79"/>
      <c r="GI84" s="79"/>
      <c r="GJ84" s="79"/>
      <c r="GK84" s="79"/>
      <c r="GL84" s="80"/>
      <c r="GM84" s="80"/>
      <c r="GN84" s="80"/>
      <c r="GO84" s="80"/>
      <c r="GP84" s="80"/>
      <c r="GQ84" s="80"/>
      <c r="GR84" s="80"/>
      <c r="GS84" s="80"/>
      <c r="GT84" s="80"/>
      <c r="GU84" s="80"/>
      <c r="GV84" s="80"/>
      <c r="GW84" s="80"/>
      <c r="GX84" s="80"/>
      <c r="GY84" s="80"/>
      <c r="GZ84" s="80"/>
      <c r="HA84" s="80"/>
      <c r="HB84" s="80"/>
      <c r="HC84" s="80"/>
      <c r="HD84" s="80"/>
      <c r="HE84" s="80"/>
      <c r="HF84" s="80"/>
      <c r="HG84" s="80"/>
      <c r="HH84" s="80"/>
      <c r="HI84" s="80"/>
      <c r="HJ84" s="80"/>
      <c r="HK84" s="80"/>
      <c r="HL84" s="80"/>
      <c r="HM84" s="80"/>
      <c r="HN84" s="80"/>
      <c r="HO84" s="80"/>
      <c r="HP84" s="80"/>
      <c r="HQ84" s="80"/>
      <c r="HR84" s="80"/>
      <c r="HS84" s="80"/>
      <c r="HT84" s="80"/>
      <c r="HU84" s="80"/>
      <c r="HV84" s="80"/>
      <c r="HW84" s="80"/>
      <c r="HX84" s="80"/>
      <c r="HY84" s="80"/>
      <c r="HZ84" s="80"/>
      <c r="IA84" s="80"/>
      <c r="IB84" s="80"/>
      <c r="IC84" s="80"/>
      <c r="ID84" s="80"/>
      <c r="IE84" s="80"/>
      <c r="IF84" s="80"/>
      <c r="IG84" s="80"/>
      <c r="IH84" s="80"/>
      <c r="II84" s="80"/>
      <c r="IJ84" s="80"/>
      <c r="IK84" s="80"/>
      <c r="IL84" s="80"/>
      <c r="IM84" s="80"/>
      <c r="IN84" s="80"/>
      <c r="IO84" s="80"/>
      <c r="IP84" s="80"/>
      <c r="IQ84" s="80"/>
      <c r="IR84" s="80"/>
      <c r="IS84" s="80"/>
      <c r="IT84" s="80"/>
      <c r="IU84" s="80"/>
      <c r="IV84" s="80"/>
      <c r="IW84" s="80"/>
      <c r="IX84" s="80"/>
      <c r="IY84" s="80"/>
      <c r="IZ84" s="80"/>
      <c r="JA84" s="80"/>
      <c r="JB84" s="80"/>
      <c r="JC84" s="80"/>
    </row>
    <row r="85" spans="1:263" s="20" customFormat="1" ht="12.6" customHeight="1">
      <c r="A85" s="22">
        <v>2022</v>
      </c>
      <c r="B85" s="84">
        <v>45</v>
      </c>
      <c r="C85" s="15" t="s">
        <v>222</v>
      </c>
      <c r="D85" s="133">
        <f t="shared" si="21"/>
        <v>0</v>
      </c>
      <c r="E85" s="140">
        <f>SUMIFS('Plan rashoda za unos u SAP'!$J$3:$J$501,'Plan rashoda za unos u SAP'!$C$3:$C$501,"=11",'Plan rashoda za unos u SAP'!$N$3:$N$501,"=45")+SUMIFS('ANALITIKA EU PROJEKATA'!$H$3:$H$501,'ANALITIKA EU PROJEKATA'!$A$3:$A$501,"=11",'ANALITIKA EU PROJEKATA'!$Q$3:$Q$501,"=45")</f>
        <v>0</v>
      </c>
      <c r="F85" s="140">
        <f>SUMIFS('Plan rashoda za unos u SAP'!$J$3:$J$501,'Plan rashoda za unos u SAP'!$C$3:$C$501,"=12",'Plan rashoda za unos u SAP'!$N$3:$N$501,"=45")+SUMIFS('ANALITIKA EU PROJEKATA'!$H$3:$H$501,'ANALITIKA EU PROJEKATA'!$A$3:$A$501,"=12",'ANALITIKA EU PROJEKATA'!$Q$3:$Q$501,"=45")</f>
        <v>0</v>
      </c>
      <c r="G85" s="140">
        <f>SUMIFS('Plan rashoda za unos u SAP'!$J$3:$J$501,'Plan rashoda za unos u SAP'!$C$3:$C$501,"=31",'Plan rashoda za unos u SAP'!$N$3:$N$501,"=45")+SUMIFS('ANALITIKA EU PROJEKATA'!$H$3:$H$501,'ANALITIKA EU PROJEKATA'!$A$3:$A$501,"=31",'ANALITIKA EU PROJEKATA'!$Q$3:$Q$501,"=45")</f>
        <v>0</v>
      </c>
      <c r="H85" s="140">
        <f>SUMIFS('Plan rashoda za unos u SAP'!$J$3:$J$501,'Plan rashoda za unos u SAP'!$C$3:$C$501,"=41",'Plan rashoda za unos u SAP'!$N$3:$N$501,"=45")+SUMIFS('ANALITIKA EU PROJEKATA'!$H$3:$H$501,'ANALITIKA EU PROJEKATA'!$A$3:$A$501,"=41",'ANALITIKA EU PROJEKATA'!$Q$3:$Q$501,"=45")</f>
        <v>0</v>
      </c>
      <c r="I85" s="140">
        <f>SUMIFS('Plan rashoda za unos u SAP'!$J$3:$J$501,'Plan rashoda za unos u SAP'!$C$3:$C$501,"=43",'Plan rashoda za unos u SAP'!$N$3:$N$501,"=45")+SUMIFS('ANALITIKA EU PROJEKATA'!$H$3:$H$501,'ANALITIKA EU PROJEKATA'!$A$3:$A$501,"=43",'ANALITIKA EU PROJEKATA'!$Q$3:$Q$501,"=45")</f>
        <v>0</v>
      </c>
      <c r="J85" s="140">
        <f>SUMIFS('Plan rashoda za unos u SAP'!$J$3:$J$501,'Plan rashoda za unos u SAP'!$C$3:$C$501,"=51",'Plan rashoda za unos u SAP'!$N$3:$N$501,"=45")+SUMIFS('ANALITIKA EU PROJEKATA'!$H$3:$H$501,'ANALITIKA EU PROJEKATA'!$A$3:$A$501,"=51",'ANALITIKA EU PROJEKATA'!$Q$3:$Q$501,"=45")</f>
        <v>0</v>
      </c>
      <c r="K85" s="140">
        <f>SUMIFS('Plan rashoda za unos u SAP'!$J$3:$J$501,'Plan rashoda za unos u SAP'!$C$3:$C$501,"=52",'Plan rashoda za unos u SAP'!$N$3:$N$501,"=45")+SUMIFS('ANALITIKA EU PROJEKATA'!$H$3:$H$501,'ANALITIKA EU PROJEKATA'!$A$3:$A$501,"=52",'ANALITIKA EU PROJEKATA'!$Q$3:$Q$501,"=45")</f>
        <v>0</v>
      </c>
      <c r="L85" s="140">
        <f>SUMIFS('Plan rashoda za unos u SAP'!$J$3:$J$501,'Plan rashoda za unos u SAP'!$C$3:$C$501,"=552",'Plan rashoda za unos u SAP'!$N$3:$N$501,"=45")+SUMIFS('ANALITIKA EU PROJEKATA'!$H$3:$H$501,'ANALITIKA EU PROJEKATA'!$A$3:$A$501,"=552",'ANALITIKA EU PROJEKATA'!$Q$3:$Q$501,"=45")</f>
        <v>0</v>
      </c>
      <c r="M85" s="140">
        <f>SUMIFS('Plan rashoda za unos u SAP'!$J$3:$J$501,'Plan rashoda za unos u SAP'!$C$3:$C$501,"=559",'Plan rashoda za unos u SAP'!$N$3:$N$501,"=45")+SUMIFS('ANALITIKA EU PROJEKATA'!$H$3:$H$501,'ANALITIKA EU PROJEKATA'!$A$3:$A$501,"=559",'ANALITIKA EU PROJEKATA'!$Q$3:$Q$501,"=45")</f>
        <v>0</v>
      </c>
      <c r="N85" s="140">
        <f>SUMIFS('Plan rashoda za unos u SAP'!$J$3:$J$501,'Plan rashoda za unos u SAP'!$C$3:$C$501,"=561",'Plan rashoda za unos u SAP'!$N$3:$N$501,"=45")+SUMIFS('ANALITIKA EU PROJEKATA'!$H$3:$H$501,'ANALITIKA EU PROJEKATA'!$A$3:$A$501,"=561",'ANALITIKA EU PROJEKATA'!$Q$3:$Q$501,"=45")</f>
        <v>0</v>
      </c>
      <c r="O85" s="140">
        <f>SUMIFS('Plan rashoda za unos u SAP'!$J$3:$J$501,'Plan rashoda za unos u SAP'!$C$3:$C$501,"=563",'Plan rashoda za unos u SAP'!$N$3:$N$501,"=45")+SUMIFS('ANALITIKA EU PROJEKATA'!$H$3:$H$501,'ANALITIKA EU PROJEKATA'!$A$3:$A$501,"=563",'ANALITIKA EU PROJEKATA'!$Q$3:$Q$501,"=45")</f>
        <v>0</v>
      </c>
      <c r="P85" s="140">
        <f>SUMIFS('Plan rashoda za unos u SAP'!$J$3:$J$501,'Plan rashoda za unos u SAP'!$C$3:$C$501,"=573",'Plan rashoda za unos u SAP'!$N$3:$N$501,"=45")+SUMIFS('ANALITIKA EU PROJEKATA'!$H$3:$H$501,'ANALITIKA EU PROJEKATA'!$A$3:$A$501,"=573",'ANALITIKA EU PROJEKATA'!$Q$3:$Q$501,"=45")</f>
        <v>0</v>
      </c>
      <c r="Q85" s="140">
        <f>SUMIFS('Plan rashoda za unos u SAP'!$J$3:$J$501,'Plan rashoda za unos u SAP'!$C$3:$C$501,"=575",'Plan rashoda za unos u SAP'!$N$3:$N$501,"=45")+SUMIFS('ANALITIKA EU PROJEKATA'!$H$3:$H$501,'ANALITIKA EU PROJEKATA'!$A$3:$A$501,"=575",'ANALITIKA EU PROJEKATA'!$Q$3:$Q$501,"=45")</f>
        <v>0</v>
      </c>
      <c r="R85" s="140">
        <f>SUMIFS('Plan rashoda za unos u SAP'!$J$3:$J$501,'Plan rashoda za unos u SAP'!$C$3:$C$501,"=576",'Plan rashoda za unos u SAP'!$N$3:$N$501,"=45")+SUMIFS('ANALITIKA EU PROJEKATA'!$H$3:$H$501,'ANALITIKA EU PROJEKATA'!$A$3:$A$501,"=576",'ANALITIKA EU PROJEKATA'!$Q$3:$Q$501,"=45")</f>
        <v>0</v>
      </c>
      <c r="S85" s="140">
        <f>SUMIFS('Plan rashoda za unos u SAP'!$J$3:$J$501,'Plan rashoda za unos u SAP'!$C$3:$C$501,"=61",'Plan rashoda za unos u SAP'!$N$3:$N$501,"=45")+SUMIFS('ANALITIKA EU PROJEKATA'!$H$3:$H$501,'ANALITIKA EU PROJEKATA'!$A$3:$A$501,"=61",'ANALITIKA EU PROJEKATA'!$Q$3:$Q$501,"=45")</f>
        <v>0</v>
      </c>
      <c r="T85" s="140">
        <f>SUMIFS('Plan rashoda za unos u SAP'!$J$3:$J$501,'Plan rashoda za unos u SAP'!$C$3:$C$501,"=63",'Plan rashoda za unos u SAP'!$N$3:$N$501,"=45")+SUMIFS('ANALITIKA EU PROJEKATA'!$H$3:$H$501,'ANALITIKA EU PROJEKATA'!$A$3:$A$501,"=63",'ANALITIKA EU PROJEKATA'!$Q$3:$Q$501,"=45")</f>
        <v>0</v>
      </c>
      <c r="U85" s="140">
        <f>SUMIFS('Plan rashoda za unos u SAP'!$J$3:$J$501,'Plan rashoda za unos u SAP'!$C$3:$C$501,"=71",'Plan rashoda za unos u SAP'!$N$3:$N$501,"=45")+SUMIFS('ANALITIKA EU PROJEKATA'!$H$3:$H$501,'ANALITIKA EU PROJEKATA'!$A$3:$A$501,"=71",'ANALITIKA EU PROJEKATA'!$Q$3:$Q$501,"=45")</f>
        <v>0</v>
      </c>
      <c r="V85" s="140">
        <f>SUMIFS('Plan rashoda za unos u SAP'!$J$3:$J$501,'Plan rashoda za unos u SAP'!$C$3:$C$501,"=81",'Plan rashoda za unos u SAP'!$N$3:$N$501,"=45")+SUMIFS('ANALITIKA EU PROJEKATA'!$H$3:$H$501,'ANALITIKA EU PROJEKATA'!$A$3:$A$501,"=81",'ANALITIKA EU PROJEKATA'!$Q$3:$Q$501,"=45")</f>
        <v>0</v>
      </c>
      <c r="W85" s="140">
        <f>SUMIFS('Plan rashoda za unos u SAP'!$J$3:$J$501,'Plan rashoda za unos u SAP'!$C$3:$C$501,"=83",'Plan rashoda za unos u SAP'!$N$3:$N$501,"=45")+SUMIFS('ANALITIKA EU PROJEKATA'!$H$3:$H$501,'ANALITIKA EU PROJEKATA'!$A$3:$A$501,"=83",'ANALITIKA EU PROJEKATA'!$Q$3:$Q$501,"=45")</f>
        <v>0</v>
      </c>
      <c r="X85" s="85"/>
      <c r="Y85" s="85"/>
      <c r="Z85" s="85"/>
      <c r="AA85" s="85"/>
      <c r="AB85" s="85"/>
      <c r="AC85" s="85"/>
      <c r="AD85" s="85"/>
      <c r="AE85" s="85"/>
      <c r="AF85" s="85"/>
      <c r="AG85" s="85"/>
      <c r="AH85" s="85"/>
      <c r="AI85" s="85"/>
      <c r="AJ85" s="85"/>
      <c r="AK85" s="85"/>
      <c r="AL85" s="85"/>
      <c r="AM85" s="85"/>
      <c r="AN85" s="85"/>
      <c r="AO85" s="85"/>
      <c r="AP85" s="85"/>
      <c r="AQ85" s="85"/>
      <c r="AR85" s="85"/>
      <c r="AS85" s="85"/>
      <c r="AT85" s="85"/>
      <c r="AU85" s="85"/>
      <c r="AV85" s="85"/>
      <c r="AW85" s="85"/>
      <c r="AX85" s="85"/>
      <c r="AY85" s="85"/>
      <c r="AZ85" s="85"/>
      <c r="BA85" s="85"/>
      <c r="BB85" s="85"/>
      <c r="BC85" s="85"/>
      <c r="BD85" s="85"/>
      <c r="BE85" s="85"/>
      <c r="BF85" s="85"/>
      <c r="BG85" s="85"/>
      <c r="BH85" s="85"/>
      <c r="BI85" s="85"/>
      <c r="BJ85" s="85"/>
      <c r="BK85" s="85"/>
      <c r="BL85" s="85"/>
      <c r="BM85" s="85"/>
      <c r="BN85" s="85"/>
      <c r="BO85" s="85"/>
      <c r="BP85" s="85"/>
      <c r="BQ85" s="85"/>
      <c r="BR85" s="85"/>
      <c r="BS85" s="85"/>
      <c r="BT85" s="85"/>
      <c r="BU85" s="85"/>
      <c r="BV85" s="85"/>
      <c r="BW85" s="85"/>
      <c r="BX85" s="85"/>
      <c r="BY85" s="85"/>
      <c r="BZ85" s="85"/>
      <c r="CA85" s="85"/>
      <c r="CB85" s="85"/>
      <c r="CC85" s="85"/>
      <c r="CD85" s="85"/>
      <c r="CE85" s="85"/>
      <c r="CF85" s="85"/>
      <c r="CG85" s="85"/>
      <c r="CH85" s="85"/>
      <c r="CI85" s="85"/>
      <c r="CJ85" s="85"/>
      <c r="CK85" s="85"/>
      <c r="CL85" s="85"/>
      <c r="CM85" s="85"/>
      <c r="CN85" s="85"/>
      <c r="CO85" s="85"/>
      <c r="CP85" s="85"/>
      <c r="CQ85" s="85"/>
      <c r="CR85" s="85"/>
      <c r="CS85" s="85"/>
      <c r="CT85" s="85"/>
      <c r="CU85" s="85"/>
      <c r="CV85" s="85"/>
      <c r="CW85" s="85"/>
      <c r="CX85" s="85"/>
      <c r="CY85" s="85"/>
      <c r="CZ85" s="85"/>
      <c r="DA85" s="85"/>
      <c r="DB85" s="85"/>
      <c r="DC85" s="85"/>
      <c r="DD85" s="85"/>
      <c r="DE85" s="85"/>
      <c r="DF85" s="85"/>
      <c r="DG85" s="85"/>
      <c r="DH85" s="85"/>
      <c r="DI85" s="85"/>
      <c r="DJ85" s="85"/>
      <c r="DK85" s="85"/>
      <c r="DL85" s="85"/>
      <c r="DM85" s="85"/>
      <c r="DN85" s="85"/>
      <c r="DO85" s="85"/>
      <c r="DP85" s="85"/>
      <c r="DQ85" s="85"/>
      <c r="DR85" s="85"/>
      <c r="DS85" s="85"/>
      <c r="DT85" s="85"/>
      <c r="DU85" s="85"/>
      <c r="DV85" s="85"/>
      <c r="DW85" s="85"/>
      <c r="DX85" s="85"/>
      <c r="DY85" s="85"/>
      <c r="DZ85" s="85"/>
      <c r="EA85" s="85"/>
      <c r="EB85" s="85"/>
      <c r="EC85" s="85"/>
      <c r="ED85" s="85"/>
      <c r="EE85" s="85"/>
      <c r="EF85" s="85"/>
      <c r="EG85" s="85"/>
      <c r="EH85" s="85"/>
      <c r="EI85" s="85"/>
      <c r="EJ85" s="85"/>
      <c r="EK85" s="85"/>
      <c r="EL85" s="85"/>
      <c r="EM85" s="85"/>
      <c r="EN85" s="85"/>
      <c r="EO85" s="85"/>
      <c r="EP85" s="85"/>
      <c r="EQ85" s="85"/>
      <c r="ER85" s="85"/>
      <c r="ES85" s="85"/>
      <c r="ET85" s="85"/>
      <c r="EU85" s="85"/>
      <c r="EV85" s="85"/>
      <c r="EW85" s="85"/>
      <c r="EX85" s="85"/>
      <c r="EY85" s="85"/>
      <c r="EZ85" s="85"/>
      <c r="FA85" s="85"/>
      <c r="FB85" s="85"/>
      <c r="FC85" s="85"/>
      <c r="FD85" s="85"/>
      <c r="FE85" s="85"/>
      <c r="FF85" s="85"/>
      <c r="FG85" s="85"/>
      <c r="FH85" s="85"/>
      <c r="FI85" s="85"/>
      <c r="FJ85" s="85"/>
      <c r="FK85" s="85"/>
      <c r="FL85" s="85"/>
      <c r="FM85" s="85"/>
      <c r="FN85" s="85"/>
      <c r="FO85" s="85"/>
      <c r="FP85" s="85"/>
      <c r="FQ85" s="85"/>
      <c r="FR85" s="85"/>
      <c r="FS85" s="85"/>
      <c r="FT85" s="85"/>
      <c r="FU85" s="85"/>
      <c r="FV85" s="85"/>
      <c r="FW85" s="85"/>
      <c r="FX85" s="85"/>
      <c r="FY85" s="85"/>
      <c r="FZ85" s="85"/>
      <c r="GA85" s="85"/>
      <c r="GB85" s="85"/>
      <c r="GC85" s="85"/>
      <c r="GD85" s="85"/>
      <c r="GE85" s="85"/>
      <c r="GF85" s="85"/>
      <c r="GG85" s="85"/>
      <c r="GH85" s="85"/>
      <c r="GI85" s="85"/>
      <c r="GJ85" s="85"/>
      <c r="GK85" s="85"/>
      <c r="GL85" s="86"/>
      <c r="GM85" s="86"/>
      <c r="GN85" s="86"/>
      <c r="GO85" s="86"/>
      <c r="GP85" s="86"/>
      <c r="GQ85" s="86"/>
      <c r="GR85" s="86"/>
      <c r="GS85" s="86"/>
      <c r="GT85" s="86"/>
      <c r="GU85" s="86"/>
      <c r="GV85" s="86"/>
      <c r="GW85" s="86"/>
      <c r="GX85" s="86"/>
      <c r="GY85" s="86"/>
      <c r="GZ85" s="86"/>
      <c r="HA85" s="86"/>
      <c r="HB85" s="86"/>
      <c r="HC85" s="86"/>
      <c r="HD85" s="86"/>
      <c r="HE85" s="86"/>
      <c r="HF85" s="86"/>
      <c r="HG85" s="86"/>
      <c r="HH85" s="86"/>
      <c r="HI85" s="86"/>
      <c r="HJ85" s="86"/>
      <c r="HK85" s="86"/>
      <c r="HL85" s="86"/>
      <c r="HM85" s="86"/>
      <c r="HN85" s="86"/>
      <c r="HO85" s="86"/>
      <c r="HP85" s="86"/>
      <c r="HQ85" s="86"/>
      <c r="HR85" s="86"/>
      <c r="HS85" s="86"/>
      <c r="HT85" s="86"/>
      <c r="HU85" s="86"/>
      <c r="HV85" s="86"/>
      <c r="HW85" s="86"/>
      <c r="HX85" s="86"/>
      <c r="HY85" s="86"/>
      <c r="HZ85" s="86"/>
      <c r="IA85" s="86"/>
      <c r="IB85" s="86"/>
      <c r="IC85" s="86"/>
      <c r="ID85" s="86"/>
      <c r="IE85" s="86"/>
      <c r="IF85" s="86"/>
      <c r="IG85" s="86"/>
      <c r="IH85" s="86"/>
      <c r="II85" s="86"/>
      <c r="IJ85" s="86"/>
      <c r="IK85" s="86"/>
      <c r="IL85" s="86"/>
      <c r="IM85" s="86"/>
      <c r="IN85" s="86"/>
      <c r="IO85" s="86"/>
      <c r="IP85" s="86"/>
      <c r="IQ85" s="86"/>
      <c r="IR85" s="86"/>
      <c r="IS85" s="86"/>
      <c r="IT85" s="86"/>
      <c r="IU85" s="86"/>
      <c r="IV85" s="86"/>
      <c r="IW85" s="86"/>
      <c r="IX85" s="86"/>
      <c r="IY85" s="86"/>
      <c r="IZ85" s="86"/>
      <c r="JA85" s="86"/>
      <c r="JB85" s="86"/>
      <c r="JC85" s="86"/>
    </row>
    <row r="86" spans="1:263" s="9" customFormat="1" ht="12.6" customHeight="1">
      <c r="A86" s="22">
        <v>2022</v>
      </c>
      <c r="B86" s="122">
        <v>5</v>
      </c>
      <c r="C86" s="123" t="s">
        <v>16</v>
      </c>
      <c r="D86" s="126">
        <f t="shared" si="21"/>
        <v>0</v>
      </c>
      <c r="E86" s="125">
        <f t="shared" ref="E86:V86" si="24">SUM(E87:E88)</f>
        <v>0</v>
      </c>
      <c r="F86" s="125">
        <f t="shared" si="24"/>
        <v>0</v>
      </c>
      <c r="G86" s="125">
        <f t="shared" si="24"/>
        <v>0</v>
      </c>
      <c r="H86" s="125">
        <f>SUM(H87:H88)</f>
        <v>0</v>
      </c>
      <c r="I86" s="125">
        <f t="shared" si="24"/>
        <v>0</v>
      </c>
      <c r="J86" s="125">
        <f t="shared" si="24"/>
        <v>0</v>
      </c>
      <c r="K86" s="125">
        <f t="shared" si="24"/>
        <v>0</v>
      </c>
      <c r="L86" s="125">
        <f>SUM(L87:L88)</f>
        <v>0</v>
      </c>
      <c r="M86" s="125">
        <f t="shared" si="24"/>
        <v>0</v>
      </c>
      <c r="N86" s="125">
        <f t="shared" si="24"/>
        <v>0</v>
      </c>
      <c r="O86" s="125">
        <f t="shared" si="24"/>
        <v>0</v>
      </c>
      <c r="P86" s="125">
        <f>SUM(P87:P88)</f>
        <v>0</v>
      </c>
      <c r="Q86" s="125">
        <f>SUM(Q87:Q88)</f>
        <v>0</v>
      </c>
      <c r="R86" s="125">
        <f>SUM(R87:R88)</f>
        <v>0</v>
      </c>
      <c r="S86" s="125">
        <f t="shared" si="24"/>
        <v>0</v>
      </c>
      <c r="T86" s="125">
        <f t="shared" si="24"/>
        <v>0</v>
      </c>
      <c r="U86" s="125">
        <f t="shared" si="24"/>
        <v>0</v>
      </c>
      <c r="V86" s="125">
        <f t="shared" si="24"/>
        <v>0</v>
      </c>
      <c r="W86" s="125">
        <f>SUM(W87:W88)</f>
        <v>0</v>
      </c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72"/>
      <c r="AZ86" s="72"/>
      <c r="BA86" s="72"/>
      <c r="BB86" s="72"/>
      <c r="BC86" s="72"/>
      <c r="BD86" s="72"/>
      <c r="BE86" s="72"/>
      <c r="BF86" s="72"/>
      <c r="BG86" s="72"/>
      <c r="BH86" s="72"/>
      <c r="BI86" s="72"/>
      <c r="BJ86" s="72"/>
      <c r="BK86" s="72"/>
      <c r="BL86" s="72"/>
      <c r="BM86" s="72"/>
      <c r="BN86" s="72"/>
      <c r="BO86" s="72"/>
      <c r="BP86" s="72"/>
      <c r="BQ86" s="72"/>
      <c r="BR86" s="72"/>
      <c r="BS86" s="72"/>
      <c r="BT86" s="72"/>
      <c r="BU86" s="72"/>
      <c r="BV86" s="72"/>
      <c r="BW86" s="72"/>
      <c r="BX86" s="72"/>
      <c r="BY86" s="72"/>
      <c r="BZ86" s="72"/>
      <c r="CA86" s="72"/>
      <c r="CB86" s="72"/>
      <c r="CC86" s="72"/>
      <c r="CD86" s="72"/>
      <c r="CE86" s="72"/>
      <c r="CF86" s="72"/>
      <c r="CG86" s="72"/>
      <c r="CH86" s="72"/>
      <c r="CI86" s="72"/>
      <c r="CJ86" s="72"/>
      <c r="CK86" s="72"/>
      <c r="CL86" s="72"/>
      <c r="CM86" s="72"/>
      <c r="CN86" s="72"/>
      <c r="CO86" s="72"/>
      <c r="CP86" s="72"/>
      <c r="CQ86" s="72"/>
      <c r="CR86" s="72"/>
      <c r="CS86" s="72"/>
      <c r="CT86" s="72"/>
      <c r="CU86" s="72"/>
      <c r="CV86" s="72"/>
      <c r="CW86" s="72"/>
      <c r="CX86" s="72"/>
      <c r="CY86" s="72"/>
      <c r="CZ86" s="72"/>
      <c r="DA86" s="72"/>
      <c r="DB86" s="72"/>
      <c r="DC86" s="72"/>
      <c r="DD86" s="72"/>
      <c r="DE86" s="72"/>
      <c r="DF86" s="72"/>
      <c r="DG86" s="72"/>
      <c r="DH86" s="72"/>
      <c r="DI86" s="72"/>
      <c r="DJ86" s="72"/>
      <c r="DK86" s="72"/>
      <c r="DL86" s="72"/>
      <c r="DM86" s="72"/>
      <c r="DN86" s="72"/>
      <c r="DO86" s="72"/>
      <c r="DP86" s="72"/>
      <c r="DQ86" s="72"/>
      <c r="DR86" s="72"/>
      <c r="DS86" s="72"/>
      <c r="DT86" s="72"/>
      <c r="DU86" s="72"/>
      <c r="DV86" s="72"/>
      <c r="DW86" s="72"/>
      <c r="DX86" s="72"/>
      <c r="DY86" s="72"/>
      <c r="DZ86" s="72"/>
      <c r="EA86" s="72"/>
      <c r="EB86" s="72"/>
      <c r="EC86" s="72"/>
      <c r="ED86" s="72"/>
      <c r="EE86" s="72"/>
      <c r="EF86" s="72"/>
      <c r="EG86" s="72"/>
      <c r="EH86" s="72"/>
      <c r="EI86" s="72"/>
      <c r="EJ86" s="72"/>
      <c r="EK86" s="72"/>
      <c r="EL86" s="72"/>
      <c r="EM86" s="72"/>
      <c r="EN86" s="72"/>
      <c r="EO86" s="72"/>
      <c r="EP86" s="72"/>
      <c r="EQ86" s="72"/>
      <c r="ER86" s="72"/>
      <c r="ES86" s="72"/>
      <c r="ET86" s="72"/>
      <c r="EU86" s="72"/>
      <c r="EV86" s="72"/>
      <c r="EW86" s="72"/>
      <c r="EX86" s="72"/>
      <c r="EY86" s="72"/>
      <c r="EZ86" s="72"/>
      <c r="FA86" s="72"/>
      <c r="FB86" s="72"/>
      <c r="FC86" s="72"/>
      <c r="FD86" s="72"/>
      <c r="FE86" s="72"/>
      <c r="FF86" s="72"/>
      <c r="FG86" s="72"/>
      <c r="FH86" s="72"/>
      <c r="FI86" s="72"/>
      <c r="FJ86" s="72"/>
      <c r="FK86" s="72"/>
      <c r="FL86" s="72"/>
      <c r="FM86" s="72"/>
      <c r="FN86" s="72"/>
      <c r="FO86" s="72"/>
      <c r="FP86" s="72"/>
      <c r="FQ86" s="72"/>
      <c r="FR86" s="72"/>
      <c r="FS86" s="72"/>
      <c r="FT86" s="72"/>
      <c r="FU86" s="72"/>
      <c r="FV86" s="72"/>
      <c r="FW86" s="72"/>
      <c r="FX86" s="72"/>
      <c r="FY86" s="72"/>
      <c r="FZ86" s="72"/>
      <c r="GA86" s="72"/>
      <c r="GB86" s="72"/>
      <c r="GC86" s="72"/>
      <c r="GD86" s="72"/>
      <c r="GE86" s="72"/>
      <c r="GF86" s="72"/>
      <c r="GG86" s="72"/>
      <c r="GH86" s="72"/>
      <c r="GI86" s="72"/>
      <c r="GJ86" s="72"/>
      <c r="GK86" s="72"/>
      <c r="GL86" s="73"/>
      <c r="GM86" s="73"/>
      <c r="GN86" s="73"/>
      <c r="GO86" s="73"/>
      <c r="GP86" s="73"/>
      <c r="GQ86" s="73"/>
      <c r="GR86" s="73"/>
      <c r="GS86" s="73"/>
      <c r="GT86" s="73"/>
      <c r="GU86" s="73"/>
      <c r="GV86" s="73"/>
      <c r="GW86" s="73"/>
      <c r="GX86" s="73"/>
      <c r="GY86" s="73"/>
      <c r="GZ86" s="73"/>
      <c r="HA86" s="73"/>
      <c r="HB86" s="73"/>
      <c r="HC86" s="73"/>
      <c r="HD86" s="73"/>
      <c r="HE86" s="73"/>
      <c r="HF86" s="73"/>
      <c r="HG86" s="73"/>
      <c r="HH86" s="73"/>
      <c r="HI86" s="73"/>
      <c r="HJ86" s="73"/>
      <c r="HK86" s="73"/>
      <c r="HL86" s="73"/>
      <c r="HM86" s="73"/>
      <c r="HN86" s="73"/>
      <c r="HO86" s="73"/>
      <c r="HP86" s="73"/>
      <c r="HQ86" s="73"/>
      <c r="HR86" s="73"/>
      <c r="HS86" s="73"/>
      <c r="HT86" s="73"/>
      <c r="HU86" s="73"/>
      <c r="HV86" s="73"/>
      <c r="HW86" s="73"/>
      <c r="HX86" s="73"/>
      <c r="HY86" s="73"/>
      <c r="HZ86" s="73"/>
      <c r="IA86" s="73"/>
      <c r="IB86" s="73"/>
      <c r="IC86" s="73"/>
      <c r="ID86" s="73"/>
      <c r="IE86" s="73"/>
      <c r="IF86" s="73"/>
      <c r="IG86" s="73"/>
      <c r="IH86" s="73"/>
      <c r="II86" s="73"/>
      <c r="IJ86" s="73"/>
      <c r="IK86" s="73"/>
      <c r="IL86" s="73"/>
      <c r="IM86" s="73"/>
      <c r="IN86" s="73"/>
      <c r="IO86" s="73"/>
      <c r="IP86" s="73"/>
      <c r="IQ86" s="73"/>
      <c r="IR86" s="73"/>
      <c r="IS86" s="73"/>
      <c r="IT86" s="73"/>
      <c r="IU86" s="73"/>
      <c r="IV86" s="73"/>
      <c r="IW86" s="73"/>
      <c r="IX86" s="73"/>
      <c r="IY86" s="73"/>
      <c r="IZ86" s="73"/>
      <c r="JA86" s="73"/>
      <c r="JB86" s="73"/>
      <c r="JC86" s="73"/>
    </row>
    <row r="87" spans="1:263" s="13" customFormat="1" ht="12.6" customHeight="1">
      <c r="A87" s="22">
        <v>2022</v>
      </c>
      <c r="B87" s="10">
        <v>51</v>
      </c>
      <c r="C87" s="11" t="s">
        <v>357</v>
      </c>
      <c r="D87" s="78">
        <f t="shared" si="21"/>
        <v>0</v>
      </c>
      <c r="E87" s="140">
        <f>SUMIFS('Plan rashoda za unos u SAP'!$J$3:$J$501,'Plan rashoda za unos u SAP'!$C$3:$C$501,"=11",'Plan rashoda za unos u SAP'!$N$3:$N$501,"=51")+SUMIFS('ANALITIKA EU PROJEKATA'!$H$3:$H$501,'ANALITIKA EU PROJEKATA'!$A$3:$A$501,"=11",'ANALITIKA EU PROJEKATA'!$Q$3:$Q$501,"=51")</f>
        <v>0</v>
      </c>
      <c r="F87" s="140">
        <f>SUMIFS('Plan rashoda za unos u SAP'!$J$3:$J$501,'Plan rashoda za unos u SAP'!$C$3:$C$501,"=12",'Plan rashoda za unos u SAP'!$N$3:$N$501,"=51")+SUMIFS('ANALITIKA EU PROJEKATA'!$H$3:$H$501,'ANALITIKA EU PROJEKATA'!$A$3:$A$501,"=12",'ANALITIKA EU PROJEKATA'!$Q$3:$Q$501,"=51")</f>
        <v>0</v>
      </c>
      <c r="G87" s="140">
        <f>SUMIFS('Plan rashoda za unos u SAP'!$J$3:$J$501,'Plan rashoda za unos u SAP'!$C$3:$C$501,"=31",'Plan rashoda za unos u SAP'!$N$3:$N$501,"=51")+SUMIFS('ANALITIKA EU PROJEKATA'!$H$3:$H$501,'ANALITIKA EU PROJEKATA'!$A$3:$A$501,"=31",'ANALITIKA EU PROJEKATA'!$Q$3:$Q$501,"=51")</f>
        <v>0</v>
      </c>
      <c r="H87" s="140">
        <f>SUMIFS('Plan rashoda za unos u SAP'!$J$3:$J$501,'Plan rashoda za unos u SAP'!$C$3:$C$501,"=41",'Plan rashoda za unos u SAP'!$N$3:$N$501,"=51")+SUMIFS('ANALITIKA EU PROJEKATA'!$H$3:$H$501,'ANALITIKA EU PROJEKATA'!$A$3:$A$501,"=41",'ANALITIKA EU PROJEKATA'!$Q$3:$Q$501,"=51")</f>
        <v>0</v>
      </c>
      <c r="I87" s="140">
        <f>SUMIFS('Plan rashoda za unos u SAP'!$J$3:$J$501,'Plan rashoda za unos u SAP'!$C$3:$C$501,"=43",'Plan rashoda za unos u SAP'!$N$3:$N$501,"=51")+SUMIFS('ANALITIKA EU PROJEKATA'!$H$3:$H$501,'ANALITIKA EU PROJEKATA'!$A$3:$A$501,"=43",'ANALITIKA EU PROJEKATA'!$Q$3:$Q$501,"=51")</f>
        <v>0</v>
      </c>
      <c r="J87" s="140">
        <f>SUMIFS('Plan rashoda za unos u SAP'!$J$3:$J$501,'Plan rashoda za unos u SAP'!$C$3:$C$501,"=51",'Plan rashoda za unos u SAP'!$N$3:$N$501,"=51")+SUMIFS('ANALITIKA EU PROJEKATA'!$H$3:$H$501,'ANALITIKA EU PROJEKATA'!$A$3:$A$501,"=51",'ANALITIKA EU PROJEKATA'!$Q$3:$Q$501,"=51")</f>
        <v>0</v>
      </c>
      <c r="K87" s="140">
        <f>SUMIFS('Plan rashoda za unos u SAP'!$J$3:$J$501,'Plan rashoda za unos u SAP'!$C$3:$C$501,"=52",'Plan rashoda za unos u SAP'!$N$3:$N$501,"=51")+SUMIFS('ANALITIKA EU PROJEKATA'!$H$3:$H$501,'ANALITIKA EU PROJEKATA'!$A$3:$A$501,"=52",'ANALITIKA EU PROJEKATA'!$Q$3:$Q$501,"=51")</f>
        <v>0</v>
      </c>
      <c r="L87" s="140">
        <f>SUMIFS('Plan rashoda za unos u SAP'!$J$3:$J$501,'Plan rashoda za unos u SAP'!$C$3:$C$501,"=552",'Plan rashoda za unos u SAP'!$N$3:$N$501,"=51")+SUMIFS('ANALITIKA EU PROJEKATA'!$H$3:$H$501,'ANALITIKA EU PROJEKATA'!$A$3:$A$501,"=552",'ANALITIKA EU PROJEKATA'!$Q$3:$Q$501,"=51")</f>
        <v>0</v>
      </c>
      <c r="M87" s="140">
        <f>SUMIFS('Plan rashoda za unos u SAP'!$J$3:$J$501,'Plan rashoda za unos u SAP'!$C$3:$C$501,"=559",'Plan rashoda za unos u SAP'!$N$3:$N$501,"=51")+SUMIFS('ANALITIKA EU PROJEKATA'!$H$3:$H$501,'ANALITIKA EU PROJEKATA'!$A$3:$A$501,"=559",'ANALITIKA EU PROJEKATA'!$Q$3:$Q$501,"=51")</f>
        <v>0</v>
      </c>
      <c r="N87" s="140">
        <f>SUMIFS('Plan rashoda za unos u SAP'!$J$3:$J$501,'Plan rashoda za unos u SAP'!$C$3:$C$501,"=561",'Plan rashoda za unos u SAP'!$N$3:$N$501,"=51")+SUMIFS('ANALITIKA EU PROJEKATA'!$H$3:$H$501,'ANALITIKA EU PROJEKATA'!$A$3:$A$501,"=561",'ANALITIKA EU PROJEKATA'!$Q$3:$Q$501,"=51")</f>
        <v>0</v>
      </c>
      <c r="O87" s="140">
        <f>SUMIFS('Plan rashoda za unos u SAP'!$J$3:$J$501,'Plan rashoda za unos u SAP'!$C$3:$C$501,"=563",'Plan rashoda za unos u SAP'!$N$3:$N$501,"=51")+SUMIFS('ANALITIKA EU PROJEKATA'!$H$3:$H$501,'ANALITIKA EU PROJEKATA'!$A$3:$A$501,"=563",'ANALITIKA EU PROJEKATA'!$Q$3:$Q$501,"=51")</f>
        <v>0</v>
      </c>
      <c r="P87" s="140">
        <f>SUMIFS('Plan rashoda za unos u SAP'!$J$3:$J$501,'Plan rashoda za unos u SAP'!$C$3:$C$501,"=573",'Plan rashoda za unos u SAP'!$N$3:$N$501,"=51")+SUMIFS('ANALITIKA EU PROJEKATA'!$H$3:$H$501,'ANALITIKA EU PROJEKATA'!$A$3:$A$501,"=573",'ANALITIKA EU PROJEKATA'!$Q$3:$Q$501,"=51")</f>
        <v>0</v>
      </c>
      <c r="Q87" s="140">
        <f>SUMIFS('Plan rashoda za unos u SAP'!$J$3:$J$501,'Plan rashoda za unos u SAP'!$C$3:$C$501,"=575",'Plan rashoda za unos u SAP'!$N$3:$N$501,"=51")+SUMIFS('ANALITIKA EU PROJEKATA'!$H$3:$H$501,'ANALITIKA EU PROJEKATA'!$A$3:$A$501,"=575",'ANALITIKA EU PROJEKATA'!$Q$3:$Q$501,"=51")</f>
        <v>0</v>
      </c>
      <c r="R87" s="140">
        <f>SUMIFS('Plan rashoda za unos u SAP'!$J$3:$J$501,'Plan rashoda za unos u SAP'!$C$3:$C$501,"=576",'Plan rashoda za unos u SAP'!$N$3:$N$501,"=51")+SUMIFS('ANALITIKA EU PROJEKATA'!$H$3:$H$501,'ANALITIKA EU PROJEKATA'!$A$3:$A$501,"=576",'ANALITIKA EU PROJEKATA'!$Q$3:$Q$501,"=51")</f>
        <v>0</v>
      </c>
      <c r="S87" s="140">
        <f>SUMIFS('Plan rashoda za unos u SAP'!$J$3:$J$501,'Plan rashoda za unos u SAP'!$C$3:$C$501,"=61",'Plan rashoda za unos u SAP'!$N$3:$N$501,"=51")+SUMIFS('ANALITIKA EU PROJEKATA'!$H$3:$H$501,'ANALITIKA EU PROJEKATA'!$A$3:$A$501,"=61",'ANALITIKA EU PROJEKATA'!$Q$3:$Q$501,"=51")</f>
        <v>0</v>
      </c>
      <c r="T87" s="140">
        <f>SUMIFS('Plan rashoda za unos u SAP'!$J$3:$J$501,'Plan rashoda za unos u SAP'!$C$3:$C$501,"=63",'Plan rashoda za unos u SAP'!$N$3:$N$501,"=51")+SUMIFS('ANALITIKA EU PROJEKATA'!$H$3:$H$501,'ANALITIKA EU PROJEKATA'!$A$3:$A$501,"=63",'ANALITIKA EU PROJEKATA'!$Q$3:$Q$501,"=51")</f>
        <v>0</v>
      </c>
      <c r="U87" s="140">
        <f>SUMIFS('Plan rashoda za unos u SAP'!$J$3:$J$501,'Plan rashoda za unos u SAP'!$C$3:$C$501,"=71",'Plan rashoda za unos u SAP'!$N$3:$N$501,"=51")+SUMIFS('ANALITIKA EU PROJEKATA'!$H$3:$H$501,'ANALITIKA EU PROJEKATA'!$A$3:$A$501,"=71",'ANALITIKA EU PROJEKATA'!$Q$3:$Q$501,"=51")</f>
        <v>0</v>
      </c>
      <c r="V87" s="140">
        <f>SUMIFS('Plan rashoda za unos u SAP'!$J$3:$J$501,'Plan rashoda za unos u SAP'!$C$3:$C$501,"=81",'Plan rashoda za unos u SAP'!$N$3:$N$501,"=51")+SUMIFS('ANALITIKA EU PROJEKATA'!$H$3:$H$501,'ANALITIKA EU PROJEKATA'!$A$3:$A$501,"=81",'ANALITIKA EU PROJEKATA'!$Q$3:$Q$501,"=51")</f>
        <v>0</v>
      </c>
      <c r="W87" s="140">
        <f>SUMIFS('Plan rashoda za unos u SAP'!$J$3:$J$501,'Plan rashoda za unos u SAP'!$C$3:$C$501,"=83",'Plan rashoda za unos u SAP'!$N$3:$N$501,"=51")+SUMIFS('ANALITIKA EU PROJEKATA'!$H$3:$H$501,'ANALITIKA EU PROJEKATA'!$A$3:$A$501,"=83",'ANALITIKA EU PROJEKATA'!$Q$3:$Q$501,"=51")</f>
        <v>0</v>
      </c>
      <c r="X87" s="79"/>
      <c r="Y87" s="79"/>
      <c r="Z87" s="79"/>
      <c r="AA87" s="79"/>
      <c r="AB87" s="79"/>
      <c r="AC87" s="79"/>
      <c r="AD87" s="79"/>
      <c r="AE87" s="79"/>
      <c r="AF87" s="79"/>
      <c r="AG87" s="79"/>
      <c r="AH87" s="79"/>
      <c r="AI87" s="79"/>
      <c r="AJ87" s="79"/>
      <c r="AK87" s="79"/>
      <c r="AL87" s="79"/>
      <c r="AM87" s="79"/>
      <c r="AN87" s="79"/>
      <c r="AO87" s="79"/>
      <c r="AP87" s="79"/>
      <c r="AQ87" s="79"/>
      <c r="AR87" s="79"/>
      <c r="AS87" s="79"/>
      <c r="AT87" s="79"/>
      <c r="AU87" s="79"/>
      <c r="AV87" s="79"/>
      <c r="AW87" s="79"/>
      <c r="AX87" s="79"/>
      <c r="AY87" s="79"/>
      <c r="AZ87" s="79"/>
      <c r="BA87" s="79"/>
      <c r="BB87" s="79"/>
      <c r="BC87" s="79"/>
      <c r="BD87" s="79"/>
      <c r="BE87" s="79"/>
      <c r="BF87" s="79"/>
      <c r="BG87" s="79"/>
      <c r="BH87" s="79"/>
      <c r="BI87" s="79"/>
      <c r="BJ87" s="79"/>
      <c r="BK87" s="79"/>
      <c r="BL87" s="79"/>
      <c r="BM87" s="79"/>
      <c r="BN87" s="79"/>
      <c r="BO87" s="79"/>
      <c r="BP87" s="79"/>
      <c r="BQ87" s="79"/>
      <c r="BR87" s="79"/>
      <c r="BS87" s="79"/>
      <c r="BT87" s="79"/>
      <c r="BU87" s="79"/>
      <c r="BV87" s="79"/>
      <c r="BW87" s="79"/>
      <c r="BX87" s="79"/>
      <c r="BY87" s="79"/>
      <c r="BZ87" s="79"/>
      <c r="CA87" s="79"/>
      <c r="CB87" s="79"/>
      <c r="CC87" s="79"/>
      <c r="CD87" s="79"/>
      <c r="CE87" s="79"/>
      <c r="CF87" s="79"/>
      <c r="CG87" s="79"/>
      <c r="CH87" s="79"/>
      <c r="CI87" s="79"/>
      <c r="CJ87" s="79"/>
      <c r="CK87" s="79"/>
      <c r="CL87" s="79"/>
      <c r="CM87" s="79"/>
      <c r="CN87" s="79"/>
      <c r="CO87" s="79"/>
      <c r="CP87" s="79"/>
      <c r="CQ87" s="79"/>
      <c r="CR87" s="79"/>
      <c r="CS87" s="79"/>
      <c r="CT87" s="79"/>
      <c r="CU87" s="79"/>
      <c r="CV87" s="79"/>
      <c r="CW87" s="79"/>
      <c r="CX87" s="79"/>
      <c r="CY87" s="79"/>
      <c r="CZ87" s="79"/>
      <c r="DA87" s="79"/>
      <c r="DB87" s="79"/>
      <c r="DC87" s="79"/>
      <c r="DD87" s="79"/>
      <c r="DE87" s="79"/>
      <c r="DF87" s="79"/>
      <c r="DG87" s="79"/>
      <c r="DH87" s="79"/>
      <c r="DI87" s="79"/>
      <c r="DJ87" s="79"/>
      <c r="DK87" s="79"/>
      <c r="DL87" s="79"/>
      <c r="DM87" s="79"/>
      <c r="DN87" s="79"/>
      <c r="DO87" s="79"/>
      <c r="DP87" s="79"/>
      <c r="DQ87" s="79"/>
      <c r="DR87" s="79"/>
      <c r="DS87" s="79"/>
      <c r="DT87" s="79"/>
      <c r="DU87" s="79"/>
      <c r="DV87" s="79"/>
      <c r="DW87" s="79"/>
      <c r="DX87" s="79"/>
      <c r="DY87" s="79"/>
      <c r="DZ87" s="79"/>
      <c r="EA87" s="79"/>
      <c r="EB87" s="79"/>
      <c r="EC87" s="79"/>
      <c r="ED87" s="79"/>
      <c r="EE87" s="79"/>
      <c r="EF87" s="79"/>
      <c r="EG87" s="79"/>
      <c r="EH87" s="79"/>
      <c r="EI87" s="79"/>
      <c r="EJ87" s="79"/>
      <c r="EK87" s="79"/>
      <c r="EL87" s="79"/>
      <c r="EM87" s="79"/>
      <c r="EN87" s="79"/>
      <c r="EO87" s="79"/>
      <c r="EP87" s="79"/>
      <c r="EQ87" s="79"/>
      <c r="ER87" s="79"/>
      <c r="ES87" s="79"/>
      <c r="ET87" s="79"/>
      <c r="EU87" s="79"/>
      <c r="EV87" s="79"/>
      <c r="EW87" s="79"/>
      <c r="EX87" s="79"/>
      <c r="EY87" s="79"/>
      <c r="EZ87" s="79"/>
      <c r="FA87" s="79"/>
      <c r="FB87" s="79"/>
      <c r="FC87" s="79"/>
      <c r="FD87" s="79"/>
      <c r="FE87" s="79"/>
      <c r="FF87" s="79"/>
      <c r="FG87" s="79"/>
      <c r="FH87" s="79"/>
      <c r="FI87" s="79"/>
      <c r="FJ87" s="79"/>
      <c r="FK87" s="79"/>
      <c r="FL87" s="79"/>
      <c r="FM87" s="79"/>
      <c r="FN87" s="79"/>
      <c r="FO87" s="79"/>
      <c r="FP87" s="79"/>
      <c r="FQ87" s="79"/>
      <c r="FR87" s="79"/>
      <c r="FS87" s="79"/>
      <c r="FT87" s="79"/>
      <c r="FU87" s="79"/>
      <c r="FV87" s="79"/>
      <c r="FW87" s="79"/>
      <c r="FX87" s="79"/>
      <c r="FY87" s="79"/>
      <c r="FZ87" s="79"/>
      <c r="GA87" s="79"/>
      <c r="GB87" s="79"/>
      <c r="GC87" s="79"/>
      <c r="GD87" s="79"/>
      <c r="GE87" s="79"/>
      <c r="GF87" s="79"/>
      <c r="GG87" s="79"/>
      <c r="GH87" s="79"/>
      <c r="GI87" s="79"/>
      <c r="GJ87" s="79"/>
      <c r="GK87" s="79"/>
      <c r="GL87" s="80"/>
      <c r="GM87" s="80"/>
      <c r="GN87" s="80"/>
      <c r="GO87" s="80"/>
      <c r="GP87" s="80"/>
      <c r="GQ87" s="80"/>
      <c r="GR87" s="80"/>
      <c r="GS87" s="80"/>
      <c r="GT87" s="80"/>
      <c r="GU87" s="80"/>
      <c r="GV87" s="80"/>
      <c r="GW87" s="80"/>
      <c r="GX87" s="80"/>
      <c r="GY87" s="80"/>
      <c r="GZ87" s="80"/>
      <c r="HA87" s="80"/>
      <c r="HB87" s="80"/>
      <c r="HC87" s="80"/>
      <c r="HD87" s="80"/>
      <c r="HE87" s="80"/>
      <c r="HF87" s="80"/>
      <c r="HG87" s="80"/>
      <c r="HH87" s="80"/>
      <c r="HI87" s="80"/>
      <c r="HJ87" s="80"/>
      <c r="HK87" s="80"/>
      <c r="HL87" s="80"/>
      <c r="HM87" s="80"/>
      <c r="HN87" s="80"/>
      <c r="HO87" s="80"/>
      <c r="HP87" s="80"/>
      <c r="HQ87" s="80"/>
      <c r="HR87" s="80"/>
      <c r="HS87" s="80"/>
      <c r="HT87" s="80"/>
      <c r="HU87" s="80"/>
      <c r="HV87" s="80"/>
      <c r="HW87" s="80"/>
      <c r="HX87" s="80"/>
      <c r="HY87" s="80"/>
      <c r="HZ87" s="80"/>
      <c r="IA87" s="80"/>
      <c r="IB87" s="80"/>
      <c r="IC87" s="80"/>
      <c r="ID87" s="80"/>
      <c r="IE87" s="80"/>
      <c r="IF87" s="80"/>
      <c r="IG87" s="80"/>
      <c r="IH87" s="80"/>
      <c r="II87" s="80"/>
      <c r="IJ87" s="80"/>
      <c r="IK87" s="80"/>
      <c r="IL87" s="80"/>
      <c r="IM87" s="80"/>
      <c r="IN87" s="80"/>
      <c r="IO87" s="80"/>
      <c r="IP87" s="80"/>
      <c r="IQ87" s="80"/>
      <c r="IR87" s="80"/>
      <c r="IS87" s="80"/>
      <c r="IT87" s="80"/>
      <c r="IU87" s="80"/>
      <c r="IV87" s="80"/>
      <c r="IW87" s="80"/>
      <c r="IX87" s="80"/>
      <c r="IY87" s="80"/>
      <c r="IZ87" s="80"/>
      <c r="JA87" s="80"/>
      <c r="JB87" s="80"/>
      <c r="JC87" s="80"/>
    </row>
    <row r="88" spans="1:263" s="13" customFormat="1" ht="12.6" customHeight="1">
      <c r="A88" s="22">
        <v>2022</v>
      </c>
      <c r="B88" s="10">
        <v>54</v>
      </c>
      <c r="C88" s="11" t="s">
        <v>358</v>
      </c>
      <c r="D88" s="78">
        <f t="shared" si="21"/>
        <v>0</v>
      </c>
      <c r="E88" s="140">
        <f>SUMIFS('Plan rashoda za unos u SAP'!$J$3:$J$501,'Plan rashoda za unos u SAP'!$C$3:$C$501,"=11",'Plan rashoda za unos u SAP'!$N$3:$N$501,"=54")+SUMIFS('ANALITIKA EU PROJEKATA'!$H$3:$H$501,'ANALITIKA EU PROJEKATA'!$A$3:$A$501,"=11",'ANALITIKA EU PROJEKATA'!$Q$3:$Q$501,"=54")</f>
        <v>0</v>
      </c>
      <c r="F88" s="140">
        <f>SUMIFS('Plan rashoda za unos u SAP'!$J$3:$J$501,'Plan rashoda za unos u SAP'!$C$3:$C$501,"=12",'Plan rashoda za unos u SAP'!$N$3:$N$501,"=54")+SUMIFS('ANALITIKA EU PROJEKATA'!$H$3:$H$501,'ANALITIKA EU PROJEKATA'!$A$3:$A$501,"=12",'ANALITIKA EU PROJEKATA'!$Q$3:$Q$501,"=54")</f>
        <v>0</v>
      </c>
      <c r="G88" s="140">
        <f>SUMIFS('Plan rashoda za unos u SAP'!$J$3:$J$501,'Plan rashoda za unos u SAP'!$C$3:$C$501,"=31",'Plan rashoda za unos u SAP'!$N$3:$N$501,"=54")+SUMIFS('ANALITIKA EU PROJEKATA'!$H$3:$H$501,'ANALITIKA EU PROJEKATA'!$A$3:$A$501,"=31",'ANALITIKA EU PROJEKATA'!$Q$3:$Q$501,"=54")</f>
        <v>0</v>
      </c>
      <c r="H88" s="140">
        <f>SUMIFS('Plan rashoda za unos u SAP'!$J$3:$J$501,'Plan rashoda za unos u SAP'!$C$3:$C$501,"=41",'Plan rashoda za unos u SAP'!$N$3:$N$501,"=54")+SUMIFS('ANALITIKA EU PROJEKATA'!$H$3:$H$501,'ANALITIKA EU PROJEKATA'!$A$3:$A$501,"=41",'ANALITIKA EU PROJEKATA'!$Q$3:$Q$501,"=54")</f>
        <v>0</v>
      </c>
      <c r="I88" s="140">
        <f>SUMIFS('Plan rashoda za unos u SAP'!$J$3:$J$501,'Plan rashoda za unos u SAP'!$C$3:$C$501,"=43",'Plan rashoda za unos u SAP'!$N$3:$N$501,"=54")+SUMIFS('ANALITIKA EU PROJEKATA'!$H$3:$H$501,'ANALITIKA EU PROJEKATA'!$A$3:$A$501,"=43",'ANALITIKA EU PROJEKATA'!$Q$3:$Q$501,"=54")</f>
        <v>0</v>
      </c>
      <c r="J88" s="140">
        <f>SUMIFS('Plan rashoda za unos u SAP'!$J$3:$J$501,'Plan rashoda za unos u SAP'!$C$3:$C$501,"=51",'Plan rashoda za unos u SAP'!$N$3:$N$501,"=54")+SUMIFS('ANALITIKA EU PROJEKATA'!$H$3:$H$501,'ANALITIKA EU PROJEKATA'!$A$3:$A$501,"=51",'ANALITIKA EU PROJEKATA'!$Q$3:$Q$501,"=54")</f>
        <v>0</v>
      </c>
      <c r="K88" s="140">
        <f>SUMIFS('Plan rashoda za unos u SAP'!$J$3:$J$501,'Plan rashoda za unos u SAP'!$C$3:$C$501,"=52",'Plan rashoda za unos u SAP'!$N$3:$N$501,"=54")+SUMIFS('ANALITIKA EU PROJEKATA'!$H$3:$H$501,'ANALITIKA EU PROJEKATA'!$A$3:$A$501,"=52",'ANALITIKA EU PROJEKATA'!$Q$3:$Q$501,"=54")</f>
        <v>0</v>
      </c>
      <c r="L88" s="140">
        <f>SUMIFS('Plan rashoda za unos u SAP'!$J$3:$J$501,'Plan rashoda za unos u SAP'!$C$3:$C$501,"=552",'Plan rashoda za unos u SAP'!$N$3:$N$501,"=54")+SUMIFS('ANALITIKA EU PROJEKATA'!$H$3:$H$501,'ANALITIKA EU PROJEKATA'!$A$3:$A$501,"=552",'ANALITIKA EU PROJEKATA'!$Q$3:$Q$501,"=54")</f>
        <v>0</v>
      </c>
      <c r="M88" s="140">
        <f>SUMIFS('Plan rashoda za unos u SAP'!$J$3:$J$501,'Plan rashoda za unos u SAP'!$C$3:$C$501,"=559",'Plan rashoda za unos u SAP'!$N$3:$N$501,"=54")+SUMIFS('ANALITIKA EU PROJEKATA'!$H$3:$H$501,'ANALITIKA EU PROJEKATA'!$A$3:$A$501,"=559",'ANALITIKA EU PROJEKATA'!$Q$3:$Q$501,"=54")</f>
        <v>0</v>
      </c>
      <c r="N88" s="140">
        <f>SUMIFS('Plan rashoda za unos u SAP'!$J$3:$J$501,'Plan rashoda za unos u SAP'!$C$3:$C$501,"=561",'Plan rashoda za unos u SAP'!$N$3:$N$501,"=54")+SUMIFS('ANALITIKA EU PROJEKATA'!$H$3:$H$501,'ANALITIKA EU PROJEKATA'!$A$3:$A$501,"=561",'ANALITIKA EU PROJEKATA'!$Q$3:$Q$501,"=54")</f>
        <v>0</v>
      </c>
      <c r="O88" s="140">
        <f>SUMIFS('Plan rashoda za unos u SAP'!$J$3:$J$501,'Plan rashoda za unos u SAP'!$C$3:$C$501,"=563",'Plan rashoda za unos u SAP'!$N$3:$N$501,"=54")+SUMIFS('ANALITIKA EU PROJEKATA'!$H$3:$H$501,'ANALITIKA EU PROJEKATA'!$A$3:$A$501,"=563",'ANALITIKA EU PROJEKATA'!$Q$3:$Q$501,"=54")</f>
        <v>0</v>
      </c>
      <c r="P88" s="140">
        <f>SUMIFS('Plan rashoda za unos u SAP'!$J$3:$J$501,'Plan rashoda za unos u SAP'!$C$3:$C$501,"=573",'Plan rashoda za unos u SAP'!$N$3:$N$501,"=54")+SUMIFS('ANALITIKA EU PROJEKATA'!$H$3:$H$501,'ANALITIKA EU PROJEKATA'!$A$3:$A$501,"=573",'ANALITIKA EU PROJEKATA'!$Q$3:$Q$501,"=54")</f>
        <v>0</v>
      </c>
      <c r="Q88" s="140">
        <f>SUMIFS('Plan rashoda za unos u SAP'!$J$3:$J$501,'Plan rashoda za unos u SAP'!$C$3:$C$501,"=575",'Plan rashoda za unos u SAP'!$N$3:$N$501,"=54")+SUMIFS('ANALITIKA EU PROJEKATA'!$H$3:$H$501,'ANALITIKA EU PROJEKATA'!$A$3:$A$501,"=575",'ANALITIKA EU PROJEKATA'!$Q$3:$Q$501,"=54")</f>
        <v>0</v>
      </c>
      <c r="R88" s="140">
        <f>SUMIFS('Plan rashoda za unos u SAP'!$J$3:$J$501,'Plan rashoda za unos u SAP'!$C$3:$C$501,"=576",'Plan rashoda za unos u SAP'!$N$3:$N$501,"=54")+SUMIFS('ANALITIKA EU PROJEKATA'!$H$3:$H$501,'ANALITIKA EU PROJEKATA'!$A$3:$A$501,"=576",'ANALITIKA EU PROJEKATA'!$Q$3:$Q$501,"=54")</f>
        <v>0</v>
      </c>
      <c r="S88" s="140">
        <f>SUMIFS('Plan rashoda za unos u SAP'!$J$3:$J$501,'Plan rashoda za unos u SAP'!$C$3:$C$501,"=61",'Plan rashoda za unos u SAP'!$N$3:$N$501,"=54")+SUMIFS('ANALITIKA EU PROJEKATA'!$H$3:$H$501,'ANALITIKA EU PROJEKATA'!$A$3:$A$501,"=61",'ANALITIKA EU PROJEKATA'!$Q$3:$Q$501,"=54")</f>
        <v>0</v>
      </c>
      <c r="T88" s="140">
        <f>SUMIFS('Plan rashoda za unos u SAP'!$J$3:$J$501,'Plan rashoda za unos u SAP'!$C$3:$C$501,"=63",'Plan rashoda za unos u SAP'!$N$3:$N$501,"=54")+SUMIFS('ANALITIKA EU PROJEKATA'!$H$3:$H$501,'ANALITIKA EU PROJEKATA'!$A$3:$A$501,"=63",'ANALITIKA EU PROJEKATA'!$Q$3:$Q$501,"=54")</f>
        <v>0</v>
      </c>
      <c r="U88" s="140">
        <f>SUMIFS('Plan rashoda za unos u SAP'!$J$3:$J$501,'Plan rashoda za unos u SAP'!$C$3:$C$501,"=71",'Plan rashoda za unos u SAP'!$N$3:$N$501,"=54")+SUMIFS('ANALITIKA EU PROJEKATA'!$H$3:$H$501,'ANALITIKA EU PROJEKATA'!$A$3:$A$501,"=71",'ANALITIKA EU PROJEKATA'!$Q$3:$Q$501,"=54")</f>
        <v>0</v>
      </c>
      <c r="V88" s="140">
        <f>SUMIFS('Plan rashoda za unos u SAP'!$J$3:$J$501,'Plan rashoda za unos u SAP'!$C$3:$C$501,"=81",'Plan rashoda za unos u SAP'!$N$3:$N$501,"=54")+SUMIFS('ANALITIKA EU PROJEKATA'!$H$3:$H$501,'ANALITIKA EU PROJEKATA'!$A$3:$A$501,"=81",'ANALITIKA EU PROJEKATA'!$Q$3:$Q$501,"=54")</f>
        <v>0</v>
      </c>
      <c r="W88" s="140">
        <f>SUMIFS('Plan rashoda za unos u SAP'!$J$3:$J$501,'Plan rashoda za unos u SAP'!$C$3:$C$501,"=83",'Plan rashoda za unos u SAP'!$N$3:$N$501,"=54")+SUMIFS('ANALITIKA EU PROJEKATA'!$H$3:$H$501,'ANALITIKA EU PROJEKATA'!$A$3:$A$501,"=83",'ANALITIKA EU PROJEKATA'!$Q$3:$Q$501,"=54")</f>
        <v>0</v>
      </c>
      <c r="X88" s="79"/>
      <c r="Y88" s="79"/>
      <c r="Z88" s="79"/>
      <c r="AA88" s="79"/>
      <c r="AB88" s="79"/>
      <c r="AC88" s="79"/>
      <c r="AD88" s="79"/>
      <c r="AE88" s="79"/>
      <c r="AF88" s="79"/>
      <c r="AG88" s="79"/>
      <c r="AH88" s="79"/>
      <c r="AI88" s="79"/>
      <c r="AJ88" s="79"/>
      <c r="AK88" s="79"/>
      <c r="AL88" s="79"/>
      <c r="AM88" s="79"/>
      <c r="AN88" s="79"/>
      <c r="AO88" s="79"/>
      <c r="AP88" s="79"/>
      <c r="AQ88" s="79"/>
      <c r="AR88" s="79"/>
      <c r="AS88" s="79"/>
      <c r="AT88" s="79"/>
      <c r="AU88" s="79"/>
      <c r="AV88" s="79"/>
      <c r="AW88" s="79"/>
      <c r="AX88" s="79"/>
      <c r="AY88" s="79"/>
      <c r="AZ88" s="79"/>
      <c r="BA88" s="79"/>
      <c r="BB88" s="79"/>
      <c r="BC88" s="79"/>
      <c r="BD88" s="79"/>
      <c r="BE88" s="79"/>
      <c r="BF88" s="79"/>
      <c r="BG88" s="79"/>
      <c r="BH88" s="79"/>
      <c r="BI88" s="79"/>
      <c r="BJ88" s="79"/>
      <c r="BK88" s="79"/>
      <c r="BL88" s="79"/>
      <c r="BM88" s="79"/>
      <c r="BN88" s="79"/>
      <c r="BO88" s="79"/>
      <c r="BP88" s="79"/>
      <c r="BQ88" s="79"/>
      <c r="BR88" s="79"/>
      <c r="BS88" s="79"/>
      <c r="BT88" s="79"/>
      <c r="BU88" s="79"/>
      <c r="BV88" s="79"/>
      <c r="BW88" s="79"/>
      <c r="BX88" s="79"/>
      <c r="BY88" s="79"/>
      <c r="BZ88" s="79"/>
      <c r="CA88" s="79"/>
      <c r="CB88" s="79"/>
      <c r="CC88" s="79"/>
      <c r="CD88" s="79"/>
      <c r="CE88" s="79"/>
      <c r="CF88" s="79"/>
      <c r="CG88" s="79"/>
      <c r="CH88" s="79"/>
      <c r="CI88" s="79"/>
      <c r="CJ88" s="79"/>
      <c r="CK88" s="79"/>
      <c r="CL88" s="79"/>
      <c r="CM88" s="79"/>
      <c r="CN88" s="79"/>
      <c r="CO88" s="79"/>
      <c r="CP88" s="79"/>
      <c r="CQ88" s="79"/>
      <c r="CR88" s="79"/>
      <c r="CS88" s="79"/>
      <c r="CT88" s="79"/>
      <c r="CU88" s="79"/>
      <c r="CV88" s="79"/>
      <c r="CW88" s="79"/>
      <c r="CX88" s="79"/>
      <c r="CY88" s="79"/>
      <c r="CZ88" s="79"/>
      <c r="DA88" s="79"/>
      <c r="DB88" s="79"/>
      <c r="DC88" s="79"/>
      <c r="DD88" s="79"/>
      <c r="DE88" s="79"/>
      <c r="DF88" s="79"/>
      <c r="DG88" s="79"/>
      <c r="DH88" s="79"/>
      <c r="DI88" s="79"/>
      <c r="DJ88" s="79"/>
      <c r="DK88" s="79"/>
      <c r="DL88" s="79"/>
      <c r="DM88" s="79"/>
      <c r="DN88" s="79"/>
      <c r="DO88" s="79"/>
      <c r="DP88" s="79"/>
      <c r="DQ88" s="79"/>
      <c r="DR88" s="79"/>
      <c r="DS88" s="79"/>
      <c r="DT88" s="79"/>
      <c r="DU88" s="79"/>
      <c r="DV88" s="79"/>
      <c r="DW88" s="79"/>
      <c r="DX88" s="79"/>
      <c r="DY88" s="79"/>
      <c r="DZ88" s="79"/>
      <c r="EA88" s="79"/>
      <c r="EB88" s="79"/>
      <c r="EC88" s="79"/>
      <c r="ED88" s="79"/>
      <c r="EE88" s="79"/>
      <c r="EF88" s="79"/>
      <c r="EG88" s="79"/>
      <c r="EH88" s="79"/>
      <c r="EI88" s="79"/>
      <c r="EJ88" s="79"/>
      <c r="EK88" s="79"/>
      <c r="EL88" s="79"/>
      <c r="EM88" s="79"/>
      <c r="EN88" s="79"/>
      <c r="EO88" s="79"/>
      <c r="EP88" s="79"/>
      <c r="EQ88" s="79"/>
      <c r="ER88" s="79"/>
      <c r="ES88" s="79"/>
      <c r="ET88" s="79"/>
      <c r="EU88" s="79"/>
      <c r="EV88" s="79"/>
      <c r="EW88" s="79"/>
      <c r="EX88" s="79"/>
      <c r="EY88" s="79"/>
      <c r="EZ88" s="79"/>
      <c r="FA88" s="79"/>
      <c r="FB88" s="79"/>
      <c r="FC88" s="79"/>
      <c r="FD88" s="79"/>
      <c r="FE88" s="79"/>
      <c r="FF88" s="79"/>
      <c r="FG88" s="79"/>
      <c r="FH88" s="79"/>
      <c r="FI88" s="79"/>
      <c r="FJ88" s="79"/>
      <c r="FK88" s="79"/>
      <c r="FL88" s="79"/>
      <c r="FM88" s="79"/>
      <c r="FN88" s="79"/>
      <c r="FO88" s="79"/>
      <c r="FP88" s="79"/>
      <c r="FQ88" s="79"/>
      <c r="FR88" s="79"/>
      <c r="FS88" s="79"/>
      <c r="FT88" s="79"/>
      <c r="FU88" s="79"/>
      <c r="FV88" s="79"/>
      <c r="FW88" s="79"/>
      <c r="FX88" s="79"/>
      <c r="FY88" s="79"/>
      <c r="FZ88" s="79"/>
      <c r="GA88" s="79"/>
      <c r="GB88" s="79"/>
      <c r="GC88" s="79"/>
      <c r="GD88" s="79"/>
      <c r="GE88" s="79"/>
      <c r="GF88" s="79"/>
      <c r="GG88" s="79"/>
      <c r="GH88" s="79"/>
      <c r="GI88" s="79"/>
      <c r="GJ88" s="79"/>
      <c r="GK88" s="79"/>
      <c r="GL88" s="80"/>
      <c r="GM88" s="80"/>
      <c r="GN88" s="80"/>
      <c r="GO88" s="80"/>
      <c r="GP88" s="80"/>
      <c r="GQ88" s="80"/>
      <c r="GR88" s="80"/>
      <c r="GS88" s="80"/>
      <c r="GT88" s="80"/>
      <c r="GU88" s="80"/>
      <c r="GV88" s="80"/>
      <c r="GW88" s="80"/>
      <c r="GX88" s="80"/>
      <c r="GY88" s="80"/>
      <c r="GZ88" s="80"/>
      <c r="HA88" s="80"/>
      <c r="HB88" s="80"/>
      <c r="HC88" s="80"/>
      <c r="HD88" s="80"/>
      <c r="HE88" s="80"/>
      <c r="HF88" s="80"/>
      <c r="HG88" s="80"/>
      <c r="HH88" s="80"/>
      <c r="HI88" s="80"/>
      <c r="HJ88" s="80"/>
      <c r="HK88" s="80"/>
      <c r="HL88" s="80"/>
      <c r="HM88" s="80"/>
      <c r="HN88" s="80"/>
      <c r="HO88" s="80"/>
      <c r="HP88" s="80"/>
      <c r="HQ88" s="80"/>
      <c r="HR88" s="80"/>
      <c r="HS88" s="80"/>
      <c r="HT88" s="80"/>
      <c r="HU88" s="80"/>
      <c r="HV88" s="80"/>
      <c r="HW88" s="80"/>
      <c r="HX88" s="80"/>
      <c r="HY88" s="80"/>
      <c r="HZ88" s="80"/>
      <c r="IA88" s="80"/>
      <c r="IB88" s="80"/>
      <c r="IC88" s="80"/>
      <c r="ID88" s="80"/>
      <c r="IE88" s="80"/>
      <c r="IF88" s="80"/>
      <c r="IG88" s="80"/>
      <c r="IH88" s="80"/>
      <c r="II88" s="80"/>
      <c r="IJ88" s="80"/>
      <c r="IK88" s="80"/>
      <c r="IL88" s="80"/>
      <c r="IM88" s="80"/>
      <c r="IN88" s="80"/>
      <c r="IO88" s="80"/>
      <c r="IP88" s="80"/>
      <c r="IQ88" s="80"/>
      <c r="IR88" s="80"/>
      <c r="IS88" s="80"/>
      <c r="IT88" s="80"/>
      <c r="IU88" s="80"/>
      <c r="IV88" s="80"/>
      <c r="IW88" s="80"/>
      <c r="IX88" s="80"/>
      <c r="IY88" s="80"/>
      <c r="IZ88" s="80"/>
      <c r="JA88" s="80"/>
      <c r="JB88" s="80"/>
      <c r="JC88" s="80"/>
    </row>
    <row r="89" spans="1:263" s="72" customFormat="1">
      <c r="B89" s="73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GL89" s="73"/>
      <c r="GM89" s="73"/>
      <c r="GN89" s="73"/>
      <c r="GO89" s="73"/>
      <c r="GP89" s="73"/>
      <c r="GQ89" s="73"/>
      <c r="GR89" s="73"/>
      <c r="GS89" s="73"/>
      <c r="GT89" s="73"/>
      <c r="GU89" s="73"/>
      <c r="GV89" s="73"/>
      <c r="GW89" s="73"/>
      <c r="GX89" s="73"/>
      <c r="GY89" s="73"/>
      <c r="GZ89" s="73"/>
      <c r="HA89" s="73"/>
      <c r="HB89" s="73"/>
      <c r="HC89" s="73"/>
      <c r="HD89" s="73"/>
      <c r="HE89" s="73"/>
      <c r="HF89" s="73"/>
      <c r="HG89" s="73"/>
      <c r="HH89" s="73"/>
      <c r="HI89" s="73"/>
      <c r="HJ89" s="73"/>
      <c r="HK89" s="73"/>
      <c r="HL89" s="73"/>
      <c r="HM89" s="73"/>
      <c r="HN89" s="73"/>
      <c r="HO89" s="73"/>
      <c r="HP89" s="73"/>
      <c r="HQ89" s="73"/>
      <c r="HR89" s="73"/>
      <c r="HS89" s="73"/>
      <c r="HT89" s="73"/>
      <c r="HU89" s="73"/>
      <c r="HV89" s="73"/>
      <c r="HW89" s="73"/>
      <c r="HX89" s="73"/>
      <c r="HY89" s="73"/>
      <c r="HZ89" s="73"/>
      <c r="IA89" s="73"/>
      <c r="IB89" s="73"/>
      <c r="IC89" s="73"/>
      <c r="ID89" s="73"/>
      <c r="IE89" s="73"/>
      <c r="IF89" s="73"/>
      <c r="IG89" s="73"/>
      <c r="IH89" s="73"/>
      <c r="II89" s="73"/>
      <c r="IJ89" s="73"/>
      <c r="IK89" s="73"/>
      <c r="IL89" s="73"/>
      <c r="IM89" s="73"/>
      <c r="IN89" s="73"/>
      <c r="IO89" s="73"/>
      <c r="IP89" s="73"/>
      <c r="IQ89" s="73"/>
      <c r="IR89" s="73"/>
      <c r="IS89" s="73"/>
      <c r="IT89" s="73"/>
      <c r="IU89" s="73"/>
      <c r="IV89" s="73"/>
      <c r="IW89" s="73"/>
      <c r="IX89" s="73"/>
      <c r="IY89" s="73"/>
      <c r="IZ89" s="73"/>
      <c r="JA89" s="73"/>
      <c r="JB89" s="73"/>
      <c r="JC89" s="73"/>
    </row>
    <row r="90" spans="1:263" s="74" customFormat="1" ht="71.45" customHeight="1">
      <c r="A90" s="93" t="s">
        <v>2139</v>
      </c>
      <c r="B90" s="93" t="s">
        <v>202</v>
      </c>
      <c r="C90" s="93" t="s">
        <v>203</v>
      </c>
      <c r="D90" s="2" t="s">
        <v>356</v>
      </c>
      <c r="E90" s="2" t="s">
        <v>40</v>
      </c>
      <c r="F90" s="2" t="s">
        <v>325</v>
      </c>
      <c r="G90" s="93" t="s">
        <v>19</v>
      </c>
      <c r="H90" s="93" t="s">
        <v>1560</v>
      </c>
      <c r="I90" s="93" t="s">
        <v>20</v>
      </c>
      <c r="J90" s="93" t="s">
        <v>273</v>
      </c>
      <c r="K90" s="93" t="s">
        <v>274</v>
      </c>
      <c r="L90" s="93" t="s">
        <v>1561</v>
      </c>
      <c r="M90" s="93" t="s">
        <v>275</v>
      </c>
      <c r="N90" s="93" t="s">
        <v>276</v>
      </c>
      <c r="O90" s="93" t="s">
        <v>277</v>
      </c>
      <c r="P90" s="93" t="s">
        <v>1562</v>
      </c>
      <c r="Q90" s="93" t="s">
        <v>1563</v>
      </c>
      <c r="R90" s="93" t="s">
        <v>2133</v>
      </c>
      <c r="S90" s="93" t="s">
        <v>278</v>
      </c>
      <c r="T90" s="93" t="s">
        <v>279</v>
      </c>
      <c r="U90" s="93" t="s">
        <v>1534</v>
      </c>
      <c r="V90" s="93" t="s">
        <v>1533</v>
      </c>
      <c r="W90" s="93" t="s">
        <v>1535</v>
      </c>
      <c r="GL90" s="73"/>
      <c r="GM90" s="73"/>
      <c r="GN90" s="73"/>
      <c r="GO90" s="73"/>
      <c r="GP90" s="73"/>
      <c r="GQ90" s="73"/>
      <c r="GR90" s="73"/>
      <c r="GS90" s="73"/>
      <c r="GT90" s="73"/>
      <c r="GU90" s="73"/>
      <c r="GV90" s="73"/>
      <c r="GW90" s="73"/>
      <c r="GX90" s="73"/>
      <c r="GY90" s="73"/>
      <c r="GZ90" s="73"/>
      <c r="HA90" s="73"/>
      <c r="HB90" s="73"/>
      <c r="HC90" s="73"/>
      <c r="HD90" s="73"/>
      <c r="HE90" s="73"/>
      <c r="HF90" s="73"/>
      <c r="HG90" s="73"/>
      <c r="HH90" s="73"/>
      <c r="HI90" s="73"/>
      <c r="HJ90" s="73"/>
      <c r="HK90" s="73"/>
      <c r="HL90" s="73"/>
      <c r="HM90" s="73"/>
      <c r="HN90" s="73"/>
      <c r="HO90" s="73"/>
      <c r="HP90" s="73"/>
      <c r="HQ90" s="73"/>
      <c r="HR90" s="73"/>
      <c r="HS90" s="73"/>
      <c r="HT90" s="73"/>
      <c r="HU90" s="73"/>
      <c r="HV90" s="73"/>
      <c r="HW90" s="73"/>
      <c r="HX90" s="73"/>
      <c r="HY90" s="73"/>
      <c r="HZ90" s="73"/>
      <c r="IA90" s="73"/>
      <c r="IB90" s="73"/>
      <c r="IC90" s="73"/>
      <c r="ID90" s="73"/>
      <c r="IE90" s="73"/>
      <c r="IF90" s="73"/>
      <c r="IG90" s="73"/>
      <c r="IH90" s="73"/>
      <c r="II90" s="73"/>
      <c r="IJ90" s="73"/>
      <c r="IK90" s="73"/>
      <c r="IL90" s="73"/>
      <c r="IM90" s="73"/>
      <c r="IN90" s="73"/>
      <c r="IO90" s="73"/>
      <c r="IP90" s="73"/>
      <c r="IQ90" s="73"/>
      <c r="IR90" s="73"/>
      <c r="IS90" s="73"/>
      <c r="IT90" s="73"/>
      <c r="IU90" s="73"/>
      <c r="IV90" s="73"/>
      <c r="IW90" s="73"/>
      <c r="IX90" s="73"/>
      <c r="IY90" s="73"/>
      <c r="IZ90" s="73"/>
      <c r="JA90" s="73"/>
      <c r="JB90" s="73"/>
      <c r="JC90" s="73"/>
    </row>
    <row r="91" spans="1:263" s="22" customFormat="1" ht="19.5" customHeight="1">
      <c r="A91" s="22">
        <v>2023</v>
      </c>
      <c r="B91" s="119"/>
      <c r="C91" s="119" t="s">
        <v>350</v>
      </c>
      <c r="D91" s="120">
        <f>SUM(E91:W91)</f>
        <v>37186007.600000001</v>
      </c>
      <c r="E91" s="121">
        <f t="shared" ref="E91:W91" si="25">E92+E100+E106</f>
        <v>25271030</v>
      </c>
      <c r="F91" s="121">
        <f t="shared" si="25"/>
        <v>0</v>
      </c>
      <c r="G91" s="121">
        <f t="shared" si="25"/>
        <v>4629565.8</v>
      </c>
      <c r="H91" s="121">
        <f>H92+H100+H106</f>
        <v>0</v>
      </c>
      <c r="I91" s="121">
        <f t="shared" si="25"/>
        <v>6381589.7999999998</v>
      </c>
      <c r="J91" s="121">
        <f t="shared" si="25"/>
        <v>192885</v>
      </c>
      <c r="K91" s="121">
        <f t="shared" si="25"/>
        <v>0</v>
      </c>
      <c r="L91" s="121">
        <f>L92+L100+L106</f>
        <v>0</v>
      </c>
      <c r="M91" s="121">
        <f t="shared" si="25"/>
        <v>0</v>
      </c>
      <c r="N91" s="121">
        <f t="shared" si="25"/>
        <v>680937</v>
      </c>
      <c r="O91" s="121">
        <f t="shared" si="25"/>
        <v>0</v>
      </c>
      <c r="P91" s="121">
        <f>P92+P100+P106</f>
        <v>0</v>
      </c>
      <c r="Q91" s="121">
        <f>Q92+Q100+Q106</f>
        <v>0</v>
      </c>
      <c r="R91" s="121">
        <f>R92+R100+R106</f>
        <v>0</v>
      </c>
      <c r="S91" s="121">
        <f t="shared" si="25"/>
        <v>30000</v>
      </c>
      <c r="T91" s="121">
        <f t="shared" si="25"/>
        <v>0</v>
      </c>
      <c r="U91" s="121">
        <f t="shared" si="25"/>
        <v>0</v>
      </c>
      <c r="V91" s="121">
        <f t="shared" si="25"/>
        <v>0</v>
      </c>
      <c r="W91" s="121">
        <f t="shared" si="25"/>
        <v>0</v>
      </c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  <c r="AJ91" s="75"/>
      <c r="AK91" s="75"/>
      <c r="AL91" s="75"/>
      <c r="AM91" s="75"/>
      <c r="AN91" s="76"/>
      <c r="AO91" s="76"/>
      <c r="AP91" s="76"/>
      <c r="AQ91" s="76"/>
      <c r="AR91" s="75"/>
      <c r="AS91" s="75"/>
      <c r="AT91" s="75"/>
      <c r="AU91" s="75"/>
      <c r="AV91" s="75"/>
      <c r="AW91" s="75"/>
      <c r="AX91" s="75"/>
      <c r="AY91" s="75"/>
      <c r="AZ91" s="75"/>
      <c r="BA91" s="75"/>
      <c r="BB91" s="75"/>
      <c r="BC91" s="75"/>
      <c r="BD91" s="75"/>
      <c r="BE91" s="75"/>
      <c r="BF91" s="75"/>
      <c r="BG91" s="75"/>
      <c r="BH91" s="75"/>
      <c r="BI91" s="75"/>
      <c r="BJ91" s="75"/>
      <c r="BK91" s="75"/>
      <c r="BL91" s="75"/>
      <c r="BM91" s="75"/>
      <c r="BN91" s="75"/>
      <c r="BO91" s="75"/>
      <c r="BP91" s="75"/>
      <c r="BQ91" s="75"/>
      <c r="BR91" s="75"/>
      <c r="BS91" s="75"/>
      <c r="BT91" s="75"/>
      <c r="BU91" s="75"/>
      <c r="BV91" s="75"/>
      <c r="BW91" s="75"/>
      <c r="BX91" s="75"/>
      <c r="BY91" s="75"/>
      <c r="BZ91" s="75"/>
      <c r="CA91" s="75"/>
      <c r="CB91" s="75"/>
      <c r="CC91" s="75"/>
      <c r="CD91" s="75"/>
      <c r="CE91" s="75"/>
      <c r="CF91" s="75"/>
      <c r="CG91" s="75"/>
      <c r="CH91" s="75"/>
      <c r="CI91" s="75"/>
      <c r="CJ91" s="75"/>
      <c r="CK91" s="75"/>
      <c r="CL91" s="75"/>
      <c r="CM91" s="75"/>
      <c r="CN91" s="75"/>
      <c r="CO91" s="75"/>
      <c r="CP91" s="75"/>
      <c r="CQ91" s="75"/>
      <c r="CR91" s="75"/>
      <c r="CS91" s="75"/>
      <c r="CT91" s="75"/>
      <c r="CU91" s="75"/>
      <c r="CV91" s="75"/>
      <c r="CW91" s="75"/>
      <c r="CX91" s="75"/>
      <c r="CY91" s="75"/>
      <c r="CZ91" s="75"/>
      <c r="DA91" s="75"/>
      <c r="DB91" s="75"/>
      <c r="DC91" s="75"/>
      <c r="DD91" s="75"/>
      <c r="DE91" s="75"/>
      <c r="DF91" s="75"/>
      <c r="DG91" s="75"/>
      <c r="DH91" s="75"/>
      <c r="DI91" s="75"/>
      <c r="DJ91" s="75"/>
      <c r="DK91" s="75"/>
      <c r="DL91" s="75"/>
      <c r="DM91" s="75"/>
      <c r="DN91" s="75"/>
      <c r="DO91" s="75"/>
      <c r="DP91" s="75"/>
      <c r="DQ91" s="75"/>
      <c r="DR91" s="75"/>
      <c r="DS91" s="75"/>
      <c r="DT91" s="75"/>
      <c r="DU91" s="75"/>
      <c r="DV91" s="75"/>
      <c r="DW91" s="75"/>
      <c r="DX91" s="75"/>
      <c r="DY91" s="75"/>
      <c r="DZ91" s="75"/>
      <c r="EA91" s="75"/>
      <c r="EB91" s="75"/>
      <c r="EC91" s="75"/>
      <c r="ED91" s="75"/>
      <c r="EE91" s="75"/>
      <c r="EF91" s="75"/>
      <c r="EG91" s="75"/>
      <c r="EH91" s="75"/>
      <c r="EI91" s="75"/>
      <c r="EJ91" s="75"/>
      <c r="EK91" s="75"/>
      <c r="EL91" s="75"/>
      <c r="EM91" s="75"/>
      <c r="EN91" s="75"/>
      <c r="EO91" s="75"/>
      <c r="EP91" s="75"/>
      <c r="EQ91" s="75"/>
      <c r="ER91" s="75"/>
      <c r="ES91" s="75"/>
      <c r="ET91" s="75"/>
      <c r="EU91" s="75"/>
      <c r="EV91" s="75"/>
      <c r="EW91" s="75"/>
      <c r="EX91" s="75"/>
      <c r="EY91" s="75"/>
      <c r="EZ91" s="75"/>
      <c r="FA91" s="75"/>
      <c r="FB91" s="75"/>
      <c r="FC91" s="75"/>
      <c r="FD91" s="75"/>
      <c r="FE91" s="75"/>
      <c r="FF91" s="75"/>
      <c r="FG91" s="75"/>
      <c r="FH91" s="75"/>
      <c r="FI91" s="75"/>
      <c r="FJ91" s="75"/>
      <c r="FK91" s="75"/>
      <c r="FL91" s="75"/>
      <c r="FM91" s="75"/>
      <c r="FN91" s="75"/>
      <c r="FO91" s="75"/>
      <c r="FP91" s="75"/>
      <c r="FQ91" s="75"/>
      <c r="FR91" s="75"/>
      <c r="FS91" s="75"/>
      <c r="FT91" s="75"/>
      <c r="FU91" s="75"/>
      <c r="FV91" s="75"/>
      <c r="FW91" s="75"/>
      <c r="FX91" s="75"/>
      <c r="FY91" s="75"/>
      <c r="FZ91" s="75"/>
      <c r="GA91" s="75"/>
      <c r="GB91" s="75"/>
      <c r="GC91" s="75"/>
      <c r="GD91" s="75"/>
      <c r="GE91" s="75"/>
      <c r="GF91" s="75"/>
      <c r="GG91" s="75"/>
      <c r="GH91" s="75"/>
      <c r="GI91" s="75"/>
      <c r="GJ91" s="75"/>
      <c r="GK91" s="75"/>
      <c r="GL91" s="76"/>
      <c r="GM91" s="76"/>
      <c r="GN91" s="76"/>
      <c r="GO91" s="76"/>
      <c r="GP91" s="76"/>
      <c r="GQ91" s="76"/>
      <c r="GR91" s="76"/>
      <c r="GS91" s="76"/>
      <c r="GT91" s="76"/>
      <c r="GU91" s="76"/>
      <c r="GV91" s="76"/>
      <c r="GW91" s="76"/>
      <c r="GX91" s="76"/>
      <c r="GY91" s="76"/>
      <c r="GZ91" s="76"/>
      <c r="HA91" s="76"/>
      <c r="HB91" s="76"/>
      <c r="HC91" s="76"/>
      <c r="HD91" s="76"/>
      <c r="HE91" s="76"/>
      <c r="HF91" s="76"/>
      <c r="HG91" s="76"/>
      <c r="HH91" s="76"/>
      <c r="HI91" s="76"/>
      <c r="HJ91" s="76"/>
      <c r="HK91" s="76"/>
      <c r="HL91" s="76"/>
      <c r="HM91" s="76"/>
      <c r="HN91" s="76"/>
      <c r="HO91" s="76"/>
      <c r="HP91" s="76"/>
      <c r="HQ91" s="76"/>
      <c r="HR91" s="76"/>
      <c r="HS91" s="76"/>
      <c r="HT91" s="76"/>
      <c r="HU91" s="76"/>
      <c r="HV91" s="76"/>
      <c r="HW91" s="76"/>
      <c r="HX91" s="76"/>
      <c r="HY91" s="76"/>
      <c r="HZ91" s="76"/>
      <c r="IA91" s="76"/>
      <c r="IB91" s="76"/>
      <c r="IC91" s="76"/>
      <c r="ID91" s="76"/>
      <c r="IE91" s="76"/>
      <c r="IF91" s="76"/>
      <c r="IG91" s="76"/>
      <c r="IH91" s="76"/>
      <c r="II91" s="76"/>
      <c r="IJ91" s="76"/>
      <c r="IK91" s="76"/>
      <c r="IL91" s="76"/>
      <c r="IM91" s="76"/>
      <c r="IN91" s="76"/>
      <c r="IO91" s="76"/>
      <c r="IP91" s="76"/>
      <c r="IQ91" s="76"/>
      <c r="IR91" s="76"/>
      <c r="IS91" s="76"/>
      <c r="IT91" s="76"/>
      <c r="IU91" s="76"/>
      <c r="IV91" s="76"/>
      <c r="IW91" s="76"/>
      <c r="IX91" s="76"/>
      <c r="IY91" s="76"/>
      <c r="IZ91" s="76"/>
      <c r="JA91" s="76"/>
      <c r="JB91" s="76"/>
      <c r="JC91" s="76"/>
    </row>
    <row r="92" spans="1:263" s="9" customFormat="1" ht="12.6" customHeight="1">
      <c r="A92" s="22">
        <v>2023</v>
      </c>
      <c r="B92" s="122">
        <v>3</v>
      </c>
      <c r="C92" s="123" t="s">
        <v>204</v>
      </c>
      <c r="D92" s="124">
        <f t="shared" ref="D92:D108" si="26">SUM(E92:W92)</f>
        <v>36567307.600000001</v>
      </c>
      <c r="E92" s="130">
        <f t="shared" ref="E92:G92" si="27">SUM(E93:E99)</f>
        <v>25099030</v>
      </c>
      <c r="F92" s="130">
        <f t="shared" si="27"/>
        <v>0</v>
      </c>
      <c r="G92" s="130">
        <f t="shared" si="27"/>
        <v>4363065.8</v>
      </c>
      <c r="H92" s="130">
        <f>SUM(H93:H99)</f>
        <v>0</v>
      </c>
      <c r="I92" s="130">
        <f t="shared" ref="I92:K92" si="28">SUM(I93:I99)</f>
        <v>6201389.7999999998</v>
      </c>
      <c r="J92" s="130">
        <f t="shared" si="28"/>
        <v>192885</v>
      </c>
      <c r="K92" s="130">
        <f t="shared" si="28"/>
        <v>0</v>
      </c>
      <c r="L92" s="130">
        <f>SUM(L93:L99)</f>
        <v>0</v>
      </c>
      <c r="M92" s="130">
        <f t="shared" ref="M92:O92" si="29">SUM(M93:M99)</f>
        <v>0</v>
      </c>
      <c r="N92" s="130">
        <f t="shared" si="29"/>
        <v>680937</v>
      </c>
      <c r="O92" s="130">
        <f t="shared" si="29"/>
        <v>0</v>
      </c>
      <c r="P92" s="130">
        <f>SUM(P93:P99)</f>
        <v>0</v>
      </c>
      <c r="Q92" s="130">
        <f>SUM(Q93:Q99)</f>
        <v>0</v>
      </c>
      <c r="R92" s="130">
        <f>SUM(R93:R99)</f>
        <v>0</v>
      </c>
      <c r="S92" s="130">
        <f t="shared" ref="S92:V92" si="30">SUM(S93:S99)</f>
        <v>30000</v>
      </c>
      <c r="T92" s="130">
        <f t="shared" si="30"/>
        <v>0</v>
      </c>
      <c r="U92" s="130">
        <f t="shared" si="30"/>
        <v>0</v>
      </c>
      <c r="V92" s="130">
        <f t="shared" si="30"/>
        <v>0</v>
      </c>
      <c r="W92" s="130">
        <f>SUM(W93:W99)</f>
        <v>0</v>
      </c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  <c r="AT92" s="72"/>
      <c r="AU92" s="72"/>
      <c r="AV92" s="72"/>
      <c r="AW92" s="72"/>
      <c r="AX92" s="72"/>
      <c r="AY92" s="72"/>
      <c r="AZ92" s="72"/>
      <c r="BA92" s="72"/>
      <c r="BB92" s="72"/>
      <c r="BC92" s="72"/>
      <c r="BD92" s="72"/>
      <c r="BE92" s="72"/>
      <c r="BF92" s="72"/>
      <c r="BG92" s="72"/>
      <c r="BH92" s="72"/>
      <c r="BI92" s="72"/>
      <c r="BJ92" s="72"/>
      <c r="BK92" s="72"/>
      <c r="BL92" s="72"/>
      <c r="BM92" s="72"/>
      <c r="BN92" s="72"/>
      <c r="BO92" s="72"/>
      <c r="BP92" s="72"/>
      <c r="BQ92" s="72"/>
      <c r="BR92" s="72"/>
      <c r="BS92" s="72"/>
      <c r="BT92" s="72"/>
      <c r="BU92" s="72"/>
      <c r="BV92" s="72"/>
      <c r="BW92" s="72"/>
      <c r="BX92" s="72"/>
      <c r="BY92" s="72"/>
      <c r="BZ92" s="72"/>
      <c r="CA92" s="72"/>
      <c r="CB92" s="72"/>
      <c r="CC92" s="72"/>
      <c r="CD92" s="72"/>
      <c r="CE92" s="72"/>
      <c r="CF92" s="72"/>
      <c r="CG92" s="72"/>
      <c r="CH92" s="72"/>
      <c r="CI92" s="72"/>
      <c r="CJ92" s="72"/>
      <c r="CK92" s="72"/>
      <c r="CL92" s="72"/>
      <c r="CM92" s="72"/>
      <c r="CN92" s="72"/>
      <c r="CO92" s="72"/>
      <c r="CP92" s="72"/>
      <c r="CQ92" s="72"/>
      <c r="CR92" s="72"/>
      <c r="CS92" s="72"/>
      <c r="CT92" s="72"/>
      <c r="CU92" s="72"/>
      <c r="CV92" s="72"/>
      <c r="CW92" s="72"/>
      <c r="CX92" s="72"/>
      <c r="CY92" s="72"/>
      <c r="CZ92" s="72"/>
      <c r="DA92" s="72"/>
      <c r="DB92" s="72"/>
      <c r="DC92" s="72"/>
      <c r="DD92" s="72"/>
      <c r="DE92" s="72"/>
      <c r="DF92" s="72"/>
      <c r="DG92" s="72"/>
      <c r="DH92" s="72"/>
      <c r="DI92" s="72"/>
      <c r="DJ92" s="72"/>
      <c r="DK92" s="72"/>
      <c r="DL92" s="72"/>
      <c r="DM92" s="72"/>
      <c r="DN92" s="72"/>
      <c r="DO92" s="72"/>
      <c r="DP92" s="72"/>
      <c r="DQ92" s="72"/>
      <c r="DR92" s="72"/>
      <c r="DS92" s="72"/>
      <c r="DT92" s="72"/>
      <c r="DU92" s="72"/>
      <c r="DV92" s="72"/>
      <c r="DW92" s="72"/>
      <c r="DX92" s="72"/>
      <c r="DY92" s="72"/>
      <c r="DZ92" s="72"/>
      <c r="EA92" s="72"/>
      <c r="EB92" s="72"/>
      <c r="EC92" s="72"/>
      <c r="ED92" s="72"/>
      <c r="EE92" s="72"/>
      <c r="EF92" s="72"/>
      <c r="EG92" s="72"/>
      <c r="EH92" s="72"/>
      <c r="EI92" s="72"/>
      <c r="EJ92" s="72"/>
      <c r="EK92" s="72"/>
      <c r="EL92" s="72"/>
      <c r="EM92" s="72"/>
      <c r="EN92" s="72"/>
      <c r="EO92" s="72"/>
      <c r="EP92" s="72"/>
      <c r="EQ92" s="72"/>
      <c r="ER92" s="72"/>
      <c r="ES92" s="72"/>
      <c r="ET92" s="72"/>
      <c r="EU92" s="72"/>
      <c r="EV92" s="72"/>
      <c r="EW92" s="72"/>
      <c r="EX92" s="72"/>
      <c r="EY92" s="72"/>
      <c r="EZ92" s="72"/>
      <c r="FA92" s="72"/>
      <c r="FB92" s="72"/>
      <c r="FC92" s="72"/>
      <c r="FD92" s="72"/>
      <c r="FE92" s="72"/>
      <c r="FF92" s="72"/>
      <c r="FG92" s="72"/>
      <c r="FH92" s="72"/>
      <c r="FI92" s="72"/>
      <c r="FJ92" s="72"/>
      <c r="FK92" s="72"/>
      <c r="FL92" s="72"/>
      <c r="FM92" s="72"/>
      <c r="FN92" s="72"/>
      <c r="FO92" s="72"/>
      <c r="FP92" s="72"/>
      <c r="FQ92" s="72"/>
      <c r="FR92" s="72"/>
      <c r="FS92" s="72"/>
      <c r="FT92" s="72"/>
      <c r="FU92" s="72"/>
      <c r="FV92" s="72"/>
      <c r="FW92" s="72"/>
      <c r="FX92" s="72"/>
      <c r="FY92" s="72"/>
      <c r="FZ92" s="72"/>
      <c r="GA92" s="72"/>
      <c r="GB92" s="72"/>
      <c r="GC92" s="72"/>
      <c r="GD92" s="72"/>
      <c r="GE92" s="72"/>
      <c r="GF92" s="72"/>
      <c r="GG92" s="72"/>
      <c r="GH92" s="72"/>
      <c r="GI92" s="72"/>
      <c r="GJ92" s="72"/>
      <c r="GK92" s="72"/>
      <c r="GL92" s="73"/>
      <c r="GM92" s="73"/>
      <c r="GN92" s="73"/>
      <c r="GO92" s="73"/>
      <c r="GP92" s="73"/>
      <c r="GQ92" s="73"/>
      <c r="GR92" s="73"/>
      <c r="GS92" s="73"/>
      <c r="GT92" s="73"/>
      <c r="GU92" s="73"/>
      <c r="GV92" s="73"/>
      <c r="GW92" s="73"/>
      <c r="GX92" s="73"/>
      <c r="GY92" s="73"/>
      <c r="GZ92" s="73"/>
      <c r="HA92" s="73"/>
      <c r="HB92" s="73"/>
      <c r="HC92" s="73"/>
      <c r="HD92" s="73"/>
      <c r="HE92" s="73"/>
      <c r="HF92" s="73"/>
      <c r="HG92" s="73"/>
      <c r="HH92" s="73"/>
      <c r="HI92" s="73"/>
      <c r="HJ92" s="73"/>
      <c r="HK92" s="73"/>
      <c r="HL92" s="73"/>
      <c r="HM92" s="73"/>
      <c r="HN92" s="73"/>
      <c r="HO92" s="73"/>
      <c r="HP92" s="73"/>
      <c r="HQ92" s="73"/>
      <c r="HR92" s="73"/>
      <c r="HS92" s="73"/>
      <c r="HT92" s="73"/>
      <c r="HU92" s="73"/>
      <c r="HV92" s="73"/>
      <c r="HW92" s="73"/>
      <c r="HX92" s="73"/>
      <c r="HY92" s="73"/>
      <c r="HZ92" s="73"/>
      <c r="IA92" s="73"/>
      <c r="IB92" s="73"/>
      <c r="IC92" s="73"/>
      <c r="ID92" s="73"/>
      <c r="IE92" s="73"/>
      <c r="IF92" s="73"/>
      <c r="IG92" s="73"/>
      <c r="IH92" s="73"/>
      <c r="II92" s="73"/>
      <c r="IJ92" s="73"/>
      <c r="IK92" s="73"/>
      <c r="IL92" s="73"/>
      <c r="IM92" s="73"/>
      <c r="IN92" s="73"/>
      <c r="IO92" s="73"/>
      <c r="IP92" s="73"/>
      <c r="IQ92" s="73"/>
      <c r="IR92" s="73"/>
      <c r="IS92" s="73"/>
      <c r="IT92" s="73"/>
      <c r="IU92" s="73"/>
      <c r="IV92" s="73"/>
      <c r="IW92" s="73"/>
      <c r="IX92" s="73"/>
      <c r="IY92" s="73"/>
      <c r="IZ92" s="73"/>
      <c r="JA92" s="73"/>
      <c r="JB92" s="73"/>
      <c r="JC92" s="73"/>
    </row>
    <row r="93" spans="1:263" s="13" customFormat="1" ht="12.6" customHeight="1">
      <c r="A93" s="22">
        <v>2023</v>
      </c>
      <c r="B93" s="10">
        <v>31</v>
      </c>
      <c r="C93" s="11" t="s">
        <v>205</v>
      </c>
      <c r="D93" s="132">
        <f t="shared" si="26"/>
        <v>30669568.600000001</v>
      </c>
      <c r="E93" s="140">
        <f>SUMIFS('Plan rashoda za unos u SAP'!$K$3:$K$501,'Plan rashoda za unos u SAP'!$C$3:$C$501,"=11",'Plan rashoda za unos u SAP'!$N$3:$N$501,"=31")+SUMIFS('ANALITIKA EU PROJEKATA'!$I$3:$I$501,'ANALITIKA EU PROJEKATA'!$A$3:$A$501,"=11",'ANALITIKA EU PROJEKATA'!$Q$3:$Q$501,"=31")</f>
        <v>21590450</v>
      </c>
      <c r="F93" s="140">
        <f>SUMIFS('Plan rashoda za unos u SAP'!$K$3:$K$501,'Plan rashoda za unos u SAP'!$C$3:$C$501,"=12",'Plan rashoda za unos u SAP'!$N$3:$N$501,"=31")+SUMIFS('ANALITIKA EU PROJEKATA'!$I$3:$I$501,'ANALITIKA EU PROJEKATA'!$A$3:$A$501,"=12",'ANALITIKA EU PROJEKATA'!$Q$3:$Q$501,"=31")</f>
        <v>0</v>
      </c>
      <c r="G93" s="140">
        <f>SUMIFS('Plan rashoda za unos u SAP'!$K$3:$K$501,'Plan rashoda za unos u SAP'!$C$3:$C$501,"=31",'Plan rashoda za unos u SAP'!$N$3:$N$501,"=31")+SUMIFS('ANALITIKA EU PROJEKATA'!$I$3:$I$501,'ANALITIKA EU PROJEKATA'!$A$3:$A$501,"=31",'ANALITIKA EU PROJEKATA'!$Q$3:$Q$501,"=31")</f>
        <v>3130795.8</v>
      </c>
      <c r="H93" s="140">
        <f>SUMIFS('Plan rashoda za unos u SAP'!$K$3:$K$501,'Plan rashoda za unos u SAP'!$C$3:$C$501,"=41",'Plan rashoda za unos u SAP'!$N$3:$N$501,"=31")+SUMIFS('ANALITIKA EU PROJEKATA'!$I$3:$I$501,'ANALITIKA EU PROJEKATA'!$A$3:$A$501,"=41",'ANALITIKA EU PROJEKATA'!$Q$3:$Q$501,"=31")</f>
        <v>0</v>
      </c>
      <c r="I93" s="140">
        <f>SUMIFS('Plan rashoda za unos u SAP'!$K$3:$K$501,'Plan rashoda za unos u SAP'!$C$3:$C$501,"=43",'Plan rashoda za unos u SAP'!$N$3:$N$501,"=31")+SUMIFS('ANALITIKA EU PROJEKATA'!$I$3:$I$501,'ANALITIKA EU PROJEKATA'!$A$3:$A$501,"=43",'ANALITIKA EU PROJEKATA'!$Q$3:$Q$501,"=31")</f>
        <v>5525747.7999999998</v>
      </c>
      <c r="J93" s="140">
        <f>SUMIFS('Plan rashoda za unos u SAP'!$K$3:$K$501,'Plan rashoda za unos u SAP'!$C$3:$C$501,"=51",'Plan rashoda za unos u SAP'!$N$3:$N$501,"=31")+SUMIFS('ANALITIKA EU PROJEKATA'!$I$3:$I$501,'ANALITIKA EU PROJEKATA'!$A$3:$A$501,"=51",'ANALITIKA EU PROJEKATA'!$Q$3:$Q$501,"=31")</f>
        <v>131325</v>
      </c>
      <c r="K93" s="140">
        <f>SUMIFS('Plan rashoda za unos u SAP'!$K$3:$K$501,'Plan rashoda za unos u SAP'!$C$3:$C$501,"=52",'Plan rashoda za unos u SAP'!$N$3:$N$501,"=31")+SUMIFS('ANALITIKA EU PROJEKATA'!$I$3:$I$501,'ANALITIKA EU PROJEKATA'!$A$3:$A$501,"=52",'ANALITIKA EU PROJEKATA'!$Q$3:$Q$501,"=31")</f>
        <v>0</v>
      </c>
      <c r="L93" s="140">
        <f>SUMIFS('Plan rashoda za unos u SAP'!$K$3:$K$501,'Plan rashoda za unos u SAP'!$C$3:$C$501,"=552",'Plan rashoda za unos u SAP'!$N$3:$N$501,"=31")+SUMIFS('ANALITIKA EU PROJEKATA'!$I$3:$I$501,'ANALITIKA EU PROJEKATA'!$A$3:$A$501,"=552",'ANALITIKA EU PROJEKATA'!$Q$3:$Q$501,"=31")</f>
        <v>0</v>
      </c>
      <c r="M93" s="140">
        <f>SUMIFS('Plan rashoda za unos u SAP'!$K$3:$K$501,'Plan rashoda za unos u SAP'!$C$3:$C$501,"=559",'Plan rashoda za unos u SAP'!$N$3:$N$501,"=31")+SUMIFS('ANALITIKA EU PROJEKATA'!$I$3:$I$501,'ANALITIKA EU PROJEKATA'!$A$3:$A$501,"=559",'ANALITIKA EU PROJEKATA'!$Q$3:$Q$501,"=31")</f>
        <v>0</v>
      </c>
      <c r="N93" s="140">
        <f>SUMIFS('Plan rashoda za unos u SAP'!$K$3:$K$501,'Plan rashoda za unos u SAP'!$C$3:$C$501,"=561",'Plan rashoda za unos u SAP'!$N$3:$N$501,"=31")+SUMIFS('ANALITIKA EU PROJEKATA'!$I$3:$I$501,'ANALITIKA EU PROJEKATA'!$A$3:$A$501,"=561",'ANALITIKA EU PROJEKATA'!$Q$3:$Q$501,"=31")</f>
        <v>291250</v>
      </c>
      <c r="O93" s="140">
        <f>SUMIFS('Plan rashoda za unos u SAP'!$K$3:$K$501,'Plan rashoda za unos u SAP'!$C$3:$C$501,"=563",'Plan rashoda za unos u SAP'!$N$3:$N$501,"=31")+SUMIFS('ANALITIKA EU PROJEKATA'!$I$3:$I$501,'ANALITIKA EU PROJEKATA'!$A$3:$A$501,"=563",'ANALITIKA EU PROJEKATA'!$Q$3:$Q$501,"=31")</f>
        <v>0</v>
      </c>
      <c r="P93" s="140">
        <f>SUMIFS('Plan rashoda za unos u SAP'!$K$3:$K$501,'Plan rashoda za unos u SAP'!$C$3:$C$501,"=573",'Plan rashoda za unos u SAP'!$N$3:$N$501,"=31")+SUMIFS('ANALITIKA EU PROJEKATA'!$I$3:$I$501,'ANALITIKA EU PROJEKATA'!$A$3:$A$501,"=573",'ANALITIKA EU PROJEKATA'!$Q$3:$Q$501,"=31")</f>
        <v>0</v>
      </c>
      <c r="Q93" s="140">
        <f>SUMIFS('Plan rashoda za unos u SAP'!$K$3:$K$501,'Plan rashoda za unos u SAP'!$C$3:$C$501,"=575",'Plan rashoda za unos u SAP'!$N$3:$N$501,"=31")+SUMIFS('ANALITIKA EU PROJEKATA'!$I$3:$I$501,'ANALITIKA EU PROJEKATA'!$A$3:$A$501,"=575",'ANALITIKA EU PROJEKATA'!$Q$3:$Q$501,"=31")</f>
        <v>0</v>
      </c>
      <c r="R93" s="140">
        <f>SUMIFS('Plan rashoda za unos u SAP'!$K$3:$K$501,'Plan rashoda za unos u SAP'!$C$3:$C$501,"=576",'Plan rashoda za unos u SAP'!$N$3:$N$501,"=31")+SUMIFS('ANALITIKA EU PROJEKATA'!$I$3:$I$501,'ANALITIKA EU PROJEKATA'!$A$3:$A$501,"=576",'ANALITIKA EU PROJEKATA'!$Q$3:$Q$501,"=31")</f>
        <v>0</v>
      </c>
      <c r="S93" s="140">
        <f>SUMIFS('Plan rashoda za unos u SAP'!$K$3:$K$501,'Plan rashoda za unos u SAP'!$C$3:$C$501,"=61",'Plan rashoda za unos u SAP'!$N$3:$N$501,"=31")+SUMIFS('ANALITIKA EU PROJEKATA'!$I$3:$I$501,'ANALITIKA EU PROJEKATA'!$A$3:$A$501,"=61",'ANALITIKA EU PROJEKATA'!$Q$3:$Q$501,"=31")</f>
        <v>0</v>
      </c>
      <c r="T93" s="140">
        <f>SUMIFS('Plan rashoda za unos u SAP'!$K$3:$K$501,'Plan rashoda za unos u SAP'!$C$3:$C$501,"=63",'Plan rashoda za unos u SAP'!$N$3:$N$501,"=31")+SUMIFS('ANALITIKA EU PROJEKATA'!$I$3:$I$501,'ANALITIKA EU PROJEKATA'!$A$3:$A$501,"=63",'ANALITIKA EU PROJEKATA'!$Q$3:$Q$501,"=31")</f>
        <v>0</v>
      </c>
      <c r="U93" s="140">
        <f>SUMIFS('Plan rashoda za unos u SAP'!$K$3:$K$501,'Plan rashoda za unos u SAP'!$C$3:$C$501,"=71",'Plan rashoda za unos u SAP'!$N$3:$N$501,"=31")+SUMIFS('ANALITIKA EU PROJEKATA'!$I$3:$I$501,'ANALITIKA EU PROJEKATA'!$A$3:$A$501,"=71",'ANALITIKA EU PROJEKATA'!$Q$3:$Q$501,"=31")</f>
        <v>0</v>
      </c>
      <c r="V93" s="140">
        <f>SUMIFS('Plan rashoda za unos u SAP'!$K$3:$K$501,'Plan rashoda za unos u SAP'!$C$3:$C$501,"=81",'Plan rashoda za unos u SAP'!$N$3:$N$501,"=31")+SUMIFS('ANALITIKA EU PROJEKATA'!$I$3:$I$501,'ANALITIKA EU PROJEKATA'!$A$3:$A$501,"=81",'ANALITIKA EU PROJEKATA'!$Q$3:$Q$501,"=31")</f>
        <v>0</v>
      </c>
      <c r="W93" s="140">
        <f>SUMIFS('Plan rashoda za unos u SAP'!$K$3:$K$501,'Plan rashoda za unos u SAP'!$C$3:$C$501,"=83",'Plan rashoda za unos u SAP'!$N$3:$N$501,"=31")+SUMIFS('ANALITIKA EU PROJEKATA'!$I$3:$I$501,'ANALITIKA EU PROJEKATA'!$A$3:$A$501,"=83",'ANALITIKA EU PROJEKATA'!$Q$3:$Q$501,"=31")</f>
        <v>0</v>
      </c>
      <c r="X93" s="85"/>
      <c r="Y93" s="85"/>
      <c r="Z93" s="85"/>
      <c r="AA93" s="85"/>
      <c r="AB93" s="85"/>
      <c r="AC93" s="85"/>
      <c r="AD93" s="85"/>
      <c r="AE93" s="85"/>
      <c r="AF93" s="85"/>
      <c r="AG93" s="85"/>
      <c r="AH93" s="85"/>
      <c r="AI93" s="85"/>
      <c r="AJ93" s="85"/>
      <c r="AK93" s="85"/>
      <c r="AL93" s="85"/>
      <c r="AM93" s="85"/>
      <c r="AN93" s="85"/>
      <c r="AO93" s="85"/>
      <c r="AP93" s="85"/>
      <c r="AQ93" s="85"/>
      <c r="AR93" s="85"/>
      <c r="AS93" s="85"/>
      <c r="AT93" s="85"/>
      <c r="AU93" s="85"/>
      <c r="AV93" s="85"/>
      <c r="AW93" s="85"/>
      <c r="AX93" s="85"/>
      <c r="AY93" s="85"/>
      <c r="AZ93" s="85"/>
      <c r="BA93" s="85"/>
      <c r="BB93" s="85"/>
      <c r="BC93" s="85"/>
      <c r="BD93" s="85"/>
      <c r="BE93" s="85"/>
      <c r="BF93" s="85"/>
      <c r="BG93" s="85"/>
      <c r="BH93" s="85"/>
      <c r="BI93" s="85"/>
      <c r="BJ93" s="85"/>
      <c r="BK93" s="85"/>
      <c r="BL93" s="85"/>
      <c r="BM93" s="85"/>
      <c r="BN93" s="85"/>
      <c r="BO93" s="85"/>
      <c r="BP93" s="85"/>
      <c r="BQ93" s="85"/>
      <c r="BR93" s="85"/>
      <c r="BS93" s="85"/>
      <c r="BT93" s="85"/>
      <c r="BU93" s="85"/>
      <c r="BV93" s="85"/>
      <c r="BW93" s="85"/>
      <c r="BX93" s="85"/>
      <c r="BY93" s="85"/>
      <c r="BZ93" s="85"/>
      <c r="CA93" s="85"/>
      <c r="CB93" s="85"/>
      <c r="CC93" s="85"/>
      <c r="CD93" s="85"/>
      <c r="CE93" s="85"/>
      <c r="CF93" s="85"/>
      <c r="CG93" s="85"/>
      <c r="CH93" s="85"/>
      <c r="CI93" s="85"/>
      <c r="CJ93" s="85"/>
      <c r="CK93" s="85"/>
      <c r="CL93" s="85"/>
      <c r="CM93" s="85"/>
      <c r="CN93" s="85"/>
      <c r="CO93" s="85"/>
      <c r="CP93" s="85"/>
      <c r="CQ93" s="85"/>
      <c r="CR93" s="85"/>
      <c r="CS93" s="85"/>
      <c r="CT93" s="85"/>
      <c r="CU93" s="85"/>
      <c r="CV93" s="85"/>
      <c r="CW93" s="85"/>
      <c r="CX93" s="85"/>
      <c r="CY93" s="85"/>
      <c r="CZ93" s="85"/>
      <c r="DA93" s="85"/>
      <c r="DB93" s="85"/>
      <c r="DC93" s="85"/>
      <c r="DD93" s="85"/>
      <c r="DE93" s="85"/>
      <c r="DF93" s="85"/>
      <c r="DG93" s="85"/>
      <c r="DH93" s="85"/>
      <c r="DI93" s="85"/>
      <c r="DJ93" s="85"/>
      <c r="DK93" s="85"/>
      <c r="DL93" s="85"/>
      <c r="DM93" s="85"/>
      <c r="DN93" s="85"/>
      <c r="DO93" s="85"/>
      <c r="DP93" s="85"/>
      <c r="DQ93" s="85"/>
      <c r="DR93" s="85"/>
      <c r="DS93" s="85"/>
      <c r="DT93" s="85"/>
      <c r="DU93" s="85"/>
      <c r="DV93" s="85"/>
      <c r="DW93" s="85"/>
      <c r="DX93" s="85"/>
      <c r="DY93" s="85"/>
      <c r="DZ93" s="85"/>
      <c r="EA93" s="85"/>
      <c r="EB93" s="85"/>
      <c r="EC93" s="85"/>
      <c r="ED93" s="85"/>
      <c r="EE93" s="85"/>
      <c r="EF93" s="85"/>
      <c r="EG93" s="85"/>
      <c r="EH93" s="85"/>
      <c r="EI93" s="85"/>
      <c r="EJ93" s="85"/>
      <c r="EK93" s="85"/>
      <c r="EL93" s="85"/>
      <c r="EM93" s="85"/>
      <c r="EN93" s="85"/>
      <c r="EO93" s="85"/>
      <c r="EP93" s="85"/>
      <c r="EQ93" s="85"/>
      <c r="ER93" s="85"/>
      <c r="ES93" s="85"/>
      <c r="ET93" s="85"/>
      <c r="EU93" s="85"/>
      <c r="EV93" s="85"/>
      <c r="EW93" s="85"/>
      <c r="EX93" s="85"/>
      <c r="EY93" s="85"/>
      <c r="EZ93" s="85"/>
      <c r="FA93" s="85"/>
      <c r="FB93" s="85"/>
      <c r="FC93" s="85"/>
      <c r="FD93" s="85"/>
      <c r="FE93" s="85"/>
      <c r="FF93" s="85"/>
      <c r="FG93" s="85"/>
      <c r="FH93" s="85"/>
      <c r="FI93" s="85"/>
      <c r="FJ93" s="85"/>
      <c r="FK93" s="85"/>
      <c r="FL93" s="85"/>
      <c r="FM93" s="85"/>
      <c r="FN93" s="85"/>
      <c r="FO93" s="85"/>
      <c r="FP93" s="85"/>
      <c r="FQ93" s="85"/>
      <c r="FR93" s="85"/>
      <c r="FS93" s="85"/>
      <c r="FT93" s="85"/>
      <c r="FU93" s="85"/>
      <c r="FV93" s="85"/>
      <c r="FW93" s="85"/>
      <c r="FX93" s="85"/>
      <c r="FY93" s="85"/>
      <c r="FZ93" s="85"/>
      <c r="GA93" s="85"/>
      <c r="GB93" s="85"/>
      <c r="GC93" s="85"/>
      <c r="GD93" s="85"/>
      <c r="GE93" s="85"/>
      <c r="GF93" s="85"/>
      <c r="GG93" s="85"/>
      <c r="GH93" s="85"/>
      <c r="GI93" s="85"/>
      <c r="GJ93" s="85"/>
      <c r="GK93" s="85"/>
      <c r="GL93" s="86"/>
      <c r="GM93" s="86"/>
      <c r="GN93" s="86"/>
      <c r="GO93" s="86"/>
      <c r="GP93" s="86"/>
      <c r="GQ93" s="86"/>
      <c r="GR93" s="86"/>
      <c r="GS93" s="86"/>
      <c r="GT93" s="86"/>
      <c r="GU93" s="86"/>
      <c r="GV93" s="86"/>
      <c r="GW93" s="86"/>
      <c r="GX93" s="86"/>
      <c r="GY93" s="86"/>
      <c r="GZ93" s="86"/>
      <c r="HA93" s="86"/>
      <c r="HB93" s="86"/>
      <c r="HC93" s="86"/>
      <c r="HD93" s="86"/>
      <c r="HE93" s="86"/>
      <c r="HF93" s="86"/>
      <c r="HG93" s="86"/>
      <c r="HH93" s="86"/>
      <c r="HI93" s="86"/>
      <c r="HJ93" s="86"/>
      <c r="HK93" s="86"/>
      <c r="HL93" s="86"/>
      <c r="HM93" s="86"/>
      <c r="HN93" s="86"/>
      <c r="HO93" s="86"/>
      <c r="HP93" s="86"/>
      <c r="HQ93" s="86"/>
      <c r="HR93" s="86"/>
      <c r="HS93" s="86"/>
      <c r="HT93" s="86"/>
      <c r="HU93" s="86"/>
      <c r="HV93" s="86"/>
      <c r="HW93" s="86"/>
      <c r="HX93" s="86"/>
      <c r="HY93" s="86"/>
      <c r="HZ93" s="86"/>
      <c r="IA93" s="86"/>
      <c r="IB93" s="86"/>
      <c r="IC93" s="86"/>
      <c r="ID93" s="86"/>
      <c r="IE93" s="86"/>
      <c r="IF93" s="86"/>
      <c r="IG93" s="86"/>
      <c r="IH93" s="86"/>
      <c r="II93" s="86"/>
      <c r="IJ93" s="86"/>
      <c r="IK93" s="86"/>
      <c r="IL93" s="86"/>
      <c r="IM93" s="86"/>
      <c r="IN93" s="86"/>
      <c r="IO93" s="86"/>
      <c r="IP93" s="86"/>
      <c r="IQ93" s="86"/>
      <c r="IR93" s="86"/>
      <c r="IS93" s="86"/>
      <c r="IT93" s="86"/>
      <c r="IU93" s="86"/>
      <c r="IV93" s="86"/>
      <c r="IW93" s="86"/>
      <c r="IX93" s="86"/>
      <c r="IY93" s="86"/>
      <c r="IZ93" s="86"/>
      <c r="JA93" s="86"/>
      <c r="JB93" s="86"/>
      <c r="JC93" s="86"/>
    </row>
    <row r="94" spans="1:263" s="85" customFormat="1" ht="12.6" customHeight="1">
      <c r="A94" s="22">
        <v>2023</v>
      </c>
      <c r="B94" s="84">
        <v>32</v>
      </c>
      <c r="C94" s="15" t="s">
        <v>206</v>
      </c>
      <c r="D94" s="133">
        <f t="shared" si="26"/>
        <v>5871757</v>
      </c>
      <c r="E94" s="140">
        <f>SUMIFS('Plan rashoda za unos u SAP'!$K$3:$K$501,'Plan rashoda za unos u SAP'!$C$3:$C$501,"=11",'Plan rashoda za unos u SAP'!$N$3:$N$501,"=32")+SUMIFS('ANALITIKA EU PROJEKATA'!$I$3:$I$501,'ANALITIKA EU PROJEKATA'!$A$3:$A$501,"=11",'ANALITIKA EU PROJEKATA'!$Q$3:$Q$501,"=32")</f>
        <v>3487580</v>
      </c>
      <c r="F94" s="140">
        <f>SUMIFS('Plan rashoda za unos u SAP'!$K$3:$K$501,'Plan rashoda za unos u SAP'!$C$3:$C$501,"=12",'Plan rashoda za unos u SAP'!$N$3:$N$501,"=32")+SUMIFS('ANALITIKA EU PROJEKATA'!$I$3:$I$501,'ANALITIKA EU PROJEKATA'!$A$3:$A$501,"=12",'ANALITIKA EU PROJEKATA'!$Q$3:$Q$501,"=32")</f>
        <v>0</v>
      </c>
      <c r="G94" s="140">
        <f>SUMIFS('Plan rashoda za unos u SAP'!$K$3:$K$501,'Plan rashoda za unos u SAP'!$C$3:$C$501,"=31",'Plan rashoda za unos u SAP'!$N$3:$N$501,"=32")+SUMIFS('ANALITIKA EU PROJEKATA'!$I$3:$I$501,'ANALITIKA EU PROJEKATA'!$A$3:$A$501,"=31",'ANALITIKA EU PROJEKATA'!$Q$3:$Q$501,"=32")</f>
        <v>1227500</v>
      </c>
      <c r="H94" s="140">
        <f>SUMIFS('Plan rashoda za unos u SAP'!$K$3:$K$501,'Plan rashoda za unos u SAP'!$C$3:$C$501,"=41",'Plan rashoda za unos u SAP'!$N$3:$N$501,"=32")+SUMIFS('ANALITIKA EU PROJEKATA'!$I$3:$I$501,'ANALITIKA EU PROJEKATA'!$A$3:$A$501,"=41",'ANALITIKA EU PROJEKATA'!$Q$3:$Q$501,"=32")</f>
        <v>0</v>
      </c>
      <c r="I94" s="140">
        <f>SUMIFS('Plan rashoda za unos u SAP'!$K$3:$K$501,'Plan rashoda za unos u SAP'!$C$3:$C$501,"=43",'Plan rashoda za unos u SAP'!$N$3:$N$501,"=32")+SUMIFS('ANALITIKA EU PROJEKATA'!$I$3:$I$501,'ANALITIKA EU PROJEKATA'!$A$3:$A$501,"=43",'ANALITIKA EU PROJEKATA'!$Q$3:$Q$501,"=32")</f>
        <v>675430</v>
      </c>
      <c r="J94" s="140">
        <f>SUMIFS('Plan rashoda za unos u SAP'!$K$3:$K$501,'Plan rashoda za unos u SAP'!$C$3:$C$501,"=51",'Plan rashoda za unos u SAP'!$N$3:$N$501,"=32")+SUMIFS('ANALITIKA EU PROJEKATA'!$I$3:$I$501,'ANALITIKA EU PROJEKATA'!$A$3:$A$501,"=51",'ANALITIKA EU PROJEKATA'!$Q$3:$Q$501,"=32")</f>
        <v>61560</v>
      </c>
      <c r="K94" s="140">
        <f>SUMIFS('Plan rashoda za unos u SAP'!$K$3:$K$501,'Plan rashoda za unos u SAP'!$C$3:$C$501,"=52",'Plan rashoda za unos u SAP'!$N$3:$N$501,"=32")+SUMIFS('ANALITIKA EU PROJEKATA'!$I$3:$I$501,'ANALITIKA EU PROJEKATA'!$A$3:$A$501,"=52",'ANALITIKA EU PROJEKATA'!$Q$3:$Q$501,"=32")</f>
        <v>0</v>
      </c>
      <c r="L94" s="140">
        <f>SUMIFS('Plan rashoda za unos u SAP'!$K$3:$K$501,'Plan rashoda za unos u SAP'!$C$3:$C$501,"=552",'Plan rashoda za unos u SAP'!$N$3:$N$501,"=32")+SUMIFS('ANALITIKA EU PROJEKATA'!$I$3:$I$501,'ANALITIKA EU PROJEKATA'!$A$3:$A$501,"=552",'ANALITIKA EU PROJEKATA'!$Q$3:$Q$501,"=32")</f>
        <v>0</v>
      </c>
      <c r="M94" s="140">
        <f>SUMIFS('Plan rashoda za unos u SAP'!$K$3:$K$501,'Plan rashoda za unos u SAP'!$C$3:$C$501,"=559",'Plan rashoda za unos u SAP'!$N$3:$N$501,"=32")+SUMIFS('ANALITIKA EU PROJEKATA'!$I$3:$I$501,'ANALITIKA EU PROJEKATA'!$A$3:$A$501,"=559",'ANALITIKA EU PROJEKATA'!$Q$3:$Q$501,"=32")</f>
        <v>0</v>
      </c>
      <c r="N94" s="140">
        <f>SUMIFS('Plan rashoda za unos u SAP'!$K$3:$K$501,'Plan rashoda za unos u SAP'!$C$3:$C$501,"=561",'Plan rashoda za unos u SAP'!$N$3:$N$501,"=32")+SUMIFS('ANALITIKA EU PROJEKATA'!$I$3:$I$501,'ANALITIKA EU PROJEKATA'!$A$3:$A$501,"=561",'ANALITIKA EU PROJEKATA'!$Q$3:$Q$501,"=32")</f>
        <v>389687</v>
      </c>
      <c r="O94" s="140">
        <f>SUMIFS('Plan rashoda za unos u SAP'!$K$3:$K$501,'Plan rashoda za unos u SAP'!$C$3:$C$501,"=563",'Plan rashoda za unos u SAP'!$N$3:$N$501,"=32")+SUMIFS('ANALITIKA EU PROJEKATA'!$I$3:$I$501,'ANALITIKA EU PROJEKATA'!$A$3:$A$501,"=563",'ANALITIKA EU PROJEKATA'!$Q$3:$Q$501,"=32")</f>
        <v>0</v>
      </c>
      <c r="P94" s="140">
        <f>SUMIFS('Plan rashoda za unos u SAP'!$K$3:$K$501,'Plan rashoda za unos u SAP'!$C$3:$C$501,"=573",'Plan rashoda za unos u SAP'!$N$3:$N$501,"=32")+SUMIFS('ANALITIKA EU PROJEKATA'!$I$3:$I$501,'ANALITIKA EU PROJEKATA'!$A$3:$A$501,"=573",'ANALITIKA EU PROJEKATA'!$Q$3:$Q$501,"=32")</f>
        <v>0</v>
      </c>
      <c r="Q94" s="140">
        <f>SUMIFS('Plan rashoda za unos u SAP'!$K$3:$K$501,'Plan rashoda za unos u SAP'!$C$3:$C$501,"=575",'Plan rashoda za unos u SAP'!$N$3:$N$501,"=32")+SUMIFS('ANALITIKA EU PROJEKATA'!$I$3:$I$501,'ANALITIKA EU PROJEKATA'!$A$3:$A$501,"=575",'ANALITIKA EU PROJEKATA'!$Q$3:$Q$501,"=32")</f>
        <v>0</v>
      </c>
      <c r="R94" s="140">
        <f>SUMIFS('Plan rashoda za unos u SAP'!$K$3:$K$501,'Plan rashoda za unos u SAP'!$C$3:$C$501,"=576",'Plan rashoda za unos u SAP'!$N$3:$N$501,"=32")+SUMIFS('ANALITIKA EU PROJEKATA'!$I$3:$I$501,'ANALITIKA EU PROJEKATA'!$A$3:$A$501,"=576",'ANALITIKA EU PROJEKATA'!$Q$3:$Q$501,"=32")</f>
        <v>0</v>
      </c>
      <c r="S94" s="140">
        <f>SUMIFS('Plan rashoda za unos u SAP'!$K$3:$K$501,'Plan rashoda za unos u SAP'!$C$3:$C$501,"=61",'Plan rashoda za unos u SAP'!$N$3:$N$501,"=32")+SUMIFS('ANALITIKA EU PROJEKATA'!$I$3:$I$501,'ANALITIKA EU PROJEKATA'!$A$3:$A$501,"=61",'ANALITIKA EU PROJEKATA'!$Q$3:$Q$501,"=32")</f>
        <v>30000</v>
      </c>
      <c r="T94" s="140">
        <f>SUMIFS('Plan rashoda za unos u SAP'!$K$3:$K$501,'Plan rashoda za unos u SAP'!$C$3:$C$501,"=63",'Plan rashoda za unos u SAP'!$N$3:$N$501,"=32")+SUMIFS('ANALITIKA EU PROJEKATA'!$I$3:$I$501,'ANALITIKA EU PROJEKATA'!$A$3:$A$501,"=63",'ANALITIKA EU PROJEKATA'!$Q$3:$Q$501,"=32")</f>
        <v>0</v>
      </c>
      <c r="U94" s="140">
        <f>SUMIFS('Plan rashoda za unos u SAP'!$K$3:$K$501,'Plan rashoda za unos u SAP'!$C$3:$C$501,"=71",'Plan rashoda za unos u SAP'!$N$3:$N$501,"=32")+SUMIFS('ANALITIKA EU PROJEKATA'!$I$3:$I$501,'ANALITIKA EU PROJEKATA'!$A$3:$A$501,"=71",'ANALITIKA EU PROJEKATA'!$Q$3:$Q$501,"=32")</f>
        <v>0</v>
      </c>
      <c r="V94" s="140">
        <f>SUMIFS('Plan rashoda za unos u SAP'!$K$3:$K$501,'Plan rashoda za unos u SAP'!$C$3:$C$501,"=81",'Plan rashoda za unos u SAP'!$N$3:$N$501,"=32")+SUMIFS('ANALITIKA EU PROJEKATA'!$I$3:$I$501,'ANALITIKA EU PROJEKATA'!$A$3:$A$501,"=81",'ANALITIKA EU PROJEKATA'!$Q$3:$Q$501,"=32")</f>
        <v>0</v>
      </c>
      <c r="W94" s="140">
        <f>SUMIFS('Plan rashoda za unos u SAP'!$K$3:$K$501,'Plan rashoda za unos u SAP'!$C$3:$C$501,"=83",'Plan rashoda za unos u SAP'!$N$3:$N$501,"=32")+SUMIFS('ANALITIKA EU PROJEKATA'!$I$3:$I$501,'ANALITIKA EU PROJEKATA'!$A$3:$A$501,"=83",'ANALITIKA EU PROJEKATA'!$Q$3:$Q$501,"=32")</f>
        <v>0</v>
      </c>
      <c r="GL94" s="86"/>
      <c r="GM94" s="86"/>
      <c r="GN94" s="86"/>
      <c r="GO94" s="86"/>
      <c r="GP94" s="86"/>
      <c r="GQ94" s="86"/>
      <c r="GR94" s="86"/>
      <c r="GS94" s="86"/>
      <c r="GT94" s="86"/>
      <c r="GU94" s="86"/>
      <c r="GV94" s="86"/>
      <c r="GW94" s="86"/>
      <c r="GX94" s="86"/>
      <c r="GY94" s="86"/>
      <c r="GZ94" s="86"/>
      <c r="HA94" s="86"/>
      <c r="HB94" s="86"/>
      <c r="HC94" s="86"/>
      <c r="HD94" s="86"/>
      <c r="HE94" s="86"/>
      <c r="HF94" s="86"/>
      <c r="HG94" s="86"/>
      <c r="HH94" s="86"/>
      <c r="HI94" s="86"/>
      <c r="HJ94" s="86"/>
      <c r="HK94" s="86"/>
      <c r="HL94" s="86"/>
      <c r="HM94" s="86"/>
      <c r="HN94" s="86"/>
      <c r="HO94" s="86"/>
      <c r="HP94" s="86"/>
      <c r="HQ94" s="86"/>
      <c r="HR94" s="86"/>
      <c r="HS94" s="86"/>
      <c r="HT94" s="86"/>
      <c r="HU94" s="86"/>
      <c r="HV94" s="86"/>
      <c r="HW94" s="86"/>
      <c r="HX94" s="86"/>
      <c r="HY94" s="86"/>
      <c r="HZ94" s="86"/>
      <c r="IA94" s="86"/>
      <c r="IB94" s="86"/>
      <c r="IC94" s="86"/>
      <c r="ID94" s="86"/>
      <c r="IE94" s="86"/>
      <c r="IF94" s="86"/>
      <c r="IG94" s="86"/>
      <c r="IH94" s="86"/>
      <c r="II94" s="86"/>
      <c r="IJ94" s="86"/>
      <c r="IK94" s="86"/>
      <c r="IL94" s="86"/>
      <c r="IM94" s="86"/>
      <c r="IN94" s="86"/>
      <c r="IO94" s="86"/>
      <c r="IP94" s="86"/>
      <c r="IQ94" s="86"/>
      <c r="IR94" s="86"/>
      <c r="IS94" s="86"/>
      <c r="IT94" s="86"/>
      <c r="IU94" s="86"/>
      <c r="IV94" s="86"/>
      <c r="IW94" s="86"/>
      <c r="IX94" s="86"/>
      <c r="IY94" s="86"/>
      <c r="IZ94" s="86"/>
      <c r="JA94" s="86"/>
      <c r="JB94" s="86"/>
      <c r="JC94" s="86"/>
    </row>
    <row r="95" spans="1:263" s="16" customFormat="1" ht="12.6" customHeight="1">
      <c r="A95" s="22">
        <v>2023</v>
      </c>
      <c r="B95" s="84">
        <v>34</v>
      </c>
      <c r="C95" s="15" t="s">
        <v>210</v>
      </c>
      <c r="D95" s="133">
        <f t="shared" si="26"/>
        <v>25982</v>
      </c>
      <c r="E95" s="140">
        <f>SUMIFS('Plan rashoda za unos u SAP'!$K$3:$K$501,'Plan rashoda za unos u SAP'!$C$3:$C$501,"=11",'Plan rashoda za unos u SAP'!$N$3:$N$501,"=34")+SUMIFS('ANALITIKA EU PROJEKATA'!$I$3:$I$501,'ANALITIKA EU PROJEKATA'!$A$3:$A$501,"=11",'ANALITIKA EU PROJEKATA'!$Q$3:$Q$501,"=34")</f>
        <v>21000</v>
      </c>
      <c r="F95" s="140">
        <f>SUMIFS('Plan rashoda za unos u SAP'!$K$3:$K$501,'Plan rashoda za unos u SAP'!$C$3:$C$501,"=12",'Plan rashoda za unos u SAP'!$N$3:$N$501,"=34")+SUMIFS('ANALITIKA EU PROJEKATA'!$I$3:$I$501,'ANALITIKA EU PROJEKATA'!$A$3:$A$501,"=12",'ANALITIKA EU PROJEKATA'!$Q$3:$Q$501,"=34")</f>
        <v>0</v>
      </c>
      <c r="G95" s="140">
        <f>SUMIFS('Plan rashoda za unos u SAP'!$K$3:$K$501,'Plan rashoda za unos u SAP'!$C$3:$C$501,"=31",'Plan rashoda za unos u SAP'!$N$3:$N$501,"=34")+SUMIFS('ANALITIKA EU PROJEKATA'!$I$3:$I$501,'ANALITIKA EU PROJEKATA'!$A$3:$A$501,"=31",'ANALITIKA EU PROJEKATA'!$Q$3:$Q$501,"=34")</f>
        <v>4770</v>
      </c>
      <c r="H95" s="140">
        <f>SUMIFS('Plan rashoda za unos u SAP'!$K$3:$K$501,'Plan rashoda za unos u SAP'!$C$3:$C$501,"=41",'Plan rashoda za unos u SAP'!$N$3:$N$501,"=34")+SUMIFS('ANALITIKA EU PROJEKATA'!$I$3:$I$501,'ANALITIKA EU PROJEKATA'!$A$3:$A$501,"=41",'ANALITIKA EU PROJEKATA'!$Q$3:$Q$501,"=34")</f>
        <v>0</v>
      </c>
      <c r="I95" s="140">
        <f>SUMIFS('Plan rashoda za unos u SAP'!$K$3:$K$501,'Plan rashoda za unos u SAP'!$C$3:$C$501,"=43",'Plan rashoda za unos u SAP'!$N$3:$N$501,"=34")+SUMIFS('ANALITIKA EU PROJEKATA'!$I$3:$I$501,'ANALITIKA EU PROJEKATA'!$A$3:$A$501,"=43",'ANALITIKA EU PROJEKATA'!$Q$3:$Q$501,"=34")</f>
        <v>212</v>
      </c>
      <c r="J95" s="140">
        <f>SUMIFS('Plan rashoda za unos u SAP'!$K$3:$K$501,'Plan rashoda za unos u SAP'!$C$3:$C$501,"=51",'Plan rashoda za unos u SAP'!$N$3:$N$501,"=34")+SUMIFS('ANALITIKA EU PROJEKATA'!$I$3:$I$501,'ANALITIKA EU PROJEKATA'!$A$3:$A$501,"=51",'ANALITIKA EU PROJEKATA'!$Q$3:$Q$501,"=34")</f>
        <v>0</v>
      </c>
      <c r="K95" s="140">
        <f>SUMIFS('Plan rashoda za unos u SAP'!$K$3:$K$501,'Plan rashoda za unos u SAP'!$C$3:$C$501,"=52",'Plan rashoda za unos u SAP'!$N$3:$N$501,"=34")+SUMIFS('ANALITIKA EU PROJEKATA'!$I$3:$I$501,'ANALITIKA EU PROJEKATA'!$A$3:$A$501,"=52",'ANALITIKA EU PROJEKATA'!$Q$3:$Q$501,"=34")</f>
        <v>0</v>
      </c>
      <c r="L95" s="140">
        <f>SUMIFS('Plan rashoda za unos u SAP'!$K$3:$K$501,'Plan rashoda za unos u SAP'!$C$3:$C$501,"=552",'Plan rashoda za unos u SAP'!$N$3:$N$501,"=34")+SUMIFS('ANALITIKA EU PROJEKATA'!$I$3:$I$501,'ANALITIKA EU PROJEKATA'!$A$3:$A$501,"=552",'ANALITIKA EU PROJEKATA'!$Q$3:$Q$501,"=34")</f>
        <v>0</v>
      </c>
      <c r="M95" s="140">
        <f>SUMIFS('Plan rashoda za unos u SAP'!$K$3:$K$501,'Plan rashoda za unos u SAP'!$C$3:$C$501,"=559",'Plan rashoda za unos u SAP'!$N$3:$N$501,"=34")+SUMIFS('ANALITIKA EU PROJEKATA'!$I$3:$I$501,'ANALITIKA EU PROJEKATA'!$A$3:$A$501,"=559",'ANALITIKA EU PROJEKATA'!$Q$3:$Q$501,"=34")</f>
        <v>0</v>
      </c>
      <c r="N95" s="140">
        <f>SUMIFS('Plan rashoda za unos u SAP'!$K$3:$K$501,'Plan rashoda za unos u SAP'!$C$3:$C$501,"=561",'Plan rashoda za unos u SAP'!$N$3:$N$501,"=34")+SUMIFS('ANALITIKA EU PROJEKATA'!$I$3:$I$501,'ANALITIKA EU PROJEKATA'!$A$3:$A$501,"=561",'ANALITIKA EU PROJEKATA'!$Q$3:$Q$501,"=34")</f>
        <v>0</v>
      </c>
      <c r="O95" s="140">
        <f>SUMIFS('Plan rashoda za unos u SAP'!$K$3:$K$501,'Plan rashoda za unos u SAP'!$C$3:$C$501,"=563",'Plan rashoda za unos u SAP'!$N$3:$N$501,"=34")+SUMIFS('ANALITIKA EU PROJEKATA'!$I$3:$I$501,'ANALITIKA EU PROJEKATA'!$A$3:$A$501,"=563",'ANALITIKA EU PROJEKATA'!$Q$3:$Q$501,"=34")</f>
        <v>0</v>
      </c>
      <c r="P95" s="140">
        <f>SUMIFS('Plan rashoda za unos u SAP'!$K$3:$K$501,'Plan rashoda za unos u SAP'!$C$3:$C$501,"=573",'Plan rashoda za unos u SAP'!$N$3:$N$501,"=34")+SUMIFS('ANALITIKA EU PROJEKATA'!$I$3:$I$501,'ANALITIKA EU PROJEKATA'!$A$3:$A$501,"=573",'ANALITIKA EU PROJEKATA'!$Q$3:$Q$501,"=34")</f>
        <v>0</v>
      </c>
      <c r="Q95" s="140">
        <f>SUMIFS('Plan rashoda za unos u SAP'!$K$3:$K$501,'Plan rashoda za unos u SAP'!$C$3:$C$501,"=575",'Plan rashoda za unos u SAP'!$N$3:$N$501,"=34")+SUMIFS('ANALITIKA EU PROJEKATA'!$I$3:$I$501,'ANALITIKA EU PROJEKATA'!$A$3:$A$501,"=575",'ANALITIKA EU PROJEKATA'!$Q$3:$Q$501,"=34")</f>
        <v>0</v>
      </c>
      <c r="R95" s="140">
        <f>SUMIFS('Plan rashoda za unos u SAP'!$K$3:$K$501,'Plan rashoda za unos u SAP'!$C$3:$C$501,"=576",'Plan rashoda za unos u SAP'!$N$3:$N$501,"=34")+SUMIFS('ANALITIKA EU PROJEKATA'!$I$3:$I$501,'ANALITIKA EU PROJEKATA'!$A$3:$A$501,"=576",'ANALITIKA EU PROJEKATA'!$Q$3:$Q$501,"=34")</f>
        <v>0</v>
      </c>
      <c r="S95" s="140">
        <f>SUMIFS('Plan rashoda za unos u SAP'!$K$3:$K$501,'Plan rashoda za unos u SAP'!$C$3:$C$501,"=61",'Plan rashoda za unos u SAP'!$N$3:$N$501,"=34")+SUMIFS('ANALITIKA EU PROJEKATA'!$I$3:$I$501,'ANALITIKA EU PROJEKATA'!$A$3:$A$501,"=61",'ANALITIKA EU PROJEKATA'!$Q$3:$Q$501,"=34")</f>
        <v>0</v>
      </c>
      <c r="T95" s="140">
        <f>SUMIFS('Plan rashoda za unos u SAP'!$K$3:$K$501,'Plan rashoda za unos u SAP'!$C$3:$C$501,"=63",'Plan rashoda za unos u SAP'!$N$3:$N$501,"=34")+SUMIFS('ANALITIKA EU PROJEKATA'!$I$3:$I$501,'ANALITIKA EU PROJEKATA'!$A$3:$A$501,"=63",'ANALITIKA EU PROJEKATA'!$Q$3:$Q$501,"=34")</f>
        <v>0</v>
      </c>
      <c r="U95" s="140">
        <f>SUMIFS('Plan rashoda za unos u SAP'!$K$3:$K$501,'Plan rashoda za unos u SAP'!$C$3:$C$501,"=71",'Plan rashoda za unos u SAP'!$N$3:$N$501,"=34")+SUMIFS('ANALITIKA EU PROJEKATA'!$I$3:$I$501,'ANALITIKA EU PROJEKATA'!$A$3:$A$501,"=71",'ANALITIKA EU PROJEKATA'!$Q$3:$Q$501,"=34")</f>
        <v>0</v>
      </c>
      <c r="V95" s="140">
        <f>SUMIFS('Plan rashoda za unos u SAP'!$K$3:$K$501,'Plan rashoda za unos u SAP'!$C$3:$C$501,"=81",'Plan rashoda za unos u SAP'!$N$3:$N$501,"=34")+SUMIFS('ANALITIKA EU PROJEKATA'!$I$3:$I$501,'ANALITIKA EU PROJEKATA'!$A$3:$A$501,"=81",'ANALITIKA EU PROJEKATA'!$Q$3:$Q$501,"=34")</f>
        <v>0</v>
      </c>
      <c r="W95" s="140">
        <f>SUMIFS('Plan rashoda za unos u SAP'!$K$3:$K$501,'Plan rashoda za unos u SAP'!$C$3:$C$501,"=83",'Plan rashoda za unos u SAP'!$N$3:$N$501,"=34")+SUMIFS('ANALITIKA EU PROJEKATA'!$I$3:$I$501,'ANALITIKA EU PROJEKATA'!$A$3:$A$501,"=83",'ANALITIKA EU PROJEKATA'!$Q$3:$Q$501,"=34")</f>
        <v>0</v>
      </c>
      <c r="X95" s="85"/>
      <c r="Y95" s="85"/>
      <c r="Z95" s="85"/>
      <c r="AA95" s="85"/>
      <c r="AB95" s="85"/>
      <c r="AC95" s="85"/>
      <c r="AD95" s="85"/>
      <c r="AE95" s="85"/>
      <c r="AF95" s="85"/>
      <c r="AG95" s="85"/>
      <c r="AH95" s="85"/>
      <c r="AI95" s="85"/>
      <c r="AJ95" s="85"/>
      <c r="AK95" s="85"/>
      <c r="AL95" s="85"/>
      <c r="AM95" s="85"/>
      <c r="AN95" s="85"/>
      <c r="AO95" s="85"/>
      <c r="AP95" s="85"/>
      <c r="AQ95" s="85"/>
      <c r="AR95" s="85"/>
      <c r="AS95" s="85"/>
      <c r="AT95" s="85"/>
      <c r="AU95" s="85"/>
      <c r="AV95" s="85"/>
      <c r="AW95" s="85"/>
      <c r="AX95" s="85"/>
      <c r="AY95" s="85"/>
      <c r="AZ95" s="85"/>
      <c r="BA95" s="85"/>
      <c r="BB95" s="85"/>
      <c r="BC95" s="85"/>
      <c r="BD95" s="85"/>
      <c r="BE95" s="85"/>
      <c r="BF95" s="85"/>
      <c r="BG95" s="85"/>
      <c r="BH95" s="85"/>
      <c r="BI95" s="85"/>
      <c r="BJ95" s="85"/>
      <c r="BK95" s="85"/>
      <c r="BL95" s="85"/>
      <c r="BM95" s="85"/>
      <c r="BN95" s="85"/>
      <c r="BO95" s="85"/>
      <c r="BP95" s="85"/>
      <c r="BQ95" s="85"/>
      <c r="BR95" s="85"/>
      <c r="BS95" s="85"/>
      <c r="BT95" s="85"/>
      <c r="BU95" s="85"/>
      <c r="BV95" s="85"/>
      <c r="BW95" s="85"/>
      <c r="BX95" s="85"/>
      <c r="BY95" s="85"/>
      <c r="BZ95" s="85"/>
      <c r="CA95" s="85"/>
      <c r="CB95" s="85"/>
      <c r="CC95" s="85"/>
      <c r="CD95" s="85"/>
      <c r="CE95" s="85"/>
      <c r="CF95" s="85"/>
      <c r="CG95" s="85"/>
      <c r="CH95" s="85"/>
      <c r="CI95" s="85"/>
      <c r="CJ95" s="85"/>
      <c r="CK95" s="85"/>
      <c r="CL95" s="85"/>
      <c r="CM95" s="85"/>
      <c r="CN95" s="85"/>
      <c r="CO95" s="85"/>
      <c r="CP95" s="85"/>
      <c r="CQ95" s="85"/>
      <c r="CR95" s="85"/>
      <c r="CS95" s="85"/>
      <c r="CT95" s="85"/>
      <c r="CU95" s="85"/>
      <c r="CV95" s="85"/>
      <c r="CW95" s="85"/>
      <c r="CX95" s="85"/>
      <c r="CY95" s="85"/>
      <c r="CZ95" s="85"/>
      <c r="DA95" s="85"/>
      <c r="DB95" s="85"/>
      <c r="DC95" s="85"/>
      <c r="DD95" s="85"/>
      <c r="DE95" s="85"/>
      <c r="DF95" s="85"/>
      <c r="DG95" s="85"/>
      <c r="DH95" s="85"/>
      <c r="DI95" s="85"/>
      <c r="DJ95" s="85"/>
      <c r="DK95" s="85"/>
      <c r="DL95" s="85"/>
      <c r="DM95" s="85"/>
      <c r="DN95" s="85"/>
      <c r="DO95" s="85"/>
      <c r="DP95" s="85"/>
      <c r="DQ95" s="85"/>
      <c r="DR95" s="85"/>
      <c r="DS95" s="85"/>
      <c r="DT95" s="85"/>
      <c r="DU95" s="85"/>
      <c r="DV95" s="85"/>
      <c r="DW95" s="85"/>
      <c r="DX95" s="85"/>
      <c r="DY95" s="85"/>
      <c r="DZ95" s="85"/>
      <c r="EA95" s="85"/>
      <c r="EB95" s="85"/>
      <c r="EC95" s="85"/>
      <c r="ED95" s="85"/>
      <c r="EE95" s="85"/>
      <c r="EF95" s="85"/>
      <c r="EG95" s="85"/>
      <c r="EH95" s="85"/>
      <c r="EI95" s="85"/>
      <c r="EJ95" s="85"/>
      <c r="EK95" s="85"/>
      <c r="EL95" s="85"/>
      <c r="EM95" s="85"/>
      <c r="EN95" s="85"/>
      <c r="EO95" s="85"/>
      <c r="EP95" s="85"/>
      <c r="EQ95" s="85"/>
      <c r="ER95" s="85"/>
      <c r="ES95" s="85"/>
      <c r="ET95" s="85"/>
      <c r="EU95" s="85"/>
      <c r="EV95" s="85"/>
      <c r="EW95" s="85"/>
      <c r="EX95" s="85"/>
      <c r="EY95" s="85"/>
      <c r="EZ95" s="85"/>
      <c r="FA95" s="85"/>
      <c r="FB95" s="85"/>
      <c r="FC95" s="85"/>
      <c r="FD95" s="85"/>
      <c r="FE95" s="85"/>
      <c r="FF95" s="85"/>
      <c r="FG95" s="85"/>
      <c r="FH95" s="85"/>
      <c r="FI95" s="85"/>
      <c r="FJ95" s="85"/>
      <c r="FK95" s="85"/>
      <c r="FL95" s="85"/>
      <c r="FM95" s="85"/>
      <c r="FN95" s="85"/>
      <c r="FO95" s="85"/>
      <c r="FP95" s="85"/>
      <c r="FQ95" s="85"/>
      <c r="FR95" s="85"/>
      <c r="FS95" s="85"/>
      <c r="FT95" s="85"/>
      <c r="FU95" s="85"/>
      <c r="FV95" s="85"/>
      <c r="FW95" s="85"/>
      <c r="FX95" s="85"/>
      <c r="FY95" s="85"/>
      <c r="FZ95" s="85"/>
      <c r="GA95" s="85"/>
      <c r="GB95" s="85"/>
      <c r="GC95" s="85"/>
      <c r="GD95" s="85"/>
      <c r="GE95" s="85"/>
      <c r="GF95" s="85"/>
      <c r="GG95" s="85"/>
      <c r="GH95" s="85"/>
      <c r="GI95" s="85"/>
      <c r="GJ95" s="85"/>
      <c r="GK95" s="85"/>
      <c r="GL95" s="86"/>
      <c r="GM95" s="86"/>
      <c r="GN95" s="86"/>
      <c r="GO95" s="86"/>
      <c r="GP95" s="86"/>
      <c r="GQ95" s="86"/>
      <c r="GR95" s="86"/>
      <c r="GS95" s="86"/>
      <c r="GT95" s="86"/>
      <c r="GU95" s="86"/>
      <c r="GV95" s="86"/>
      <c r="GW95" s="86"/>
      <c r="GX95" s="86"/>
      <c r="GY95" s="86"/>
      <c r="GZ95" s="86"/>
      <c r="HA95" s="86"/>
      <c r="HB95" s="86"/>
      <c r="HC95" s="86"/>
      <c r="HD95" s="86"/>
      <c r="HE95" s="86"/>
      <c r="HF95" s="86"/>
      <c r="HG95" s="86"/>
      <c r="HH95" s="86"/>
      <c r="HI95" s="86"/>
      <c r="HJ95" s="86"/>
      <c r="HK95" s="86"/>
      <c r="HL95" s="86"/>
      <c r="HM95" s="86"/>
      <c r="HN95" s="86"/>
      <c r="HO95" s="86"/>
      <c r="HP95" s="86"/>
      <c r="HQ95" s="86"/>
      <c r="HR95" s="86"/>
      <c r="HS95" s="86"/>
      <c r="HT95" s="86"/>
      <c r="HU95" s="86"/>
      <c r="HV95" s="86"/>
      <c r="HW95" s="86"/>
      <c r="HX95" s="86"/>
      <c r="HY95" s="86"/>
      <c r="HZ95" s="86"/>
      <c r="IA95" s="86"/>
      <c r="IB95" s="86"/>
      <c r="IC95" s="86"/>
      <c r="ID95" s="86"/>
      <c r="IE95" s="86"/>
      <c r="IF95" s="86"/>
      <c r="IG95" s="86"/>
      <c r="IH95" s="86"/>
      <c r="II95" s="86"/>
      <c r="IJ95" s="86"/>
      <c r="IK95" s="86"/>
      <c r="IL95" s="86"/>
      <c r="IM95" s="86"/>
      <c r="IN95" s="86"/>
      <c r="IO95" s="86"/>
      <c r="IP95" s="86"/>
      <c r="IQ95" s="86"/>
      <c r="IR95" s="86"/>
      <c r="IS95" s="86"/>
      <c r="IT95" s="86"/>
      <c r="IU95" s="86"/>
      <c r="IV95" s="86"/>
      <c r="IW95" s="86"/>
      <c r="IX95" s="86"/>
      <c r="IY95" s="86"/>
      <c r="IZ95" s="86"/>
      <c r="JA95" s="86"/>
      <c r="JB95" s="86"/>
      <c r="JC95" s="86"/>
    </row>
    <row r="96" spans="1:263" s="85" customFormat="1" ht="12.6" customHeight="1">
      <c r="A96" s="22">
        <v>2023</v>
      </c>
      <c r="B96" s="84">
        <v>35</v>
      </c>
      <c r="C96" s="15" t="s">
        <v>328</v>
      </c>
      <c r="D96" s="133">
        <f t="shared" si="26"/>
        <v>0</v>
      </c>
      <c r="E96" s="140">
        <f>SUMIFS('Plan rashoda za unos u SAP'!$K$3:$K$501,'Plan rashoda za unos u SAP'!$C$3:$C$501,"=11",'Plan rashoda za unos u SAP'!$N$3:$N$501,"=35")+SUMIFS('ANALITIKA EU PROJEKATA'!$I$3:$I$501,'ANALITIKA EU PROJEKATA'!$A$3:$A$501,"=11",'ANALITIKA EU PROJEKATA'!$Q$3:$Q$501,"=35")</f>
        <v>0</v>
      </c>
      <c r="F96" s="140">
        <f>SUMIFS('Plan rashoda za unos u SAP'!$K$3:$K$501,'Plan rashoda za unos u SAP'!$C$3:$C$501,"=12",'Plan rashoda za unos u SAP'!$N$3:$N$501,"=35")+SUMIFS('ANALITIKA EU PROJEKATA'!$I$3:$I$501,'ANALITIKA EU PROJEKATA'!$A$3:$A$501,"=12",'ANALITIKA EU PROJEKATA'!$Q$3:$Q$501,"=35")</f>
        <v>0</v>
      </c>
      <c r="G96" s="140">
        <f>SUMIFS('Plan rashoda za unos u SAP'!$K$3:$K$501,'Plan rashoda za unos u SAP'!$C$3:$C$501,"=31",'Plan rashoda za unos u SAP'!$N$3:$N$501,"=35")+SUMIFS('ANALITIKA EU PROJEKATA'!$I$3:$I$501,'ANALITIKA EU PROJEKATA'!$A$3:$A$501,"=31",'ANALITIKA EU PROJEKATA'!$Q$3:$Q$501,"=35")</f>
        <v>0</v>
      </c>
      <c r="H96" s="140">
        <f>SUMIFS('Plan rashoda za unos u SAP'!$K$3:$K$501,'Plan rashoda za unos u SAP'!$C$3:$C$501,"=41",'Plan rashoda za unos u SAP'!$N$3:$N$501,"=35")+SUMIFS('ANALITIKA EU PROJEKATA'!$I$3:$I$501,'ANALITIKA EU PROJEKATA'!$A$3:$A$501,"=41",'ANALITIKA EU PROJEKATA'!$Q$3:$Q$501,"=35")</f>
        <v>0</v>
      </c>
      <c r="I96" s="140">
        <f>SUMIFS('Plan rashoda za unos u SAP'!$K$3:$K$501,'Plan rashoda za unos u SAP'!$C$3:$C$501,"=43",'Plan rashoda za unos u SAP'!$N$3:$N$501,"=35")+SUMIFS('ANALITIKA EU PROJEKATA'!$I$3:$I$501,'ANALITIKA EU PROJEKATA'!$A$3:$A$501,"=43",'ANALITIKA EU PROJEKATA'!$Q$3:$Q$501,"=35")</f>
        <v>0</v>
      </c>
      <c r="J96" s="140">
        <f>SUMIFS('Plan rashoda za unos u SAP'!$K$3:$K$501,'Plan rashoda za unos u SAP'!$C$3:$C$501,"=51",'Plan rashoda za unos u SAP'!$N$3:$N$501,"=35")+SUMIFS('ANALITIKA EU PROJEKATA'!$I$3:$I$501,'ANALITIKA EU PROJEKATA'!$A$3:$A$501,"=51",'ANALITIKA EU PROJEKATA'!$Q$3:$Q$501,"=35")</f>
        <v>0</v>
      </c>
      <c r="K96" s="140">
        <f>SUMIFS('Plan rashoda za unos u SAP'!$K$3:$K$501,'Plan rashoda za unos u SAP'!$C$3:$C$501,"=52",'Plan rashoda za unos u SAP'!$N$3:$N$501,"=35")+SUMIFS('ANALITIKA EU PROJEKATA'!$I$3:$I$501,'ANALITIKA EU PROJEKATA'!$A$3:$A$501,"=52",'ANALITIKA EU PROJEKATA'!$Q$3:$Q$501,"=35")</f>
        <v>0</v>
      </c>
      <c r="L96" s="140">
        <f>SUMIFS('Plan rashoda za unos u SAP'!$K$3:$K$501,'Plan rashoda za unos u SAP'!$C$3:$C$501,"=552",'Plan rashoda za unos u SAP'!$N$3:$N$501,"=35")+SUMIFS('ANALITIKA EU PROJEKATA'!$I$3:$I$501,'ANALITIKA EU PROJEKATA'!$A$3:$A$501,"=552",'ANALITIKA EU PROJEKATA'!$Q$3:$Q$501,"=35")</f>
        <v>0</v>
      </c>
      <c r="M96" s="140">
        <f>SUMIFS('Plan rashoda za unos u SAP'!$K$3:$K$501,'Plan rashoda za unos u SAP'!$C$3:$C$501,"=559",'Plan rashoda za unos u SAP'!$N$3:$N$501,"=35")+SUMIFS('ANALITIKA EU PROJEKATA'!$I$3:$I$501,'ANALITIKA EU PROJEKATA'!$A$3:$A$501,"=559",'ANALITIKA EU PROJEKATA'!$Q$3:$Q$501,"=35")</f>
        <v>0</v>
      </c>
      <c r="N96" s="140">
        <f>SUMIFS('Plan rashoda za unos u SAP'!$K$3:$K$501,'Plan rashoda za unos u SAP'!$C$3:$C$501,"=561",'Plan rashoda za unos u SAP'!$N$3:$N$501,"=35")+SUMIFS('ANALITIKA EU PROJEKATA'!$I$3:$I$501,'ANALITIKA EU PROJEKATA'!$A$3:$A$501,"=561",'ANALITIKA EU PROJEKATA'!$Q$3:$Q$501,"=35")</f>
        <v>0</v>
      </c>
      <c r="O96" s="140">
        <f>SUMIFS('Plan rashoda za unos u SAP'!$K$3:$K$501,'Plan rashoda za unos u SAP'!$C$3:$C$501,"=563",'Plan rashoda za unos u SAP'!$N$3:$N$501,"=35")+SUMIFS('ANALITIKA EU PROJEKATA'!$I$3:$I$501,'ANALITIKA EU PROJEKATA'!$A$3:$A$501,"=563",'ANALITIKA EU PROJEKATA'!$Q$3:$Q$501,"=35")</f>
        <v>0</v>
      </c>
      <c r="P96" s="140">
        <f>SUMIFS('Plan rashoda za unos u SAP'!$K$3:$K$501,'Plan rashoda za unos u SAP'!$C$3:$C$501,"=573",'Plan rashoda za unos u SAP'!$N$3:$N$501,"=35")+SUMIFS('ANALITIKA EU PROJEKATA'!$I$3:$I$501,'ANALITIKA EU PROJEKATA'!$A$3:$A$501,"=573",'ANALITIKA EU PROJEKATA'!$Q$3:$Q$501,"=35")</f>
        <v>0</v>
      </c>
      <c r="Q96" s="140">
        <f>SUMIFS('Plan rashoda za unos u SAP'!$K$3:$K$501,'Plan rashoda za unos u SAP'!$C$3:$C$501,"=575",'Plan rashoda za unos u SAP'!$N$3:$N$501,"=35")+SUMIFS('ANALITIKA EU PROJEKATA'!$I$3:$I$501,'ANALITIKA EU PROJEKATA'!$A$3:$A$501,"=575",'ANALITIKA EU PROJEKATA'!$Q$3:$Q$501,"=35")</f>
        <v>0</v>
      </c>
      <c r="R96" s="140">
        <f>SUMIFS('Plan rashoda za unos u SAP'!$K$3:$K$501,'Plan rashoda za unos u SAP'!$C$3:$C$501,"=576",'Plan rashoda za unos u SAP'!$N$3:$N$501,"=35")+SUMIFS('ANALITIKA EU PROJEKATA'!$I$3:$I$501,'ANALITIKA EU PROJEKATA'!$A$3:$A$501,"=576",'ANALITIKA EU PROJEKATA'!$Q$3:$Q$501,"=35")</f>
        <v>0</v>
      </c>
      <c r="S96" s="140">
        <f>SUMIFS('Plan rashoda za unos u SAP'!$K$3:$K$501,'Plan rashoda za unos u SAP'!$C$3:$C$501,"=61",'Plan rashoda za unos u SAP'!$N$3:$N$501,"=35")+SUMIFS('ANALITIKA EU PROJEKATA'!$I$3:$I$501,'ANALITIKA EU PROJEKATA'!$A$3:$A$501,"=61",'ANALITIKA EU PROJEKATA'!$Q$3:$Q$501,"=35")</f>
        <v>0</v>
      </c>
      <c r="T96" s="140">
        <f>SUMIFS('Plan rashoda za unos u SAP'!$K$3:$K$501,'Plan rashoda za unos u SAP'!$C$3:$C$501,"=63",'Plan rashoda za unos u SAP'!$N$3:$N$501,"=35")+SUMIFS('ANALITIKA EU PROJEKATA'!$I$3:$I$501,'ANALITIKA EU PROJEKATA'!$A$3:$A$501,"=63",'ANALITIKA EU PROJEKATA'!$Q$3:$Q$501,"=35")</f>
        <v>0</v>
      </c>
      <c r="U96" s="140">
        <f>SUMIFS('Plan rashoda za unos u SAP'!$K$3:$K$501,'Plan rashoda za unos u SAP'!$C$3:$C$501,"=71",'Plan rashoda za unos u SAP'!$N$3:$N$501,"=35")+SUMIFS('ANALITIKA EU PROJEKATA'!$I$3:$I$501,'ANALITIKA EU PROJEKATA'!$A$3:$A$501,"=71",'ANALITIKA EU PROJEKATA'!$Q$3:$Q$501,"=35")</f>
        <v>0</v>
      </c>
      <c r="V96" s="140">
        <f>SUMIFS('Plan rashoda za unos u SAP'!$K$3:$K$501,'Plan rashoda za unos u SAP'!$C$3:$C$501,"=81",'Plan rashoda za unos u SAP'!$N$3:$N$501,"=35")+SUMIFS('ANALITIKA EU PROJEKATA'!$I$3:$I$501,'ANALITIKA EU PROJEKATA'!$A$3:$A$501,"=81",'ANALITIKA EU PROJEKATA'!$Q$3:$Q$501,"=35")</f>
        <v>0</v>
      </c>
      <c r="W96" s="140">
        <f>SUMIFS('Plan rashoda za unos u SAP'!$K$3:$K$501,'Plan rashoda za unos u SAP'!$C$3:$C$501,"=83",'Plan rashoda za unos u SAP'!$N$3:$N$501,"=35")+SUMIFS('ANALITIKA EU PROJEKATA'!$I$3:$I$501,'ANALITIKA EU PROJEKATA'!$A$3:$A$501,"=83",'ANALITIKA EU PROJEKATA'!$Q$3:$Q$501,"=35")</f>
        <v>0</v>
      </c>
      <c r="GL96" s="86"/>
      <c r="GM96" s="86"/>
      <c r="GN96" s="86"/>
      <c r="GO96" s="86"/>
      <c r="GP96" s="86"/>
      <c r="GQ96" s="86"/>
      <c r="GR96" s="86"/>
      <c r="GS96" s="86"/>
      <c r="GT96" s="86"/>
      <c r="GU96" s="86"/>
      <c r="GV96" s="86"/>
      <c r="GW96" s="86"/>
      <c r="GX96" s="86"/>
      <c r="GY96" s="86"/>
      <c r="GZ96" s="86"/>
      <c r="HA96" s="86"/>
      <c r="HB96" s="86"/>
      <c r="HC96" s="86"/>
      <c r="HD96" s="86"/>
      <c r="HE96" s="86"/>
      <c r="HF96" s="86"/>
      <c r="HG96" s="86"/>
      <c r="HH96" s="86"/>
      <c r="HI96" s="86"/>
      <c r="HJ96" s="86"/>
      <c r="HK96" s="86"/>
      <c r="HL96" s="86"/>
      <c r="HM96" s="86"/>
      <c r="HN96" s="86"/>
      <c r="HO96" s="86"/>
      <c r="HP96" s="86"/>
      <c r="HQ96" s="86"/>
      <c r="HR96" s="86"/>
      <c r="HS96" s="86"/>
      <c r="HT96" s="86"/>
      <c r="HU96" s="86"/>
      <c r="HV96" s="86"/>
      <c r="HW96" s="86"/>
      <c r="HX96" s="86"/>
      <c r="HY96" s="86"/>
      <c r="HZ96" s="86"/>
      <c r="IA96" s="86"/>
      <c r="IB96" s="86"/>
      <c r="IC96" s="86"/>
      <c r="ID96" s="86"/>
      <c r="IE96" s="86"/>
      <c r="IF96" s="86"/>
      <c r="IG96" s="86"/>
      <c r="IH96" s="86"/>
      <c r="II96" s="86"/>
      <c r="IJ96" s="86"/>
      <c r="IK96" s="86"/>
      <c r="IL96" s="86"/>
      <c r="IM96" s="86"/>
      <c r="IN96" s="86"/>
      <c r="IO96" s="86"/>
      <c r="IP96" s="86"/>
      <c r="IQ96" s="86"/>
      <c r="IR96" s="86"/>
      <c r="IS96" s="86"/>
      <c r="IT96" s="86"/>
      <c r="IU96" s="86"/>
      <c r="IV96" s="86"/>
      <c r="IW96" s="86"/>
      <c r="IX96" s="86"/>
      <c r="IY96" s="86"/>
      <c r="IZ96" s="86"/>
      <c r="JA96" s="86"/>
      <c r="JB96" s="86"/>
      <c r="JC96" s="86"/>
    </row>
    <row r="97" spans="1:263" s="85" customFormat="1" ht="12.6" customHeight="1">
      <c r="A97" s="22">
        <v>2023</v>
      </c>
      <c r="B97" s="84">
        <v>36</v>
      </c>
      <c r="C97" s="18" t="s">
        <v>212</v>
      </c>
      <c r="D97" s="133">
        <f t="shared" si="26"/>
        <v>0</v>
      </c>
      <c r="E97" s="140">
        <f>SUMIFS('Plan rashoda za unos u SAP'!$K$3:$K$501,'Plan rashoda za unos u SAP'!$C$3:$C$501,"=11",'Plan rashoda za unos u SAP'!$N$3:$N$501,"=36")+SUMIFS('ANALITIKA EU PROJEKATA'!$I$3:$I$501,'ANALITIKA EU PROJEKATA'!$A$3:$A$501,"=11",'ANALITIKA EU PROJEKATA'!$Q$3:$Q$501,"=36")</f>
        <v>0</v>
      </c>
      <c r="F97" s="140">
        <f>SUMIFS('Plan rashoda za unos u SAP'!$K$3:$K$501,'Plan rashoda za unos u SAP'!$C$3:$C$501,"=12",'Plan rashoda za unos u SAP'!$N$3:$N$501,"=36")+SUMIFS('ANALITIKA EU PROJEKATA'!$I$3:$I$501,'ANALITIKA EU PROJEKATA'!$A$3:$A$501,"=12",'ANALITIKA EU PROJEKATA'!$Q$3:$Q$501,"=36")</f>
        <v>0</v>
      </c>
      <c r="G97" s="140">
        <f>SUMIFS('Plan rashoda za unos u SAP'!$K$3:$K$501,'Plan rashoda za unos u SAP'!$C$3:$C$501,"=31",'Plan rashoda za unos u SAP'!$N$3:$N$501,"=36")+SUMIFS('ANALITIKA EU PROJEKATA'!$I$3:$I$501,'ANALITIKA EU PROJEKATA'!$A$3:$A$501,"=31",'ANALITIKA EU PROJEKATA'!$Q$3:$Q$501,"=36")</f>
        <v>0</v>
      </c>
      <c r="H97" s="140">
        <f>SUMIFS('Plan rashoda za unos u SAP'!$K$3:$K$501,'Plan rashoda za unos u SAP'!$C$3:$C$501,"=41",'Plan rashoda za unos u SAP'!$N$3:$N$501,"=36")+SUMIFS('ANALITIKA EU PROJEKATA'!$I$3:$I$501,'ANALITIKA EU PROJEKATA'!$A$3:$A$501,"=41",'ANALITIKA EU PROJEKATA'!$Q$3:$Q$501,"=36")</f>
        <v>0</v>
      </c>
      <c r="I97" s="140">
        <f>SUMIFS('Plan rashoda za unos u SAP'!$K$3:$K$501,'Plan rashoda za unos u SAP'!$C$3:$C$501,"=43",'Plan rashoda za unos u SAP'!$N$3:$N$501,"=36")+SUMIFS('ANALITIKA EU PROJEKATA'!$I$3:$I$501,'ANALITIKA EU PROJEKATA'!$A$3:$A$501,"=43",'ANALITIKA EU PROJEKATA'!$Q$3:$Q$501,"=36")</f>
        <v>0</v>
      </c>
      <c r="J97" s="140">
        <f>SUMIFS('Plan rashoda za unos u SAP'!$K$3:$K$501,'Plan rashoda za unos u SAP'!$C$3:$C$501,"=51",'Plan rashoda za unos u SAP'!$N$3:$N$501,"=36")+SUMIFS('ANALITIKA EU PROJEKATA'!$I$3:$I$501,'ANALITIKA EU PROJEKATA'!$A$3:$A$501,"=51",'ANALITIKA EU PROJEKATA'!$Q$3:$Q$501,"=36")</f>
        <v>0</v>
      </c>
      <c r="K97" s="140">
        <f>SUMIFS('Plan rashoda za unos u SAP'!$K$3:$K$501,'Plan rashoda za unos u SAP'!$C$3:$C$501,"=52",'Plan rashoda za unos u SAP'!$N$3:$N$501,"=36")+SUMIFS('ANALITIKA EU PROJEKATA'!$I$3:$I$501,'ANALITIKA EU PROJEKATA'!$A$3:$A$501,"=52",'ANALITIKA EU PROJEKATA'!$Q$3:$Q$501,"=36")</f>
        <v>0</v>
      </c>
      <c r="L97" s="140">
        <f>SUMIFS('Plan rashoda za unos u SAP'!$K$3:$K$501,'Plan rashoda za unos u SAP'!$C$3:$C$501,"=552",'Plan rashoda za unos u SAP'!$N$3:$N$501,"=36")+SUMIFS('ANALITIKA EU PROJEKATA'!$I$3:$I$501,'ANALITIKA EU PROJEKATA'!$A$3:$A$501,"=552",'ANALITIKA EU PROJEKATA'!$Q$3:$Q$501,"=36")</f>
        <v>0</v>
      </c>
      <c r="M97" s="140">
        <f>SUMIFS('Plan rashoda za unos u SAP'!$K$3:$K$501,'Plan rashoda za unos u SAP'!$C$3:$C$501,"=559",'Plan rashoda za unos u SAP'!$N$3:$N$501,"=36")+SUMIFS('ANALITIKA EU PROJEKATA'!$I$3:$I$501,'ANALITIKA EU PROJEKATA'!$A$3:$A$501,"=559",'ANALITIKA EU PROJEKATA'!$Q$3:$Q$501,"=36")</f>
        <v>0</v>
      </c>
      <c r="N97" s="140">
        <f>SUMIFS('Plan rashoda za unos u SAP'!$K$3:$K$501,'Plan rashoda za unos u SAP'!$C$3:$C$501,"=561",'Plan rashoda za unos u SAP'!$N$3:$N$501,"=36")+SUMIFS('ANALITIKA EU PROJEKATA'!$I$3:$I$501,'ANALITIKA EU PROJEKATA'!$A$3:$A$501,"=561",'ANALITIKA EU PROJEKATA'!$Q$3:$Q$501,"=36")</f>
        <v>0</v>
      </c>
      <c r="O97" s="140">
        <f>SUMIFS('Plan rashoda za unos u SAP'!$K$3:$K$501,'Plan rashoda za unos u SAP'!$C$3:$C$501,"=563",'Plan rashoda za unos u SAP'!$N$3:$N$501,"=36")+SUMIFS('ANALITIKA EU PROJEKATA'!$I$3:$I$501,'ANALITIKA EU PROJEKATA'!$A$3:$A$501,"=563",'ANALITIKA EU PROJEKATA'!$Q$3:$Q$501,"=36")</f>
        <v>0</v>
      </c>
      <c r="P97" s="140">
        <f>SUMIFS('Plan rashoda za unos u SAP'!$K$3:$K$501,'Plan rashoda za unos u SAP'!$C$3:$C$501,"=573",'Plan rashoda za unos u SAP'!$N$3:$N$501,"=36")+SUMIFS('ANALITIKA EU PROJEKATA'!$I$3:$I$501,'ANALITIKA EU PROJEKATA'!$A$3:$A$501,"=573",'ANALITIKA EU PROJEKATA'!$Q$3:$Q$501,"=36")</f>
        <v>0</v>
      </c>
      <c r="Q97" s="140">
        <f>SUMIFS('Plan rashoda za unos u SAP'!$K$3:$K$501,'Plan rashoda za unos u SAP'!$C$3:$C$501,"=575",'Plan rashoda za unos u SAP'!$N$3:$N$501,"=36")+SUMIFS('ANALITIKA EU PROJEKATA'!$I$3:$I$501,'ANALITIKA EU PROJEKATA'!$A$3:$A$501,"=575",'ANALITIKA EU PROJEKATA'!$Q$3:$Q$501,"=36")</f>
        <v>0</v>
      </c>
      <c r="R97" s="140">
        <f>SUMIFS('Plan rashoda za unos u SAP'!$K$3:$K$501,'Plan rashoda za unos u SAP'!$C$3:$C$501,"=576",'Plan rashoda za unos u SAP'!$N$3:$N$501,"=36")+SUMIFS('ANALITIKA EU PROJEKATA'!$I$3:$I$501,'ANALITIKA EU PROJEKATA'!$A$3:$A$501,"=576",'ANALITIKA EU PROJEKATA'!$Q$3:$Q$501,"=36")</f>
        <v>0</v>
      </c>
      <c r="S97" s="140">
        <f>SUMIFS('Plan rashoda za unos u SAP'!$K$3:$K$501,'Plan rashoda za unos u SAP'!$C$3:$C$501,"=61",'Plan rashoda za unos u SAP'!$N$3:$N$501,"=36")+SUMIFS('ANALITIKA EU PROJEKATA'!$I$3:$I$501,'ANALITIKA EU PROJEKATA'!$A$3:$A$501,"=61",'ANALITIKA EU PROJEKATA'!$Q$3:$Q$501,"=36")</f>
        <v>0</v>
      </c>
      <c r="T97" s="140">
        <f>SUMIFS('Plan rashoda za unos u SAP'!$K$3:$K$501,'Plan rashoda za unos u SAP'!$C$3:$C$501,"=63",'Plan rashoda za unos u SAP'!$N$3:$N$501,"=36")+SUMIFS('ANALITIKA EU PROJEKATA'!$I$3:$I$501,'ANALITIKA EU PROJEKATA'!$A$3:$A$501,"=63",'ANALITIKA EU PROJEKATA'!$Q$3:$Q$501,"=36")</f>
        <v>0</v>
      </c>
      <c r="U97" s="140">
        <f>SUMIFS('Plan rashoda za unos u SAP'!$K$3:$K$501,'Plan rashoda za unos u SAP'!$C$3:$C$501,"=71",'Plan rashoda za unos u SAP'!$N$3:$N$501,"=36")+SUMIFS('ANALITIKA EU PROJEKATA'!$I$3:$I$501,'ANALITIKA EU PROJEKATA'!$A$3:$A$501,"=71",'ANALITIKA EU PROJEKATA'!$Q$3:$Q$501,"=36")</f>
        <v>0</v>
      </c>
      <c r="V97" s="140">
        <f>SUMIFS('Plan rashoda za unos u SAP'!$K$3:$K$501,'Plan rashoda za unos u SAP'!$C$3:$C$501,"=81",'Plan rashoda za unos u SAP'!$N$3:$N$501,"=36")+SUMIFS('ANALITIKA EU PROJEKATA'!$I$3:$I$501,'ANALITIKA EU PROJEKATA'!$A$3:$A$501,"=81",'ANALITIKA EU PROJEKATA'!$Q$3:$Q$501,"=36")</f>
        <v>0</v>
      </c>
      <c r="W97" s="140">
        <f>SUMIFS('Plan rashoda za unos u SAP'!$K$3:$K$501,'Plan rashoda za unos u SAP'!$C$3:$C$501,"=83",'Plan rashoda za unos u SAP'!$N$3:$N$501,"=36")+SUMIFS('ANALITIKA EU PROJEKATA'!$I$3:$I$501,'ANALITIKA EU PROJEKATA'!$A$3:$A$501,"=83",'ANALITIKA EU PROJEKATA'!$Q$3:$Q$501,"=36")</f>
        <v>0</v>
      </c>
      <c r="GL97" s="86"/>
      <c r="GM97" s="86"/>
      <c r="GN97" s="86"/>
      <c r="GO97" s="86"/>
      <c r="GP97" s="86"/>
      <c r="GQ97" s="86"/>
      <c r="GR97" s="86"/>
      <c r="GS97" s="86"/>
      <c r="GT97" s="86"/>
      <c r="GU97" s="86"/>
      <c r="GV97" s="86"/>
      <c r="GW97" s="86"/>
      <c r="GX97" s="86"/>
      <c r="GY97" s="86"/>
      <c r="GZ97" s="86"/>
      <c r="HA97" s="86"/>
      <c r="HB97" s="86"/>
      <c r="HC97" s="86"/>
      <c r="HD97" s="86"/>
      <c r="HE97" s="86"/>
      <c r="HF97" s="86"/>
      <c r="HG97" s="86"/>
      <c r="HH97" s="86"/>
      <c r="HI97" s="86"/>
      <c r="HJ97" s="86"/>
      <c r="HK97" s="86"/>
      <c r="HL97" s="86"/>
      <c r="HM97" s="86"/>
      <c r="HN97" s="86"/>
      <c r="HO97" s="86"/>
      <c r="HP97" s="86"/>
      <c r="HQ97" s="86"/>
      <c r="HR97" s="86"/>
      <c r="HS97" s="86"/>
      <c r="HT97" s="86"/>
      <c r="HU97" s="86"/>
      <c r="HV97" s="86"/>
      <c r="HW97" s="86"/>
      <c r="HX97" s="86"/>
      <c r="HY97" s="86"/>
      <c r="HZ97" s="86"/>
      <c r="IA97" s="86"/>
      <c r="IB97" s="86"/>
      <c r="IC97" s="86"/>
      <c r="ID97" s="86"/>
      <c r="IE97" s="86"/>
      <c r="IF97" s="86"/>
      <c r="IG97" s="86"/>
      <c r="IH97" s="86"/>
      <c r="II97" s="86"/>
      <c r="IJ97" s="86"/>
      <c r="IK97" s="86"/>
      <c r="IL97" s="86"/>
      <c r="IM97" s="86"/>
      <c r="IN97" s="86"/>
      <c r="IO97" s="86"/>
      <c r="IP97" s="86"/>
      <c r="IQ97" s="86"/>
      <c r="IR97" s="86"/>
      <c r="IS97" s="86"/>
      <c r="IT97" s="86"/>
      <c r="IU97" s="86"/>
      <c r="IV97" s="86"/>
      <c r="IW97" s="86"/>
      <c r="IX97" s="86"/>
      <c r="IY97" s="86"/>
      <c r="IZ97" s="86"/>
      <c r="JA97" s="86"/>
      <c r="JB97" s="86"/>
      <c r="JC97" s="86"/>
    </row>
    <row r="98" spans="1:263" s="20" customFormat="1" ht="12.6" customHeight="1">
      <c r="A98" s="22">
        <v>2023</v>
      </c>
      <c r="B98" s="84">
        <v>37</v>
      </c>
      <c r="C98" s="15" t="s">
        <v>335</v>
      </c>
      <c r="D98" s="133">
        <f t="shared" si="26"/>
        <v>0</v>
      </c>
      <c r="E98" s="140">
        <f>SUMIFS('Plan rashoda za unos u SAP'!$K$3:$K$501,'Plan rashoda za unos u SAP'!$C$3:$C$501,"=11",'Plan rashoda za unos u SAP'!$N$3:$N$501,"=37")+SUMIFS('ANALITIKA EU PROJEKATA'!$I$3:$I$501,'ANALITIKA EU PROJEKATA'!$A$3:$A$501,"=11",'ANALITIKA EU PROJEKATA'!$Q$3:$Q$501,"=37")</f>
        <v>0</v>
      </c>
      <c r="F98" s="140">
        <f>SUMIFS('Plan rashoda za unos u SAP'!$K$3:$K$501,'Plan rashoda za unos u SAP'!$C$3:$C$501,"=12",'Plan rashoda za unos u SAP'!$N$3:$N$501,"=37")+SUMIFS('ANALITIKA EU PROJEKATA'!$I$3:$I$501,'ANALITIKA EU PROJEKATA'!$A$3:$A$501,"=12",'ANALITIKA EU PROJEKATA'!$Q$3:$Q$501,"=37")</f>
        <v>0</v>
      </c>
      <c r="G98" s="140">
        <f>SUMIFS('Plan rashoda za unos u SAP'!$K$3:$K$501,'Plan rashoda za unos u SAP'!$C$3:$C$501,"=31",'Plan rashoda za unos u SAP'!$N$3:$N$501,"=37")+SUMIFS('ANALITIKA EU PROJEKATA'!$I$3:$I$501,'ANALITIKA EU PROJEKATA'!$A$3:$A$501,"=31",'ANALITIKA EU PROJEKATA'!$Q$3:$Q$501,"=37")</f>
        <v>0</v>
      </c>
      <c r="H98" s="140">
        <f>SUMIFS('Plan rashoda za unos u SAP'!$K$3:$K$501,'Plan rashoda za unos u SAP'!$C$3:$C$501,"=41",'Plan rashoda za unos u SAP'!$N$3:$N$501,"=37")+SUMIFS('ANALITIKA EU PROJEKATA'!$I$3:$I$501,'ANALITIKA EU PROJEKATA'!$A$3:$A$501,"=41",'ANALITIKA EU PROJEKATA'!$Q$3:$Q$501,"=37")</f>
        <v>0</v>
      </c>
      <c r="I98" s="140">
        <f>SUMIFS('Plan rashoda za unos u SAP'!$K$3:$K$501,'Plan rashoda za unos u SAP'!$C$3:$C$501,"=43",'Plan rashoda za unos u SAP'!$N$3:$N$501,"=37")+SUMIFS('ANALITIKA EU PROJEKATA'!$I$3:$I$501,'ANALITIKA EU PROJEKATA'!$A$3:$A$501,"=43",'ANALITIKA EU PROJEKATA'!$Q$3:$Q$501,"=37")</f>
        <v>0</v>
      </c>
      <c r="J98" s="140">
        <f>SUMIFS('Plan rashoda za unos u SAP'!$K$3:$K$501,'Plan rashoda za unos u SAP'!$C$3:$C$501,"=51",'Plan rashoda za unos u SAP'!$N$3:$N$501,"=37")+SUMIFS('ANALITIKA EU PROJEKATA'!$I$3:$I$501,'ANALITIKA EU PROJEKATA'!$A$3:$A$501,"=51",'ANALITIKA EU PROJEKATA'!$Q$3:$Q$501,"=37")</f>
        <v>0</v>
      </c>
      <c r="K98" s="140">
        <f>SUMIFS('Plan rashoda za unos u SAP'!$K$3:$K$501,'Plan rashoda za unos u SAP'!$C$3:$C$501,"=52",'Plan rashoda za unos u SAP'!$N$3:$N$501,"=37")+SUMIFS('ANALITIKA EU PROJEKATA'!$I$3:$I$501,'ANALITIKA EU PROJEKATA'!$A$3:$A$501,"=52",'ANALITIKA EU PROJEKATA'!$Q$3:$Q$501,"=37")</f>
        <v>0</v>
      </c>
      <c r="L98" s="140">
        <f>SUMIFS('Plan rashoda za unos u SAP'!$K$3:$K$501,'Plan rashoda za unos u SAP'!$C$3:$C$501,"=552",'Plan rashoda za unos u SAP'!$N$3:$N$501,"=37")+SUMIFS('ANALITIKA EU PROJEKATA'!$I$3:$I$501,'ANALITIKA EU PROJEKATA'!$A$3:$A$501,"=552",'ANALITIKA EU PROJEKATA'!$Q$3:$Q$501,"=37")</f>
        <v>0</v>
      </c>
      <c r="M98" s="140">
        <f>SUMIFS('Plan rashoda za unos u SAP'!$K$3:$K$501,'Plan rashoda za unos u SAP'!$C$3:$C$501,"=559",'Plan rashoda za unos u SAP'!$N$3:$N$501,"=37")+SUMIFS('ANALITIKA EU PROJEKATA'!$I$3:$I$501,'ANALITIKA EU PROJEKATA'!$A$3:$A$501,"=559",'ANALITIKA EU PROJEKATA'!$Q$3:$Q$501,"=37")</f>
        <v>0</v>
      </c>
      <c r="N98" s="140">
        <f>SUMIFS('Plan rashoda za unos u SAP'!$K$3:$K$501,'Plan rashoda za unos u SAP'!$C$3:$C$501,"=561",'Plan rashoda za unos u SAP'!$N$3:$N$501,"=37")+SUMIFS('ANALITIKA EU PROJEKATA'!$I$3:$I$501,'ANALITIKA EU PROJEKATA'!$A$3:$A$501,"=561",'ANALITIKA EU PROJEKATA'!$Q$3:$Q$501,"=37")</f>
        <v>0</v>
      </c>
      <c r="O98" s="140">
        <f>SUMIFS('Plan rashoda za unos u SAP'!$K$3:$K$501,'Plan rashoda za unos u SAP'!$C$3:$C$501,"=563",'Plan rashoda za unos u SAP'!$N$3:$N$501,"=37")+SUMIFS('ANALITIKA EU PROJEKATA'!$I$3:$I$501,'ANALITIKA EU PROJEKATA'!$A$3:$A$501,"=563",'ANALITIKA EU PROJEKATA'!$Q$3:$Q$501,"=37")</f>
        <v>0</v>
      </c>
      <c r="P98" s="140">
        <f>SUMIFS('Plan rashoda za unos u SAP'!$K$3:$K$501,'Plan rashoda za unos u SAP'!$C$3:$C$501,"=573",'Plan rashoda za unos u SAP'!$N$3:$N$501,"=37")+SUMIFS('ANALITIKA EU PROJEKATA'!$I$3:$I$501,'ANALITIKA EU PROJEKATA'!$A$3:$A$501,"=573",'ANALITIKA EU PROJEKATA'!$Q$3:$Q$501,"=37")</f>
        <v>0</v>
      </c>
      <c r="Q98" s="140">
        <f>SUMIFS('Plan rashoda za unos u SAP'!$K$3:$K$501,'Plan rashoda za unos u SAP'!$C$3:$C$501,"=575",'Plan rashoda za unos u SAP'!$N$3:$N$501,"=37")+SUMIFS('ANALITIKA EU PROJEKATA'!$I$3:$I$501,'ANALITIKA EU PROJEKATA'!$A$3:$A$501,"=575",'ANALITIKA EU PROJEKATA'!$Q$3:$Q$501,"=37")</f>
        <v>0</v>
      </c>
      <c r="R98" s="140">
        <f>SUMIFS('Plan rashoda za unos u SAP'!$K$3:$K$501,'Plan rashoda za unos u SAP'!$C$3:$C$501,"=576",'Plan rashoda za unos u SAP'!$N$3:$N$501,"=37")+SUMIFS('ANALITIKA EU PROJEKATA'!$I$3:$I$501,'ANALITIKA EU PROJEKATA'!$A$3:$A$501,"=576",'ANALITIKA EU PROJEKATA'!$Q$3:$Q$501,"=37")</f>
        <v>0</v>
      </c>
      <c r="S98" s="140">
        <f>SUMIFS('Plan rashoda za unos u SAP'!$K$3:$K$501,'Plan rashoda za unos u SAP'!$C$3:$C$501,"=61",'Plan rashoda za unos u SAP'!$N$3:$N$501,"=37")+SUMIFS('ANALITIKA EU PROJEKATA'!$I$3:$I$501,'ANALITIKA EU PROJEKATA'!$A$3:$A$501,"=61",'ANALITIKA EU PROJEKATA'!$Q$3:$Q$501,"=37")</f>
        <v>0</v>
      </c>
      <c r="T98" s="140">
        <f>SUMIFS('Plan rashoda za unos u SAP'!$K$3:$K$501,'Plan rashoda za unos u SAP'!$C$3:$C$501,"=63",'Plan rashoda za unos u SAP'!$N$3:$N$501,"=37")+SUMIFS('ANALITIKA EU PROJEKATA'!$I$3:$I$501,'ANALITIKA EU PROJEKATA'!$A$3:$A$501,"=63",'ANALITIKA EU PROJEKATA'!$Q$3:$Q$501,"=37")</f>
        <v>0</v>
      </c>
      <c r="U98" s="140">
        <f>SUMIFS('Plan rashoda za unos u SAP'!$K$3:$K$501,'Plan rashoda za unos u SAP'!$C$3:$C$501,"=71",'Plan rashoda za unos u SAP'!$N$3:$N$501,"=37")+SUMIFS('ANALITIKA EU PROJEKATA'!$I$3:$I$501,'ANALITIKA EU PROJEKATA'!$A$3:$A$501,"=71",'ANALITIKA EU PROJEKATA'!$Q$3:$Q$501,"=37")</f>
        <v>0</v>
      </c>
      <c r="V98" s="140">
        <f>SUMIFS('Plan rashoda za unos u SAP'!$K$3:$K$501,'Plan rashoda za unos u SAP'!$C$3:$C$501,"=81",'Plan rashoda za unos u SAP'!$N$3:$N$501,"=37")+SUMIFS('ANALITIKA EU PROJEKATA'!$I$3:$I$501,'ANALITIKA EU PROJEKATA'!$A$3:$A$501,"=81",'ANALITIKA EU PROJEKATA'!$Q$3:$Q$501,"=37")</f>
        <v>0</v>
      </c>
      <c r="W98" s="140">
        <f>SUMIFS('Plan rashoda za unos u SAP'!$K$3:$K$501,'Plan rashoda za unos u SAP'!$C$3:$C$501,"=83",'Plan rashoda za unos u SAP'!$N$3:$N$501,"=37")+SUMIFS('ANALITIKA EU PROJEKATA'!$I$3:$I$501,'ANALITIKA EU PROJEKATA'!$A$3:$A$501,"=83",'ANALITIKA EU PROJEKATA'!$Q$3:$Q$501,"=37")</f>
        <v>0</v>
      </c>
      <c r="X98" s="85"/>
      <c r="Y98" s="85"/>
      <c r="Z98" s="85"/>
      <c r="AA98" s="85"/>
      <c r="AB98" s="85"/>
      <c r="AC98" s="85"/>
      <c r="AD98" s="85"/>
      <c r="AE98" s="85"/>
      <c r="AF98" s="85"/>
      <c r="AG98" s="85"/>
      <c r="AH98" s="85"/>
      <c r="AI98" s="85"/>
      <c r="AJ98" s="85"/>
      <c r="AK98" s="85"/>
      <c r="AL98" s="85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5"/>
      <c r="AY98" s="85"/>
      <c r="AZ98" s="85"/>
      <c r="BA98" s="85"/>
      <c r="BB98" s="85"/>
      <c r="BC98" s="85"/>
      <c r="BD98" s="85"/>
      <c r="BE98" s="85"/>
      <c r="BF98" s="85"/>
      <c r="BG98" s="85"/>
      <c r="BH98" s="85"/>
      <c r="BI98" s="85"/>
      <c r="BJ98" s="85"/>
      <c r="BK98" s="85"/>
      <c r="BL98" s="85"/>
      <c r="BM98" s="85"/>
      <c r="BN98" s="85"/>
      <c r="BO98" s="85"/>
      <c r="BP98" s="85"/>
      <c r="BQ98" s="85"/>
      <c r="BR98" s="85"/>
      <c r="BS98" s="85"/>
      <c r="BT98" s="85"/>
      <c r="BU98" s="85"/>
      <c r="BV98" s="85"/>
      <c r="BW98" s="85"/>
      <c r="BX98" s="85"/>
      <c r="BY98" s="85"/>
      <c r="BZ98" s="85"/>
      <c r="CA98" s="85"/>
      <c r="CB98" s="85"/>
      <c r="CC98" s="85"/>
      <c r="CD98" s="85"/>
      <c r="CE98" s="85"/>
      <c r="CF98" s="85"/>
      <c r="CG98" s="85"/>
      <c r="CH98" s="85"/>
      <c r="CI98" s="85"/>
      <c r="CJ98" s="85"/>
      <c r="CK98" s="85"/>
      <c r="CL98" s="85"/>
      <c r="CM98" s="85"/>
      <c r="CN98" s="85"/>
      <c r="CO98" s="85"/>
      <c r="CP98" s="85"/>
      <c r="CQ98" s="85"/>
      <c r="CR98" s="85"/>
      <c r="CS98" s="85"/>
      <c r="CT98" s="85"/>
      <c r="CU98" s="85"/>
      <c r="CV98" s="85"/>
      <c r="CW98" s="85"/>
      <c r="CX98" s="85"/>
      <c r="CY98" s="85"/>
      <c r="CZ98" s="85"/>
      <c r="DA98" s="85"/>
      <c r="DB98" s="85"/>
      <c r="DC98" s="85"/>
      <c r="DD98" s="85"/>
      <c r="DE98" s="85"/>
      <c r="DF98" s="85"/>
      <c r="DG98" s="85"/>
      <c r="DH98" s="85"/>
      <c r="DI98" s="85"/>
      <c r="DJ98" s="85"/>
      <c r="DK98" s="85"/>
      <c r="DL98" s="85"/>
      <c r="DM98" s="85"/>
      <c r="DN98" s="85"/>
      <c r="DO98" s="85"/>
      <c r="DP98" s="85"/>
      <c r="DQ98" s="85"/>
      <c r="DR98" s="85"/>
      <c r="DS98" s="85"/>
      <c r="DT98" s="85"/>
      <c r="DU98" s="85"/>
      <c r="DV98" s="85"/>
      <c r="DW98" s="85"/>
      <c r="DX98" s="85"/>
      <c r="DY98" s="85"/>
      <c r="DZ98" s="85"/>
      <c r="EA98" s="85"/>
      <c r="EB98" s="85"/>
      <c r="EC98" s="85"/>
      <c r="ED98" s="85"/>
      <c r="EE98" s="85"/>
      <c r="EF98" s="85"/>
      <c r="EG98" s="85"/>
      <c r="EH98" s="85"/>
      <c r="EI98" s="85"/>
      <c r="EJ98" s="85"/>
      <c r="EK98" s="85"/>
      <c r="EL98" s="85"/>
      <c r="EM98" s="85"/>
      <c r="EN98" s="85"/>
      <c r="EO98" s="85"/>
      <c r="EP98" s="85"/>
      <c r="EQ98" s="85"/>
      <c r="ER98" s="85"/>
      <c r="ES98" s="85"/>
      <c r="ET98" s="85"/>
      <c r="EU98" s="85"/>
      <c r="EV98" s="85"/>
      <c r="EW98" s="85"/>
      <c r="EX98" s="85"/>
      <c r="EY98" s="85"/>
      <c r="EZ98" s="85"/>
      <c r="FA98" s="85"/>
      <c r="FB98" s="85"/>
      <c r="FC98" s="85"/>
      <c r="FD98" s="85"/>
      <c r="FE98" s="85"/>
      <c r="FF98" s="85"/>
      <c r="FG98" s="85"/>
      <c r="FH98" s="85"/>
      <c r="FI98" s="85"/>
      <c r="FJ98" s="85"/>
      <c r="FK98" s="85"/>
      <c r="FL98" s="85"/>
      <c r="FM98" s="85"/>
      <c r="FN98" s="85"/>
      <c r="FO98" s="85"/>
      <c r="FP98" s="85"/>
      <c r="FQ98" s="85"/>
      <c r="FR98" s="85"/>
      <c r="FS98" s="85"/>
      <c r="FT98" s="85"/>
      <c r="FU98" s="85"/>
      <c r="FV98" s="85"/>
      <c r="FW98" s="85"/>
      <c r="FX98" s="85"/>
      <c r="FY98" s="85"/>
      <c r="FZ98" s="85"/>
      <c r="GA98" s="85"/>
      <c r="GB98" s="85"/>
      <c r="GC98" s="85"/>
      <c r="GD98" s="85"/>
      <c r="GE98" s="85"/>
      <c r="GF98" s="85"/>
      <c r="GG98" s="85"/>
      <c r="GH98" s="85"/>
      <c r="GI98" s="85"/>
      <c r="GJ98" s="85"/>
      <c r="GK98" s="85"/>
      <c r="GL98" s="86"/>
      <c r="GM98" s="86"/>
      <c r="GN98" s="86"/>
      <c r="GO98" s="86"/>
      <c r="GP98" s="86"/>
      <c r="GQ98" s="86"/>
      <c r="GR98" s="86"/>
      <c r="GS98" s="86"/>
      <c r="GT98" s="86"/>
      <c r="GU98" s="86"/>
      <c r="GV98" s="86"/>
      <c r="GW98" s="86"/>
      <c r="GX98" s="86"/>
      <c r="GY98" s="86"/>
      <c r="GZ98" s="86"/>
      <c r="HA98" s="86"/>
      <c r="HB98" s="86"/>
      <c r="HC98" s="86"/>
      <c r="HD98" s="86"/>
      <c r="HE98" s="86"/>
      <c r="HF98" s="86"/>
      <c r="HG98" s="86"/>
      <c r="HH98" s="86"/>
      <c r="HI98" s="86"/>
      <c r="HJ98" s="86"/>
      <c r="HK98" s="86"/>
      <c r="HL98" s="86"/>
      <c r="HM98" s="86"/>
      <c r="HN98" s="86"/>
      <c r="HO98" s="86"/>
      <c r="HP98" s="86"/>
      <c r="HQ98" s="86"/>
      <c r="HR98" s="86"/>
      <c r="HS98" s="86"/>
      <c r="HT98" s="86"/>
      <c r="HU98" s="86"/>
      <c r="HV98" s="86"/>
      <c r="HW98" s="86"/>
      <c r="HX98" s="86"/>
      <c r="HY98" s="86"/>
      <c r="HZ98" s="86"/>
      <c r="IA98" s="86"/>
      <c r="IB98" s="86"/>
      <c r="IC98" s="86"/>
      <c r="ID98" s="86"/>
      <c r="IE98" s="86"/>
      <c r="IF98" s="86"/>
      <c r="IG98" s="86"/>
      <c r="IH98" s="86"/>
      <c r="II98" s="86"/>
      <c r="IJ98" s="86"/>
      <c r="IK98" s="86"/>
      <c r="IL98" s="86"/>
      <c r="IM98" s="86"/>
      <c r="IN98" s="86"/>
      <c r="IO98" s="86"/>
      <c r="IP98" s="86"/>
      <c r="IQ98" s="86"/>
      <c r="IR98" s="86"/>
      <c r="IS98" s="86"/>
      <c r="IT98" s="86"/>
      <c r="IU98" s="86"/>
      <c r="IV98" s="86"/>
      <c r="IW98" s="86"/>
      <c r="IX98" s="86"/>
      <c r="IY98" s="86"/>
      <c r="IZ98" s="86"/>
      <c r="JA98" s="86"/>
      <c r="JB98" s="86"/>
      <c r="JC98" s="86"/>
    </row>
    <row r="99" spans="1:263" s="20" customFormat="1" ht="12.6" customHeight="1">
      <c r="A99" s="22">
        <v>2023</v>
      </c>
      <c r="B99" s="84">
        <v>38</v>
      </c>
      <c r="C99" s="15" t="s">
        <v>214</v>
      </c>
      <c r="D99" s="133">
        <f t="shared" si="26"/>
        <v>0</v>
      </c>
      <c r="E99" s="140">
        <f>SUMIFS('Plan rashoda za unos u SAP'!$K$3:$K$501,'Plan rashoda za unos u SAP'!$C$3:$C$501,"=11",'Plan rashoda za unos u SAP'!$N$3:$N$501,"=38")+SUMIFS('ANALITIKA EU PROJEKATA'!$I$3:$I$501,'ANALITIKA EU PROJEKATA'!$A$3:$A$501,"=11",'ANALITIKA EU PROJEKATA'!$Q$3:$Q$501,"=38")</f>
        <v>0</v>
      </c>
      <c r="F99" s="140">
        <f>SUMIFS('Plan rashoda za unos u SAP'!$K$3:$K$501,'Plan rashoda za unos u SAP'!$C$3:$C$501,"=12",'Plan rashoda za unos u SAP'!$N$3:$N$501,"=38")+SUMIFS('ANALITIKA EU PROJEKATA'!$I$3:$I$501,'ANALITIKA EU PROJEKATA'!$A$3:$A$501,"=12",'ANALITIKA EU PROJEKATA'!$Q$3:$Q$501,"=38")</f>
        <v>0</v>
      </c>
      <c r="G99" s="140">
        <f>SUMIFS('Plan rashoda za unos u SAP'!$K$3:$K$501,'Plan rashoda za unos u SAP'!$C$3:$C$501,"=31",'Plan rashoda za unos u SAP'!$N$3:$N$501,"=38")+SUMIFS('ANALITIKA EU PROJEKATA'!$I$3:$I$501,'ANALITIKA EU PROJEKATA'!$A$3:$A$501,"=31",'ANALITIKA EU PROJEKATA'!$Q$3:$Q$501,"=38")</f>
        <v>0</v>
      </c>
      <c r="H99" s="140">
        <f>SUMIFS('Plan rashoda za unos u SAP'!$K$3:$K$501,'Plan rashoda za unos u SAP'!$C$3:$C$501,"=41",'Plan rashoda za unos u SAP'!$N$3:$N$501,"=38")+SUMIFS('ANALITIKA EU PROJEKATA'!$I$3:$I$501,'ANALITIKA EU PROJEKATA'!$A$3:$A$501,"=41",'ANALITIKA EU PROJEKATA'!$Q$3:$Q$501,"=38")</f>
        <v>0</v>
      </c>
      <c r="I99" s="140">
        <f>SUMIFS('Plan rashoda za unos u SAP'!$K$3:$K$501,'Plan rashoda za unos u SAP'!$C$3:$C$501,"=43",'Plan rashoda za unos u SAP'!$N$3:$N$501,"=38")+SUMIFS('ANALITIKA EU PROJEKATA'!$I$3:$I$501,'ANALITIKA EU PROJEKATA'!$A$3:$A$501,"=43",'ANALITIKA EU PROJEKATA'!$Q$3:$Q$501,"=38")</f>
        <v>0</v>
      </c>
      <c r="J99" s="140">
        <f>SUMIFS('Plan rashoda za unos u SAP'!$K$3:$K$501,'Plan rashoda za unos u SAP'!$C$3:$C$501,"=51",'Plan rashoda za unos u SAP'!$N$3:$N$501,"=38")+SUMIFS('ANALITIKA EU PROJEKATA'!$I$3:$I$501,'ANALITIKA EU PROJEKATA'!$A$3:$A$501,"=51",'ANALITIKA EU PROJEKATA'!$Q$3:$Q$501,"=38")</f>
        <v>0</v>
      </c>
      <c r="K99" s="140">
        <f>SUMIFS('Plan rashoda za unos u SAP'!$K$3:$K$501,'Plan rashoda za unos u SAP'!$C$3:$C$501,"=52",'Plan rashoda za unos u SAP'!$N$3:$N$501,"=38")+SUMIFS('ANALITIKA EU PROJEKATA'!$I$3:$I$501,'ANALITIKA EU PROJEKATA'!$A$3:$A$501,"=52",'ANALITIKA EU PROJEKATA'!$Q$3:$Q$501,"=38")</f>
        <v>0</v>
      </c>
      <c r="L99" s="140">
        <f>SUMIFS('Plan rashoda za unos u SAP'!$K$3:$K$501,'Plan rashoda za unos u SAP'!$C$3:$C$501,"=552",'Plan rashoda za unos u SAP'!$N$3:$N$501,"=38")+SUMIFS('ANALITIKA EU PROJEKATA'!$I$3:$I$501,'ANALITIKA EU PROJEKATA'!$A$3:$A$501,"=552",'ANALITIKA EU PROJEKATA'!$Q$3:$Q$501,"=38")</f>
        <v>0</v>
      </c>
      <c r="M99" s="140">
        <f>SUMIFS('Plan rashoda za unos u SAP'!$K$3:$K$501,'Plan rashoda za unos u SAP'!$C$3:$C$501,"=559",'Plan rashoda za unos u SAP'!$N$3:$N$501,"=38")+SUMIFS('ANALITIKA EU PROJEKATA'!$I$3:$I$501,'ANALITIKA EU PROJEKATA'!$A$3:$A$501,"=559",'ANALITIKA EU PROJEKATA'!$Q$3:$Q$501,"=38")</f>
        <v>0</v>
      </c>
      <c r="N99" s="140">
        <f>SUMIFS('Plan rashoda za unos u SAP'!$K$3:$K$501,'Plan rashoda za unos u SAP'!$C$3:$C$501,"=561",'Plan rashoda za unos u SAP'!$N$3:$N$501,"=38")+SUMIFS('ANALITIKA EU PROJEKATA'!$I$3:$I$501,'ANALITIKA EU PROJEKATA'!$A$3:$A$501,"=561",'ANALITIKA EU PROJEKATA'!$Q$3:$Q$501,"=38")</f>
        <v>0</v>
      </c>
      <c r="O99" s="140">
        <f>SUMIFS('Plan rashoda za unos u SAP'!$K$3:$K$501,'Plan rashoda za unos u SAP'!$C$3:$C$501,"=563",'Plan rashoda za unos u SAP'!$N$3:$N$501,"=38")+SUMIFS('ANALITIKA EU PROJEKATA'!$I$3:$I$501,'ANALITIKA EU PROJEKATA'!$A$3:$A$501,"=563",'ANALITIKA EU PROJEKATA'!$Q$3:$Q$501,"=38")</f>
        <v>0</v>
      </c>
      <c r="P99" s="140">
        <f>SUMIFS('Plan rashoda za unos u SAP'!$K$3:$K$501,'Plan rashoda za unos u SAP'!$C$3:$C$501,"=573",'Plan rashoda za unos u SAP'!$N$3:$N$501,"=38")+SUMIFS('ANALITIKA EU PROJEKATA'!$I$3:$I$501,'ANALITIKA EU PROJEKATA'!$A$3:$A$501,"=573",'ANALITIKA EU PROJEKATA'!$Q$3:$Q$501,"=38")</f>
        <v>0</v>
      </c>
      <c r="Q99" s="140">
        <f>SUMIFS('Plan rashoda za unos u SAP'!$K$3:$K$501,'Plan rashoda za unos u SAP'!$C$3:$C$501,"=575",'Plan rashoda za unos u SAP'!$N$3:$N$501,"=38")+SUMIFS('ANALITIKA EU PROJEKATA'!$I$3:$I$501,'ANALITIKA EU PROJEKATA'!$A$3:$A$501,"=575",'ANALITIKA EU PROJEKATA'!$Q$3:$Q$501,"=38")</f>
        <v>0</v>
      </c>
      <c r="R99" s="140">
        <f>SUMIFS('Plan rashoda za unos u SAP'!$K$3:$K$501,'Plan rashoda za unos u SAP'!$C$3:$C$501,"=576",'Plan rashoda za unos u SAP'!$N$3:$N$501,"=38")+SUMIFS('ANALITIKA EU PROJEKATA'!$I$3:$I$501,'ANALITIKA EU PROJEKATA'!$A$3:$A$501,"=576",'ANALITIKA EU PROJEKATA'!$Q$3:$Q$501,"=38")</f>
        <v>0</v>
      </c>
      <c r="S99" s="140">
        <f>SUMIFS('Plan rashoda za unos u SAP'!$K$3:$K$501,'Plan rashoda za unos u SAP'!$C$3:$C$501,"=61",'Plan rashoda za unos u SAP'!$N$3:$N$501,"=38")+SUMIFS('ANALITIKA EU PROJEKATA'!$I$3:$I$501,'ANALITIKA EU PROJEKATA'!$A$3:$A$501,"=61",'ANALITIKA EU PROJEKATA'!$Q$3:$Q$501,"=38")</f>
        <v>0</v>
      </c>
      <c r="T99" s="140">
        <f>SUMIFS('Plan rashoda za unos u SAP'!$K$3:$K$501,'Plan rashoda za unos u SAP'!$C$3:$C$501,"=63",'Plan rashoda za unos u SAP'!$N$3:$N$501,"=38")+SUMIFS('ANALITIKA EU PROJEKATA'!$I$3:$I$501,'ANALITIKA EU PROJEKATA'!$A$3:$A$501,"=63",'ANALITIKA EU PROJEKATA'!$Q$3:$Q$501,"=38")</f>
        <v>0</v>
      </c>
      <c r="U99" s="140">
        <f>SUMIFS('Plan rashoda za unos u SAP'!$K$3:$K$501,'Plan rashoda za unos u SAP'!$C$3:$C$501,"=71",'Plan rashoda za unos u SAP'!$N$3:$N$501,"=38")+SUMIFS('ANALITIKA EU PROJEKATA'!$I$3:$I$501,'ANALITIKA EU PROJEKATA'!$A$3:$A$501,"=71",'ANALITIKA EU PROJEKATA'!$Q$3:$Q$501,"=38")</f>
        <v>0</v>
      </c>
      <c r="V99" s="140">
        <f>SUMIFS('Plan rashoda za unos u SAP'!$K$3:$K$501,'Plan rashoda za unos u SAP'!$C$3:$C$501,"=81",'Plan rashoda za unos u SAP'!$N$3:$N$501,"=38")+SUMIFS('ANALITIKA EU PROJEKATA'!$I$3:$I$501,'ANALITIKA EU PROJEKATA'!$A$3:$A$501,"=81",'ANALITIKA EU PROJEKATA'!$Q$3:$Q$501,"=38")</f>
        <v>0</v>
      </c>
      <c r="W99" s="140">
        <f>SUMIFS('Plan rashoda za unos u SAP'!$K$3:$K$501,'Plan rashoda za unos u SAP'!$C$3:$C$501,"=83",'Plan rashoda za unos u SAP'!$N$3:$N$501,"=38")+SUMIFS('ANALITIKA EU PROJEKATA'!$I$3:$I$501,'ANALITIKA EU PROJEKATA'!$A$3:$A$501,"=83",'ANALITIKA EU PROJEKATA'!$Q$3:$Q$501,"=38")</f>
        <v>0</v>
      </c>
      <c r="X99" s="85"/>
      <c r="Y99" s="85"/>
      <c r="Z99" s="85"/>
      <c r="AA99" s="85"/>
      <c r="AB99" s="85"/>
      <c r="AC99" s="85"/>
      <c r="AD99" s="85"/>
      <c r="AE99" s="85"/>
      <c r="AF99" s="85"/>
      <c r="AG99" s="85"/>
      <c r="AH99" s="85"/>
      <c r="AI99" s="85"/>
      <c r="AJ99" s="85"/>
      <c r="AK99" s="85"/>
      <c r="AL99" s="85"/>
      <c r="AM99" s="85"/>
      <c r="AN99" s="85"/>
      <c r="AO99" s="85"/>
      <c r="AP99" s="85"/>
      <c r="AQ99" s="85"/>
      <c r="AR99" s="85"/>
      <c r="AS99" s="85"/>
      <c r="AT99" s="85"/>
      <c r="AU99" s="85"/>
      <c r="AV99" s="85"/>
      <c r="AW99" s="85"/>
      <c r="AX99" s="85"/>
      <c r="AY99" s="85"/>
      <c r="AZ99" s="85"/>
      <c r="BA99" s="85"/>
      <c r="BB99" s="85"/>
      <c r="BC99" s="85"/>
      <c r="BD99" s="85"/>
      <c r="BE99" s="85"/>
      <c r="BF99" s="85"/>
      <c r="BG99" s="85"/>
      <c r="BH99" s="85"/>
      <c r="BI99" s="85"/>
      <c r="BJ99" s="85"/>
      <c r="BK99" s="85"/>
      <c r="BL99" s="85"/>
      <c r="BM99" s="85"/>
      <c r="BN99" s="85"/>
      <c r="BO99" s="85"/>
      <c r="BP99" s="85"/>
      <c r="BQ99" s="85"/>
      <c r="BR99" s="85"/>
      <c r="BS99" s="85"/>
      <c r="BT99" s="85"/>
      <c r="BU99" s="85"/>
      <c r="BV99" s="85"/>
      <c r="BW99" s="85"/>
      <c r="BX99" s="85"/>
      <c r="BY99" s="85"/>
      <c r="BZ99" s="85"/>
      <c r="CA99" s="85"/>
      <c r="CB99" s="85"/>
      <c r="CC99" s="85"/>
      <c r="CD99" s="85"/>
      <c r="CE99" s="85"/>
      <c r="CF99" s="85"/>
      <c r="CG99" s="85"/>
      <c r="CH99" s="85"/>
      <c r="CI99" s="85"/>
      <c r="CJ99" s="85"/>
      <c r="CK99" s="85"/>
      <c r="CL99" s="85"/>
      <c r="CM99" s="85"/>
      <c r="CN99" s="85"/>
      <c r="CO99" s="85"/>
      <c r="CP99" s="85"/>
      <c r="CQ99" s="85"/>
      <c r="CR99" s="85"/>
      <c r="CS99" s="85"/>
      <c r="CT99" s="85"/>
      <c r="CU99" s="85"/>
      <c r="CV99" s="85"/>
      <c r="CW99" s="85"/>
      <c r="CX99" s="85"/>
      <c r="CY99" s="85"/>
      <c r="CZ99" s="85"/>
      <c r="DA99" s="85"/>
      <c r="DB99" s="85"/>
      <c r="DC99" s="85"/>
      <c r="DD99" s="85"/>
      <c r="DE99" s="85"/>
      <c r="DF99" s="85"/>
      <c r="DG99" s="85"/>
      <c r="DH99" s="85"/>
      <c r="DI99" s="85"/>
      <c r="DJ99" s="85"/>
      <c r="DK99" s="85"/>
      <c r="DL99" s="85"/>
      <c r="DM99" s="85"/>
      <c r="DN99" s="85"/>
      <c r="DO99" s="85"/>
      <c r="DP99" s="85"/>
      <c r="DQ99" s="85"/>
      <c r="DR99" s="85"/>
      <c r="DS99" s="85"/>
      <c r="DT99" s="85"/>
      <c r="DU99" s="85"/>
      <c r="DV99" s="85"/>
      <c r="DW99" s="85"/>
      <c r="DX99" s="85"/>
      <c r="DY99" s="85"/>
      <c r="DZ99" s="85"/>
      <c r="EA99" s="85"/>
      <c r="EB99" s="85"/>
      <c r="EC99" s="85"/>
      <c r="ED99" s="85"/>
      <c r="EE99" s="85"/>
      <c r="EF99" s="85"/>
      <c r="EG99" s="85"/>
      <c r="EH99" s="85"/>
      <c r="EI99" s="85"/>
      <c r="EJ99" s="85"/>
      <c r="EK99" s="85"/>
      <c r="EL99" s="85"/>
      <c r="EM99" s="85"/>
      <c r="EN99" s="85"/>
      <c r="EO99" s="85"/>
      <c r="EP99" s="85"/>
      <c r="EQ99" s="85"/>
      <c r="ER99" s="85"/>
      <c r="ES99" s="85"/>
      <c r="ET99" s="85"/>
      <c r="EU99" s="85"/>
      <c r="EV99" s="85"/>
      <c r="EW99" s="85"/>
      <c r="EX99" s="85"/>
      <c r="EY99" s="85"/>
      <c r="EZ99" s="85"/>
      <c r="FA99" s="85"/>
      <c r="FB99" s="85"/>
      <c r="FC99" s="85"/>
      <c r="FD99" s="85"/>
      <c r="FE99" s="85"/>
      <c r="FF99" s="85"/>
      <c r="FG99" s="85"/>
      <c r="FH99" s="85"/>
      <c r="FI99" s="85"/>
      <c r="FJ99" s="85"/>
      <c r="FK99" s="85"/>
      <c r="FL99" s="85"/>
      <c r="FM99" s="85"/>
      <c r="FN99" s="85"/>
      <c r="FO99" s="85"/>
      <c r="FP99" s="85"/>
      <c r="FQ99" s="85"/>
      <c r="FR99" s="85"/>
      <c r="FS99" s="85"/>
      <c r="FT99" s="85"/>
      <c r="FU99" s="85"/>
      <c r="FV99" s="85"/>
      <c r="FW99" s="85"/>
      <c r="FX99" s="85"/>
      <c r="FY99" s="85"/>
      <c r="FZ99" s="85"/>
      <c r="GA99" s="85"/>
      <c r="GB99" s="85"/>
      <c r="GC99" s="85"/>
      <c r="GD99" s="85"/>
      <c r="GE99" s="85"/>
      <c r="GF99" s="85"/>
      <c r="GG99" s="85"/>
      <c r="GH99" s="85"/>
      <c r="GI99" s="85"/>
      <c r="GJ99" s="85"/>
      <c r="GK99" s="85"/>
      <c r="GL99" s="86"/>
      <c r="GM99" s="86"/>
      <c r="GN99" s="86"/>
      <c r="GO99" s="86"/>
      <c r="GP99" s="86"/>
      <c r="GQ99" s="86"/>
      <c r="GR99" s="86"/>
      <c r="GS99" s="86"/>
      <c r="GT99" s="86"/>
      <c r="GU99" s="86"/>
      <c r="GV99" s="86"/>
      <c r="GW99" s="86"/>
      <c r="GX99" s="86"/>
      <c r="GY99" s="86"/>
      <c r="GZ99" s="86"/>
      <c r="HA99" s="86"/>
      <c r="HB99" s="86"/>
      <c r="HC99" s="86"/>
      <c r="HD99" s="86"/>
      <c r="HE99" s="86"/>
      <c r="HF99" s="86"/>
      <c r="HG99" s="86"/>
      <c r="HH99" s="86"/>
      <c r="HI99" s="86"/>
      <c r="HJ99" s="86"/>
      <c r="HK99" s="86"/>
      <c r="HL99" s="86"/>
      <c r="HM99" s="86"/>
      <c r="HN99" s="86"/>
      <c r="HO99" s="86"/>
      <c r="HP99" s="86"/>
      <c r="HQ99" s="86"/>
      <c r="HR99" s="86"/>
      <c r="HS99" s="86"/>
      <c r="HT99" s="86"/>
      <c r="HU99" s="86"/>
      <c r="HV99" s="86"/>
      <c r="HW99" s="86"/>
      <c r="HX99" s="86"/>
      <c r="HY99" s="86"/>
      <c r="HZ99" s="86"/>
      <c r="IA99" s="86"/>
      <c r="IB99" s="86"/>
      <c r="IC99" s="86"/>
      <c r="ID99" s="86"/>
      <c r="IE99" s="86"/>
      <c r="IF99" s="86"/>
      <c r="IG99" s="86"/>
      <c r="IH99" s="86"/>
      <c r="II99" s="86"/>
      <c r="IJ99" s="86"/>
      <c r="IK99" s="86"/>
      <c r="IL99" s="86"/>
      <c r="IM99" s="86"/>
      <c r="IN99" s="86"/>
      <c r="IO99" s="86"/>
      <c r="IP99" s="86"/>
      <c r="IQ99" s="86"/>
      <c r="IR99" s="86"/>
      <c r="IS99" s="86"/>
      <c r="IT99" s="86"/>
      <c r="IU99" s="86"/>
      <c r="IV99" s="86"/>
      <c r="IW99" s="86"/>
      <c r="IX99" s="86"/>
      <c r="IY99" s="86"/>
      <c r="IZ99" s="86"/>
      <c r="JA99" s="86"/>
      <c r="JB99" s="86"/>
      <c r="JC99" s="86"/>
    </row>
    <row r="100" spans="1:263" s="21" customFormat="1" ht="12.6" customHeight="1">
      <c r="A100" s="22">
        <v>2023</v>
      </c>
      <c r="B100" s="127">
        <v>4</v>
      </c>
      <c r="C100" s="128" t="s">
        <v>216</v>
      </c>
      <c r="D100" s="126">
        <f t="shared" si="26"/>
        <v>618700</v>
      </c>
      <c r="E100" s="131">
        <f t="shared" ref="E100:G100" si="31">SUM(E101:E105)</f>
        <v>172000</v>
      </c>
      <c r="F100" s="131">
        <f t="shared" si="31"/>
        <v>0</v>
      </c>
      <c r="G100" s="131">
        <f t="shared" si="31"/>
        <v>266500</v>
      </c>
      <c r="H100" s="131">
        <f>SUM(H101:H105)</f>
        <v>0</v>
      </c>
      <c r="I100" s="131">
        <f t="shared" ref="I100:K100" si="32">SUM(I101:I105)</f>
        <v>180200</v>
      </c>
      <c r="J100" s="131">
        <f t="shared" si="32"/>
        <v>0</v>
      </c>
      <c r="K100" s="131">
        <f t="shared" si="32"/>
        <v>0</v>
      </c>
      <c r="L100" s="131">
        <f>SUM(L101:L105)</f>
        <v>0</v>
      </c>
      <c r="M100" s="131">
        <f t="shared" ref="M100:O100" si="33">SUM(M101:M105)</f>
        <v>0</v>
      </c>
      <c r="N100" s="131">
        <f t="shared" si="33"/>
        <v>0</v>
      </c>
      <c r="O100" s="131">
        <f t="shared" si="33"/>
        <v>0</v>
      </c>
      <c r="P100" s="131">
        <f>SUM(P101:P105)</f>
        <v>0</v>
      </c>
      <c r="Q100" s="131">
        <f>SUM(Q101:Q105)</f>
        <v>0</v>
      </c>
      <c r="R100" s="131">
        <f>SUM(R101:R105)</f>
        <v>0</v>
      </c>
      <c r="S100" s="131">
        <f t="shared" ref="S100:V100" si="34">SUM(S101:S105)</f>
        <v>0</v>
      </c>
      <c r="T100" s="131">
        <f t="shared" si="34"/>
        <v>0</v>
      </c>
      <c r="U100" s="131">
        <f t="shared" si="34"/>
        <v>0</v>
      </c>
      <c r="V100" s="131">
        <f t="shared" si="34"/>
        <v>0</v>
      </c>
      <c r="W100" s="131">
        <f>SUM(W101:W105)</f>
        <v>0</v>
      </c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72"/>
      <c r="AL100" s="72"/>
      <c r="AM100" s="72"/>
      <c r="AN100" s="72"/>
      <c r="AO100" s="72"/>
      <c r="AP100" s="72"/>
      <c r="AQ100" s="72"/>
      <c r="AR100" s="72"/>
      <c r="AS100" s="72"/>
      <c r="AT100" s="72"/>
      <c r="AU100" s="72"/>
      <c r="AV100" s="72"/>
      <c r="AW100" s="72"/>
      <c r="AX100" s="72"/>
      <c r="AY100" s="72"/>
      <c r="AZ100" s="72"/>
      <c r="BA100" s="72"/>
      <c r="BB100" s="72"/>
      <c r="BC100" s="72"/>
      <c r="BD100" s="72"/>
      <c r="BE100" s="72"/>
      <c r="BF100" s="72"/>
      <c r="BG100" s="72"/>
      <c r="BH100" s="72"/>
      <c r="BI100" s="72"/>
      <c r="BJ100" s="72"/>
      <c r="BK100" s="72"/>
      <c r="BL100" s="72"/>
      <c r="BM100" s="72"/>
      <c r="BN100" s="72"/>
      <c r="BO100" s="72"/>
      <c r="BP100" s="72"/>
      <c r="BQ100" s="72"/>
      <c r="BR100" s="72"/>
      <c r="BS100" s="72"/>
      <c r="BT100" s="72"/>
      <c r="BU100" s="72"/>
      <c r="BV100" s="72"/>
      <c r="BW100" s="72"/>
      <c r="BX100" s="72"/>
      <c r="BY100" s="72"/>
      <c r="BZ100" s="72"/>
      <c r="CA100" s="72"/>
      <c r="CB100" s="72"/>
      <c r="CC100" s="72"/>
      <c r="CD100" s="72"/>
      <c r="CE100" s="72"/>
      <c r="CF100" s="72"/>
      <c r="CG100" s="72"/>
      <c r="CH100" s="72"/>
      <c r="CI100" s="72"/>
      <c r="CJ100" s="72"/>
      <c r="CK100" s="72"/>
      <c r="CL100" s="72"/>
      <c r="CM100" s="72"/>
      <c r="CN100" s="72"/>
      <c r="CO100" s="72"/>
      <c r="CP100" s="72"/>
      <c r="CQ100" s="72"/>
      <c r="CR100" s="72"/>
      <c r="CS100" s="72"/>
      <c r="CT100" s="72"/>
      <c r="CU100" s="72"/>
      <c r="CV100" s="72"/>
      <c r="CW100" s="72"/>
      <c r="CX100" s="72"/>
      <c r="CY100" s="72"/>
      <c r="CZ100" s="72"/>
      <c r="DA100" s="72"/>
      <c r="DB100" s="72"/>
      <c r="DC100" s="72"/>
      <c r="DD100" s="72"/>
      <c r="DE100" s="72"/>
      <c r="DF100" s="72"/>
      <c r="DG100" s="72"/>
      <c r="DH100" s="72"/>
      <c r="DI100" s="72"/>
      <c r="DJ100" s="72"/>
      <c r="DK100" s="72"/>
      <c r="DL100" s="72"/>
      <c r="DM100" s="72"/>
      <c r="DN100" s="72"/>
      <c r="DO100" s="72"/>
      <c r="DP100" s="72"/>
      <c r="DQ100" s="72"/>
      <c r="DR100" s="72"/>
      <c r="DS100" s="72"/>
      <c r="DT100" s="72"/>
      <c r="DU100" s="72"/>
      <c r="DV100" s="72"/>
      <c r="DW100" s="72"/>
      <c r="DX100" s="72"/>
      <c r="DY100" s="72"/>
      <c r="DZ100" s="72"/>
      <c r="EA100" s="72"/>
      <c r="EB100" s="72"/>
      <c r="EC100" s="72"/>
      <c r="ED100" s="72"/>
      <c r="EE100" s="72"/>
      <c r="EF100" s="72"/>
      <c r="EG100" s="72"/>
      <c r="EH100" s="72"/>
      <c r="EI100" s="72"/>
      <c r="EJ100" s="72"/>
      <c r="EK100" s="72"/>
      <c r="EL100" s="72"/>
      <c r="EM100" s="72"/>
      <c r="EN100" s="72"/>
      <c r="EO100" s="72"/>
      <c r="EP100" s="72"/>
      <c r="EQ100" s="72"/>
      <c r="ER100" s="72"/>
      <c r="ES100" s="72"/>
      <c r="ET100" s="72"/>
      <c r="EU100" s="72"/>
      <c r="EV100" s="72"/>
      <c r="EW100" s="72"/>
      <c r="EX100" s="72"/>
      <c r="EY100" s="72"/>
      <c r="EZ100" s="72"/>
      <c r="FA100" s="72"/>
      <c r="FB100" s="72"/>
      <c r="FC100" s="72"/>
      <c r="FD100" s="72"/>
      <c r="FE100" s="72"/>
      <c r="FF100" s="72"/>
      <c r="FG100" s="72"/>
      <c r="FH100" s="72"/>
      <c r="FI100" s="72"/>
      <c r="FJ100" s="72"/>
      <c r="FK100" s="72"/>
      <c r="FL100" s="72"/>
      <c r="FM100" s="72"/>
      <c r="FN100" s="72"/>
      <c r="FO100" s="72"/>
      <c r="FP100" s="72"/>
      <c r="FQ100" s="72"/>
      <c r="FR100" s="72"/>
      <c r="FS100" s="72"/>
      <c r="FT100" s="72"/>
      <c r="FU100" s="72"/>
      <c r="FV100" s="72"/>
      <c r="FW100" s="72"/>
      <c r="FX100" s="72"/>
      <c r="FY100" s="72"/>
      <c r="FZ100" s="72"/>
      <c r="GA100" s="72"/>
      <c r="GB100" s="72"/>
      <c r="GC100" s="72"/>
      <c r="GD100" s="72"/>
      <c r="GE100" s="72"/>
      <c r="GF100" s="72"/>
      <c r="GG100" s="72"/>
      <c r="GH100" s="72"/>
      <c r="GI100" s="72"/>
      <c r="GJ100" s="72"/>
      <c r="GK100" s="72"/>
      <c r="GL100" s="73"/>
      <c r="GM100" s="73"/>
      <c r="GN100" s="73"/>
      <c r="GO100" s="73"/>
      <c r="GP100" s="73"/>
      <c r="GQ100" s="73"/>
      <c r="GR100" s="73"/>
      <c r="GS100" s="73"/>
      <c r="GT100" s="73"/>
      <c r="GU100" s="73"/>
      <c r="GV100" s="73"/>
      <c r="GW100" s="73"/>
      <c r="GX100" s="73"/>
      <c r="GY100" s="73"/>
      <c r="GZ100" s="73"/>
      <c r="HA100" s="73"/>
      <c r="HB100" s="73"/>
      <c r="HC100" s="73"/>
      <c r="HD100" s="73"/>
      <c r="HE100" s="73"/>
      <c r="HF100" s="73"/>
      <c r="HG100" s="73"/>
      <c r="HH100" s="73"/>
      <c r="HI100" s="73"/>
      <c r="HJ100" s="73"/>
      <c r="HK100" s="73"/>
      <c r="HL100" s="73"/>
      <c r="HM100" s="73"/>
      <c r="HN100" s="73"/>
      <c r="HO100" s="73"/>
      <c r="HP100" s="73"/>
      <c r="HQ100" s="73"/>
      <c r="HR100" s="73"/>
      <c r="HS100" s="73"/>
      <c r="HT100" s="73"/>
      <c r="HU100" s="73"/>
      <c r="HV100" s="73"/>
      <c r="HW100" s="73"/>
      <c r="HX100" s="73"/>
      <c r="HY100" s="73"/>
      <c r="HZ100" s="73"/>
      <c r="IA100" s="73"/>
      <c r="IB100" s="73"/>
      <c r="IC100" s="73"/>
      <c r="ID100" s="73"/>
      <c r="IE100" s="73"/>
      <c r="IF100" s="73"/>
      <c r="IG100" s="73"/>
      <c r="IH100" s="73"/>
      <c r="II100" s="73"/>
      <c r="IJ100" s="73"/>
      <c r="IK100" s="73"/>
      <c r="IL100" s="73"/>
      <c r="IM100" s="73"/>
      <c r="IN100" s="73"/>
      <c r="IO100" s="73"/>
      <c r="IP100" s="73"/>
      <c r="IQ100" s="73"/>
      <c r="IR100" s="73"/>
      <c r="IS100" s="73"/>
      <c r="IT100" s="73"/>
      <c r="IU100" s="73"/>
      <c r="IV100" s="73"/>
      <c r="IW100" s="73"/>
      <c r="IX100" s="73"/>
      <c r="IY100" s="73"/>
      <c r="IZ100" s="73"/>
      <c r="JA100" s="73"/>
      <c r="JB100" s="73"/>
      <c r="JC100" s="73"/>
    </row>
    <row r="101" spans="1:263" s="13" customFormat="1" ht="12.6" customHeight="1">
      <c r="A101" s="22">
        <v>2023</v>
      </c>
      <c r="B101" s="10">
        <v>41</v>
      </c>
      <c r="C101" s="11" t="s">
        <v>340</v>
      </c>
      <c r="D101" s="133">
        <f t="shared" si="26"/>
        <v>95400</v>
      </c>
      <c r="E101" s="140">
        <f>SUMIFS('Plan rashoda za unos u SAP'!$K$3:$K$501,'Plan rashoda za unos u SAP'!$C$3:$C$501,"=11",'Plan rashoda za unos u SAP'!$N$3:$N$501,"=41")+SUMIFS('ANALITIKA EU PROJEKATA'!$I$3:$I$501,'ANALITIKA EU PROJEKATA'!$A$3:$A$501,"=11",'ANALITIKA EU PROJEKATA'!$Q$3:$Q$501,"=41")</f>
        <v>0</v>
      </c>
      <c r="F101" s="140">
        <f>SUMIFS('Plan rashoda za unos u SAP'!$K$3:$K$501,'Plan rashoda za unos u SAP'!$C$3:$C$501,"=12",'Plan rashoda za unos u SAP'!$N$3:$N$501,"=41")+SUMIFS('ANALITIKA EU PROJEKATA'!$I$3:$I$501,'ANALITIKA EU PROJEKATA'!$A$3:$A$501,"=12",'ANALITIKA EU PROJEKATA'!$Q$3:$Q$501,"=41")</f>
        <v>0</v>
      </c>
      <c r="G101" s="140">
        <f>SUMIFS('Plan rashoda za unos u SAP'!$K$3:$K$501,'Plan rashoda za unos u SAP'!$C$3:$C$501,"=31",'Plan rashoda za unos u SAP'!$N$3:$N$501,"=41")+SUMIFS('ANALITIKA EU PROJEKATA'!$I$3:$I$501,'ANALITIKA EU PROJEKATA'!$A$3:$A$501,"=31",'ANALITIKA EU PROJEKATA'!$Q$3:$Q$501,"=41")</f>
        <v>31800</v>
      </c>
      <c r="H101" s="140">
        <f>SUMIFS('Plan rashoda za unos u SAP'!$K$3:$K$501,'Plan rashoda za unos u SAP'!$C$3:$C$501,"=41",'Plan rashoda za unos u SAP'!$N$3:$N$501,"=41")+SUMIFS('ANALITIKA EU PROJEKATA'!$I$3:$I$501,'ANALITIKA EU PROJEKATA'!$A$3:$A$501,"=41",'ANALITIKA EU PROJEKATA'!$Q$3:$Q$501,"=41")</f>
        <v>0</v>
      </c>
      <c r="I101" s="140">
        <f>SUMIFS('Plan rashoda za unos u SAP'!$K$3:$K$501,'Plan rashoda za unos u SAP'!$C$3:$C$501,"=43",'Plan rashoda za unos u SAP'!$N$3:$N$501,"=41")+SUMIFS('ANALITIKA EU PROJEKATA'!$I$3:$I$501,'ANALITIKA EU PROJEKATA'!$A$3:$A$501,"=43",'ANALITIKA EU PROJEKATA'!$Q$3:$Q$501,"=41")</f>
        <v>63600</v>
      </c>
      <c r="J101" s="140">
        <f>SUMIFS('Plan rashoda za unos u SAP'!$K$3:$K$501,'Plan rashoda za unos u SAP'!$C$3:$C$501,"=51",'Plan rashoda za unos u SAP'!$N$3:$N$501,"=41")+SUMIFS('ANALITIKA EU PROJEKATA'!$I$3:$I$501,'ANALITIKA EU PROJEKATA'!$A$3:$A$501,"=51",'ANALITIKA EU PROJEKATA'!$Q$3:$Q$501,"=41")</f>
        <v>0</v>
      </c>
      <c r="K101" s="140">
        <f>SUMIFS('Plan rashoda za unos u SAP'!$K$3:$K$501,'Plan rashoda za unos u SAP'!$C$3:$C$501,"=52",'Plan rashoda za unos u SAP'!$N$3:$N$501,"=41")+SUMIFS('ANALITIKA EU PROJEKATA'!$I$3:$I$501,'ANALITIKA EU PROJEKATA'!$A$3:$A$501,"=52",'ANALITIKA EU PROJEKATA'!$Q$3:$Q$501,"=41")</f>
        <v>0</v>
      </c>
      <c r="L101" s="140">
        <f>SUMIFS('Plan rashoda za unos u SAP'!$K$3:$K$501,'Plan rashoda za unos u SAP'!$C$3:$C$501,"=552",'Plan rashoda za unos u SAP'!$N$3:$N$501,"=41")+SUMIFS('ANALITIKA EU PROJEKATA'!$I$3:$I$501,'ANALITIKA EU PROJEKATA'!$A$3:$A$501,"=552",'ANALITIKA EU PROJEKATA'!$Q$3:$Q$501,"=41")</f>
        <v>0</v>
      </c>
      <c r="M101" s="140">
        <f>SUMIFS('Plan rashoda za unos u SAP'!$K$3:$K$501,'Plan rashoda za unos u SAP'!$C$3:$C$501,"=559",'Plan rashoda za unos u SAP'!$N$3:$N$501,"=41")+SUMIFS('ANALITIKA EU PROJEKATA'!$I$3:$I$501,'ANALITIKA EU PROJEKATA'!$A$3:$A$501,"=559",'ANALITIKA EU PROJEKATA'!$Q$3:$Q$501,"=41")</f>
        <v>0</v>
      </c>
      <c r="N101" s="140">
        <f>SUMIFS('Plan rashoda za unos u SAP'!$K$3:$K$501,'Plan rashoda za unos u SAP'!$C$3:$C$501,"=561",'Plan rashoda za unos u SAP'!$N$3:$N$501,"=41")+SUMIFS('ANALITIKA EU PROJEKATA'!$I$3:$I$501,'ANALITIKA EU PROJEKATA'!$A$3:$A$501,"=561",'ANALITIKA EU PROJEKATA'!$Q$3:$Q$501,"=41")</f>
        <v>0</v>
      </c>
      <c r="O101" s="140">
        <f>SUMIFS('Plan rashoda za unos u SAP'!$K$3:$K$501,'Plan rashoda za unos u SAP'!$C$3:$C$501,"=563",'Plan rashoda za unos u SAP'!$N$3:$N$501,"=41")+SUMIFS('ANALITIKA EU PROJEKATA'!$I$3:$I$501,'ANALITIKA EU PROJEKATA'!$A$3:$A$501,"=563",'ANALITIKA EU PROJEKATA'!$Q$3:$Q$501,"=41")</f>
        <v>0</v>
      </c>
      <c r="P101" s="140">
        <f>SUMIFS('Plan rashoda za unos u SAP'!$K$3:$K$501,'Plan rashoda za unos u SAP'!$C$3:$C$501,"=573",'Plan rashoda za unos u SAP'!$N$3:$N$501,"=41")+SUMIFS('ANALITIKA EU PROJEKATA'!$I$3:$I$501,'ANALITIKA EU PROJEKATA'!$A$3:$A$501,"=573",'ANALITIKA EU PROJEKATA'!$Q$3:$Q$501,"=41")</f>
        <v>0</v>
      </c>
      <c r="Q101" s="140">
        <f>SUMIFS('Plan rashoda za unos u SAP'!$K$3:$K$501,'Plan rashoda za unos u SAP'!$C$3:$C$501,"=575",'Plan rashoda za unos u SAP'!$N$3:$N$501,"=41")+SUMIFS('ANALITIKA EU PROJEKATA'!$I$3:$I$501,'ANALITIKA EU PROJEKATA'!$A$3:$A$501,"=575",'ANALITIKA EU PROJEKATA'!$Q$3:$Q$501,"=41")</f>
        <v>0</v>
      </c>
      <c r="R101" s="140">
        <f>SUMIFS('Plan rashoda za unos u SAP'!$K$3:$K$501,'Plan rashoda za unos u SAP'!$C$3:$C$501,"=576",'Plan rashoda za unos u SAP'!$N$3:$N$501,"=41")+SUMIFS('ANALITIKA EU PROJEKATA'!$I$3:$I$501,'ANALITIKA EU PROJEKATA'!$A$3:$A$501,"=576",'ANALITIKA EU PROJEKATA'!$Q$3:$Q$501,"=41")</f>
        <v>0</v>
      </c>
      <c r="S101" s="140">
        <f>SUMIFS('Plan rashoda za unos u SAP'!$K$3:$K$501,'Plan rashoda za unos u SAP'!$C$3:$C$501,"=61",'Plan rashoda za unos u SAP'!$N$3:$N$501,"=41")+SUMIFS('ANALITIKA EU PROJEKATA'!$I$3:$I$501,'ANALITIKA EU PROJEKATA'!$A$3:$A$501,"=61",'ANALITIKA EU PROJEKATA'!$Q$3:$Q$501,"=41")</f>
        <v>0</v>
      </c>
      <c r="T101" s="140">
        <f>SUMIFS('Plan rashoda za unos u SAP'!$K$3:$K$501,'Plan rashoda za unos u SAP'!$C$3:$C$501,"=63",'Plan rashoda za unos u SAP'!$N$3:$N$501,"=41")+SUMIFS('ANALITIKA EU PROJEKATA'!$I$3:$I$501,'ANALITIKA EU PROJEKATA'!$A$3:$A$501,"=63",'ANALITIKA EU PROJEKATA'!$Q$3:$Q$501,"=41")</f>
        <v>0</v>
      </c>
      <c r="U101" s="140">
        <f>SUMIFS('Plan rashoda za unos u SAP'!$K$3:$K$501,'Plan rashoda za unos u SAP'!$C$3:$C$501,"=71",'Plan rashoda za unos u SAP'!$N$3:$N$501,"=41")+SUMIFS('ANALITIKA EU PROJEKATA'!$I$3:$I$501,'ANALITIKA EU PROJEKATA'!$A$3:$A$501,"=71",'ANALITIKA EU PROJEKATA'!$Q$3:$Q$501,"=41")</f>
        <v>0</v>
      </c>
      <c r="V101" s="140">
        <f>SUMIFS('Plan rashoda za unos u SAP'!$K$3:$K$501,'Plan rashoda za unos u SAP'!$C$3:$C$501,"=81",'Plan rashoda za unos u SAP'!$N$3:$N$501,"=41")+SUMIFS('ANALITIKA EU PROJEKATA'!$I$3:$I$501,'ANALITIKA EU PROJEKATA'!$A$3:$A$501,"=81",'ANALITIKA EU PROJEKATA'!$Q$3:$Q$501,"=41")</f>
        <v>0</v>
      </c>
      <c r="W101" s="140">
        <f>SUMIFS('Plan rashoda za unos u SAP'!$K$3:$K$501,'Plan rashoda za unos u SAP'!$C$3:$C$501,"=83",'Plan rashoda za unos u SAP'!$N$3:$N$501,"=41")+SUMIFS('ANALITIKA EU PROJEKATA'!$I$3:$I$501,'ANALITIKA EU PROJEKATA'!$A$3:$A$501,"=83",'ANALITIKA EU PROJEKATA'!$Q$3:$Q$501,"=41")</f>
        <v>0</v>
      </c>
      <c r="X101" s="85"/>
      <c r="Y101" s="85"/>
      <c r="Z101" s="85"/>
      <c r="AA101" s="85"/>
      <c r="AB101" s="85"/>
      <c r="AC101" s="85"/>
      <c r="AD101" s="85"/>
      <c r="AE101" s="85"/>
      <c r="AF101" s="85"/>
      <c r="AG101" s="85"/>
      <c r="AH101" s="85"/>
      <c r="AI101" s="85"/>
      <c r="AJ101" s="85"/>
      <c r="AK101" s="85"/>
      <c r="AL101" s="85"/>
      <c r="AM101" s="85"/>
      <c r="AN101" s="85"/>
      <c r="AO101" s="85"/>
      <c r="AP101" s="85"/>
      <c r="AQ101" s="85"/>
      <c r="AR101" s="85"/>
      <c r="AS101" s="85"/>
      <c r="AT101" s="85"/>
      <c r="AU101" s="85"/>
      <c r="AV101" s="85"/>
      <c r="AW101" s="85"/>
      <c r="AX101" s="85"/>
      <c r="AY101" s="85"/>
      <c r="AZ101" s="85"/>
      <c r="BA101" s="85"/>
      <c r="BB101" s="85"/>
      <c r="BC101" s="85"/>
      <c r="BD101" s="85"/>
      <c r="BE101" s="85"/>
      <c r="BF101" s="85"/>
      <c r="BG101" s="85"/>
      <c r="BH101" s="85"/>
      <c r="BI101" s="85"/>
      <c r="BJ101" s="85"/>
      <c r="BK101" s="85"/>
      <c r="BL101" s="85"/>
      <c r="BM101" s="85"/>
      <c r="BN101" s="85"/>
      <c r="BO101" s="85"/>
      <c r="BP101" s="85"/>
      <c r="BQ101" s="85"/>
      <c r="BR101" s="85"/>
      <c r="BS101" s="85"/>
      <c r="BT101" s="85"/>
      <c r="BU101" s="85"/>
      <c r="BV101" s="85"/>
      <c r="BW101" s="85"/>
      <c r="BX101" s="85"/>
      <c r="BY101" s="85"/>
      <c r="BZ101" s="85"/>
      <c r="CA101" s="85"/>
      <c r="CB101" s="85"/>
      <c r="CC101" s="85"/>
      <c r="CD101" s="85"/>
      <c r="CE101" s="85"/>
      <c r="CF101" s="85"/>
      <c r="CG101" s="85"/>
      <c r="CH101" s="85"/>
      <c r="CI101" s="85"/>
      <c r="CJ101" s="85"/>
      <c r="CK101" s="85"/>
      <c r="CL101" s="85"/>
      <c r="CM101" s="85"/>
      <c r="CN101" s="85"/>
      <c r="CO101" s="85"/>
      <c r="CP101" s="85"/>
      <c r="CQ101" s="85"/>
      <c r="CR101" s="85"/>
      <c r="CS101" s="85"/>
      <c r="CT101" s="85"/>
      <c r="CU101" s="85"/>
      <c r="CV101" s="85"/>
      <c r="CW101" s="85"/>
      <c r="CX101" s="85"/>
      <c r="CY101" s="85"/>
      <c r="CZ101" s="85"/>
      <c r="DA101" s="85"/>
      <c r="DB101" s="85"/>
      <c r="DC101" s="85"/>
      <c r="DD101" s="85"/>
      <c r="DE101" s="85"/>
      <c r="DF101" s="85"/>
      <c r="DG101" s="85"/>
      <c r="DH101" s="85"/>
      <c r="DI101" s="85"/>
      <c r="DJ101" s="85"/>
      <c r="DK101" s="85"/>
      <c r="DL101" s="85"/>
      <c r="DM101" s="85"/>
      <c r="DN101" s="85"/>
      <c r="DO101" s="85"/>
      <c r="DP101" s="85"/>
      <c r="DQ101" s="85"/>
      <c r="DR101" s="85"/>
      <c r="DS101" s="85"/>
      <c r="DT101" s="85"/>
      <c r="DU101" s="85"/>
      <c r="DV101" s="85"/>
      <c r="DW101" s="85"/>
      <c r="DX101" s="85"/>
      <c r="DY101" s="85"/>
      <c r="DZ101" s="85"/>
      <c r="EA101" s="85"/>
      <c r="EB101" s="85"/>
      <c r="EC101" s="85"/>
      <c r="ED101" s="85"/>
      <c r="EE101" s="85"/>
      <c r="EF101" s="85"/>
      <c r="EG101" s="85"/>
      <c r="EH101" s="85"/>
      <c r="EI101" s="85"/>
      <c r="EJ101" s="85"/>
      <c r="EK101" s="85"/>
      <c r="EL101" s="85"/>
      <c r="EM101" s="85"/>
      <c r="EN101" s="85"/>
      <c r="EO101" s="85"/>
      <c r="EP101" s="85"/>
      <c r="EQ101" s="85"/>
      <c r="ER101" s="85"/>
      <c r="ES101" s="85"/>
      <c r="ET101" s="85"/>
      <c r="EU101" s="85"/>
      <c r="EV101" s="85"/>
      <c r="EW101" s="85"/>
      <c r="EX101" s="85"/>
      <c r="EY101" s="85"/>
      <c r="EZ101" s="85"/>
      <c r="FA101" s="85"/>
      <c r="FB101" s="85"/>
      <c r="FC101" s="85"/>
      <c r="FD101" s="85"/>
      <c r="FE101" s="85"/>
      <c r="FF101" s="85"/>
      <c r="FG101" s="85"/>
      <c r="FH101" s="85"/>
      <c r="FI101" s="85"/>
      <c r="FJ101" s="85"/>
      <c r="FK101" s="85"/>
      <c r="FL101" s="85"/>
      <c r="FM101" s="85"/>
      <c r="FN101" s="85"/>
      <c r="FO101" s="85"/>
      <c r="FP101" s="85"/>
      <c r="FQ101" s="85"/>
      <c r="FR101" s="85"/>
      <c r="FS101" s="85"/>
      <c r="FT101" s="85"/>
      <c r="FU101" s="85"/>
      <c r="FV101" s="85"/>
      <c r="FW101" s="85"/>
      <c r="FX101" s="85"/>
      <c r="FY101" s="85"/>
      <c r="FZ101" s="85"/>
      <c r="GA101" s="85"/>
      <c r="GB101" s="85"/>
      <c r="GC101" s="85"/>
      <c r="GD101" s="85"/>
      <c r="GE101" s="85"/>
      <c r="GF101" s="85"/>
      <c r="GG101" s="85"/>
      <c r="GH101" s="85"/>
      <c r="GI101" s="85"/>
      <c r="GJ101" s="85"/>
      <c r="GK101" s="85"/>
      <c r="GL101" s="86"/>
      <c r="GM101" s="86"/>
      <c r="GN101" s="86"/>
      <c r="GO101" s="86"/>
      <c r="GP101" s="86"/>
      <c r="GQ101" s="86"/>
      <c r="GR101" s="86"/>
      <c r="GS101" s="86"/>
      <c r="GT101" s="86"/>
      <c r="GU101" s="86"/>
      <c r="GV101" s="86"/>
      <c r="GW101" s="86"/>
      <c r="GX101" s="86"/>
      <c r="GY101" s="86"/>
      <c r="GZ101" s="86"/>
      <c r="HA101" s="86"/>
      <c r="HB101" s="86"/>
      <c r="HC101" s="86"/>
      <c r="HD101" s="86"/>
      <c r="HE101" s="86"/>
      <c r="HF101" s="86"/>
      <c r="HG101" s="86"/>
      <c r="HH101" s="86"/>
      <c r="HI101" s="86"/>
      <c r="HJ101" s="86"/>
      <c r="HK101" s="86"/>
      <c r="HL101" s="86"/>
      <c r="HM101" s="86"/>
      <c r="HN101" s="86"/>
      <c r="HO101" s="86"/>
      <c r="HP101" s="86"/>
      <c r="HQ101" s="86"/>
      <c r="HR101" s="86"/>
      <c r="HS101" s="86"/>
      <c r="HT101" s="86"/>
      <c r="HU101" s="86"/>
      <c r="HV101" s="86"/>
      <c r="HW101" s="86"/>
      <c r="HX101" s="86"/>
      <c r="HY101" s="86"/>
      <c r="HZ101" s="86"/>
      <c r="IA101" s="86"/>
      <c r="IB101" s="86"/>
      <c r="IC101" s="86"/>
      <c r="ID101" s="86"/>
      <c r="IE101" s="86"/>
      <c r="IF101" s="86"/>
      <c r="IG101" s="86"/>
      <c r="IH101" s="86"/>
      <c r="II101" s="86"/>
      <c r="IJ101" s="86"/>
      <c r="IK101" s="86"/>
      <c r="IL101" s="86"/>
      <c r="IM101" s="86"/>
      <c r="IN101" s="86"/>
      <c r="IO101" s="86"/>
      <c r="IP101" s="86"/>
      <c r="IQ101" s="86"/>
      <c r="IR101" s="86"/>
      <c r="IS101" s="86"/>
      <c r="IT101" s="86"/>
      <c r="IU101" s="86"/>
      <c r="IV101" s="86"/>
      <c r="IW101" s="86"/>
      <c r="IX101" s="86"/>
      <c r="IY101" s="86"/>
      <c r="IZ101" s="86"/>
      <c r="JA101" s="86"/>
      <c r="JB101" s="86"/>
      <c r="JC101" s="86"/>
    </row>
    <row r="102" spans="1:263" s="20" customFormat="1" ht="12.6" customHeight="1">
      <c r="A102" s="22">
        <v>2023</v>
      </c>
      <c r="B102" s="84">
        <v>42</v>
      </c>
      <c r="C102" s="15" t="s">
        <v>261</v>
      </c>
      <c r="D102" s="133">
        <f t="shared" si="26"/>
        <v>523300</v>
      </c>
      <c r="E102" s="140">
        <f>SUMIFS('Plan rashoda za unos u SAP'!$K$3:$K$501,'Plan rashoda za unos u SAP'!$C$3:$C$501,"=11",'Plan rashoda za unos u SAP'!$N$3:$N$501,"=42")+SUMIFS('ANALITIKA EU PROJEKATA'!$I$3:$I$501,'ANALITIKA EU PROJEKATA'!$A$3:$A$501,"=11",'ANALITIKA EU PROJEKATA'!$Q$3:$Q$501,"=42")</f>
        <v>172000</v>
      </c>
      <c r="F102" s="140">
        <f>SUMIFS('Plan rashoda za unos u SAP'!$K$3:$K$501,'Plan rashoda za unos u SAP'!$C$3:$C$501,"=12",'Plan rashoda za unos u SAP'!$N$3:$N$501,"=42")+SUMIFS('ANALITIKA EU PROJEKATA'!$I$3:$I$501,'ANALITIKA EU PROJEKATA'!$A$3:$A$501,"=12",'ANALITIKA EU PROJEKATA'!$Q$3:$Q$501,"=42")</f>
        <v>0</v>
      </c>
      <c r="G102" s="140">
        <f>SUMIFS('Plan rashoda za unos u SAP'!$K$3:$K$501,'Plan rashoda za unos u SAP'!$C$3:$C$501,"=31",'Plan rashoda za unos u SAP'!$N$3:$N$501,"=42")+SUMIFS('ANALITIKA EU PROJEKATA'!$I$3:$I$501,'ANALITIKA EU PROJEKATA'!$A$3:$A$501,"=31",'ANALITIKA EU PROJEKATA'!$Q$3:$Q$501,"=42")</f>
        <v>234700</v>
      </c>
      <c r="H102" s="140">
        <f>SUMIFS('Plan rashoda za unos u SAP'!$K$3:$K$501,'Plan rashoda za unos u SAP'!$C$3:$C$501,"=41",'Plan rashoda za unos u SAP'!$N$3:$N$501,"=42")+SUMIFS('ANALITIKA EU PROJEKATA'!$I$3:$I$501,'ANALITIKA EU PROJEKATA'!$A$3:$A$501,"=41",'ANALITIKA EU PROJEKATA'!$Q$3:$Q$501,"=42")</f>
        <v>0</v>
      </c>
      <c r="I102" s="140">
        <f>SUMIFS('Plan rashoda za unos u SAP'!$K$3:$K$501,'Plan rashoda za unos u SAP'!$C$3:$C$501,"=43",'Plan rashoda za unos u SAP'!$N$3:$N$501,"=42")+SUMIFS('ANALITIKA EU PROJEKATA'!$I$3:$I$501,'ANALITIKA EU PROJEKATA'!$A$3:$A$501,"=43",'ANALITIKA EU PROJEKATA'!$Q$3:$Q$501,"=42")</f>
        <v>116600</v>
      </c>
      <c r="J102" s="140">
        <f>SUMIFS('Plan rashoda za unos u SAP'!$K$3:$K$501,'Plan rashoda za unos u SAP'!$C$3:$C$501,"=51",'Plan rashoda za unos u SAP'!$N$3:$N$501,"=42")+SUMIFS('ANALITIKA EU PROJEKATA'!$I$3:$I$501,'ANALITIKA EU PROJEKATA'!$A$3:$A$501,"=51",'ANALITIKA EU PROJEKATA'!$Q$3:$Q$501,"=42")</f>
        <v>0</v>
      </c>
      <c r="K102" s="140">
        <f>SUMIFS('Plan rashoda za unos u SAP'!$K$3:$K$501,'Plan rashoda za unos u SAP'!$C$3:$C$501,"=52",'Plan rashoda za unos u SAP'!$N$3:$N$501,"=42")+SUMIFS('ANALITIKA EU PROJEKATA'!$I$3:$I$501,'ANALITIKA EU PROJEKATA'!$A$3:$A$501,"=52",'ANALITIKA EU PROJEKATA'!$Q$3:$Q$501,"=42")</f>
        <v>0</v>
      </c>
      <c r="L102" s="140">
        <f>SUMIFS('Plan rashoda za unos u SAP'!$K$3:$K$501,'Plan rashoda za unos u SAP'!$C$3:$C$501,"=552",'Plan rashoda za unos u SAP'!$N$3:$N$501,"=42")+SUMIFS('ANALITIKA EU PROJEKATA'!$I$3:$I$501,'ANALITIKA EU PROJEKATA'!$A$3:$A$501,"=552",'ANALITIKA EU PROJEKATA'!$Q$3:$Q$501,"=42")</f>
        <v>0</v>
      </c>
      <c r="M102" s="140">
        <f>SUMIFS('Plan rashoda za unos u SAP'!$K$3:$K$501,'Plan rashoda za unos u SAP'!$C$3:$C$501,"=559",'Plan rashoda za unos u SAP'!$N$3:$N$501,"=42")+SUMIFS('ANALITIKA EU PROJEKATA'!$I$3:$I$501,'ANALITIKA EU PROJEKATA'!$A$3:$A$501,"=559",'ANALITIKA EU PROJEKATA'!$Q$3:$Q$501,"=42")</f>
        <v>0</v>
      </c>
      <c r="N102" s="140">
        <f>SUMIFS('Plan rashoda za unos u SAP'!$K$3:$K$501,'Plan rashoda za unos u SAP'!$C$3:$C$501,"=561",'Plan rashoda za unos u SAP'!$N$3:$N$501,"=42")+SUMIFS('ANALITIKA EU PROJEKATA'!$I$3:$I$501,'ANALITIKA EU PROJEKATA'!$A$3:$A$501,"=561",'ANALITIKA EU PROJEKATA'!$Q$3:$Q$501,"=42")</f>
        <v>0</v>
      </c>
      <c r="O102" s="140">
        <f>SUMIFS('Plan rashoda za unos u SAP'!$K$3:$K$501,'Plan rashoda za unos u SAP'!$C$3:$C$501,"=563",'Plan rashoda za unos u SAP'!$N$3:$N$501,"=42")+SUMIFS('ANALITIKA EU PROJEKATA'!$I$3:$I$501,'ANALITIKA EU PROJEKATA'!$A$3:$A$501,"=563",'ANALITIKA EU PROJEKATA'!$Q$3:$Q$501,"=42")</f>
        <v>0</v>
      </c>
      <c r="P102" s="140">
        <f>SUMIFS('Plan rashoda za unos u SAP'!$K$3:$K$501,'Plan rashoda za unos u SAP'!$C$3:$C$501,"=573",'Plan rashoda za unos u SAP'!$N$3:$N$501,"=42")+SUMIFS('ANALITIKA EU PROJEKATA'!$I$3:$I$501,'ANALITIKA EU PROJEKATA'!$A$3:$A$501,"=573",'ANALITIKA EU PROJEKATA'!$Q$3:$Q$501,"=42")</f>
        <v>0</v>
      </c>
      <c r="Q102" s="140">
        <f>SUMIFS('Plan rashoda za unos u SAP'!$K$3:$K$501,'Plan rashoda za unos u SAP'!$C$3:$C$501,"=575",'Plan rashoda za unos u SAP'!$N$3:$N$501,"=42")+SUMIFS('ANALITIKA EU PROJEKATA'!$I$3:$I$501,'ANALITIKA EU PROJEKATA'!$A$3:$A$501,"=575",'ANALITIKA EU PROJEKATA'!$Q$3:$Q$501,"=42")</f>
        <v>0</v>
      </c>
      <c r="R102" s="140">
        <f>SUMIFS('Plan rashoda za unos u SAP'!$K$3:$K$501,'Plan rashoda za unos u SAP'!$C$3:$C$501,"=576",'Plan rashoda za unos u SAP'!$N$3:$N$501,"=42")+SUMIFS('ANALITIKA EU PROJEKATA'!$I$3:$I$501,'ANALITIKA EU PROJEKATA'!$A$3:$A$501,"=576",'ANALITIKA EU PROJEKATA'!$Q$3:$Q$501,"=42")</f>
        <v>0</v>
      </c>
      <c r="S102" s="140">
        <f>SUMIFS('Plan rashoda za unos u SAP'!$K$3:$K$501,'Plan rashoda za unos u SAP'!$C$3:$C$501,"=61",'Plan rashoda za unos u SAP'!$N$3:$N$501,"=42")+SUMIFS('ANALITIKA EU PROJEKATA'!$I$3:$I$501,'ANALITIKA EU PROJEKATA'!$A$3:$A$501,"=61",'ANALITIKA EU PROJEKATA'!$Q$3:$Q$501,"=42")</f>
        <v>0</v>
      </c>
      <c r="T102" s="140">
        <f>SUMIFS('Plan rashoda za unos u SAP'!$K$3:$K$501,'Plan rashoda za unos u SAP'!$C$3:$C$501,"=63",'Plan rashoda za unos u SAP'!$N$3:$N$501,"=42")+SUMIFS('ANALITIKA EU PROJEKATA'!$I$3:$I$501,'ANALITIKA EU PROJEKATA'!$A$3:$A$501,"=63",'ANALITIKA EU PROJEKATA'!$Q$3:$Q$501,"=42")</f>
        <v>0</v>
      </c>
      <c r="U102" s="140">
        <f>SUMIFS('Plan rashoda za unos u SAP'!$K$3:$K$501,'Plan rashoda za unos u SAP'!$C$3:$C$501,"=71",'Plan rashoda za unos u SAP'!$N$3:$N$501,"=42")+SUMIFS('ANALITIKA EU PROJEKATA'!$I$3:$I$501,'ANALITIKA EU PROJEKATA'!$A$3:$A$501,"=71",'ANALITIKA EU PROJEKATA'!$Q$3:$Q$501,"=42")</f>
        <v>0</v>
      </c>
      <c r="V102" s="140">
        <f>SUMIFS('Plan rashoda za unos u SAP'!$K$3:$K$501,'Plan rashoda za unos u SAP'!$C$3:$C$501,"=81",'Plan rashoda za unos u SAP'!$N$3:$N$501,"=42")+SUMIFS('ANALITIKA EU PROJEKATA'!$I$3:$I$501,'ANALITIKA EU PROJEKATA'!$A$3:$A$501,"=81",'ANALITIKA EU PROJEKATA'!$Q$3:$Q$501,"=42")</f>
        <v>0</v>
      </c>
      <c r="W102" s="140">
        <f>SUMIFS('Plan rashoda za unos u SAP'!$K$3:$K$501,'Plan rashoda za unos u SAP'!$C$3:$C$501,"=83",'Plan rashoda za unos u SAP'!$N$3:$N$501,"=42")+SUMIFS('ANALITIKA EU PROJEKATA'!$I$3:$I$501,'ANALITIKA EU PROJEKATA'!$A$3:$A$501,"=83",'ANALITIKA EU PROJEKATA'!$Q$3:$Q$501,"=42")</f>
        <v>0</v>
      </c>
      <c r="X102" s="85"/>
      <c r="Y102" s="85"/>
      <c r="Z102" s="85"/>
      <c r="AA102" s="85"/>
      <c r="AB102" s="85"/>
      <c r="AC102" s="85"/>
      <c r="AD102" s="85"/>
      <c r="AE102" s="85"/>
      <c r="AF102" s="85"/>
      <c r="AG102" s="85"/>
      <c r="AH102" s="85"/>
      <c r="AI102" s="85"/>
      <c r="AJ102" s="85"/>
      <c r="AK102" s="85"/>
      <c r="AL102" s="85"/>
      <c r="AM102" s="85"/>
      <c r="AN102" s="85"/>
      <c r="AO102" s="85"/>
      <c r="AP102" s="85"/>
      <c r="AQ102" s="85"/>
      <c r="AR102" s="85"/>
      <c r="AS102" s="85"/>
      <c r="AT102" s="85"/>
      <c r="AU102" s="85"/>
      <c r="AV102" s="85"/>
      <c r="AW102" s="85"/>
      <c r="AX102" s="85"/>
      <c r="AY102" s="85"/>
      <c r="AZ102" s="85"/>
      <c r="BA102" s="85"/>
      <c r="BB102" s="85"/>
      <c r="BC102" s="85"/>
      <c r="BD102" s="85"/>
      <c r="BE102" s="85"/>
      <c r="BF102" s="85"/>
      <c r="BG102" s="85"/>
      <c r="BH102" s="85"/>
      <c r="BI102" s="85"/>
      <c r="BJ102" s="85"/>
      <c r="BK102" s="85"/>
      <c r="BL102" s="85"/>
      <c r="BM102" s="85"/>
      <c r="BN102" s="85"/>
      <c r="BO102" s="85"/>
      <c r="BP102" s="85"/>
      <c r="BQ102" s="85"/>
      <c r="BR102" s="85"/>
      <c r="BS102" s="85"/>
      <c r="BT102" s="85"/>
      <c r="BU102" s="85"/>
      <c r="BV102" s="85"/>
      <c r="BW102" s="85"/>
      <c r="BX102" s="85"/>
      <c r="BY102" s="85"/>
      <c r="BZ102" s="85"/>
      <c r="CA102" s="85"/>
      <c r="CB102" s="85"/>
      <c r="CC102" s="85"/>
      <c r="CD102" s="85"/>
      <c r="CE102" s="85"/>
      <c r="CF102" s="85"/>
      <c r="CG102" s="85"/>
      <c r="CH102" s="85"/>
      <c r="CI102" s="85"/>
      <c r="CJ102" s="85"/>
      <c r="CK102" s="85"/>
      <c r="CL102" s="85"/>
      <c r="CM102" s="85"/>
      <c r="CN102" s="85"/>
      <c r="CO102" s="85"/>
      <c r="CP102" s="85"/>
      <c r="CQ102" s="85"/>
      <c r="CR102" s="85"/>
      <c r="CS102" s="85"/>
      <c r="CT102" s="85"/>
      <c r="CU102" s="85"/>
      <c r="CV102" s="85"/>
      <c r="CW102" s="85"/>
      <c r="CX102" s="85"/>
      <c r="CY102" s="85"/>
      <c r="CZ102" s="85"/>
      <c r="DA102" s="85"/>
      <c r="DB102" s="85"/>
      <c r="DC102" s="85"/>
      <c r="DD102" s="85"/>
      <c r="DE102" s="85"/>
      <c r="DF102" s="85"/>
      <c r="DG102" s="85"/>
      <c r="DH102" s="85"/>
      <c r="DI102" s="85"/>
      <c r="DJ102" s="85"/>
      <c r="DK102" s="85"/>
      <c r="DL102" s="85"/>
      <c r="DM102" s="85"/>
      <c r="DN102" s="85"/>
      <c r="DO102" s="85"/>
      <c r="DP102" s="85"/>
      <c r="DQ102" s="85"/>
      <c r="DR102" s="85"/>
      <c r="DS102" s="85"/>
      <c r="DT102" s="85"/>
      <c r="DU102" s="85"/>
      <c r="DV102" s="85"/>
      <c r="DW102" s="85"/>
      <c r="DX102" s="85"/>
      <c r="DY102" s="85"/>
      <c r="DZ102" s="85"/>
      <c r="EA102" s="85"/>
      <c r="EB102" s="85"/>
      <c r="EC102" s="85"/>
      <c r="ED102" s="85"/>
      <c r="EE102" s="85"/>
      <c r="EF102" s="85"/>
      <c r="EG102" s="85"/>
      <c r="EH102" s="85"/>
      <c r="EI102" s="85"/>
      <c r="EJ102" s="85"/>
      <c r="EK102" s="85"/>
      <c r="EL102" s="85"/>
      <c r="EM102" s="85"/>
      <c r="EN102" s="85"/>
      <c r="EO102" s="85"/>
      <c r="EP102" s="85"/>
      <c r="EQ102" s="85"/>
      <c r="ER102" s="85"/>
      <c r="ES102" s="85"/>
      <c r="ET102" s="85"/>
      <c r="EU102" s="85"/>
      <c r="EV102" s="85"/>
      <c r="EW102" s="85"/>
      <c r="EX102" s="85"/>
      <c r="EY102" s="85"/>
      <c r="EZ102" s="85"/>
      <c r="FA102" s="85"/>
      <c r="FB102" s="85"/>
      <c r="FC102" s="85"/>
      <c r="FD102" s="85"/>
      <c r="FE102" s="85"/>
      <c r="FF102" s="85"/>
      <c r="FG102" s="85"/>
      <c r="FH102" s="85"/>
      <c r="FI102" s="85"/>
      <c r="FJ102" s="85"/>
      <c r="FK102" s="85"/>
      <c r="FL102" s="85"/>
      <c r="FM102" s="85"/>
      <c r="FN102" s="85"/>
      <c r="FO102" s="85"/>
      <c r="FP102" s="85"/>
      <c r="FQ102" s="85"/>
      <c r="FR102" s="85"/>
      <c r="FS102" s="85"/>
      <c r="FT102" s="85"/>
      <c r="FU102" s="85"/>
      <c r="FV102" s="85"/>
      <c r="FW102" s="85"/>
      <c r="FX102" s="85"/>
      <c r="FY102" s="85"/>
      <c r="FZ102" s="85"/>
      <c r="GA102" s="85"/>
      <c r="GB102" s="85"/>
      <c r="GC102" s="85"/>
      <c r="GD102" s="85"/>
      <c r="GE102" s="85"/>
      <c r="GF102" s="85"/>
      <c r="GG102" s="85"/>
      <c r="GH102" s="85"/>
      <c r="GI102" s="85"/>
      <c r="GJ102" s="85"/>
      <c r="GK102" s="85"/>
      <c r="GL102" s="86"/>
      <c r="GM102" s="86"/>
      <c r="GN102" s="86"/>
      <c r="GO102" s="86"/>
      <c r="GP102" s="86"/>
      <c r="GQ102" s="86"/>
      <c r="GR102" s="86"/>
      <c r="GS102" s="86"/>
      <c r="GT102" s="86"/>
      <c r="GU102" s="86"/>
      <c r="GV102" s="86"/>
      <c r="GW102" s="86"/>
      <c r="GX102" s="86"/>
      <c r="GY102" s="86"/>
      <c r="GZ102" s="86"/>
      <c r="HA102" s="86"/>
      <c r="HB102" s="86"/>
      <c r="HC102" s="86"/>
      <c r="HD102" s="86"/>
      <c r="HE102" s="86"/>
      <c r="HF102" s="86"/>
      <c r="HG102" s="86"/>
      <c r="HH102" s="86"/>
      <c r="HI102" s="86"/>
      <c r="HJ102" s="86"/>
      <c r="HK102" s="86"/>
      <c r="HL102" s="86"/>
      <c r="HM102" s="86"/>
      <c r="HN102" s="86"/>
      <c r="HO102" s="86"/>
      <c r="HP102" s="86"/>
      <c r="HQ102" s="86"/>
      <c r="HR102" s="86"/>
      <c r="HS102" s="86"/>
      <c r="HT102" s="86"/>
      <c r="HU102" s="86"/>
      <c r="HV102" s="86"/>
      <c r="HW102" s="86"/>
      <c r="HX102" s="86"/>
      <c r="HY102" s="86"/>
      <c r="HZ102" s="86"/>
      <c r="IA102" s="86"/>
      <c r="IB102" s="86"/>
      <c r="IC102" s="86"/>
      <c r="ID102" s="86"/>
      <c r="IE102" s="86"/>
      <c r="IF102" s="86"/>
      <c r="IG102" s="86"/>
      <c r="IH102" s="86"/>
      <c r="II102" s="86"/>
      <c r="IJ102" s="86"/>
      <c r="IK102" s="86"/>
      <c r="IL102" s="86"/>
      <c r="IM102" s="86"/>
      <c r="IN102" s="86"/>
      <c r="IO102" s="86"/>
      <c r="IP102" s="86"/>
      <c r="IQ102" s="86"/>
      <c r="IR102" s="86"/>
      <c r="IS102" s="86"/>
      <c r="IT102" s="86"/>
      <c r="IU102" s="86"/>
      <c r="IV102" s="86"/>
      <c r="IW102" s="86"/>
      <c r="IX102" s="86"/>
      <c r="IY102" s="86"/>
      <c r="IZ102" s="86"/>
      <c r="JA102" s="86"/>
      <c r="JB102" s="86"/>
      <c r="JC102" s="86"/>
    </row>
    <row r="103" spans="1:263" s="13" customFormat="1" ht="12.6" customHeight="1">
      <c r="A103" s="22">
        <v>2023</v>
      </c>
      <c r="B103" s="10">
        <v>43</v>
      </c>
      <c r="C103" s="11" t="s">
        <v>344</v>
      </c>
      <c r="D103" s="133">
        <f t="shared" si="26"/>
        <v>0</v>
      </c>
      <c r="E103" s="140">
        <f>SUMIFS('Plan rashoda za unos u SAP'!$K$3:$K$501,'Plan rashoda za unos u SAP'!$C$3:$C$501,"=11",'Plan rashoda za unos u SAP'!$N$3:$N$501,"=43")+SUMIFS('ANALITIKA EU PROJEKATA'!$I$3:$I$501,'ANALITIKA EU PROJEKATA'!$A$3:$A$501,"=11",'ANALITIKA EU PROJEKATA'!$Q$3:$Q$501,"=43")</f>
        <v>0</v>
      </c>
      <c r="F103" s="140">
        <f>SUMIFS('Plan rashoda za unos u SAP'!$K$3:$K$501,'Plan rashoda za unos u SAP'!$C$3:$C$501,"=12",'Plan rashoda za unos u SAP'!$N$3:$N$501,"=43")+SUMIFS('ANALITIKA EU PROJEKATA'!$I$3:$I$501,'ANALITIKA EU PROJEKATA'!$A$3:$A$501,"=12",'ANALITIKA EU PROJEKATA'!$Q$3:$Q$501,"=43")</f>
        <v>0</v>
      </c>
      <c r="G103" s="140">
        <f>SUMIFS('Plan rashoda za unos u SAP'!$K$3:$K$501,'Plan rashoda za unos u SAP'!$C$3:$C$501,"=31",'Plan rashoda za unos u SAP'!$N$3:$N$501,"=43")+SUMIFS('ANALITIKA EU PROJEKATA'!$I$3:$I$501,'ANALITIKA EU PROJEKATA'!$A$3:$A$501,"=31",'ANALITIKA EU PROJEKATA'!$Q$3:$Q$501,"=43")</f>
        <v>0</v>
      </c>
      <c r="H103" s="140">
        <f>SUMIFS('Plan rashoda za unos u SAP'!$K$3:$K$501,'Plan rashoda za unos u SAP'!$C$3:$C$501,"=41",'Plan rashoda za unos u SAP'!$N$3:$N$501,"=43")+SUMIFS('ANALITIKA EU PROJEKATA'!$I$3:$I$501,'ANALITIKA EU PROJEKATA'!$A$3:$A$501,"=41",'ANALITIKA EU PROJEKATA'!$Q$3:$Q$501,"=43")</f>
        <v>0</v>
      </c>
      <c r="I103" s="140">
        <f>SUMIFS('Plan rashoda za unos u SAP'!$K$3:$K$501,'Plan rashoda za unos u SAP'!$C$3:$C$501,"=43",'Plan rashoda za unos u SAP'!$N$3:$N$501,"=43")+SUMIFS('ANALITIKA EU PROJEKATA'!$I$3:$I$501,'ANALITIKA EU PROJEKATA'!$A$3:$A$501,"=43",'ANALITIKA EU PROJEKATA'!$Q$3:$Q$501,"=43")</f>
        <v>0</v>
      </c>
      <c r="J103" s="140">
        <f>SUMIFS('Plan rashoda za unos u SAP'!$K$3:$K$501,'Plan rashoda za unos u SAP'!$C$3:$C$501,"=51",'Plan rashoda za unos u SAP'!$N$3:$N$501,"=43")+SUMIFS('ANALITIKA EU PROJEKATA'!$I$3:$I$501,'ANALITIKA EU PROJEKATA'!$A$3:$A$501,"=51",'ANALITIKA EU PROJEKATA'!$Q$3:$Q$501,"=43")</f>
        <v>0</v>
      </c>
      <c r="K103" s="140">
        <f>SUMIFS('Plan rashoda za unos u SAP'!$K$3:$K$501,'Plan rashoda za unos u SAP'!$C$3:$C$501,"=52",'Plan rashoda za unos u SAP'!$N$3:$N$501,"=43")+SUMIFS('ANALITIKA EU PROJEKATA'!$I$3:$I$501,'ANALITIKA EU PROJEKATA'!$A$3:$A$501,"=52",'ANALITIKA EU PROJEKATA'!$Q$3:$Q$501,"=43")</f>
        <v>0</v>
      </c>
      <c r="L103" s="140">
        <f>SUMIFS('Plan rashoda za unos u SAP'!$K$3:$K$501,'Plan rashoda za unos u SAP'!$C$3:$C$501,"=552",'Plan rashoda za unos u SAP'!$N$3:$N$501,"=43")+SUMIFS('ANALITIKA EU PROJEKATA'!$I$3:$I$501,'ANALITIKA EU PROJEKATA'!$A$3:$A$501,"=552",'ANALITIKA EU PROJEKATA'!$Q$3:$Q$501,"=43")</f>
        <v>0</v>
      </c>
      <c r="M103" s="140">
        <f>SUMIFS('Plan rashoda za unos u SAP'!$K$3:$K$501,'Plan rashoda za unos u SAP'!$C$3:$C$501,"=559",'Plan rashoda za unos u SAP'!$N$3:$N$501,"=43")+SUMIFS('ANALITIKA EU PROJEKATA'!$I$3:$I$501,'ANALITIKA EU PROJEKATA'!$A$3:$A$501,"=559",'ANALITIKA EU PROJEKATA'!$Q$3:$Q$501,"=43")</f>
        <v>0</v>
      </c>
      <c r="N103" s="140">
        <f>SUMIFS('Plan rashoda za unos u SAP'!$K$3:$K$501,'Plan rashoda za unos u SAP'!$C$3:$C$501,"=561",'Plan rashoda za unos u SAP'!$N$3:$N$501,"=43")+SUMIFS('ANALITIKA EU PROJEKATA'!$I$3:$I$501,'ANALITIKA EU PROJEKATA'!$A$3:$A$501,"=561",'ANALITIKA EU PROJEKATA'!$Q$3:$Q$501,"=43")</f>
        <v>0</v>
      </c>
      <c r="O103" s="140">
        <f>SUMIFS('Plan rashoda za unos u SAP'!$K$3:$K$501,'Plan rashoda za unos u SAP'!$C$3:$C$501,"=563",'Plan rashoda za unos u SAP'!$N$3:$N$501,"=43")+SUMIFS('ANALITIKA EU PROJEKATA'!$I$3:$I$501,'ANALITIKA EU PROJEKATA'!$A$3:$A$501,"=563",'ANALITIKA EU PROJEKATA'!$Q$3:$Q$501,"=43")</f>
        <v>0</v>
      </c>
      <c r="P103" s="140">
        <f>SUMIFS('Plan rashoda za unos u SAP'!$K$3:$K$501,'Plan rashoda za unos u SAP'!$C$3:$C$501,"=573",'Plan rashoda za unos u SAP'!$N$3:$N$501,"=43")+SUMIFS('ANALITIKA EU PROJEKATA'!$I$3:$I$501,'ANALITIKA EU PROJEKATA'!$A$3:$A$501,"=573",'ANALITIKA EU PROJEKATA'!$Q$3:$Q$501,"=43")</f>
        <v>0</v>
      </c>
      <c r="Q103" s="140">
        <f>SUMIFS('Plan rashoda za unos u SAP'!$K$3:$K$501,'Plan rashoda za unos u SAP'!$C$3:$C$501,"=575",'Plan rashoda za unos u SAP'!$N$3:$N$501,"=43")+SUMIFS('ANALITIKA EU PROJEKATA'!$I$3:$I$501,'ANALITIKA EU PROJEKATA'!$A$3:$A$501,"=575",'ANALITIKA EU PROJEKATA'!$Q$3:$Q$501,"=43")</f>
        <v>0</v>
      </c>
      <c r="R103" s="140">
        <f>SUMIFS('Plan rashoda za unos u SAP'!$K$3:$K$501,'Plan rashoda za unos u SAP'!$C$3:$C$501,"=576",'Plan rashoda za unos u SAP'!$N$3:$N$501,"=43")+SUMIFS('ANALITIKA EU PROJEKATA'!$I$3:$I$501,'ANALITIKA EU PROJEKATA'!$A$3:$A$501,"=576",'ANALITIKA EU PROJEKATA'!$Q$3:$Q$501,"=43")</f>
        <v>0</v>
      </c>
      <c r="S103" s="140">
        <f>SUMIFS('Plan rashoda za unos u SAP'!$K$3:$K$501,'Plan rashoda za unos u SAP'!$C$3:$C$501,"=61",'Plan rashoda za unos u SAP'!$N$3:$N$501,"=43")+SUMIFS('ANALITIKA EU PROJEKATA'!$I$3:$I$501,'ANALITIKA EU PROJEKATA'!$A$3:$A$501,"=61",'ANALITIKA EU PROJEKATA'!$Q$3:$Q$501,"=43")</f>
        <v>0</v>
      </c>
      <c r="T103" s="140">
        <f>SUMIFS('Plan rashoda za unos u SAP'!$K$3:$K$501,'Plan rashoda za unos u SAP'!$C$3:$C$501,"=63",'Plan rashoda za unos u SAP'!$N$3:$N$501,"=43")+SUMIFS('ANALITIKA EU PROJEKATA'!$I$3:$I$501,'ANALITIKA EU PROJEKATA'!$A$3:$A$501,"=63",'ANALITIKA EU PROJEKATA'!$Q$3:$Q$501,"=43")</f>
        <v>0</v>
      </c>
      <c r="U103" s="140">
        <f>SUMIFS('Plan rashoda za unos u SAP'!$K$3:$K$501,'Plan rashoda za unos u SAP'!$C$3:$C$501,"=71",'Plan rashoda za unos u SAP'!$N$3:$N$501,"=43")+SUMIFS('ANALITIKA EU PROJEKATA'!$I$3:$I$501,'ANALITIKA EU PROJEKATA'!$A$3:$A$501,"=71",'ANALITIKA EU PROJEKATA'!$Q$3:$Q$501,"=43")</f>
        <v>0</v>
      </c>
      <c r="V103" s="140">
        <f>SUMIFS('Plan rashoda za unos u SAP'!$K$3:$K$501,'Plan rashoda za unos u SAP'!$C$3:$C$501,"=81",'Plan rashoda za unos u SAP'!$N$3:$N$501,"=43")+SUMIFS('ANALITIKA EU PROJEKATA'!$I$3:$I$501,'ANALITIKA EU PROJEKATA'!$A$3:$A$501,"=81",'ANALITIKA EU PROJEKATA'!$Q$3:$Q$501,"=43")</f>
        <v>0</v>
      </c>
      <c r="W103" s="140">
        <f>SUMIFS('Plan rashoda za unos u SAP'!$K$3:$K$501,'Plan rashoda za unos u SAP'!$C$3:$C$501,"=83",'Plan rashoda za unos u SAP'!$N$3:$N$501,"=43")+SUMIFS('ANALITIKA EU PROJEKATA'!$I$3:$I$501,'ANALITIKA EU PROJEKATA'!$A$3:$A$501,"=83",'ANALITIKA EU PROJEKATA'!$Q$3:$Q$501,"=43")</f>
        <v>0</v>
      </c>
      <c r="X103" s="79"/>
      <c r="Y103" s="79"/>
      <c r="Z103" s="79"/>
      <c r="AA103" s="79"/>
      <c r="AB103" s="79"/>
      <c r="AC103" s="79"/>
      <c r="AD103" s="79"/>
      <c r="AE103" s="79"/>
      <c r="AF103" s="79"/>
      <c r="AG103" s="79"/>
      <c r="AH103" s="79"/>
      <c r="AI103" s="79"/>
      <c r="AJ103" s="79"/>
      <c r="AK103" s="79"/>
      <c r="AL103" s="79"/>
      <c r="AM103" s="79"/>
      <c r="AN103" s="79"/>
      <c r="AO103" s="79"/>
      <c r="AP103" s="79"/>
      <c r="AQ103" s="79"/>
      <c r="AR103" s="79"/>
      <c r="AS103" s="79"/>
      <c r="AT103" s="79"/>
      <c r="AU103" s="79"/>
      <c r="AV103" s="79"/>
      <c r="AW103" s="79"/>
      <c r="AX103" s="79"/>
      <c r="AY103" s="79"/>
      <c r="AZ103" s="79"/>
      <c r="BA103" s="79"/>
      <c r="BB103" s="79"/>
      <c r="BC103" s="79"/>
      <c r="BD103" s="79"/>
      <c r="BE103" s="79"/>
      <c r="BF103" s="79"/>
      <c r="BG103" s="79"/>
      <c r="BH103" s="79"/>
      <c r="BI103" s="79"/>
      <c r="BJ103" s="79"/>
      <c r="BK103" s="79"/>
      <c r="BL103" s="79"/>
      <c r="BM103" s="79"/>
      <c r="BN103" s="79"/>
      <c r="BO103" s="79"/>
      <c r="BP103" s="79"/>
      <c r="BQ103" s="79"/>
      <c r="BR103" s="79"/>
      <c r="BS103" s="79"/>
      <c r="BT103" s="79"/>
      <c r="BU103" s="79"/>
      <c r="BV103" s="79"/>
      <c r="BW103" s="79"/>
      <c r="BX103" s="79"/>
      <c r="BY103" s="79"/>
      <c r="BZ103" s="79"/>
      <c r="CA103" s="79"/>
      <c r="CB103" s="79"/>
      <c r="CC103" s="79"/>
      <c r="CD103" s="79"/>
      <c r="CE103" s="79"/>
      <c r="CF103" s="79"/>
      <c r="CG103" s="79"/>
      <c r="CH103" s="79"/>
      <c r="CI103" s="79"/>
      <c r="CJ103" s="79"/>
      <c r="CK103" s="79"/>
      <c r="CL103" s="79"/>
      <c r="CM103" s="79"/>
      <c r="CN103" s="79"/>
      <c r="CO103" s="79"/>
      <c r="CP103" s="79"/>
      <c r="CQ103" s="79"/>
      <c r="CR103" s="79"/>
      <c r="CS103" s="79"/>
      <c r="CT103" s="79"/>
      <c r="CU103" s="79"/>
      <c r="CV103" s="79"/>
      <c r="CW103" s="79"/>
      <c r="CX103" s="79"/>
      <c r="CY103" s="79"/>
      <c r="CZ103" s="79"/>
      <c r="DA103" s="79"/>
      <c r="DB103" s="79"/>
      <c r="DC103" s="79"/>
      <c r="DD103" s="79"/>
      <c r="DE103" s="79"/>
      <c r="DF103" s="79"/>
      <c r="DG103" s="79"/>
      <c r="DH103" s="79"/>
      <c r="DI103" s="79"/>
      <c r="DJ103" s="79"/>
      <c r="DK103" s="79"/>
      <c r="DL103" s="79"/>
      <c r="DM103" s="79"/>
      <c r="DN103" s="79"/>
      <c r="DO103" s="79"/>
      <c r="DP103" s="79"/>
      <c r="DQ103" s="79"/>
      <c r="DR103" s="79"/>
      <c r="DS103" s="79"/>
      <c r="DT103" s="79"/>
      <c r="DU103" s="79"/>
      <c r="DV103" s="79"/>
      <c r="DW103" s="79"/>
      <c r="DX103" s="79"/>
      <c r="DY103" s="79"/>
      <c r="DZ103" s="79"/>
      <c r="EA103" s="79"/>
      <c r="EB103" s="79"/>
      <c r="EC103" s="79"/>
      <c r="ED103" s="79"/>
      <c r="EE103" s="79"/>
      <c r="EF103" s="79"/>
      <c r="EG103" s="79"/>
      <c r="EH103" s="79"/>
      <c r="EI103" s="79"/>
      <c r="EJ103" s="79"/>
      <c r="EK103" s="79"/>
      <c r="EL103" s="79"/>
      <c r="EM103" s="79"/>
      <c r="EN103" s="79"/>
      <c r="EO103" s="79"/>
      <c r="EP103" s="79"/>
      <c r="EQ103" s="79"/>
      <c r="ER103" s="79"/>
      <c r="ES103" s="79"/>
      <c r="ET103" s="79"/>
      <c r="EU103" s="79"/>
      <c r="EV103" s="79"/>
      <c r="EW103" s="79"/>
      <c r="EX103" s="79"/>
      <c r="EY103" s="79"/>
      <c r="EZ103" s="79"/>
      <c r="FA103" s="79"/>
      <c r="FB103" s="79"/>
      <c r="FC103" s="79"/>
      <c r="FD103" s="79"/>
      <c r="FE103" s="79"/>
      <c r="FF103" s="79"/>
      <c r="FG103" s="79"/>
      <c r="FH103" s="79"/>
      <c r="FI103" s="79"/>
      <c r="FJ103" s="79"/>
      <c r="FK103" s="79"/>
      <c r="FL103" s="79"/>
      <c r="FM103" s="79"/>
      <c r="FN103" s="79"/>
      <c r="FO103" s="79"/>
      <c r="FP103" s="79"/>
      <c r="FQ103" s="79"/>
      <c r="FR103" s="79"/>
      <c r="FS103" s="79"/>
      <c r="FT103" s="79"/>
      <c r="FU103" s="79"/>
      <c r="FV103" s="79"/>
      <c r="FW103" s="79"/>
      <c r="FX103" s="79"/>
      <c r="FY103" s="79"/>
      <c r="FZ103" s="79"/>
      <c r="GA103" s="79"/>
      <c r="GB103" s="79"/>
      <c r="GC103" s="79"/>
      <c r="GD103" s="79"/>
      <c r="GE103" s="79"/>
      <c r="GF103" s="79"/>
      <c r="GG103" s="79"/>
      <c r="GH103" s="79"/>
      <c r="GI103" s="79"/>
      <c r="GJ103" s="79"/>
      <c r="GK103" s="79"/>
      <c r="GL103" s="80"/>
      <c r="GM103" s="80"/>
      <c r="GN103" s="80"/>
      <c r="GO103" s="80"/>
      <c r="GP103" s="80"/>
      <c r="GQ103" s="80"/>
      <c r="GR103" s="80"/>
      <c r="GS103" s="80"/>
      <c r="GT103" s="80"/>
      <c r="GU103" s="80"/>
      <c r="GV103" s="80"/>
      <c r="GW103" s="80"/>
      <c r="GX103" s="80"/>
      <c r="GY103" s="80"/>
      <c r="GZ103" s="80"/>
      <c r="HA103" s="80"/>
      <c r="HB103" s="80"/>
      <c r="HC103" s="80"/>
      <c r="HD103" s="80"/>
      <c r="HE103" s="80"/>
      <c r="HF103" s="80"/>
      <c r="HG103" s="80"/>
      <c r="HH103" s="80"/>
      <c r="HI103" s="80"/>
      <c r="HJ103" s="80"/>
      <c r="HK103" s="80"/>
      <c r="HL103" s="80"/>
      <c r="HM103" s="80"/>
      <c r="HN103" s="80"/>
      <c r="HO103" s="80"/>
      <c r="HP103" s="80"/>
      <c r="HQ103" s="80"/>
      <c r="HR103" s="80"/>
      <c r="HS103" s="80"/>
      <c r="HT103" s="80"/>
      <c r="HU103" s="80"/>
      <c r="HV103" s="80"/>
      <c r="HW103" s="80"/>
      <c r="HX103" s="80"/>
      <c r="HY103" s="80"/>
      <c r="HZ103" s="80"/>
      <c r="IA103" s="80"/>
      <c r="IB103" s="80"/>
      <c r="IC103" s="80"/>
      <c r="ID103" s="80"/>
      <c r="IE103" s="80"/>
      <c r="IF103" s="80"/>
      <c r="IG103" s="80"/>
      <c r="IH103" s="80"/>
      <c r="II103" s="80"/>
      <c r="IJ103" s="80"/>
      <c r="IK103" s="80"/>
      <c r="IL103" s="80"/>
      <c r="IM103" s="80"/>
      <c r="IN103" s="80"/>
      <c r="IO103" s="80"/>
      <c r="IP103" s="80"/>
      <c r="IQ103" s="80"/>
      <c r="IR103" s="80"/>
      <c r="IS103" s="80"/>
      <c r="IT103" s="80"/>
      <c r="IU103" s="80"/>
      <c r="IV103" s="80"/>
      <c r="IW103" s="80"/>
      <c r="IX103" s="80"/>
      <c r="IY103" s="80"/>
      <c r="IZ103" s="80"/>
      <c r="JA103" s="80"/>
      <c r="JB103" s="80"/>
      <c r="JC103" s="80"/>
    </row>
    <row r="104" spans="1:263" s="13" customFormat="1" ht="12.6" customHeight="1">
      <c r="A104" s="22">
        <v>2023</v>
      </c>
      <c r="B104" s="10">
        <v>44</v>
      </c>
      <c r="C104" s="11" t="s">
        <v>345</v>
      </c>
      <c r="D104" s="133">
        <f t="shared" si="26"/>
        <v>0</v>
      </c>
      <c r="E104" s="140">
        <f>SUMIFS('Plan rashoda za unos u SAP'!$K$3:$K$501,'Plan rashoda za unos u SAP'!$C$3:$C$501,"=11",'Plan rashoda za unos u SAP'!$N$3:$N$501,"=44")+SUMIFS('ANALITIKA EU PROJEKATA'!$I$3:$I$501,'ANALITIKA EU PROJEKATA'!$A$3:$A$501,"=11",'ANALITIKA EU PROJEKATA'!$Q$3:$Q$501,"=44")</f>
        <v>0</v>
      </c>
      <c r="F104" s="140">
        <f>SUMIFS('Plan rashoda za unos u SAP'!$K$3:$K$501,'Plan rashoda za unos u SAP'!$C$3:$C$501,"=12",'Plan rashoda za unos u SAP'!$N$3:$N$501,"=44")+SUMIFS('ANALITIKA EU PROJEKATA'!$I$3:$I$501,'ANALITIKA EU PROJEKATA'!$A$3:$A$501,"=12",'ANALITIKA EU PROJEKATA'!$Q$3:$Q$501,"=44")</f>
        <v>0</v>
      </c>
      <c r="G104" s="140">
        <f>SUMIFS('Plan rashoda za unos u SAP'!$K$3:$K$501,'Plan rashoda za unos u SAP'!$C$3:$C$501,"=31",'Plan rashoda za unos u SAP'!$N$3:$N$501,"=44")+SUMIFS('ANALITIKA EU PROJEKATA'!$I$3:$I$501,'ANALITIKA EU PROJEKATA'!$A$3:$A$501,"=31",'ANALITIKA EU PROJEKATA'!$Q$3:$Q$501,"=44")</f>
        <v>0</v>
      </c>
      <c r="H104" s="140">
        <f>SUMIFS('Plan rashoda za unos u SAP'!$K$3:$K$501,'Plan rashoda za unos u SAP'!$C$3:$C$501,"=41",'Plan rashoda za unos u SAP'!$N$3:$N$501,"=44")+SUMIFS('ANALITIKA EU PROJEKATA'!$I$3:$I$501,'ANALITIKA EU PROJEKATA'!$A$3:$A$501,"=41",'ANALITIKA EU PROJEKATA'!$Q$3:$Q$501,"=44")</f>
        <v>0</v>
      </c>
      <c r="I104" s="140">
        <f>SUMIFS('Plan rashoda za unos u SAP'!$K$3:$K$501,'Plan rashoda za unos u SAP'!$C$3:$C$501,"=43",'Plan rashoda za unos u SAP'!$N$3:$N$501,"=44")+SUMIFS('ANALITIKA EU PROJEKATA'!$I$3:$I$501,'ANALITIKA EU PROJEKATA'!$A$3:$A$501,"=43",'ANALITIKA EU PROJEKATA'!$Q$3:$Q$501,"=44")</f>
        <v>0</v>
      </c>
      <c r="J104" s="140">
        <f>SUMIFS('Plan rashoda za unos u SAP'!$K$3:$K$501,'Plan rashoda za unos u SAP'!$C$3:$C$501,"=51",'Plan rashoda za unos u SAP'!$N$3:$N$501,"=44")+SUMIFS('ANALITIKA EU PROJEKATA'!$I$3:$I$501,'ANALITIKA EU PROJEKATA'!$A$3:$A$501,"=51",'ANALITIKA EU PROJEKATA'!$Q$3:$Q$501,"=44")</f>
        <v>0</v>
      </c>
      <c r="K104" s="140">
        <f>SUMIFS('Plan rashoda za unos u SAP'!$K$3:$K$501,'Plan rashoda za unos u SAP'!$C$3:$C$501,"=52",'Plan rashoda za unos u SAP'!$N$3:$N$501,"=44")+SUMIFS('ANALITIKA EU PROJEKATA'!$I$3:$I$501,'ANALITIKA EU PROJEKATA'!$A$3:$A$501,"=52",'ANALITIKA EU PROJEKATA'!$Q$3:$Q$501,"=44")</f>
        <v>0</v>
      </c>
      <c r="L104" s="140">
        <f>SUMIFS('Plan rashoda za unos u SAP'!$K$3:$K$501,'Plan rashoda za unos u SAP'!$C$3:$C$501,"=552",'Plan rashoda za unos u SAP'!$N$3:$N$501,"=44")+SUMIFS('ANALITIKA EU PROJEKATA'!$I$3:$I$501,'ANALITIKA EU PROJEKATA'!$A$3:$A$501,"=552",'ANALITIKA EU PROJEKATA'!$Q$3:$Q$501,"=44")</f>
        <v>0</v>
      </c>
      <c r="M104" s="140">
        <f>SUMIFS('Plan rashoda za unos u SAP'!$K$3:$K$501,'Plan rashoda za unos u SAP'!$C$3:$C$501,"=559",'Plan rashoda za unos u SAP'!$N$3:$N$501,"=44")+SUMIFS('ANALITIKA EU PROJEKATA'!$I$3:$I$501,'ANALITIKA EU PROJEKATA'!$A$3:$A$501,"=559",'ANALITIKA EU PROJEKATA'!$Q$3:$Q$501,"=44")</f>
        <v>0</v>
      </c>
      <c r="N104" s="140">
        <f>SUMIFS('Plan rashoda za unos u SAP'!$K$3:$K$501,'Plan rashoda za unos u SAP'!$C$3:$C$501,"=561",'Plan rashoda za unos u SAP'!$N$3:$N$501,"=44")+SUMIFS('ANALITIKA EU PROJEKATA'!$I$3:$I$501,'ANALITIKA EU PROJEKATA'!$A$3:$A$501,"=561",'ANALITIKA EU PROJEKATA'!$Q$3:$Q$501,"=44")</f>
        <v>0</v>
      </c>
      <c r="O104" s="140">
        <f>SUMIFS('Plan rashoda za unos u SAP'!$K$3:$K$501,'Plan rashoda za unos u SAP'!$C$3:$C$501,"=563",'Plan rashoda za unos u SAP'!$N$3:$N$501,"=44")+SUMIFS('ANALITIKA EU PROJEKATA'!$I$3:$I$501,'ANALITIKA EU PROJEKATA'!$A$3:$A$501,"=563",'ANALITIKA EU PROJEKATA'!$Q$3:$Q$501,"=44")</f>
        <v>0</v>
      </c>
      <c r="P104" s="140">
        <f>SUMIFS('Plan rashoda za unos u SAP'!$K$3:$K$501,'Plan rashoda za unos u SAP'!$C$3:$C$501,"=573",'Plan rashoda za unos u SAP'!$N$3:$N$501,"=44")+SUMIFS('ANALITIKA EU PROJEKATA'!$I$3:$I$501,'ANALITIKA EU PROJEKATA'!$A$3:$A$501,"=573",'ANALITIKA EU PROJEKATA'!$Q$3:$Q$501,"=44")</f>
        <v>0</v>
      </c>
      <c r="Q104" s="140">
        <f>SUMIFS('Plan rashoda za unos u SAP'!$K$3:$K$501,'Plan rashoda za unos u SAP'!$C$3:$C$501,"=575",'Plan rashoda za unos u SAP'!$N$3:$N$501,"=44")+SUMIFS('ANALITIKA EU PROJEKATA'!$I$3:$I$501,'ANALITIKA EU PROJEKATA'!$A$3:$A$501,"=575",'ANALITIKA EU PROJEKATA'!$Q$3:$Q$501,"=44")</f>
        <v>0</v>
      </c>
      <c r="R104" s="140">
        <f>SUMIFS('Plan rashoda za unos u SAP'!$K$3:$K$501,'Plan rashoda za unos u SAP'!$C$3:$C$501,"=576",'Plan rashoda za unos u SAP'!$N$3:$N$501,"=44")+SUMIFS('ANALITIKA EU PROJEKATA'!$I$3:$I$501,'ANALITIKA EU PROJEKATA'!$A$3:$A$501,"=576",'ANALITIKA EU PROJEKATA'!$Q$3:$Q$501,"=44")</f>
        <v>0</v>
      </c>
      <c r="S104" s="140">
        <f>SUMIFS('Plan rashoda za unos u SAP'!$K$3:$K$501,'Plan rashoda za unos u SAP'!$C$3:$C$501,"=61",'Plan rashoda za unos u SAP'!$N$3:$N$501,"=44")+SUMIFS('ANALITIKA EU PROJEKATA'!$I$3:$I$501,'ANALITIKA EU PROJEKATA'!$A$3:$A$501,"=61",'ANALITIKA EU PROJEKATA'!$Q$3:$Q$501,"=44")</f>
        <v>0</v>
      </c>
      <c r="T104" s="140">
        <f>SUMIFS('Plan rashoda za unos u SAP'!$K$3:$K$501,'Plan rashoda za unos u SAP'!$C$3:$C$501,"=63",'Plan rashoda za unos u SAP'!$N$3:$N$501,"=44")+SUMIFS('ANALITIKA EU PROJEKATA'!$I$3:$I$501,'ANALITIKA EU PROJEKATA'!$A$3:$A$501,"=63",'ANALITIKA EU PROJEKATA'!$Q$3:$Q$501,"=44")</f>
        <v>0</v>
      </c>
      <c r="U104" s="140">
        <f>SUMIFS('Plan rashoda za unos u SAP'!$K$3:$K$501,'Plan rashoda za unos u SAP'!$C$3:$C$501,"=71",'Plan rashoda za unos u SAP'!$N$3:$N$501,"=44")+SUMIFS('ANALITIKA EU PROJEKATA'!$I$3:$I$501,'ANALITIKA EU PROJEKATA'!$A$3:$A$501,"=71",'ANALITIKA EU PROJEKATA'!$Q$3:$Q$501,"=44")</f>
        <v>0</v>
      </c>
      <c r="V104" s="140">
        <f>SUMIFS('Plan rashoda za unos u SAP'!$K$3:$K$501,'Plan rashoda za unos u SAP'!$C$3:$C$501,"=81",'Plan rashoda za unos u SAP'!$N$3:$N$501,"=44")+SUMIFS('ANALITIKA EU PROJEKATA'!$I$3:$I$501,'ANALITIKA EU PROJEKATA'!$A$3:$A$501,"=81",'ANALITIKA EU PROJEKATA'!$Q$3:$Q$501,"=44")</f>
        <v>0</v>
      </c>
      <c r="W104" s="140">
        <f>SUMIFS('Plan rashoda za unos u SAP'!$K$3:$K$501,'Plan rashoda za unos u SAP'!$C$3:$C$501,"=83",'Plan rashoda za unos u SAP'!$N$3:$N$501,"=44")+SUMIFS('ANALITIKA EU PROJEKATA'!$I$3:$I$501,'ANALITIKA EU PROJEKATA'!$A$3:$A$501,"=83",'ANALITIKA EU PROJEKATA'!$Q$3:$Q$501,"=44")</f>
        <v>0</v>
      </c>
      <c r="X104" s="79"/>
      <c r="Y104" s="79"/>
      <c r="Z104" s="79"/>
      <c r="AA104" s="79"/>
      <c r="AB104" s="79"/>
      <c r="AC104" s="79"/>
      <c r="AD104" s="79"/>
      <c r="AE104" s="79"/>
      <c r="AF104" s="79"/>
      <c r="AG104" s="79"/>
      <c r="AH104" s="79"/>
      <c r="AI104" s="79"/>
      <c r="AJ104" s="79"/>
      <c r="AK104" s="79"/>
      <c r="AL104" s="79"/>
      <c r="AM104" s="79"/>
      <c r="AN104" s="79"/>
      <c r="AO104" s="79"/>
      <c r="AP104" s="79"/>
      <c r="AQ104" s="79"/>
      <c r="AR104" s="79"/>
      <c r="AS104" s="79"/>
      <c r="AT104" s="79"/>
      <c r="AU104" s="79"/>
      <c r="AV104" s="79"/>
      <c r="AW104" s="79"/>
      <c r="AX104" s="79"/>
      <c r="AY104" s="79"/>
      <c r="AZ104" s="79"/>
      <c r="BA104" s="79"/>
      <c r="BB104" s="79"/>
      <c r="BC104" s="79"/>
      <c r="BD104" s="79"/>
      <c r="BE104" s="79"/>
      <c r="BF104" s="79"/>
      <c r="BG104" s="79"/>
      <c r="BH104" s="79"/>
      <c r="BI104" s="79"/>
      <c r="BJ104" s="79"/>
      <c r="BK104" s="79"/>
      <c r="BL104" s="79"/>
      <c r="BM104" s="79"/>
      <c r="BN104" s="79"/>
      <c r="BO104" s="79"/>
      <c r="BP104" s="79"/>
      <c r="BQ104" s="79"/>
      <c r="BR104" s="79"/>
      <c r="BS104" s="79"/>
      <c r="BT104" s="79"/>
      <c r="BU104" s="79"/>
      <c r="BV104" s="79"/>
      <c r="BW104" s="79"/>
      <c r="BX104" s="79"/>
      <c r="BY104" s="79"/>
      <c r="BZ104" s="79"/>
      <c r="CA104" s="79"/>
      <c r="CB104" s="79"/>
      <c r="CC104" s="79"/>
      <c r="CD104" s="79"/>
      <c r="CE104" s="79"/>
      <c r="CF104" s="79"/>
      <c r="CG104" s="79"/>
      <c r="CH104" s="79"/>
      <c r="CI104" s="79"/>
      <c r="CJ104" s="79"/>
      <c r="CK104" s="79"/>
      <c r="CL104" s="79"/>
      <c r="CM104" s="79"/>
      <c r="CN104" s="79"/>
      <c r="CO104" s="79"/>
      <c r="CP104" s="79"/>
      <c r="CQ104" s="79"/>
      <c r="CR104" s="79"/>
      <c r="CS104" s="79"/>
      <c r="CT104" s="79"/>
      <c r="CU104" s="79"/>
      <c r="CV104" s="79"/>
      <c r="CW104" s="79"/>
      <c r="CX104" s="79"/>
      <c r="CY104" s="79"/>
      <c r="CZ104" s="79"/>
      <c r="DA104" s="79"/>
      <c r="DB104" s="79"/>
      <c r="DC104" s="79"/>
      <c r="DD104" s="79"/>
      <c r="DE104" s="79"/>
      <c r="DF104" s="79"/>
      <c r="DG104" s="79"/>
      <c r="DH104" s="79"/>
      <c r="DI104" s="79"/>
      <c r="DJ104" s="79"/>
      <c r="DK104" s="79"/>
      <c r="DL104" s="79"/>
      <c r="DM104" s="79"/>
      <c r="DN104" s="79"/>
      <c r="DO104" s="79"/>
      <c r="DP104" s="79"/>
      <c r="DQ104" s="79"/>
      <c r="DR104" s="79"/>
      <c r="DS104" s="79"/>
      <c r="DT104" s="79"/>
      <c r="DU104" s="79"/>
      <c r="DV104" s="79"/>
      <c r="DW104" s="79"/>
      <c r="DX104" s="79"/>
      <c r="DY104" s="79"/>
      <c r="DZ104" s="79"/>
      <c r="EA104" s="79"/>
      <c r="EB104" s="79"/>
      <c r="EC104" s="79"/>
      <c r="ED104" s="79"/>
      <c r="EE104" s="79"/>
      <c r="EF104" s="79"/>
      <c r="EG104" s="79"/>
      <c r="EH104" s="79"/>
      <c r="EI104" s="79"/>
      <c r="EJ104" s="79"/>
      <c r="EK104" s="79"/>
      <c r="EL104" s="79"/>
      <c r="EM104" s="79"/>
      <c r="EN104" s="79"/>
      <c r="EO104" s="79"/>
      <c r="EP104" s="79"/>
      <c r="EQ104" s="79"/>
      <c r="ER104" s="79"/>
      <c r="ES104" s="79"/>
      <c r="ET104" s="79"/>
      <c r="EU104" s="79"/>
      <c r="EV104" s="79"/>
      <c r="EW104" s="79"/>
      <c r="EX104" s="79"/>
      <c r="EY104" s="79"/>
      <c r="EZ104" s="79"/>
      <c r="FA104" s="79"/>
      <c r="FB104" s="79"/>
      <c r="FC104" s="79"/>
      <c r="FD104" s="79"/>
      <c r="FE104" s="79"/>
      <c r="FF104" s="79"/>
      <c r="FG104" s="79"/>
      <c r="FH104" s="79"/>
      <c r="FI104" s="79"/>
      <c r="FJ104" s="79"/>
      <c r="FK104" s="79"/>
      <c r="FL104" s="79"/>
      <c r="FM104" s="79"/>
      <c r="FN104" s="79"/>
      <c r="FO104" s="79"/>
      <c r="FP104" s="79"/>
      <c r="FQ104" s="79"/>
      <c r="FR104" s="79"/>
      <c r="FS104" s="79"/>
      <c r="FT104" s="79"/>
      <c r="FU104" s="79"/>
      <c r="FV104" s="79"/>
      <c r="FW104" s="79"/>
      <c r="FX104" s="79"/>
      <c r="FY104" s="79"/>
      <c r="FZ104" s="79"/>
      <c r="GA104" s="79"/>
      <c r="GB104" s="79"/>
      <c r="GC104" s="79"/>
      <c r="GD104" s="79"/>
      <c r="GE104" s="79"/>
      <c r="GF104" s="79"/>
      <c r="GG104" s="79"/>
      <c r="GH104" s="79"/>
      <c r="GI104" s="79"/>
      <c r="GJ104" s="79"/>
      <c r="GK104" s="79"/>
      <c r="GL104" s="80"/>
      <c r="GM104" s="80"/>
      <c r="GN104" s="80"/>
      <c r="GO104" s="80"/>
      <c r="GP104" s="80"/>
      <c r="GQ104" s="80"/>
      <c r="GR104" s="80"/>
      <c r="GS104" s="80"/>
      <c r="GT104" s="80"/>
      <c r="GU104" s="80"/>
      <c r="GV104" s="80"/>
      <c r="GW104" s="80"/>
      <c r="GX104" s="80"/>
      <c r="GY104" s="80"/>
      <c r="GZ104" s="80"/>
      <c r="HA104" s="80"/>
      <c r="HB104" s="80"/>
      <c r="HC104" s="80"/>
      <c r="HD104" s="80"/>
      <c r="HE104" s="80"/>
      <c r="HF104" s="80"/>
      <c r="HG104" s="80"/>
      <c r="HH104" s="80"/>
      <c r="HI104" s="80"/>
      <c r="HJ104" s="80"/>
      <c r="HK104" s="80"/>
      <c r="HL104" s="80"/>
      <c r="HM104" s="80"/>
      <c r="HN104" s="80"/>
      <c r="HO104" s="80"/>
      <c r="HP104" s="80"/>
      <c r="HQ104" s="80"/>
      <c r="HR104" s="80"/>
      <c r="HS104" s="80"/>
      <c r="HT104" s="80"/>
      <c r="HU104" s="80"/>
      <c r="HV104" s="80"/>
      <c r="HW104" s="80"/>
      <c r="HX104" s="80"/>
      <c r="HY104" s="80"/>
      <c r="HZ104" s="80"/>
      <c r="IA104" s="80"/>
      <c r="IB104" s="80"/>
      <c r="IC104" s="80"/>
      <c r="ID104" s="80"/>
      <c r="IE104" s="80"/>
      <c r="IF104" s="80"/>
      <c r="IG104" s="80"/>
      <c r="IH104" s="80"/>
      <c r="II104" s="80"/>
      <c r="IJ104" s="80"/>
      <c r="IK104" s="80"/>
      <c r="IL104" s="80"/>
      <c r="IM104" s="80"/>
      <c r="IN104" s="80"/>
      <c r="IO104" s="80"/>
      <c r="IP104" s="80"/>
      <c r="IQ104" s="80"/>
      <c r="IR104" s="80"/>
      <c r="IS104" s="80"/>
      <c r="IT104" s="80"/>
      <c r="IU104" s="80"/>
      <c r="IV104" s="80"/>
      <c r="IW104" s="80"/>
      <c r="IX104" s="80"/>
      <c r="IY104" s="80"/>
      <c r="IZ104" s="80"/>
      <c r="JA104" s="80"/>
      <c r="JB104" s="80"/>
      <c r="JC104" s="80"/>
    </row>
    <row r="105" spans="1:263" s="20" customFormat="1" ht="12.6" customHeight="1">
      <c r="A105" s="22">
        <v>2023</v>
      </c>
      <c r="B105" s="84">
        <v>45</v>
      </c>
      <c r="C105" s="15" t="s">
        <v>222</v>
      </c>
      <c r="D105" s="133">
        <f t="shared" si="26"/>
        <v>0</v>
      </c>
      <c r="E105" s="140">
        <f>SUMIFS('Plan rashoda za unos u SAP'!$K$3:$K$501,'Plan rashoda za unos u SAP'!$C$3:$C$501,"=11",'Plan rashoda za unos u SAP'!$N$3:$N$501,"=45")+SUMIFS('ANALITIKA EU PROJEKATA'!$I$3:$I$501,'ANALITIKA EU PROJEKATA'!$A$3:$A$501,"=11",'ANALITIKA EU PROJEKATA'!$Q$3:$Q$501,"=45")</f>
        <v>0</v>
      </c>
      <c r="F105" s="140">
        <f>SUMIFS('Plan rashoda za unos u SAP'!$K$3:$K$501,'Plan rashoda za unos u SAP'!$C$3:$C$501,"=12",'Plan rashoda za unos u SAP'!$N$3:$N$501,"=45")+SUMIFS('ANALITIKA EU PROJEKATA'!$I$3:$I$501,'ANALITIKA EU PROJEKATA'!$A$3:$A$501,"=12",'ANALITIKA EU PROJEKATA'!$Q$3:$Q$501,"=45")</f>
        <v>0</v>
      </c>
      <c r="G105" s="140">
        <f>SUMIFS('Plan rashoda za unos u SAP'!$K$3:$K$501,'Plan rashoda za unos u SAP'!$C$3:$C$501,"=31",'Plan rashoda za unos u SAP'!$N$3:$N$501,"=45")+SUMIFS('ANALITIKA EU PROJEKATA'!$I$3:$I$501,'ANALITIKA EU PROJEKATA'!$A$3:$A$501,"=31",'ANALITIKA EU PROJEKATA'!$Q$3:$Q$501,"=45")</f>
        <v>0</v>
      </c>
      <c r="H105" s="140">
        <f>SUMIFS('Plan rashoda za unos u SAP'!$K$3:$K$501,'Plan rashoda za unos u SAP'!$C$3:$C$501,"=41",'Plan rashoda za unos u SAP'!$N$3:$N$501,"=45")+SUMIFS('ANALITIKA EU PROJEKATA'!$I$3:$I$501,'ANALITIKA EU PROJEKATA'!$A$3:$A$501,"=41",'ANALITIKA EU PROJEKATA'!$Q$3:$Q$501,"=45")</f>
        <v>0</v>
      </c>
      <c r="I105" s="140">
        <f>SUMIFS('Plan rashoda za unos u SAP'!$K$3:$K$501,'Plan rashoda za unos u SAP'!$C$3:$C$501,"=43",'Plan rashoda za unos u SAP'!$N$3:$N$501,"=45")+SUMIFS('ANALITIKA EU PROJEKATA'!$I$3:$I$501,'ANALITIKA EU PROJEKATA'!$A$3:$A$501,"=43",'ANALITIKA EU PROJEKATA'!$Q$3:$Q$501,"=45")</f>
        <v>0</v>
      </c>
      <c r="J105" s="140">
        <f>SUMIFS('Plan rashoda za unos u SAP'!$K$3:$K$501,'Plan rashoda za unos u SAP'!$C$3:$C$501,"=51",'Plan rashoda za unos u SAP'!$N$3:$N$501,"=45")+SUMIFS('ANALITIKA EU PROJEKATA'!$I$3:$I$501,'ANALITIKA EU PROJEKATA'!$A$3:$A$501,"=51",'ANALITIKA EU PROJEKATA'!$Q$3:$Q$501,"=45")</f>
        <v>0</v>
      </c>
      <c r="K105" s="140">
        <f>SUMIFS('Plan rashoda za unos u SAP'!$K$3:$K$501,'Plan rashoda za unos u SAP'!$C$3:$C$501,"=52",'Plan rashoda za unos u SAP'!$N$3:$N$501,"=45")+SUMIFS('ANALITIKA EU PROJEKATA'!$I$3:$I$501,'ANALITIKA EU PROJEKATA'!$A$3:$A$501,"=52",'ANALITIKA EU PROJEKATA'!$Q$3:$Q$501,"=45")</f>
        <v>0</v>
      </c>
      <c r="L105" s="140">
        <f>SUMIFS('Plan rashoda za unos u SAP'!$K$3:$K$501,'Plan rashoda za unos u SAP'!$C$3:$C$501,"=552",'Plan rashoda za unos u SAP'!$N$3:$N$501,"=45")+SUMIFS('ANALITIKA EU PROJEKATA'!$I$3:$I$501,'ANALITIKA EU PROJEKATA'!$A$3:$A$501,"=552",'ANALITIKA EU PROJEKATA'!$Q$3:$Q$501,"=45")</f>
        <v>0</v>
      </c>
      <c r="M105" s="140">
        <f>SUMIFS('Plan rashoda za unos u SAP'!$K$3:$K$501,'Plan rashoda za unos u SAP'!$C$3:$C$501,"=559",'Plan rashoda za unos u SAP'!$N$3:$N$501,"=45")+SUMIFS('ANALITIKA EU PROJEKATA'!$I$3:$I$501,'ANALITIKA EU PROJEKATA'!$A$3:$A$501,"=559",'ANALITIKA EU PROJEKATA'!$Q$3:$Q$501,"=45")</f>
        <v>0</v>
      </c>
      <c r="N105" s="140">
        <f>SUMIFS('Plan rashoda za unos u SAP'!$K$3:$K$501,'Plan rashoda za unos u SAP'!$C$3:$C$501,"=561",'Plan rashoda za unos u SAP'!$N$3:$N$501,"=45")+SUMIFS('ANALITIKA EU PROJEKATA'!$I$3:$I$501,'ANALITIKA EU PROJEKATA'!$A$3:$A$501,"=561",'ANALITIKA EU PROJEKATA'!$Q$3:$Q$501,"=45")</f>
        <v>0</v>
      </c>
      <c r="O105" s="140">
        <f>SUMIFS('Plan rashoda za unos u SAP'!$K$3:$K$501,'Plan rashoda za unos u SAP'!$C$3:$C$501,"=563",'Plan rashoda za unos u SAP'!$N$3:$N$501,"=45")+SUMIFS('ANALITIKA EU PROJEKATA'!$I$3:$I$501,'ANALITIKA EU PROJEKATA'!$A$3:$A$501,"=563",'ANALITIKA EU PROJEKATA'!$Q$3:$Q$501,"=45")</f>
        <v>0</v>
      </c>
      <c r="P105" s="140">
        <f>SUMIFS('Plan rashoda za unos u SAP'!$K$3:$K$501,'Plan rashoda za unos u SAP'!$C$3:$C$501,"=573",'Plan rashoda za unos u SAP'!$N$3:$N$501,"=45")+SUMIFS('ANALITIKA EU PROJEKATA'!$I$3:$I$501,'ANALITIKA EU PROJEKATA'!$A$3:$A$501,"=573",'ANALITIKA EU PROJEKATA'!$Q$3:$Q$501,"=45")</f>
        <v>0</v>
      </c>
      <c r="Q105" s="140">
        <f>SUMIFS('Plan rashoda za unos u SAP'!$K$3:$K$501,'Plan rashoda za unos u SAP'!$C$3:$C$501,"=575",'Plan rashoda za unos u SAP'!$N$3:$N$501,"=45")+SUMIFS('ANALITIKA EU PROJEKATA'!$I$3:$I$501,'ANALITIKA EU PROJEKATA'!$A$3:$A$501,"=575",'ANALITIKA EU PROJEKATA'!$Q$3:$Q$501,"=45")</f>
        <v>0</v>
      </c>
      <c r="R105" s="140">
        <f>SUMIFS('Plan rashoda za unos u SAP'!$K$3:$K$501,'Plan rashoda za unos u SAP'!$C$3:$C$501,"=576",'Plan rashoda za unos u SAP'!$N$3:$N$501,"=45")+SUMIFS('ANALITIKA EU PROJEKATA'!$I$3:$I$501,'ANALITIKA EU PROJEKATA'!$A$3:$A$501,"=576",'ANALITIKA EU PROJEKATA'!$Q$3:$Q$501,"=45")</f>
        <v>0</v>
      </c>
      <c r="S105" s="140">
        <f>SUMIFS('Plan rashoda za unos u SAP'!$K$3:$K$501,'Plan rashoda za unos u SAP'!$C$3:$C$501,"=61",'Plan rashoda za unos u SAP'!$N$3:$N$501,"=45")+SUMIFS('ANALITIKA EU PROJEKATA'!$I$3:$I$501,'ANALITIKA EU PROJEKATA'!$A$3:$A$501,"=61",'ANALITIKA EU PROJEKATA'!$Q$3:$Q$501,"=45")</f>
        <v>0</v>
      </c>
      <c r="T105" s="140">
        <f>SUMIFS('Plan rashoda za unos u SAP'!$K$3:$K$501,'Plan rashoda za unos u SAP'!$C$3:$C$501,"=63",'Plan rashoda za unos u SAP'!$N$3:$N$501,"=45")+SUMIFS('ANALITIKA EU PROJEKATA'!$I$3:$I$501,'ANALITIKA EU PROJEKATA'!$A$3:$A$501,"=63",'ANALITIKA EU PROJEKATA'!$Q$3:$Q$501,"=45")</f>
        <v>0</v>
      </c>
      <c r="U105" s="140">
        <f>SUMIFS('Plan rashoda za unos u SAP'!$K$3:$K$501,'Plan rashoda za unos u SAP'!$C$3:$C$501,"=71",'Plan rashoda za unos u SAP'!$N$3:$N$501,"=45")+SUMIFS('ANALITIKA EU PROJEKATA'!$I$3:$I$501,'ANALITIKA EU PROJEKATA'!$A$3:$A$501,"=71",'ANALITIKA EU PROJEKATA'!$Q$3:$Q$501,"=45")</f>
        <v>0</v>
      </c>
      <c r="V105" s="140">
        <f>SUMIFS('Plan rashoda za unos u SAP'!$K$3:$K$501,'Plan rashoda za unos u SAP'!$C$3:$C$501,"=81",'Plan rashoda za unos u SAP'!$N$3:$N$501,"=45")+SUMIFS('ANALITIKA EU PROJEKATA'!$I$3:$I$501,'ANALITIKA EU PROJEKATA'!$A$3:$A$501,"=81",'ANALITIKA EU PROJEKATA'!$Q$3:$Q$501,"=45")</f>
        <v>0</v>
      </c>
      <c r="W105" s="140">
        <f>SUMIFS('Plan rashoda za unos u SAP'!$K$3:$K$501,'Plan rashoda za unos u SAP'!$C$3:$C$501,"=83",'Plan rashoda za unos u SAP'!$N$3:$N$501,"=45")+SUMIFS('ANALITIKA EU PROJEKATA'!$I$3:$I$501,'ANALITIKA EU PROJEKATA'!$A$3:$A$501,"=83",'ANALITIKA EU PROJEKATA'!$Q$3:$Q$501,"=45")</f>
        <v>0</v>
      </c>
      <c r="X105" s="85"/>
      <c r="Y105" s="85"/>
      <c r="Z105" s="85"/>
      <c r="AA105" s="85"/>
      <c r="AB105" s="85"/>
      <c r="AC105" s="85"/>
      <c r="AD105" s="85"/>
      <c r="AE105" s="85"/>
      <c r="AF105" s="85"/>
      <c r="AG105" s="85"/>
      <c r="AH105" s="85"/>
      <c r="AI105" s="85"/>
      <c r="AJ105" s="85"/>
      <c r="AK105" s="85"/>
      <c r="AL105" s="85"/>
      <c r="AM105" s="85"/>
      <c r="AN105" s="85"/>
      <c r="AO105" s="85"/>
      <c r="AP105" s="85"/>
      <c r="AQ105" s="85"/>
      <c r="AR105" s="85"/>
      <c r="AS105" s="85"/>
      <c r="AT105" s="85"/>
      <c r="AU105" s="85"/>
      <c r="AV105" s="85"/>
      <c r="AW105" s="85"/>
      <c r="AX105" s="85"/>
      <c r="AY105" s="85"/>
      <c r="AZ105" s="85"/>
      <c r="BA105" s="85"/>
      <c r="BB105" s="85"/>
      <c r="BC105" s="85"/>
      <c r="BD105" s="85"/>
      <c r="BE105" s="85"/>
      <c r="BF105" s="85"/>
      <c r="BG105" s="85"/>
      <c r="BH105" s="85"/>
      <c r="BI105" s="85"/>
      <c r="BJ105" s="85"/>
      <c r="BK105" s="85"/>
      <c r="BL105" s="85"/>
      <c r="BM105" s="85"/>
      <c r="BN105" s="85"/>
      <c r="BO105" s="85"/>
      <c r="BP105" s="85"/>
      <c r="BQ105" s="85"/>
      <c r="BR105" s="85"/>
      <c r="BS105" s="85"/>
      <c r="BT105" s="85"/>
      <c r="BU105" s="85"/>
      <c r="BV105" s="85"/>
      <c r="BW105" s="85"/>
      <c r="BX105" s="85"/>
      <c r="BY105" s="85"/>
      <c r="BZ105" s="85"/>
      <c r="CA105" s="85"/>
      <c r="CB105" s="85"/>
      <c r="CC105" s="85"/>
      <c r="CD105" s="85"/>
      <c r="CE105" s="85"/>
      <c r="CF105" s="85"/>
      <c r="CG105" s="85"/>
      <c r="CH105" s="85"/>
      <c r="CI105" s="85"/>
      <c r="CJ105" s="85"/>
      <c r="CK105" s="85"/>
      <c r="CL105" s="85"/>
      <c r="CM105" s="85"/>
      <c r="CN105" s="85"/>
      <c r="CO105" s="85"/>
      <c r="CP105" s="85"/>
      <c r="CQ105" s="85"/>
      <c r="CR105" s="85"/>
      <c r="CS105" s="85"/>
      <c r="CT105" s="85"/>
      <c r="CU105" s="85"/>
      <c r="CV105" s="85"/>
      <c r="CW105" s="85"/>
      <c r="CX105" s="85"/>
      <c r="CY105" s="85"/>
      <c r="CZ105" s="85"/>
      <c r="DA105" s="85"/>
      <c r="DB105" s="85"/>
      <c r="DC105" s="85"/>
      <c r="DD105" s="85"/>
      <c r="DE105" s="85"/>
      <c r="DF105" s="85"/>
      <c r="DG105" s="85"/>
      <c r="DH105" s="85"/>
      <c r="DI105" s="85"/>
      <c r="DJ105" s="85"/>
      <c r="DK105" s="85"/>
      <c r="DL105" s="85"/>
      <c r="DM105" s="85"/>
      <c r="DN105" s="85"/>
      <c r="DO105" s="85"/>
      <c r="DP105" s="85"/>
      <c r="DQ105" s="85"/>
      <c r="DR105" s="85"/>
      <c r="DS105" s="85"/>
      <c r="DT105" s="85"/>
      <c r="DU105" s="85"/>
      <c r="DV105" s="85"/>
      <c r="DW105" s="85"/>
      <c r="DX105" s="85"/>
      <c r="DY105" s="85"/>
      <c r="DZ105" s="85"/>
      <c r="EA105" s="85"/>
      <c r="EB105" s="85"/>
      <c r="EC105" s="85"/>
      <c r="ED105" s="85"/>
      <c r="EE105" s="85"/>
      <c r="EF105" s="85"/>
      <c r="EG105" s="85"/>
      <c r="EH105" s="85"/>
      <c r="EI105" s="85"/>
      <c r="EJ105" s="85"/>
      <c r="EK105" s="85"/>
      <c r="EL105" s="85"/>
      <c r="EM105" s="85"/>
      <c r="EN105" s="85"/>
      <c r="EO105" s="85"/>
      <c r="EP105" s="85"/>
      <c r="EQ105" s="85"/>
      <c r="ER105" s="85"/>
      <c r="ES105" s="85"/>
      <c r="ET105" s="85"/>
      <c r="EU105" s="85"/>
      <c r="EV105" s="85"/>
      <c r="EW105" s="85"/>
      <c r="EX105" s="85"/>
      <c r="EY105" s="85"/>
      <c r="EZ105" s="85"/>
      <c r="FA105" s="85"/>
      <c r="FB105" s="85"/>
      <c r="FC105" s="85"/>
      <c r="FD105" s="85"/>
      <c r="FE105" s="85"/>
      <c r="FF105" s="85"/>
      <c r="FG105" s="85"/>
      <c r="FH105" s="85"/>
      <c r="FI105" s="85"/>
      <c r="FJ105" s="85"/>
      <c r="FK105" s="85"/>
      <c r="FL105" s="85"/>
      <c r="FM105" s="85"/>
      <c r="FN105" s="85"/>
      <c r="FO105" s="85"/>
      <c r="FP105" s="85"/>
      <c r="FQ105" s="85"/>
      <c r="FR105" s="85"/>
      <c r="FS105" s="85"/>
      <c r="FT105" s="85"/>
      <c r="FU105" s="85"/>
      <c r="FV105" s="85"/>
      <c r="FW105" s="85"/>
      <c r="FX105" s="85"/>
      <c r="FY105" s="85"/>
      <c r="FZ105" s="85"/>
      <c r="GA105" s="85"/>
      <c r="GB105" s="85"/>
      <c r="GC105" s="85"/>
      <c r="GD105" s="85"/>
      <c r="GE105" s="85"/>
      <c r="GF105" s="85"/>
      <c r="GG105" s="85"/>
      <c r="GH105" s="85"/>
      <c r="GI105" s="85"/>
      <c r="GJ105" s="85"/>
      <c r="GK105" s="85"/>
      <c r="GL105" s="86"/>
      <c r="GM105" s="86"/>
      <c r="GN105" s="86"/>
      <c r="GO105" s="86"/>
      <c r="GP105" s="86"/>
      <c r="GQ105" s="86"/>
      <c r="GR105" s="86"/>
      <c r="GS105" s="86"/>
      <c r="GT105" s="86"/>
      <c r="GU105" s="86"/>
      <c r="GV105" s="86"/>
      <c r="GW105" s="86"/>
      <c r="GX105" s="86"/>
      <c r="GY105" s="86"/>
      <c r="GZ105" s="86"/>
      <c r="HA105" s="86"/>
      <c r="HB105" s="86"/>
      <c r="HC105" s="86"/>
      <c r="HD105" s="86"/>
      <c r="HE105" s="86"/>
      <c r="HF105" s="86"/>
      <c r="HG105" s="86"/>
      <c r="HH105" s="86"/>
      <c r="HI105" s="86"/>
      <c r="HJ105" s="86"/>
      <c r="HK105" s="86"/>
      <c r="HL105" s="86"/>
      <c r="HM105" s="86"/>
      <c r="HN105" s="86"/>
      <c r="HO105" s="86"/>
      <c r="HP105" s="86"/>
      <c r="HQ105" s="86"/>
      <c r="HR105" s="86"/>
      <c r="HS105" s="86"/>
      <c r="HT105" s="86"/>
      <c r="HU105" s="86"/>
      <c r="HV105" s="86"/>
      <c r="HW105" s="86"/>
      <c r="HX105" s="86"/>
      <c r="HY105" s="86"/>
      <c r="HZ105" s="86"/>
      <c r="IA105" s="86"/>
      <c r="IB105" s="86"/>
      <c r="IC105" s="86"/>
      <c r="ID105" s="86"/>
      <c r="IE105" s="86"/>
      <c r="IF105" s="86"/>
      <c r="IG105" s="86"/>
      <c r="IH105" s="86"/>
      <c r="II105" s="86"/>
      <c r="IJ105" s="86"/>
      <c r="IK105" s="86"/>
      <c r="IL105" s="86"/>
      <c r="IM105" s="86"/>
      <c r="IN105" s="86"/>
      <c r="IO105" s="86"/>
      <c r="IP105" s="86"/>
      <c r="IQ105" s="86"/>
      <c r="IR105" s="86"/>
      <c r="IS105" s="86"/>
      <c r="IT105" s="86"/>
      <c r="IU105" s="86"/>
      <c r="IV105" s="86"/>
      <c r="IW105" s="86"/>
      <c r="IX105" s="86"/>
      <c r="IY105" s="86"/>
      <c r="IZ105" s="86"/>
      <c r="JA105" s="86"/>
      <c r="JB105" s="86"/>
      <c r="JC105" s="86"/>
    </row>
    <row r="106" spans="1:263" s="9" customFormat="1" ht="12.6" customHeight="1">
      <c r="A106" s="22">
        <v>2023</v>
      </c>
      <c r="B106" s="122">
        <v>5</v>
      </c>
      <c r="C106" s="123" t="s">
        <v>16</v>
      </c>
      <c r="D106" s="126">
        <f t="shared" si="26"/>
        <v>0</v>
      </c>
      <c r="E106" s="125">
        <f t="shared" ref="E106:G106" si="35">SUM(E107:E108)</f>
        <v>0</v>
      </c>
      <c r="F106" s="125">
        <f t="shared" si="35"/>
        <v>0</v>
      </c>
      <c r="G106" s="125">
        <f t="shared" si="35"/>
        <v>0</v>
      </c>
      <c r="H106" s="125">
        <f>SUM(H107:H108)</f>
        <v>0</v>
      </c>
      <c r="I106" s="125">
        <f t="shared" ref="I106:K106" si="36">SUM(I107:I108)</f>
        <v>0</v>
      </c>
      <c r="J106" s="125">
        <f t="shared" si="36"/>
        <v>0</v>
      </c>
      <c r="K106" s="125">
        <f t="shared" si="36"/>
        <v>0</v>
      </c>
      <c r="L106" s="125">
        <f>SUM(L107:L108)</f>
        <v>0</v>
      </c>
      <c r="M106" s="125">
        <f t="shared" ref="M106:O106" si="37">SUM(M107:M108)</f>
        <v>0</v>
      </c>
      <c r="N106" s="125">
        <f t="shared" si="37"/>
        <v>0</v>
      </c>
      <c r="O106" s="125">
        <f t="shared" si="37"/>
        <v>0</v>
      </c>
      <c r="P106" s="125">
        <f>SUM(P107:P108)</f>
        <v>0</v>
      </c>
      <c r="Q106" s="125">
        <f>SUM(Q107:Q108)</f>
        <v>0</v>
      </c>
      <c r="R106" s="125">
        <f>SUM(R107:R108)</f>
        <v>0</v>
      </c>
      <c r="S106" s="125">
        <f t="shared" ref="S106:V106" si="38">SUM(S107:S108)</f>
        <v>0</v>
      </c>
      <c r="T106" s="125">
        <f t="shared" si="38"/>
        <v>0</v>
      </c>
      <c r="U106" s="125">
        <f t="shared" si="38"/>
        <v>0</v>
      </c>
      <c r="V106" s="125">
        <f t="shared" si="38"/>
        <v>0</v>
      </c>
      <c r="W106" s="125">
        <f>SUM(W107:W108)</f>
        <v>0</v>
      </c>
      <c r="X106" s="72"/>
      <c r="Y106" s="72"/>
      <c r="Z106" s="72"/>
      <c r="AA106" s="72"/>
      <c r="AB106" s="72"/>
      <c r="AC106" s="72"/>
      <c r="AD106" s="72"/>
      <c r="AE106" s="72"/>
      <c r="AF106" s="72"/>
      <c r="AG106" s="72"/>
      <c r="AH106" s="72"/>
      <c r="AI106" s="72"/>
      <c r="AJ106" s="72"/>
      <c r="AK106" s="72"/>
      <c r="AL106" s="72"/>
      <c r="AM106" s="72"/>
      <c r="AN106" s="72"/>
      <c r="AO106" s="72"/>
      <c r="AP106" s="72"/>
      <c r="AQ106" s="72"/>
      <c r="AR106" s="72"/>
      <c r="AS106" s="72"/>
      <c r="AT106" s="72"/>
      <c r="AU106" s="72"/>
      <c r="AV106" s="72"/>
      <c r="AW106" s="72"/>
      <c r="AX106" s="72"/>
      <c r="AY106" s="72"/>
      <c r="AZ106" s="72"/>
      <c r="BA106" s="72"/>
      <c r="BB106" s="72"/>
      <c r="BC106" s="72"/>
      <c r="BD106" s="72"/>
      <c r="BE106" s="72"/>
      <c r="BF106" s="72"/>
      <c r="BG106" s="72"/>
      <c r="BH106" s="72"/>
      <c r="BI106" s="72"/>
      <c r="BJ106" s="72"/>
      <c r="BK106" s="72"/>
      <c r="BL106" s="72"/>
      <c r="BM106" s="72"/>
      <c r="BN106" s="72"/>
      <c r="BO106" s="72"/>
      <c r="BP106" s="72"/>
      <c r="BQ106" s="72"/>
      <c r="BR106" s="72"/>
      <c r="BS106" s="72"/>
      <c r="BT106" s="72"/>
      <c r="BU106" s="72"/>
      <c r="BV106" s="72"/>
      <c r="BW106" s="72"/>
      <c r="BX106" s="72"/>
      <c r="BY106" s="72"/>
      <c r="BZ106" s="72"/>
      <c r="CA106" s="72"/>
      <c r="CB106" s="72"/>
      <c r="CC106" s="72"/>
      <c r="CD106" s="72"/>
      <c r="CE106" s="72"/>
      <c r="CF106" s="72"/>
      <c r="CG106" s="72"/>
      <c r="CH106" s="72"/>
      <c r="CI106" s="72"/>
      <c r="CJ106" s="72"/>
      <c r="CK106" s="72"/>
      <c r="CL106" s="72"/>
      <c r="CM106" s="72"/>
      <c r="CN106" s="72"/>
      <c r="CO106" s="72"/>
      <c r="CP106" s="72"/>
      <c r="CQ106" s="72"/>
      <c r="CR106" s="72"/>
      <c r="CS106" s="72"/>
      <c r="CT106" s="72"/>
      <c r="CU106" s="72"/>
      <c r="CV106" s="72"/>
      <c r="CW106" s="72"/>
      <c r="CX106" s="72"/>
      <c r="CY106" s="72"/>
      <c r="CZ106" s="72"/>
      <c r="DA106" s="72"/>
      <c r="DB106" s="72"/>
      <c r="DC106" s="72"/>
      <c r="DD106" s="72"/>
      <c r="DE106" s="72"/>
      <c r="DF106" s="72"/>
      <c r="DG106" s="72"/>
      <c r="DH106" s="72"/>
      <c r="DI106" s="72"/>
      <c r="DJ106" s="72"/>
      <c r="DK106" s="72"/>
      <c r="DL106" s="72"/>
      <c r="DM106" s="72"/>
      <c r="DN106" s="72"/>
      <c r="DO106" s="72"/>
      <c r="DP106" s="72"/>
      <c r="DQ106" s="72"/>
      <c r="DR106" s="72"/>
      <c r="DS106" s="72"/>
      <c r="DT106" s="72"/>
      <c r="DU106" s="72"/>
      <c r="DV106" s="72"/>
      <c r="DW106" s="72"/>
      <c r="DX106" s="72"/>
      <c r="DY106" s="72"/>
      <c r="DZ106" s="72"/>
      <c r="EA106" s="72"/>
      <c r="EB106" s="72"/>
      <c r="EC106" s="72"/>
      <c r="ED106" s="72"/>
      <c r="EE106" s="72"/>
      <c r="EF106" s="72"/>
      <c r="EG106" s="72"/>
      <c r="EH106" s="72"/>
      <c r="EI106" s="72"/>
      <c r="EJ106" s="72"/>
      <c r="EK106" s="72"/>
      <c r="EL106" s="72"/>
      <c r="EM106" s="72"/>
      <c r="EN106" s="72"/>
      <c r="EO106" s="72"/>
      <c r="EP106" s="72"/>
      <c r="EQ106" s="72"/>
      <c r="ER106" s="72"/>
      <c r="ES106" s="72"/>
      <c r="ET106" s="72"/>
      <c r="EU106" s="72"/>
      <c r="EV106" s="72"/>
      <c r="EW106" s="72"/>
      <c r="EX106" s="72"/>
      <c r="EY106" s="72"/>
      <c r="EZ106" s="72"/>
      <c r="FA106" s="72"/>
      <c r="FB106" s="72"/>
      <c r="FC106" s="72"/>
      <c r="FD106" s="72"/>
      <c r="FE106" s="72"/>
      <c r="FF106" s="72"/>
      <c r="FG106" s="72"/>
      <c r="FH106" s="72"/>
      <c r="FI106" s="72"/>
      <c r="FJ106" s="72"/>
      <c r="FK106" s="72"/>
      <c r="FL106" s="72"/>
      <c r="FM106" s="72"/>
      <c r="FN106" s="72"/>
      <c r="FO106" s="72"/>
      <c r="FP106" s="72"/>
      <c r="FQ106" s="72"/>
      <c r="FR106" s="72"/>
      <c r="FS106" s="72"/>
      <c r="FT106" s="72"/>
      <c r="FU106" s="72"/>
      <c r="FV106" s="72"/>
      <c r="FW106" s="72"/>
      <c r="FX106" s="72"/>
      <c r="FY106" s="72"/>
      <c r="FZ106" s="72"/>
      <c r="GA106" s="72"/>
      <c r="GB106" s="72"/>
      <c r="GC106" s="72"/>
      <c r="GD106" s="72"/>
      <c r="GE106" s="72"/>
      <c r="GF106" s="72"/>
      <c r="GG106" s="72"/>
      <c r="GH106" s="72"/>
      <c r="GI106" s="72"/>
      <c r="GJ106" s="72"/>
      <c r="GK106" s="72"/>
      <c r="GL106" s="73"/>
      <c r="GM106" s="73"/>
      <c r="GN106" s="73"/>
      <c r="GO106" s="73"/>
      <c r="GP106" s="73"/>
      <c r="GQ106" s="73"/>
      <c r="GR106" s="73"/>
      <c r="GS106" s="73"/>
      <c r="GT106" s="73"/>
      <c r="GU106" s="73"/>
      <c r="GV106" s="73"/>
      <c r="GW106" s="73"/>
      <c r="GX106" s="73"/>
      <c r="GY106" s="73"/>
      <c r="GZ106" s="73"/>
      <c r="HA106" s="73"/>
      <c r="HB106" s="73"/>
      <c r="HC106" s="73"/>
      <c r="HD106" s="73"/>
      <c r="HE106" s="73"/>
      <c r="HF106" s="73"/>
      <c r="HG106" s="73"/>
      <c r="HH106" s="73"/>
      <c r="HI106" s="73"/>
      <c r="HJ106" s="73"/>
      <c r="HK106" s="73"/>
      <c r="HL106" s="73"/>
      <c r="HM106" s="73"/>
      <c r="HN106" s="73"/>
      <c r="HO106" s="73"/>
      <c r="HP106" s="73"/>
      <c r="HQ106" s="73"/>
      <c r="HR106" s="73"/>
      <c r="HS106" s="73"/>
      <c r="HT106" s="73"/>
      <c r="HU106" s="73"/>
      <c r="HV106" s="73"/>
      <c r="HW106" s="73"/>
      <c r="HX106" s="73"/>
      <c r="HY106" s="73"/>
      <c r="HZ106" s="73"/>
      <c r="IA106" s="73"/>
      <c r="IB106" s="73"/>
      <c r="IC106" s="73"/>
      <c r="ID106" s="73"/>
      <c r="IE106" s="73"/>
      <c r="IF106" s="73"/>
      <c r="IG106" s="73"/>
      <c r="IH106" s="73"/>
      <c r="II106" s="73"/>
      <c r="IJ106" s="73"/>
      <c r="IK106" s="73"/>
      <c r="IL106" s="73"/>
      <c r="IM106" s="73"/>
      <c r="IN106" s="73"/>
      <c r="IO106" s="73"/>
      <c r="IP106" s="73"/>
      <c r="IQ106" s="73"/>
      <c r="IR106" s="73"/>
      <c r="IS106" s="73"/>
      <c r="IT106" s="73"/>
      <c r="IU106" s="73"/>
      <c r="IV106" s="73"/>
      <c r="IW106" s="73"/>
      <c r="IX106" s="73"/>
      <c r="IY106" s="73"/>
      <c r="IZ106" s="73"/>
      <c r="JA106" s="73"/>
      <c r="JB106" s="73"/>
      <c r="JC106" s="73"/>
    </row>
    <row r="107" spans="1:263" s="13" customFormat="1" ht="12.6" customHeight="1">
      <c r="A107" s="22">
        <v>2023</v>
      </c>
      <c r="B107" s="10">
        <v>51</v>
      </c>
      <c r="C107" s="11" t="s">
        <v>357</v>
      </c>
      <c r="D107" s="78">
        <f t="shared" si="26"/>
        <v>0</v>
      </c>
      <c r="E107" s="140">
        <f>SUMIFS('Plan rashoda za unos u SAP'!$K$3:$K$501,'Plan rashoda za unos u SAP'!$C$3:$C$501,"=11",'Plan rashoda za unos u SAP'!$N$3:$N$501,"=51")+SUMIFS('ANALITIKA EU PROJEKATA'!$I$3:$I$501,'ANALITIKA EU PROJEKATA'!$A$3:$A$501,"=11",'ANALITIKA EU PROJEKATA'!$Q$3:$Q$501,"=51")</f>
        <v>0</v>
      </c>
      <c r="F107" s="140">
        <f>SUMIFS('Plan rashoda za unos u SAP'!$K$3:$K$501,'Plan rashoda za unos u SAP'!$C$3:$C$501,"=12",'Plan rashoda za unos u SAP'!$N$3:$N$501,"=51")+SUMIFS('ANALITIKA EU PROJEKATA'!$I$3:$I$501,'ANALITIKA EU PROJEKATA'!$A$3:$A$501,"=12",'ANALITIKA EU PROJEKATA'!$Q$3:$Q$501,"=51")</f>
        <v>0</v>
      </c>
      <c r="G107" s="140">
        <f>SUMIFS('Plan rashoda za unos u SAP'!$K$3:$K$501,'Plan rashoda za unos u SAP'!$C$3:$C$501,"=31",'Plan rashoda za unos u SAP'!$N$3:$N$501,"=51")+SUMIFS('ANALITIKA EU PROJEKATA'!$I$3:$I$501,'ANALITIKA EU PROJEKATA'!$A$3:$A$501,"=31",'ANALITIKA EU PROJEKATA'!$Q$3:$Q$501,"=51")</f>
        <v>0</v>
      </c>
      <c r="H107" s="140">
        <f>SUMIFS('Plan rashoda za unos u SAP'!$K$3:$K$501,'Plan rashoda za unos u SAP'!$C$3:$C$501,"=41",'Plan rashoda za unos u SAP'!$N$3:$N$501,"=51")+SUMIFS('ANALITIKA EU PROJEKATA'!$I$3:$I$501,'ANALITIKA EU PROJEKATA'!$A$3:$A$501,"=41",'ANALITIKA EU PROJEKATA'!$Q$3:$Q$501,"=51")</f>
        <v>0</v>
      </c>
      <c r="I107" s="140">
        <f>SUMIFS('Plan rashoda za unos u SAP'!$K$3:$K$501,'Plan rashoda za unos u SAP'!$C$3:$C$501,"=43",'Plan rashoda za unos u SAP'!$N$3:$N$501,"=51")+SUMIFS('ANALITIKA EU PROJEKATA'!$I$3:$I$501,'ANALITIKA EU PROJEKATA'!$A$3:$A$501,"=43",'ANALITIKA EU PROJEKATA'!$Q$3:$Q$501,"=51")</f>
        <v>0</v>
      </c>
      <c r="J107" s="140">
        <f>SUMIFS('Plan rashoda za unos u SAP'!$K$3:$K$501,'Plan rashoda za unos u SAP'!$C$3:$C$501,"=51",'Plan rashoda za unos u SAP'!$N$3:$N$501,"=51")+SUMIFS('ANALITIKA EU PROJEKATA'!$I$3:$I$501,'ANALITIKA EU PROJEKATA'!$A$3:$A$501,"=51",'ANALITIKA EU PROJEKATA'!$Q$3:$Q$501,"=51")</f>
        <v>0</v>
      </c>
      <c r="K107" s="140">
        <f>SUMIFS('Plan rashoda za unos u SAP'!$K$3:$K$501,'Plan rashoda za unos u SAP'!$C$3:$C$501,"=52",'Plan rashoda za unos u SAP'!$N$3:$N$501,"=51")+SUMIFS('ANALITIKA EU PROJEKATA'!$I$3:$I$501,'ANALITIKA EU PROJEKATA'!$A$3:$A$501,"=52",'ANALITIKA EU PROJEKATA'!$Q$3:$Q$501,"=51")</f>
        <v>0</v>
      </c>
      <c r="L107" s="140">
        <f>SUMIFS('Plan rashoda za unos u SAP'!$K$3:$K$501,'Plan rashoda za unos u SAP'!$C$3:$C$501,"=552",'Plan rashoda za unos u SAP'!$N$3:$N$501,"=51")+SUMIFS('ANALITIKA EU PROJEKATA'!$I$3:$I$501,'ANALITIKA EU PROJEKATA'!$A$3:$A$501,"=552",'ANALITIKA EU PROJEKATA'!$Q$3:$Q$501,"=51")</f>
        <v>0</v>
      </c>
      <c r="M107" s="140">
        <f>SUMIFS('Plan rashoda za unos u SAP'!$K$3:$K$501,'Plan rashoda za unos u SAP'!$C$3:$C$501,"=559",'Plan rashoda za unos u SAP'!$N$3:$N$501,"=51")+SUMIFS('ANALITIKA EU PROJEKATA'!$I$3:$I$501,'ANALITIKA EU PROJEKATA'!$A$3:$A$501,"=559",'ANALITIKA EU PROJEKATA'!$Q$3:$Q$501,"=51")</f>
        <v>0</v>
      </c>
      <c r="N107" s="140">
        <f>SUMIFS('Plan rashoda za unos u SAP'!$K$3:$K$501,'Plan rashoda za unos u SAP'!$C$3:$C$501,"=561",'Plan rashoda za unos u SAP'!$N$3:$N$501,"=51")+SUMIFS('ANALITIKA EU PROJEKATA'!$I$3:$I$501,'ANALITIKA EU PROJEKATA'!$A$3:$A$501,"=561",'ANALITIKA EU PROJEKATA'!$Q$3:$Q$501,"=51")</f>
        <v>0</v>
      </c>
      <c r="O107" s="140">
        <f>SUMIFS('Plan rashoda za unos u SAP'!$K$3:$K$501,'Plan rashoda za unos u SAP'!$C$3:$C$501,"=563",'Plan rashoda za unos u SAP'!$N$3:$N$501,"=51")+SUMIFS('ANALITIKA EU PROJEKATA'!$I$3:$I$501,'ANALITIKA EU PROJEKATA'!$A$3:$A$501,"=563",'ANALITIKA EU PROJEKATA'!$Q$3:$Q$501,"=51")</f>
        <v>0</v>
      </c>
      <c r="P107" s="140">
        <f>SUMIFS('Plan rashoda za unos u SAP'!$K$3:$K$501,'Plan rashoda za unos u SAP'!$C$3:$C$501,"=573",'Plan rashoda za unos u SAP'!$N$3:$N$501,"=51")+SUMIFS('ANALITIKA EU PROJEKATA'!$I$3:$I$501,'ANALITIKA EU PROJEKATA'!$A$3:$A$501,"=573",'ANALITIKA EU PROJEKATA'!$Q$3:$Q$501,"=51")</f>
        <v>0</v>
      </c>
      <c r="Q107" s="140">
        <f>SUMIFS('Plan rashoda za unos u SAP'!$K$3:$K$501,'Plan rashoda za unos u SAP'!$C$3:$C$501,"=575",'Plan rashoda za unos u SAP'!$N$3:$N$501,"=51")+SUMIFS('ANALITIKA EU PROJEKATA'!$I$3:$I$501,'ANALITIKA EU PROJEKATA'!$A$3:$A$501,"=575",'ANALITIKA EU PROJEKATA'!$Q$3:$Q$501,"=51")</f>
        <v>0</v>
      </c>
      <c r="R107" s="140">
        <f>SUMIFS('Plan rashoda za unos u SAP'!$K$3:$K$501,'Plan rashoda za unos u SAP'!$C$3:$C$501,"=576",'Plan rashoda za unos u SAP'!$N$3:$N$501,"=51")+SUMIFS('ANALITIKA EU PROJEKATA'!$I$3:$I$501,'ANALITIKA EU PROJEKATA'!$A$3:$A$501,"=576",'ANALITIKA EU PROJEKATA'!$Q$3:$Q$501,"=51")</f>
        <v>0</v>
      </c>
      <c r="S107" s="140">
        <f>SUMIFS('Plan rashoda za unos u SAP'!$K$3:$K$501,'Plan rashoda za unos u SAP'!$C$3:$C$501,"=61",'Plan rashoda za unos u SAP'!$N$3:$N$501,"=51")+SUMIFS('ANALITIKA EU PROJEKATA'!$I$3:$I$501,'ANALITIKA EU PROJEKATA'!$A$3:$A$501,"=61",'ANALITIKA EU PROJEKATA'!$Q$3:$Q$501,"=51")</f>
        <v>0</v>
      </c>
      <c r="T107" s="140">
        <f>SUMIFS('Plan rashoda za unos u SAP'!$K$3:$K$501,'Plan rashoda za unos u SAP'!$C$3:$C$501,"=63",'Plan rashoda za unos u SAP'!$N$3:$N$501,"=51")+SUMIFS('ANALITIKA EU PROJEKATA'!$I$3:$I$501,'ANALITIKA EU PROJEKATA'!$A$3:$A$501,"=63",'ANALITIKA EU PROJEKATA'!$Q$3:$Q$501,"=51")</f>
        <v>0</v>
      </c>
      <c r="U107" s="140">
        <f>SUMIFS('Plan rashoda za unos u SAP'!$K$3:$K$501,'Plan rashoda za unos u SAP'!$C$3:$C$501,"=71",'Plan rashoda za unos u SAP'!$N$3:$N$501,"=51")+SUMIFS('ANALITIKA EU PROJEKATA'!$I$3:$I$501,'ANALITIKA EU PROJEKATA'!$A$3:$A$501,"=71",'ANALITIKA EU PROJEKATA'!$Q$3:$Q$501,"=51")</f>
        <v>0</v>
      </c>
      <c r="V107" s="140">
        <f>SUMIFS('Plan rashoda za unos u SAP'!$K$3:$K$501,'Plan rashoda za unos u SAP'!$C$3:$C$501,"=81",'Plan rashoda za unos u SAP'!$N$3:$N$501,"=51")+SUMIFS('ANALITIKA EU PROJEKATA'!$I$3:$I$501,'ANALITIKA EU PROJEKATA'!$A$3:$A$501,"=81",'ANALITIKA EU PROJEKATA'!$Q$3:$Q$501,"=51")</f>
        <v>0</v>
      </c>
      <c r="W107" s="140">
        <f>SUMIFS('Plan rashoda za unos u SAP'!$K$3:$K$501,'Plan rashoda za unos u SAP'!$C$3:$C$501,"=83",'Plan rashoda za unos u SAP'!$N$3:$N$501,"=51")+SUMIFS('ANALITIKA EU PROJEKATA'!$I$3:$I$501,'ANALITIKA EU PROJEKATA'!$A$3:$A$501,"=83",'ANALITIKA EU PROJEKATA'!$Q$3:$Q$501,"=51")</f>
        <v>0</v>
      </c>
      <c r="X107" s="79"/>
      <c r="Y107" s="79"/>
      <c r="Z107" s="79"/>
      <c r="AA107" s="79"/>
      <c r="AB107" s="79"/>
      <c r="AC107" s="79"/>
      <c r="AD107" s="79"/>
      <c r="AE107" s="79"/>
      <c r="AF107" s="79"/>
      <c r="AG107" s="79"/>
      <c r="AH107" s="79"/>
      <c r="AI107" s="79"/>
      <c r="AJ107" s="79"/>
      <c r="AK107" s="79"/>
      <c r="AL107" s="79"/>
      <c r="AM107" s="79"/>
      <c r="AN107" s="79"/>
      <c r="AO107" s="79"/>
      <c r="AP107" s="79"/>
      <c r="AQ107" s="79"/>
      <c r="AR107" s="79"/>
      <c r="AS107" s="79"/>
      <c r="AT107" s="79"/>
      <c r="AU107" s="79"/>
      <c r="AV107" s="79"/>
      <c r="AW107" s="79"/>
      <c r="AX107" s="79"/>
      <c r="AY107" s="79"/>
      <c r="AZ107" s="79"/>
      <c r="BA107" s="79"/>
      <c r="BB107" s="79"/>
      <c r="BC107" s="79"/>
      <c r="BD107" s="79"/>
      <c r="BE107" s="79"/>
      <c r="BF107" s="79"/>
      <c r="BG107" s="79"/>
      <c r="BH107" s="79"/>
      <c r="BI107" s="79"/>
      <c r="BJ107" s="79"/>
      <c r="BK107" s="79"/>
      <c r="BL107" s="79"/>
      <c r="BM107" s="79"/>
      <c r="BN107" s="79"/>
      <c r="BO107" s="79"/>
      <c r="BP107" s="79"/>
      <c r="BQ107" s="79"/>
      <c r="BR107" s="79"/>
      <c r="BS107" s="79"/>
      <c r="BT107" s="79"/>
      <c r="BU107" s="79"/>
      <c r="BV107" s="79"/>
      <c r="BW107" s="79"/>
      <c r="BX107" s="79"/>
      <c r="BY107" s="79"/>
      <c r="BZ107" s="79"/>
      <c r="CA107" s="79"/>
      <c r="CB107" s="79"/>
      <c r="CC107" s="79"/>
      <c r="CD107" s="79"/>
      <c r="CE107" s="79"/>
      <c r="CF107" s="79"/>
      <c r="CG107" s="79"/>
      <c r="CH107" s="79"/>
      <c r="CI107" s="79"/>
      <c r="CJ107" s="79"/>
      <c r="CK107" s="79"/>
      <c r="CL107" s="79"/>
      <c r="CM107" s="79"/>
      <c r="CN107" s="79"/>
      <c r="CO107" s="79"/>
      <c r="CP107" s="79"/>
      <c r="CQ107" s="79"/>
      <c r="CR107" s="79"/>
      <c r="CS107" s="79"/>
      <c r="CT107" s="79"/>
      <c r="CU107" s="79"/>
      <c r="CV107" s="79"/>
      <c r="CW107" s="79"/>
      <c r="CX107" s="79"/>
      <c r="CY107" s="79"/>
      <c r="CZ107" s="79"/>
      <c r="DA107" s="79"/>
      <c r="DB107" s="79"/>
      <c r="DC107" s="79"/>
      <c r="DD107" s="79"/>
      <c r="DE107" s="79"/>
      <c r="DF107" s="79"/>
      <c r="DG107" s="79"/>
      <c r="DH107" s="79"/>
      <c r="DI107" s="79"/>
      <c r="DJ107" s="79"/>
      <c r="DK107" s="79"/>
      <c r="DL107" s="79"/>
      <c r="DM107" s="79"/>
      <c r="DN107" s="79"/>
      <c r="DO107" s="79"/>
      <c r="DP107" s="79"/>
      <c r="DQ107" s="79"/>
      <c r="DR107" s="79"/>
      <c r="DS107" s="79"/>
      <c r="DT107" s="79"/>
      <c r="DU107" s="79"/>
      <c r="DV107" s="79"/>
      <c r="DW107" s="79"/>
      <c r="DX107" s="79"/>
      <c r="DY107" s="79"/>
      <c r="DZ107" s="79"/>
      <c r="EA107" s="79"/>
      <c r="EB107" s="79"/>
      <c r="EC107" s="79"/>
      <c r="ED107" s="79"/>
      <c r="EE107" s="79"/>
      <c r="EF107" s="79"/>
      <c r="EG107" s="79"/>
      <c r="EH107" s="79"/>
      <c r="EI107" s="79"/>
      <c r="EJ107" s="79"/>
      <c r="EK107" s="79"/>
      <c r="EL107" s="79"/>
      <c r="EM107" s="79"/>
      <c r="EN107" s="79"/>
      <c r="EO107" s="79"/>
      <c r="EP107" s="79"/>
      <c r="EQ107" s="79"/>
      <c r="ER107" s="79"/>
      <c r="ES107" s="79"/>
      <c r="ET107" s="79"/>
      <c r="EU107" s="79"/>
      <c r="EV107" s="79"/>
      <c r="EW107" s="79"/>
      <c r="EX107" s="79"/>
      <c r="EY107" s="79"/>
      <c r="EZ107" s="79"/>
      <c r="FA107" s="79"/>
      <c r="FB107" s="79"/>
      <c r="FC107" s="79"/>
      <c r="FD107" s="79"/>
      <c r="FE107" s="79"/>
      <c r="FF107" s="79"/>
      <c r="FG107" s="79"/>
      <c r="FH107" s="79"/>
      <c r="FI107" s="79"/>
      <c r="FJ107" s="79"/>
      <c r="FK107" s="79"/>
      <c r="FL107" s="79"/>
      <c r="FM107" s="79"/>
      <c r="FN107" s="79"/>
      <c r="FO107" s="79"/>
      <c r="FP107" s="79"/>
      <c r="FQ107" s="79"/>
      <c r="FR107" s="79"/>
      <c r="FS107" s="79"/>
      <c r="FT107" s="79"/>
      <c r="FU107" s="79"/>
      <c r="FV107" s="79"/>
      <c r="FW107" s="79"/>
      <c r="FX107" s="79"/>
      <c r="FY107" s="79"/>
      <c r="FZ107" s="79"/>
      <c r="GA107" s="79"/>
      <c r="GB107" s="79"/>
      <c r="GC107" s="79"/>
      <c r="GD107" s="79"/>
      <c r="GE107" s="79"/>
      <c r="GF107" s="79"/>
      <c r="GG107" s="79"/>
      <c r="GH107" s="79"/>
      <c r="GI107" s="79"/>
      <c r="GJ107" s="79"/>
      <c r="GK107" s="79"/>
      <c r="GL107" s="80"/>
      <c r="GM107" s="80"/>
      <c r="GN107" s="80"/>
      <c r="GO107" s="80"/>
      <c r="GP107" s="80"/>
      <c r="GQ107" s="80"/>
      <c r="GR107" s="80"/>
      <c r="GS107" s="80"/>
      <c r="GT107" s="80"/>
      <c r="GU107" s="80"/>
      <c r="GV107" s="80"/>
      <c r="GW107" s="80"/>
      <c r="GX107" s="80"/>
      <c r="GY107" s="80"/>
      <c r="GZ107" s="80"/>
      <c r="HA107" s="80"/>
      <c r="HB107" s="80"/>
      <c r="HC107" s="80"/>
      <c r="HD107" s="80"/>
      <c r="HE107" s="80"/>
      <c r="HF107" s="80"/>
      <c r="HG107" s="80"/>
      <c r="HH107" s="80"/>
      <c r="HI107" s="80"/>
      <c r="HJ107" s="80"/>
      <c r="HK107" s="80"/>
      <c r="HL107" s="80"/>
      <c r="HM107" s="80"/>
      <c r="HN107" s="80"/>
      <c r="HO107" s="80"/>
      <c r="HP107" s="80"/>
      <c r="HQ107" s="80"/>
      <c r="HR107" s="80"/>
      <c r="HS107" s="80"/>
      <c r="HT107" s="80"/>
      <c r="HU107" s="80"/>
      <c r="HV107" s="80"/>
      <c r="HW107" s="80"/>
      <c r="HX107" s="80"/>
      <c r="HY107" s="80"/>
      <c r="HZ107" s="80"/>
      <c r="IA107" s="80"/>
      <c r="IB107" s="80"/>
      <c r="IC107" s="80"/>
      <c r="ID107" s="80"/>
      <c r="IE107" s="80"/>
      <c r="IF107" s="80"/>
      <c r="IG107" s="80"/>
      <c r="IH107" s="80"/>
      <c r="II107" s="80"/>
      <c r="IJ107" s="80"/>
      <c r="IK107" s="80"/>
      <c r="IL107" s="80"/>
      <c r="IM107" s="80"/>
      <c r="IN107" s="80"/>
      <c r="IO107" s="80"/>
      <c r="IP107" s="80"/>
      <c r="IQ107" s="80"/>
      <c r="IR107" s="80"/>
      <c r="IS107" s="80"/>
      <c r="IT107" s="80"/>
      <c r="IU107" s="80"/>
      <c r="IV107" s="80"/>
      <c r="IW107" s="80"/>
      <c r="IX107" s="80"/>
      <c r="IY107" s="80"/>
      <c r="IZ107" s="80"/>
      <c r="JA107" s="80"/>
      <c r="JB107" s="80"/>
      <c r="JC107" s="80"/>
    </row>
    <row r="108" spans="1:263" s="13" customFormat="1" ht="12.6" customHeight="1">
      <c r="A108" s="22">
        <v>2023</v>
      </c>
      <c r="B108" s="10">
        <v>54</v>
      </c>
      <c r="C108" s="11" t="s">
        <v>358</v>
      </c>
      <c r="D108" s="78">
        <f t="shared" si="26"/>
        <v>0</v>
      </c>
      <c r="E108" s="140">
        <f>SUMIFS('Plan rashoda za unos u SAP'!$K$3:$K$501,'Plan rashoda za unos u SAP'!$C$3:$C$501,"=11",'Plan rashoda za unos u SAP'!$N$3:$N$501,"=54")+SUMIFS('ANALITIKA EU PROJEKATA'!$I$3:$I$501,'ANALITIKA EU PROJEKATA'!$A$3:$A$501,"=11",'ANALITIKA EU PROJEKATA'!$Q$3:$Q$501,"=54")</f>
        <v>0</v>
      </c>
      <c r="F108" s="140">
        <f>SUMIFS('Plan rashoda za unos u SAP'!$K$3:$K$501,'Plan rashoda za unos u SAP'!$C$3:$C$501,"=12",'Plan rashoda za unos u SAP'!$N$3:$N$501,"=54")+SUMIFS('ANALITIKA EU PROJEKATA'!$I$3:$I$501,'ANALITIKA EU PROJEKATA'!$A$3:$A$501,"=12",'ANALITIKA EU PROJEKATA'!$Q$3:$Q$501,"=54")</f>
        <v>0</v>
      </c>
      <c r="G108" s="140">
        <f>SUMIFS('Plan rashoda za unos u SAP'!$K$3:$K$501,'Plan rashoda za unos u SAP'!$C$3:$C$501,"=31",'Plan rashoda za unos u SAP'!$N$3:$N$501,"=54")+SUMIFS('ANALITIKA EU PROJEKATA'!$I$3:$I$501,'ANALITIKA EU PROJEKATA'!$A$3:$A$501,"=31",'ANALITIKA EU PROJEKATA'!$Q$3:$Q$501,"=54")</f>
        <v>0</v>
      </c>
      <c r="H108" s="140">
        <f>SUMIFS('Plan rashoda za unos u SAP'!$K$3:$K$501,'Plan rashoda za unos u SAP'!$C$3:$C$501,"=41",'Plan rashoda za unos u SAP'!$N$3:$N$501,"=54")+SUMIFS('ANALITIKA EU PROJEKATA'!$I$3:$I$501,'ANALITIKA EU PROJEKATA'!$A$3:$A$501,"=41",'ANALITIKA EU PROJEKATA'!$Q$3:$Q$501,"=54")</f>
        <v>0</v>
      </c>
      <c r="I108" s="140">
        <f>SUMIFS('Plan rashoda za unos u SAP'!$K$3:$K$501,'Plan rashoda za unos u SAP'!$C$3:$C$501,"=43",'Plan rashoda za unos u SAP'!$N$3:$N$501,"=54")+SUMIFS('ANALITIKA EU PROJEKATA'!$I$3:$I$501,'ANALITIKA EU PROJEKATA'!$A$3:$A$501,"=43",'ANALITIKA EU PROJEKATA'!$Q$3:$Q$501,"=54")</f>
        <v>0</v>
      </c>
      <c r="J108" s="140">
        <f>SUMIFS('Plan rashoda za unos u SAP'!$K$3:$K$501,'Plan rashoda za unos u SAP'!$C$3:$C$501,"=51",'Plan rashoda za unos u SAP'!$N$3:$N$501,"=54")+SUMIFS('ANALITIKA EU PROJEKATA'!$I$3:$I$501,'ANALITIKA EU PROJEKATA'!$A$3:$A$501,"=51",'ANALITIKA EU PROJEKATA'!$Q$3:$Q$501,"=54")</f>
        <v>0</v>
      </c>
      <c r="K108" s="140">
        <f>SUMIFS('Plan rashoda za unos u SAP'!$K$3:$K$501,'Plan rashoda za unos u SAP'!$C$3:$C$501,"=52",'Plan rashoda za unos u SAP'!$N$3:$N$501,"=54")+SUMIFS('ANALITIKA EU PROJEKATA'!$I$3:$I$501,'ANALITIKA EU PROJEKATA'!$A$3:$A$501,"=52",'ANALITIKA EU PROJEKATA'!$Q$3:$Q$501,"=54")</f>
        <v>0</v>
      </c>
      <c r="L108" s="140">
        <f>SUMIFS('Plan rashoda za unos u SAP'!$K$3:$K$501,'Plan rashoda za unos u SAP'!$C$3:$C$501,"=552",'Plan rashoda za unos u SAP'!$N$3:$N$501,"=54")+SUMIFS('ANALITIKA EU PROJEKATA'!$I$3:$I$501,'ANALITIKA EU PROJEKATA'!$A$3:$A$501,"=552",'ANALITIKA EU PROJEKATA'!$Q$3:$Q$501,"=54")</f>
        <v>0</v>
      </c>
      <c r="M108" s="140">
        <f>SUMIFS('Plan rashoda za unos u SAP'!$K$3:$K$501,'Plan rashoda za unos u SAP'!$C$3:$C$501,"=559",'Plan rashoda za unos u SAP'!$N$3:$N$501,"=54")+SUMIFS('ANALITIKA EU PROJEKATA'!$I$3:$I$501,'ANALITIKA EU PROJEKATA'!$A$3:$A$501,"=559",'ANALITIKA EU PROJEKATA'!$Q$3:$Q$501,"=54")</f>
        <v>0</v>
      </c>
      <c r="N108" s="140">
        <f>SUMIFS('Plan rashoda za unos u SAP'!$K$3:$K$501,'Plan rashoda za unos u SAP'!$C$3:$C$501,"=561",'Plan rashoda za unos u SAP'!$N$3:$N$501,"=54")+SUMIFS('ANALITIKA EU PROJEKATA'!$I$3:$I$501,'ANALITIKA EU PROJEKATA'!$A$3:$A$501,"=561",'ANALITIKA EU PROJEKATA'!$Q$3:$Q$501,"=54")</f>
        <v>0</v>
      </c>
      <c r="O108" s="140">
        <f>SUMIFS('Plan rashoda za unos u SAP'!$K$3:$K$501,'Plan rashoda za unos u SAP'!$C$3:$C$501,"=563",'Plan rashoda za unos u SAP'!$N$3:$N$501,"=54")+SUMIFS('ANALITIKA EU PROJEKATA'!$I$3:$I$501,'ANALITIKA EU PROJEKATA'!$A$3:$A$501,"=563",'ANALITIKA EU PROJEKATA'!$Q$3:$Q$501,"=54")</f>
        <v>0</v>
      </c>
      <c r="P108" s="140">
        <f>SUMIFS('Plan rashoda za unos u SAP'!$K$3:$K$501,'Plan rashoda za unos u SAP'!$C$3:$C$501,"=573",'Plan rashoda za unos u SAP'!$N$3:$N$501,"=54")+SUMIFS('ANALITIKA EU PROJEKATA'!$I$3:$I$501,'ANALITIKA EU PROJEKATA'!$A$3:$A$501,"=573",'ANALITIKA EU PROJEKATA'!$Q$3:$Q$501,"=54")</f>
        <v>0</v>
      </c>
      <c r="Q108" s="140">
        <f>SUMIFS('Plan rashoda za unos u SAP'!$K$3:$K$501,'Plan rashoda za unos u SAP'!$C$3:$C$501,"=575",'Plan rashoda za unos u SAP'!$N$3:$N$501,"=54")+SUMIFS('ANALITIKA EU PROJEKATA'!$I$3:$I$501,'ANALITIKA EU PROJEKATA'!$A$3:$A$501,"=575",'ANALITIKA EU PROJEKATA'!$Q$3:$Q$501,"=54")</f>
        <v>0</v>
      </c>
      <c r="R108" s="140">
        <f>SUMIFS('Plan rashoda za unos u SAP'!$K$3:$K$501,'Plan rashoda za unos u SAP'!$C$3:$C$501,"=576",'Plan rashoda za unos u SAP'!$N$3:$N$501,"=54")+SUMIFS('ANALITIKA EU PROJEKATA'!$I$3:$I$501,'ANALITIKA EU PROJEKATA'!$A$3:$A$501,"=576",'ANALITIKA EU PROJEKATA'!$Q$3:$Q$501,"=54")</f>
        <v>0</v>
      </c>
      <c r="S108" s="140">
        <f>SUMIFS('Plan rashoda za unos u SAP'!$K$3:$K$501,'Plan rashoda za unos u SAP'!$C$3:$C$501,"=61",'Plan rashoda za unos u SAP'!$N$3:$N$501,"=54")+SUMIFS('ANALITIKA EU PROJEKATA'!$I$3:$I$501,'ANALITIKA EU PROJEKATA'!$A$3:$A$501,"=61",'ANALITIKA EU PROJEKATA'!$Q$3:$Q$501,"=54")</f>
        <v>0</v>
      </c>
      <c r="T108" s="140">
        <f>SUMIFS('Plan rashoda za unos u SAP'!$K$3:$K$501,'Plan rashoda za unos u SAP'!$C$3:$C$501,"=63",'Plan rashoda za unos u SAP'!$N$3:$N$501,"=54")+SUMIFS('ANALITIKA EU PROJEKATA'!$I$3:$I$501,'ANALITIKA EU PROJEKATA'!$A$3:$A$501,"=63",'ANALITIKA EU PROJEKATA'!$Q$3:$Q$501,"=54")</f>
        <v>0</v>
      </c>
      <c r="U108" s="140">
        <f>SUMIFS('Plan rashoda za unos u SAP'!$K$3:$K$501,'Plan rashoda za unos u SAP'!$C$3:$C$501,"=71",'Plan rashoda za unos u SAP'!$N$3:$N$501,"=54")+SUMIFS('ANALITIKA EU PROJEKATA'!$I$3:$I$501,'ANALITIKA EU PROJEKATA'!$A$3:$A$501,"=71",'ANALITIKA EU PROJEKATA'!$Q$3:$Q$501,"=54")</f>
        <v>0</v>
      </c>
      <c r="V108" s="140">
        <f>SUMIFS('Plan rashoda za unos u SAP'!$K$3:$K$501,'Plan rashoda za unos u SAP'!$C$3:$C$501,"=81",'Plan rashoda za unos u SAP'!$N$3:$N$501,"=54")+SUMIFS('ANALITIKA EU PROJEKATA'!$I$3:$I$501,'ANALITIKA EU PROJEKATA'!$A$3:$A$501,"=81",'ANALITIKA EU PROJEKATA'!$Q$3:$Q$501,"=54")</f>
        <v>0</v>
      </c>
      <c r="W108" s="140">
        <f>SUMIFS('Plan rashoda za unos u SAP'!$K$3:$K$501,'Plan rashoda za unos u SAP'!$C$3:$C$501,"=83",'Plan rashoda za unos u SAP'!$N$3:$N$501,"=54")+SUMIFS('ANALITIKA EU PROJEKATA'!$I$3:$I$501,'ANALITIKA EU PROJEKATA'!$A$3:$A$501,"=83",'ANALITIKA EU PROJEKATA'!$Q$3:$Q$501,"=54")</f>
        <v>0</v>
      </c>
      <c r="X108" s="79"/>
      <c r="Y108" s="79"/>
      <c r="Z108" s="79"/>
      <c r="AA108" s="79"/>
      <c r="AB108" s="79"/>
      <c r="AC108" s="79"/>
      <c r="AD108" s="79"/>
      <c r="AE108" s="79"/>
      <c r="AF108" s="79"/>
      <c r="AG108" s="79"/>
      <c r="AH108" s="79"/>
      <c r="AI108" s="79"/>
      <c r="AJ108" s="79"/>
      <c r="AK108" s="79"/>
      <c r="AL108" s="79"/>
      <c r="AM108" s="79"/>
      <c r="AN108" s="79"/>
      <c r="AO108" s="79"/>
      <c r="AP108" s="79"/>
      <c r="AQ108" s="79"/>
      <c r="AR108" s="79"/>
      <c r="AS108" s="79"/>
      <c r="AT108" s="79"/>
      <c r="AU108" s="79"/>
      <c r="AV108" s="79"/>
      <c r="AW108" s="79"/>
      <c r="AX108" s="79"/>
      <c r="AY108" s="79"/>
      <c r="AZ108" s="79"/>
      <c r="BA108" s="79"/>
      <c r="BB108" s="79"/>
      <c r="BC108" s="79"/>
      <c r="BD108" s="79"/>
      <c r="BE108" s="79"/>
      <c r="BF108" s="79"/>
      <c r="BG108" s="79"/>
      <c r="BH108" s="79"/>
      <c r="BI108" s="79"/>
      <c r="BJ108" s="79"/>
      <c r="BK108" s="79"/>
      <c r="BL108" s="79"/>
      <c r="BM108" s="79"/>
      <c r="BN108" s="79"/>
      <c r="BO108" s="79"/>
      <c r="BP108" s="79"/>
      <c r="BQ108" s="79"/>
      <c r="BR108" s="79"/>
      <c r="BS108" s="79"/>
      <c r="BT108" s="79"/>
      <c r="BU108" s="79"/>
      <c r="BV108" s="79"/>
      <c r="BW108" s="79"/>
      <c r="BX108" s="79"/>
      <c r="BY108" s="79"/>
      <c r="BZ108" s="79"/>
      <c r="CA108" s="79"/>
      <c r="CB108" s="79"/>
      <c r="CC108" s="79"/>
      <c r="CD108" s="79"/>
      <c r="CE108" s="79"/>
      <c r="CF108" s="79"/>
      <c r="CG108" s="79"/>
      <c r="CH108" s="79"/>
      <c r="CI108" s="79"/>
      <c r="CJ108" s="79"/>
      <c r="CK108" s="79"/>
      <c r="CL108" s="79"/>
      <c r="CM108" s="79"/>
      <c r="CN108" s="79"/>
      <c r="CO108" s="79"/>
      <c r="CP108" s="79"/>
      <c r="CQ108" s="79"/>
      <c r="CR108" s="79"/>
      <c r="CS108" s="79"/>
      <c r="CT108" s="79"/>
      <c r="CU108" s="79"/>
      <c r="CV108" s="79"/>
      <c r="CW108" s="79"/>
      <c r="CX108" s="79"/>
      <c r="CY108" s="79"/>
      <c r="CZ108" s="79"/>
      <c r="DA108" s="79"/>
      <c r="DB108" s="79"/>
      <c r="DC108" s="79"/>
      <c r="DD108" s="79"/>
      <c r="DE108" s="79"/>
      <c r="DF108" s="79"/>
      <c r="DG108" s="79"/>
      <c r="DH108" s="79"/>
      <c r="DI108" s="79"/>
      <c r="DJ108" s="79"/>
      <c r="DK108" s="79"/>
      <c r="DL108" s="79"/>
      <c r="DM108" s="79"/>
      <c r="DN108" s="79"/>
      <c r="DO108" s="79"/>
      <c r="DP108" s="79"/>
      <c r="DQ108" s="79"/>
      <c r="DR108" s="79"/>
      <c r="DS108" s="79"/>
      <c r="DT108" s="79"/>
      <c r="DU108" s="79"/>
      <c r="DV108" s="79"/>
      <c r="DW108" s="79"/>
      <c r="DX108" s="79"/>
      <c r="DY108" s="79"/>
      <c r="DZ108" s="79"/>
      <c r="EA108" s="79"/>
      <c r="EB108" s="79"/>
      <c r="EC108" s="79"/>
      <c r="ED108" s="79"/>
      <c r="EE108" s="79"/>
      <c r="EF108" s="79"/>
      <c r="EG108" s="79"/>
      <c r="EH108" s="79"/>
      <c r="EI108" s="79"/>
      <c r="EJ108" s="79"/>
      <c r="EK108" s="79"/>
      <c r="EL108" s="79"/>
      <c r="EM108" s="79"/>
      <c r="EN108" s="79"/>
      <c r="EO108" s="79"/>
      <c r="EP108" s="79"/>
      <c r="EQ108" s="79"/>
      <c r="ER108" s="79"/>
      <c r="ES108" s="79"/>
      <c r="ET108" s="79"/>
      <c r="EU108" s="79"/>
      <c r="EV108" s="79"/>
      <c r="EW108" s="79"/>
      <c r="EX108" s="79"/>
      <c r="EY108" s="79"/>
      <c r="EZ108" s="79"/>
      <c r="FA108" s="79"/>
      <c r="FB108" s="79"/>
      <c r="FC108" s="79"/>
      <c r="FD108" s="79"/>
      <c r="FE108" s="79"/>
      <c r="FF108" s="79"/>
      <c r="FG108" s="79"/>
      <c r="FH108" s="79"/>
      <c r="FI108" s="79"/>
      <c r="FJ108" s="79"/>
      <c r="FK108" s="79"/>
      <c r="FL108" s="79"/>
      <c r="FM108" s="79"/>
      <c r="FN108" s="79"/>
      <c r="FO108" s="79"/>
      <c r="FP108" s="79"/>
      <c r="FQ108" s="79"/>
      <c r="FR108" s="79"/>
      <c r="FS108" s="79"/>
      <c r="FT108" s="79"/>
      <c r="FU108" s="79"/>
      <c r="FV108" s="79"/>
      <c r="FW108" s="79"/>
      <c r="FX108" s="79"/>
      <c r="FY108" s="79"/>
      <c r="FZ108" s="79"/>
      <c r="GA108" s="79"/>
      <c r="GB108" s="79"/>
      <c r="GC108" s="79"/>
      <c r="GD108" s="79"/>
      <c r="GE108" s="79"/>
      <c r="GF108" s="79"/>
      <c r="GG108" s="79"/>
      <c r="GH108" s="79"/>
      <c r="GI108" s="79"/>
      <c r="GJ108" s="79"/>
      <c r="GK108" s="79"/>
      <c r="GL108" s="80"/>
      <c r="GM108" s="80"/>
      <c r="GN108" s="80"/>
      <c r="GO108" s="80"/>
      <c r="GP108" s="80"/>
      <c r="GQ108" s="80"/>
      <c r="GR108" s="80"/>
      <c r="GS108" s="80"/>
      <c r="GT108" s="80"/>
      <c r="GU108" s="80"/>
      <c r="GV108" s="80"/>
      <c r="GW108" s="80"/>
      <c r="GX108" s="80"/>
      <c r="GY108" s="80"/>
      <c r="GZ108" s="80"/>
      <c r="HA108" s="80"/>
      <c r="HB108" s="80"/>
      <c r="HC108" s="80"/>
      <c r="HD108" s="80"/>
      <c r="HE108" s="80"/>
      <c r="HF108" s="80"/>
      <c r="HG108" s="80"/>
      <c r="HH108" s="80"/>
      <c r="HI108" s="80"/>
      <c r="HJ108" s="80"/>
      <c r="HK108" s="80"/>
      <c r="HL108" s="80"/>
      <c r="HM108" s="80"/>
      <c r="HN108" s="80"/>
      <c r="HO108" s="80"/>
      <c r="HP108" s="80"/>
      <c r="HQ108" s="80"/>
      <c r="HR108" s="80"/>
      <c r="HS108" s="80"/>
      <c r="HT108" s="80"/>
      <c r="HU108" s="80"/>
      <c r="HV108" s="80"/>
      <c r="HW108" s="80"/>
      <c r="HX108" s="80"/>
      <c r="HY108" s="80"/>
      <c r="HZ108" s="80"/>
      <c r="IA108" s="80"/>
      <c r="IB108" s="80"/>
      <c r="IC108" s="80"/>
      <c r="ID108" s="80"/>
      <c r="IE108" s="80"/>
      <c r="IF108" s="80"/>
      <c r="IG108" s="80"/>
      <c r="IH108" s="80"/>
      <c r="II108" s="80"/>
      <c r="IJ108" s="80"/>
      <c r="IK108" s="80"/>
      <c r="IL108" s="80"/>
      <c r="IM108" s="80"/>
      <c r="IN108" s="80"/>
      <c r="IO108" s="80"/>
      <c r="IP108" s="80"/>
      <c r="IQ108" s="80"/>
      <c r="IR108" s="80"/>
      <c r="IS108" s="80"/>
      <c r="IT108" s="80"/>
      <c r="IU108" s="80"/>
      <c r="IV108" s="80"/>
      <c r="IW108" s="80"/>
      <c r="IX108" s="80"/>
      <c r="IY108" s="80"/>
      <c r="IZ108" s="80"/>
      <c r="JA108" s="80"/>
      <c r="JB108" s="80"/>
      <c r="JC108" s="80"/>
    </row>
    <row r="109" spans="1:263" s="72" customFormat="1">
      <c r="B109" s="73"/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GL109" s="73"/>
      <c r="GM109" s="73"/>
      <c r="GN109" s="73"/>
      <c r="GO109" s="73"/>
      <c r="GP109" s="73"/>
      <c r="GQ109" s="73"/>
      <c r="GR109" s="73"/>
      <c r="GS109" s="73"/>
      <c r="GT109" s="73"/>
      <c r="GU109" s="73"/>
      <c r="GV109" s="73"/>
      <c r="GW109" s="73"/>
      <c r="GX109" s="73"/>
      <c r="GY109" s="73"/>
      <c r="GZ109" s="73"/>
      <c r="HA109" s="73"/>
      <c r="HB109" s="73"/>
      <c r="HC109" s="73"/>
      <c r="HD109" s="73"/>
      <c r="HE109" s="73"/>
      <c r="HF109" s="73"/>
      <c r="HG109" s="73"/>
      <c r="HH109" s="73"/>
      <c r="HI109" s="73"/>
      <c r="HJ109" s="73"/>
      <c r="HK109" s="73"/>
      <c r="HL109" s="73"/>
      <c r="HM109" s="73"/>
      <c r="HN109" s="73"/>
      <c r="HO109" s="73"/>
      <c r="HP109" s="73"/>
      <c r="HQ109" s="73"/>
      <c r="HR109" s="73"/>
      <c r="HS109" s="73"/>
      <c r="HT109" s="73"/>
      <c r="HU109" s="73"/>
      <c r="HV109" s="73"/>
      <c r="HW109" s="73"/>
      <c r="HX109" s="73"/>
      <c r="HY109" s="73"/>
      <c r="HZ109" s="73"/>
      <c r="IA109" s="73"/>
      <c r="IB109" s="73"/>
      <c r="IC109" s="73"/>
      <c r="ID109" s="73"/>
      <c r="IE109" s="73"/>
      <c r="IF109" s="73"/>
      <c r="IG109" s="73"/>
      <c r="IH109" s="73"/>
      <c r="II109" s="73"/>
      <c r="IJ109" s="73"/>
      <c r="IK109" s="73"/>
      <c r="IL109" s="73"/>
      <c r="IM109" s="73"/>
      <c r="IN109" s="73"/>
      <c r="IO109" s="73"/>
      <c r="IP109" s="73"/>
      <c r="IQ109" s="73"/>
      <c r="IR109" s="73"/>
      <c r="IS109" s="73"/>
      <c r="IT109" s="73"/>
      <c r="IU109" s="73"/>
      <c r="IV109" s="73"/>
      <c r="IW109" s="73"/>
      <c r="IX109" s="73"/>
      <c r="IY109" s="73"/>
      <c r="IZ109" s="73"/>
      <c r="JA109" s="73"/>
      <c r="JB109" s="73"/>
      <c r="JC109" s="73"/>
    </row>
    <row r="110" spans="1:263" s="72" customFormat="1">
      <c r="B110" s="73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GL110" s="73"/>
      <c r="GM110" s="73"/>
      <c r="GN110" s="73"/>
      <c r="GO110" s="73"/>
      <c r="GP110" s="73"/>
      <c r="GQ110" s="73"/>
      <c r="GR110" s="73"/>
      <c r="GS110" s="73"/>
      <c r="GT110" s="73"/>
      <c r="GU110" s="73"/>
      <c r="GV110" s="73"/>
      <c r="GW110" s="73"/>
      <c r="GX110" s="73"/>
      <c r="GY110" s="73"/>
      <c r="GZ110" s="73"/>
      <c r="HA110" s="73"/>
      <c r="HB110" s="73"/>
      <c r="HC110" s="73"/>
      <c r="HD110" s="73"/>
      <c r="HE110" s="73"/>
      <c r="HF110" s="73"/>
      <c r="HG110" s="73"/>
      <c r="HH110" s="73"/>
      <c r="HI110" s="73"/>
      <c r="HJ110" s="73"/>
      <c r="HK110" s="73"/>
      <c r="HL110" s="73"/>
      <c r="HM110" s="73"/>
      <c r="HN110" s="73"/>
      <c r="HO110" s="73"/>
      <c r="HP110" s="73"/>
      <c r="HQ110" s="73"/>
      <c r="HR110" s="73"/>
      <c r="HS110" s="73"/>
      <c r="HT110" s="73"/>
      <c r="HU110" s="73"/>
      <c r="HV110" s="73"/>
      <c r="HW110" s="73"/>
      <c r="HX110" s="73"/>
      <c r="HY110" s="73"/>
      <c r="HZ110" s="73"/>
      <c r="IA110" s="73"/>
      <c r="IB110" s="73"/>
      <c r="IC110" s="73"/>
      <c r="ID110" s="73"/>
      <c r="IE110" s="73"/>
      <c r="IF110" s="73"/>
      <c r="IG110" s="73"/>
      <c r="IH110" s="73"/>
      <c r="II110" s="73"/>
      <c r="IJ110" s="73"/>
      <c r="IK110" s="73"/>
      <c r="IL110" s="73"/>
      <c r="IM110" s="73"/>
      <c r="IN110" s="73"/>
      <c r="IO110" s="73"/>
      <c r="IP110" s="73"/>
      <c r="IQ110" s="73"/>
      <c r="IR110" s="73"/>
      <c r="IS110" s="73"/>
      <c r="IT110" s="73"/>
      <c r="IU110" s="73"/>
      <c r="IV110" s="73"/>
      <c r="IW110" s="73"/>
      <c r="IX110" s="73"/>
      <c r="IY110" s="73"/>
      <c r="IZ110" s="73"/>
      <c r="JA110" s="73"/>
      <c r="JB110" s="73"/>
      <c r="JC110" s="73"/>
    </row>
    <row r="111" spans="1:263" s="72" customFormat="1">
      <c r="B111" s="73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GL111" s="73"/>
      <c r="GM111" s="73"/>
      <c r="GN111" s="73"/>
      <c r="GO111" s="73"/>
      <c r="GP111" s="73"/>
      <c r="GQ111" s="73"/>
      <c r="GR111" s="73"/>
      <c r="GS111" s="73"/>
      <c r="GT111" s="73"/>
      <c r="GU111" s="73"/>
      <c r="GV111" s="73"/>
      <c r="GW111" s="73"/>
      <c r="GX111" s="73"/>
      <c r="GY111" s="73"/>
      <c r="GZ111" s="73"/>
      <c r="HA111" s="73"/>
      <c r="HB111" s="73"/>
      <c r="HC111" s="73"/>
      <c r="HD111" s="73"/>
      <c r="HE111" s="73"/>
      <c r="HF111" s="73"/>
      <c r="HG111" s="73"/>
      <c r="HH111" s="73"/>
      <c r="HI111" s="73"/>
      <c r="HJ111" s="73"/>
      <c r="HK111" s="73"/>
      <c r="HL111" s="73"/>
      <c r="HM111" s="73"/>
      <c r="HN111" s="73"/>
      <c r="HO111" s="73"/>
      <c r="HP111" s="73"/>
      <c r="HQ111" s="73"/>
      <c r="HR111" s="73"/>
      <c r="HS111" s="73"/>
      <c r="HT111" s="73"/>
      <c r="HU111" s="73"/>
      <c r="HV111" s="73"/>
      <c r="HW111" s="73"/>
      <c r="HX111" s="73"/>
      <c r="HY111" s="73"/>
      <c r="HZ111" s="73"/>
      <c r="IA111" s="73"/>
      <c r="IB111" s="73"/>
      <c r="IC111" s="73"/>
      <c r="ID111" s="73"/>
      <c r="IE111" s="73"/>
      <c r="IF111" s="73"/>
      <c r="IG111" s="73"/>
      <c r="IH111" s="73"/>
      <c r="II111" s="73"/>
      <c r="IJ111" s="73"/>
      <c r="IK111" s="73"/>
      <c r="IL111" s="73"/>
      <c r="IM111" s="73"/>
      <c r="IN111" s="73"/>
      <c r="IO111" s="73"/>
      <c r="IP111" s="73"/>
      <c r="IQ111" s="73"/>
      <c r="IR111" s="73"/>
      <c r="IS111" s="73"/>
      <c r="IT111" s="73"/>
      <c r="IU111" s="73"/>
      <c r="IV111" s="73"/>
      <c r="IW111" s="73"/>
      <c r="IX111" s="73"/>
      <c r="IY111" s="73"/>
      <c r="IZ111" s="73"/>
      <c r="JA111" s="73"/>
      <c r="JB111" s="73"/>
      <c r="JC111" s="73"/>
    </row>
    <row r="112" spans="1:263" s="72" customFormat="1">
      <c r="B112" s="73"/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GL112" s="73"/>
      <c r="GM112" s="73"/>
      <c r="GN112" s="73"/>
      <c r="GO112" s="73"/>
      <c r="GP112" s="73"/>
      <c r="GQ112" s="73"/>
      <c r="GR112" s="73"/>
      <c r="GS112" s="73"/>
      <c r="GT112" s="73"/>
      <c r="GU112" s="73"/>
      <c r="GV112" s="73"/>
      <c r="GW112" s="73"/>
      <c r="GX112" s="73"/>
      <c r="GY112" s="73"/>
      <c r="GZ112" s="73"/>
      <c r="HA112" s="73"/>
      <c r="HB112" s="73"/>
      <c r="HC112" s="73"/>
      <c r="HD112" s="73"/>
      <c r="HE112" s="73"/>
      <c r="HF112" s="73"/>
      <c r="HG112" s="73"/>
      <c r="HH112" s="73"/>
      <c r="HI112" s="73"/>
      <c r="HJ112" s="73"/>
      <c r="HK112" s="73"/>
      <c r="HL112" s="73"/>
      <c r="HM112" s="73"/>
      <c r="HN112" s="73"/>
      <c r="HO112" s="73"/>
      <c r="HP112" s="73"/>
      <c r="HQ112" s="73"/>
      <c r="HR112" s="73"/>
      <c r="HS112" s="73"/>
      <c r="HT112" s="73"/>
      <c r="HU112" s="73"/>
      <c r="HV112" s="73"/>
      <c r="HW112" s="73"/>
      <c r="HX112" s="73"/>
      <c r="HY112" s="73"/>
      <c r="HZ112" s="73"/>
      <c r="IA112" s="73"/>
      <c r="IB112" s="73"/>
      <c r="IC112" s="73"/>
      <c r="ID112" s="73"/>
      <c r="IE112" s="73"/>
      <c r="IF112" s="73"/>
      <c r="IG112" s="73"/>
      <c r="IH112" s="73"/>
      <c r="II112" s="73"/>
      <c r="IJ112" s="73"/>
      <c r="IK112" s="73"/>
      <c r="IL112" s="73"/>
      <c r="IM112" s="73"/>
      <c r="IN112" s="73"/>
      <c r="IO112" s="73"/>
      <c r="IP112" s="73"/>
      <c r="IQ112" s="73"/>
      <c r="IR112" s="73"/>
      <c r="IS112" s="73"/>
      <c r="IT112" s="73"/>
      <c r="IU112" s="73"/>
      <c r="IV112" s="73"/>
      <c r="IW112" s="73"/>
      <c r="IX112" s="73"/>
      <c r="IY112" s="73"/>
      <c r="IZ112" s="73"/>
      <c r="JA112" s="73"/>
      <c r="JB112" s="73"/>
      <c r="JC112" s="73"/>
    </row>
    <row r="113" spans="2:263" s="72" customFormat="1">
      <c r="B113" s="73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GL113" s="73"/>
      <c r="GM113" s="73"/>
      <c r="GN113" s="73"/>
      <c r="GO113" s="73"/>
      <c r="GP113" s="73"/>
      <c r="GQ113" s="73"/>
      <c r="GR113" s="73"/>
      <c r="GS113" s="73"/>
      <c r="GT113" s="73"/>
      <c r="GU113" s="73"/>
      <c r="GV113" s="73"/>
      <c r="GW113" s="73"/>
      <c r="GX113" s="73"/>
      <c r="GY113" s="73"/>
      <c r="GZ113" s="73"/>
      <c r="HA113" s="73"/>
      <c r="HB113" s="73"/>
      <c r="HC113" s="73"/>
      <c r="HD113" s="73"/>
      <c r="HE113" s="73"/>
      <c r="HF113" s="73"/>
      <c r="HG113" s="73"/>
      <c r="HH113" s="73"/>
      <c r="HI113" s="73"/>
      <c r="HJ113" s="73"/>
      <c r="HK113" s="73"/>
      <c r="HL113" s="73"/>
      <c r="HM113" s="73"/>
      <c r="HN113" s="73"/>
      <c r="HO113" s="73"/>
      <c r="HP113" s="73"/>
      <c r="HQ113" s="73"/>
      <c r="HR113" s="73"/>
      <c r="HS113" s="73"/>
      <c r="HT113" s="73"/>
      <c r="HU113" s="73"/>
      <c r="HV113" s="73"/>
      <c r="HW113" s="73"/>
      <c r="HX113" s="73"/>
      <c r="HY113" s="73"/>
      <c r="HZ113" s="73"/>
      <c r="IA113" s="73"/>
      <c r="IB113" s="73"/>
      <c r="IC113" s="73"/>
      <c r="ID113" s="73"/>
      <c r="IE113" s="73"/>
      <c r="IF113" s="73"/>
      <c r="IG113" s="73"/>
      <c r="IH113" s="73"/>
      <c r="II113" s="73"/>
      <c r="IJ113" s="73"/>
      <c r="IK113" s="73"/>
      <c r="IL113" s="73"/>
      <c r="IM113" s="73"/>
      <c r="IN113" s="73"/>
      <c r="IO113" s="73"/>
      <c r="IP113" s="73"/>
      <c r="IQ113" s="73"/>
      <c r="IR113" s="73"/>
      <c r="IS113" s="73"/>
      <c r="IT113" s="73"/>
      <c r="IU113" s="73"/>
      <c r="IV113" s="73"/>
      <c r="IW113" s="73"/>
      <c r="IX113" s="73"/>
      <c r="IY113" s="73"/>
      <c r="IZ113" s="73"/>
      <c r="JA113" s="73"/>
      <c r="JB113" s="73"/>
      <c r="JC113" s="73"/>
    </row>
    <row r="114" spans="2:263" s="72" customFormat="1">
      <c r="B114" s="73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GL114" s="73"/>
      <c r="GM114" s="73"/>
      <c r="GN114" s="73"/>
      <c r="GO114" s="73"/>
      <c r="GP114" s="73"/>
      <c r="GQ114" s="73"/>
      <c r="GR114" s="73"/>
      <c r="GS114" s="73"/>
      <c r="GT114" s="73"/>
      <c r="GU114" s="73"/>
      <c r="GV114" s="73"/>
      <c r="GW114" s="73"/>
      <c r="GX114" s="73"/>
      <c r="GY114" s="73"/>
      <c r="GZ114" s="73"/>
      <c r="HA114" s="73"/>
      <c r="HB114" s="73"/>
      <c r="HC114" s="73"/>
      <c r="HD114" s="73"/>
      <c r="HE114" s="73"/>
      <c r="HF114" s="73"/>
      <c r="HG114" s="73"/>
      <c r="HH114" s="73"/>
      <c r="HI114" s="73"/>
      <c r="HJ114" s="73"/>
      <c r="HK114" s="73"/>
      <c r="HL114" s="73"/>
      <c r="HM114" s="73"/>
      <c r="HN114" s="73"/>
      <c r="HO114" s="73"/>
      <c r="HP114" s="73"/>
      <c r="HQ114" s="73"/>
      <c r="HR114" s="73"/>
      <c r="HS114" s="73"/>
      <c r="HT114" s="73"/>
      <c r="HU114" s="73"/>
      <c r="HV114" s="73"/>
      <c r="HW114" s="73"/>
      <c r="HX114" s="73"/>
      <c r="HY114" s="73"/>
      <c r="HZ114" s="73"/>
      <c r="IA114" s="73"/>
      <c r="IB114" s="73"/>
      <c r="IC114" s="73"/>
      <c r="ID114" s="73"/>
      <c r="IE114" s="73"/>
      <c r="IF114" s="73"/>
      <c r="IG114" s="73"/>
      <c r="IH114" s="73"/>
      <c r="II114" s="73"/>
      <c r="IJ114" s="73"/>
      <c r="IK114" s="73"/>
      <c r="IL114" s="73"/>
      <c r="IM114" s="73"/>
      <c r="IN114" s="73"/>
      <c r="IO114" s="73"/>
      <c r="IP114" s="73"/>
      <c r="IQ114" s="73"/>
      <c r="IR114" s="73"/>
      <c r="IS114" s="73"/>
      <c r="IT114" s="73"/>
      <c r="IU114" s="73"/>
      <c r="IV114" s="73"/>
      <c r="IW114" s="73"/>
      <c r="IX114" s="73"/>
      <c r="IY114" s="73"/>
      <c r="IZ114" s="73"/>
      <c r="JA114" s="73"/>
      <c r="JB114" s="73"/>
      <c r="JC114" s="73"/>
    </row>
    <row r="115" spans="2:263" s="72" customFormat="1">
      <c r="B115" s="73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GL115" s="73"/>
      <c r="GM115" s="73"/>
      <c r="GN115" s="73"/>
      <c r="GO115" s="73"/>
      <c r="GP115" s="73"/>
      <c r="GQ115" s="73"/>
      <c r="GR115" s="73"/>
      <c r="GS115" s="73"/>
      <c r="GT115" s="73"/>
      <c r="GU115" s="73"/>
      <c r="GV115" s="73"/>
      <c r="GW115" s="73"/>
      <c r="GX115" s="73"/>
      <c r="GY115" s="73"/>
      <c r="GZ115" s="73"/>
      <c r="HA115" s="73"/>
      <c r="HB115" s="73"/>
      <c r="HC115" s="73"/>
      <c r="HD115" s="73"/>
      <c r="HE115" s="73"/>
      <c r="HF115" s="73"/>
      <c r="HG115" s="73"/>
      <c r="HH115" s="73"/>
      <c r="HI115" s="73"/>
      <c r="HJ115" s="73"/>
      <c r="HK115" s="73"/>
      <c r="HL115" s="73"/>
      <c r="HM115" s="73"/>
      <c r="HN115" s="73"/>
      <c r="HO115" s="73"/>
      <c r="HP115" s="73"/>
      <c r="HQ115" s="73"/>
      <c r="HR115" s="73"/>
      <c r="HS115" s="73"/>
      <c r="HT115" s="73"/>
      <c r="HU115" s="73"/>
      <c r="HV115" s="73"/>
      <c r="HW115" s="73"/>
      <c r="HX115" s="73"/>
      <c r="HY115" s="73"/>
      <c r="HZ115" s="73"/>
      <c r="IA115" s="73"/>
      <c r="IB115" s="73"/>
      <c r="IC115" s="73"/>
      <c r="ID115" s="73"/>
      <c r="IE115" s="73"/>
      <c r="IF115" s="73"/>
      <c r="IG115" s="73"/>
      <c r="IH115" s="73"/>
      <c r="II115" s="73"/>
      <c r="IJ115" s="73"/>
      <c r="IK115" s="73"/>
      <c r="IL115" s="73"/>
      <c r="IM115" s="73"/>
      <c r="IN115" s="73"/>
      <c r="IO115" s="73"/>
      <c r="IP115" s="73"/>
      <c r="IQ115" s="73"/>
      <c r="IR115" s="73"/>
      <c r="IS115" s="73"/>
      <c r="IT115" s="73"/>
      <c r="IU115" s="73"/>
      <c r="IV115" s="73"/>
      <c r="IW115" s="73"/>
      <c r="IX115" s="73"/>
      <c r="IY115" s="73"/>
      <c r="IZ115" s="73"/>
      <c r="JA115" s="73"/>
      <c r="JB115" s="73"/>
      <c r="JC115" s="73"/>
    </row>
    <row r="116" spans="2:263" s="72" customFormat="1">
      <c r="B116" s="73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GL116" s="73"/>
      <c r="GM116" s="73"/>
      <c r="GN116" s="73"/>
      <c r="GO116" s="73"/>
      <c r="GP116" s="73"/>
      <c r="GQ116" s="73"/>
      <c r="GR116" s="73"/>
      <c r="GS116" s="73"/>
      <c r="GT116" s="73"/>
      <c r="GU116" s="73"/>
      <c r="GV116" s="73"/>
      <c r="GW116" s="73"/>
      <c r="GX116" s="73"/>
      <c r="GY116" s="73"/>
      <c r="GZ116" s="73"/>
      <c r="HA116" s="73"/>
      <c r="HB116" s="73"/>
      <c r="HC116" s="73"/>
      <c r="HD116" s="73"/>
      <c r="HE116" s="73"/>
      <c r="HF116" s="73"/>
      <c r="HG116" s="73"/>
      <c r="HH116" s="73"/>
      <c r="HI116" s="73"/>
      <c r="HJ116" s="73"/>
      <c r="HK116" s="73"/>
      <c r="HL116" s="73"/>
      <c r="HM116" s="73"/>
      <c r="HN116" s="73"/>
      <c r="HO116" s="73"/>
      <c r="HP116" s="73"/>
      <c r="HQ116" s="73"/>
      <c r="HR116" s="73"/>
      <c r="HS116" s="73"/>
      <c r="HT116" s="73"/>
      <c r="HU116" s="73"/>
      <c r="HV116" s="73"/>
      <c r="HW116" s="73"/>
      <c r="HX116" s="73"/>
      <c r="HY116" s="73"/>
      <c r="HZ116" s="73"/>
      <c r="IA116" s="73"/>
      <c r="IB116" s="73"/>
      <c r="IC116" s="73"/>
      <c r="ID116" s="73"/>
      <c r="IE116" s="73"/>
      <c r="IF116" s="73"/>
      <c r="IG116" s="73"/>
      <c r="IH116" s="73"/>
      <c r="II116" s="73"/>
      <c r="IJ116" s="73"/>
      <c r="IK116" s="73"/>
      <c r="IL116" s="73"/>
      <c r="IM116" s="73"/>
      <c r="IN116" s="73"/>
      <c r="IO116" s="73"/>
      <c r="IP116" s="73"/>
      <c r="IQ116" s="73"/>
      <c r="IR116" s="73"/>
      <c r="IS116" s="73"/>
      <c r="IT116" s="73"/>
      <c r="IU116" s="73"/>
      <c r="IV116" s="73"/>
      <c r="IW116" s="73"/>
      <c r="IX116" s="73"/>
      <c r="IY116" s="73"/>
      <c r="IZ116" s="73"/>
      <c r="JA116" s="73"/>
      <c r="JB116" s="73"/>
      <c r="JC116" s="73"/>
    </row>
    <row r="117" spans="2:263" s="72" customFormat="1"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GL117" s="73"/>
      <c r="GM117" s="73"/>
      <c r="GN117" s="73"/>
      <c r="GO117" s="73"/>
      <c r="GP117" s="73"/>
      <c r="GQ117" s="73"/>
      <c r="GR117" s="73"/>
      <c r="GS117" s="73"/>
      <c r="GT117" s="73"/>
      <c r="GU117" s="73"/>
      <c r="GV117" s="73"/>
      <c r="GW117" s="73"/>
      <c r="GX117" s="73"/>
      <c r="GY117" s="73"/>
      <c r="GZ117" s="73"/>
      <c r="HA117" s="73"/>
      <c r="HB117" s="73"/>
      <c r="HC117" s="73"/>
      <c r="HD117" s="73"/>
      <c r="HE117" s="73"/>
      <c r="HF117" s="73"/>
      <c r="HG117" s="73"/>
      <c r="HH117" s="73"/>
      <c r="HI117" s="73"/>
      <c r="HJ117" s="73"/>
      <c r="HK117" s="73"/>
      <c r="HL117" s="73"/>
      <c r="HM117" s="73"/>
      <c r="HN117" s="73"/>
      <c r="HO117" s="73"/>
      <c r="HP117" s="73"/>
      <c r="HQ117" s="73"/>
      <c r="HR117" s="73"/>
      <c r="HS117" s="73"/>
      <c r="HT117" s="73"/>
      <c r="HU117" s="73"/>
      <c r="HV117" s="73"/>
      <c r="HW117" s="73"/>
      <c r="HX117" s="73"/>
      <c r="HY117" s="73"/>
      <c r="HZ117" s="73"/>
      <c r="IA117" s="73"/>
      <c r="IB117" s="73"/>
      <c r="IC117" s="73"/>
      <c r="ID117" s="73"/>
      <c r="IE117" s="73"/>
      <c r="IF117" s="73"/>
      <c r="IG117" s="73"/>
      <c r="IH117" s="73"/>
      <c r="II117" s="73"/>
      <c r="IJ117" s="73"/>
      <c r="IK117" s="73"/>
      <c r="IL117" s="73"/>
      <c r="IM117" s="73"/>
      <c r="IN117" s="73"/>
      <c r="IO117" s="73"/>
      <c r="IP117" s="73"/>
      <c r="IQ117" s="73"/>
      <c r="IR117" s="73"/>
      <c r="IS117" s="73"/>
      <c r="IT117" s="73"/>
      <c r="IU117" s="73"/>
      <c r="IV117" s="73"/>
      <c r="IW117" s="73"/>
      <c r="IX117" s="73"/>
      <c r="IY117" s="73"/>
      <c r="IZ117" s="73"/>
      <c r="JA117" s="73"/>
      <c r="JB117" s="73"/>
      <c r="JC117" s="73"/>
    </row>
    <row r="118" spans="2:263" s="72" customFormat="1"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GL118" s="73"/>
      <c r="GM118" s="73"/>
      <c r="GN118" s="73"/>
      <c r="GO118" s="73"/>
      <c r="GP118" s="73"/>
      <c r="GQ118" s="73"/>
      <c r="GR118" s="73"/>
      <c r="GS118" s="73"/>
      <c r="GT118" s="73"/>
      <c r="GU118" s="73"/>
      <c r="GV118" s="73"/>
      <c r="GW118" s="73"/>
      <c r="GX118" s="73"/>
      <c r="GY118" s="73"/>
      <c r="GZ118" s="73"/>
      <c r="HA118" s="73"/>
      <c r="HB118" s="73"/>
      <c r="HC118" s="73"/>
      <c r="HD118" s="73"/>
      <c r="HE118" s="73"/>
      <c r="HF118" s="73"/>
      <c r="HG118" s="73"/>
      <c r="HH118" s="73"/>
      <c r="HI118" s="73"/>
      <c r="HJ118" s="73"/>
      <c r="HK118" s="73"/>
      <c r="HL118" s="73"/>
      <c r="HM118" s="73"/>
      <c r="HN118" s="73"/>
      <c r="HO118" s="73"/>
      <c r="HP118" s="73"/>
      <c r="HQ118" s="73"/>
      <c r="HR118" s="73"/>
      <c r="HS118" s="73"/>
      <c r="HT118" s="73"/>
      <c r="HU118" s="73"/>
      <c r="HV118" s="73"/>
      <c r="HW118" s="73"/>
      <c r="HX118" s="73"/>
      <c r="HY118" s="73"/>
      <c r="HZ118" s="73"/>
      <c r="IA118" s="73"/>
      <c r="IB118" s="73"/>
      <c r="IC118" s="73"/>
      <c r="ID118" s="73"/>
      <c r="IE118" s="73"/>
      <c r="IF118" s="73"/>
      <c r="IG118" s="73"/>
      <c r="IH118" s="73"/>
      <c r="II118" s="73"/>
      <c r="IJ118" s="73"/>
      <c r="IK118" s="73"/>
      <c r="IL118" s="73"/>
      <c r="IM118" s="73"/>
      <c r="IN118" s="73"/>
      <c r="IO118" s="73"/>
      <c r="IP118" s="73"/>
      <c r="IQ118" s="73"/>
      <c r="IR118" s="73"/>
      <c r="IS118" s="73"/>
      <c r="IT118" s="73"/>
      <c r="IU118" s="73"/>
      <c r="IV118" s="73"/>
      <c r="IW118" s="73"/>
      <c r="IX118" s="73"/>
      <c r="IY118" s="73"/>
      <c r="IZ118" s="73"/>
      <c r="JA118" s="73"/>
      <c r="JB118" s="73"/>
      <c r="JC118" s="73"/>
    </row>
    <row r="119" spans="2:263" s="72" customFormat="1">
      <c r="B119" s="73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GL119" s="73"/>
      <c r="GM119" s="73"/>
      <c r="GN119" s="73"/>
      <c r="GO119" s="73"/>
      <c r="GP119" s="73"/>
      <c r="GQ119" s="73"/>
      <c r="GR119" s="73"/>
      <c r="GS119" s="73"/>
      <c r="GT119" s="73"/>
      <c r="GU119" s="73"/>
      <c r="GV119" s="73"/>
      <c r="GW119" s="73"/>
      <c r="GX119" s="73"/>
      <c r="GY119" s="73"/>
      <c r="GZ119" s="73"/>
      <c r="HA119" s="73"/>
      <c r="HB119" s="73"/>
      <c r="HC119" s="73"/>
      <c r="HD119" s="73"/>
      <c r="HE119" s="73"/>
      <c r="HF119" s="73"/>
      <c r="HG119" s="73"/>
      <c r="HH119" s="73"/>
      <c r="HI119" s="73"/>
      <c r="HJ119" s="73"/>
      <c r="HK119" s="73"/>
      <c r="HL119" s="73"/>
      <c r="HM119" s="73"/>
      <c r="HN119" s="73"/>
      <c r="HO119" s="73"/>
      <c r="HP119" s="73"/>
      <c r="HQ119" s="73"/>
      <c r="HR119" s="73"/>
      <c r="HS119" s="73"/>
      <c r="HT119" s="73"/>
      <c r="HU119" s="73"/>
      <c r="HV119" s="73"/>
      <c r="HW119" s="73"/>
      <c r="HX119" s="73"/>
      <c r="HY119" s="73"/>
      <c r="HZ119" s="73"/>
      <c r="IA119" s="73"/>
      <c r="IB119" s="73"/>
      <c r="IC119" s="73"/>
      <c r="ID119" s="73"/>
      <c r="IE119" s="73"/>
      <c r="IF119" s="73"/>
      <c r="IG119" s="73"/>
      <c r="IH119" s="73"/>
      <c r="II119" s="73"/>
      <c r="IJ119" s="73"/>
      <c r="IK119" s="73"/>
      <c r="IL119" s="73"/>
      <c r="IM119" s="73"/>
      <c r="IN119" s="73"/>
      <c r="IO119" s="73"/>
      <c r="IP119" s="73"/>
      <c r="IQ119" s="73"/>
      <c r="IR119" s="73"/>
      <c r="IS119" s="73"/>
      <c r="IT119" s="73"/>
      <c r="IU119" s="73"/>
      <c r="IV119" s="73"/>
      <c r="IW119" s="73"/>
      <c r="IX119" s="73"/>
      <c r="IY119" s="73"/>
      <c r="IZ119" s="73"/>
      <c r="JA119" s="73"/>
      <c r="JB119" s="73"/>
      <c r="JC119" s="73"/>
    </row>
    <row r="120" spans="2:263" s="72" customFormat="1">
      <c r="B120" s="73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GL120" s="73"/>
      <c r="GM120" s="73"/>
      <c r="GN120" s="73"/>
      <c r="GO120" s="73"/>
      <c r="GP120" s="73"/>
      <c r="GQ120" s="73"/>
      <c r="GR120" s="73"/>
      <c r="GS120" s="73"/>
      <c r="GT120" s="73"/>
      <c r="GU120" s="73"/>
      <c r="GV120" s="73"/>
      <c r="GW120" s="73"/>
      <c r="GX120" s="73"/>
      <c r="GY120" s="73"/>
      <c r="GZ120" s="73"/>
      <c r="HA120" s="73"/>
      <c r="HB120" s="73"/>
      <c r="HC120" s="73"/>
      <c r="HD120" s="73"/>
      <c r="HE120" s="73"/>
      <c r="HF120" s="73"/>
      <c r="HG120" s="73"/>
      <c r="HH120" s="73"/>
      <c r="HI120" s="73"/>
      <c r="HJ120" s="73"/>
      <c r="HK120" s="73"/>
      <c r="HL120" s="73"/>
      <c r="HM120" s="73"/>
      <c r="HN120" s="73"/>
      <c r="HO120" s="73"/>
      <c r="HP120" s="73"/>
      <c r="HQ120" s="73"/>
      <c r="HR120" s="73"/>
      <c r="HS120" s="73"/>
      <c r="HT120" s="73"/>
      <c r="HU120" s="73"/>
      <c r="HV120" s="73"/>
      <c r="HW120" s="73"/>
      <c r="HX120" s="73"/>
      <c r="HY120" s="73"/>
      <c r="HZ120" s="73"/>
      <c r="IA120" s="73"/>
      <c r="IB120" s="73"/>
      <c r="IC120" s="73"/>
      <c r="ID120" s="73"/>
      <c r="IE120" s="73"/>
      <c r="IF120" s="73"/>
      <c r="IG120" s="73"/>
      <c r="IH120" s="73"/>
      <c r="II120" s="73"/>
      <c r="IJ120" s="73"/>
      <c r="IK120" s="73"/>
      <c r="IL120" s="73"/>
      <c r="IM120" s="73"/>
      <c r="IN120" s="73"/>
      <c r="IO120" s="73"/>
      <c r="IP120" s="73"/>
      <c r="IQ120" s="73"/>
      <c r="IR120" s="73"/>
      <c r="IS120" s="73"/>
      <c r="IT120" s="73"/>
      <c r="IU120" s="73"/>
      <c r="IV120" s="73"/>
      <c r="IW120" s="73"/>
      <c r="IX120" s="73"/>
      <c r="IY120" s="73"/>
      <c r="IZ120" s="73"/>
      <c r="JA120" s="73"/>
      <c r="JB120" s="73"/>
      <c r="JC120" s="73"/>
    </row>
    <row r="121" spans="2:263" s="72" customFormat="1">
      <c r="B121" s="73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GL121" s="73"/>
      <c r="GM121" s="73"/>
      <c r="GN121" s="73"/>
      <c r="GO121" s="73"/>
      <c r="GP121" s="73"/>
      <c r="GQ121" s="73"/>
      <c r="GR121" s="73"/>
      <c r="GS121" s="73"/>
      <c r="GT121" s="73"/>
      <c r="GU121" s="73"/>
      <c r="GV121" s="73"/>
      <c r="GW121" s="73"/>
      <c r="GX121" s="73"/>
      <c r="GY121" s="73"/>
      <c r="GZ121" s="73"/>
      <c r="HA121" s="73"/>
      <c r="HB121" s="73"/>
      <c r="HC121" s="73"/>
      <c r="HD121" s="73"/>
      <c r="HE121" s="73"/>
      <c r="HF121" s="73"/>
      <c r="HG121" s="73"/>
      <c r="HH121" s="73"/>
      <c r="HI121" s="73"/>
      <c r="HJ121" s="73"/>
      <c r="HK121" s="73"/>
      <c r="HL121" s="73"/>
      <c r="HM121" s="73"/>
      <c r="HN121" s="73"/>
      <c r="HO121" s="73"/>
      <c r="HP121" s="73"/>
      <c r="HQ121" s="73"/>
      <c r="HR121" s="73"/>
      <c r="HS121" s="73"/>
      <c r="HT121" s="73"/>
      <c r="HU121" s="73"/>
      <c r="HV121" s="73"/>
      <c r="HW121" s="73"/>
      <c r="HX121" s="73"/>
      <c r="HY121" s="73"/>
      <c r="HZ121" s="73"/>
      <c r="IA121" s="73"/>
      <c r="IB121" s="73"/>
      <c r="IC121" s="73"/>
      <c r="ID121" s="73"/>
      <c r="IE121" s="73"/>
      <c r="IF121" s="73"/>
      <c r="IG121" s="73"/>
      <c r="IH121" s="73"/>
      <c r="II121" s="73"/>
      <c r="IJ121" s="73"/>
      <c r="IK121" s="73"/>
      <c r="IL121" s="73"/>
      <c r="IM121" s="73"/>
      <c r="IN121" s="73"/>
      <c r="IO121" s="73"/>
      <c r="IP121" s="73"/>
      <c r="IQ121" s="73"/>
      <c r="IR121" s="73"/>
      <c r="IS121" s="73"/>
      <c r="IT121" s="73"/>
      <c r="IU121" s="73"/>
      <c r="IV121" s="73"/>
      <c r="IW121" s="73"/>
      <c r="IX121" s="73"/>
      <c r="IY121" s="73"/>
      <c r="IZ121" s="73"/>
      <c r="JA121" s="73"/>
      <c r="JB121" s="73"/>
      <c r="JC121" s="73"/>
    </row>
    <row r="122" spans="2:263" s="72" customFormat="1">
      <c r="B122" s="73"/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GL122" s="73"/>
      <c r="GM122" s="73"/>
      <c r="GN122" s="73"/>
      <c r="GO122" s="73"/>
      <c r="GP122" s="73"/>
      <c r="GQ122" s="73"/>
      <c r="GR122" s="73"/>
      <c r="GS122" s="73"/>
      <c r="GT122" s="73"/>
      <c r="GU122" s="73"/>
      <c r="GV122" s="73"/>
      <c r="GW122" s="73"/>
      <c r="GX122" s="73"/>
      <c r="GY122" s="73"/>
      <c r="GZ122" s="73"/>
      <c r="HA122" s="73"/>
      <c r="HB122" s="73"/>
      <c r="HC122" s="73"/>
      <c r="HD122" s="73"/>
      <c r="HE122" s="73"/>
      <c r="HF122" s="73"/>
      <c r="HG122" s="73"/>
      <c r="HH122" s="73"/>
      <c r="HI122" s="73"/>
      <c r="HJ122" s="73"/>
      <c r="HK122" s="73"/>
      <c r="HL122" s="73"/>
      <c r="HM122" s="73"/>
      <c r="HN122" s="73"/>
      <c r="HO122" s="73"/>
      <c r="HP122" s="73"/>
      <c r="HQ122" s="73"/>
      <c r="HR122" s="73"/>
      <c r="HS122" s="73"/>
      <c r="HT122" s="73"/>
      <c r="HU122" s="73"/>
      <c r="HV122" s="73"/>
      <c r="HW122" s="73"/>
      <c r="HX122" s="73"/>
      <c r="HY122" s="73"/>
      <c r="HZ122" s="73"/>
      <c r="IA122" s="73"/>
      <c r="IB122" s="73"/>
      <c r="IC122" s="73"/>
      <c r="ID122" s="73"/>
      <c r="IE122" s="73"/>
      <c r="IF122" s="73"/>
      <c r="IG122" s="73"/>
      <c r="IH122" s="73"/>
      <c r="II122" s="73"/>
      <c r="IJ122" s="73"/>
      <c r="IK122" s="73"/>
      <c r="IL122" s="73"/>
      <c r="IM122" s="73"/>
      <c r="IN122" s="73"/>
      <c r="IO122" s="73"/>
      <c r="IP122" s="73"/>
      <c r="IQ122" s="73"/>
      <c r="IR122" s="73"/>
      <c r="IS122" s="73"/>
      <c r="IT122" s="73"/>
      <c r="IU122" s="73"/>
      <c r="IV122" s="73"/>
      <c r="IW122" s="73"/>
      <c r="IX122" s="73"/>
      <c r="IY122" s="73"/>
      <c r="IZ122" s="73"/>
      <c r="JA122" s="73"/>
      <c r="JB122" s="73"/>
      <c r="JC122" s="73"/>
    </row>
    <row r="123" spans="2:263" s="72" customFormat="1">
      <c r="B123" s="73"/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GL123" s="73"/>
      <c r="GM123" s="73"/>
      <c r="GN123" s="73"/>
      <c r="GO123" s="73"/>
      <c r="GP123" s="73"/>
      <c r="GQ123" s="73"/>
      <c r="GR123" s="73"/>
      <c r="GS123" s="73"/>
      <c r="GT123" s="73"/>
      <c r="GU123" s="73"/>
      <c r="GV123" s="73"/>
      <c r="GW123" s="73"/>
      <c r="GX123" s="73"/>
      <c r="GY123" s="73"/>
      <c r="GZ123" s="73"/>
      <c r="HA123" s="73"/>
      <c r="HB123" s="73"/>
      <c r="HC123" s="73"/>
      <c r="HD123" s="73"/>
      <c r="HE123" s="73"/>
      <c r="HF123" s="73"/>
      <c r="HG123" s="73"/>
      <c r="HH123" s="73"/>
      <c r="HI123" s="73"/>
      <c r="HJ123" s="73"/>
      <c r="HK123" s="73"/>
      <c r="HL123" s="73"/>
      <c r="HM123" s="73"/>
      <c r="HN123" s="73"/>
      <c r="HO123" s="73"/>
      <c r="HP123" s="73"/>
      <c r="HQ123" s="73"/>
      <c r="HR123" s="73"/>
      <c r="HS123" s="73"/>
      <c r="HT123" s="73"/>
      <c r="HU123" s="73"/>
      <c r="HV123" s="73"/>
      <c r="HW123" s="73"/>
      <c r="HX123" s="73"/>
      <c r="HY123" s="73"/>
      <c r="HZ123" s="73"/>
      <c r="IA123" s="73"/>
      <c r="IB123" s="73"/>
      <c r="IC123" s="73"/>
      <c r="ID123" s="73"/>
      <c r="IE123" s="73"/>
      <c r="IF123" s="73"/>
      <c r="IG123" s="73"/>
      <c r="IH123" s="73"/>
      <c r="II123" s="73"/>
      <c r="IJ123" s="73"/>
      <c r="IK123" s="73"/>
      <c r="IL123" s="73"/>
      <c r="IM123" s="73"/>
      <c r="IN123" s="73"/>
      <c r="IO123" s="73"/>
      <c r="IP123" s="73"/>
      <c r="IQ123" s="73"/>
      <c r="IR123" s="73"/>
      <c r="IS123" s="73"/>
      <c r="IT123" s="73"/>
      <c r="IU123" s="73"/>
      <c r="IV123" s="73"/>
      <c r="IW123" s="73"/>
      <c r="IX123" s="73"/>
      <c r="IY123" s="73"/>
      <c r="IZ123" s="73"/>
      <c r="JA123" s="73"/>
      <c r="JB123" s="73"/>
      <c r="JC123" s="73"/>
    </row>
    <row r="124" spans="2:263" s="72" customFormat="1">
      <c r="B124" s="73"/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GL124" s="73"/>
      <c r="GM124" s="73"/>
      <c r="GN124" s="73"/>
      <c r="GO124" s="73"/>
      <c r="GP124" s="73"/>
      <c r="GQ124" s="73"/>
      <c r="GR124" s="73"/>
      <c r="GS124" s="73"/>
      <c r="GT124" s="73"/>
      <c r="GU124" s="73"/>
      <c r="GV124" s="73"/>
      <c r="GW124" s="73"/>
      <c r="GX124" s="73"/>
      <c r="GY124" s="73"/>
      <c r="GZ124" s="73"/>
      <c r="HA124" s="73"/>
      <c r="HB124" s="73"/>
      <c r="HC124" s="73"/>
      <c r="HD124" s="73"/>
      <c r="HE124" s="73"/>
      <c r="HF124" s="73"/>
      <c r="HG124" s="73"/>
      <c r="HH124" s="73"/>
      <c r="HI124" s="73"/>
      <c r="HJ124" s="73"/>
      <c r="HK124" s="73"/>
      <c r="HL124" s="73"/>
      <c r="HM124" s="73"/>
      <c r="HN124" s="73"/>
      <c r="HO124" s="73"/>
      <c r="HP124" s="73"/>
      <c r="HQ124" s="73"/>
      <c r="HR124" s="73"/>
      <c r="HS124" s="73"/>
      <c r="HT124" s="73"/>
      <c r="HU124" s="73"/>
      <c r="HV124" s="73"/>
      <c r="HW124" s="73"/>
      <c r="HX124" s="73"/>
      <c r="HY124" s="73"/>
      <c r="HZ124" s="73"/>
      <c r="IA124" s="73"/>
      <c r="IB124" s="73"/>
      <c r="IC124" s="73"/>
      <c r="ID124" s="73"/>
      <c r="IE124" s="73"/>
      <c r="IF124" s="73"/>
      <c r="IG124" s="73"/>
      <c r="IH124" s="73"/>
      <c r="II124" s="73"/>
      <c r="IJ124" s="73"/>
      <c r="IK124" s="73"/>
      <c r="IL124" s="73"/>
      <c r="IM124" s="73"/>
      <c r="IN124" s="73"/>
      <c r="IO124" s="73"/>
      <c r="IP124" s="73"/>
      <c r="IQ124" s="73"/>
      <c r="IR124" s="73"/>
      <c r="IS124" s="73"/>
      <c r="IT124" s="73"/>
      <c r="IU124" s="73"/>
      <c r="IV124" s="73"/>
      <c r="IW124" s="73"/>
      <c r="IX124" s="73"/>
      <c r="IY124" s="73"/>
      <c r="IZ124" s="73"/>
      <c r="JA124" s="73"/>
      <c r="JB124" s="73"/>
      <c r="JC124" s="73"/>
    </row>
    <row r="125" spans="2:263" s="72" customFormat="1">
      <c r="B125" s="73"/>
      <c r="C125" s="73"/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GL125" s="73"/>
      <c r="GM125" s="73"/>
      <c r="GN125" s="73"/>
      <c r="GO125" s="73"/>
      <c r="GP125" s="73"/>
      <c r="GQ125" s="73"/>
      <c r="GR125" s="73"/>
      <c r="GS125" s="73"/>
      <c r="GT125" s="73"/>
      <c r="GU125" s="73"/>
      <c r="GV125" s="73"/>
      <c r="GW125" s="73"/>
      <c r="GX125" s="73"/>
      <c r="GY125" s="73"/>
      <c r="GZ125" s="73"/>
      <c r="HA125" s="73"/>
      <c r="HB125" s="73"/>
      <c r="HC125" s="73"/>
      <c r="HD125" s="73"/>
      <c r="HE125" s="73"/>
      <c r="HF125" s="73"/>
      <c r="HG125" s="73"/>
      <c r="HH125" s="73"/>
      <c r="HI125" s="73"/>
      <c r="HJ125" s="73"/>
      <c r="HK125" s="73"/>
      <c r="HL125" s="73"/>
      <c r="HM125" s="73"/>
      <c r="HN125" s="73"/>
      <c r="HO125" s="73"/>
      <c r="HP125" s="73"/>
      <c r="HQ125" s="73"/>
      <c r="HR125" s="73"/>
      <c r="HS125" s="73"/>
      <c r="HT125" s="73"/>
      <c r="HU125" s="73"/>
      <c r="HV125" s="73"/>
      <c r="HW125" s="73"/>
      <c r="HX125" s="73"/>
      <c r="HY125" s="73"/>
      <c r="HZ125" s="73"/>
      <c r="IA125" s="73"/>
      <c r="IB125" s="73"/>
      <c r="IC125" s="73"/>
      <c r="ID125" s="73"/>
      <c r="IE125" s="73"/>
      <c r="IF125" s="73"/>
      <c r="IG125" s="73"/>
      <c r="IH125" s="73"/>
      <c r="II125" s="73"/>
      <c r="IJ125" s="73"/>
      <c r="IK125" s="73"/>
      <c r="IL125" s="73"/>
      <c r="IM125" s="73"/>
      <c r="IN125" s="73"/>
      <c r="IO125" s="73"/>
      <c r="IP125" s="73"/>
      <c r="IQ125" s="73"/>
      <c r="IR125" s="73"/>
      <c r="IS125" s="73"/>
      <c r="IT125" s="73"/>
      <c r="IU125" s="73"/>
      <c r="IV125" s="73"/>
      <c r="IW125" s="73"/>
      <c r="IX125" s="73"/>
      <c r="IY125" s="73"/>
      <c r="IZ125" s="73"/>
      <c r="JA125" s="73"/>
      <c r="JB125" s="73"/>
      <c r="JC125" s="73"/>
    </row>
    <row r="126" spans="2:263" s="72" customFormat="1">
      <c r="B126" s="73"/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GL126" s="73"/>
      <c r="GM126" s="73"/>
      <c r="GN126" s="73"/>
      <c r="GO126" s="73"/>
      <c r="GP126" s="73"/>
      <c r="GQ126" s="73"/>
      <c r="GR126" s="73"/>
      <c r="GS126" s="73"/>
      <c r="GT126" s="73"/>
      <c r="GU126" s="73"/>
      <c r="GV126" s="73"/>
      <c r="GW126" s="73"/>
      <c r="GX126" s="73"/>
      <c r="GY126" s="73"/>
      <c r="GZ126" s="73"/>
      <c r="HA126" s="73"/>
      <c r="HB126" s="73"/>
      <c r="HC126" s="73"/>
      <c r="HD126" s="73"/>
      <c r="HE126" s="73"/>
      <c r="HF126" s="73"/>
      <c r="HG126" s="73"/>
      <c r="HH126" s="73"/>
      <c r="HI126" s="73"/>
      <c r="HJ126" s="73"/>
      <c r="HK126" s="73"/>
      <c r="HL126" s="73"/>
      <c r="HM126" s="73"/>
      <c r="HN126" s="73"/>
      <c r="HO126" s="73"/>
      <c r="HP126" s="73"/>
      <c r="HQ126" s="73"/>
      <c r="HR126" s="73"/>
      <c r="HS126" s="73"/>
      <c r="HT126" s="73"/>
      <c r="HU126" s="73"/>
      <c r="HV126" s="73"/>
      <c r="HW126" s="73"/>
      <c r="HX126" s="73"/>
      <c r="HY126" s="73"/>
      <c r="HZ126" s="73"/>
      <c r="IA126" s="73"/>
      <c r="IB126" s="73"/>
      <c r="IC126" s="73"/>
      <c r="ID126" s="73"/>
      <c r="IE126" s="73"/>
      <c r="IF126" s="73"/>
      <c r="IG126" s="73"/>
      <c r="IH126" s="73"/>
      <c r="II126" s="73"/>
      <c r="IJ126" s="73"/>
      <c r="IK126" s="73"/>
      <c r="IL126" s="73"/>
      <c r="IM126" s="73"/>
      <c r="IN126" s="73"/>
      <c r="IO126" s="73"/>
      <c r="IP126" s="73"/>
      <c r="IQ126" s="73"/>
      <c r="IR126" s="73"/>
      <c r="IS126" s="73"/>
      <c r="IT126" s="73"/>
      <c r="IU126" s="73"/>
      <c r="IV126" s="73"/>
      <c r="IW126" s="73"/>
      <c r="IX126" s="73"/>
      <c r="IY126" s="73"/>
      <c r="IZ126" s="73"/>
      <c r="JA126" s="73"/>
      <c r="JB126" s="73"/>
      <c r="JC126" s="73"/>
    </row>
    <row r="127" spans="2:263" s="72" customFormat="1">
      <c r="B127" s="73"/>
      <c r="C127" s="73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GL127" s="73"/>
      <c r="GM127" s="73"/>
      <c r="GN127" s="73"/>
      <c r="GO127" s="73"/>
      <c r="GP127" s="73"/>
      <c r="GQ127" s="73"/>
      <c r="GR127" s="73"/>
      <c r="GS127" s="73"/>
      <c r="GT127" s="73"/>
      <c r="GU127" s="73"/>
      <c r="GV127" s="73"/>
      <c r="GW127" s="73"/>
      <c r="GX127" s="73"/>
      <c r="GY127" s="73"/>
      <c r="GZ127" s="73"/>
      <c r="HA127" s="73"/>
      <c r="HB127" s="73"/>
      <c r="HC127" s="73"/>
      <c r="HD127" s="73"/>
      <c r="HE127" s="73"/>
      <c r="HF127" s="73"/>
      <c r="HG127" s="73"/>
      <c r="HH127" s="73"/>
      <c r="HI127" s="73"/>
      <c r="HJ127" s="73"/>
      <c r="HK127" s="73"/>
      <c r="HL127" s="73"/>
      <c r="HM127" s="73"/>
      <c r="HN127" s="73"/>
      <c r="HO127" s="73"/>
      <c r="HP127" s="73"/>
      <c r="HQ127" s="73"/>
      <c r="HR127" s="73"/>
      <c r="HS127" s="73"/>
      <c r="HT127" s="73"/>
      <c r="HU127" s="73"/>
      <c r="HV127" s="73"/>
      <c r="HW127" s="73"/>
      <c r="HX127" s="73"/>
      <c r="HY127" s="73"/>
      <c r="HZ127" s="73"/>
      <c r="IA127" s="73"/>
      <c r="IB127" s="73"/>
      <c r="IC127" s="73"/>
      <c r="ID127" s="73"/>
      <c r="IE127" s="73"/>
      <c r="IF127" s="73"/>
      <c r="IG127" s="73"/>
      <c r="IH127" s="73"/>
      <c r="II127" s="73"/>
      <c r="IJ127" s="73"/>
      <c r="IK127" s="73"/>
      <c r="IL127" s="73"/>
      <c r="IM127" s="73"/>
      <c r="IN127" s="73"/>
      <c r="IO127" s="73"/>
      <c r="IP127" s="73"/>
      <c r="IQ127" s="73"/>
      <c r="IR127" s="73"/>
      <c r="IS127" s="73"/>
      <c r="IT127" s="73"/>
      <c r="IU127" s="73"/>
      <c r="IV127" s="73"/>
      <c r="IW127" s="73"/>
      <c r="IX127" s="73"/>
      <c r="IY127" s="73"/>
      <c r="IZ127" s="73"/>
      <c r="JA127" s="73"/>
      <c r="JB127" s="73"/>
      <c r="JC127" s="73"/>
    </row>
    <row r="128" spans="2:263" s="72" customFormat="1">
      <c r="B128" s="73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GL128" s="73"/>
      <c r="GM128" s="73"/>
      <c r="GN128" s="73"/>
      <c r="GO128" s="73"/>
      <c r="GP128" s="73"/>
      <c r="GQ128" s="73"/>
      <c r="GR128" s="73"/>
      <c r="GS128" s="73"/>
      <c r="GT128" s="73"/>
      <c r="GU128" s="73"/>
      <c r="GV128" s="73"/>
      <c r="GW128" s="73"/>
      <c r="GX128" s="73"/>
      <c r="GY128" s="73"/>
      <c r="GZ128" s="73"/>
      <c r="HA128" s="73"/>
      <c r="HB128" s="73"/>
      <c r="HC128" s="73"/>
      <c r="HD128" s="73"/>
      <c r="HE128" s="73"/>
      <c r="HF128" s="73"/>
      <c r="HG128" s="73"/>
      <c r="HH128" s="73"/>
      <c r="HI128" s="73"/>
      <c r="HJ128" s="73"/>
      <c r="HK128" s="73"/>
      <c r="HL128" s="73"/>
      <c r="HM128" s="73"/>
      <c r="HN128" s="73"/>
      <c r="HO128" s="73"/>
      <c r="HP128" s="73"/>
      <c r="HQ128" s="73"/>
      <c r="HR128" s="73"/>
      <c r="HS128" s="73"/>
      <c r="HT128" s="73"/>
      <c r="HU128" s="73"/>
      <c r="HV128" s="73"/>
      <c r="HW128" s="73"/>
      <c r="HX128" s="73"/>
      <c r="HY128" s="73"/>
      <c r="HZ128" s="73"/>
      <c r="IA128" s="73"/>
      <c r="IB128" s="73"/>
      <c r="IC128" s="73"/>
      <c r="ID128" s="73"/>
      <c r="IE128" s="73"/>
      <c r="IF128" s="73"/>
      <c r="IG128" s="73"/>
      <c r="IH128" s="73"/>
      <c r="II128" s="73"/>
      <c r="IJ128" s="73"/>
      <c r="IK128" s="73"/>
      <c r="IL128" s="73"/>
      <c r="IM128" s="73"/>
      <c r="IN128" s="73"/>
      <c r="IO128" s="73"/>
      <c r="IP128" s="73"/>
      <c r="IQ128" s="73"/>
      <c r="IR128" s="73"/>
      <c r="IS128" s="73"/>
      <c r="IT128" s="73"/>
      <c r="IU128" s="73"/>
      <c r="IV128" s="73"/>
      <c r="IW128" s="73"/>
      <c r="IX128" s="73"/>
      <c r="IY128" s="73"/>
      <c r="IZ128" s="73"/>
      <c r="JA128" s="73"/>
      <c r="JB128" s="73"/>
      <c r="JC128" s="73"/>
    </row>
    <row r="129" spans="2:263" s="72" customFormat="1"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GL129" s="73"/>
      <c r="GM129" s="73"/>
      <c r="GN129" s="73"/>
      <c r="GO129" s="73"/>
      <c r="GP129" s="73"/>
      <c r="GQ129" s="73"/>
      <c r="GR129" s="73"/>
      <c r="GS129" s="73"/>
      <c r="GT129" s="73"/>
      <c r="GU129" s="73"/>
      <c r="GV129" s="73"/>
      <c r="GW129" s="73"/>
      <c r="GX129" s="73"/>
      <c r="GY129" s="73"/>
      <c r="GZ129" s="73"/>
      <c r="HA129" s="73"/>
      <c r="HB129" s="73"/>
      <c r="HC129" s="73"/>
      <c r="HD129" s="73"/>
      <c r="HE129" s="73"/>
      <c r="HF129" s="73"/>
      <c r="HG129" s="73"/>
      <c r="HH129" s="73"/>
      <c r="HI129" s="73"/>
      <c r="HJ129" s="73"/>
      <c r="HK129" s="73"/>
      <c r="HL129" s="73"/>
      <c r="HM129" s="73"/>
      <c r="HN129" s="73"/>
      <c r="HO129" s="73"/>
      <c r="HP129" s="73"/>
      <c r="HQ129" s="73"/>
      <c r="HR129" s="73"/>
      <c r="HS129" s="73"/>
      <c r="HT129" s="73"/>
      <c r="HU129" s="73"/>
      <c r="HV129" s="73"/>
      <c r="HW129" s="73"/>
      <c r="HX129" s="73"/>
      <c r="HY129" s="73"/>
      <c r="HZ129" s="73"/>
      <c r="IA129" s="73"/>
      <c r="IB129" s="73"/>
      <c r="IC129" s="73"/>
      <c r="ID129" s="73"/>
      <c r="IE129" s="73"/>
      <c r="IF129" s="73"/>
      <c r="IG129" s="73"/>
      <c r="IH129" s="73"/>
      <c r="II129" s="73"/>
      <c r="IJ129" s="73"/>
      <c r="IK129" s="73"/>
      <c r="IL129" s="73"/>
      <c r="IM129" s="73"/>
      <c r="IN129" s="73"/>
      <c r="IO129" s="73"/>
      <c r="IP129" s="73"/>
      <c r="IQ129" s="73"/>
      <c r="IR129" s="73"/>
      <c r="IS129" s="73"/>
      <c r="IT129" s="73"/>
      <c r="IU129" s="73"/>
      <c r="IV129" s="73"/>
      <c r="IW129" s="73"/>
      <c r="IX129" s="73"/>
      <c r="IY129" s="73"/>
      <c r="IZ129" s="73"/>
      <c r="JA129" s="73"/>
      <c r="JB129" s="73"/>
      <c r="JC129" s="73"/>
    </row>
    <row r="130" spans="2:263" s="72" customFormat="1"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GL130" s="73"/>
      <c r="GM130" s="73"/>
      <c r="GN130" s="73"/>
      <c r="GO130" s="73"/>
      <c r="GP130" s="73"/>
      <c r="GQ130" s="73"/>
      <c r="GR130" s="73"/>
      <c r="GS130" s="73"/>
      <c r="GT130" s="73"/>
      <c r="GU130" s="73"/>
      <c r="GV130" s="73"/>
      <c r="GW130" s="73"/>
      <c r="GX130" s="73"/>
      <c r="GY130" s="73"/>
      <c r="GZ130" s="73"/>
      <c r="HA130" s="73"/>
      <c r="HB130" s="73"/>
      <c r="HC130" s="73"/>
      <c r="HD130" s="73"/>
      <c r="HE130" s="73"/>
      <c r="HF130" s="73"/>
      <c r="HG130" s="73"/>
      <c r="HH130" s="73"/>
      <c r="HI130" s="73"/>
      <c r="HJ130" s="73"/>
      <c r="HK130" s="73"/>
      <c r="HL130" s="73"/>
      <c r="HM130" s="73"/>
      <c r="HN130" s="73"/>
      <c r="HO130" s="73"/>
      <c r="HP130" s="73"/>
      <c r="HQ130" s="73"/>
      <c r="HR130" s="73"/>
      <c r="HS130" s="73"/>
      <c r="HT130" s="73"/>
      <c r="HU130" s="73"/>
      <c r="HV130" s="73"/>
      <c r="HW130" s="73"/>
      <c r="HX130" s="73"/>
      <c r="HY130" s="73"/>
      <c r="HZ130" s="73"/>
      <c r="IA130" s="73"/>
      <c r="IB130" s="73"/>
      <c r="IC130" s="73"/>
      <c r="ID130" s="73"/>
      <c r="IE130" s="73"/>
      <c r="IF130" s="73"/>
      <c r="IG130" s="73"/>
      <c r="IH130" s="73"/>
      <c r="II130" s="73"/>
      <c r="IJ130" s="73"/>
      <c r="IK130" s="73"/>
      <c r="IL130" s="73"/>
      <c r="IM130" s="73"/>
      <c r="IN130" s="73"/>
      <c r="IO130" s="73"/>
      <c r="IP130" s="73"/>
      <c r="IQ130" s="73"/>
      <c r="IR130" s="73"/>
      <c r="IS130" s="73"/>
      <c r="IT130" s="73"/>
      <c r="IU130" s="73"/>
      <c r="IV130" s="73"/>
      <c r="IW130" s="73"/>
      <c r="IX130" s="73"/>
      <c r="IY130" s="73"/>
      <c r="IZ130" s="73"/>
      <c r="JA130" s="73"/>
      <c r="JB130" s="73"/>
      <c r="JC130" s="73"/>
    </row>
    <row r="131" spans="2:263" s="72" customFormat="1"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GL131" s="73"/>
      <c r="GM131" s="73"/>
      <c r="GN131" s="73"/>
      <c r="GO131" s="73"/>
      <c r="GP131" s="73"/>
      <c r="GQ131" s="73"/>
      <c r="GR131" s="73"/>
      <c r="GS131" s="73"/>
      <c r="GT131" s="73"/>
      <c r="GU131" s="73"/>
      <c r="GV131" s="73"/>
      <c r="GW131" s="73"/>
      <c r="GX131" s="73"/>
      <c r="GY131" s="73"/>
      <c r="GZ131" s="73"/>
      <c r="HA131" s="73"/>
      <c r="HB131" s="73"/>
      <c r="HC131" s="73"/>
      <c r="HD131" s="73"/>
      <c r="HE131" s="73"/>
      <c r="HF131" s="73"/>
      <c r="HG131" s="73"/>
      <c r="HH131" s="73"/>
      <c r="HI131" s="73"/>
      <c r="HJ131" s="73"/>
      <c r="HK131" s="73"/>
      <c r="HL131" s="73"/>
      <c r="HM131" s="73"/>
      <c r="HN131" s="73"/>
      <c r="HO131" s="73"/>
      <c r="HP131" s="73"/>
      <c r="HQ131" s="73"/>
      <c r="HR131" s="73"/>
      <c r="HS131" s="73"/>
      <c r="HT131" s="73"/>
      <c r="HU131" s="73"/>
      <c r="HV131" s="73"/>
      <c r="HW131" s="73"/>
      <c r="HX131" s="73"/>
      <c r="HY131" s="73"/>
      <c r="HZ131" s="73"/>
      <c r="IA131" s="73"/>
      <c r="IB131" s="73"/>
      <c r="IC131" s="73"/>
      <c r="ID131" s="73"/>
      <c r="IE131" s="73"/>
      <c r="IF131" s="73"/>
      <c r="IG131" s="73"/>
      <c r="IH131" s="73"/>
      <c r="II131" s="73"/>
      <c r="IJ131" s="73"/>
      <c r="IK131" s="73"/>
      <c r="IL131" s="73"/>
      <c r="IM131" s="73"/>
      <c r="IN131" s="73"/>
      <c r="IO131" s="73"/>
      <c r="IP131" s="73"/>
      <c r="IQ131" s="73"/>
      <c r="IR131" s="73"/>
      <c r="IS131" s="73"/>
      <c r="IT131" s="73"/>
      <c r="IU131" s="73"/>
      <c r="IV131" s="73"/>
      <c r="IW131" s="73"/>
      <c r="IX131" s="73"/>
      <c r="IY131" s="73"/>
      <c r="IZ131" s="73"/>
      <c r="JA131" s="73"/>
      <c r="JB131" s="73"/>
      <c r="JC131" s="73"/>
    </row>
    <row r="132" spans="2:263" s="72" customFormat="1"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GL132" s="73"/>
      <c r="GM132" s="73"/>
      <c r="GN132" s="73"/>
      <c r="GO132" s="73"/>
      <c r="GP132" s="73"/>
      <c r="GQ132" s="73"/>
      <c r="GR132" s="73"/>
      <c r="GS132" s="73"/>
      <c r="GT132" s="73"/>
      <c r="GU132" s="73"/>
      <c r="GV132" s="73"/>
      <c r="GW132" s="73"/>
      <c r="GX132" s="73"/>
      <c r="GY132" s="73"/>
      <c r="GZ132" s="73"/>
      <c r="HA132" s="73"/>
      <c r="HB132" s="73"/>
      <c r="HC132" s="73"/>
      <c r="HD132" s="73"/>
      <c r="HE132" s="73"/>
      <c r="HF132" s="73"/>
      <c r="HG132" s="73"/>
      <c r="HH132" s="73"/>
      <c r="HI132" s="73"/>
      <c r="HJ132" s="73"/>
      <c r="HK132" s="73"/>
      <c r="HL132" s="73"/>
      <c r="HM132" s="73"/>
      <c r="HN132" s="73"/>
      <c r="HO132" s="73"/>
      <c r="HP132" s="73"/>
      <c r="HQ132" s="73"/>
      <c r="HR132" s="73"/>
      <c r="HS132" s="73"/>
      <c r="HT132" s="73"/>
      <c r="HU132" s="73"/>
      <c r="HV132" s="73"/>
      <c r="HW132" s="73"/>
      <c r="HX132" s="73"/>
      <c r="HY132" s="73"/>
      <c r="HZ132" s="73"/>
      <c r="IA132" s="73"/>
      <c r="IB132" s="73"/>
      <c r="IC132" s="73"/>
      <c r="ID132" s="73"/>
      <c r="IE132" s="73"/>
      <c r="IF132" s="73"/>
      <c r="IG132" s="73"/>
      <c r="IH132" s="73"/>
      <c r="II132" s="73"/>
      <c r="IJ132" s="73"/>
      <c r="IK132" s="73"/>
      <c r="IL132" s="73"/>
      <c r="IM132" s="73"/>
      <c r="IN132" s="73"/>
      <c r="IO132" s="73"/>
      <c r="IP132" s="73"/>
      <c r="IQ132" s="73"/>
      <c r="IR132" s="73"/>
      <c r="IS132" s="73"/>
      <c r="IT132" s="73"/>
      <c r="IU132" s="73"/>
      <c r="IV132" s="73"/>
      <c r="IW132" s="73"/>
      <c r="IX132" s="73"/>
      <c r="IY132" s="73"/>
      <c r="IZ132" s="73"/>
      <c r="JA132" s="73"/>
      <c r="JB132" s="73"/>
      <c r="JC132" s="73"/>
    </row>
    <row r="133" spans="2:263" s="72" customFormat="1"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GL133" s="73"/>
      <c r="GM133" s="73"/>
      <c r="GN133" s="73"/>
      <c r="GO133" s="73"/>
      <c r="GP133" s="73"/>
      <c r="GQ133" s="73"/>
      <c r="GR133" s="73"/>
      <c r="GS133" s="73"/>
      <c r="GT133" s="73"/>
      <c r="GU133" s="73"/>
      <c r="GV133" s="73"/>
      <c r="GW133" s="73"/>
      <c r="GX133" s="73"/>
      <c r="GY133" s="73"/>
      <c r="GZ133" s="73"/>
      <c r="HA133" s="73"/>
      <c r="HB133" s="73"/>
      <c r="HC133" s="73"/>
      <c r="HD133" s="73"/>
      <c r="HE133" s="73"/>
      <c r="HF133" s="73"/>
      <c r="HG133" s="73"/>
      <c r="HH133" s="73"/>
      <c r="HI133" s="73"/>
      <c r="HJ133" s="73"/>
      <c r="HK133" s="73"/>
      <c r="HL133" s="73"/>
      <c r="HM133" s="73"/>
      <c r="HN133" s="73"/>
      <c r="HO133" s="73"/>
      <c r="HP133" s="73"/>
      <c r="HQ133" s="73"/>
      <c r="HR133" s="73"/>
      <c r="HS133" s="73"/>
      <c r="HT133" s="73"/>
      <c r="HU133" s="73"/>
      <c r="HV133" s="73"/>
      <c r="HW133" s="73"/>
      <c r="HX133" s="73"/>
      <c r="HY133" s="73"/>
      <c r="HZ133" s="73"/>
      <c r="IA133" s="73"/>
      <c r="IB133" s="73"/>
      <c r="IC133" s="73"/>
      <c r="ID133" s="73"/>
      <c r="IE133" s="73"/>
      <c r="IF133" s="73"/>
      <c r="IG133" s="73"/>
      <c r="IH133" s="73"/>
      <c r="II133" s="73"/>
      <c r="IJ133" s="73"/>
      <c r="IK133" s="73"/>
      <c r="IL133" s="73"/>
      <c r="IM133" s="73"/>
      <c r="IN133" s="73"/>
      <c r="IO133" s="73"/>
      <c r="IP133" s="73"/>
      <c r="IQ133" s="73"/>
      <c r="IR133" s="73"/>
      <c r="IS133" s="73"/>
      <c r="IT133" s="73"/>
      <c r="IU133" s="73"/>
      <c r="IV133" s="73"/>
      <c r="IW133" s="73"/>
      <c r="IX133" s="73"/>
      <c r="IY133" s="73"/>
      <c r="IZ133" s="73"/>
      <c r="JA133" s="73"/>
      <c r="JB133" s="73"/>
      <c r="JC133" s="73"/>
    </row>
    <row r="134" spans="2:263" s="72" customFormat="1"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GL134" s="73"/>
      <c r="GM134" s="73"/>
      <c r="GN134" s="73"/>
      <c r="GO134" s="73"/>
      <c r="GP134" s="73"/>
      <c r="GQ134" s="73"/>
      <c r="GR134" s="73"/>
      <c r="GS134" s="73"/>
      <c r="GT134" s="73"/>
      <c r="GU134" s="73"/>
      <c r="GV134" s="73"/>
      <c r="GW134" s="73"/>
      <c r="GX134" s="73"/>
      <c r="GY134" s="73"/>
      <c r="GZ134" s="73"/>
      <c r="HA134" s="73"/>
      <c r="HB134" s="73"/>
      <c r="HC134" s="73"/>
      <c r="HD134" s="73"/>
      <c r="HE134" s="73"/>
      <c r="HF134" s="73"/>
      <c r="HG134" s="73"/>
      <c r="HH134" s="73"/>
      <c r="HI134" s="73"/>
      <c r="HJ134" s="73"/>
      <c r="HK134" s="73"/>
      <c r="HL134" s="73"/>
      <c r="HM134" s="73"/>
      <c r="HN134" s="73"/>
      <c r="HO134" s="73"/>
      <c r="HP134" s="73"/>
      <c r="HQ134" s="73"/>
      <c r="HR134" s="73"/>
      <c r="HS134" s="73"/>
      <c r="HT134" s="73"/>
      <c r="HU134" s="73"/>
      <c r="HV134" s="73"/>
      <c r="HW134" s="73"/>
      <c r="HX134" s="73"/>
      <c r="HY134" s="73"/>
      <c r="HZ134" s="73"/>
      <c r="IA134" s="73"/>
      <c r="IB134" s="73"/>
      <c r="IC134" s="73"/>
      <c r="ID134" s="73"/>
      <c r="IE134" s="73"/>
      <c r="IF134" s="73"/>
      <c r="IG134" s="73"/>
      <c r="IH134" s="73"/>
      <c r="II134" s="73"/>
      <c r="IJ134" s="73"/>
      <c r="IK134" s="73"/>
      <c r="IL134" s="73"/>
      <c r="IM134" s="73"/>
      <c r="IN134" s="73"/>
      <c r="IO134" s="73"/>
      <c r="IP134" s="73"/>
      <c r="IQ134" s="73"/>
      <c r="IR134" s="73"/>
      <c r="IS134" s="73"/>
      <c r="IT134" s="73"/>
      <c r="IU134" s="73"/>
      <c r="IV134" s="73"/>
      <c r="IW134" s="73"/>
      <c r="IX134" s="73"/>
      <c r="IY134" s="73"/>
      <c r="IZ134" s="73"/>
      <c r="JA134" s="73"/>
      <c r="JB134" s="73"/>
      <c r="JC134" s="73"/>
    </row>
    <row r="135" spans="2:263" s="72" customFormat="1">
      <c r="B135" s="73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GL135" s="73"/>
      <c r="GM135" s="73"/>
      <c r="GN135" s="73"/>
      <c r="GO135" s="73"/>
      <c r="GP135" s="73"/>
      <c r="GQ135" s="73"/>
      <c r="GR135" s="73"/>
      <c r="GS135" s="73"/>
      <c r="GT135" s="73"/>
      <c r="GU135" s="73"/>
      <c r="GV135" s="73"/>
      <c r="GW135" s="73"/>
      <c r="GX135" s="73"/>
      <c r="GY135" s="73"/>
      <c r="GZ135" s="73"/>
      <c r="HA135" s="73"/>
      <c r="HB135" s="73"/>
      <c r="HC135" s="73"/>
      <c r="HD135" s="73"/>
      <c r="HE135" s="73"/>
      <c r="HF135" s="73"/>
      <c r="HG135" s="73"/>
      <c r="HH135" s="73"/>
      <c r="HI135" s="73"/>
      <c r="HJ135" s="73"/>
      <c r="HK135" s="73"/>
      <c r="HL135" s="73"/>
      <c r="HM135" s="73"/>
      <c r="HN135" s="73"/>
      <c r="HO135" s="73"/>
      <c r="HP135" s="73"/>
      <c r="HQ135" s="73"/>
      <c r="HR135" s="73"/>
      <c r="HS135" s="73"/>
      <c r="HT135" s="73"/>
      <c r="HU135" s="73"/>
      <c r="HV135" s="73"/>
      <c r="HW135" s="73"/>
      <c r="HX135" s="73"/>
      <c r="HY135" s="73"/>
      <c r="HZ135" s="73"/>
      <c r="IA135" s="73"/>
      <c r="IB135" s="73"/>
      <c r="IC135" s="73"/>
      <c r="ID135" s="73"/>
      <c r="IE135" s="73"/>
      <c r="IF135" s="73"/>
      <c r="IG135" s="73"/>
      <c r="IH135" s="73"/>
      <c r="II135" s="73"/>
      <c r="IJ135" s="73"/>
      <c r="IK135" s="73"/>
      <c r="IL135" s="73"/>
      <c r="IM135" s="73"/>
      <c r="IN135" s="73"/>
      <c r="IO135" s="73"/>
      <c r="IP135" s="73"/>
      <c r="IQ135" s="73"/>
      <c r="IR135" s="73"/>
      <c r="IS135" s="73"/>
      <c r="IT135" s="73"/>
      <c r="IU135" s="73"/>
      <c r="IV135" s="73"/>
      <c r="IW135" s="73"/>
      <c r="IX135" s="73"/>
      <c r="IY135" s="73"/>
      <c r="IZ135" s="73"/>
      <c r="JA135" s="73"/>
      <c r="JB135" s="73"/>
      <c r="JC135" s="73"/>
    </row>
    <row r="136" spans="2:263" s="72" customFormat="1">
      <c r="B136" s="73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GL136" s="73"/>
      <c r="GM136" s="73"/>
      <c r="GN136" s="73"/>
      <c r="GO136" s="73"/>
      <c r="GP136" s="73"/>
      <c r="GQ136" s="73"/>
      <c r="GR136" s="73"/>
      <c r="GS136" s="73"/>
      <c r="GT136" s="73"/>
      <c r="GU136" s="73"/>
      <c r="GV136" s="73"/>
      <c r="GW136" s="73"/>
      <c r="GX136" s="73"/>
      <c r="GY136" s="73"/>
      <c r="GZ136" s="73"/>
      <c r="HA136" s="73"/>
      <c r="HB136" s="73"/>
      <c r="HC136" s="73"/>
      <c r="HD136" s="73"/>
      <c r="HE136" s="73"/>
      <c r="HF136" s="73"/>
      <c r="HG136" s="73"/>
      <c r="HH136" s="73"/>
      <c r="HI136" s="73"/>
      <c r="HJ136" s="73"/>
      <c r="HK136" s="73"/>
      <c r="HL136" s="73"/>
      <c r="HM136" s="73"/>
      <c r="HN136" s="73"/>
      <c r="HO136" s="73"/>
      <c r="HP136" s="73"/>
      <c r="HQ136" s="73"/>
      <c r="HR136" s="73"/>
      <c r="HS136" s="73"/>
      <c r="HT136" s="73"/>
      <c r="HU136" s="73"/>
      <c r="HV136" s="73"/>
      <c r="HW136" s="73"/>
      <c r="HX136" s="73"/>
      <c r="HY136" s="73"/>
      <c r="HZ136" s="73"/>
      <c r="IA136" s="73"/>
      <c r="IB136" s="73"/>
      <c r="IC136" s="73"/>
      <c r="ID136" s="73"/>
      <c r="IE136" s="73"/>
      <c r="IF136" s="73"/>
      <c r="IG136" s="73"/>
      <c r="IH136" s="73"/>
      <c r="II136" s="73"/>
      <c r="IJ136" s="73"/>
      <c r="IK136" s="73"/>
      <c r="IL136" s="73"/>
      <c r="IM136" s="73"/>
      <c r="IN136" s="73"/>
      <c r="IO136" s="73"/>
      <c r="IP136" s="73"/>
      <c r="IQ136" s="73"/>
      <c r="IR136" s="73"/>
      <c r="IS136" s="73"/>
      <c r="IT136" s="73"/>
      <c r="IU136" s="73"/>
      <c r="IV136" s="73"/>
      <c r="IW136" s="73"/>
      <c r="IX136" s="73"/>
      <c r="IY136" s="73"/>
      <c r="IZ136" s="73"/>
      <c r="JA136" s="73"/>
      <c r="JB136" s="73"/>
      <c r="JC136" s="73"/>
    </row>
    <row r="137" spans="2:263" s="72" customFormat="1">
      <c r="B137" s="73"/>
      <c r="C137" s="73"/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GL137" s="73"/>
      <c r="GM137" s="73"/>
      <c r="GN137" s="73"/>
      <c r="GO137" s="73"/>
      <c r="GP137" s="73"/>
      <c r="GQ137" s="73"/>
      <c r="GR137" s="73"/>
      <c r="GS137" s="73"/>
      <c r="GT137" s="73"/>
      <c r="GU137" s="73"/>
      <c r="GV137" s="73"/>
      <c r="GW137" s="73"/>
      <c r="GX137" s="73"/>
      <c r="GY137" s="73"/>
      <c r="GZ137" s="73"/>
      <c r="HA137" s="73"/>
      <c r="HB137" s="73"/>
      <c r="HC137" s="73"/>
      <c r="HD137" s="73"/>
      <c r="HE137" s="73"/>
      <c r="HF137" s="73"/>
      <c r="HG137" s="73"/>
      <c r="HH137" s="73"/>
      <c r="HI137" s="73"/>
      <c r="HJ137" s="73"/>
      <c r="HK137" s="73"/>
      <c r="HL137" s="73"/>
      <c r="HM137" s="73"/>
      <c r="HN137" s="73"/>
      <c r="HO137" s="73"/>
      <c r="HP137" s="73"/>
      <c r="HQ137" s="73"/>
      <c r="HR137" s="73"/>
      <c r="HS137" s="73"/>
      <c r="HT137" s="73"/>
      <c r="HU137" s="73"/>
      <c r="HV137" s="73"/>
      <c r="HW137" s="73"/>
      <c r="HX137" s="73"/>
      <c r="HY137" s="73"/>
      <c r="HZ137" s="73"/>
      <c r="IA137" s="73"/>
      <c r="IB137" s="73"/>
      <c r="IC137" s="73"/>
      <c r="ID137" s="73"/>
      <c r="IE137" s="73"/>
      <c r="IF137" s="73"/>
      <c r="IG137" s="73"/>
      <c r="IH137" s="73"/>
      <c r="II137" s="73"/>
      <c r="IJ137" s="73"/>
      <c r="IK137" s="73"/>
      <c r="IL137" s="73"/>
      <c r="IM137" s="73"/>
      <c r="IN137" s="73"/>
      <c r="IO137" s="73"/>
      <c r="IP137" s="73"/>
      <c r="IQ137" s="73"/>
      <c r="IR137" s="73"/>
      <c r="IS137" s="73"/>
      <c r="IT137" s="73"/>
      <c r="IU137" s="73"/>
      <c r="IV137" s="73"/>
      <c r="IW137" s="73"/>
      <c r="IX137" s="73"/>
      <c r="IY137" s="73"/>
      <c r="IZ137" s="73"/>
      <c r="JA137" s="73"/>
      <c r="JB137" s="73"/>
      <c r="JC137" s="73"/>
    </row>
    <row r="138" spans="2:263" s="72" customFormat="1">
      <c r="B138" s="73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GL138" s="73"/>
      <c r="GM138" s="73"/>
      <c r="GN138" s="73"/>
      <c r="GO138" s="73"/>
      <c r="GP138" s="73"/>
      <c r="GQ138" s="73"/>
      <c r="GR138" s="73"/>
      <c r="GS138" s="73"/>
      <c r="GT138" s="73"/>
      <c r="GU138" s="73"/>
      <c r="GV138" s="73"/>
      <c r="GW138" s="73"/>
      <c r="GX138" s="73"/>
      <c r="GY138" s="73"/>
      <c r="GZ138" s="73"/>
      <c r="HA138" s="73"/>
      <c r="HB138" s="73"/>
      <c r="HC138" s="73"/>
      <c r="HD138" s="73"/>
      <c r="HE138" s="73"/>
      <c r="HF138" s="73"/>
      <c r="HG138" s="73"/>
      <c r="HH138" s="73"/>
      <c r="HI138" s="73"/>
      <c r="HJ138" s="73"/>
      <c r="HK138" s="73"/>
      <c r="HL138" s="73"/>
      <c r="HM138" s="73"/>
      <c r="HN138" s="73"/>
      <c r="HO138" s="73"/>
      <c r="HP138" s="73"/>
      <c r="HQ138" s="73"/>
      <c r="HR138" s="73"/>
      <c r="HS138" s="73"/>
      <c r="HT138" s="73"/>
      <c r="HU138" s="73"/>
      <c r="HV138" s="73"/>
      <c r="HW138" s="73"/>
      <c r="HX138" s="73"/>
      <c r="HY138" s="73"/>
      <c r="HZ138" s="73"/>
      <c r="IA138" s="73"/>
      <c r="IB138" s="73"/>
      <c r="IC138" s="73"/>
      <c r="ID138" s="73"/>
      <c r="IE138" s="73"/>
      <c r="IF138" s="73"/>
      <c r="IG138" s="73"/>
      <c r="IH138" s="73"/>
      <c r="II138" s="73"/>
      <c r="IJ138" s="73"/>
      <c r="IK138" s="73"/>
      <c r="IL138" s="73"/>
      <c r="IM138" s="73"/>
      <c r="IN138" s="73"/>
      <c r="IO138" s="73"/>
      <c r="IP138" s="73"/>
      <c r="IQ138" s="73"/>
      <c r="IR138" s="73"/>
      <c r="IS138" s="73"/>
      <c r="IT138" s="73"/>
      <c r="IU138" s="73"/>
      <c r="IV138" s="73"/>
      <c r="IW138" s="73"/>
      <c r="IX138" s="73"/>
      <c r="IY138" s="73"/>
      <c r="IZ138" s="73"/>
      <c r="JA138" s="73"/>
      <c r="JB138" s="73"/>
      <c r="JC138" s="73"/>
    </row>
    <row r="139" spans="2:263" s="72" customFormat="1">
      <c r="B139" s="73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GL139" s="73"/>
      <c r="GM139" s="73"/>
      <c r="GN139" s="73"/>
      <c r="GO139" s="73"/>
      <c r="GP139" s="73"/>
      <c r="GQ139" s="73"/>
      <c r="GR139" s="73"/>
      <c r="GS139" s="73"/>
      <c r="GT139" s="73"/>
      <c r="GU139" s="73"/>
      <c r="GV139" s="73"/>
      <c r="GW139" s="73"/>
      <c r="GX139" s="73"/>
      <c r="GY139" s="73"/>
      <c r="GZ139" s="73"/>
      <c r="HA139" s="73"/>
      <c r="HB139" s="73"/>
      <c r="HC139" s="73"/>
      <c r="HD139" s="73"/>
      <c r="HE139" s="73"/>
      <c r="HF139" s="73"/>
      <c r="HG139" s="73"/>
      <c r="HH139" s="73"/>
      <c r="HI139" s="73"/>
      <c r="HJ139" s="73"/>
      <c r="HK139" s="73"/>
      <c r="HL139" s="73"/>
      <c r="HM139" s="73"/>
      <c r="HN139" s="73"/>
      <c r="HO139" s="73"/>
      <c r="HP139" s="73"/>
      <c r="HQ139" s="73"/>
      <c r="HR139" s="73"/>
      <c r="HS139" s="73"/>
      <c r="HT139" s="73"/>
      <c r="HU139" s="73"/>
      <c r="HV139" s="73"/>
      <c r="HW139" s="73"/>
      <c r="HX139" s="73"/>
      <c r="HY139" s="73"/>
      <c r="HZ139" s="73"/>
      <c r="IA139" s="73"/>
      <c r="IB139" s="73"/>
      <c r="IC139" s="73"/>
      <c r="ID139" s="73"/>
      <c r="IE139" s="73"/>
      <c r="IF139" s="73"/>
      <c r="IG139" s="73"/>
      <c r="IH139" s="73"/>
      <c r="II139" s="73"/>
      <c r="IJ139" s="73"/>
      <c r="IK139" s="73"/>
      <c r="IL139" s="73"/>
      <c r="IM139" s="73"/>
      <c r="IN139" s="73"/>
      <c r="IO139" s="73"/>
      <c r="IP139" s="73"/>
      <c r="IQ139" s="73"/>
      <c r="IR139" s="73"/>
      <c r="IS139" s="73"/>
      <c r="IT139" s="73"/>
      <c r="IU139" s="73"/>
      <c r="IV139" s="73"/>
      <c r="IW139" s="73"/>
      <c r="IX139" s="73"/>
      <c r="IY139" s="73"/>
      <c r="IZ139" s="73"/>
      <c r="JA139" s="73"/>
      <c r="JB139" s="73"/>
      <c r="JC139" s="73"/>
    </row>
    <row r="140" spans="2:263" s="72" customFormat="1">
      <c r="B140" s="73"/>
      <c r="C140" s="73"/>
      <c r="D140" s="73"/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GL140" s="73"/>
      <c r="GM140" s="73"/>
      <c r="GN140" s="73"/>
      <c r="GO140" s="73"/>
      <c r="GP140" s="73"/>
      <c r="GQ140" s="73"/>
      <c r="GR140" s="73"/>
      <c r="GS140" s="73"/>
      <c r="GT140" s="73"/>
      <c r="GU140" s="73"/>
      <c r="GV140" s="73"/>
      <c r="GW140" s="73"/>
      <c r="GX140" s="73"/>
      <c r="GY140" s="73"/>
      <c r="GZ140" s="73"/>
      <c r="HA140" s="73"/>
      <c r="HB140" s="73"/>
      <c r="HC140" s="73"/>
      <c r="HD140" s="73"/>
      <c r="HE140" s="73"/>
      <c r="HF140" s="73"/>
      <c r="HG140" s="73"/>
      <c r="HH140" s="73"/>
      <c r="HI140" s="73"/>
      <c r="HJ140" s="73"/>
      <c r="HK140" s="73"/>
      <c r="HL140" s="73"/>
      <c r="HM140" s="73"/>
      <c r="HN140" s="73"/>
      <c r="HO140" s="73"/>
      <c r="HP140" s="73"/>
      <c r="HQ140" s="73"/>
      <c r="HR140" s="73"/>
      <c r="HS140" s="73"/>
      <c r="HT140" s="73"/>
      <c r="HU140" s="73"/>
      <c r="HV140" s="73"/>
      <c r="HW140" s="73"/>
      <c r="HX140" s="73"/>
      <c r="HY140" s="73"/>
      <c r="HZ140" s="73"/>
      <c r="IA140" s="73"/>
      <c r="IB140" s="73"/>
      <c r="IC140" s="73"/>
      <c r="ID140" s="73"/>
      <c r="IE140" s="73"/>
      <c r="IF140" s="73"/>
      <c r="IG140" s="73"/>
      <c r="IH140" s="73"/>
      <c r="II140" s="73"/>
      <c r="IJ140" s="73"/>
      <c r="IK140" s="73"/>
      <c r="IL140" s="73"/>
      <c r="IM140" s="73"/>
      <c r="IN140" s="73"/>
      <c r="IO140" s="73"/>
      <c r="IP140" s="73"/>
      <c r="IQ140" s="73"/>
      <c r="IR140" s="73"/>
      <c r="IS140" s="73"/>
      <c r="IT140" s="73"/>
      <c r="IU140" s="73"/>
      <c r="IV140" s="73"/>
      <c r="IW140" s="73"/>
      <c r="IX140" s="73"/>
      <c r="IY140" s="73"/>
      <c r="IZ140" s="73"/>
      <c r="JA140" s="73"/>
      <c r="JB140" s="73"/>
      <c r="JC140" s="73"/>
    </row>
    <row r="141" spans="2:263" s="72" customFormat="1">
      <c r="B141" s="73"/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GL141" s="73"/>
      <c r="GM141" s="73"/>
      <c r="GN141" s="73"/>
      <c r="GO141" s="73"/>
      <c r="GP141" s="73"/>
      <c r="GQ141" s="73"/>
      <c r="GR141" s="73"/>
      <c r="GS141" s="73"/>
      <c r="GT141" s="73"/>
      <c r="GU141" s="73"/>
      <c r="GV141" s="73"/>
      <c r="GW141" s="73"/>
      <c r="GX141" s="73"/>
      <c r="GY141" s="73"/>
      <c r="GZ141" s="73"/>
      <c r="HA141" s="73"/>
      <c r="HB141" s="73"/>
      <c r="HC141" s="73"/>
      <c r="HD141" s="73"/>
      <c r="HE141" s="73"/>
      <c r="HF141" s="73"/>
      <c r="HG141" s="73"/>
      <c r="HH141" s="73"/>
      <c r="HI141" s="73"/>
      <c r="HJ141" s="73"/>
      <c r="HK141" s="73"/>
      <c r="HL141" s="73"/>
      <c r="HM141" s="73"/>
      <c r="HN141" s="73"/>
      <c r="HO141" s="73"/>
      <c r="HP141" s="73"/>
      <c r="HQ141" s="73"/>
      <c r="HR141" s="73"/>
      <c r="HS141" s="73"/>
      <c r="HT141" s="73"/>
      <c r="HU141" s="73"/>
      <c r="HV141" s="73"/>
      <c r="HW141" s="73"/>
      <c r="HX141" s="73"/>
      <c r="HY141" s="73"/>
      <c r="HZ141" s="73"/>
      <c r="IA141" s="73"/>
      <c r="IB141" s="73"/>
      <c r="IC141" s="73"/>
      <c r="ID141" s="73"/>
      <c r="IE141" s="73"/>
      <c r="IF141" s="73"/>
      <c r="IG141" s="73"/>
      <c r="IH141" s="73"/>
      <c r="II141" s="73"/>
      <c r="IJ141" s="73"/>
      <c r="IK141" s="73"/>
      <c r="IL141" s="73"/>
      <c r="IM141" s="73"/>
      <c r="IN141" s="73"/>
      <c r="IO141" s="73"/>
      <c r="IP141" s="73"/>
      <c r="IQ141" s="73"/>
      <c r="IR141" s="73"/>
      <c r="IS141" s="73"/>
      <c r="IT141" s="73"/>
      <c r="IU141" s="73"/>
      <c r="IV141" s="73"/>
      <c r="IW141" s="73"/>
      <c r="IX141" s="73"/>
      <c r="IY141" s="73"/>
      <c r="IZ141" s="73"/>
      <c r="JA141" s="73"/>
      <c r="JB141" s="73"/>
      <c r="JC141" s="73"/>
    </row>
    <row r="142" spans="2:263" s="72" customFormat="1">
      <c r="B142" s="73"/>
      <c r="C142" s="73"/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GL142" s="73"/>
      <c r="GM142" s="73"/>
      <c r="GN142" s="73"/>
      <c r="GO142" s="73"/>
      <c r="GP142" s="73"/>
      <c r="GQ142" s="73"/>
      <c r="GR142" s="73"/>
      <c r="GS142" s="73"/>
      <c r="GT142" s="73"/>
      <c r="GU142" s="73"/>
      <c r="GV142" s="73"/>
      <c r="GW142" s="73"/>
      <c r="GX142" s="73"/>
      <c r="GY142" s="73"/>
      <c r="GZ142" s="73"/>
      <c r="HA142" s="73"/>
      <c r="HB142" s="73"/>
      <c r="HC142" s="73"/>
      <c r="HD142" s="73"/>
      <c r="HE142" s="73"/>
      <c r="HF142" s="73"/>
      <c r="HG142" s="73"/>
      <c r="HH142" s="73"/>
      <c r="HI142" s="73"/>
      <c r="HJ142" s="73"/>
      <c r="HK142" s="73"/>
      <c r="HL142" s="73"/>
      <c r="HM142" s="73"/>
      <c r="HN142" s="73"/>
      <c r="HO142" s="73"/>
      <c r="HP142" s="73"/>
      <c r="HQ142" s="73"/>
      <c r="HR142" s="73"/>
      <c r="HS142" s="73"/>
      <c r="HT142" s="73"/>
      <c r="HU142" s="73"/>
      <c r="HV142" s="73"/>
      <c r="HW142" s="73"/>
      <c r="HX142" s="73"/>
      <c r="HY142" s="73"/>
      <c r="HZ142" s="73"/>
      <c r="IA142" s="73"/>
      <c r="IB142" s="73"/>
      <c r="IC142" s="73"/>
      <c r="ID142" s="73"/>
      <c r="IE142" s="73"/>
      <c r="IF142" s="73"/>
      <c r="IG142" s="73"/>
      <c r="IH142" s="73"/>
      <c r="II142" s="73"/>
      <c r="IJ142" s="73"/>
      <c r="IK142" s="73"/>
      <c r="IL142" s="73"/>
      <c r="IM142" s="73"/>
      <c r="IN142" s="73"/>
      <c r="IO142" s="73"/>
      <c r="IP142" s="73"/>
      <c r="IQ142" s="73"/>
      <c r="IR142" s="73"/>
      <c r="IS142" s="73"/>
      <c r="IT142" s="73"/>
      <c r="IU142" s="73"/>
      <c r="IV142" s="73"/>
      <c r="IW142" s="73"/>
      <c r="IX142" s="73"/>
      <c r="IY142" s="73"/>
      <c r="IZ142" s="73"/>
      <c r="JA142" s="73"/>
      <c r="JB142" s="73"/>
      <c r="JC142" s="73"/>
    </row>
    <row r="143" spans="2:263" s="72" customFormat="1">
      <c r="B143" s="73"/>
      <c r="C143" s="73"/>
      <c r="D143" s="73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GL143" s="73"/>
      <c r="GM143" s="73"/>
      <c r="GN143" s="73"/>
      <c r="GO143" s="73"/>
      <c r="GP143" s="73"/>
      <c r="GQ143" s="73"/>
      <c r="GR143" s="73"/>
      <c r="GS143" s="73"/>
      <c r="GT143" s="73"/>
      <c r="GU143" s="73"/>
      <c r="GV143" s="73"/>
      <c r="GW143" s="73"/>
      <c r="GX143" s="73"/>
      <c r="GY143" s="73"/>
      <c r="GZ143" s="73"/>
      <c r="HA143" s="73"/>
      <c r="HB143" s="73"/>
      <c r="HC143" s="73"/>
      <c r="HD143" s="73"/>
      <c r="HE143" s="73"/>
      <c r="HF143" s="73"/>
      <c r="HG143" s="73"/>
      <c r="HH143" s="73"/>
      <c r="HI143" s="73"/>
      <c r="HJ143" s="73"/>
      <c r="HK143" s="73"/>
      <c r="HL143" s="73"/>
      <c r="HM143" s="73"/>
      <c r="HN143" s="73"/>
      <c r="HO143" s="73"/>
      <c r="HP143" s="73"/>
      <c r="HQ143" s="73"/>
      <c r="HR143" s="73"/>
      <c r="HS143" s="73"/>
      <c r="HT143" s="73"/>
      <c r="HU143" s="73"/>
      <c r="HV143" s="73"/>
      <c r="HW143" s="73"/>
      <c r="HX143" s="73"/>
      <c r="HY143" s="73"/>
      <c r="HZ143" s="73"/>
      <c r="IA143" s="73"/>
      <c r="IB143" s="73"/>
      <c r="IC143" s="73"/>
      <c r="ID143" s="73"/>
      <c r="IE143" s="73"/>
      <c r="IF143" s="73"/>
      <c r="IG143" s="73"/>
      <c r="IH143" s="73"/>
      <c r="II143" s="73"/>
      <c r="IJ143" s="73"/>
      <c r="IK143" s="73"/>
      <c r="IL143" s="73"/>
      <c r="IM143" s="73"/>
      <c r="IN143" s="73"/>
      <c r="IO143" s="73"/>
      <c r="IP143" s="73"/>
      <c r="IQ143" s="73"/>
      <c r="IR143" s="73"/>
      <c r="IS143" s="73"/>
      <c r="IT143" s="73"/>
      <c r="IU143" s="73"/>
      <c r="IV143" s="73"/>
      <c r="IW143" s="73"/>
      <c r="IX143" s="73"/>
      <c r="IY143" s="73"/>
      <c r="IZ143" s="73"/>
      <c r="JA143" s="73"/>
      <c r="JB143" s="73"/>
      <c r="JC143" s="73"/>
    </row>
    <row r="144" spans="2:263" s="72" customFormat="1">
      <c r="B144" s="73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GL144" s="73"/>
      <c r="GM144" s="73"/>
      <c r="GN144" s="73"/>
      <c r="GO144" s="73"/>
      <c r="GP144" s="73"/>
      <c r="GQ144" s="73"/>
      <c r="GR144" s="73"/>
      <c r="GS144" s="73"/>
      <c r="GT144" s="73"/>
      <c r="GU144" s="73"/>
      <c r="GV144" s="73"/>
      <c r="GW144" s="73"/>
      <c r="GX144" s="73"/>
      <c r="GY144" s="73"/>
      <c r="GZ144" s="73"/>
      <c r="HA144" s="73"/>
      <c r="HB144" s="73"/>
      <c r="HC144" s="73"/>
      <c r="HD144" s="73"/>
      <c r="HE144" s="73"/>
      <c r="HF144" s="73"/>
      <c r="HG144" s="73"/>
      <c r="HH144" s="73"/>
      <c r="HI144" s="73"/>
      <c r="HJ144" s="73"/>
      <c r="HK144" s="73"/>
      <c r="HL144" s="73"/>
      <c r="HM144" s="73"/>
      <c r="HN144" s="73"/>
      <c r="HO144" s="73"/>
      <c r="HP144" s="73"/>
      <c r="HQ144" s="73"/>
      <c r="HR144" s="73"/>
      <c r="HS144" s="73"/>
      <c r="HT144" s="73"/>
      <c r="HU144" s="73"/>
      <c r="HV144" s="73"/>
      <c r="HW144" s="73"/>
      <c r="HX144" s="73"/>
      <c r="HY144" s="73"/>
      <c r="HZ144" s="73"/>
      <c r="IA144" s="73"/>
      <c r="IB144" s="73"/>
      <c r="IC144" s="73"/>
      <c r="ID144" s="73"/>
      <c r="IE144" s="73"/>
      <c r="IF144" s="73"/>
      <c r="IG144" s="73"/>
      <c r="IH144" s="73"/>
      <c r="II144" s="73"/>
      <c r="IJ144" s="73"/>
      <c r="IK144" s="73"/>
      <c r="IL144" s="73"/>
      <c r="IM144" s="73"/>
      <c r="IN144" s="73"/>
      <c r="IO144" s="73"/>
      <c r="IP144" s="73"/>
      <c r="IQ144" s="73"/>
      <c r="IR144" s="73"/>
      <c r="IS144" s="73"/>
      <c r="IT144" s="73"/>
      <c r="IU144" s="73"/>
      <c r="IV144" s="73"/>
      <c r="IW144" s="73"/>
      <c r="IX144" s="73"/>
      <c r="IY144" s="73"/>
      <c r="IZ144" s="73"/>
      <c r="JA144" s="73"/>
      <c r="JB144" s="73"/>
      <c r="JC144" s="73"/>
    </row>
    <row r="145" spans="2:263" s="72" customFormat="1">
      <c r="B145" s="73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GL145" s="73"/>
      <c r="GM145" s="73"/>
      <c r="GN145" s="73"/>
      <c r="GO145" s="73"/>
      <c r="GP145" s="73"/>
      <c r="GQ145" s="73"/>
      <c r="GR145" s="73"/>
      <c r="GS145" s="73"/>
      <c r="GT145" s="73"/>
      <c r="GU145" s="73"/>
      <c r="GV145" s="73"/>
      <c r="GW145" s="73"/>
      <c r="GX145" s="73"/>
      <c r="GY145" s="73"/>
      <c r="GZ145" s="73"/>
      <c r="HA145" s="73"/>
      <c r="HB145" s="73"/>
      <c r="HC145" s="73"/>
      <c r="HD145" s="73"/>
      <c r="HE145" s="73"/>
      <c r="HF145" s="73"/>
      <c r="HG145" s="73"/>
      <c r="HH145" s="73"/>
      <c r="HI145" s="73"/>
      <c r="HJ145" s="73"/>
      <c r="HK145" s="73"/>
      <c r="HL145" s="73"/>
      <c r="HM145" s="73"/>
      <c r="HN145" s="73"/>
      <c r="HO145" s="73"/>
      <c r="HP145" s="73"/>
      <c r="HQ145" s="73"/>
      <c r="HR145" s="73"/>
      <c r="HS145" s="73"/>
      <c r="HT145" s="73"/>
      <c r="HU145" s="73"/>
      <c r="HV145" s="73"/>
      <c r="HW145" s="73"/>
      <c r="HX145" s="73"/>
      <c r="HY145" s="73"/>
      <c r="HZ145" s="73"/>
      <c r="IA145" s="73"/>
      <c r="IB145" s="73"/>
      <c r="IC145" s="73"/>
      <c r="ID145" s="73"/>
      <c r="IE145" s="73"/>
      <c r="IF145" s="73"/>
      <c r="IG145" s="73"/>
      <c r="IH145" s="73"/>
      <c r="II145" s="73"/>
      <c r="IJ145" s="73"/>
      <c r="IK145" s="73"/>
      <c r="IL145" s="73"/>
      <c r="IM145" s="73"/>
      <c r="IN145" s="73"/>
      <c r="IO145" s="73"/>
      <c r="IP145" s="73"/>
      <c r="IQ145" s="73"/>
      <c r="IR145" s="73"/>
      <c r="IS145" s="73"/>
      <c r="IT145" s="73"/>
      <c r="IU145" s="73"/>
      <c r="IV145" s="73"/>
      <c r="IW145" s="73"/>
      <c r="IX145" s="73"/>
      <c r="IY145" s="73"/>
      <c r="IZ145" s="73"/>
      <c r="JA145" s="73"/>
      <c r="JB145" s="73"/>
      <c r="JC145" s="73"/>
    </row>
    <row r="146" spans="2:263" s="72" customFormat="1"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GL146" s="73"/>
      <c r="GM146" s="73"/>
      <c r="GN146" s="73"/>
      <c r="GO146" s="73"/>
      <c r="GP146" s="73"/>
      <c r="GQ146" s="73"/>
      <c r="GR146" s="73"/>
      <c r="GS146" s="73"/>
      <c r="GT146" s="73"/>
      <c r="GU146" s="73"/>
      <c r="GV146" s="73"/>
      <c r="GW146" s="73"/>
      <c r="GX146" s="73"/>
      <c r="GY146" s="73"/>
      <c r="GZ146" s="73"/>
      <c r="HA146" s="73"/>
      <c r="HB146" s="73"/>
      <c r="HC146" s="73"/>
      <c r="HD146" s="73"/>
      <c r="HE146" s="73"/>
      <c r="HF146" s="73"/>
      <c r="HG146" s="73"/>
      <c r="HH146" s="73"/>
      <c r="HI146" s="73"/>
      <c r="HJ146" s="73"/>
      <c r="HK146" s="73"/>
      <c r="HL146" s="73"/>
      <c r="HM146" s="73"/>
      <c r="HN146" s="73"/>
      <c r="HO146" s="73"/>
      <c r="HP146" s="73"/>
      <c r="HQ146" s="73"/>
      <c r="HR146" s="73"/>
      <c r="HS146" s="73"/>
      <c r="HT146" s="73"/>
      <c r="HU146" s="73"/>
      <c r="HV146" s="73"/>
      <c r="HW146" s="73"/>
      <c r="HX146" s="73"/>
      <c r="HY146" s="73"/>
      <c r="HZ146" s="73"/>
      <c r="IA146" s="73"/>
      <c r="IB146" s="73"/>
      <c r="IC146" s="73"/>
      <c r="ID146" s="73"/>
      <c r="IE146" s="73"/>
      <c r="IF146" s="73"/>
      <c r="IG146" s="73"/>
      <c r="IH146" s="73"/>
      <c r="II146" s="73"/>
      <c r="IJ146" s="73"/>
      <c r="IK146" s="73"/>
      <c r="IL146" s="73"/>
      <c r="IM146" s="73"/>
      <c r="IN146" s="73"/>
      <c r="IO146" s="73"/>
      <c r="IP146" s="73"/>
      <c r="IQ146" s="73"/>
      <c r="IR146" s="73"/>
      <c r="IS146" s="73"/>
      <c r="IT146" s="73"/>
      <c r="IU146" s="73"/>
      <c r="IV146" s="73"/>
      <c r="IW146" s="73"/>
      <c r="IX146" s="73"/>
      <c r="IY146" s="73"/>
      <c r="IZ146" s="73"/>
      <c r="JA146" s="73"/>
      <c r="JB146" s="73"/>
      <c r="JC146" s="73"/>
    </row>
    <row r="147" spans="2:263" s="72" customFormat="1">
      <c r="B147" s="73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GL147" s="73"/>
      <c r="GM147" s="73"/>
      <c r="GN147" s="73"/>
      <c r="GO147" s="73"/>
      <c r="GP147" s="73"/>
      <c r="GQ147" s="73"/>
      <c r="GR147" s="73"/>
      <c r="GS147" s="73"/>
      <c r="GT147" s="73"/>
      <c r="GU147" s="73"/>
      <c r="GV147" s="73"/>
      <c r="GW147" s="73"/>
      <c r="GX147" s="73"/>
      <c r="GY147" s="73"/>
      <c r="GZ147" s="73"/>
      <c r="HA147" s="73"/>
      <c r="HB147" s="73"/>
      <c r="HC147" s="73"/>
      <c r="HD147" s="73"/>
      <c r="HE147" s="73"/>
      <c r="HF147" s="73"/>
      <c r="HG147" s="73"/>
      <c r="HH147" s="73"/>
      <c r="HI147" s="73"/>
      <c r="HJ147" s="73"/>
      <c r="HK147" s="73"/>
      <c r="HL147" s="73"/>
      <c r="HM147" s="73"/>
      <c r="HN147" s="73"/>
      <c r="HO147" s="73"/>
      <c r="HP147" s="73"/>
      <c r="HQ147" s="73"/>
      <c r="HR147" s="73"/>
      <c r="HS147" s="73"/>
      <c r="HT147" s="73"/>
      <c r="HU147" s="73"/>
      <c r="HV147" s="73"/>
      <c r="HW147" s="73"/>
      <c r="HX147" s="73"/>
      <c r="HY147" s="73"/>
      <c r="HZ147" s="73"/>
      <c r="IA147" s="73"/>
      <c r="IB147" s="73"/>
      <c r="IC147" s="73"/>
      <c r="ID147" s="73"/>
      <c r="IE147" s="73"/>
      <c r="IF147" s="73"/>
      <c r="IG147" s="73"/>
      <c r="IH147" s="73"/>
      <c r="II147" s="73"/>
      <c r="IJ147" s="73"/>
      <c r="IK147" s="73"/>
      <c r="IL147" s="73"/>
      <c r="IM147" s="73"/>
      <c r="IN147" s="73"/>
      <c r="IO147" s="73"/>
      <c r="IP147" s="73"/>
      <c r="IQ147" s="73"/>
      <c r="IR147" s="73"/>
      <c r="IS147" s="73"/>
      <c r="IT147" s="73"/>
      <c r="IU147" s="73"/>
      <c r="IV147" s="73"/>
      <c r="IW147" s="73"/>
      <c r="IX147" s="73"/>
      <c r="IY147" s="73"/>
      <c r="IZ147" s="73"/>
      <c r="JA147" s="73"/>
      <c r="JB147" s="73"/>
      <c r="JC147" s="73"/>
    </row>
    <row r="148" spans="2:263" s="72" customFormat="1">
      <c r="B148" s="73"/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GL148" s="73"/>
      <c r="GM148" s="73"/>
      <c r="GN148" s="73"/>
      <c r="GO148" s="73"/>
      <c r="GP148" s="73"/>
      <c r="GQ148" s="73"/>
      <c r="GR148" s="73"/>
      <c r="GS148" s="73"/>
      <c r="GT148" s="73"/>
      <c r="GU148" s="73"/>
      <c r="GV148" s="73"/>
      <c r="GW148" s="73"/>
      <c r="GX148" s="73"/>
      <c r="GY148" s="73"/>
      <c r="GZ148" s="73"/>
      <c r="HA148" s="73"/>
      <c r="HB148" s="73"/>
      <c r="HC148" s="73"/>
      <c r="HD148" s="73"/>
      <c r="HE148" s="73"/>
      <c r="HF148" s="73"/>
      <c r="HG148" s="73"/>
      <c r="HH148" s="73"/>
      <c r="HI148" s="73"/>
      <c r="HJ148" s="73"/>
      <c r="HK148" s="73"/>
      <c r="HL148" s="73"/>
      <c r="HM148" s="73"/>
      <c r="HN148" s="73"/>
      <c r="HO148" s="73"/>
      <c r="HP148" s="73"/>
      <c r="HQ148" s="73"/>
      <c r="HR148" s="73"/>
      <c r="HS148" s="73"/>
      <c r="HT148" s="73"/>
      <c r="HU148" s="73"/>
      <c r="HV148" s="73"/>
      <c r="HW148" s="73"/>
      <c r="HX148" s="73"/>
      <c r="HY148" s="73"/>
      <c r="HZ148" s="73"/>
      <c r="IA148" s="73"/>
      <c r="IB148" s="73"/>
      <c r="IC148" s="73"/>
      <c r="ID148" s="73"/>
      <c r="IE148" s="73"/>
      <c r="IF148" s="73"/>
      <c r="IG148" s="73"/>
      <c r="IH148" s="73"/>
      <c r="II148" s="73"/>
      <c r="IJ148" s="73"/>
      <c r="IK148" s="73"/>
      <c r="IL148" s="73"/>
      <c r="IM148" s="73"/>
      <c r="IN148" s="73"/>
      <c r="IO148" s="73"/>
      <c r="IP148" s="73"/>
      <c r="IQ148" s="73"/>
      <c r="IR148" s="73"/>
      <c r="IS148" s="73"/>
      <c r="IT148" s="73"/>
      <c r="IU148" s="73"/>
      <c r="IV148" s="73"/>
      <c r="IW148" s="73"/>
      <c r="IX148" s="73"/>
      <c r="IY148" s="73"/>
      <c r="IZ148" s="73"/>
      <c r="JA148" s="73"/>
      <c r="JB148" s="73"/>
      <c r="JC148" s="73"/>
    </row>
    <row r="149" spans="2:263" s="72" customFormat="1">
      <c r="B149" s="73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GL149" s="73"/>
      <c r="GM149" s="73"/>
      <c r="GN149" s="73"/>
      <c r="GO149" s="73"/>
      <c r="GP149" s="73"/>
      <c r="GQ149" s="73"/>
      <c r="GR149" s="73"/>
      <c r="GS149" s="73"/>
      <c r="GT149" s="73"/>
      <c r="GU149" s="73"/>
      <c r="GV149" s="73"/>
      <c r="GW149" s="73"/>
      <c r="GX149" s="73"/>
      <c r="GY149" s="73"/>
      <c r="GZ149" s="73"/>
      <c r="HA149" s="73"/>
      <c r="HB149" s="73"/>
      <c r="HC149" s="73"/>
      <c r="HD149" s="73"/>
      <c r="HE149" s="73"/>
      <c r="HF149" s="73"/>
      <c r="HG149" s="73"/>
      <c r="HH149" s="73"/>
      <c r="HI149" s="73"/>
      <c r="HJ149" s="73"/>
      <c r="HK149" s="73"/>
      <c r="HL149" s="73"/>
      <c r="HM149" s="73"/>
      <c r="HN149" s="73"/>
      <c r="HO149" s="73"/>
      <c r="HP149" s="73"/>
      <c r="HQ149" s="73"/>
      <c r="HR149" s="73"/>
      <c r="HS149" s="73"/>
      <c r="HT149" s="73"/>
      <c r="HU149" s="73"/>
      <c r="HV149" s="73"/>
      <c r="HW149" s="73"/>
      <c r="HX149" s="73"/>
      <c r="HY149" s="73"/>
      <c r="HZ149" s="73"/>
      <c r="IA149" s="73"/>
      <c r="IB149" s="73"/>
      <c r="IC149" s="73"/>
      <c r="ID149" s="73"/>
      <c r="IE149" s="73"/>
      <c r="IF149" s="73"/>
      <c r="IG149" s="73"/>
      <c r="IH149" s="73"/>
      <c r="II149" s="73"/>
      <c r="IJ149" s="73"/>
      <c r="IK149" s="73"/>
      <c r="IL149" s="73"/>
      <c r="IM149" s="73"/>
      <c r="IN149" s="73"/>
      <c r="IO149" s="73"/>
      <c r="IP149" s="73"/>
      <c r="IQ149" s="73"/>
      <c r="IR149" s="73"/>
      <c r="IS149" s="73"/>
      <c r="IT149" s="73"/>
      <c r="IU149" s="73"/>
      <c r="IV149" s="73"/>
      <c r="IW149" s="73"/>
      <c r="IX149" s="73"/>
      <c r="IY149" s="73"/>
      <c r="IZ149" s="73"/>
      <c r="JA149" s="73"/>
      <c r="JB149" s="73"/>
      <c r="JC149" s="73"/>
    </row>
    <row r="150" spans="2:263" s="72" customFormat="1">
      <c r="B150" s="73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GL150" s="73"/>
      <c r="GM150" s="73"/>
      <c r="GN150" s="73"/>
      <c r="GO150" s="73"/>
      <c r="GP150" s="73"/>
      <c r="GQ150" s="73"/>
      <c r="GR150" s="73"/>
      <c r="GS150" s="73"/>
      <c r="GT150" s="73"/>
      <c r="GU150" s="73"/>
      <c r="GV150" s="73"/>
      <c r="GW150" s="73"/>
      <c r="GX150" s="73"/>
      <c r="GY150" s="73"/>
      <c r="GZ150" s="73"/>
      <c r="HA150" s="73"/>
      <c r="HB150" s="73"/>
      <c r="HC150" s="73"/>
      <c r="HD150" s="73"/>
      <c r="HE150" s="73"/>
      <c r="HF150" s="73"/>
      <c r="HG150" s="73"/>
      <c r="HH150" s="73"/>
      <c r="HI150" s="73"/>
      <c r="HJ150" s="73"/>
      <c r="HK150" s="73"/>
      <c r="HL150" s="73"/>
      <c r="HM150" s="73"/>
      <c r="HN150" s="73"/>
      <c r="HO150" s="73"/>
      <c r="HP150" s="73"/>
      <c r="HQ150" s="73"/>
      <c r="HR150" s="73"/>
      <c r="HS150" s="73"/>
      <c r="HT150" s="73"/>
      <c r="HU150" s="73"/>
      <c r="HV150" s="73"/>
      <c r="HW150" s="73"/>
      <c r="HX150" s="73"/>
      <c r="HY150" s="73"/>
      <c r="HZ150" s="73"/>
      <c r="IA150" s="73"/>
      <c r="IB150" s="73"/>
      <c r="IC150" s="73"/>
      <c r="ID150" s="73"/>
      <c r="IE150" s="73"/>
      <c r="IF150" s="73"/>
      <c r="IG150" s="73"/>
      <c r="IH150" s="73"/>
      <c r="II150" s="73"/>
      <c r="IJ150" s="73"/>
      <c r="IK150" s="73"/>
      <c r="IL150" s="73"/>
      <c r="IM150" s="73"/>
      <c r="IN150" s="73"/>
      <c r="IO150" s="73"/>
      <c r="IP150" s="73"/>
      <c r="IQ150" s="73"/>
      <c r="IR150" s="73"/>
      <c r="IS150" s="73"/>
      <c r="IT150" s="73"/>
      <c r="IU150" s="73"/>
      <c r="IV150" s="73"/>
      <c r="IW150" s="73"/>
      <c r="IX150" s="73"/>
      <c r="IY150" s="73"/>
      <c r="IZ150" s="73"/>
      <c r="JA150" s="73"/>
      <c r="JB150" s="73"/>
      <c r="JC150" s="73"/>
    </row>
    <row r="151" spans="2:263" s="72" customFormat="1">
      <c r="B151" s="73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GL151" s="73"/>
      <c r="GM151" s="73"/>
      <c r="GN151" s="73"/>
      <c r="GO151" s="73"/>
      <c r="GP151" s="73"/>
      <c r="GQ151" s="73"/>
      <c r="GR151" s="73"/>
      <c r="GS151" s="73"/>
      <c r="GT151" s="73"/>
      <c r="GU151" s="73"/>
      <c r="GV151" s="73"/>
      <c r="GW151" s="73"/>
      <c r="GX151" s="73"/>
      <c r="GY151" s="73"/>
      <c r="GZ151" s="73"/>
      <c r="HA151" s="73"/>
      <c r="HB151" s="73"/>
      <c r="HC151" s="73"/>
      <c r="HD151" s="73"/>
      <c r="HE151" s="73"/>
      <c r="HF151" s="73"/>
      <c r="HG151" s="73"/>
      <c r="HH151" s="73"/>
      <c r="HI151" s="73"/>
      <c r="HJ151" s="73"/>
      <c r="HK151" s="73"/>
      <c r="HL151" s="73"/>
      <c r="HM151" s="73"/>
      <c r="HN151" s="73"/>
      <c r="HO151" s="73"/>
      <c r="HP151" s="73"/>
      <c r="HQ151" s="73"/>
      <c r="HR151" s="73"/>
      <c r="HS151" s="73"/>
      <c r="HT151" s="73"/>
      <c r="HU151" s="73"/>
      <c r="HV151" s="73"/>
      <c r="HW151" s="73"/>
      <c r="HX151" s="73"/>
      <c r="HY151" s="73"/>
      <c r="HZ151" s="73"/>
      <c r="IA151" s="73"/>
      <c r="IB151" s="73"/>
      <c r="IC151" s="73"/>
      <c r="ID151" s="73"/>
      <c r="IE151" s="73"/>
      <c r="IF151" s="73"/>
      <c r="IG151" s="73"/>
      <c r="IH151" s="73"/>
      <c r="II151" s="73"/>
      <c r="IJ151" s="73"/>
      <c r="IK151" s="73"/>
      <c r="IL151" s="73"/>
      <c r="IM151" s="73"/>
      <c r="IN151" s="73"/>
      <c r="IO151" s="73"/>
      <c r="IP151" s="73"/>
      <c r="IQ151" s="73"/>
      <c r="IR151" s="73"/>
      <c r="IS151" s="73"/>
      <c r="IT151" s="73"/>
      <c r="IU151" s="73"/>
      <c r="IV151" s="73"/>
      <c r="IW151" s="73"/>
      <c r="IX151" s="73"/>
      <c r="IY151" s="73"/>
      <c r="IZ151" s="73"/>
      <c r="JA151" s="73"/>
      <c r="JB151" s="73"/>
      <c r="JC151" s="73"/>
    </row>
    <row r="152" spans="2:263" s="72" customFormat="1">
      <c r="B152" s="73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GL152" s="73"/>
      <c r="GM152" s="73"/>
      <c r="GN152" s="73"/>
      <c r="GO152" s="73"/>
      <c r="GP152" s="73"/>
      <c r="GQ152" s="73"/>
      <c r="GR152" s="73"/>
      <c r="GS152" s="73"/>
      <c r="GT152" s="73"/>
      <c r="GU152" s="73"/>
      <c r="GV152" s="73"/>
      <c r="GW152" s="73"/>
      <c r="GX152" s="73"/>
      <c r="GY152" s="73"/>
      <c r="GZ152" s="73"/>
      <c r="HA152" s="73"/>
      <c r="HB152" s="73"/>
      <c r="HC152" s="73"/>
      <c r="HD152" s="73"/>
      <c r="HE152" s="73"/>
      <c r="HF152" s="73"/>
      <c r="HG152" s="73"/>
      <c r="HH152" s="73"/>
      <c r="HI152" s="73"/>
      <c r="HJ152" s="73"/>
      <c r="HK152" s="73"/>
      <c r="HL152" s="73"/>
      <c r="HM152" s="73"/>
      <c r="HN152" s="73"/>
      <c r="HO152" s="73"/>
      <c r="HP152" s="73"/>
      <c r="HQ152" s="73"/>
      <c r="HR152" s="73"/>
      <c r="HS152" s="73"/>
      <c r="HT152" s="73"/>
      <c r="HU152" s="73"/>
      <c r="HV152" s="73"/>
      <c r="HW152" s="73"/>
      <c r="HX152" s="73"/>
      <c r="HY152" s="73"/>
      <c r="HZ152" s="73"/>
      <c r="IA152" s="73"/>
      <c r="IB152" s="73"/>
      <c r="IC152" s="73"/>
      <c r="ID152" s="73"/>
      <c r="IE152" s="73"/>
      <c r="IF152" s="73"/>
      <c r="IG152" s="73"/>
      <c r="IH152" s="73"/>
      <c r="II152" s="73"/>
      <c r="IJ152" s="73"/>
      <c r="IK152" s="73"/>
      <c r="IL152" s="73"/>
      <c r="IM152" s="73"/>
      <c r="IN152" s="73"/>
      <c r="IO152" s="73"/>
      <c r="IP152" s="73"/>
      <c r="IQ152" s="73"/>
      <c r="IR152" s="73"/>
      <c r="IS152" s="73"/>
      <c r="IT152" s="73"/>
      <c r="IU152" s="73"/>
      <c r="IV152" s="73"/>
      <c r="IW152" s="73"/>
      <c r="IX152" s="73"/>
      <c r="IY152" s="73"/>
      <c r="IZ152" s="73"/>
      <c r="JA152" s="73"/>
      <c r="JB152" s="73"/>
      <c r="JC152" s="73"/>
    </row>
    <row r="153" spans="2:263" s="72" customFormat="1"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GL153" s="73"/>
      <c r="GM153" s="73"/>
      <c r="GN153" s="73"/>
      <c r="GO153" s="73"/>
      <c r="GP153" s="73"/>
      <c r="GQ153" s="73"/>
      <c r="GR153" s="73"/>
      <c r="GS153" s="73"/>
      <c r="GT153" s="73"/>
      <c r="GU153" s="73"/>
      <c r="GV153" s="73"/>
      <c r="GW153" s="73"/>
      <c r="GX153" s="73"/>
      <c r="GY153" s="73"/>
      <c r="GZ153" s="73"/>
      <c r="HA153" s="73"/>
      <c r="HB153" s="73"/>
      <c r="HC153" s="73"/>
      <c r="HD153" s="73"/>
      <c r="HE153" s="73"/>
      <c r="HF153" s="73"/>
      <c r="HG153" s="73"/>
      <c r="HH153" s="73"/>
      <c r="HI153" s="73"/>
      <c r="HJ153" s="73"/>
      <c r="HK153" s="73"/>
      <c r="HL153" s="73"/>
      <c r="HM153" s="73"/>
      <c r="HN153" s="73"/>
      <c r="HO153" s="73"/>
      <c r="HP153" s="73"/>
      <c r="HQ153" s="73"/>
      <c r="HR153" s="73"/>
      <c r="HS153" s="73"/>
      <c r="HT153" s="73"/>
      <c r="HU153" s="73"/>
      <c r="HV153" s="73"/>
      <c r="HW153" s="73"/>
      <c r="HX153" s="73"/>
      <c r="HY153" s="73"/>
      <c r="HZ153" s="73"/>
      <c r="IA153" s="73"/>
      <c r="IB153" s="73"/>
      <c r="IC153" s="73"/>
      <c r="ID153" s="73"/>
      <c r="IE153" s="73"/>
      <c r="IF153" s="73"/>
      <c r="IG153" s="73"/>
      <c r="IH153" s="73"/>
      <c r="II153" s="73"/>
      <c r="IJ153" s="73"/>
      <c r="IK153" s="73"/>
      <c r="IL153" s="73"/>
      <c r="IM153" s="73"/>
      <c r="IN153" s="73"/>
      <c r="IO153" s="73"/>
      <c r="IP153" s="73"/>
      <c r="IQ153" s="73"/>
      <c r="IR153" s="73"/>
      <c r="IS153" s="73"/>
      <c r="IT153" s="73"/>
      <c r="IU153" s="73"/>
      <c r="IV153" s="73"/>
      <c r="IW153" s="73"/>
      <c r="IX153" s="73"/>
      <c r="IY153" s="73"/>
      <c r="IZ153" s="73"/>
      <c r="JA153" s="73"/>
      <c r="JB153" s="73"/>
      <c r="JC153" s="73"/>
    </row>
    <row r="154" spans="2:263" s="72" customFormat="1">
      <c r="B154" s="73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GL154" s="73"/>
      <c r="GM154" s="73"/>
      <c r="GN154" s="73"/>
      <c r="GO154" s="73"/>
      <c r="GP154" s="73"/>
      <c r="GQ154" s="73"/>
      <c r="GR154" s="73"/>
      <c r="GS154" s="73"/>
      <c r="GT154" s="73"/>
      <c r="GU154" s="73"/>
      <c r="GV154" s="73"/>
      <c r="GW154" s="73"/>
      <c r="GX154" s="73"/>
      <c r="GY154" s="73"/>
      <c r="GZ154" s="73"/>
      <c r="HA154" s="73"/>
      <c r="HB154" s="73"/>
      <c r="HC154" s="73"/>
      <c r="HD154" s="73"/>
      <c r="HE154" s="73"/>
      <c r="HF154" s="73"/>
      <c r="HG154" s="73"/>
      <c r="HH154" s="73"/>
      <c r="HI154" s="73"/>
      <c r="HJ154" s="73"/>
      <c r="HK154" s="73"/>
      <c r="HL154" s="73"/>
      <c r="HM154" s="73"/>
      <c r="HN154" s="73"/>
      <c r="HO154" s="73"/>
      <c r="HP154" s="73"/>
      <c r="HQ154" s="73"/>
      <c r="HR154" s="73"/>
      <c r="HS154" s="73"/>
      <c r="HT154" s="73"/>
      <c r="HU154" s="73"/>
      <c r="HV154" s="73"/>
      <c r="HW154" s="73"/>
      <c r="HX154" s="73"/>
      <c r="HY154" s="73"/>
      <c r="HZ154" s="73"/>
      <c r="IA154" s="73"/>
      <c r="IB154" s="73"/>
      <c r="IC154" s="73"/>
      <c r="ID154" s="73"/>
      <c r="IE154" s="73"/>
      <c r="IF154" s="73"/>
      <c r="IG154" s="73"/>
      <c r="IH154" s="73"/>
      <c r="II154" s="73"/>
      <c r="IJ154" s="73"/>
      <c r="IK154" s="73"/>
      <c r="IL154" s="73"/>
      <c r="IM154" s="73"/>
      <c r="IN154" s="73"/>
      <c r="IO154" s="73"/>
      <c r="IP154" s="73"/>
      <c r="IQ154" s="73"/>
      <c r="IR154" s="73"/>
      <c r="IS154" s="73"/>
      <c r="IT154" s="73"/>
      <c r="IU154" s="73"/>
      <c r="IV154" s="73"/>
      <c r="IW154" s="73"/>
      <c r="IX154" s="73"/>
      <c r="IY154" s="73"/>
      <c r="IZ154" s="73"/>
      <c r="JA154" s="73"/>
      <c r="JB154" s="73"/>
      <c r="JC154" s="73"/>
    </row>
    <row r="155" spans="2:263" s="72" customFormat="1">
      <c r="B155" s="73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GL155" s="73"/>
      <c r="GM155" s="73"/>
      <c r="GN155" s="73"/>
      <c r="GO155" s="73"/>
      <c r="GP155" s="73"/>
      <c r="GQ155" s="73"/>
      <c r="GR155" s="73"/>
      <c r="GS155" s="73"/>
      <c r="GT155" s="73"/>
      <c r="GU155" s="73"/>
      <c r="GV155" s="73"/>
      <c r="GW155" s="73"/>
      <c r="GX155" s="73"/>
      <c r="GY155" s="73"/>
      <c r="GZ155" s="73"/>
      <c r="HA155" s="73"/>
      <c r="HB155" s="73"/>
      <c r="HC155" s="73"/>
      <c r="HD155" s="73"/>
      <c r="HE155" s="73"/>
      <c r="HF155" s="73"/>
      <c r="HG155" s="73"/>
      <c r="HH155" s="73"/>
      <c r="HI155" s="73"/>
      <c r="HJ155" s="73"/>
      <c r="HK155" s="73"/>
      <c r="HL155" s="73"/>
      <c r="HM155" s="73"/>
      <c r="HN155" s="73"/>
      <c r="HO155" s="73"/>
      <c r="HP155" s="73"/>
      <c r="HQ155" s="73"/>
      <c r="HR155" s="73"/>
      <c r="HS155" s="73"/>
      <c r="HT155" s="73"/>
      <c r="HU155" s="73"/>
      <c r="HV155" s="73"/>
      <c r="HW155" s="73"/>
      <c r="HX155" s="73"/>
      <c r="HY155" s="73"/>
      <c r="HZ155" s="73"/>
      <c r="IA155" s="73"/>
      <c r="IB155" s="73"/>
      <c r="IC155" s="73"/>
      <c r="ID155" s="73"/>
      <c r="IE155" s="73"/>
      <c r="IF155" s="73"/>
      <c r="IG155" s="73"/>
      <c r="IH155" s="73"/>
      <c r="II155" s="73"/>
      <c r="IJ155" s="73"/>
      <c r="IK155" s="73"/>
      <c r="IL155" s="73"/>
      <c r="IM155" s="73"/>
      <c r="IN155" s="73"/>
      <c r="IO155" s="73"/>
      <c r="IP155" s="73"/>
      <c r="IQ155" s="73"/>
      <c r="IR155" s="73"/>
      <c r="IS155" s="73"/>
      <c r="IT155" s="73"/>
      <c r="IU155" s="73"/>
      <c r="IV155" s="73"/>
      <c r="IW155" s="73"/>
      <c r="IX155" s="73"/>
      <c r="IY155" s="73"/>
      <c r="IZ155" s="73"/>
      <c r="JA155" s="73"/>
      <c r="JB155" s="73"/>
      <c r="JC155" s="73"/>
    </row>
    <row r="156" spans="2:263" s="72" customFormat="1">
      <c r="B156" s="73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GL156" s="73"/>
      <c r="GM156" s="73"/>
      <c r="GN156" s="73"/>
      <c r="GO156" s="73"/>
      <c r="GP156" s="73"/>
      <c r="GQ156" s="73"/>
      <c r="GR156" s="73"/>
      <c r="GS156" s="73"/>
      <c r="GT156" s="73"/>
      <c r="GU156" s="73"/>
      <c r="GV156" s="73"/>
      <c r="GW156" s="73"/>
      <c r="GX156" s="73"/>
      <c r="GY156" s="73"/>
      <c r="GZ156" s="73"/>
      <c r="HA156" s="73"/>
      <c r="HB156" s="73"/>
      <c r="HC156" s="73"/>
      <c r="HD156" s="73"/>
      <c r="HE156" s="73"/>
      <c r="HF156" s="73"/>
      <c r="HG156" s="73"/>
      <c r="HH156" s="73"/>
      <c r="HI156" s="73"/>
      <c r="HJ156" s="73"/>
      <c r="HK156" s="73"/>
      <c r="HL156" s="73"/>
      <c r="HM156" s="73"/>
      <c r="HN156" s="73"/>
      <c r="HO156" s="73"/>
      <c r="HP156" s="73"/>
      <c r="HQ156" s="73"/>
      <c r="HR156" s="73"/>
      <c r="HS156" s="73"/>
      <c r="HT156" s="73"/>
      <c r="HU156" s="73"/>
      <c r="HV156" s="73"/>
      <c r="HW156" s="73"/>
      <c r="HX156" s="73"/>
      <c r="HY156" s="73"/>
      <c r="HZ156" s="73"/>
      <c r="IA156" s="73"/>
      <c r="IB156" s="73"/>
      <c r="IC156" s="73"/>
      <c r="ID156" s="73"/>
      <c r="IE156" s="73"/>
      <c r="IF156" s="73"/>
      <c r="IG156" s="73"/>
      <c r="IH156" s="73"/>
      <c r="II156" s="73"/>
      <c r="IJ156" s="73"/>
      <c r="IK156" s="73"/>
      <c r="IL156" s="73"/>
      <c r="IM156" s="73"/>
      <c r="IN156" s="73"/>
      <c r="IO156" s="73"/>
      <c r="IP156" s="73"/>
      <c r="IQ156" s="73"/>
      <c r="IR156" s="73"/>
      <c r="IS156" s="73"/>
      <c r="IT156" s="73"/>
      <c r="IU156" s="73"/>
      <c r="IV156" s="73"/>
      <c r="IW156" s="73"/>
      <c r="IX156" s="73"/>
      <c r="IY156" s="73"/>
      <c r="IZ156" s="73"/>
      <c r="JA156" s="73"/>
      <c r="JB156" s="73"/>
      <c r="JC156" s="73"/>
    </row>
    <row r="157" spans="2:263" s="72" customFormat="1">
      <c r="B157" s="73"/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GL157" s="73"/>
      <c r="GM157" s="73"/>
      <c r="GN157" s="73"/>
      <c r="GO157" s="73"/>
      <c r="GP157" s="73"/>
      <c r="GQ157" s="73"/>
      <c r="GR157" s="73"/>
      <c r="GS157" s="73"/>
      <c r="GT157" s="73"/>
      <c r="GU157" s="73"/>
      <c r="GV157" s="73"/>
      <c r="GW157" s="73"/>
      <c r="GX157" s="73"/>
      <c r="GY157" s="73"/>
      <c r="GZ157" s="73"/>
      <c r="HA157" s="73"/>
      <c r="HB157" s="73"/>
      <c r="HC157" s="73"/>
      <c r="HD157" s="73"/>
      <c r="HE157" s="73"/>
      <c r="HF157" s="73"/>
      <c r="HG157" s="73"/>
      <c r="HH157" s="73"/>
      <c r="HI157" s="73"/>
      <c r="HJ157" s="73"/>
      <c r="HK157" s="73"/>
      <c r="HL157" s="73"/>
      <c r="HM157" s="73"/>
      <c r="HN157" s="73"/>
      <c r="HO157" s="73"/>
      <c r="HP157" s="73"/>
      <c r="HQ157" s="73"/>
      <c r="HR157" s="73"/>
      <c r="HS157" s="73"/>
      <c r="HT157" s="73"/>
      <c r="HU157" s="73"/>
      <c r="HV157" s="73"/>
      <c r="HW157" s="73"/>
      <c r="HX157" s="73"/>
      <c r="HY157" s="73"/>
      <c r="HZ157" s="73"/>
      <c r="IA157" s="73"/>
      <c r="IB157" s="73"/>
      <c r="IC157" s="73"/>
      <c r="ID157" s="73"/>
      <c r="IE157" s="73"/>
      <c r="IF157" s="73"/>
      <c r="IG157" s="73"/>
      <c r="IH157" s="73"/>
      <c r="II157" s="73"/>
      <c r="IJ157" s="73"/>
      <c r="IK157" s="73"/>
      <c r="IL157" s="73"/>
      <c r="IM157" s="73"/>
      <c r="IN157" s="73"/>
      <c r="IO157" s="73"/>
      <c r="IP157" s="73"/>
      <c r="IQ157" s="73"/>
      <c r="IR157" s="73"/>
      <c r="IS157" s="73"/>
      <c r="IT157" s="73"/>
      <c r="IU157" s="73"/>
      <c r="IV157" s="73"/>
      <c r="IW157" s="73"/>
      <c r="IX157" s="73"/>
      <c r="IY157" s="73"/>
      <c r="IZ157" s="73"/>
      <c r="JA157" s="73"/>
      <c r="JB157" s="73"/>
      <c r="JC157" s="73"/>
    </row>
    <row r="158" spans="2:263" s="72" customFormat="1">
      <c r="B158" s="73"/>
      <c r="C158" s="73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GL158" s="73"/>
      <c r="GM158" s="73"/>
      <c r="GN158" s="73"/>
      <c r="GO158" s="73"/>
      <c r="GP158" s="73"/>
      <c r="GQ158" s="73"/>
      <c r="GR158" s="73"/>
      <c r="GS158" s="73"/>
      <c r="GT158" s="73"/>
      <c r="GU158" s="73"/>
      <c r="GV158" s="73"/>
      <c r="GW158" s="73"/>
      <c r="GX158" s="73"/>
      <c r="GY158" s="73"/>
      <c r="GZ158" s="73"/>
      <c r="HA158" s="73"/>
      <c r="HB158" s="73"/>
      <c r="HC158" s="73"/>
      <c r="HD158" s="73"/>
      <c r="HE158" s="73"/>
      <c r="HF158" s="73"/>
      <c r="HG158" s="73"/>
      <c r="HH158" s="73"/>
      <c r="HI158" s="73"/>
      <c r="HJ158" s="73"/>
      <c r="HK158" s="73"/>
      <c r="HL158" s="73"/>
      <c r="HM158" s="73"/>
      <c r="HN158" s="73"/>
      <c r="HO158" s="73"/>
      <c r="HP158" s="73"/>
      <c r="HQ158" s="73"/>
      <c r="HR158" s="73"/>
      <c r="HS158" s="73"/>
      <c r="HT158" s="73"/>
      <c r="HU158" s="73"/>
      <c r="HV158" s="73"/>
      <c r="HW158" s="73"/>
      <c r="HX158" s="73"/>
      <c r="HY158" s="73"/>
      <c r="HZ158" s="73"/>
      <c r="IA158" s="73"/>
      <c r="IB158" s="73"/>
      <c r="IC158" s="73"/>
      <c r="ID158" s="73"/>
      <c r="IE158" s="73"/>
      <c r="IF158" s="73"/>
      <c r="IG158" s="73"/>
      <c r="IH158" s="73"/>
      <c r="II158" s="73"/>
      <c r="IJ158" s="73"/>
      <c r="IK158" s="73"/>
      <c r="IL158" s="73"/>
      <c r="IM158" s="73"/>
      <c r="IN158" s="73"/>
      <c r="IO158" s="73"/>
      <c r="IP158" s="73"/>
      <c r="IQ158" s="73"/>
      <c r="IR158" s="73"/>
      <c r="IS158" s="73"/>
      <c r="IT158" s="73"/>
      <c r="IU158" s="73"/>
      <c r="IV158" s="73"/>
      <c r="IW158" s="73"/>
      <c r="IX158" s="73"/>
      <c r="IY158" s="73"/>
      <c r="IZ158" s="73"/>
      <c r="JA158" s="73"/>
      <c r="JB158" s="73"/>
      <c r="JC158" s="73"/>
    </row>
    <row r="159" spans="2:263" s="72" customFormat="1">
      <c r="B159" s="73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GL159" s="73"/>
      <c r="GM159" s="73"/>
      <c r="GN159" s="73"/>
      <c r="GO159" s="73"/>
      <c r="GP159" s="73"/>
      <c r="GQ159" s="73"/>
      <c r="GR159" s="73"/>
      <c r="GS159" s="73"/>
      <c r="GT159" s="73"/>
      <c r="GU159" s="73"/>
      <c r="GV159" s="73"/>
      <c r="GW159" s="73"/>
      <c r="GX159" s="73"/>
      <c r="GY159" s="73"/>
      <c r="GZ159" s="73"/>
      <c r="HA159" s="73"/>
      <c r="HB159" s="73"/>
      <c r="HC159" s="73"/>
      <c r="HD159" s="73"/>
      <c r="HE159" s="73"/>
      <c r="HF159" s="73"/>
      <c r="HG159" s="73"/>
      <c r="HH159" s="73"/>
      <c r="HI159" s="73"/>
      <c r="HJ159" s="73"/>
      <c r="HK159" s="73"/>
      <c r="HL159" s="73"/>
      <c r="HM159" s="73"/>
      <c r="HN159" s="73"/>
      <c r="HO159" s="73"/>
      <c r="HP159" s="73"/>
      <c r="HQ159" s="73"/>
      <c r="HR159" s="73"/>
      <c r="HS159" s="73"/>
      <c r="HT159" s="73"/>
      <c r="HU159" s="73"/>
      <c r="HV159" s="73"/>
      <c r="HW159" s="73"/>
      <c r="HX159" s="73"/>
      <c r="HY159" s="73"/>
      <c r="HZ159" s="73"/>
      <c r="IA159" s="73"/>
      <c r="IB159" s="73"/>
      <c r="IC159" s="73"/>
      <c r="ID159" s="73"/>
      <c r="IE159" s="73"/>
      <c r="IF159" s="73"/>
      <c r="IG159" s="73"/>
      <c r="IH159" s="73"/>
      <c r="II159" s="73"/>
      <c r="IJ159" s="73"/>
      <c r="IK159" s="73"/>
      <c r="IL159" s="73"/>
      <c r="IM159" s="73"/>
      <c r="IN159" s="73"/>
      <c r="IO159" s="73"/>
      <c r="IP159" s="73"/>
      <c r="IQ159" s="73"/>
      <c r="IR159" s="73"/>
      <c r="IS159" s="73"/>
      <c r="IT159" s="73"/>
      <c r="IU159" s="73"/>
      <c r="IV159" s="73"/>
      <c r="IW159" s="73"/>
      <c r="IX159" s="73"/>
      <c r="IY159" s="73"/>
      <c r="IZ159" s="73"/>
      <c r="JA159" s="73"/>
      <c r="JB159" s="73"/>
      <c r="JC159" s="73"/>
    </row>
    <row r="160" spans="2:263" s="72" customFormat="1">
      <c r="B160" s="73"/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GL160" s="73"/>
      <c r="GM160" s="73"/>
      <c r="GN160" s="73"/>
      <c r="GO160" s="73"/>
      <c r="GP160" s="73"/>
      <c r="GQ160" s="73"/>
      <c r="GR160" s="73"/>
      <c r="GS160" s="73"/>
      <c r="GT160" s="73"/>
      <c r="GU160" s="73"/>
      <c r="GV160" s="73"/>
      <c r="GW160" s="73"/>
      <c r="GX160" s="73"/>
      <c r="GY160" s="73"/>
      <c r="GZ160" s="73"/>
      <c r="HA160" s="73"/>
      <c r="HB160" s="73"/>
      <c r="HC160" s="73"/>
      <c r="HD160" s="73"/>
      <c r="HE160" s="73"/>
      <c r="HF160" s="73"/>
      <c r="HG160" s="73"/>
      <c r="HH160" s="73"/>
      <c r="HI160" s="73"/>
      <c r="HJ160" s="73"/>
      <c r="HK160" s="73"/>
      <c r="HL160" s="73"/>
      <c r="HM160" s="73"/>
      <c r="HN160" s="73"/>
      <c r="HO160" s="73"/>
      <c r="HP160" s="73"/>
      <c r="HQ160" s="73"/>
      <c r="HR160" s="73"/>
      <c r="HS160" s="73"/>
      <c r="HT160" s="73"/>
      <c r="HU160" s="73"/>
      <c r="HV160" s="73"/>
      <c r="HW160" s="73"/>
      <c r="HX160" s="73"/>
      <c r="HY160" s="73"/>
      <c r="HZ160" s="73"/>
      <c r="IA160" s="73"/>
      <c r="IB160" s="73"/>
      <c r="IC160" s="73"/>
      <c r="ID160" s="73"/>
      <c r="IE160" s="73"/>
      <c r="IF160" s="73"/>
      <c r="IG160" s="73"/>
      <c r="IH160" s="73"/>
      <c r="II160" s="73"/>
      <c r="IJ160" s="73"/>
      <c r="IK160" s="73"/>
      <c r="IL160" s="73"/>
      <c r="IM160" s="73"/>
      <c r="IN160" s="73"/>
      <c r="IO160" s="73"/>
      <c r="IP160" s="73"/>
      <c r="IQ160" s="73"/>
      <c r="IR160" s="73"/>
      <c r="IS160" s="73"/>
      <c r="IT160" s="73"/>
      <c r="IU160" s="73"/>
      <c r="IV160" s="73"/>
      <c r="IW160" s="73"/>
      <c r="IX160" s="73"/>
      <c r="IY160" s="73"/>
      <c r="IZ160" s="73"/>
      <c r="JA160" s="73"/>
      <c r="JB160" s="73"/>
      <c r="JC160" s="73"/>
    </row>
    <row r="161" spans="2:263" s="72" customFormat="1">
      <c r="B161" s="73"/>
      <c r="C161" s="73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GL161" s="73"/>
      <c r="GM161" s="73"/>
      <c r="GN161" s="73"/>
      <c r="GO161" s="73"/>
      <c r="GP161" s="73"/>
      <c r="GQ161" s="73"/>
      <c r="GR161" s="73"/>
      <c r="GS161" s="73"/>
      <c r="GT161" s="73"/>
      <c r="GU161" s="73"/>
      <c r="GV161" s="73"/>
      <c r="GW161" s="73"/>
      <c r="GX161" s="73"/>
      <c r="GY161" s="73"/>
      <c r="GZ161" s="73"/>
      <c r="HA161" s="73"/>
      <c r="HB161" s="73"/>
      <c r="HC161" s="73"/>
      <c r="HD161" s="73"/>
      <c r="HE161" s="73"/>
      <c r="HF161" s="73"/>
      <c r="HG161" s="73"/>
      <c r="HH161" s="73"/>
      <c r="HI161" s="73"/>
      <c r="HJ161" s="73"/>
      <c r="HK161" s="73"/>
      <c r="HL161" s="73"/>
      <c r="HM161" s="73"/>
      <c r="HN161" s="73"/>
      <c r="HO161" s="73"/>
      <c r="HP161" s="73"/>
      <c r="HQ161" s="73"/>
      <c r="HR161" s="73"/>
      <c r="HS161" s="73"/>
      <c r="HT161" s="73"/>
      <c r="HU161" s="73"/>
      <c r="HV161" s="73"/>
      <c r="HW161" s="73"/>
      <c r="HX161" s="73"/>
      <c r="HY161" s="73"/>
      <c r="HZ161" s="73"/>
      <c r="IA161" s="73"/>
      <c r="IB161" s="73"/>
      <c r="IC161" s="73"/>
      <c r="ID161" s="73"/>
      <c r="IE161" s="73"/>
      <c r="IF161" s="73"/>
      <c r="IG161" s="73"/>
      <c r="IH161" s="73"/>
      <c r="II161" s="73"/>
      <c r="IJ161" s="73"/>
      <c r="IK161" s="73"/>
      <c r="IL161" s="73"/>
      <c r="IM161" s="73"/>
      <c r="IN161" s="73"/>
      <c r="IO161" s="73"/>
      <c r="IP161" s="73"/>
      <c r="IQ161" s="73"/>
      <c r="IR161" s="73"/>
      <c r="IS161" s="73"/>
      <c r="IT161" s="73"/>
      <c r="IU161" s="73"/>
      <c r="IV161" s="73"/>
      <c r="IW161" s="73"/>
      <c r="IX161" s="73"/>
      <c r="IY161" s="73"/>
      <c r="IZ161" s="73"/>
      <c r="JA161" s="73"/>
      <c r="JB161" s="73"/>
      <c r="JC161" s="73"/>
    </row>
    <row r="162" spans="2:263" s="72" customFormat="1">
      <c r="B162" s="73"/>
      <c r="C162" s="73"/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GL162" s="73"/>
      <c r="GM162" s="73"/>
      <c r="GN162" s="73"/>
      <c r="GO162" s="73"/>
      <c r="GP162" s="73"/>
      <c r="GQ162" s="73"/>
      <c r="GR162" s="73"/>
      <c r="GS162" s="73"/>
      <c r="GT162" s="73"/>
      <c r="GU162" s="73"/>
      <c r="GV162" s="73"/>
      <c r="GW162" s="73"/>
      <c r="GX162" s="73"/>
      <c r="GY162" s="73"/>
      <c r="GZ162" s="73"/>
      <c r="HA162" s="73"/>
      <c r="HB162" s="73"/>
      <c r="HC162" s="73"/>
      <c r="HD162" s="73"/>
      <c r="HE162" s="73"/>
      <c r="HF162" s="73"/>
      <c r="HG162" s="73"/>
      <c r="HH162" s="73"/>
      <c r="HI162" s="73"/>
      <c r="HJ162" s="73"/>
      <c r="HK162" s="73"/>
      <c r="HL162" s="73"/>
      <c r="HM162" s="73"/>
      <c r="HN162" s="73"/>
      <c r="HO162" s="73"/>
      <c r="HP162" s="73"/>
      <c r="HQ162" s="73"/>
      <c r="HR162" s="73"/>
      <c r="HS162" s="73"/>
      <c r="HT162" s="73"/>
      <c r="HU162" s="73"/>
      <c r="HV162" s="73"/>
      <c r="HW162" s="73"/>
      <c r="HX162" s="73"/>
      <c r="HY162" s="73"/>
      <c r="HZ162" s="73"/>
      <c r="IA162" s="73"/>
      <c r="IB162" s="73"/>
      <c r="IC162" s="73"/>
      <c r="ID162" s="73"/>
      <c r="IE162" s="73"/>
      <c r="IF162" s="73"/>
      <c r="IG162" s="73"/>
      <c r="IH162" s="73"/>
      <c r="II162" s="73"/>
      <c r="IJ162" s="73"/>
      <c r="IK162" s="73"/>
      <c r="IL162" s="73"/>
      <c r="IM162" s="73"/>
      <c r="IN162" s="73"/>
      <c r="IO162" s="73"/>
      <c r="IP162" s="73"/>
      <c r="IQ162" s="73"/>
      <c r="IR162" s="73"/>
      <c r="IS162" s="73"/>
      <c r="IT162" s="73"/>
      <c r="IU162" s="73"/>
      <c r="IV162" s="73"/>
      <c r="IW162" s="73"/>
      <c r="IX162" s="73"/>
      <c r="IY162" s="73"/>
      <c r="IZ162" s="73"/>
      <c r="JA162" s="73"/>
      <c r="JB162" s="73"/>
      <c r="JC162" s="73"/>
    </row>
    <row r="163" spans="2:263" s="72" customFormat="1">
      <c r="B163" s="73"/>
      <c r="C163" s="73"/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GL163" s="73"/>
      <c r="GM163" s="73"/>
      <c r="GN163" s="73"/>
      <c r="GO163" s="73"/>
      <c r="GP163" s="73"/>
      <c r="GQ163" s="73"/>
      <c r="GR163" s="73"/>
      <c r="GS163" s="73"/>
      <c r="GT163" s="73"/>
      <c r="GU163" s="73"/>
      <c r="GV163" s="73"/>
      <c r="GW163" s="73"/>
      <c r="GX163" s="73"/>
      <c r="GY163" s="73"/>
      <c r="GZ163" s="73"/>
      <c r="HA163" s="73"/>
      <c r="HB163" s="73"/>
      <c r="HC163" s="73"/>
      <c r="HD163" s="73"/>
      <c r="HE163" s="73"/>
      <c r="HF163" s="73"/>
      <c r="HG163" s="73"/>
      <c r="HH163" s="73"/>
      <c r="HI163" s="73"/>
      <c r="HJ163" s="73"/>
      <c r="HK163" s="73"/>
      <c r="HL163" s="73"/>
      <c r="HM163" s="73"/>
      <c r="HN163" s="73"/>
      <c r="HO163" s="73"/>
      <c r="HP163" s="73"/>
      <c r="HQ163" s="73"/>
      <c r="HR163" s="73"/>
      <c r="HS163" s="73"/>
      <c r="HT163" s="73"/>
      <c r="HU163" s="73"/>
      <c r="HV163" s="73"/>
      <c r="HW163" s="73"/>
      <c r="HX163" s="73"/>
      <c r="HY163" s="73"/>
      <c r="HZ163" s="73"/>
      <c r="IA163" s="73"/>
      <c r="IB163" s="73"/>
      <c r="IC163" s="73"/>
      <c r="ID163" s="73"/>
      <c r="IE163" s="73"/>
      <c r="IF163" s="73"/>
      <c r="IG163" s="73"/>
      <c r="IH163" s="73"/>
      <c r="II163" s="73"/>
      <c r="IJ163" s="73"/>
      <c r="IK163" s="73"/>
      <c r="IL163" s="73"/>
      <c r="IM163" s="73"/>
      <c r="IN163" s="73"/>
      <c r="IO163" s="73"/>
      <c r="IP163" s="73"/>
      <c r="IQ163" s="73"/>
      <c r="IR163" s="73"/>
      <c r="IS163" s="73"/>
      <c r="IT163" s="73"/>
      <c r="IU163" s="73"/>
      <c r="IV163" s="73"/>
      <c r="IW163" s="73"/>
      <c r="IX163" s="73"/>
      <c r="IY163" s="73"/>
      <c r="IZ163" s="73"/>
      <c r="JA163" s="73"/>
      <c r="JB163" s="73"/>
      <c r="JC163" s="73"/>
    </row>
    <row r="164" spans="2:263" s="72" customFormat="1">
      <c r="B164" s="73"/>
      <c r="C164" s="73"/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GL164" s="73"/>
      <c r="GM164" s="73"/>
      <c r="GN164" s="73"/>
      <c r="GO164" s="73"/>
      <c r="GP164" s="73"/>
      <c r="GQ164" s="73"/>
      <c r="GR164" s="73"/>
      <c r="GS164" s="73"/>
      <c r="GT164" s="73"/>
      <c r="GU164" s="73"/>
      <c r="GV164" s="73"/>
      <c r="GW164" s="73"/>
      <c r="GX164" s="73"/>
      <c r="GY164" s="73"/>
      <c r="GZ164" s="73"/>
      <c r="HA164" s="73"/>
      <c r="HB164" s="73"/>
      <c r="HC164" s="73"/>
      <c r="HD164" s="73"/>
      <c r="HE164" s="73"/>
      <c r="HF164" s="73"/>
      <c r="HG164" s="73"/>
      <c r="HH164" s="73"/>
      <c r="HI164" s="73"/>
      <c r="HJ164" s="73"/>
      <c r="HK164" s="73"/>
      <c r="HL164" s="73"/>
      <c r="HM164" s="73"/>
      <c r="HN164" s="73"/>
      <c r="HO164" s="73"/>
      <c r="HP164" s="73"/>
      <c r="HQ164" s="73"/>
      <c r="HR164" s="73"/>
      <c r="HS164" s="73"/>
      <c r="HT164" s="73"/>
      <c r="HU164" s="73"/>
      <c r="HV164" s="73"/>
      <c r="HW164" s="73"/>
      <c r="HX164" s="73"/>
      <c r="HY164" s="73"/>
      <c r="HZ164" s="73"/>
      <c r="IA164" s="73"/>
      <c r="IB164" s="73"/>
      <c r="IC164" s="73"/>
      <c r="ID164" s="73"/>
      <c r="IE164" s="73"/>
      <c r="IF164" s="73"/>
      <c r="IG164" s="73"/>
      <c r="IH164" s="73"/>
      <c r="II164" s="73"/>
      <c r="IJ164" s="73"/>
      <c r="IK164" s="73"/>
      <c r="IL164" s="73"/>
      <c r="IM164" s="73"/>
      <c r="IN164" s="73"/>
      <c r="IO164" s="73"/>
      <c r="IP164" s="73"/>
      <c r="IQ164" s="73"/>
      <c r="IR164" s="73"/>
      <c r="IS164" s="73"/>
      <c r="IT164" s="73"/>
      <c r="IU164" s="73"/>
      <c r="IV164" s="73"/>
      <c r="IW164" s="73"/>
      <c r="IX164" s="73"/>
      <c r="IY164" s="73"/>
      <c r="IZ164" s="73"/>
      <c r="JA164" s="73"/>
      <c r="JB164" s="73"/>
      <c r="JC164" s="73"/>
    </row>
    <row r="165" spans="2:263" s="72" customFormat="1">
      <c r="B165" s="73"/>
      <c r="C165" s="73"/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GL165" s="73"/>
      <c r="GM165" s="73"/>
      <c r="GN165" s="73"/>
      <c r="GO165" s="73"/>
      <c r="GP165" s="73"/>
      <c r="GQ165" s="73"/>
      <c r="GR165" s="73"/>
      <c r="GS165" s="73"/>
      <c r="GT165" s="73"/>
      <c r="GU165" s="73"/>
      <c r="GV165" s="73"/>
      <c r="GW165" s="73"/>
      <c r="GX165" s="73"/>
      <c r="GY165" s="73"/>
      <c r="GZ165" s="73"/>
      <c r="HA165" s="73"/>
      <c r="HB165" s="73"/>
      <c r="HC165" s="73"/>
      <c r="HD165" s="73"/>
      <c r="HE165" s="73"/>
      <c r="HF165" s="73"/>
      <c r="HG165" s="73"/>
      <c r="HH165" s="73"/>
      <c r="HI165" s="73"/>
      <c r="HJ165" s="73"/>
      <c r="HK165" s="73"/>
      <c r="HL165" s="73"/>
      <c r="HM165" s="73"/>
      <c r="HN165" s="73"/>
      <c r="HO165" s="73"/>
      <c r="HP165" s="73"/>
      <c r="HQ165" s="73"/>
      <c r="HR165" s="73"/>
      <c r="HS165" s="73"/>
      <c r="HT165" s="73"/>
      <c r="HU165" s="73"/>
      <c r="HV165" s="73"/>
      <c r="HW165" s="73"/>
      <c r="HX165" s="73"/>
      <c r="HY165" s="73"/>
      <c r="HZ165" s="73"/>
      <c r="IA165" s="73"/>
      <c r="IB165" s="73"/>
      <c r="IC165" s="73"/>
      <c r="ID165" s="73"/>
      <c r="IE165" s="73"/>
      <c r="IF165" s="73"/>
      <c r="IG165" s="73"/>
      <c r="IH165" s="73"/>
      <c r="II165" s="73"/>
      <c r="IJ165" s="73"/>
      <c r="IK165" s="73"/>
      <c r="IL165" s="73"/>
      <c r="IM165" s="73"/>
      <c r="IN165" s="73"/>
      <c r="IO165" s="73"/>
      <c r="IP165" s="73"/>
      <c r="IQ165" s="73"/>
      <c r="IR165" s="73"/>
      <c r="IS165" s="73"/>
      <c r="IT165" s="73"/>
      <c r="IU165" s="73"/>
      <c r="IV165" s="73"/>
      <c r="IW165" s="73"/>
      <c r="IX165" s="73"/>
      <c r="IY165" s="73"/>
      <c r="IZ165" s="73"/>
      <c r="JA165" s="73"/>
      <c r="JB165" s="73"/>
      <c r="JC165" s="73"/>
    </row>
    <row r="166" spans="2:263" s="72" customFormat="1">
      <c r="B166" s="73"/>
      <c r="C166" s="73"/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GL166" s="73"/>
      <c r="GM166" s="73"/>
      <c r="GN166" s="73"/>
      <c r="GO166" s="73"/>
      <c r="GP166" s="73"/>
      <c r="GQ166" s="73"/>
      <c r="GR166" s="73"/>
      <c r="GS166" s="73"/>
      <c r="GT166" s="73"/>
      <c r="GU166" s="73"/>
      <c r="GV166" s="73"/>
      <c r="GW166" s="73"/>
      <c r="GX166" s="73"/>
      <c r="GY166" s="73"/>
      <c r="GZ166" s="73"/>
      <c r="HA166" s="73"/>
      <c r="HB166" s="73"/>
      <c r="HC166" s="73"/>
      <c r="HD166" s="73"/>
      <c r="HE166" s="73"/>
      <c r="HF166" s="73"/>
      <c r="HG166" s="73"/>
      <c r="HH166" s="73"/>
      <c r="HI166" s="73"/>
      <c r="HJ166" s="73"/>
      <c r="HK166" s="73"/>
      <c r="HL166" s="73"/>
      <c r="HM166" s="73"/>
      <c r="HN166" s="73"/>
      <c r="HO166" s="73"/>
      <c r="HP166" s="73"/>
      <c r="HQ166" s="73"/>
      <c r="HR166" s="73"/>
      <c r="HS166" s="73"/>
      <c r="HT166" s="73"/>
      <c r="HU166" s="73"/>
      <c r="HV166" s="73"/>
      <c r="HW166" s="73"/>
      <c r="HX166" s="73"/>
      <c r="HY166" s="73"/>
      <c r="HZ166" s="73"/>
      <c r="IA166" s="73"/>
      <c r="IB166" s="73"/>
      <c r="IC166" s="73"/>
      <c r="ID166" s="73"/>
      <c r="IE166" s="73"/>
      <c r="IF166" s="73"/>
      <c r="IG166" s="73"/>
      <c r="IH166" s="73"/>
      <c r="II166" s="73"/>
      <c r="IJ166" s="73"/>
      <c r="IK166" s="73"/>
      <c r="IL166" s="73"/>
      <c r="IM166" s="73"/>
      <c r="IN166" s="73"/>
      <c r="IO166" s="73"/>
      <c r="IP166" s="73"/>
      <c r="IQ166" s="73"/>
      <c r="IR166" s="73"/>
      <c r="IS166" s="73"/>
      <c r="IT166" s="73"/>
      <c r="IU166" s="73"/>
      <c r="IV166" s="73"/>
      <c r="IW166" s="73"/>
      <c r="IX166" s="73"/>
      <c r="IY166" s="73"/>
      <c r="IZ166" s="73"/>
      <c r="JA166" s="73"/>
      <c r="JB166" s="73"/>
      <c r="JC166" s="73"/>
    </row>
    <row r="167" spans="2:263" s="72" customFormat="1">
      <c r="B167" s="73"/>
      <c r="C167" s="73"/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GL167" s="73"/>
      <c r="GM167" s="73"/>
      <c r="GN167" s="73"/>
      <c r="GO167" s="73"/>
      <c r="GP167" s="73"/>
      <c r="GQ167" s="73"/>
      <c r="GR167" s="73"/>
      <c r="GS167" s="73"/>
      <c r="GT167" s="73"/>
      <c r="GU167" s="73"/>
      <c r="GV167" s="73"/>
      <c r="GW167" s="73"/>
      <c r="GX167" s="73"/>
      <c r="GY167" s="73"/>
      <c r="GZ167" s="73"/>
      <c r="HA167" s="73"/>
      <c r="HB167" s="73"/>
      <c r="HC167" s="73"/>
      <c r="HD167" s="73"/>
      <c r="HE167" s="73"/>
      <c r="HF167" s="73"/>
      <c r="HG167" s="73"/>
      <c r="HH167" s="73"/>
      <c r="HI167" s="73"/>
      <c r="HJ167" s="73"/>
      <c r="HK167" s="73"/>
      <c r="HL167" s="73"/>
      <c r="HM167" s="73"/>
      <c r="HN167" s="73"/>
      <c r="HO167" s="73"/>
      <c r="HP167" s="73"/>
      <c r="HQ167" s="73"/>
      <c r="HR167" s="73"/>
      <c r="HS167" s="73"/>
      <c r="HT167" s="73"/>
      <c r="HU167" s="73"/>
      <c r="HV167" s="73"/>
      <c r="HW167" s="73"/>
      <c r="HX167" s="73"/>
      <c r="HY167" s="73"/>
      <c r="HZ167" s="73"/>
      <c r="IA167" s="73"/>
      <c r="IB167" s="73"/>
      <c r="IC167" s="73"/>
      <c r="ID167" s="73"/>
      <c r="IE167" s="73"/>
      <c r="IF167" s="73"/>
      <c r="IG167" s="73"/>
      <c r="IH167" s="73"/>
      <c r="II167" s="73"/>
      <c r="IJ167" s="73"/>
      <c r="IK167" s="73"/>
      <c r="IL167" s="73"/>
      <c r="IM167" s="73"/>
      <c r="IN167" s="73"/>
      <c r="IO167" s="73"/>
      <c r="IP167" s="73"/>
      <c r="IQ167" s="73"/>
      <c r="IR167" s="73"/>
      <c r="IS167" s="73"/>
      <c r="IT167" s="73"/>
      <c r="IU167" s="73"/>
      <c r="IV167" s="73"/>
      <c r="IW167" s="73"/>
      <c r="IX167" s="73"/>
      <c r="IY167" s="73"/>
      <c r="IZ167" s="73"/>
      <c r="JA167" s="73"/>
      <c r="JB167" s="73"/>
      <c r="JC167" s="73"/>
    </row>
    <row r="168" spans="2:263" s="72" customFormat="1">
      <c r="B168" s="73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GL168" s="73"/>
      <c r="GM168" s="73"/>
      <c r="GN168" s="73"/>
      <c r="GO168" s="73"/>
      <c r="GP168" s="73"/>
      <c r="GQ168" s="73"/>
      <c r="GR168" s="73"/>
      <c r="GS168" s="73"/>
      <c r="GT168" s="73"/>
      <c r="GU168" s="73"/>
      <c r="GV168" s="73"/>
      <c r="GW168" s="73"/>
      <c r="GX168" s="73"/>
      <c r="GY168" s="73"/>
      <c r="GZ168" s="73"/>
      <c r="HA168" s="73"/>
      <c r="HB168" s="73"/>
      <c r="HC168" s="73"/>
      <c r="HD168" s="73"/>
      <c r="HE168" s="73"/>
      <c r="HF168" s="73"/>
      <c r="HG168" s="73"/>
      <c r="HH168" s="73"/>
      <c r="HI168" s="73"/>
      <c r="HJ168" s="73"/>
      <c r="HK168" s="73"/>
      <c r="HL168" s="73"/>
      <c r="HM168" s="73"/>
      <c r="HN168" s="73"/>
      <c r="HO168" s="73"/>
      <c r="HP168" s="73"/>
      <c r="HQ168" s="73"/>
      <c r="HR168" s="73"/>
      <c r="HS168" s="73"/>
      <c r="HT168" s="73"/>
      <c r="HU168" s="73"/>
      <c r="HV168" s="73"/>
      <c r="HW168" s="73"/>
      <c r="HX168" s="73"/>
      <c r="HY168" s="73"/>
      <c r="HZ168" s="73"/>
      <c r="IA168" s="73"/>
      <c r="IB168" s="73"/>
      <c r="IC168" s="73"/>
      <c r="ID168" s="73"/>
      <c r="IE168" s="73"/>
      <c r="IF168" s="73"/>
      <c r="IG168" s="73"/>
      <c r="IH168" s="73"/>
      <c r="II168" s="73"/>
      <c r="IJ168" s="73"/>
      <c r="IK168" s="73"/>
      <c r="IL168" s="73"/>
      <c r="IM168" s="73"/>
      <c r="IN168" s="73"/>
      <c r="IO168" s="73"/>
      <c r="IP168" s="73"/>
      <c r="IQ168" s="73"/>
      <c r="IR168" s="73"/>
      <c r="IS168" s="73"/>
      <c r="IT168" s="73"/>
      <c r="IU168" s="73"/>
      <c r="IV168" s="73"/>
      <c r="IW168" s="73"/>
      <c r="IX168" s="73"/>
      <c r="IY168" s="73"/>
      <c r="IZ168" s="73"/>
      <c r="JA168" s="73"/>
      <c r="JB168" s="73"/>
      <c r="JC168" s="73"/>
    </row>
    <row r="169" spans="2:263" s="72" customFormat="1">
      <c r="B169" s="73"/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GL169" s="73"/>
      <c r="GM169" s="73"/>
      <c r="GN169" s="73"/>
      <c r="GO169" s="73"/>
      <c r="GP169" s="73"/>
      <c r="GQ169" s="73"/>
      <c r="GR169" s="73"/>
      <c r="GS169" s="73"/>
      <c r="GT169" s="73"/>
      <c r="GU169" s="73"/>
      <c r="GV169" s="73"/>
      <c r="GW169" s="73"/>
      <c r="GX169" s="73"/>
      <c r="GY169" s="73"/>
      <c r="GZ169" s="73"/>
      <c r="HA169" s="73"/>
      <c r="HB169" s="73"/>
      <c r="HC169" s="73"/>
      <c r="HD169" s="73"/>
      <c r="HE169" s="73"/>
      <c r="HF169" s="73"/>
      <c r="HG169" s="73"/>
      <c r="HH169" s="73"/>
      <c r="HI169" s="73"/>
      <c r="HJ169" s="73"/>
      <c r="HK169" s="73"/>
      <c r="HL169" s="73"/>
      <c r="HM169" s="73"/>
      <c r="HN169" s="73"/>
      <c r="HO169" s="73"/>
      <c r="HP169" s="73"/>
      <c r="HQ169" s="73"/>
      <c r="HR169" s="73"/>
      <c r="HS169" s="73"/>
      <c r="HT169" s="73"/>
      <c r="HU169" s="73"/>
      <c r="HV169" s="73"/>
      <c r="HW169" s="73"/>
      <c r="HX169" s="73"/>
      <c r="HY169" s="73"/>
      <c r="HZ169" s="73"/>
      <c r="IA169" s="73"/>
      <c r="IB169" s="73"/>
      <c r="IC169" s="73"/>
      <c r="ID169" s="73"/>
      <c r="IE169" s="73"/>
      <c r="IF169" s="73"/>
      <c r="IG169" s="73"/>
      <c r="IH169" s="73"/>
      <c r="II169" s="73"/>
      <c r="IJ169" s="73"/>
      <c r="IK169" s="73"/>
      <c r="IL169" s="73"/>
      <c r="IM169" s="73"/>
      <c r="IN169" s="73"/>
      <c r="IO169" s="73"/>
      <c r="IP169" s="73"/>
      <c r="IQ169" s="73"/>
      <c r="IR169" s="73"/>
      <c r="IS169" s="73"/>
      <c r="IT169" s="73"/>
      <c r="IU169" s="73"/>
      <c r="IV169" s="73"/>
      <c r="IW169" s="73"/>
      <c r="IX169" s="73"/>
      <c r="IY169" s="73"/>
      <c r="IZ169" s="73"/>
      <c r="JA169" s="73"/>
      <c r="JB169" s="73"/>
      <c r="JC169" s="73"/>
    </row>
    <row r="170" spans="2:263" s="72" customFormat="1">
      <c r="B170" s="73"/>
      <c r="C170" s="73"/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GL170" s="73"/>
      <c r="GM170" s="73"/>
      <c r="GN170" s="73"/>
      <c r="GO170" s="73"/>
      <c r="GP170" s="73"/>
      <c r="GQ170" s="73"/>
      <c r="GR170" s="73"/>
      <c r="GS170" s="73"/>
      <c r="GT170" s="73"/>
      <c r="GU170" s="73"/>
      <c r="GV170" s="73"/>
      <c r="GW170" s="73"/>
      <c r="GX170" s="73"/>
      <c r="GY170" s="73"/>
      <c r="GZ170" s="73"/>
      <c r="HA170" s="73"/>
      <c r="HB170" s="73"/>
      <c r="HC170" s="73"/>
      <c r="HD170" s="73"/>
      <c r="HE170" s="73"/>
      <c r="HF170" s="73"/>
      <c r="HG170" s="73"/>
      <c r="HH170" s="73"/>
      <c r="HI170" s="73"/>
      <c r="HJ170" s="73"/>
      <c r="HK170" s="73"/>
      <c r="HL170" s="73"/>
      <c r="HM170" s="73"/>
      <c r="HN170" s="73"/>
      <c r="HO170" s="73"/>
      <c r="HP170" s="73"/>
      <c r="HQ170" s="73"/>
      <c r="HR170" s="73"/>
      <c r="HS170" s="73"/>
      <c r="HT170" s="73"/>
      <c r="HU170" s="73"/>
      <c r="HV170" s="73"/>
      <c r="HW170" s="73"/>
      <c r="HX170" s="73"/>
      <c r="HY170" s="73"/>
      <c r="HZ170" s="73"/>
      <c r="IA170" s="73"/>
      <c r="IB170" s="73"/>
      <c r="IC170" s="73"/>
      <c r="ID170" s="73"/>
      <c r="IE170" s="73"/>
      <c r="IF170" s="73"/>
      <c r="IG170" s="73"/>
      <c r="IH170" s="73"/>
      <c r="II170" s="73"/>
      <c r="IJ170" s="73"/>
      <c r="IK170" s="73"/>
      <c r="IL170" s="73"/>
      <c r="IM170" s="73"/>
      <c r="IN170" s="73"/>
      <c r="IO170" s="73"/>
      <c r="IP170" s="73"/>
      <c r="IQ170" s="73"/>
      <c r="IR170" s="73"/>
      <c r="IS170" s="73"/>
      <c r="IT170" s="73"/>
      <c r="IU170" s="73"/>
      <c r="IV170" s="73"/>
      <c r="IW170" s="73"/>
      <c r="IX170" s="73"/>
      <c r="IY170" s="73"/>
      <c r="IZ170" s="73"/>
      <c r="JA170" s="73"/>
      <c r="JB170" s="73"/>
      <c r="JC170" s="73"/>
    </row>
    <row r="171" spans="2:263" s="72" customFormat="1">
      <c r="B171" s="73"/>
      <c r="C171" s="73"/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GL171" s="73"/>
      <c r="GM171" s="73"/>
      <c r="GN171" s="73"/>
      <c r="GO171" s="73"/>
      <c r="GP171" s="73"/>
      <c r="GQ171" s="73"/>
      <c r="GR171" s="73"/>
      <c r="GS171" s="73"/>
      <c r="GT171" s="73"/>
      <c r="GU171" s="73"/>
      <c r="GV171" s="73"/>
      <c r="GW171" s="73"/>
      <c r="GX171" s="73"/>
      <c r="GY171" s="73"/>
      <c r="GZ171" s="73"/>
      <c r="HA171" s="73"/>
      <c r="HB171" s="73"/>
      <c r="HC171" s="73"/>
      <c r="HD171" s="73"/>
      <c r="HE171" s="73"/>
      <c r="HF171" s="73"/>
      <c r="HG171" s="73"/>
      <c r="HH171" s="73"/>
      <c r="HI171" s="73"/>
      <c r="HJ171" s="73"/>
      <c r="HK171" s="73"/>
      <c r="HL171" s="73"/>
      <c r="HM171" s="73"/>
      <c r="HN171" s="73"/>
      <c r="HO171" s="73"/>
      <c r="HP171" s="73"/>
      <c r="HQ171" s="73"/>
      <c r="HR171" s="73"/>
      <c r="HS171" s="73"/>
      <c r="HT171" s="73"/>
      <c r="HU171" s="73"/>
      <c r="HV171" s="73"/>
      <c r="HW171" s="73"/>
      <c r="HX171" s="73"/>
      <c r="HY171" s="73"/>
      <c r="HZ171" s="73"/>
      <c r="IA171" s="73"/>
      <c r="IB171" s="73"/>
      <c r="IC171" s="73"/>
      <c r="ID171" s="73"/>
      <c r="IE171" s="73"/>
      <c r="IF171" s="73"/>
      <c r="IG171" s="73"/>
      <c r="IH171" s="73"/>
      <c r="II171" s="73"/>
      <c r="IJ171" s="73"/>
      <c r="IK171" s="73"/>
      <c r="IL171" s="73"/>
      <c r="IM171" s="73"/>
      <c r="IN171" s="73"/>
      <c r="IO171" s="73"/>
      <c r="IP171" s="73"/>
      <c r="IQ171" s="73"/>
      <c r="IR171" s="73"/>
      <c r="IS171" s="73"/>
      <c r="IT171" s="73"/>
      <c r="IU171" s="73"/>
      <c r="IV171" s="73"/>
      <c r="IW171" s="73"/>
      <c r="IX171" s="73"/>
      <c r="IY171" s="73"/>
      <c r="IZ171" s="73"/>
      <c r="JA171" s="73"/>
      <c r="JB171" s="73"/>
      <c r="JC171" s="73"/>
    </row>
    <row r="172" spans="2:263" s="72" customFormat="1">
      <c r="B172" s="73"/>
      <c r="C172" s="73"/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GL172" s="73"/>
      <c r="GM172" s="73"/>
      <c r="GN172" s="73"/>
      <c r="GO172" s="73"/>
      <c r="GP172" s="73"/>
      <c r="GQ172" s="73"/>
      <c r="GR172" s="73"/>
      <c r="GS172" s="73"/>
      <c r="GT172" s="73"/>
      <c r="GU172" s="73"/>
      <c r="GV172" s="73"/>
      <c r="GW172" s="73"/>
      <c r="GX172" s="73"/>
      <c r="GY172" s="73"/>
      <c r="GZ172" s="73"/>
      <c r="HA172" s="73"/>
      <c r="HB172" s="73"/>
      <c r="HC172" s="73"/>
      <c r="HD172" s="73"/>
      <c r="HE172" s="73"/>
      <c r="HF172" s="73"/>
      <c r="HG172" s="73"/>
      <c r="HH172" s="73"/>
      <c r="HI172" s="73"/>
      <c r="HJ172" s="73"/>
      <c r="HK172" s="73"/>
      <c r="HL172" s="73"/>
      <c r="HM172" s="73"/>
      <c r="HN172" s="73"/>
      <c r="HO172" s="73"/>
      <c r="HP172" s="73"/>
      <c r="HQ172" s="73"/>
      <c r="HR172" s="73"/>
      <c r="HS172" s="73"/>
      <c r="HT172" s="73"/>
      <c r="HU172" s="73"/>
      <c r="HV172" s="73"/>
      <c r="HW172" s="73"/>
      <c r="HX172" s="73"/>
      <c r="HY172" s="73"/>
      <c r="HZ172" s="73"/>
      <c r="IA172" s="73"/>
      <c r="IB172" s="73"/>
      <c r="IC172" s="73"/>
      <c r="ID172" s="73"/>
      <c r="IE172" s="73"/>
      <c r="IF172" s="73"/>
      <c r="IG172" s="73"/>
      <c r="IH172" s="73"/>
      <c r="II172" s="73"/>
      <c r="IJ172" s="73"/>
      <c r="IK172" s="73"/>
      <c r="IL172" s="73"/>
      <c r="IM172" s="73"/>
      <c r="IN172" s="73"/>
      <c r="IO172" s="73"/>
      <c r="IP172" s="73"/>
      <c r="IQ172" s="73"/>
      <c r="IR172" s="73"/>
      <c r="IS172" s="73"/>
      <c r="IT172" s="73"/>
      <c r="IU172" s="73"/>
      <c r="IV172" s="73"/>
      <c r="IW172" s="73"/>
      <c r="IX172" s="73"/>
      <c r="IY172" s="73"/>
      <c r="IZ172" s="73"/>
      <c r="JA172" s="73"/>
      <c r="JB172" s="73"/>
      <c r="JC172" s="73"/>
    </row>
    <row r="173" spans="2:263" s="72" customFormat="1">
      <c r="B173" s="73"/>
      <c r="C173" s="73"/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GL173" s="73"/>
      <c r="GM173" s="73"/>
      <c r="GN173" s="73"/>
      <c r="GO173" s="73"/>
      <c r="GP173" s="73"/>
      <c r="GQ173" s="73"/>
      <c r="GR173" s="73"/>
      <c r="GS173" s="73"/>
      <c r="GT173" s="73"/>
      <c r="GU173" s="73"/>
      <c r="GV173" s="73"/>
      <c r="GW173" s="73"/>
      <c r="GX173" s="73"/>
      <c r="GY173" s="73"/>
      <c r="GZ173" s="73"/>
      <c r="HA173" s="73"/>
      <c r="HB173" s="73"/>
      <c r="HC173" s="73"/>
      <c r="HD173" s="73"/>
      <c r="HE173" s="73"/>
      <c r="HF173" s="73"/>
      <c r="HG173" s="73"/>
      <c r="HH173" s="73"/>
      <c r="HI173" s="73"/>
      <c r="HJ173" s="73"/>
      <c r="HK173" s="73"/>
      <c r="HL173" s="73"/>
      <c r="HM173" s="73"/>
      <c r="HN173" s="73"/>
      <c r="HO173" s="73"/>
      <c r="HP173" s="73"/>
      <c r="HQ173" s="73"/>
      <c r="HR173" s="73"/>
      <c r="HS173" s="73"/>
      <c r="HT173" s="73"/>
      <c r="HU173" s="73"/>
      <c r="HV173" s="73"/>
      <c r="HW173" s="73"/>
      <c r="HX173" s="73"/>
      <c r="HY173" s="73"/>
      <c r="HZ173" s="73"/>
      <c r="IA173" s="73"/>
      <c r="IB173" s="73"/>
      <c r="IC173" s="73"/>
      <c r="ID173" s="73"/>
      <c r="IE173" s="73"/>
      <c r="IF173" s="73"/>
      <c r="IG173" s="73"/>
      <c r="IH173" s="73"/>
      <c r="II173" s="73"/>
      <c r="IJ173" s="73"/>
      <c r="IK173" s="73"/>
      <c r="IL173" s="73"/>
      <c r="IM173" s="73"/>
      <c r="IN173" s="73"/>
      <c r="IO173" s="73"/>
      <c r="IP173" s="73"/>
      <c r="IQ173" s="73"/>
      <c r="IR173" s="73"/>
      <c r="IS173" s="73"/>
      <c r="IT173" s="73"/>
      <c r="IU173" s="73"/>
      <c r="IV173" s="73"/>
      <c r="IW173" s="73"/>
      <c r="IX173" s="73"/>
      <c r="IY173" s="73"/>
      <c r="IZ173" s="73"/>
      <c r="JA173" s="73"/>
      <c r="JB173" s="73"/>
      <c r="JC173" s="73"/>
    </row>
    <row r="174" spans="2:263" s="72" customFormat="1">
      <c r="B174" s="73"/>
      <c r="C174" s="73"/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GL174" s="73"/>
      <c r="GM174" s="73"/>
      <c r="GN174" s="73"/>
      <c r="GO174" s="73"/>
      <c r="GP174" s="73"/>
      <c r="GQ174" s="73"/>
      <c r="GR174" s="73"/>
      <c r="GS174" s="73"/>
      <c r="GT174" s="73"/>
      <c r="GU174" s="73"/>
      <c r="GV174" s="73"/>
      <c r="GW174" s="73"/>
      <c r="GX174" s="73"/>
      <c r="GY174" s="73"/>
      <c r="GZ174" s="73"/>
      <c r="HA174" s="73"/>
      <c r="HB174" s="73"/>
      <c r="HC174" s="73"/>
      <c r="HD174" s="73"/>
      <c r="HE174" s="73"/>
      <c r="HF174" s="73"/>
      <c r="HG174" s="73"/>
      <c r="HH174" s="73"/>
      <c r="HI174" s="73"/>
      <c r="HJ174" s="73"/>
      <c r="HK174" s="73"/>
      <c r="HL174" s="73"/>
      <c r="HM174" s="73"/>
      <c r="HN174" s="73"/>
      <c r="HO174" s="73"/>
      <c r="HP174" s="73"/>
      <c r="HQ174" s="73"/>
      <c r="HR174" s="73"/>
      <c r="HS174" s="73"/>
      <c r="HT174" s="73"/>
      <c r="HU174" s="73"/>
      <c r="HV174" s="73"/>
      <c r="HW174" s="73"/>
      <c r="HX174" s="73"/>
      <c r="HY174" s="73"/>
      <c r="HZ174" s="73"/>
      <c r="IA174" s="73"/>
      <c r="IB174" s="73"/>
      <c r="IC174" s="73"/>
      <c r="ID174" s="73"/>
      <c r="IE174" s="73"/>
      <c r="IF174" s="73"/>
      <c r="IG174" s="73"/>
      <c r="IH174" s="73"/>
      <c r="II174" s="73"/>
      <c r="IJ174" s="73"/>
      <c r="IK174" s="73"/>
      <c r="IL174" s="73"/>
      <c r="IM174" s="73"/>
      <c r="IN174" s="73"/>
      <c r="IO174" s="73"/>
      <c r="IP174" s="73"/>
      <c r="IQ174" s="73"/>
      <c r="IR174" s="73"/>
      <c r="IS174" s="73"/>
      <c r="IT174" s="73"/>
      <c r="IU174" s="73"/>
      <c r="IV174" s="73"/>
      <c r="IW174" s="73"/>
      <c r="IX174" s="73"/>
      <c r="IY174" s="73"/>
      <c r="IZ174" s="73"/>
      <c r="JA174" s="73"/>
      <c r="JB174" s="73"/>
      <c r="JC174" s="73"/>
    </row>
    <row r="175" spans="2:263" s="72" customFormat="1">
      <c r="B175" s="73"/>
      <c r="C175" s="73"/>
      <c r="D175" s="73"/>
      <c r="E175" s="73"/>
      <c r="F175" s="73"/>
      <c r="G175" s="73"/>
      <c r="H175" s="73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GL175" s="73"/>
      <c r="GM175" s="73"/>
      <c r="GN175" s="73"/>
      <c r="GO175" s="73"/>
      <c r="GP175" s="73"/>
      <c r="GQ175" s="73"/>
      <c r="GR175" s="73"/>
      <c r="GS175" s="73"/>
      <c r="GT175" s="73"/>
      <c r="GU175" s="73"/>
      <c r="GV175" s="73"/>
      <c r="GW175" s="73"/>
      <c r="GX175" s="73"/>
      <c r="GY175" s="73"/>
      <c r="GZ175" s="73"/>
      <c r="HA175" s="73"/>
      <c r="HB175" s="73"/>
      <c r="HC175" s="73"/>
      <c r="HD175" s="73"/>
      <c r="HE175" s="73"/>
      <c r="HF175" s="73"/>
      <c r="HG175" s="73"/>
      <c r="HH175" s="73"/>
      <c r="HI175" s="73"/>
      <c r="HJ175" s="73"/>
      <c r="HK175" s="73"/>
      <c r="HL175" s="73"/>
      <c r="HM175" s="73"/>
      <c r="HN175" s="73"/>
      <c r="HO175" s="73"/>
      <c r="HP175" s="73"/>
      <c r="HQ175" s="73"/>
      <c r="HR175" s="73"/>
      <c r="HS175" s="73"/>
      <c r="HT175" s="73"/>
      <c r="HU175" s="73"/>
      <c r="HV175" s="73"/>
      <c r="HW175" s="73"/>
      <c r="HX175" s="73"/>
      <c r="HY175" s="73"/>
      <c r="HZ175" s="73"/>
      <c r="IA175" s="73"/>
      <c r="IB175" s="73"/>
      <c r="IC175" s="73"/>
      <c r="ID175" s="73"/>
      <c r="IE175" s="73"/>
      <c r="IF175" s="73"/>
      <c r="IG175" s="73"/>
      <c r="IH175" s="73"/>
      <c r="II175" s="73"/>
      <c r="IJ175" s="73"/>
      <c r="IK175" s="73"/>
      <c r="IL175" s="73"/>
      <c r="IM175" s="73"/>
      <c r="IN175" s="73"/>
      <c r="IO175" s="73"/>
      <c r="IP175" s="73"/>
      <c r="IQ175" s="73"/>
      <c r="IR175" s="73"/>
      <c r="IS175" s="73"/>
      <c r="IT175" s="73"/>
      <c r="IU175" s="73"/>
      <c r="IV175" s="73"/>
      <c r="IW175" s="73"/>
      <c r="IX175" s="73"/>
      <c r="IY175" s="73"/>
      <c r="IZ175" s="73"/>
      <c r="JA175" s="73"/>
      <c r="JB175" s="73"/>
      <c r="JC175" s="73"/>
    </row>
    <row r="176" spans="2:263" s="72" customFormat="1">
      <c r="B176" s="73"/>
      <c r="C176" s="73"/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GL176" s="73"/>
      <c r="GM176" s="73"/>
      <c r="GN176" s="73"/>
      <c r="GO176" s="73"/>
      <c r="GP176" s="73"/>
      <c r="GQ176" s="73"/>
      <c r="GR176" s="73"/>
      <c r="GS176" s="73"/>
      <c r="GT176" s="73"/>
      <c r="GU176" s="73"/>
      <c r="GV176" s="73"/>
      <c r="GW176" s="73"/>
      <c r="GX176" s="73"/>
      <c r="GY176" s="73"/>
      <c r="GZ176" s="73"/>
      <c r="HA176" s="73"/>
      <c r="HB176" s="73"/>
      <c r="HC176" s="73"/>
      <c r="HD176" s="73"/>
      <c r="HE176" s="73"/>
      <c r="HF176" s="73"/>
      <c r="HG176" s="73"/>
      <c r="HH176" s="73"/>
      <c r="HI176" s="73"/>
      <c r="HJ176" s="73"/>
      <c r="HK176" s="73"/>
      <c r="HL176" s="73"/>
      <c r="HM176" s="73"/>
      <c r="HN176" s="73"/>
      <c r="HO176" s="73"/>
      <c r="HP176" s="73"/>
      <c r="HQ176" s="73"/>
      <c r="HR176" s="73"/>
      <c r="HS176" s="73"/>
      <c r="HT176" s="73"/>
      <c r="HU176" s="73"/>
      <c r="HV176" s="73"/>
      <c r="HW176" s="73"/>
      <c r="HX176" s="73"/>
      <c r="HY176" s="73"/>
      <c r="HZ176" s="73"/>
      <c r="IA176" s="73"/>
      <c r="IB176" s="73"/>
      <c r="IC176" s="73"/>
      <c r="ID176" s="73"/>
      <c r="IE176" s="73"/>
      <c r="IF176" s="73"/>
      <c r="IG176" s="73"/>
      <c r="IH176" s="73"/>
      <c r="II176" s="73"/>
      <c r="IJ176" s="73"/>
      <c r="IK176" s="73"/>
      <c r="IL176" s="73"/>
      <c r="IM176" s="73"/>
      <c r="IN176" s="73"/>
      <c r="IO176" s="73"/>
      <c r="IP176" s="73"/>
      <c r="IQ176" s="73"/>
      <c r="IR176" s="73"/>
      <c r="IS176" s="73"/>
      <c r="IT176" s="73"/>
      <c r="IU176" s="73"/>
      <c r="IV176" s="73"/>
      <c r="IW176" s="73"/>
      <c r="IX176" s="73"/>
      <c r="IY176" s="73"/>
      <c r="IZ176" s="73"/>
      <c r="JA176" s="73"/>
      <c r="JB176" s="73"/>
      <c r="JC176" s="73"/>
    </row>
    <row r="177" spans="2:263" s="72" customFormat="1">
      <c r="B177" s="73"/>
      <c r="C177" s="73"/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GL177" s="73"/>
      <c r="GM177" s="73"/>
      <c r="GN177" s="73"/>
      <c r="GO177" s="73"/>
      <c r="GP177" s="73"/>
      <c r="GQ177" s="73"/>
      <c r="GR177" s="73"/>
      <c r="GS177" s="73"/>
      <c r="GT177" s="73"/>
      <c r="GU177" s="73"/>
      <c r="GV177" s="73"/>
      <c r="GW177" s="73"/>
      <c r="GX177" s="73"/>
      <c r="GY177" s="73"/>
      <c r="GZ177" s="73"/>
      <c r="HA177" s="73"/>
      <c r="HB177" s="73"/>
      <c r="HC177" s="73"/>
      <c r="HD177" s="73"/>
      <c r="HE177" s="73"/>
      <c r="HF177" s="73"/>
      <c r="HG177" s="73"/>
      <c r="HH177" s="73"/>
      <c r="HI177" s="73"/>
      <c r="HJ177" s="73"/>
      <c r="HK177" s="73"/>
      <c r="HL177" s="73"/>
      <c r="HM177" s="73"/>
      <c r="HN177" s="73"/>
      <c r="HO177" s="73"/>
      <c r="HP177" s="73"/>
      <c r="HQ177" s="73"/>
      <c r="HR177" s="73"/>
      <c r="HS177" s="73"/>
      <c r="HT177" s="73"/>
      <c r="HU177" s="73"/>
      <c r="HV177" s="73"/>
      <c r="HW177" s="73"/>
      <c r="HX177" s="73"/>
      <c r="HY177" s="73"/>
      <c r="HZ177" s="73"/>
      <c r="IA177" s="73"/>
      <c r="IB177" s="73"/>
      <c r="IC177" s="73"/>
      <c r="ID177" s="73"/>
      <c r="IE177" s="73"/>
      <c r="IF177" s="73"/>
      <c r="IG177" s="73"/>
      <c r="IH177" s="73"/>
      <c r="II177" s="73"/>
      <c r="IJ177" s="73"/>
      <c r="IK177" s="73"/>
      <c r="IL177" s="73"/>
      <c r="IM177" s="73"/>
      <c r="IN177" s="73"/>
      <c r="IO177" s="73"/>
      <c r="IP177" s="73"/>
      <c r="IQ177" s="73"/>
      <c r="IR177" s="73"/>
      <c r="IS177" s="73"/>
      <c r="IT177" s="73"/>
      <c r="IU177" s="73"/>
      <c r="IV177" s="73"/>
      <c r="IW177" s="73"/>
      <c r="IX177" s="73"/>
      <c r="IY177" s="73"/>
      <c r="IZ177" s="73"/>
      <c r="JA177" s="73"/>
      <c r="JB177" s="73"/>
      <c r="JC177" s="73"/>
    </row>
    <row r="178" spans="2:263" s="72" customFormat="1">
      <c r="B178" s="73"/>
      <c r="C178" s="73"/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GL178" s="73"/>
      <c r="GM178" s="73"/>
      <c r="GN178" s="73"/>
      <c r="GO178" s="73"/>
      <c r="GP178" s="73"/>
      <c r="GQ178" s="73"/>
      <c r="GR178" s="73"/>
      <c r="GS178" s="73"/>
      <c r="GT178" s="73"/>
      <c r="GU178" s="73"/>
      <c r="GV178" s="73"/>
      <c r="GW178" s="73"/>
      <c r="GX178" s="73"/>
      <c r="GY178" s="73"/>
      <c r="GZ178" s="73"/>
      <c r="HA178" s="73"/>
      <c r="HB178" s="73"/>
      <c r="HC178" s="73"/>
      <c r="HD178" s="73"/>
      <c r="HE178" s="73"/>
      <c r="HF178" s="73"/>
      <c r="HG178" s="73"/>
      <c r="HH178" s="73"/>
      <c r="HI178" s="73"/>
      <c r="HJ178" s="73"/>
      <c r="HK178" s="73"/>
      <c r="HL178" s="73"/>
      <c r="HM178" s="73"/>
      <c r="HN178" s="73"/>
      <c r="HO178" s="73"/>
      <c r="HP178" s="73"/>
      <c r="HQ178" s="73"/>
      <c r="HR178" s="73"/>
      <c r="HS178" s="73"/>
      <c r="HT178" s="73"/>
      <c r="HU178" s="73"/>
      <c r="HV178" s="73"/>
      <c r="HW178" s="73"/>
      <c r="HX178" s="73"/>
      <c r="HY178" s="73"/>
      <c r="HZ178" s="73"/>
      <c r="IA178" s="73"/>
      <c r="IB178" s="73"/>
      <c r="IC178" s="73"/>
      <c r="ID178" s="73"/>
      <c r="IE178" s="73"/>
      <c r="IF178" s="73"/>
      <c r="IG178" s="73"/>
      <c r="IH178" s="73"/>
      <c r="II178" s="73"/>
      <c r="IJ178" s="73"/>
      <c r="IK178" s="73"/>
      <c r="IL178" s="73"/>
      <c r="IM178" s="73"/>
      <c r="IN178" s="73"/>
      <c r="IO178" s="73"/>
      <c r="IP178" s="73"/>
      <c r="IQ178" s="73"/>
      <c r="IR178" s="73"/>
      <c r="IS178" s="73"/>
      <c r="IT178" s="73"/>
      <c r="IU178" s="73"/>
      <c r="IV178" s="73"/>
      <c r="IW178" s="73"/>
      <c r="IX178" s="73"/>
      <c r="IY178" s="73"/>
      <c r="IZ178" s="73"/>
      <c r="JA178" s="73"/>
      <c r="JB178" s="73"/>
      <c r="JC178" s="73"/>
    </row>
    <row r="179" spans="2:263" s="72" customFormat="1">
      <c r="B179" s="73"/>
      <c r="C179" s="73"/>
      <c r="D179" s="73"/>
      <c r="E179" s="73"/>
      <c r="F179" s="73"/>
      <c r="G179" s="73"/>
      <c r="H179" s="73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GL179" s="73"/>
      <c r="GM179" s="73"/>
      <c r="GN179" s="73"/>
      <c r="GO179" s="73"/>
      <c r="GP179" s="73"/>
      <c r="GQ179" s="73"/>
      <c r="GR179" s="73"/>
      <c r="GS179" s="73"/>
      <c r="GT179" s="73"/>
      <c r="GU179" s="73"/>
      <c r="GV179" s="73"/>
      <c r="GW179" s="73"/>
      <c r="GX179" s="73"/>
      <c r="GY179" s="73"/>
      <c r="GZ179" s="73"/>
      <c r="HA179" s="73"/>
      <c r="HB179" s="73"/>
      <c r="HC179" s="73"/>
      <c r="HD179" s="73"/>
      <c r="HE179" s="73"/>
      <c r="HF179" s="73"/>
      <c r="HG179" s="73"/>
      <c r="HH179" s="73"/>
      <c r="HI179" s="73"/>
      <c r="HJ179" s="73"/>
      <c r="HK179" s="73"/>
      <c r="HL179" s="73"/>
      <c r="HM179" s="73"/>
      <c r="HN179" s="73"/>
      <c r="HO179" s="73"/>
      <c r="HP179" s="73"/>
      <c r="HQ179" s="73"/>
      <c r="HR179" s="73"/>
      <c r="HS179" s="73"/>
      <c r="HT179" s="73"/>
      <c r="HU179" s="73"/>
      <c r="HV179" s="73"/>
      <c r="HW179" s="73"/>
      <c r="HX179" s="73"/>
      <c r="HY179" s="73"/>
      <c r="HZ179" s="73"/>
      <c r="IA179" s="73"/>
      <c r="IB179" s="73"/>
      <c r="IC179" s="73"/>
      <c r="ID179" s="73"/>
      <c r="IE179" s="73"/>
      <c r="IF179" s="73"/>
      <c r="IG179" s="73"/>
      <c r="IH179" s="73"/>
      <c r="II179" s="73"/>
      <c r="IJ179" s="73"/>
      <c r="IK179" s="73"/>
      <c r="IL179" s="73"/>
      <c r="IM179" s="73"/>
      <c r="IN179" s="73"/>
      <c r="IO179" s="73"/>
      <c r="IP179" s="73"/>
      <c r="IQ179" s="73"/>
      <c r="IR179" s="73"/>
      <c r="IS179" s="73"/>
      <c r="IT179" s="73"/>
      <c r="IU179" s="73"/>
      <c r="IV179" s="73"/>
      <c r="IW179" s="73"/>
      <c r="IX179" s="73"/>
      <c r="IY179" s="73"/>
      <c r="IZ179" s="73"/>
      <c r="JA179" s="73"/>
      <c r="JB179" s="73"/>
      <c r="JC179" s="73"/>
    </row>
    <row r="180" spans="2:263" s="72" customFormat="1">
      <c r="B180" s="73"/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GL180" s="73"/>
      <c r="GM180" s="73"/>
      <c r="GN180" s="73"/>
      <c r="GO180" s="73"/>
      <c r="GP180" s="73"/>
      <c r="GQ180" s="73"/>
      <c r="GR180" s="73"/>
      <c r="GS180" s="73"/>
      <c r="GT180" s="73"/>
      <c r="GU180" s="73"/>
      <c r="GV180" s="73"/>
      <c r="GW180" s="73"/>
      <c r="GX180" s="73"/>
      <c r="GY180" s="73"/>
      <c r="GZ180" s="73"/>
      <c r="HA180" s="73"/>
      <c r="HB180" s="73"/>
      <c r="HC180" s="73"/>
      <c r="HD180" s="73"/>
      <c r="HE180" s="73"/>
      <c r="HF180" s="73"/>
      <c r="HG180" s="73"/>
      <c r="HH180" s="73"/>
      <c r="HI180" s="73"/>
      <c r="HJ180" s="73"/>
      <c r="HK180" s="73"/>
      <c r="HL180" s="73"/>
      <c r="HM180" s="73"/>
      <c r="HN180" s="73"/>
      <c r="HO180" s="73"/>
      <c r="HP180" s="73"/>
      <c r="HQ180" s="73"/>
      <c r="HR180" s="73"/>
      <c r="HS180" s="73"/>
      <c r="HT180" s="73"/>
      <c r="HU180" s="73"/>
      <c r="HV180" s="73"/>
      <c r="HW180" s="73"/>
      <c r="HX180" s="73"/>
      <c r="HY180" s="73"/>
      <c r="HZ180" s="73"/>
      <c r="IA180" s="73"/>
      <c r="IB180" s="73"/>
      <c r="IC180" s="73"/>
      <c r="ID180" s="73"/>
      <c r="IE180" s="73"/>
      <c r="IF180" s="73"/>
      <c r="IG180" s="73"/>
      <c r="IH180" s="73"/>
      <c r="II180" s="73"/>
      <c r="IJ180" s="73"/>
      <c r="IK180" s="73"/>
      <c r="IL180" s="73"/>
      <c r="IM180" s="73"/>
      <c r="IN180" s="73"/>
      <c r="IO180" s="73"/>
      <c r="IP180" s="73"/>
      <c r="IQ180" s="73"/>
      <c r="IR180" s="73"/>
      <c r="IS180" s="73"/>
      <c r="IT180" s="73"/>
      <c r="IU180" s="73"/>
      <c r="IV180" s="73"/>
      <c r="IW180" s="73"/>
      <c r="IX180" s="73"/>
      <c r="IY180" s="73"/>
      <c r="IZ180" s="73"/>
      <c r="JA180" s="73"/>
      <c r="JB180" s="73"/>
      <c r="JC180" s="73"/>
    </row>
    <row r="181" spans="2:263" s="72" customFormat="1">
      <c r="B181" s="73"/>
      <c r="C181" s="73"/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GL181" s="73"/>
      <c r="GM181" s="73"/>
      <c r="GN181" s="73"/>
      <c r="GO181" s="73"/>
      <c r="GP181" s="73"/>
      <c r="GQ181" s="73"/>
      <c r="GR181" s="73"/>
      <c r="GS181" s="73"/>
      <c r="GT181" s="73"/>
      <c r="GU181" s="73"/>
      <c r="GV181" s="73"/>
      <c r="GW181" s="73"/>
      <c r="GX181" s="73"/>
      <c r="GY181" s="73"/>
      <c r="GZ181" s="73"/>
      <c r="HA181" s="73"/>
      <c r="HB181" s="73"/>
      <c r="HC181" s="73"/>
      <c r="HD181" s="73"/>
      <c r="HE181" s="73"/>
      <c r="HF181" s="73"/>
      <c r="HG181" s="73"/>
      <c r="HH181" s="73"/>
      <c r="HI181" s="73"/>
      <c r="HJ181" s="73"/>
      <c r="HK181" s="73"/>
      <c r="HL181" s="73"/>
      <c r="HM181" s="73"/>
      <c r="HN181" s="73"/>
      <c r="HO181" s="73"/>
      <c r="HP181" s="73"/>
      <c r="HQ181" s="73"/>
      <c r="HR181" s="73"/>
      <c r="HS181" s="73"/>
      <c r="HT181" s="73"/>
      <c r="HU181" s="73"/>
      <c r="HV181" s="73"/>
      <c r="HW181" s="73"/>
      <c r="HX181" s="73"/>
      <c r="HY181" s="73"/>
      <c r="HZ181" s="73"/>
      <c r="IA181" s="73"/>
      <c r="IB181" s="73"/>
      <c r="IC181" s="73"/>
      <c r="ID181" s="73"/>
      <c r="IE181" s="73"/>
      <c r="IF181" s="73"/>
      <c r="IG181" s="73"/>
      <c r="IH181" s="73"/>
      <c r="II181" s="73"/>
      <c r="IJ181" s="73"/>
      <c r="IK181" s="73"/>
      <c r="IL181" s="73"/>
      <c r="IM181" s="73"/>
      <c r="IN181" s="73"/>
      <c r="IO181" s="73"/>
      <c r="IP181" s="73"/>
      <c r="IQ181" s="73"/>
      <c r="IR181" s="73"/>
      <c r="IS181" s="73"/>
      <c r="IT181" s="73"/>
      <c r="IU181" s="73"/>
      <c r="IV181" s="73"/>
      <c r="IW181" s="73"/>
      <c r="IX181" s="73"/>
      <c r="IY181" s="73"/>
      <c r="IZ181" s="73"/>
      <c r="JA181" s="73"/>
      <c r="JB181" s="73"/>
      <c r="JC181" s="73"/>
    </row>
    <row r="182" spans="2:263" s="72" customFormat="1">
      <c r="B182" s="73"/>
      <c r="C182" s="73"/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GL182" s="73"/>
      <c r="GM182" s="73"/>
      <c r="GN182" s="73"/>
      <c r="GO182" s="73"/>
      <c r="GP182" s="73"/>
      <c r="GQ182" s="73"/>
      <c r="GR182" s="73"/>
      <c r="GS182" s="73"/>
      <c r="GT182" s="73"/>
      <c r="GU182" s="73"/>
      <c r="GV182" s="73"/>
      <c r="GW182" s="73"/>
      <c r="GX182" s="73"/>
      <c r="GY182" s="73"/>
      <c r="GZ182" s="73"/>
      <c r="HA182" s="73"/>
      <c r="HB182" s="73"/>
      <c r="HC182" s="73"/>
      <c r="HD182" s="73"/>
      <c r="HE182" s="73"/>
      <c r="HF182" s="73"/>
      <c r="HG182" s="73"/>
      <c r="HH182" s="73"/>
      <c r="HI182" s="73"/>
      <c r="HJ182" s="73"/>
      <c r="HK182" s="73"/>
      <c r="HL182" s="73"/>
      <c r="HM182" s="73"/>
      <c r="HN182" s="73"/>
      <c r="HO182" s="73"/>
      <c r="HP182" s="73"/>
      <c r="HQ182" s="73"/>
      <c r="HR182" s="73"/>
      <c r="HS182" s="73"/>
      <c r="HT182" s="73"/>
      <c r="HU182" s="73"/>
      <c r="HV182" s="73"/>
      <c r="HW182" s="73"/>
      <c r="HX182" s="73"/>
      <c r="HY182" s="73"/>
      <c r="HZ182" s="73"/>
      <c r="IA182" s="73"/>
      <c r="IB182" s="73"/>
      <c r="IC182" s="73"/>
      <c r="ID182" s="73"/>
      <c r="IE182" s="73"/>
      <c r="IF182" s="73"/>
      <c r="IG182" s="73"/>
      <c r="IH182" s="73"/>
      <c r="II182" s="73"/>
      <c r="IJ182" s="73"/>
      <c r="IK182" s="73"/>
      <c r="IL182" s="73"/>
      <c r="IM182" s="73"/>
      <c r="IN182" s="73"/>
      <c r="IO182" s="73"/>
      <c r="IP182" s="73"/>
      <c r="IQ182" s="73"/>
      <c r="IR182" s="73"/>
      <c r="IS182" s="73"/>
      <c r="IT182" s="73"/>
      <c r="IU182" s="73"/>
      <c r="IV182" s="73"/>
      <c r="IW182" s="73"/>
      <c r="IX182" s="73"/>
      <c r="IY182" s="73"/>
      <c r="IZ182" s="73"/>
      <c r="JA182" s="73"/>
      <c r="JB182" s="73"/>
      <c r="JC182" s="73"/>
    </row>
    <row r="183" spans="2:263" s="72" customFormat="1"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GL183" s="73"/>
      <c r="GM183" s="73"/>
      <c r="GN183" s="73"/>
      <c r="GO183" s="73"/>
      <c r="GP183" s="73"/>
      <c r="GQ183" s="73"/>
      <c r="GR183" s="73"/>
      <c r="GS183" s="73"/>
      <c r="GT183" s="73"/>
      <c r="GU183" s="73"/>
      <c r="GV183" s="73"/>
      <c r="GW183" s="73"/>
      <c r="GX183" s="73"/>
      <c r="GY183" s="73"/>
      <c r="GZ183" s="73"/>
      <c r="HA183" s="73"/>
      <c r="HB183" s="73"/>
      <c r="HC183" s="73"/>
      <c r="HD183" s="73"/>
      <c r="HE183" s="73"/>
      <c r="HF183" s="73"/>
      <c r="HG183" s="73"/>
      <c r="HH183" s="73"/>
      <c r="HI183" s="73"/>
      <c r="HJ183" s="73"/>
      <c r="HK183" s="73"/>
      <c r="HL183" s="73"/>
      <c r="HM183" s="73"/>
      <c r="HN183" s="73"/>
      <c r="HO183" s="73"/>
      <c r="HP183" s="73"/>
      <c r="HQ183" s="73"/>
      <c r="HR183" s="73"/>
      <c r="HS183" s="73"/>
      <c r="HT183" s="73"/>
      <c r="HU183" s="73"/>
      <c r="HV183" s="73"/>
      <c r="HW183" s="73"/>
      <c r="HX183" s="73"/>
      <c r="HY183" s="73"/>
      <c r="HZ183" s="73"/>
      <c r="IA183" s="73"/>
      <c r="IB183" s="73"/>
      <c r="IC183" s="73"/>
      <c r="ID183" s="73"/>
      <c r="IE183" s="73"/>
      <c r="IF183" s="73"/>
      <c r="IG183" s="73"/>
      <c r="IH183" s="73"/>
      <c r="II183" s="73"/>
      <c r="IJ183" s="73"/>
      <c r="IK183" s="73"/>
      <c r="IL183" s="73"/>
      <c r="IM183" s="73"/>
      <c r="IN183" s="73"/>
      <c r="IO183" s="73"/>
      <c r="IP183" s="73"/>
      <c r="IQ183" s="73"/>
      <c r="IR183" s="73"/>
      <c r="IS183" s="73"/>
      <c r="IT183" s="73"/>
      <c r="IU183" s="73"/>
      <c r="IV183" s="73"/>
      <c r="IW183" s="73"/>
      <c r="IX183" s="73"/>
      <c r="IY183" s="73"/>
      <c r="IZ183" s="73"/>
      <c r="JA183" s="73"/>
      <c r="JB183" s="73"/>
      <c r="JC183" s="73"/>
    </row>
    <row r="184" spans="2:263" s="72" customFormat="1">
      <c r="B184" s="73"/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GL184" s="73"/>
      <c r="GM184" s="73"/>
      <c r="GN184" s="73"/>
      <c r="GO184" s="73"/>
      <c r="GP184" s="73"/>
      <c r="GQ184" s="73"/>
      <c r="GR184" s="73"/>
      <c r="GS184" s="73"/>
      <c r="GT184" s="73"/>
      <c r="GU184" s="73"/>
      <c r="GV184" s="73"/>
      <c r="GW184" s="73"/>
      <c r="GX184" s="73"/>
      <c r="GY184" s="73"/>
      <c r="GZ184" s="73"/>
      <c r="HA184" s="73"/>
      <c r="HB184" s="73"/>
      <c r="HC184" s="73"/>
      <c r="HD184" s="73"/>
      <c r="HE184" s="73"/>
      <c r="HF184" s="73"/>
      <c r="HG184" s="73"/>
      <c r="HH184" s="73"/>
      <c r="HI184" s="73"/>
      <c r="HJ184" s="73"/>
      <c r="HK184" s="73"/>
      <c r="HL184" s="73"/>
      <c r="HM184" s="73"/>
      <c r="HN184" s="73"/>
      <c r="HO184" s="73"/>
      <c r="HP184" s="73"/>
      <c r="HQ184" s="73"/>
      <c r="HR184" s="73"/>
      <c r="HS184" s="73"/>
      <c r="HT184" s="73"/>
      <c r="HU184" s="73"/>
      <c r="HV184" s="73"/>
      <c r="HW184" s="73"/>
      <c r="HX184" s="73"/>
      <c r="HY184" s="73"/>
      <c r="HZ184" s="73"/>
      <c r="IA184" s="73"/>
      <c r="IB184" s="73"/>
      <c r="IC184" s="73"/>
      <c r="ID184" s="73"/>
      <c r="IE184" s="73"/>
      <c r="IF184" s="73"/>
      <c r="IG184" s="73"/>
      <c r="IH184" s="73"/>
      <c r="II184" s="73"/>
      <c r="IJ184" s="73"/>
      <c r="IK184" s="73"/>
      <c r="IL184" s="73"/>
      <c r="IM184" s="73"/>
      <c r="IN184" s="73"/>
      <c r="IO184" s="73"/>
      <c r="IP184" s="73"/>
      <c r="IQ184" s="73"/>
      <c r="IR184" s="73"/>
      <c r="IS184" s="73"/>
      <c r="IT184" s="73"/>
      <c r="IU184" s="73"/>
      <c r="IV184" s="73"/>
      <c r="IW184" s="73"/>
      <c r="IX184" s="73"/>
      <c r="IY184" s="73"/>
      <c r="IZ184" s="73"/>
      <c r="JA184" s="73"/>
      <c r="JB184" s="73"/>
      <c r="JC184" s="73"/>
    </row>
    <row r="185" spans="2:263" s="72" customFormat="1"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GL185" s="73"/>
      <c r="GM185" s="73"/>
      <c r="GN185" s="73"/>
      <c r="GO185" s="73"/>
      <c r="GP185" s="73"/>
      <c r="GQ185" s="73"/>
      <c r="GR185" s="73"/>
      <c r="GS185" s="73"/>
      <c r="GT185" s="73"/>
      <c r="GU185" s="73"/>
      <c r="GV185" s="73"/>
      <c r="GW185" s="73"/>
      <c r="GX185" s="73"/>
      <c r="GY185" s="73"/>
      <c r="GZ185" s="73"/>
      <c r="HA185" s="73"/>
      <c r="HB185" s="73"/>
      <c r="HC185" s="73"/>
      <c r="HD185" s="73"/>
      <c r="HE185" s="73"/>
      <c r="HF185" s="73"/>
      <c r="HG185" s="73"/>
      <c r="HH185" s="73"/>
      <c r="HI185" s="73"/>
      <c r="HJ185" s="73"/>
      <c r="HK185" s="73"/>
      <c r="HL185" s="73"/>
      <c r="HM185" s="73"/>
      <c r="HN185" s="73"/>
      <c r="HO185" s="73"/>
      <c r="HP185" s="73"/>
      <c r="HQ185" s="73"/>
      <c r="HR185" s="73"/>
      <c r="HS185" s="73"/>
      <c r="HT185" s="73"/>
      <c r="HU185" s="73"/>
      <c r="HV185" s="73"/>
      <c r="HW185" s="73"/>
      <c r="HX185" s="73"/>
      <c r="HY185" s="73"/>
      <c r="HZ185" s="73"/>
      <c r="IA185" s="73"/>
      <c r="IB185" s="73"/>
      <c r="IC185" s="73"/>
      <c r="ID185" s="73"/>
      <c r="IE185" s="73"/>
      <c r="IF185" s="73"/>
      <c r="IG185" s="73"/>
      <c r="IH185" s="73"/>
      <c r="II185" s="73"/>
      <c r="IJ185" s="73"/>
      <c r="IK185" s="73"/>
      <c r="IL185" s="73"/>
      <c r="IM185" s="73"/>
      <c r="IN185" s="73"/>
      <c r="IO185" s="73"/>
      <c r="IP185" s="73"/>
      <c r="IQ185" s="73"/>
      <c r="IR185" s="73"/>
      <c r="IS185" s="73"/>
      <c r="IT185" s="73"/>
      <c r="IU185" s="73"/>
      <c r="IV185" s="73"/>
      <c r="IW185" s="73"/>
      <c r="IX185" s="73"/>
      <c r="IY185" s="73"/>
      <c r="IZ185" s="73"/>
      <c r="JA185" s="73"/>
      <c r="JB185" s="73"/>
      <c r="JC185" s="73"/>
    </row>
    <row r="186" spans="2:263" s="72" customFormat="1">
      <c r="B186" s="73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GL186" s="73"/>
      <c r="GM186" s="73"/>
      <c r="GN186" s="73"/>
      <c r="GO186" s="73"/>
      <c r="GP186" s="73"/>
      <c r="GQ186" s="73"/>
      <c r="GR186" s="73"/>
      <c r="GS186" s="73"/>
      <c r="GT186" s="73"/>
      <c r="GU186" s="73"/>
      <c r="GV186" s="73"/>
      <c r="GW186" s="73"/>
      <c r="GX186" s="73"/>
      <c r="GY186" s="73"/>
      <c r="GZ186" s="73"/>
      <c r="HA186" s="73"/>
      <c r="HB186" s="73"/>
      <c r="HC186" s="73"/>
      <c r="HD186" s="73"/>
      <c r="HE186" s="73"/>
      <c r="HF186" s="73"/>
      <c r="HG186" s="73"/>
      <c r="HH186" s="73"/>
      <c r="HI186" s="73"/>
      <c r="HJ186" s="73"/>
      <c r="HK186" s="73"/>
      <c r="HL186" s="73"/>
      <c r="HM186" s="73"/>
      <c r="HN186" s="73"/>
      <c r="HO186" s="73"/>
      <c r="HP186" s="73"/>
      <c r="HQ186" s="73"/>
      <c r="HR186" s="73"/>
      <c r="HS186" s="73"/>
      <c r="HT186" s="73"/>
      <c r="HU186" s="73"/>
      <c r="HV186" s="73"/>
      <c r="HW186" s="73"/>
      <c r="HX186" s="73"/>
      <c r="HY186" s="73"/>
      <c r="HZ186" s="73"/>
      <c r="IA186" s="73"/>
      <c r="IB186" s="73"/>
      <c r="IC186" s="73"/>
      <c r="ID186" s="73"/>
      <c r="IE186" s="73"/>
      <c r="IF186" s="73"/>
      <c r="IG186" s="73"/>
      <c r="IH186" s="73"/>
      <c r="II186" s="73"/>
      <c r="IJ186" s="73"/>
      <c r="IK186" s="73"/>
      <c r="IL186" s="73"/>
      <c r="IM186" s="73"/>
      <c r="IN186" s="73"/>
      <c r="IO186" s="73"/>
      <c r="IP186" s="73"/>
      <c r="IQ186" s="73"/>
      <c r="IR186" s="73"/>
      <c r="IS186" s="73"/>
      <c r="IT186" s="73"/>
      <c r="IU186" s="73"/>
      <c r="IV186" s="73"/>
      <c r="IW186" s="73"/>
      <c r="IX186" s="73"/>
      <c r="IY186" s="73"/>
      <c r="IZ186" s="73"/>
      <c r="JA186" s="73"/>
      <c r="JB186" s="73"/>
      <c r="JC186" s="73"/>
    </row>
    <row r="187" spans="2:263" s="72" customFormat="1">
      <c r="B187" s="73"/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GL187" s="73"/>
      <c r="GM187" s="73"/>
      <c r="GN187" s="73"/>
      <c r="GO187" s="73"/>
      <c r="GP187" s="73"/>
      <c r="GQ187" s="73"/>
      <c r="GR187" s="73"/>
      <c r="GS187" s="73"/>
      <c r="GT187" s="73"/>
      <c r="GU187" s="73"/>
      <c r="GV187" s="73"/>
      <c r="GW187" s="73"/>
      <c r="GX187" s="73"/>
      <c r="GY187" s="73"/>
      <c r="GZ187" s="73"/>
      <c r="HA187" s="73"/>
      <c r="HB187" s="73"/>
      <c r="HC187" s="73"/>
      <c r="HD187" s="73"/>
      <c r="HE187" s="73"/>
      <c r="HF187" s="73"/>
      <c r="HG187" s="73"/>
      <c r="HH187" s="73"/>
      <c r="HI187" s="73"/>
      <c r="HJ187" s="73"/>
      <c r="HK187" s="73"/>
      <c r="HL187" s="73"/>
      <c r="HM187" s="73"/>
      <c r="HN187" s="73"/>
      <c r="HO187" s="73"/>
      <c r="HP187" s="73"/>
      <c r="HQ187" s="73"/>
      <c r="HR187" s="73"/>
      <c r="HS187" s="73"/>
      <c r="HT187" s="73"/>
      <c r="HU187" s="73"/>
      <c r="HV187" s="73"/>
      <c r="HW187" s="73"/>
      <c r="HX187" s="73"/>
      <c r="HY187" s="73"/>
      <c r="HZ187" s="73"/>
      <c r="IA187" s="73"/>
      <c r="IB187" s="73"/>
      <c r="IC187" s="73"/>
      <c r="ID187" s="73"/>
      <c r="IE187" s="73"/>
      <c r="IF187" s="73"/>
      <c r="IG187" s="73"/>
      <c r="IH187" s="73"/>
      <c r="II187" s="73"/>
      <c r="IJ187" s="73"/>
      <c r="IK187" s="73"/>
      <c r="IL187" s="73"/>
      <c r="IM187" s="73"/>
      <c r="IN187" s="73"/>
      <c r="IO187" s="73"/>
      <c r="IP187" s="73"/>
      <c r="IQ187" s="73"/>
      <c r="IR187" s="73"/>
      <c r="IS187" s="73"/>
      <c r="IT187" s="73"/>
      <c r="IU187" s="73"/>
      <c r="IV187" s="73"/>
      <c r="IW187" s="73"/>
      <c r="IX187" s="73"/>
      <c r="IY187" s="73"/>
      <c r="IZ187" s="73"/>
      <c r="JA187" s="73"/>
      <c r="JB187" s="73"/>
      <c r="JC187" s="73"/>
    </row>
    <row r="188" spans="2:263" s="72" customFormat="1">
      <c r="B188" s="73"/>
      <c r="C188" s="73"/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GL188" s="73"/>
      <c r="GM188" s="73"/>
      <c r="GN188" s="73"/>
      <c r="GO188" s="73"/>
      <c r="GP188" s="73"/>
      <c r="GQ188" s="73"/>
      <c r="GR188" s="73"/>
      <c r="GS188" s="73"/>
      <c r="GT188" s="73"/>
      <c r="GU188" s="73"/>
      <c r="GV188" s="73"/>
      <c r="GW188" s="73"/>
      <c r="GX188" s="73"/>
      <c r="GY188" s="73"/>
      <c r="GZ188" s="73"/>
      <c r="HA188" s="73"/>
      <c r="HB188" s="73"/>
      <c r="HC188" s="73"/>
      <c r="HD188" s="73"/>
      <c r="HE188" s="73"/>
      <c r="HF188" s="73"/>
      <c r="HG188" s="73"/>
      <c r="HH188" s="73"/>
      <c r="HI188" s="73"/>
      <c r="HJ188" s="73"/>
      <c r="HK188" s="73"/>
      <c r="HL188" s="73"/>
      <c r="HM188" s="73"/>
      <c r="HN188" s="73"/>
      <c r="HO188" s="73"/>
      <c r="HP188" s="73"/>
      <c r="HQ188" s="73"/>
      <c r="HR188" s="73"/>
      <c r="HS188" s="73"/>
      <c r="HT188" s="73"/>
      <c r="HU188" s="73"/>
      <c r="HV188" s="73"/>
      <c r="HW188" s="73"/>
      <c r="HX188" s="73"/>
      <c r="HY188" s="73"/>
      <c r="HZ188" s="73"/>
      <c r="IA188" s="73"/>
      <c r="IB188" s="73"/>
      <c r="IC188" s="73"/>
      <c r="ID188" s="73"/>
      <c r="IE188" s="73"/>
      <c r="IF188" s="73"/>
      <c r="IG188" s="73"/>
      <c r="IH188" s="73"/>
      <c r="II188" s="73"/>
      <c r="IJ188" s="73"/>
      <c r="IK188" s="73"/>
      <c r="IL188" s="73"/>
      <c r="IM188" s="73"/>
      <c r="IN188" s="73"/>
      <c r="IO188" s="73"/>
      <c r="IP188" s="73"/>
      <c r="IQ188" s="73"/>
      <c r="IR188" s="73"/>
      <c r="IS188" s="73"/>
      <c r="IT188" s="73"/>
      <c r="IU188" s="73"/>
      <c r="IV188" s="73"/>
      <c r="IW188" s="73"/>
      <c r="IX188" s="73"/>
      <c r="IY188" s="73"/>
      <c r="IZ188" s="73"/>
      <c r="JA188" s="73"/>
      <c r="JB188" s="73"/>
      <c r="JC188" s="73"/>
    </row>
    <row r="189" spans="2:263" s="72" customFormat="1">
      <c r="B189" s="73"/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GL189" s="73"/>
      <c r="GM189" s="73"/>
      <c r="GN189" s="73"/>
      <c r="GO189" s="73"/>
      <c r="GP189" s="73"/>
      <c r="GQ189" s="73"/>
      <c r="GR189" s="73"/>
      <c r="GS189" s="73"/>
      <c r="GT189" s="73"/>
      <c r="GU189" s="73"/>
      <c r="GV189" s="73"/>
      <c r="GW189" s="73"/>
      <c r="GX189" s="73"/>
      <c r="GY189" s="73"/>
      <c r="GZ189" s="73"/>
      <c r="HA189" s="73"/>
      <c r="HB189" s="73"/>
      <c r="HC189" s="73"/>
      <c r="HD189" s="73"/>
      <c r="HE189" s="73"/>
      <c r="HF189" s="73"/>
      <c r="HG189" s="73"/>
      <c r="HH189" s="73"/>
      <c r="HI189" s="73"/>
      <c r="HJ189" s="73"/>
      <c r="HK189" s="73"/>
      <c r="HL189" s="73"/>
      <c r="HM189" s="73"/>
      <c r="HN189" s="73"/>
      <c r="HO189" s="73"/>
      <c r="HP189" s="73"/>
      <c r="HQ189" s="73"/>
      <c r="HR189" s="73"/>
      <c r="HS189" s="73"/>
      <c r="HT189" s="73"/>
      <c r="HU189" s="73"/>
      <c r="HV189" s="73"/>
      <c r="HW189" s="73"/>
      <c r="HX189" s="73"/>
      <c r="HY189" s="73"/>
      <c r="HZ189" s="73"/>
      <c r="IA189" s="73"/>
      <c r="IB189" s="73"/>
      <c r="IC189" s="73"/>
      <c r="ID189" s="73"/>
      <c r="IE189" s="73"/>
      <c r="IF189" s="73"/>
      <c r="IG189" s="73"/>
      <c r="IH189" s="73"/>
      <c r="II189" s="73"/>
      <c r="IJ189" s="73"/>
      <c r="IK189" s="73"/>
      <c r="IL189" s="73"/>
      <c r="IM189" s="73"/>
      <c r="IN189" s="73"/>
      <c r="IO189" s="73"/>
      <c r="IP189" s="73"/>
      <c r="IQ189" s="73"/>
      <c r="IR189" s="73"/>
      <c r="IS189" s="73"/>
      <c r="IT189" s="73"/>
      <c r="IU189" s="73"/>
      <c r="IV189" s="73"/>
      <c r="IW189" s="73"/>
      <c r="IX189" s="73"/>
      <c r="IY189" s="73"/>
      <c r="IZ189" s="73"/>
      <c r="JA189" s="73"/>
      <c r="JB189" s="73"/>
      <c r="JC189" s="73"/>
    </row>
    <row r="190" spans="2:263" s="72" customFormat="1">
      <c r="B190" s="73"/>
      <c r="C190" s="73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GL190" s="73"/>
      <c r="GM190" s="73"/>
      <c r="GN190" s="73"/>
      <c r="GO190" s="73"/>
      <c r="GP190" s="73"/>
      <c r="GQ190" s="73"/>
      <c r="GR190" s="73"/>
      <c r="GS190" s="73"/>
      <c r="GT190" s="73"/>
      <c r="GU190" s="73"/>
      <c r="GV190" s="73"/>
      <c r="GW190" s="73"/>
      <c r="GX190" s="73"/>
      <c r="GY190" s="73"/>
      <c r="GZ190" s="73"/>
      <c r="HA190" s="73"/>
      <c r="HB190" s="73"/>
      <c r="HC190" s="73"/>
      <c r="HD190" s="73"/>
      <c r="HE190" s="73"/>
      <c r="HF190" s="73"/>
      <c r="HG190" s="73"/>
      <c r="HH190" s="73"/>
      <c r="HI190" s="73"/>
      <c r="HJ190" s="73"/>
      <c r="HK190" s="73"/>
      <c r="HL190" s="73"/>
      <c r="HM190" s="73"/>
      <c r="HN190" s="73"/>
      <c r="HO190" s="73"/>
      <c r="HP190" s="73"/>
      <c r="HQ190" s="73"/>
      <c r="HR190" s="73"/>
      <c r="HS190" s="73"/>
      <c r="HT190" s="73"/>
      <c r="HU190" s="73"/>
      <c r="HV190" s="73"/>
      <c r="HW190" s="73"/>
      <c r="HX190" s="73"/>
      <c r="HY190" s="73"/>
      <c r="HZ190" s="73"/>
      <c r="IA190" s="73"/>
      <c r="IB190" s="73"/>
      <c r="IC190" s="73"/>
      <c r="ID190" s="73"/>
      <c r="IE190" s="73"/>
      <c r="IF190" s="73"/>
      <c r="IG190" s="73"/>
      <c r="IH190" s="73"/>
      <c r="II190" s="73"/>
      <c r="IJ190" s="73"/>
      <c r="IK190" s="73"/>
      <c r="IL190" s="73"/>
      <c r="IM190" s="73"/>
      <c r="IN190" s="73"/>
      <c r="IO190" s="73"/>
      <c r="IP190" s="73"/>
      <c r="IQ190" s="73"/>
      <c r="IR190" s="73"/>
      <c r="IS190" s="73"/>
      <c r="IT190" s="73"/>
      <c r="IU190" s="73"/>
      <c r="IV190" s="73"/>
      <c r="IW190" s="73"/>
      <c r="IX190" s="73"/>
      <c r="IY190" s="73"/>
      <c r="IZ190" s="73"/>
      <c r="JA190" s="73"/>
      <c r="JB190" s="73"/>
      <c r="JC190" s="73"/>
    </row>
    <row r="191" spans="2:263" s="72" customFormat="1">
      <c r="B191" s="73"/>
      <c r="C191" s="73"/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GL191" s="73"/>
      <c r="GM191" s="73"/>
      <c r="GN191" s="73"/>
      <c r="GO191" s="73"/>
      <c r="GP191" s="73"/>
      <c r="GQ191" s="73"/>
      <c r="GR191" s="73"/>
      <c r="GS191" s="73"/>
      <c r="GT191" s="73"/>
      <c r="GU191" s="73"/>
      <c r="GV191" s="73"/>
      <c r="GW191" s="73"/>
      <c r="GX191" s="73"/>
      <c r="GY191" s="73"/>
      <c r="GZ191" s="73"/>
      <c r="HA191" s="73"/>
      <c r="HB191" s="73"/>
      <c r="HC191" s="73"/>
      <c r="HD191" s="73"/>
      <c r="HE191" s="73"/>
      <c r="HF191" s="73"/>
      <c r="HG191" s="73"/>
      <c r="HH191" s="73"/>
      <c r="HI191" s="73"/>
      <c r="HJ191" s="73"/>
      <c r="HK191" s="73"/>
      <c r="HL191" s="73"/>
      <c r="HM191" s="73"/>
      <c r="HN191" s="73"/>
      <c r="HO191" s="73"/>
      <c r="HP191" s="73"/>
      <c r="HQ191" s="73"/>
      <c r="HR191" s="73"/>
      <c r="HS191" s="73"/>
      <c r="HT191" s="73"/>
      <c r="HU191" s="73"/>
      <c r="HV191" s="73"/>
      <c r="HW191" s="73"/>
      <c r="HX191" s="73"/>
      <c r="HY191" s="73"/>
      <c r="HZ191" s="73"/>
      <c r="IA191" s="73"/>
      <c r="IB191" s="73"/>
      <c r="IC191" s="73"/>
      <c r="ID191" s="73"/>
      <c r="IE191" s="73"/>
      <c r="IF191" s="73"/>
      <c r="IG191" s="73"/>
      <c r="IH191" s="73"/>
      <c r="II191" s="73"/>
      <c r="IJ191" s="73"/>
      <c r="IK191" s="73"/>
      <c r="IL191" s="73"/>
      <c r="IM191" s="73"/>
      <c r="IN191" s="73"/>
      <c r="IO191" s="73"/>
      <c r="IP191" s="73"/>
      <c r="IQ191" s="73"/>
      <c r="IR191" s="73"/>
      <c r="IS191" s="73"/>
      <c r="IT191" s="73"/>
      <c r="IU191" s="73"/>
      <c r="IV191" s="73"/>
      <c r="IW191" s="73"/>
      <c r="IX191" s="73"/>
      <c r="IY191" s="73"/>
      <c r="IZ191" s="73"/>
      <c r="JA191" s="73"/>
      <c r="JB191" s="73"/>
      <c r="JC191" s="73"/>
    </row>
    <row r="192" spans="2:263" s="72" customFormat="1"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GL192" s="73"/>
      <c r="GM192" s="73"/>
      <c r="GN192" s="73"/>
      <c r="GO192" s="73"/>
      <c r="GP192" s="73"/>
      <c r="GQ192" s="73"/>
      <c r="GR192" s="73"/>
      <c r="GS192" s="73"/>
      <c r="GT192" s="73"/>
      <c r="GU192" s="73"/>
      <c r="GV192" s="73"/>
      <c r="GW192" s="73"/>
      <c r="GX192" s="73"/>
      <c r="GY192" s="73"/>
      <c r="GZ192" s="73"/>
      <c r="HA192" s="73"/>
      <c r="HB192" s="73"/>
      <c r="HC192" s="73"/>
      <c r="HD192" s="73"/>
      <c r="HE192" s="73"/>
      <c r="HF192" s="73"/>
      <c r="HG192" s="73"/>
      <c r="HH192" s="73"/>
      <c r="HI192" s="73"/>
      <c r="HJ192" s="73"/>
      <c r="HK192" s="73"/>
      <c r="HL192" s="73"/>
      <c r="HM192" s="73"/>
      <c r="HN192" s="73"/>
      <c r="HO192" s="73"/>
      <c r="HP192" s="73"/>
      <c r="HQ192" s="73"/>
      <c r="HR192" s="73"/>
      <c r="HS192" s="73"/>
      <c r="HT192" s="73"/>
      <c r="HU192" s="73"/>
      <c r="HV192" s="73"/>
      <c r="HW192" s="73"/>
      <c r="HX192" s="73"/>
      <c r="HY192" s="73"/>
      <c r="HZ192" s="73"/>
      <c r="IA192" s="73"/>
      <c r="IB192" s="73"/>
      <c r="IC192" s="73"/>
      <c r="ID192" s="73"/>
      <c r="IE192" s="73"/>
      <c r="IF192" s="73"/>
      <c r="IG192" s="73"/>
      <c r="IH192" s="73"/>
      <c r="II192" s="73"/>
      <c r="IJ192" s="73"/>
      <c r="IK192" s="73"/>
      <c r="IL192" s="73"/>
      <c r="IM192" s="73"/>
      <c r="IN192" s="73"/>
      <c r="IO192" s="73"/>
      <c r="IP192" s="73"/>
      <c r="IQ192" s="73"/>
      <c r="IR192" s="73"/>
      <c r="IS192" s="73"/>
      <c r="IT192" s="73"/>
      <c r="IU192" s="73"/>
      <c r="IV192" s="73"/>
      <c r="IW192" s="73"/>
      <c r="IX192" s="73"/>
      <c r="IY192" s="73"/>
      <c r="IZ192" s="73"/>
      <c r="JA192" s="73"/>
      <c r="JB192" s="73"/>
      <c r="JC192" s="73"/>
    </row>
    <row r="193" spans="2:263" s="72" customFormat="1">
      <c r="B193" s="73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GL193" s="73"/>
      <c r="GM193" s="73"/>
      <c r="GN193" s="73"/>
      <c r="GO193" s="73"/>
      <c r="GP193" s="73"/>
      <c r="GQ193" s="73"/>
      <c r="GR193" s="73"/>
      <c r="GS193" s="73"/>
      <c r="GT193" s="73"/>
      <c r="GU193" s="73"/>
      <c r="GV193" s="73"/>
      <c r="GW193" s="73"/>
      <c r="GX193" s="73"/>
      <c r="GY193" s="73"/>
      <c r="GZ193" s="73"/>
      <c r="HA193" s="73"/>
      <c r="HB193" s="73"/>
      <c r="HC193" s="73"/>
      <c r="HD193" s="73"/>
      <c r="HE193" s="73"/>
      <c r="HF193" s="73"/>
      <c r="HG193" s="73"/>
      <c r="HH193" s="73"/>
      <c r="HI193" s="73"/>
      <c r="HJ193" s="73"/>
      <c r="HK193" s="73"/>
      <c r="HL193" s="73"/>
      <c r="HM193" s="73"/>
      <c r="HN193" s="73"/>
      <c r="HO193" s="73"/>
      <c r="HP193" s="73"/>
      <c r="HQ193" s="73"/>
      <c r="HR193" s="73"/>
      <c r="HS193" s="73"/>
      <c r="HT193" s="73"/>
      <c r="HU193" s="73"/>
      <c r="HV193" s="73"/>
      <c r="HW193" s="73"/>
      <c r="HX193" s="73"/>
      <c r="HY193" s="73"/>
      <c r="HZ193" s="73"/>
      <c r="IA193" s="73"/>
      <c r="IB193" s="73"/>
      <c r="IC193" s="73"/>
      <c r="ID193" s="73"/>
      <c r="IE193" s="73"/>
      <c r="IF193" s="73"/>
      <c r="IG193" s="73"/>
      <c r="IH193" s="73"/>
      <c r="II193" s="73"/>
      <c r="IJ193" s="73"/>
      <c r="IK193" s="73"/>
      <c r="IL193" s="73"/>
      <c r="IM193" s="73"/>
      <c r="IN193" s="73"/>
      <c r="IO193" s="73"/>
      <c r="IP193" s="73"/>
      <c r="IQ193" s="73"/>
      <c r="IR193" s="73"/>
      <c r="IS193" s="73"/>
      <c r="IT193" s="73"/>
      <c r="IU193" s="73"/>
      <c r="IV193" s="73"/>
      <c r="IW193" s="73"/>
      <c r="IX193" s="73"/>
      <c r="IY193" s="73"/>
      <c r="IZ193" s="73"/>
      <c r="JA193" s="73"/>
      <c r="JB193" s="73"/>
      <c r="JC193" s="73"/>
    </row>
    <row r="194" spans="2:263" s="72" customFormat="1">
      <c r="B194" s="73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GL194" s="73"/>
      <c r="GM194" s="73"/>
      <c r="GN194" s="73"/>
      <c r="GO194" s="73"/>
      <c r="GP194" s="73"/>
      <c r="GQ194" s="73"/>
      <c r="GR194" s="73"/>
      <c r="GS194" s="73"/>
      <c r="GT194" s="73"/>
      <c r="GU194" s="73"/>
      <c r="GV194" s="73"/>
      <c r="GW194" s="73"/>
      <c r="GX194" s="73"/>
      <c r="GY194" s="73"/>
      <c r="GZ194" s="73"/>
      <c r="HA194" s="73"/>
      <c r="HB194" s="73"/>
      <c r="HC194" s="73"/>
      <c r="HD194" s="73"/>
      <c r="HE194" s="73"/>
      <c r="HF194" s="73"/>
      <c r="HG194" s="73"/>
      <c r="HH194" s="73"/>
      <c r="HI194" s="73"/>
      <c r="HJ194" s="73"/>
      <c r="HK194" s="73"/>
      <c r="HL194" s="73"/>
      <c r="HM194" s="73"/>
      <c r="HN194" s="73"/>
      <c r="HO194" s="73"/>
      <c r="HP194" s="73"/>
      <c r="HQ194" s="73"/>
      <c r="HR194" s="73"/>
      <c r="HS194" s="73"/>
      <c r="HT194" s="73"/>
      <c r="HU194" s="73"/>
      <c r="HV194" s="73"/>
      <c r="HW194" s="73"/>
      <c r="HX194" s="73"/>
      <c r="HY194" s="73"/>
      <c r="HZ194" s="73"/>
      <c r="IA194" s="73"/>
      <c r="IB194" s="73"/>
      <c r="IC194" s="73"/>
      <c r="ID194" s="73"/>
      <c r="IE194" s="73"/>
      <c r="IF194" s="73"/>
      <c r="IG194" s="73"/>
      <c r="IH194" s="73"/>
      <c r="II194" s="73"/>
      <c r="IJ194" s="73"/>
      <c r="IK194" s="73"/>
      <c r="IL194" s="73"/>
      <c r="IM194" s="73"/>
      <c r="IN194" s="73"/>
      <c r="IO194" s="73"/>
      <c r="IP194" s="73"/>
      <c r="IQ194" s="73"/>
      <c r="IR194" s="73"/>
      <c r="IS194" s="73"/>
      <c r="IT194" s="73"/>
      <c r="IU194" s="73"/>
      <c r="IV194" s="73"/>
      <c r="IW194" s="73"/>
      <c r="IX194" s="73"/>
      <c r="IY194" s="73"/>
      <c r="IZ194" s="73"/>
      <c r="JA194" s="73"/>
      <c r="JB194" s="73"/>
      <c r="JC194" s="73"/>
    </row>
    <row r="195" spans="2:263" s="72" customFormat="1">
      <c r="B195" s="73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GL195" s="73"/>
      <c r="GM195" s="73"/>
      <c r="GN195" s="73"/>
      <c r="GO195" s="73"/>
      <c r="GP195" s="73"/>
      <c r="GQ195" s="73"/>
      <c r="GR195" s="73"/>
      <c r="GS195" s="73"/>
      <c r="GT195" s="73"/>
      <c r="GU195" s="73"/>
      <c r="GV195" s="73"/>
      <c r="GW195" s="73"/>
      <c r="GX195" s="73"/>
      <c r="GY195" s="73"/>
      <c r="GZ195" s="73"/>
      <c r="HA195" s="73"/>
      <c r="HB195" s="73"/>
      <c r="HC195" s="73"/>
      <c r="HD195" s="73"/>
      <c r="HE195" s="73"/>
      <c r="HF195" s="73"/>
      <c r="HG195" s="73"/>
      <c r="HH195" s="73"/>
      <c r="HI195" s="73"/>
      <c r="HJ195" s="73"/>
      <c r="HK195" s="73"/>
      <c r="HL195" s="73"/>
      <c r="HM195" s="73"/>
      <c r="HN195" s="73"/>
      <c r="HO195" s="73"/>
      <c r="HP195" s="73"/>
      <c r="HQ195" s="73"/>
      <c r="HR195" s="73"/>
      <c r="HS195" s="73"/>
      <c r="HT195" s="73"/>
      <c r="HU195" s="73"/>
      <c r="HV195" s="73"/>
      <c r="HW195" s="73"/>
      <c r="HX195" s="73"/>
      <c r="HY195" s="73"/>
      <c r="HZ195" s="73"/>
      <c r="IA195" s="73"/>
      <c r="IB195" s="73"/>
      <c r="IC195" s="73"/>
      <c r="ID195" s="73"/>
      <c r="IE195" s="73"/>
      <c r="IF195" s="73"/>
      <c r="IG195" s="73"/>
      <c r="IH195" s="73"/>
      <c r="II195" s="73"/>
      <c r="IJ195" s="73"/>
      <c r="IK195" s="73"/>
      <c r="IL195" s="73"/>
      <c r="IM195" s="73"/>
      <c r="IN195" s="73"/>
      <c r="IO195" s="73"/>
      <c r="IP195" s="73"/>
      <c r="IQ195" s="73"/>
      <c r="IR195" s="73"/>
      <c r="IS195" s="73"/>
      <c r="IT195" s="73"/>
      <c r="IU195" s="73"/>
      <c r="IV195" s="73"/>
      <c r="IW195" s="73"/>
      <c r="IX195" s="73"/>
      <c r="IY195" s="73"/>
      <c r="IZ195" s="73"/>
      <c r="JA195" s="73"/>
      <c r="JB195" s="73"/>
      <c r="JC195" s="73"/>
    </row>
    <row r="196" spans="2:263" s="72" customFormat="1"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GL196" s="73"/>
      <c r="GM196" s="73"/>
      <c r="GN196" s="73"/>
      <c r="GO196" s="73"/>
      <c r="GP196" s="73"/>
      <c r="GQ196" s="73"/>
      <c r="GR196" s="73"/>
      <c r="GS196" s="73"/>
      <c r="GT196" s="73"/>
      <c r="GU196" s="73"/>
      <c r="GV196" s="73"/>
      <c r="GW196" s="73"/>
      <c r="GX196" s="73"/>
      <c r="GY196" s="73"/>
      <c r="GZ196" s="73"/>
      <c r="HA196" s="73"/>
      <c r="HB196" s="73"/>
      <c r="HC196" s="73"/>
      <c r="HD196" s="73"/>
      <c r="HE196" s="73"/>
      <c r="HF196" s="73"/>
      <c r="HG196" s="73"/>
      <c r="HH196" s="73"/>
      <c r="HI196" s="73"/>
      <c r="HJ196" s="73"/>
      <c r="HK196" s="73"/>
      <c r="HL196" s="73"/>
      <c r="HM196" s="73"/>
      <c r="HN196" s="73"/>
      <c r="HO196" s="73"/>
      <c r="HP196" s="73"/>
      <c r="HQ196" s="73"/>
      <c r="HR196" s="73"/>
      <c r="HS196" s="73"/>
      <c r="HT196" s="73"/>
      <c r="HU196" s="73"/>
      <c r="HV196" s="73"/>
      <c r="HW196" s="73"/>
      <c r="HX196" s="73"/>
      <c r="HY196" s="73"/>
      <c r="HZ196" s="73"/>
      <c r="IA196" s="73"/>
      <c r="IB196" s="73"/>
      <c r="IC196" s="73"/>
      <c r="ID196" s="73"/>
      <c r="IE196" s="73"/>
      <c r="IF196" s="73"/>
      <c r="IG196" s="73"/>
      <c r="IH196" s="73"/>
      <c r="II196" s="73"/>
      <c r="IJ196" s="73"/>
      <c r="IK196" s="73"/>
      <c r="IL196" s="73"/>
      <c r="IM196" s="73"/>
      <c r="IN196" s="73"/>
      <c r="IO196" s="73"/>
      <c r="IP196" s="73"/>
      <c r="IQ196" s="73"/>
      <c r="IR196" s="73"/>
      <c r="IS196" s="73"/>
      <c r="IT196" s="73"/>
      <c r="IU196" s="73"/>
      <c r="IV196" s="73"/>
      <c r="IW196" s="73"/>
      <c r="IX196" s="73"/>
      <c r="IY196" s="73"/>
      <c r="IZ196" s="73"/>
      <c r="JA196" s="73"/>
      <c r="JB196" s="73"/>
      <c r="JC196" s="73"/>
    </row>
    <row r="197" spans="2:263" s="72" customFormat="1">
      <c r="B197" s="73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GL197" s="73"/>
      <c r="GM197" s="73"/>
      <c r="GN197" s="73"/>
      <c r="GO197" s="73"/>
      <c r="GP197" s="73"/>
      <c r="GQ197" s="73"/>
      <c r="GR197" s="73"/>
      <c r="GS197" s="73"/>
      <c r="GT197" s="73"/>
      <c r="GU197" s="73"/>
      <c r="GV197" s="73"/>
      <c r="GW197" s="73"/>
      <c r="GX197" s="73"/>
      <c r="GY197" s="73"/>
      <c r="GZ197" s="73"/>
      <c r="HA197" s="73"/>
      <c r="HB197" s="73"/>
      <c r="HC197" s="73"/>
      <c r="HD197" s="73"/>
      <c r="HE197" s="73"/>
      <c r="HF197" s="73"/>
      <c r="HG197" s="73"/>
      <c r="HH197" s="73"/>
      <c r="HI197" s="73"/>
      <c r="HJ197" s="73"/>
      <c r="HK197" s="73"/>
      <c r="HL197" s="73"/>
      <c r="HM197" s="73"/>
      <c r="HN197" s="73"/>
      <c r="HO197" s="73"/>
      <c r="HP197" s="73"/>
      <c r="HQ197" s="73"/>
      <c r="HR197" s="73"/>
      <c r="HS197" s="73"/>
      <c r="HT197" s="73"/>
      <c r="HU197" s="73"/>
      <c r="HV197" s="73"/>
      <c r="HW197" s="73"/>
      <c r="HX197" s="73"/>
      <c r="HY197" s="73"/>
      <c r="HZ197" s="73"/>
      <c r="IA197" s="73"/>
      <c r="IB197" s="73"/>
      <c r="IC197" s="73"/>
      <c r="ID197" s="73"/>
      <c r="IE197" s="73"/>
      <c r="IF197" s="73"/>
      <c r="IG197" s="73"/>
      <c r="IH197" s="73"/>
      <c r="II197" s="73"/>
      <c r="IJ197" s="73"/>
      <c r="IK197" s="73"/>
      <c r="IL197" s="73"/>
      <c r="IM197" s="73"/>
      <c r="IN197" s="73"/>
      <c r="IO197" s="73"/>
      <c r="IP197" s="73"/>
      <c r="IQ197" s="73"/>
      <c r="IR197" s="73"/>
      <c r="IS197" s="73"/>
      <c r="IT197" s="73"/>
      <c r="IU197" s="73"/>
      <c r="IV197" s="73"/>
      <c r="IW197" s="73"/>
      <c r="IX197" s="73"/>
      <c r="IY197" s="73"/>
      <c r="IZ197" s="73"/>
      <c r="JA197" s="73"/>
      <c r="JB197" s="73"/>
      <c r="JC197" s="73"/>
    </row>
    <row r="198" spans="2:263" s="72" customFormat="1">
      <c r="B198" s="73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GL198" s="73"/>
      <c r="GM198" s="73"/>
      <c r="GN198" s="73"/>
      <c r="GO198" s="73"/>
      <c r="GP198" s="73"/>
      <c r="GQ198" s="73"/>
      <c r="GR198" s="73"/>
      <c r="GS198" s="73"/>
      <c r="GT198" s="73"/>
      <c r="GU198" s="73"/>
      <c r="GV198" s="73"/>
      <c r="GW198" s="73"/>
      <c r="GX198" s="73"/>
      <c r="GY198" s="73"/>
      <c r="GZ198" s="73"/>
      <c r="HA198" s="73"/>
      <c r="HB198" s="73"/>
      <c r="HC198" s="73"/>
      <c r="HD198" s="73"/>
      <c r="HE198" s="73"/>
      <c r="HF198" s="73"/>
      <c r="HG198" s="73"/>
      <c r="HH198" s="73"/>
      <c r="HI198" s="73"/>
      <c r="HJ198" s="73"/>
      <c r="HK198" s="73"/>
      <c r="HL198" s="73"/>
      <c r="HM198" s="73"/>
      <c r="HN198" s="73"/>
      <c r="HO198" s="73"/>
      <c r="HP198" s="73"/>
      <c r="HQ198" s="73"/>
      <c r="HR198" s="73"/>
      <c r="HS198" s="73"/>
      <c r="HT198" s="73"/>
      <c r="HU198" s="73"/>
      <c r="HV198" s="73"/>
      <c r="HW198" s="73"/>
      <c r="HX198" s="73"/>
      <c r="HY198" s="73"/>
      <c r="HZ198" s="73"/>
      <c r="IA198" s="73"/>
      <c r="IB198" s="73"/>
      <c r="IC198" s="73"/>
      <c r="ID198" s="73"/>
      <c r="IE198" s="73"/>
      <c r="IF198" s="73"/>
      <c r="IG198" s="73"/>
      <c r="IH198" s="73"/>
      <c r="II198" s="73"/>
      <c r="IJ198" s="73"/>
      <c r="IK198" s="73"/>
      <c r="IL198" s="73"/>
      <c r="IM198" s="73"/>
      <c r="IN198" s="73"/>
      <c r="IO198" s="73"/>
      <c r="IP198" s="73"/>
      <c r="IQ198" s="73"/>
      <c r="IR198" s="73"/>
      <c r="IS198" s="73"/>
      <c r="IT198" s="73"/>
      <c r="IU198" s="73"/>
      <c r="IV198" s="73"/>
      <c r="IW198" s="73"/>
      <c r="IX198" s="73"/>
      <c r="IY198" s="73"/>
      <c r="IZ198" s="73"/>
      <c r="JA198" s="73"/>
      <c r="JB198" s="73"/>
      <c r="JC198" s="73"/>
    </row>
    <row r="199" spans="2:263" s="72" customFormat="1"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GL199" s="73"/>
      <c r="GM199" s="73"/>
      <c r="GN199" s="73"/>
      <c r="GO199" s="73"/>
      <c r="GP199" s="73"/>
      <c r="GQ199" s="73"/>
      <c r="GR199" s="73"/>
      <c r="GS199" s="73"/>
      <c r="GT199" s="73"/>
      <c r="GU199" s="73"/>
      <c r="GV199" s="73"/>
      <c r="GW199" s="73"/>
      <c r="GX199" s="73"/>
      <c r="GY199" s="73"/>
      <c r="GZ199" s="73"/>
      <c r="HA199" s="73"/>
      <c r="HB199" s="73"/>
      <c r="HC199" s="73"/>
      <c r="HD199" s="73"/>
      <c r="HE199" s="73"/>
      <c r="HF199" s="73"/>
      <c r="HG199" s="73"/>
      <c r="HH199" s="73"/>
      <c r="HI199" s="73"/>
      <c r="HJ199" s="73"/>
      <c r="HK199" s="73"/>
      <c r="HL199" s="73"/>
      <c r="HM199" s="73"/>
      <c r="HN199" s="73"/>
      <c r="HO199" s="73"/>
      <c r="HP199" s="73"/>
      <c r="HQ199" s="73"/>
      <c r="HR199" s="73"/>
      <c r="HS199" s="73"/>
      <c r="HT199" s="73"/>
      <c r="HU199" s="73"/>
      <c r="HV199" s="73"/>
      <c r="HW199" s="73"/>
      <c r="HX199" s="73"/>
      <c r="HY199" s="73"/>
      <c r="HZ199" s="73"/>
      <c r="IA199" s="73"/>
      <c r="IB199" s="73"/>
      <c r="IC199" s="73"/>
      <c r="ID199" s="73"/>
      <c r="IE199" s="73"/>
      <c r="IF199" s="73"/>
      <c r="IG199" s="73"/>
      <c r="IH199" s="73"/>
      <c r="II199" s="73"/>
      <c r="IJ199" s="73"/>
      <c r="IK199" s="73"/>
      <c r="IL199" s="73"/>
      <c r="IM199" s="73"/>
      <c r="IN199" s="73"/>
      <c r="IO199" s="73"/>
      <c r="IP199" s="73"/>
      <c r="IQ199" s="73"/>
      <c r="IR199" s="73"/>
      <c r="IS199" s="73"/>
      <c r="IT199" s="73"/>
      <c r="IU199" s="73"/>
      <c r="IV199" s="73"/>
      <c r="IW199" s="73"/>
      <c r="IX199" s="73"/>
      <c r="IY199" s="73"/>
      <c r="IZ199" s="73"/>
      <c r="JA199" s="73"/>
      <c r="JB199" s="73"/>
      <c r="JC199" s="73"/>
    </row>
    <row r="200" spans="2:263" s="72" customFormat="1">
      <c r="B200" s="73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GL200" s="73"/>
      <c r="GM200" s="73"/>
      <c r="GN200" s="73"/>
      <c r="GO200" s="73"/>
      <c r="GP200" s="73"/>
      <c r="GQ200" s="73"/>
      <c r="GR200" s="73"/>
      <c r="GS200" s="73"/>
      <c r="GT200" s="73"/>
      <c r="GU200" s="73"/>
      <c r="GV200" s="73"/>
      <c r="GW200" s="73"/>
      <c r="GX200" s="73"/>
      <c r="GY200" s="73"/>
      <c r="GZ200" s="73"/>
      <c r="HA200" s="73"/>
      <c r="HB200" s="73"/>
      <c r="HC200" s="73"/>
      <c r="HD200" s="73"/>
      <c r="HE200" s="73"/>
      <c r="HF200" s="73"/>
      <c r="HG200" s="73"/>
      <c r="HH200" s="73"/>
      <c r="HI200" s="73"/>
      <c r="HJ200" s="73"/>
      <c r="HK200" s="73"/>
      <c r="HL200" s="73"/>
      <c r="HM200" s="73"/>
      <c r="HN200" s="73"/>
      <c r="HO200" s="73"/>
      <c r="HP200" s="73"/>
      <c r="HQ200" s="73"/>
      <c r="HR200" s="73"/>
      <c r="HS200" s="73"/>
      <c r="HT200" s="73"/>
      <c r="HU200" s="73"/>
      <c r="HV200" s="73"/>
      <c r="HW200" s="73"/>
      <c r="HX200" s="73"/>
      <c r="HY200" s="73"/>
      <c r="HZ200" s="73"/>
      <c r="IA200" s="73"/>
      <c r="IB200" s="73"/>
      <c r="IC200" s="73"/>
      <c r="ID200" s="73"/>
      <c r="IE200" s="73"/>
      <c r="IF200" s="73"/>
      <c r="IG200" s="73"/>
      <c r="IH200" s="73"/>
      <c r="II200" s="73"/>
      <c r="IJ200" s="73"/>
      <c r="IK200" s="73"/>
      <c r="IL200" s="73"/>
      <c r="IM200" s="73"/>
      <c r="IN200" s="73"/>
      <c r="IO200" s="73"/>
      <c r="IP200" s="73"/>
      <c r="IQ200" s="73"/>
      <c r="IR200" s="73"/>
      <c r="IS200" s="73"/>
      <c r="IT200" s="73"/>
      <c r="IU200" s="73"/>
      <c r="IV200" s="73"/>
      <c r="IW200" s="73"/>
      <c r="IX200" s="73"/>
      <c r="IY200" s="73"/>
      <c r="IZ200" s="73"/>
      <c r="JA200" s="73"/>
      <c r="JB200" s="73"/>
      <c r="JC200" s="73"/>
    </row>
    <row r="201" spans="2:263" s="72" customFormat="1">
      <c r="B201" s="73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GL201" s="73"/>
      <c r="GM201" s="73"/>
      <c r="GN201" s="73"/>
      <c r="GO201" s="73"/>
      <c r="GP201" s="73"/>
      <c r="GQ201" s="73"/>
      <c r="GR201" s="73"/>
      <c r="GS201" s="73"/>
      <c r="GT201" s="73"/>
      <c r="GU201" s="73"/>
      <c r="GV201" s="73"/>
      <c r="GW201" s="73"/>
      <c r="GX201" s="73"/>
      <c r="GY201" s="73"/>
      <c r="GZ201" s="73"/>
      <c r="HA201" s="73"/>
      <c r="HB201" s="73"/>
      <c r="HC201" s="73"/>
      <c r="HD201" s="73"/>
      <c r="HE201" s="73"/>
      <c r="HF201" s="73"/>
      <c r="HG201" s="73"/>
      <c r="HH201" s="73"/>
      <c r="HI201" s="73"/>
      <c r="HJ201" s="73"/>
      <c r="HK201" s="73"/>
      <c r="HL201" s="73"/>
      <c r="HM201" s="73"/>
      <c r="HN201" s="73"/>
      <c r="HO201" s="73"/>
      <c r="HP201" s="73"/>
      <c r="HQ201" s="73"/>
      <c r="HR201" s="73"/>
      <c r="HS201" s="73"/>
      <c r="HT201" s="73"/>
      <c r="HU201" s="73"/>
      <c r="HV201" s="73"/>
      <c r="HW201" s="73"/>
      <c r="HX201" s="73"/>
      <c r="HY201" s="73"/>
      <c r="HZ201" s="73"/>
      <c r="IA201" s="73"/>
      <c r="IB201" s="73"/>
      <c r="IC201" s="73"/>
      <c r="ID201" s="73"/>
      <c r="IE201" s="73"/>
      <c r="IF201" s="73"/>
      <c r="IG201" s="73"/>
      <c r="IH201" s="73"/>
      <c r="II201" s="73"/>
      <c r="IJ201" s="73"/>
      <c r="IK201" s="73"/>
      <c r="IL201" s="73"/>
      <c r="IM201" s="73"/>
      <c r="IN201" s="73"/>
      <c r="IO201" s="73"/>
      <c r="IP201" s="73"/>
      <c r="IQ201" s="73"/>
      <c r="IR201" s="73"/>
      <c r="IS201" s="73"/>
      <c r="IT201" s="73"/>
      <c r="IU201" s="73"/>
      <c r="IV201" s="73"/>
      <c r="IW201" s="73"/>
      <c r="IX201" s="73"/>
      <c r="IY201" s="73"/>
      <c r="IZ201" s="73"/>
      <c r="JA201" s="73"/>
      <c r="JB201" s="73"/>
      <c r="JC201" s="73"/>
    </row>
    <row r="202" spans="2:263" s="72" customFormat="1"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GL202" s="73"/>
      <c r="GM202" s="73"/>
      <c r="GN202" s="73"/>
      <c r="GO202" s="73"/>
      <c r="GP202" s="73"/>
      <c r="GQ202" s="73"/>
      <c r="GR202" s="73"/>
      <c r="GS202" s="73"/>
      <c r="GT202" s="73"/>
      <c r="GU202" s="73"/>
      <c r="GV202" s="73"/>
      <c r="GW202" s="73"/>
      <c r="GX202" s="73"/>
      <c r="GY202" s="73"/>
      <c r="GZ202" s="73"/>
      <c r="HA202" s="73"/>
      <c r="HB202" s="73"/>
      <c r="HC202" s="73"/>
      <c r="HD202" s="73"/>
      <c r="HE202" s="73"/>
      <c r="HF202" s="73"/>
      <c r="HG202" s="73"/>
      <c r="HH202" s="73"/>
      <c r="HI202" s="73"/>
      <c r="HJ202" s="73"/>
      <c r="HK202" s="73"/>
      <c r="HL202" s="73"/>
      <c r="HM202" s="73"/>
      <c r="HN202" s="73"/>
      <c r="HO202" s="73"/>
      <c r="HP202" s="73"/>
      <c r="HQ202" s="73"/>
      <c r="HR202" s="73"/>
      <c r="HS202" s="73"/>
      <c r="HT202" s="73"/>
      <c r="HU202" s="73"/>
      <c r="HV202" s="73"/>
      <c r="HW202" s="73"/>
      <c r="HX202" s="73"/>
      <c r="HY202" s="73"/>
      <c r="HZ202" s="73"/>
      <c r="IA202" s="73"/>
      <c r="IB202" s="73"/>
      <c r="IC202" s="73"/>
      <c r="ID202" s="73"/>
      <c r="IE202" s="73"/>
      <c r="IF202" s="73"/>
      <c r="IG202" s="73"/>
      <c r="IH202" s="73"/>
      <c r="II202" s="73"/>
      <c r="IJ202" s="73"/>
      <c r="IK202" s="73"/>
      <c r="IL202" s="73"/>
      <c r="IM202" s="73"/>
      <c r="IN202" s="73"/>
      <c r="IO202" s="73"/>
      <c r="IP202" s="73"/>
      <c r="IQ202" s="73"/>
      <c r="IR202" s="73"/>
      <c r="IS202" s="73"/>
      <c r="IT202" s="73"/>
      <c r="IU202" s="73"/>
      <c r="IV202" s="73"/>
      <c r="IW202" s="73"/>
      <c r="IX202" s="73"/>
      <c r="IY202" s="73"/>
      <c r="IZ202" s="73"/>
      <c r="JA202" s="73"/>
      <c r="JB202" s="73"/>
      <c r="JC202" s="73"/>
    </row>
    <row r="203" spans="2:263" s="72" customFormat="1"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GL203" s="73"/>
      <c r="GM203" s="73"/>
      <c r="GN203" s="73"/>
      <c r="GO203" s="73"/>
      <c r="GP203" s="73"/>
      <c r="GQ203" s="73"/>
      <c r="GR203" s="73"/>
      <c r="GS203" s="73"/>
      <c r="GT203" s="73"/>
      <c r="GU203" s="73"/>
      <c r="GV203" s="73"/>
      <c r="GW203" s="73"/>
      <c r="GX203" s="73"/>
      <c r="GY203" s="73"/>
      <c r="GZ203" s="73"/>
      <c r="HA203" s="73"/>
      <c r="HB203" s="73"/>
      <c r="HC203" s="73"/>
      <c r="HD203" s="73"/>
      <c r="HE203" s="73"/>
      <c r="HF203" s="73"/>
      <c r="HG203" s="73"/>
      <c r="HH203" s="73"/>
      <c r="HI203" s="73"/>
      <c r="HJ203" s="73"/>
      <c r="HK203" s="73"/>
      <c r="HL203" s="73"/>
      <c r="HM203" s="73"/>
      <c r="HN203" s="73"/>
      <c r="HO203" s="73"/>
      <c r="HP203" s="73"/>
      <c r="HQ203" s="73"/>
      <c r="HR203" s="73"/>
      <c r="HS203" s="73"/>
      <c r="HT203" s="73"/>
      <c r="HU203" s="73"/>
      <c r="HV203" s="73"/>
      <c r="HW203" s="73"/>
      <c r="HX203" s="73"/>
      <c r="HY203" s="73"/>
      <c r="HZ203" s="73"/>
      <c r="IA203" s="73"/>
      <c r="IB203" s="73"/>
      <c r="IC203" s="73"/>
      <c r="ID203" s="73"/>
      <c r="IE203" s="73"/>
      <c r="IF203" s="73"/>
      <c r="IG203" s="73"/>
      <c r="IH203" s="73"/>
      <c r="II203" s="73"/>
      <c r="IJ203" s="73"/>
      <c r="IK203" s="73"/>
      <c r="IL203" s="73"/>
      <c r="IM203" s="73"/>
      <c r="IN203" s="73"/>
      <c r="IO203" s="73"/>
      <c r="IP203" s="73"/>
      <c r="IQ203" s="73"/>
      <c r="IR203" s="73"/>
      <c r="IS203" s="73"/>
      <c r="IT203" s="73"/>
      <c r="IU203" s="73"/>
      <c r="IV203" s="73"/>
      <c r="IW203" s="73"/>
      <c r="IX203" s="73"/>
      <c r="IY203" s="73"/>
      <c r="IZ203" s="73"/>
      <c r="JA203" s="73"/>
      <c r="JB203" s="73"/>
      <c r="JC203" s="73"/>
    </row>
    <row r="204" spans="2:263" s="72" customFormat="1">
      <c r="B204" s="73"/>
      <c r="C204" s="73"/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GL204" s="73"/>
      <c r="GM204" s="73"/>
      <c r="GN204" s="73"/>
      <c r="GO204" s="73"/>
      <c r="GP204" s="73"/>
      <c r="GQ204" s="73"/>
      <c r="GR204" s="73"/>
      <c r="GS204" s="73"/>
      <c r="GT204" s="73"/>
      <c r="GU204" s="73"/>
      <c r="GV204" s="73"/>
      <c r="GW204" s="73"/>
      <c r="GX204" s="73"/>
      <c r="GY204" s="73"/>
      <c r="GZ204" s="73"/>
      <c r="HA204" s="73"/>
      <c r="HB204" s="73"/>
      <c r="HC204" s="73"/>
      <c r="HD204" s="73"/>
      <c r="HE204" s="73"/>
      <c r="HF204" s="73"/>
      <c r="HG204" s="73"/>
      <c r="HH204" s="73"/>
      <c r="HI204" s="73"/>
      <c r="HJ204" s="73"/>
      <c r="HK204" s="73"/>
      <c r="HL204" s="73"/>
      <c r="HM204" s="73"/>
      <c r="HN204" s="73"/>
      <c r="HO204" s="73"/>
      <c r="HP204" s="73"/>
      <c r="HQ204" s="73"/>
      <c r="HR204" s="73"/>
      <c r="HS204" s="73"/>
      <c r="HT204" s="73"/>
      <c r="HU204" s="73"/>
      <c r="HV204" s="73"/>
      <c r="HW204" s="73"/>
      <c r="HX204" s="73"/>
      <c r="HY204" s="73"/>
      <c r="HZ204" s="73"/>
      <c r="IA204" s="73"/>
      <c r="IB204" s="73"/>
      <c r="IC204" s="73"/>
      <c r="ID204" s="73"/>
      <c r="IE204" s="73"/>
      <c r="IF204" s="73"/>
      <c r="IG204" s="73"/>
      <c r="IH204" s="73"/>
      <c r="II204" s="73"/>
      <c r="IJ204" s="73"/>
      <c r="IK204" s="73"/>
      <c r="IL204" s="73"/>
      <c r="IM204" s="73"/>
      <c r="IN204" s="73"/>
      <c r="IO204" s="73"/>
      <c r="IP204" s="73"/>
      <c r="IQ204" s="73"/>
      <c r="IR204" s="73"/>
      <c r="IS204" s="73"/>
      <c r="IT204" s="73"/>
      <c r="IU204" s="73"/>
      <c r="IV204" s="73"/>
      <c r="IW204" s="73"/>
      <c r="IX204" s="73"/>
      <c r="IY204" s="73"/>
      <c r="IZ204" s="73"/>
      <c r="JA204" s="73"/>
      <c r="JB204" s="73"/>
      <c r="JC204" s="73"/>
    </row>
    <row r="205" spans="2:263" s="72" customFormat="1">
      <c r="B205" s="73"/>
      <c r="C205" s="73"/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GL205" s="73"/>
      <c r="GM205" s="73"/>
      <c r="GN205" s="73"/>
      <c r="GO205" s="73"/>
      <c r="GP205" s="73"/>
      <c r="GQ205" s="73"/>
      <c r="GR205" s="73"/>
      <c r="GS205" s="73"/>
      <c r="GT205" s="73"/>
      <c r="GU205" s="73"/>
      <c r="GV205" s="73"/>
      <c r="GW205" s="73"/>
      <c r="GX205" s="73"/>
      <c r="GY205" s="73"/>
      <c r="GZ205" s="73"/>
      <c r="HA205" s="73"/>
      <c r="HB205" s="73"/>
      <c r="HC205" s="73"/>
      <c r="HD205" s="73"/>
      <c r="HE205" s="73"/>
      <c r="HF205" s="73"/>
      <c r="HG205" s="73"/>
      <c r="HH205" s="73"/>
      <c r="HI205" s="73"/>
      <c r="HJ205" s="73"/>
      <c r="HK205" s="73"/>
      <c r="HL205" s="73"/>
      <c r="HM205" s="73"/>
      <c r="HN205" s="73"/>
      <c r="HO205" s="73"/>
      <c r="HP205" s="73"/>
      <c r="HQ205" s="73"/>
      <c r="HR205" s="73"/>
      <c r="HS205" s="73"/>
      <c r="HT205" s="73"/>
      <c r="HU205" s="73"/>
      <c r="HV205" s="73"/>
      <c r="HW205" s="73"/>
      <c r="HX205" s="73"/>
      <c r="HY205" s="73"/>
      <c r="HZ205" s="73"/>
      <c r="IA205" s="73"/>
      <c r="IB205" s="73"/>
      <c r="IC205" s="73"/>
      <c r="ID205" s="73"/>
      <c r="IE205" s="73"/>
      <c r="IF205" s="73"/>
      <c r="IG205" s="73"/>
      <c r="IH205" s="73"/>
      <c r="II205" s="73"/>
      <c r="IJ205" s="73"/>
      <c r="IK205" s="73"/>
      <c r="IL205" s="73"/>
      <c r="IM205" s="73"/>
      <c r="IN205" s="73"/>
      <c r="IO205" s="73"/>
      <c r="IP205" s="73"/>
      <c r="IQ205" s="73"/>
      <c r="IR205" s="73"/>
      <c r="IS205" s="73"/>
      <c r="IT205" s="73"/>
      <c r="IU205" s="73"/>
      <c r="IV205" s="73"/>
      <c r="IW205" s="73"/>
      <c r="IX205" s="73"/>
      <c r="IY205" s="73"/>
      <c r="IZ205" s="73"/>
      <c r="JA205" s="73"/>
      <c r="JB205" s="73"/>
      <c r="JC205" s="73"/>
    </row>
    <row r="206" spans="2:263" s="72" customFormat="1">
      <c r="B206" s="73"/>
      <c r="C206" s="73"/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GL206" s="73"/>
      <c r="GM206" s="73"/>
      <c r="GN206" s="73"/>
      <c r="GO206" s="73"/>
      <c r="GP206" s="73"/>
      <c r="GQ206" s="73"/>
      <c r="GR206" s="73"/>
      <c r="GS206" s="73"/>
      <c r="GT206" s="73"/>
      <c r="GU206" s="73"/>
      <c r="GV206" s="73"/>
      <c r="GW206" s="73"/>
      <c r="GX206" s="73"/>
      <c r="GY206" s="73"/>
      <c r="GZ206" s="73"/>
      <c r="HA206" s="73"/>
      <c r="HB206" s="73"/>
      <c r="HC206" s="73"/>
      <c r="HD206" s="73"/>
      <c r="HE206" s="73"/>
      <c r="HF206" s="73"/>
      <c r="HG206" s="73"/>
      <c r="HH206" s="73"/>
      <c r="HI206" s="73"/>
      <c r="HJ206" s="73"/>
      <c r="HK206" s="73"/>
      <c r="HL206" s="73"/>
      <c r="HM206" s="73"/>
      <c r="HN206" s="73"/>
      <c r="HO206" s="73"/>
      <c r="HP206" s="73"/>
      <c r="HQ206" s="73"/>
      <c r="HR206" s="73"/>
      <c r="HS206" s="73"/>
      <c r="HT206" s="73"/>
      <c r="HU206" s="73"/>
      <c r="HV206" s="73"/>
      <c r="HW206" s="73"/>
      <c r="HX206" s="73"/>
      <c r="HY206" s="73"/>
      <c r="HZ206" s="73"/>
      <c r="IA206" s="73"/>
      <c r="IB206" s="73"/>
      <c r="IC206" s="73"/>
      <c r="ID206" s="73"/>
      <c r="IE206" s="73"/>
      <c r="IF206" s="73"/>
      <c r="IG206" s="73"/>
      <c r="IH206" s="73"/>
      <c r="II206" s="73"/>
      <c r="IJ206" s="73"/>
      <c r="IK206" s="73"/>
      <c r="IL206" s="73"/>
      <c r="IM206" s="73"/>
      <c r="IN206" s="73"/>
      <c r="IO206" s="73"/>
      <c r="IP206" s="73"/>
      <c r="IQ206" s="73"/>
      <c r="IR206" s="73"/>
      <c r="IS206" s="73"/>
      <c r="IT206" s="73"/>
      <c r="IU206" s="73"/>
      <c r="IV206" s="73"/>
      <c r="IW206" s="73"/>
      <c r="IX206" s="73"/>
      <c r="IY206" s="73"/>
      <c r="IZ206" s="73"/>
      <c r="JA206" s="73"/>
      <c r="JB206" s="73"/>
      <c r="JC206" s="73"/>
    </row>
    <row r="207" spans="2:263" s="72" customFormat="1">
      <c r="B207" s="73"/>
      <c r="C207" s="73"/>
      <c r="D207" s="73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GL207" s="73"/>
      <c r="GM207" s="73"/>
      <c r="GN207" s="73"/>
      <c r="GO207" s="73"/>
      <c r="GP207" s="73"/>
      <c r="GQ207" s="73"/>
      <c r="GR207" s="73"/>
      <c r="GS207" s="73"/>
      <c r="GT207" s="73"/>
      <c r="GU207" s="73"/>
      <c r="GV207" s="73"/>
      <c r="GW207" s="73"/>
      <c r="GX207" s="73"/>
      <c r="GY207" s="73"/>
      <c r="GZ207" s="73"/>
      <c r="HA207" s="73"/>
      <c r="HB207" s="73"/>
      <c r="HC207" s="73"/>
      <c r="HD207" s="73"/>
      <c r="HE207" s="73"/>
      <c r="HF207" s="73"/>
      <c r="HG207" s="73"/>
      <c r="HH207" s="73"/>
      <c r="HI207" s="73"/>
      <c r="HJ207" s="73"/>
      <c r="HK207" s="73"/>
      <c r="HL207" s="73"/>
      <c r="HM207" s="73"/>
      <c r="HN207" s="73"/>
      <c r="HO207" s="73"/>
      <c r="HP207" s="73"/>
      <c r="HQ207" s="73"/>
      <c r="HR207" s="73"/>
      <c r="HS207" s="73"/>
      <c r="HT207" s="73"/>
      <c r="HU207" s="73"/>
      <c r="HV207" s="73"/>
      <c r="HW207" s="73"/>
      <c r="HX207" s="73"/>
      <c r="HY207" s="73"/>
      <c r="HZ207" s="73"/>
      <c r="IA207" s="73"/>
      <c r="IB207" s="73"/>
      <c r="IC207" s="73"/>
      <c r="ID207" s="73"/>
      <c r="IE207" s="73"/>
      <c r="IF207" s="73"/>
      <c r="IG207" s="73"/>
      <c r="IH207" s="73"/>
      <c r="II207" s="73"/>
      <c r="IJ207" s="73"/>
      <c r="IK207" s="73"/>
      <c r="IL207" s="73"/>
      <c r="IM207" s="73"/>
      <c r="IN207" s="73"/>
      <c r="IO207" s="73"/>
      <c r="IP207" s="73"/>
      <c r="IQ207" s="73"/>
      <c r="IR207" s="73"/>
      <c r="IS207" s="73"/>
      <c r="IT207" s="73"/>
      <c r="IU207" s="73"/>
      <c r="IV207" s="73"/>
      <c r="IW207" s="73"/>
      <c r="IX207" s="73"/>
      <c r="IY207" s="73"/>
      <c r="IZ207" s="73"/>
      <c r="JA207" s="73"/>
      <c r="JB207" s="73"/>
      <c r="JC207" s="73"/>
    </row>
    <row r="208" spans="2:263" s="72" customFormat="1">
      <c r="B208" s="73"/>
      <c r="C208" s="73"/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GL208" s="73"/>
      <c r="GM208" s="73"/>
      <c r="GN208" s="73"/>
      <c r="GO208" s="73"/>
      <c r="GP208" s="73"/>
      <c r="GQ208" s="73"/>
      <c r="GR208" s="73"/>
      <c r="GS208" s="73"/>
      <c r="GT208" s="73"/>
      <c r="GU208" s="73"/>
      <c r="GV208" s="73"/>
      <c r="GW208" s="73"/>
      <c r="GX208" s="73"/>
      <c r="GY208" s="73"/>
      <c r="GZ208" s="73"/>
      <c r="HA208" s="73"/>
      <c r="HB208" s="73"/>
      <c r="HC208" s="73"/>
      <c r="HD208" s="73"/>
      <c r="HE208" s="73"/>
      <c r="HF208" s="73"/>
      <c r="HG208" s="73"/>
      <c r="HH208" s="73"/>
      <c r="HI208" s="73"/>
      <c r="HJ208" s="73"/>
      <c r="HK208" s="73"/>
      <c r="HL208" s="73"/>
      <c r="HM208" s="73"/>
      <c r="HN208" s="73"/>
      <c r="HO208" s="73"/>
      <c r="HP208" s="73"/>
      <c r="HQ208" s="73"/>
      <c r="HR208" s="73"/>
      <c r="HS208" s="73"/>
      <c r="HT208" s="73"/>
      <c r="HU208" s="73"/>
      <c r="HV208" s="73"/>
      <c r="HW208" s="73"/>
      <c r="HX208" s="73"/>
      <c r="HY208" s="73"/>
      <c r="HZ208" s="73"/>
      <c r="IA208" s="73"/>
      <c r="IB208" s="73"/>
      <c r="IC208" s="73"/>
      <c r="ID208" s="73"/>
      <c r="IE208" s="73"/>
      <c r="IF208" s="73"/>
      <c r="IG208" s="73"/>
      <c r="IH208" s="73"/>
      <c r="II208" s="73"/>
      <c r="IJ208" s="73"/>
      <c r="IK208" s="73"/>
      <c r="IL208" s="73"/>
      <c r="IM208" s="73"/>
      <c r="IN208" s="73"/>
      <c r="IO208" s="73"/>
      <c r="IP208" s="73"/>
      <c r="IQ208" s="73"/>
      <c r="IR208" s="73"/>
      <c r="IS208" s="73"/>
      <c r="IT208" s="73"/>
      <c r="IU208" s="73"/>
      <c r="IV208" s="73"/>
      <c r="IW208" s="73"/>
      <c r="IX208" s="73"/>
      <c r="IY208" s="73"/>
      <c r="IZ208" s="73"/>
      <c r="JA208" s="73"/>
      <c r="JB208" s="73"/>
      <c r="JC208" s="73"/>
    </row>
    <row r="209" spans="2:263" s="72" customFormat="1">
      <c r="B209" s="73"/>
      <c r="C209" s="73"/>
      <c r="D209" s="73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GL209" s="73"/>
      <c r="GM209" s="73"/>
      <c r="GN209" s="73"/>
      <c r="GO209" s="73"/>
      <c r="GP209" s="73"/>
      <c r="GQ209" s="73"/>
      <c r="GR209" s="73"/>
      <c r="GS209" s="73"/>
      <c r="GT209" s="73"/>
      <c r="GU209" s="73"/>
      <c r="GV209" s="73"/>
      <c r="GW209" s="73"/>
      <c r="GX209" s="73"/>
      <c r="GY209" s="73"/>
      <c r="GZ209" s="73"/>
      <c r="HA209" s="73"/>
      <c r="HB209" s="73"/>
      <c r="HC209" s="73"/>
      <c r="HD209" s="73"/>
      <c r="HE209" s="73"/>
      <c r="HF209" s="73"/>
      <c r="HG209" s="73"/>
      <c r="HH209" s="73"/>
      <c r="HI209" s="73"/>
      <c r="HJ209" s="73"/>
      <c r="HK209" s="73"/>
      <c r="HL209" s="73"/>
      <c r="HM209" s="73"/>
      <c r="HN209" s="73"/>
      <c r="HO209" s="73"/>
      <c r="HP209" s="73"/>
      <c r="HQ209" s="73"/>
      <c r="HR209" s="73"/>
      <c r="HS209" s="73"/>
      <c r="HT209" s="73"/>
      <c r="HU209" s="73"/>
      <c r="HV209" s="73"/>
      <c r="HW209" s="73"/>
      <c r="HX209" s="73"/>
      <c r="HY209" s="73"/>
      <c r="HZ209" s="73"/>
      <c r="IA209" s="73"/>
      <c r="IB209" s="73"/>
      <c r="IC209" s="73"/>
      <c r="ID209" s="73"/>
      <c r="IE209" s="73"/>
      <c r="IF209" s="73"/>
      <c r="IG209" s="73"/>
      <c r="IH209" s="73"/>
      <c r="II209" s="73"/>
      <c r="IJ209" s="73"/>
      <c r="IK209" s="73"/>
      <c r="IL209" s="73"/>
      <c r="IM209" s="73"/>
      <c r="IN209" s="73"/>
      <c r="IO209" s="73"/>
      <c r="IP209" s="73"/>
      <c r="IQ209" s="73"/>
      <c r="IR209" s="73"/>
      <c r="IS209" s="73"/>
      <c r="IT209" s="73"/>
      <c r="IU209" s="73"/>
      <c r="IV209" s="73"/>
      <c r="IW209" s="73"/>
      <c r="IX209" s="73"/>
      <c r="IY209" s="73"/>
      <c r="IZ209" s="73"/>
      <c r="JA209" s="73"/>
      <c r="JB209" s="73"/>
      <c r="JC209" s="73"/>
    </row>
    <row r="210" spans="2:263" s="72" customFormat="1">
      <c r="B210" s="73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GL210" s="73"/>
      <c r="GM210" s="73"/>
      <c r="GN210" s="73"/>
      <c r="GO210" s="73"/>
      <c r="GP210" s="73"/>
      <c r="GQ210" s="73"/>
      <c r="GR210" s="73"/>
      <c r="GS210" s="73"/>
      <c r="GT210" s="73"/>
      <c r="GU210" s="73"/>
      <c r="GV210" s="73"/>
      <c r="GW210" s="73"/>
      <c r="GX210" s="73"/>
      <c r="GY210" s="73"/>
      <c r="GZ210" s="73"/>
      <c r="HA210" s="73"/>
      <c r="HB210" s="73"/>
      <c r="HC210" s="73"/>
      <c r="HD210" s="73"/>
      <c r="HE210" s="73"/>
      <c r="HF210" s="73"/>
      <c r="HG210" s="73"/>
      <c r="HH210" s="73"/>
      <c r="HI210" s="73"/>
      <c r="HJ210" s="73"/>
      <c r="HK210" s="73"/>
      <c r="HL210" s="73"/>
      <c r="HM210" s="73"/>
      <c r="HN210" s="73"/>
      <c r="HO210" s="73"/>
      <c r="HP210" s="73"/>
      <c r="HQ210" s="73"/>
      <c r="HR210" s="73"/>
      <c r="HS210" s="73"/>
      <c r="HT210" s="73"/>
      <c r="HU210" s="73"/>
      <c r="HV210" s="73"/>
      <c r="HW210" s="73"/>
      <c r="HX210" s="73"/>
      <c r="HY210" s="73"/>
      <c r="HZ210" s="73"/>
      <c r="IA210" s="73"/>
      <c r="IB210" s="73"/>
      <c r="IC210" s="73"/>
      <c r="ID210" s="73"/>
      <c r="IE210" s="73"/>
      <c r="IF210" s="73"/>
      <c r="IG210" s="73"/>
      <c r="IH210" s="73"/>
      <c r="II210" s="73"/>
      <c r="IJ210" s="73"/>
      <c r="IK210" s="73"/>
      <c r="IL210" s="73"/>
      <c r="IM210" s="73"/>
      <c r="IN210" s="73"/>
      <c r="IO210" s="73"/>
      <c r="IP210" s="73"/>
      <c r="IQ210" s="73"/>
      <c r="IR210" s="73"/>
      <c r="IS210" s="73"/>
      <c r="IT210" s="73"/>
      <c r="IU210" s="73"/>
      <c r="IV210" s="73"/>
      <c r="IW210" s="73"/>
      <c r="IX210" s="73"/>
      <c r="IY210" s="73"/>
      <c r="IZ210" s="73"/>
      <c r="JA210" s="73"/>
      <c r="JB210" s="73"/>
      <c r="JC210" s="73"/>
    </row>
    <row r="211" spans="2:263" s="72" customFormat="1">
      <c r="B211" s="73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GL211" s="73"/>
      <c r="GM211" s="73"/>
      <c r="GN211" s="73"/>
      <c r="GO211" s="73"/>
      <c r="GP211" s="73"/>
      <c r="GQ211" s="73"/>
      <c r="GR211" s="73"/>
      <c r="GS211" s="73"/>
      <c r="GT211" s="73"/>
      <c r="GU211" s="73"/>
      <c r="GV211" s="73"/>
      <c r="GW211" s="73"/>
      <c r="GX211" s="73"/>
      <c r="GY211" s="73"/>
      <c r="GZ211" s="73"/>
      <c r="HA211" s="73"/>
      <c r="HB211" s="73"/>
      <c r="HC211" s="73"/>
      <c r="HD211" s="73"/>
      <c r="HE211" s="73"/>
      <c r="HF211" s="73"/>
      <c r="HG211" s="73"/>
      <c r="HH211" s="73"/>
      <c r="HI211" s="73"/>
      <c r="HJ211" s="73"/>
      <c r="HK211" s="73"/>
      <c r="HL211" s="73"/>
      <c r="HM211" s="73"/>
      <c r="HN211" s="73"/>
      <c r="HO211" s="73"/>
      <c r="HP211" s="73"/>
      <c r="HQ211" s="73"/>
      <c r="HR211" s="73"/>
      <c r="HS211" s="73"/>
      <c r="HT211" s="73"/>
      <c r="HU211" s="73"/>
      <c r="HV211" s="73"/>
      <c r="HW211" s="73"/>
      <c r="HX211" s="73"/>
      <c r="HY211" s="73"/>
      <c r="HZ211" s="73"/>
      <c r="IA211" s="73"/>
      <c r="IB211" s="73"/>
      <c r="IC211" s="73"/>
      <c r="ID211" s="73"/>
      <c r="IE211" s="73"/>
      <c r="IF211" s="73"/>
      <c r="IG211" s="73"/>
      <c r="IH211" s="73"/>
      <c r="II211" s="73"/>
      <c r="IJ211" s="73"/>
      <c r="IK211" s="73"/>
      <c r="IL211" s="73"/>
      <c r="IM211" s="73"/>
      <c r="IN211" s="73"/>
      <c r="IO211" s="73"/>
      <c r="IP211" s="73"/>
      <c r="IQ211" s="73"/>
      <c r="IR211" s="73"/>
      <c r="IS211" s="73"/>
      <c r="IT211" s="73"/>
      <c r="IU211" s="73"/>
      <c r="IV211" s="73"/>
      <c r="IW211" s="73"/>
      <c r="IX211" s="73"/>
      <c r="IY211" s="73"/>
      <c r="IZ211" s="73"/>
      <c r="JA211" s="73"/>
      <c r="JB211" s="73"/>
      <c r="JC211" s="73"/>
    </row>
    <row r="212" spans="2:263" s="72" customFormat="1">
      <c r="B212" s="73"/>
      <c r="C212" s="73"/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GL212" s="73"/>
      <c r="GM212" s="73"/>
      <c r="GN212" s="73"/>
      <c r="GO212" s="73"/>
      <c r="GP212" s="73"/>
      <c r="GQ212" s="73"/>
      <c r="GR212" s="73"/>
      <c r="GS212" s="73"/>
      <c r="GT212" s="73"/>
      <c r="GU212" s="73"/>
      <c r="GV212" s="73"/>
      <c r="GW212" s="73"/>
      <c r="GX212" s="73"/>
      <c r="GY212" s="73"/>
      <c r="GZ212" s="73"/>
      <c r="HA212" s="73"/>
      <c r="HB212" s="73"/>
      <c r="HC212" s="73"/>
      <c r="HD212" s="73"/>
      <c r="HE212" s="73"/>
      <c r="HF212" s="73"/>
      <c r="HG212" s="73"/>
      <c r="HH212" s="73"/>
      <c r="HI212" s="73"/>
      <c r="HJ212" s="73"/>
      <c r="HK212" s="73"/>
      <c r="HL212" s="73"/>
      <c r="HM212" s="73"/>
      <c r="HN212" s="73"/>
      <c r="HO212" s="73"/>
      <c r="HP212" s="73"/>
      <c r="HQ212" s="73"/>
      <c r="HR212" s="73"/>
      <c r="HS212" s="73"/>
      <c r="HT212" s="73"/>
      <c r="HU212" s="73"/>
      <c r="HV212" s="73"/>
      <c r="HW212" s="73"/>
      <c r="HX212" s="73"/>
      <c r="HY212" s="73"/>
      <c r="HZ212" s="73"/>
      <c r="IA212" s="73"/>
      <c r="IB212" s="73"/>
      <c r="IC212" s="73"/>
      <c r="ID212" s="73"/>
      <c r="IE212" s="73"/>
      <c r="IF212" s="73"/>
      <c r="IG212" s="73"/>
      <c r="IH212" s="73"/>
      <c r="II212" s="73"/>
      <c r="IJ212" s="73"/>
      <c r="IK212" s="73"/>
      <c r="IL212" s="73"/>
      <c r="IM212" s="73"/>
      <c r="IN212" s="73"/>
      <c r="IO212" s="73"/>
      <c r="IP212" s="73"/>
      <c r="IQ212" s="73"/>
      <c r="IR212" s="73"/>
      <c r="IS212" s="73"/>
      <c r="IT212" s="73"/>
      <c r="IU212" s="73"/>
      <c r="IV212" s="73"/>
      <c r="IW212" s="73"/>
      <c r="IX212" s="73"/>
      <c r="IY212" s="73"/>
      <c r="IZ212" s="73"/>
      <c r="JA212" s="73"/>
      <c r="JB212" s="73"/>
      <c r="JC212" s="73"/>
    </row>
    <row r="213" spans="2:263" s="72" customFormat="1">
      <c r="B213" s="73"/>
      <c r="C213" s="73"/>
      <c r="D213" s="73"/>
      <c r="E213" s="73"/>
      <c r="F213" s="73"/>
      <c r="G213" s="73"/>
      <c r="H213" s="73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GL213" s="73"/>
      <c r="GM213" s="73"/>
      <c r="GN213" s="73"/>
      <c r="GO213" s="73"/>
      <c r="GP213" s="73"/>
      <c r="GQ213" s="73"/>
      <c r="GR213" s="73"/>
      <c r="GS213" s="73"/>
      <c r="GT213" s="73"/>
      <c r="GU213" s="73"/>
      <c r="GV213" s="73"/>
      <c r="GW213" s="73"/>
      <c r="GX213" s="73"/>
      <c r="GY213" s="73"/>
      <c r="GZ213" s="73"/>
      <c r="HA213" s="73"/>
      <c r="HB213" s="73"/>
      <c r="HC213" s="73"/>
      <c r="HD213" s="73"/>
      <c r="HE213" s="73"/>
      <c r="HF213" s="73"/>
      <c r="HG213" s="73"/>
      <c r="HH213" s="73"/>
      <c r="HI213" s="73"/>
      <c r="HJ213" s="73"/>
      <c r="HK213" s="73"/>
      <c r="HL213" s="73"/>
      <c r="HM213" s="73"/>
      <c r="HN213" s="73"/>
      <c r="HO213" s="73"/>
      <c r="HP213" s="73"/>
      <c r="HQ213" s="73"/>
      <c r="HR213" s="73"/>
      <c r="HS213" s="73"/>
      <c r="HT213" s="73"/>
      <c r="HU213" s="73"/>
      <c r="HV213" s="73"/>
      <c r="HW213" s="73"/>
      <c r="HX213" s="73"/>
      <c r="HY213" s="73"/>
      <c r="HZ213" s="73"/>
      <c r="IA213" s="73"/>
      <c r="IB213" s="73"/>
      <c r="IC213" s="73"/>
      <c r="ID213" s="73"/>
      <c r="IE213" s="73"/>
      <c r="IF213" s="73"/>
      <c r="IG213" s="73"/>
      <c r="IH213" s="73"/>
      <c r="II213" s="73"/>
      <c r="IJ213" s="73"/>
      <c r="IK213" s="73"/>
      <c r="IL213" s="73"/>
      <c r="IM213" s="73"/>
      <c r="IN213" s="73"/>
      <c r="IO213" s="73"/>
      <c r="IP213" s="73"/>
      <c r="IQ213" s="73"/>
      <c r="IR213" s="73"/>
      <c r="IS213" s="73"/>
      <c r="IT213" s="73"/>
      <c r="IU213" s="73"/>
      <c r="IV213" s="73"/>
      <c r="IW213" s="73"/>
      <c r="IX213" s="73"/>
      <c r="IY213" s="73"/>
      <c r="IZ213" s="73"/>
      <c r="JA213" s="73"/>
      <c r="JB213" s="73"/>
      <c r="JC213" s="73"/>
    </row>
    <row r="214" spans="2:263" s="72" customFormat="1">
      <c r="B214" s="73"/>
      <c r="C214" s="73"/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GL214" s="73"/>
      <c r="GM214" s="73"/>
      <c r="GN214" s="73"/>
      <c r="GO214" s="73"/>
      <c r="GP214" s="73"/>
      <c r="GQ214" s="73"/>
      <c r="GR214" s="73"/>
      <c r="GS214" s="73"/>
      <c r="GT214" s="73"/>
      <c r="GU214" s="73"/>
      <c r="GV214" s="73"/>
      <c r="GW214" s="73"/>
      <c r="GX214" s="73"/>
      <c r="GY214" s="73"/>
      <c r="GZ214" s="73"/>
      <c r="HA214" s="73"/>
      <c r="HB214" s="73"/>
      <c r="HC214" s="73"/>
      <c r="HD214" s="73"/>
      <c r="HE214" s="73"/>
      <c r="HF214" s="73"/>
      <c r="HG214" s="73"/>
      <c r="HH214" s="73"/>
      <c r="HI214" s="73"/>
      <c r="HJ214" s="73"/>
      <c r="HK214" s="73"/>
      <c r="HL214" s="73"/>
      <c r="HM214" s="73"/>
      <c r="HN214" s="73"/>
      <c r="HO214" s="73"/>
      <c r="HP214" s="73"/>
      <c r="HQ214" s="73"/>
      <c r="HR214" s="73"/>
      <c r="HS214" s="73"/>
      <c r="HT214" s="73"/>
      <c r="HU214" s="73"/>
      <c r="HV214" s="73"/>
      <c r="HW214" s="73"/>
      <c r="HX214" s="73"/>
      <c r="HY214" s="73"/>
      <c r="HZ214" s="73"/>
      <c r="IA214" s="73"/>
      <c r="IB214" s="73"/>
      <c r="IC214" s="73"/>
      <c r="ID214" s="73"/>
      <c r="IE214" s="73"/>
      <c r="IF214" s="73"/>
      <c r="IG214" s="73"/>
      <c r="IH214" s="73"/>
      <c r="II214" s="73"/>
      <c r="IJ214" s="73"/>
      <c r="IK214" s="73"/>
      <c r="IL214" s="73"/>
      <c r="IM214" s="73"/>
      <c r="IN214" s="73"/>
      <c r="IO214" s="73"/>
      <c r="IP214" s="73"/>
      <c r="IQ214" s="73"/>
      <c r="IR214" s="73"/>
      <c r="IS214" s="73"/>
      <c r="IT214" s="73"/>
      <c r="IU214" s="73"/>
      <c r="IV214" s="73"/>
      <c r="IW214" s="73"/>
      <c r="IX214" s="73"/>
      <c r="IY214" s="73"/>
      <c r="IZ214" s="73"/>
      <c r="JA214" s="73"/>
      <c r="JB214" s="73"/>
      <c r="JC214" s="73"/>
    </row>
    <row r="215" spans="2:263" s="72" customFormat="1">
      <c r="B215" s="73"/>
      <c r="C215" s="73"/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GL215" s="73"/>
      <c r="GM215" s="73"/>
      <c r="GN215" s="73"/>
      <c r="GO215" s="73"/>
      <c r="GP215" s="73"/>
      <c r="GQ215" s="73"/>
      <c r="GR215" s="73"/>
      <c r="GS215" s="73"/>
      <c r="GT215" s="73"/>
      <c r="GU215" s="73"/>
      <c r="GV215" s="73"/>
      <c r="GW215" s="73"/>
      <c r="GX215" s="73"/>
      <c r="GY215" s="73"/>
      <c r="GZ215" s="73"/>
      <c r="HA215" s="73"/>
      <c r="HB215" s="73"/>
      <c r="HC215" s="73"/>
      <c r="HD215" s="73"/>
      <c r="HE215" s="73"/>
      <c r="HF215" s="73"/>
      <c r="HG215" s="73"/>
      <c r="HH215" s="73"/>
      <c r="HI215" s="73"/>
      <c r="HJ215" s="73"/>
      <c r="HK215" s="73"/>
      <c r="HL215" s="73"/>
      <c r="HM215" s="73"/>
      <c r="HN215" s="73"/>
      <c r="HO215" s="73"/>
      <c r="HP215" s="73"/>
      <c r="HQ215" s="73"/>
      <c r="HR215" s="73"/>
      <c r="HS215" s="73"/>
      <c r="HT215" s="73"/>
      <c r="HU215" s="73"/>
      <c r="HV215" s="73"/>
      <c r="HW215" s="73"/>
      <c r="HX215" s="73"/>
      <c r="HY215" s="73"/>
      <c r="HZ215" s="73"/>
      <c r="IA215" s="73"/>
      <c r="IB215" s="73"/>
      <c r="IC215" s="73"/>
      <c r="ID215" s="73"/>
      <c r="IE215" s="73"/>
      <c r="IF215" s="73"/>
      <c r="IG215" s="73"/>
      <c r="IH215" s="73"/>
      <c r="II215" s="73"/>
      <c r="IJ215" s="73"/>
      <c r="IK215" s="73"/>
      <c r="IL215" s="73"/>
      <c r="IM215" s="73"/>
      <c r="IN215" s="73"/>
      <c r="IO215" s="73"/>
      <c r="IP215" s="73"/>
      <c r="IQ215" s="73"/>
      <c r="IR215" s="73"/>
      <c r="IS215" s="73"/>
      <c r="IT215" s="73"/>
      <c r="IU215" s="73"/>
      <c r="IV215" s="73"/>
      <c r="IW215" s="73"/>
      <c r="IX215" s="73"/>
      <c r="IY215" s="73"/>
      <c r="IZ215" s="73"/>
      <c r="JA215" s="73"/>
      <c r="JB215" s="73"/>
      <c r="JC215" s="73"/>
    </row>
    <row r="216" spans="2:263" s="72" customFormat="1">
      <c r="B216" s="73"/>
      <c r="C216" s="73"/>
      <c r="D216" s="73"/>
      <c r="E216" s="73"/>
      <c r="F216" s="73"/>
      <c r="G216" s="73"/>
      <c r="H216" s="73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GL216" s="73"/>
      <c r="GM216" s="73"/>
      <c r="GN216" s="73"/>
      <c r="GO216" s="73"/>
      <c r="GP216" s="73"/>
      <c r="GQ216" s="73"/>
      <c r="GR216" s="73"/>
      <c r="GS216" s="73"/>
      <c r="GT216" s="73"/>
      <c r="GU216" s="73"/>
      <c r="GV216" s="73"/>
      <c r="GW216" s="73"/>
      <c r="GX216" s="73"/>
      <c r="GY216" s="73"/>
      <c r="GZ216" s="73"/>
      <c r="HA216" s="73"/>
      <c r="HB216" s="73"/>
      <c r="HC216" s="73"/>
      <c r="HD216" s="73"/>
      <c r="HE216" s="73"/>
      <c r="HF216" s="73"/>
      <c r="HG216" s="73"/>
      <c r="HH216" s="73"/>
      <c r="HI216" s="73"/>
      <c r="HJ216" s="73"/>
      <c r="HK216" s="73"/>
      <c r="HL216" s="73"/>
      <c r="HM216" s="73"/>
      <c r="HN216" s="73"/>
      <c r="HO216" s="73"/>
      <c r="HP216" s="73"/>
      <c r="HQ216" s="73"/>
      <c r="HR216" s="73"/>
      <c r="HS216" s="73"/>
      <c r="HT216" s="73"/>
      <c r="HU216" s="73"/>
      <c r="HV216" s="73"/>
      <c r="HW216" s="73"/>
      <c r="HX216" s="73"/>
      <c r="HY216" s="73"/>
      <c r="HZ216" s="73"/>
      <c r="IA216" s="73"/>
      <c r="IB216" s="73"/>
      <c r="IC216" s="73"/>
      <c r="ID216" s="73"/>
      <c r="IE216" s="73"/>
      <c r="IF216" s="73"/>
      <c r="IG216" s="73"/>
      <c r="IH216" s="73"/>
      <c r="II216" s="73"/>
      <c r="IJ216" s="73"/>
      <c r="IK216" s="73"/>
      <c r="IL216" s="73"/>
      <c r="IM216" s="73"/>
      <c r="IN216" s="73"/>
      <c r="IO216" s="73"/>
      <c r="IP216" s="73"/>
      <c r="IQ216" s="73"/>
      <c r="IR216" s="73"/>
      <c r="IS216" s="73"/>
      <c r="IT216" s="73"/>
      <c r="IU216" s="73"/>
      <c r="IV216" s="73"/>
      <c r="IW216" s="73"/>
      <c r="IX216" s="73"/>
      <c r="IY216" s="73"/>
      <c r="IZ216" s="73"/>
      <c r="JA216" s="73"/>
      <c r="JB216" s="73"/>
      <c r="JC216" s="73"/>
    </row>
    <row r="217" spans="2:263" s="72" customFormat="1">
      <c r="B217" s="73"/>
      <c r="C217" s="73"/>
      <c r="D217" s="73"/>
      <c r="E217" s="73"/>
      <c r="F217" s="73"/>
      <c r="G217" s="73"/>
      <c r="H217" s="73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GL217" s="73"/>
      <c r="GM217" s="73"/>
      <c r="GN217" s="73"/>
      <c r="GO217" s="73"/>
      <c r="GP217" s="73"/>
      <c r="GQ217" s="73"/>
      <c r="GR217" s="73"/>
      <c r="GS217" s="73"/>
      <c r="GT217" s="73"/>
      <c r="GU217" s="73"/>
      <c r="GV217" s="73"/>
      <c r="GW217" s="73"/>
      <c r="GX217" s="73"/>
      <c r="GY217" s="73"/>
      <c r="GZ217" s="73"/>
      <c r="HA217" s="73"/>
      <c r="HB217" s="73"/>
      <c r="HC217" s="73"/>
      <c r="HD217" s="73"/>
      <c r="HE217" s="73"/>
      <c r="HF217" s="73"/>
      <c r="HG217" s="73"/>
      <c r="HH217" s="73"/>
      <c r="HI217" s="73"/>
      <c r="HJ217" s="73"/>
      <c r="HK217" s="73"/>
      <c r="HL217" s="73"/>
      <c r="HM217" s="73"/>
      <c r="HN217" s="73"/>
      <c r="HO217" s="73"/>
      <c r="HP217" s="73"/>
      <c r="HQ217" s="73"/>
      <c r="HR217" s="73"/>
      <c r="HS217" s="73"/>
      <c r="HT217" s="73"/>
      <c r="HU217" s="73"/>
      <c r="HV217" s="73"/>
      <c r="HW217" s="73"/>
      <c r="HX217" s="73"/>
      <c r="HY217" s="73"/>
      <c r="HZ217" s="73"/>
      <c r="IA217" s="73"/>
      <c r="IB217" s="73"/>
      <c r="IC217" s="73"/>
      <c r="ID217" s="73"/>
      <c r="IE217" s="73"/>
      <c r="IF217" s="73"/>
      <c r="IG217" s="73"/>
      <c r="IH217" s="73"/>
      <c r="II217" s="73"/>
      <c r="IJ217" s="73"/>
      <c r="IK217" s="73"/>
      <c r="IL217" s="73"/>
      <c r="IM217" s="73"/>
      <c r="IN217" s="73"/>
      <c r="IO217" s="73"/>
      <c r="IP217" s="73"/>
      <c r="IQ217" s="73"/>
      <c r="IR217" s="73"/>
      <c r="IS217" s="73"/>
      <c r="IT217" s="73"/>
      <c r="IU217" s="73"/>
      <c r="IV217" s="73"/>
      <c r="IW217" s="73"/>
      <c r="IX217" s="73"/>
      <c r="IY217" s="73"/>
      <c r="IZ217" s="73"/>
      <c r="JA217" s="73"/>
      <c r="JB217" s="73"/>
      <c r="JC217" s="73"/>
    </row>
    <row r="218" spans="2:263" s="72" customFormat="1">
      <c r="B218" s="73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GL218" s="73"/>
      <c r="GM218" s="73"/>
      <c r="GN218" s="73"/>
      <c r="GO218" s="73"/>
      <c r="GP218" s="73"/>
      <c r="GQ218" s="73"/>
      <c r="GR218" s="73"/>
      <c r="GS218" s="73"/>
      <c r="GT218" s="73"/>
      <c r="GU218" s="73"/>
      <c r="GV218" s="73"/>
      <c r="GW218" s="73"/>
      <c r="GX218" s="73"/>
      <c r="GY218" s="73"/>
      <c r="GZ218" s="73"/>
      <c r="HA218" s="73"/>
      <c r="HB218" s="73"/>
      <c r="HC218" s="73"/>
      <c r="HD218" s="73"/>
      <c r="HE218" s="73"/>
      <c r="HF218" s="73"/>
      <c r="HG218" s="73"/>
      <c r="HH218" s="73"/>
      <c r="HI218" s="73"/>
      <c r="HJ218" s="73"/>
      <c r="HK218" s="73"/>
      <c r="HL218" s="73"/>
      <c r="HM218" s="73"/>
      <c r="HN218" s="73"/>
      <c r="HO218" s="73"/>
      <c r="HP218" s="73"/>
      <c r="HQ218" s="73"/>
      <c r="HR218" s="73"/>
      <c r="HS218" s="73"/>
      <c r="HT218" s="73"/>
      <c r="HU218" s="73"/>
      <c r="HV218" s="73"/>
      <c r="HW218" s="73"/>
      <c r="HX218" s="73"/>
      <c r="HY218" s="73"/>
      <c r="HZ218" s="73"/>
      <c r="IA218" s="73"/>
      <c r="IB218" s="73"/>
      <c r="IC218" s="73"/>
      <c r="ID218" s="73"/>
      <c r="IE218" s="73"/>
      <c r="IF218" s="73"/>
      <c r="IG218" s="73"/>
      <c r="IH218" s="73"/>
      <c r="II218" s="73"/>
      <c r="IJ218" s="73"/>
      <c r="IK218" s="73"/>
      <c r="IL218" s="73"/>
      <c r="IM218" s="73"/>
      <c r="IN218" s="73"/>
      <c r="IO218" s="73"/>
      <c r="IP218" s="73"/>
      <c r="IQ218" s="73"/>
      <c r="IR218" s="73"/>
      <c r="IS218" s="73"/>
      <c r="IT218" s="73"/>
      <c r="IU218" s="73"/>
      <c r="IV218" s="73"/>
      <c r="IW218" s="73"/>
      <c r="IX218" s="73"/>
      <c r="IY218" s="73"/>
      <c r="IZ218" s="73"/>
      <c r="JA218" s="73"/>
      <c r="JB218" s="73"/>
      <c r="JC218" s="73"/>
    </row>
    <row r="219" spans="2:263" s="72" customFormat="1">
      <c r="B219" s="73"/>
      <c r="C219" s="73"/>
      <c r="D219" s="73"/>
      <c r="E219" s="73"/>
      <c r="F219" s="73"/>
      <c r="G219" s="73"/>
      <c r="H219" s="73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GL219" s="73"/>
      <c r="GM219" s="73"/>
      <c r="GN219" s="73"/>
      <c r="GO219" s="73"/>
      <c r="GP219" s="73"/>
      <c r="GQ219" s="73"/>
      <c r="GR219" s="73"/>
      <c r="GS219" s="73"/>
      <c r="GT219" s="73"/>
      <c r="GU219" s="73"/>
      <c r="GV219" s="73"/>
      <c r="GW219" s="73"/>
      <c r="GX219" s="73"/>
      <c r="GY219" s="73"/>
      <c r="GZ219" s="73"/>
      <c r="HA219" s="73"/>
      <c r="HB219" s="73"/>
      <c r="HC219" s="73"/>
      <c r="HD219" s="73"/>
      <c r="HE219" s="73"/>
      <c r="HF219" s="73"/>
      <c r="HG219" s="73"/>
      <c r="HH219" s="73"/>
      <c r="HI219" s="73"/>
      <c r="HJ219" s="73"/>
      <c r="HK219" s="73"/>
      <c r="HL219" s="73"/>
      <c r="HM219" s="73"/>
      <c r="HN219" s="73"/>
      <c r="HO219" s="73"/>
      <c r="HP219" s="73"/>
      <c r="HQ219" s="73"/>
      <c r="HR219" s="73"/>
      <c r="HS219" s="73"/>
      <c r="HT219" s="73"/>
      <c r="HU219" s="73"/>
      <c r="HV219" s="73"/>
      <c r="HW219" s="73"/>
      <c r="HX219" s="73"/>
      <c r="HY219" s="73"/>
      <c r="HZ219" s="73"/>
      <c r="IA219" s="73"/>
      <c r="IB219" s="73"/>
      <c r="IC219" s="73"/>
      <c r="ID219" s="73"/>
      <c r="IE219" s="73"/>
      <c r="IF219" s="73"/>
      <c r="IG219" s="73"/>
      <c r="IH219" s="73"/>
      <c r="II219" s="73"/>
      <c r="IJ219" s="73"/>
      <c r="IK219" s="73"/>
      <c r="IL219" s="73"/>
      <c r="IM219" s="73"/>
      <c r="IN219" s="73"/>
      <c r="IO219" s="73"/>
      <c r="IP219" s="73"/>
      <c r="IQ219" s="73"/>
      <c r="IR219" s="73"/>
      <c r="IS219" s="73"/>
      <c r="IT219" s="73"/>
      <c r="IU219" s="73"/>
      <c r="IV219" s="73"/>
      <c r="IW219" s="73"/>
      <c r="IX219" s="73"/>
      <c r="IY219" s="73"/>
      <c r="IZ219" s="73"/>
      <c r="JA219" s="73"/>
      <c r="JB219" s="73"/>
      <c r="JC219" s="73"/>
    </row>
    <row r="220" spans="2:263" s="72" customFormat="1">
      <c r="B220" s="73"/>
      <c r="C220" s="73"/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GL220" s="73"/>
      <c r="GM220" s="73"/>
      <c r="GN220" s="73"/>
      <c r="GO220" s="73"/>
      <c r="GP220" s="73"/>
      <c r="GQ220" s="73"/>
      <c r="GR220" s="73"/>
      <c r="GS220" s="73"/>
      <c r="GT220" s="73"/>
      <c r="GU220" s="73"/>
      <c r="GV220" s="73"/>
      <c r="GW220" s="73"/>
      <c r="GX220" s="73"/>
      <c r="GY220" s="73"/>
      <c r="GZ220" s="73"/>
      <c r="HA220" s="73"/>
      <c r="HB220" s="73"/>
      <c r="HC220" s="73"/>
      <c r="HD220" s="73"/>
      <c r="HE220" s="73"/>
      <c r="HF220" s="73"/>
      <c r="HG220" s="73"/>
      <c r="HH220" s="73"/>
      <c r="HI220" s="73"/>
      <c r="HJ220" s="73"/>
      <c r="HK220" s="73"/>
      <c r="HL220" s="73"/>
      <c r="HM220" s="73"/>
      <c r="HN220" s="73"/>
      <c r="HO220" s="73"/>
      <c r="HP220" s="73"/>
      <c r="HQ220" s="73"/>
      <c r="HR220" s="73"/>
      <c r="HS220" s="73"/>
      <c r="HT220" s="73"/>
      <c r="HU220" s="73"/>
      <c r="HV220" s="73"/>
      <c r="HW220" s="73"/>
      <c r="HX220" s="73"/>
      <c r="HY220" s="73"/>
      <c r="HZ220" s="73"/>
      <c r="IA220" s="73"/>
      <c r="IB220" s="73"/>
      <c r="IC220" s="73"/>
      <c r="ID220" s="73"/>
      <c r="IE220" s="73"/>
      <c r="IF220" s="73"/>
      <c r="IG220" s="73"/>
      <c r="IH220" s="73"/>
      <c r="II220" s="73"/>
      <c r="IJ220" s="73"/>
      <c r="IK220" s="73"/>
      <c r="IL220" s="73"/>
      <c r="IM220" s="73"/>
      <c r="IN220" s="73"/>
      <c r="IO220" s="73"/>
      <c r="IP220" s="73"/>
      <c r="IQ220" s="73"/>
      <c r="IR220" s="73"/>
      <c r="IS220" s="73"/>
      <c r="IT220" s="73"/>
      <c r="IU220" s="73"/>
      <c r="IV220" s="73"/>
      <c r="IW220" s="73"/>
      <c r="IX220" s="73"/>
      <c r="IY220" s="73"/>
      <c r="IZ220" s="73"/>
      <c r="JA220" s="73"/>
      <c r="JB220" s="73"/>
      <c r="JC220" s="73"/>
    </row>
    <row r="221" spans="2:263" s="72" customFormat="1">
      <c r="B221" s="73"/>
      <c r="C221" s="73"/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GL221" s="73"/>
      <c r="GM221" s="73"/>
      <c r="GN221" s="73"/>
      <c r="GO221" s="73"/>
      <c r="GP221" s="73"/>
      <c r="GQ221" s="73"/>
      <c r="GR221" s="73"/>
      <c r="GS221" s="73"/>
      <c r="GT221" s="73"/>
      <c r="GU221" s="73"/>
      <c r="GV221" s="73"/>
      <c r="GW221" s="73"/>
      <c r="GX221" s="73"/>
      <c r="GY221" s="73"/>
      <c r="GZ221" s="73"/>
      <c r="HA221" s="73"/>
      <c r="HB221" s="73"/>
      <c r="HC221" s="73"/>
      <c r="HD221" s="73"/>
      <c r="HE221" s="73"/>
      <c r="HF221" s="73"/>
      <c r="HG221" s="73"/>
      <c r="HH221" s="73"/>
      <c r="HI221" s="73"/>
      <c r="HJ221" s="73"/>
      <c r="HK221" s="73"/>
      <c r="HL221" s="73"/>
      <c r="HM221" s="73"/>
      <c r="HN221" s="73"/>
      <c r="HO221" s="73"/>
      <c r="HP221" s="73"/>
      <c r="HQ221" s="73"/>
      <c r="HR221" s="73"/>
      <c r="HS221" s="73"/>
      <c r="HT221" s="73"/>
      <c r="HU221" s="73"/>
      <c r="HV221" s="73"/>
      <c r="HW221" s="73"/>
      <c r="HX221" s="73"/>
      <c r="HY221" s="73"/>
      <c r="HZ221" s="73"/>
      <c r="IA221" s="73"/>
      <c r="IB221" s="73"/>
      <c r="IC221" s="73"/>
      <c r="ID221" s="73"/>
      <c r="IE221" s="73"/>
      <c r="IF221" s="73"/>
      <c r="IG221" s="73"/>
      <c r="IH221" s="73"/>
      <c r="II221" s="73"/>
      <c r="IJ221" s="73"/>
      <c r="IK221" s="73"/>
      <c r="IL221" s="73"/>
      <c r="IM221" s="73"/>
      <c r="IN221" s="73"/>
      <c r="IO221" s="73"/>
      <c r="IP221" s="73"/>
      <c r="IQ221" s="73"/>
      <c r="IR221" s="73"/>
      <c r="IS221" s="73"/>
      <c r="IT221" s="73"/>
      <c r="IU221" s="73"/>
      <c r="IV221" s="73"/>
      <c r="IW221" s="73"/>
      <c r="IX221" s="73"/>
      <c r="IY221" s="73"/>
      <c r="IZ221" s="73"/>
      <c r="JA221" s="73"/>
      <c r="JB221" s="73"/>
      <c r="JC221" s="73"/>
    </row>
    <row r="222" spans="2:263" s="72" customFormat="1">
      <c r="B222" s="73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GL222" s="73"/>
      <c r="GM222" s="73"/>
      <c r="GN222" s="73"/>
      <c r="GO222" s="73"/>
      <c r="GP222" s="73"/>
      <c r="GQ222" s="73"/>
      <c r="GR222" s="73"/>
      <c r="GS222" s="73"/>
      <c r="GT222" s="73"/>
      <c r="GU222" s="73"/>
      <c r="GV222" s="73"/>
      <c r="GW222" s="73"/>
      <c r="GX222" s="73"/>
      <c r="GY222" s="73"/>
      <c r="GZ222" s="73"/>
      <c r="HA222" s="73"/>
      <c r="HB222" s="73"/>
      <c r="HC222" s="73"/>
      <c r="HD222" s="73"/>
      <c r="HE222" s="73"/>
      <c r="HF222" s="73"/>
      <c r="HG222" s="73"/>
      <c r="HH222" s="73"/>
      <c r="HI222" s="73"/>
      <c r="HJ222" s="73"/>
      <c r="HK222" s="73"/>
      <c r="HL222" s="73"/>
      <c r="HM222" s="73"/>
      <c r="HN222" s="73"/>
      <c r="HO222" s="73"/>
      <c r="HP222" s="73"/>
      <c r="HQ222" s="73"/>
      <c r="HR222" s="73"/>
      <c r="HS222" s="73"/>
      <c r="HT222" s="73"/>
      <c r="HU222" s="73"/>
      <c r="HV222" s="73"/>
      <c r="HW222" s="73"/>
      <c r="HX222" s="73"/>
      <c r="HY222" s="73"/>
      <c r="HZ222" s="73"/>
      <c r="IA222" s="73"/>
      <c r="IB222" s="73"/>
      <c r="IC222" s="73"/>
      <c r="ID222" s="73"/>
      <c r="IE222" s="73"/>
      <c r="IF222" s="73"/>
      <c r="IG222" s="73"/>
      <c r="IH222" s="73"/>
      <c r="II222" s="73"/>
      <c r="IJ222" s="73"/>
      <c r="IK222" s="73"/>
      <c r="IL222" s="73"/>
      <c r="IM222" s="73"/>
      <c r="IN222" s="73"/>
      <c r="IO222" s="73"/>
      <c r="IP222" s="73"/>
      <c r="IQ222" s="73"/>
      <c r="IR222" s="73"/>
      <c r="IS222" s="73"/>
      <c r="IT222" s="73"/>
      <c r="IU222" s="73"/>
      <c r="IV222" s="73"/>
      <c r="IW222" s="73"/>
      <c r="IX222" s="73"/>
      <c r="IY222" s="73"/>
      <c r="IZ222" s="73"/>
      <c r="JA222" s="73"/>
      <c r="JB222" s="73"/>
      <c r="JC222" s="73"/>
    </row>
    <row r="223" spans="2:263" s="72" customFormat="1">
      <c r="B223" s="73"/>
      <c r="C223" s="73"/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GL223" s="73"/>
      <c r="GM223" s="73"/>
      <c r="GN223" s="73"/>
      <c r="GO223" s="73"/>
      <c r="GP223" s="73"/>
      <c r="GQ223" s="73"/>
      <c r="GR223" s="73"/>
      <c r="GS223" s="73"/>
      <c r="GT223" s="73"/>
      <c r="GU223" s="73"/>
      <c r="GV223" s="73"/>
      <c r="GW223" s="73"/>
      <c r="GX223" s="73"/>
      <c r="GY223" s="73"/>
      <c r="GZ223" s="73"/>
      <c r="HA223" s="73"/>
      <c r="HB223" s="73"/>
      <c r="HC223" s="73"/>
      <c r="HD223" s="73"/>
      <c r="HE223" s="73"/>
      <c r="HF223" s="73"/>
      <c r="HG223" s="73"/>
      <c r="HH223" s="73"/>
      <c r="HI223" s="73"/>
      <c r="HJ223" s="73"/>
      <c r="HK223" s="73"/>
      <c r="HL223" s="73"/>
      <c r="HM223" s="73"/>
      <c r="HN223" s="73"/>
      <c r="HO223" s="73"/>
      <c r="HP223" s="73"/>
      <c r="HQ223" s="73"/>
      <c r="HR223" s="73"/>
      <c r="HS223" s="73"/>
      <c r="HT223" s="73"/>
      <c r="HU223" s="73"/>
      <c r="HV223" s="73"/>
      <c r="HW223" s="73"/>
      <c r="HX223" s="73"/>
      <c r="HY223" s="73"/>
      <c r="HZ223" s="73"/>
      <c r="IA223" s="73"/>
      <c r="IB223" s="73"/>
      <c r="IC223" s="73"/>
      <c r="ID223" s="73"/>
      <c r="IE223" s="73"/>
      <c r="IF223" s="73"/>
      <c r="IG223" s="73"/>
      <c r="IH223" s="73"/>
      <c r="II223" s="73"/>
      <c r="IJ223" s="73"/>
      <c r="IK223" s="73"/>
      <c r="IL223" s="73"/>
      <c r="IM223" s="73"/>
      <c r="IN223" s="73"/>
      <c r="IO223" s="73"/>
      <c r="IP223" s="73"/>
      <c r="IQ223" s="73"/>
      <c r="IR223" s="73"/>
      <c r="IS223" s="73"/>
      <c r="IT223" s="73"/>
      <c r="IU223" s="73"/>
      <c r="IV223" s="73"/>
      <c r="IW223" s="73"/>
      <c r="IX223" s="73"/>
      <c r="IY223" s="73"/>
      <c r="IZ223" s="73"/>
      <c r="JA223" s="73"/>
      <c r="JB223" s="73"/>
      <c r="JC223" s="73"/>
    </row>
    <row r="224" spans="2:263" s="72" customFormat="1">
      <c r="B224" s="73"/>
      <c r="C224" s="73"/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GL224" s="73"/>
      <c r="GM224" s="73"/>
      <c r="GN224" s="73"/>
      <c r="GO224" s="73"/>
      <c r="GP224" s="73"/>
      <c r="GQ224" s="73"/>
      <c r="GR224" s="73"/>
      <c r="GS224" s="73"/>
      <c r="GT224" s="73"/>
      <c r="GU224" s="73"/>
      <c r="GV224" s="73"/>
      <c r="GW224" s="73"/>
      <c r="GX224" s="73"/>
      <c r="GY224" s="73"/>
      <c r="GZ224" s="73"/>
      <c r="HA224" s="73"/>
      <c r="HB224" s="73"/>
      <c r="HC224" s="73"/>
      <c r="HD224" s="73"/>
      <c r="HE224" s="73"/>
      <c r="HF224" s="73"/>
      <c r="HG224" s="73"/>
      <c r="HH224" s="73"/>
      <c r="HI224" s="73"/>
      <c r="HJ224" s="73"/>
      <c r="HK224" s="73"/>
      <c r="HL224" s="73"/>
      <c r="HM224" s="73"/>
      <c r="HN224" s="73"/>
      <c r="HO224" s="73"/>
      <c r="HP224" s="73"/>
      <c r="HQ224" s="73"/>
      <c r="HR224" s="73"/>
      <c r="HS224" s="73"/>
      <c r="HT224" s="73"/>
      <c r="HU224" s="73"/>
      <c r="HV224" s="73"/>
      <c r="HW224" s="73"/>
      <c r="HX224" s="73"/>
      <c r="HY224" s="73"/>
      <c r="HZ224" s="73"/>
      <c r="IA224" s="73"/>
      <c r="IB224" s="73"/>
      <c r="IC224" s="73"/>
      <c r="ID224" s="73"/>
      <c r="IE224" s="73"/>
      <c r="IF224" s="73"/>
      <c r="IG224" s="73"/>
      <c r="IH224" s="73"/>
      <c r="II224" s="73"/>
      <c r="IJ224" s="73"/>
      <c r="IK224" s="73"/>
      <c r="IL224" s="73"/>
      <c r="IM224" s="73"/>
      <c r="IN224" s="73"/>
      <c r="IO224" s="73"/>
      <c r="IP224" s="73"/>
      <c r="IQ224" s="73"/>
      <c r="IR224" s="73"/>
      <c r="IS224" s="73"/>
      <c r="IT224" s="73"/>
      <c r="IU224" s="73"/>
      <c r="IV224" s="73"/>
      <c r="IW224" s="73"/>
      <c r="IX224" s="73"/>
      <c r="IY224" s="73"/>
      <c r="IZ224" s="73"/>
      <c r="JA224" s="73"/>
      <c r="JB224" s="73"/>
      <c r="JC224" s="73"/>
    </row>
    <row r="225" spans="2:263" s="72" customFormat="1">
      <c r="B225" s="73"/>
      <c r="C225" s="73"/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GL225" s="73"/>
      <c r="GM225" s="73"/>
      <c r="GN225" s="73"/>
      <c r="GO225" s="73"/>
      <c r="GP225" s="73"/>
      <c r="GQ225" s="73"/>
      <c r="GR225" s="73"/>
      <c r="GS225" s="73"/>
      <c r="GT225" s="73"/>
      <c r="GU225" s="73"/>
      <c r="GV225" s="73"/>
      <c r="GW225" s="73"/>
      <c r="GX225" s="73"/>
      <c r="GY225" s="73"/>
      <c r="GZ225" s="73"/>
      <c r="HA225" s="73"/>
      <c r="HB225" s="73"/>
      <c r="HC225" s="73"/>
      <c r="HD225" s="73"/>
      <c r="HE225" s="73"/>
      <c r="HF225" s="73"/>
      <c r="HG225" s="73"/>
      <c r="HH225" s="73"/>
      <c r="HI225" s="73"/>
      <c r="HJ225" s="73"/>
      <c r="HK225" s="73"/>
      <c r="HL225" s="73"/>
      <c r="HM225" s="73"/>
      <c r="HN225" s="73"/>
      <c r="HO225" s="73"/>
      <c r="HP225" s="73"/>
      <c r="HQ225" s="73"/>
      <c r="HR225" s="73"/>
      <c r="HS225" s="73"/>
      <c r="HT225" s="73"/>
      <c r="HU225" s="73"/>
      <c r="HV225" s="73"/>
      <c r="HW225" s="73"/>
      <c r="HX225" s="73"/>
      <c r="HY225" s="73"/>
      <c r="HZ225" s="73"/>
      <c r="IA225" s="73"/>
      <c r="IB225" s="73"/>
      <c r="IC225" s="73"/>
      <c r="ID225" s="73"/>
      <c r="IE225" s="73"/>
      <c r="IF225" s="73"/>
      <c r="IG225" s="73"/>
      <c r="IH225" s="73"/>
      <c r="II225" s="73"/>
      <c r="IJ225" s="73"/>
      <c r="IK225" s="73"/>
      <c r="IL225" s="73"/>
      <c r="IM225" s="73"/>
      <c r="IN225" s="73"/>
      <c r="IO225" s="73"/>
      <c r="IP225" s="73"/>
      <c r="IQ225" s="73"/>
      <c r="IR225" s="73"/>
      <c r="IS225" s="73"/>
      <c r="IT225" s="73"/>
      <c r="IU225" s="73"/>
      <c r="IV225" s="73"/>
      <c r="IW225" s="73"/>
      <c r="IX225" s="73"/>
      <c r="IY225" s="73"/>
      <c r="IZ225" s="73"/>
      <c r="JA225" s="73"/>
      <c r="JB225" s="73"/>
      <c r="JC225" s="73"/>
    </row>
    <row r="226" spans="2:263" s="72" customFormat="1">
      <c r="B226" s="73"/>
      <c r="C226" s="73"/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GL226" s="73"/>
      <c r="GM226" s="73"/>
      <c r="GN226" s="73"/>
      <c r="GO226" s="73"/>
      <c r="GP226" s="73"/>
      <c r="GQ226" s="73"/>
      <c r="GR226" s="73"/>
      <c r="GS226" s="73"/>
      <c r="GT226" s="73"/>
      <c r="GU226" s="73"/>
      <c r="GV226" s="73"/>
      <c r="GW226" s="73"/>
      <c r="GX226" s="73"/>
      <c r="GY226" s="73"/>
      <c r="GZ226" s="73"/>
      <c r="HA226" s="73"/>
      <c r="HB226" s="73"/>
      <c r="HC226" s="73"/>
      <c r="HD226" s="73"/>
      <c r="HE226" s="73"/>
      <c r="HF226" s="73"/>
      <c r="HG226" s="73"/>
      <c r="HH226" s="73"/>
      <c r="HI226" s="73"/>
      <c r="HJ226" s="73"/>
      <c r="HK226" s="73"/>
      <c r="HL226" s="73"/>
      <c r="HM226" s="73"/>
      <c r="HN226" s="73"/>
      <c r="HO226" s="73"/>
      <c r="HP226" s="73"/>
      <c r="HQ226" s="73"/>
      <c r="HR226" s="73"/>
      <c r="HS226" s="73"/>
      <c r="HT226" s="73"/>
      <c r="HU226" s="73"/>
      <c r="HV226" s="73"/>
      <c r="HW226" s="73"/>
      <c r="HX226" s="73"/>
      <c r="HY226" s="73"/>
      <c r="HZ226" s="73"/>
      <c r="IA226" s="73"/>
      <c r="IB226" s="73"/>
      <c r="IC226" s="73"/>
      <c r="ID226" s="73"/>
      <c r="IE226" s="73"/>
      <c r="IF226" s="73"/>
      <c r="IG226" s="73"/>
      <c r="IH226" s="73"/>
      <c r="II226" s="73"/>
      <c r="IJ226" s="73"/>
      <c r="IK226" s="73"/>
      <c r="IL226" s="73"/>
      <c r="IM226" s="73"/>
      <c r="IN226" s="73"/>
      <c r="IO226" s="73"/>
      <c r="IP226" s="73"/>
      <c r="IQ226" s="73"/>
      <c r="IR226" s="73"/>
      <c r="IS226" s="73"/>
      <c r="IT226" s="73"/>
      <c r="IU226" s="73"/>
      <c r="IV226" s="73"/>
      <c r="IW226" s="73"/>
      <c r="IX226" s="73"/>
      <c r="IY226" s="73"/>
      <c r="IZ226" s="73"/>
      <c r="JA226" s="73"/>
      <c r="JB226" s="73"/>
      <c r="JC226" s="73"/>
    </row>
    <row r="227" spans="2:263" s="72" customFormat="1">
      <c r="B227" s="73"/>
      <c r="C227" s="73"/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GL227" s="73"/>
      <c r="GM227" s="73"/>
      <c r="GN227" s="73"/>
      <c r="GO227" s="73"/>
      <c r="GP227" s="73"/>
      <c r="GQ227" s="73"/>
      <c r="GR227" s="73"/>
      <c r="GS227" s="73"/>
      <c r="GT227" s="73"/>
      <c r="GU227" s="73"/>
      <c r="GV227" s="73"/>
      <c r="GW227" s="73"/>
      <c r="GX227" s="73"/>
      <c r="GY227" s="73"/>
      <c r="GZ227" s="73"/>
      <c r="HA227" s="73"/>
      <c r="HB227" s="73"/>
      <c r="HC227" s="73"/>
      <c r="HD227" s="73"/>
      <c r="HE227" s="73"/>
      <c r="HF227" s="73"/>
      <c r="HG227" s="73"/>
      <c r="HH227" s="73"/>
      <c r="HI227" s="73"/>
      <c r="HJ227" s="73"/>
      <c r="HK227" s="73"/>
      <c r="HL227" s="73"/>
      <c r="HM227" s="73"/>
      <c r="HN227" s="73"/>
      <c r="HO227" s="73"/>
      <c r="HP227" s="73"/>
      <c r="HQ227" s="73"/>
      <c r="HR227" s="73"/>
      <c r="HS227" s="73"/>
      <c r="HT227" s="73"/>
      <c r="HU227" s="73"/>
      <c r="HV227" s="73"/>
      <c r="HW227" s="73"/>
      <c r="HX227" s="73"/>
      <c r="HY227" s="73"/>
      <c r="HZ227" s="73"/>
      <c r="IA227" s="73"/>
      <c r="IB227" s="73"/>
      <c r="IC227" s="73"/>
      <c r="ID227" s="73"/>
      <c r="IE227" s="73"/>
      <c r="IF227" s="73"/>
      <c r="IG227" s="73"/>
      <c r="IH227" s="73"/>
      <c r="II227" s="73"/>
      <c r="IJ227" s="73"/>
      <c r="IK227" s="73"/>
      <c r="IL227" s="73"/>
      <c r="IM227" s="73"/>
      <c r="IN227" s="73"/>
      <c r="IO227" s="73"/>
      <c r="IP227" s="73"/>
      <c r="IQ227" s="73"/>
      <c r="IR227" s="73"/>
      <c r="IS227" s="73"/>
      <c r="IT227" s="73"/>
      <c r="IU227" s="73"/>
      <c r="IV227" s="73"/>
      <c r="IW227" s="73"/>
      <c r="IX227" s="73"/>
      <c r="IY227" s="73"/>
      <c r="IZ227" s="73"/>
      <c r="JA227" s="73"/>
      <c r="JB227" s="73"/>
      <c r="JC227" s="73"/>
    </row>
    <row r="228" spans="2:263" s="72" customFormat="1">
      <c r="B228" s="73"/>
      <c r="C228" s="73"/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GL228" s="73"/>
      <c r="GM228" s="73"/>
      <c r="GN228" s="73"/>
      <c r="GO228" s="73"/>
      <c r="GP228" s="73"/>
      <c r="GQ228" s="73"/>
      <c r="GR228" s="73"/>
      <c r="GS228" s="73"/>
      <c r="GT228" s="73"/>
      <c r="GU228" s="73"/>
      <c r="GV228" s="73"/>
      <c r="GW228" s="73"/>
      <c r="GX228" s="73"/>
      <c r="GY228" s="73"/>
      <c r="GZ228" s="73"/>
      <c r="HA228" s="73"/>
      <c r="HB228" s="73"/>
      <c r="HC228" s="73"/>
      <c r="HD228" s="73"/>
      <c r="HE228" s="73"/>
      <c r="HF228" s="73"/>
      <c r="HG228" s="73"/>
      <c r="HH228" s="73"/>
      <c r="HI228" s="73"/>
      <c r="HJ228" s="73"/>
      <c r="HK228" s="73"/>
      <c r="HL228" s="73"/>
      <c r="HM228" s="73"/>
      <c r="HN228" s="73"/>
      <c r="HO228" s="73"/>
      <c r="HP228" s="73"/>
      <c r="HQ228" s="73"/>
      <c r="HR228" s="73"/>
      <c r="HS228" s="73"/>
      <c r="HT228" s="73"/>
      <c r="HU228" s="73"/>
      <c r="HV228" s="73"/>
      <c r="HW228" s="73"/>
      <c r="HX228" s="73"/>
      <c r="HY228" s="73"/>
      <c r="HZ228" s="73"/>
      <c r="IA228" s="73"/>
      <c r="IB228" s="73"/>
      <c r="IC228" s="73"/>
      <c r="ID228" s="73"/>
      <c r="IE228" s="73"/>
      <c r="IF228" s="73"/>
      <c r="IG228" s="73"/>
      <c r="IH228" s="73"/>
      <c r="II228" s="73"/>
      <c r="IJ228" s="73"/>
      <c r="IK228" s="73"/>
      <c r="IL228" s="73"/>
      <c r="IM228" s="73"/>
      <c r="IN228" s="73"/>
      <c r="IO228" s="73"/>
      <c r="IP228" s="73"/>
      <c r="IQ228" s="73"/>
      <c r="IR228" s="73"/>
      <c r="IS228" s="73"/>
      <c r="IT228" s="73"/>
      <c r="IU228" s="73"/>
      <c r="IV228" s="73"/>
      <c r="IW228" s="73"/>
      <c r="IX228" s="73"/>
      <c r="IY228" s="73"/>
      <c r="IZ228" s="73"/>
      <c r="JA228" s="73"/>
      <c r="JB228" s="73"/>
      <c r="JC228" s="73"/>
    </row>
    <row r="229" spans="2:263" s="72" customFormat="1"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GL229" s="73"/>
      <c r="GM229" s="73"/>
      <c r="GN229" s="73"/>
      <c r="GO229" s="73"/>
      <c r="GP229" s="73"/>
      <c r="GQ229" s="73"/>
      <c r="GR229" s="73"/>
      <c r="GS229" s="73"/>
      <c r="GT229" s="73"/>
      <c r="GU229" s="73"/>
      <c r="GV229" s="73"/>
      <c r="GW229" s="73"/>
      <c r="GX229" s="73"/>
      <c r="GY229" s="73"/>
      <c r="GZ229" s="73"/>
      <c r="HA229" s="73"/>
      <c r="HB229" s="73"/>
      <c r="HC229" s="73"/>
      <c r="HD229" s="73"/>
      <c r="HE229" s="73"/>
      <c r="HF229" s="73"/>
      <c r="HG229" s="73"/>
      <c r="HH229" s="73"/>
      <c r="HI229" s="73"/>
      <c r="HJ229" s="73"/>
      <c r="HK229" s="73"/>
      <c r="HL229" s="73"/>
      <c r="HM229" s="73"/>
      <c r="HN229" s="73"/>
      <c r="HO229" s="73"/>
      <c r="HP229" s="73"/>
      <c r="HQ229" s="73"/>
      <c r="HR229" s="73"/>
      <c r="HS229" s="73"/>
      <c r="HT229" s="73"/>
      <c r="HU229" s="73"/>
      <c r="HV229" s="73"/>
      <c r="HW229" s="73"/>
      <c r="HX229" s="73"/>
      <c r="HY229" s="73"/>
      <c r="HZ229" s="73"/>
      <c r="IA229" s="73"/>
      <c r="IB229" s="73"/>
      <c r="IC229" s="73"/>
      <c r="ID229" s="73"/>
      <c r="IE229" s="73"/>
      <c r="IF229" s="73"/>
      <c r="IG229" s="73"/>
      <c r="IH229" s="73"/>
      <c r="II229" s="73"/>
      <c r="IJ229" s="73"/>
      <c r="IK229" s="73"/>
      <c r="IL229" s="73"/>
      <c r="IM229" s="73"/>
      <c r="IN229" s="73"/>
      <c r="IO229" s="73"/>
      <c r="IP229" s="73"/>
      <c r="IQ229" s="73"/>
      <c r="IR229" s="73"/>
      <c r="IS229" s="73"/>
      <c r="IT229" s="73"/>
      <c r="IU229" s="73"/>
      <c r="IV229" s="73"/>
      <c r="IW229" s="73"/>
      <c r="IX229" s="73"/>
      <c r="IY229" s="73"/>
      <c r="IZ229" s="73"/>
      <c r="JA229" s="73"/>
      <c r="JB229" s="73"/>
      <c r="JC229" s="73"/>
    </row>
    <row r="230" spans="2:263" s="72" customFormat="1">
      <c r="B230" s="73"/>
      <c r="C230" s="73"/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GL230" s="73"/>
      <c r="GM230" s="73"/>
      <c r="GN230" s="73"/>
      <c r="GO230" s="73"/>
      <c r="GP230" s="73"/>
      <c r="GQ230" s="73"/>
      <c r="GR230" s="73"/>
      <c r="GS230" s="73"/>
      <c r="GT230" s="73"/>
      <c r="GU230" s="73"/>
      <c r="GV230" s="73"/>
      <c r="GW230" s="73"/>
      <c r="GX230" s="73"/>
      <c r="GY230" s="73"/>
      <c r="GZ230" s="73"/>
      <c r="HA230" s="73"/>
      <c r="HB230" s="73"/>
      <c r="HC230" s="73"/>
      <c r="HD230" s="73"/>
      <c r="HE230" s="73"/>
      <c r="HF230" s="73"/>
      <c r="HG230" s="73"/>
      <c r="HH230" s="73"/>
      <c r="HI230" s="73"/>
      <c r="HJ230" s="73"/>
      <c r="HK230" s="73"/>
      <c r="HL230" s="73"/>
      <c r="HM230" s="73"/>
      <c r="HN230" s="73"/>
      <c r="HO230" s="73"/>
      <c r="HP230" s="73"/>
      <c r="HQ230" s="73"/>
      <c r="HR230" s="73"/>
      <c r="HS230" s="73"/>
      <c r="HT230" s="73"/>
      <c r="HU230" s="73"/>
      <c r="HV230" s="73"/>
      <c r="HW230" s="73"/>
      <c r="HX230" s="73"/>
      <c r="HY230" s="73"/>
      <c r="HZ230" s="73"/>
      <c r="IA230" s="73"/>
      <c r="IB230" s="73"/>
      <c r="IC230" s="73"/>
      <c r="ID230" s="73"/>
      <c r="IE230" s="73"/>
      <c r="IF230" s="73"/>
      <c r="IG230" s="73"/>
      <c r="IH230" s="73"/>
      <c r="II230" s="73"/>
      <c r="IJ230" s="73"/>
      <c r="IK230" s="73"/>
      <c r="IL230" s="73"/>
      <c r="IM230" s="73"/>
      <c r="IN230" s="73"/>
      <c r="IO230" s="73"/>
      <c r="IP230" s="73"/>
      <c r="IQ230" s="73"/>
      <c r="IR230" s="73"/>
      <c r="IS230" s="73"/>
      <c r="IT230" s="73"/>
      <c r="IU230" s="73"/>
      <c r="IV230" s="73"/>
      <c r="IW230" s="73"/>
      <c r="IX230" s="73"/>
      <c r="IY230" s="73"/>
      <c r="IZ230" s="73"/>
      <c r="JA230" s="73"/>
      <c r="JB230" s="73"/>
      <c r="JC230" s="73"/>
    </row>
    <row r="231" spans="2:263" s="72" customFormat="1">
      <c r="B231" s="73"/>
      <c r="C231" s="73"/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GL231" s="73"/>
      <c r="GM231" s="73"/>
      <c r="GN231" s="73"/>
      <c r="GO231" s="73"/>
      <c r="GP231" s="73"/>
      <c r="GQ231" s="73"/>
      <c r="GR231" s="73"/>
      <c r="GS231" s="73"/>
      <c r="GT231" s="73"/>
      <c r="GU231" s="73"/>
      <c r="GV231" s="73"/>
      <c r="GW231" s="73"/>
      <c r="GX231" s="73"/>
      <c r="GY231" s="73"/>
      <c r="GZ231" s="73"/>
      <c r="HA231" s="73"/>
      <c r="HB231" s="73"/>
      <c r="HC231" s="73"/>
      <c r="HD231" s="73"/>
      <c r="HE231" s="73"/>
      <c r="HF231" s="73"/>
      <c r="HG231" s="73"/>
      <c r="HH231" s="73"/>
      <c r="HI231" s="73"/>
      <c r="HJ231" s="73"/>
      <c r="HK231" s="73"/>
      <c r="HL231" s="73"/>
      <c r="HM231" s="73"/>
      <c r="HN231" s="73"/>
      <c r="HO231" s="73"/>
      <c r="HP231" s="73"/>
      <c r="HQ231" s="73"/>
      <c r="HR231" s="73"/>
      <c r="HS231" s="73"/>
      <c r="HT231" s="73"/>
      <c r="HU231" s="73"/>
      <c r="HV231" s="73"/>
      <c r="HW231" s="73"/>
      <c r="HX231" s="73"/>
      <c r="HY231" s="73"/>
      <c r="HZ231" s="73"/>
      <c r="IA231" s="73"/>
      <c r="IB231" s="73"/>
      <c r="IC231" s="73"/>
      <c r="ID231" s="73"/>
      <c r="IE231" s="73"/>
      <c r="IF231" s="73"/>
      <c r="IG231" s="73"/>
      <c r="IH231" s="73"/>
      <c r="II231" s="73"/>
      <c r="IJ231" s="73"/>
      <c r="IK231" s="73"/>
      <c r="IL231" s="73"/>
      <c r="IM231" s="73"/>
      <c r="IN231" s="73"/>
      <c r="IO231" s="73"/>
      <c r="IP231" s="73"/>
      <c r="IQ231" s="73"/>
      <c r="IR231" s="73"/>
      <c r="IS231" s="73"/>
      <c r="IT231" s="73"/>
      <c r="IU231" s="73"/>
      <c r="IV231" s="73"/>
      <c r="IW231" s="73"/>
      <c r="IX231" s="73"/>
      <c r="IY231" s="73"/>
      <c r="IZ231" s="73"/>
      <c r="JA231" s="73"/>
      <c r="JB231" s="73"/>
      <c r="JC231" s="73"/>
    </row>
    <row r="232" spans="2:263" s="72" customFormat="1">
      <c r="B232" s="73"/>
      <c r="C232" s="73"/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GL232" s="73"/>
      <c r="GM232" s="73"/>
      <c r="GN232" s="73"/>
      <c r="GO232" s="73"/>
      <c r="GP232" s="73"/>
      <c r="GQ232" s="73"/>
      <c r="GR232" s="73"/>
      <c r="GS232" s="73"/>
      <c r="GT232" s="73"/>
      <c r="GU232" s="73"/>
      <c r="GV232" s="73"/>
      <c r="GW232" s="73"/>
      <c r="GX232" s="73"/>
      <c r="GY232" s="73"/>
      <c r="GZ232" s="73"/>
      <c r="HA232" s="73"/>
      <c r="HB232" s="73"/>
      <c r="HC232" s="73"/>
      <c r="HD232" s="73"/>
      <c r="HE232" s="73"/>
      <c r="HF232" s="73"/>
      <c r="HG232" s="73"/>
      <c r="HH232" s="73"/>
      <c r="HI232" s="73"/>
      <c r="HJ232" s="73"/>
      <c r="HK232" s="73"/>
      <c r="HL232" s="73"/>
      <c r="HM232" s="73"/>
      <c r="HN232" s="73"/>
      <c r="HO232" s="73"/>
      <c r="HP232" s="73"/>
      <c r="HQ232" s="73"/>
      <c r="HR232" s="73"/>
      <c r="HS232" s="73"/>
      <c r="HT232" s="73"/>
      <c r="HU232" s="73"/>
      <c r="HV232" s="73"/>
      <c r="HW232" s="73"/>
      <c r="HX232" s="73"/>
      <c r="HY232" s="73"/>
      <c r="HZ232" s="73"/>
      <c r="IA232" s="73"/>
      <c r="IB232" s="73"/>
      <c r="IC232" s="73"/>
      <c r="ID232" s="73"/>
      <c r="IE232" s="73"/>
      <c r="IF232" s="73"/>
      <c r="IG232" s="73"/>
      <c r="IH232" s="73"/>
      <c r="II232" s="73"/>
      <c r="IJ232" s="73"/>
      <c r="IK232" s="73"/>
      <c r="IL232" s="73"/>
      <c r="IM232" s="73"/>
      <c r="IN232" s="73"/>
      <c r="IO232" s="73"/>
      <c r="IP232" s="73"/>
      <c r="IQ232" s="73"/>
      <c r="IR232" s="73"/>
      <c r="IS232" s="73"/>
      <c r="IT232" s="73"/>
      <c r="IU232" s="73"/>
      <c r="IV232" s="73"/>
      <c r="IW232" s="73"/>
      <c r="IX232" s="73"/>
      <c r="IY232" s="73"/>
      <c r="IZ232" s="73"/>
      <c r="JA232" s="73"/>
      <c r="JB232" s="73"/>
      <c r="JC232" s="73"/>
    </row>
    <row r="233" spans="2:263" s="72" customFormat="1">
      <c r="B233" s="73"/>
      <c r="C233" s="73"/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GL233" s="73"/>
      <c r="GM233" s="73"/>
      <c r="GN233" s="73"/>
      <c r="GO233" s="73"/>
      <c r="GP233" s="73"/>
      <c r="GQ233" s="73"/>
      <c r="GR233" s="73"/>
      <c r="GS233" s="73"/>
      <c r="GT233" s="73"/>
      <c r="GU233" s="73"/>
      <c r="GV233" s="73"/>
      <c r="GW233" s="73"/>
      <c r="GX233" s="73"/>
      <c r="GY233" s="73"/>
      <c r="GZ233" s="73"/>
      <c r="HA233" s="73"/>
      <c r="HB233" s="73"/>
      <c r="HC233" s="73"/>
      <c r="HD233" s="73"/>
      <c r="HE233" s="73"/>
      <c r="HF233" s="73"/>
      <c r="HG233" s="73"/>
      <c r="HH233" s="73"/>
      <c r="HI233" s="73"/>
      <c r="HJ233" s="73"/>
      <c r="HK233" s="73"/>
      <c r="HL233" s="73"/>
      <c r="HM233" s="73"/>
      <c r="HN233" s="73"/>
      <c r="HO233" s="73"/>
      <c r="HP233" s="73"/>
      <c r="HQ233" s="73"/>
      <c r="HR233" s="73"/>
      <c r="HS233" s="73"/>
      <c r="HT233" s="73"/>
      <c r="HU233" s="73"/>
      <c r="HV233" s="73"/>
      <c r="HW233" s="73"/>
      <c r="HX233" s="73"/>
      <c r="HY233" s="73"/>
      <c r="HZ233" s="73"/>
      <c r="IA233" s="73"/>
      <c r="IB233" s="73"/>
      <c r="IC233" s="73"/>
      <c r="ID233" s="73"/>
      <c r="IE233" s="73"/>
      <c r="IF233" s="73"/>
      <c r="IG233" s="73"/>
      <c r="IH233" s="73"/>
      <c r="II233" s="73"/>
      <c r="IJ233" s="73"/>
      <c r="IK233" s="73"/>
      <c r="IL233" s="73"/>
      <c r="IM233" s="73"/>
      <c r="IN233" s="73"/>
      <c r="IO233" s="73"/>
      <c r="IP233" s="73"/>
      <c r="IQ233" s="73"/>
      <c r="IR233" s="73"/>
      <c r="IS233" s="73"/>
      <c r="IT233" s="73"/>
      <c r="IU233" s="73"/>
      <c r="IV233" s="73"/>
      <c r="IW233" s="73"/>
      <c r="IX233" s="73"/>
      <c r="IY233" s="73"/>
      <c r="IZ233" s="73"/>
      <c r="JA233" s="73"/>
      <c r="JB233" s="73"/>
      <c r="JC233" s="73"/>
    </row>
    <row r="234" spans="2:263" s="72" customFormat="1">
      <c r="B234" s="73"/>
      <c r="C234" s="73"/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GL234" s="73"/>
      <c r="GM234" s="73"/>
      <c r="GN234" s="73"/>
      <c r="GO234" s="73"/>
      <c r="GP234" s="73"/>
      <c r="GQ234" s="73"/>
      <c r="GR234" s="73"/>
      <c r="GS234" s="73"/>
      <c r="GT234" s="73"/>
      <c r="GU234" s="73"/>
      <c r="GV234" s="73"/>
      <c r="GW234" s="73"/>
      <c r="GX234" s="73"/>
      <c r="GY234" s="73"/>
      <c r="GZ234" s="73"/>
      <c r="HA234" s="73"/>
      <c r="HB234" s="73"/>
      <c r="HC234" s="73"/>
      <c r="HD234" s="73"/>
      <c r="HE234" s="73"/>
      <c r="HF234" s="73"/>
      <c r="HG234" s="73"/>
      <c r="HH234" s="73"/>
      <c r="HI234" s="73"/>
      <c r="HJ234" s="73"/>
      <c r="HK234" s="73"/>
      <c r="HL234" s="73"/>
      <c r="HM234" s="73"/>
      <c r="HN234" s="73"/>
      <c r="HO234" s="73"/>
      <c r="HP234" s="73"/>
      <c r="HQ234" s="73"/>
      <c r="HR234" s="73"/>
      <c r="HS234" s="73"/>
      <c r="HT234" s="73"/>
      <c r="HU234" s="73"/>
      <c r="HV234" s="73"/>
      <c r="HW234" s="73"/>
      <c r="HX234" s="73"/>
      <c r="HY234" s="73"/>
      <c r="HZ234" s="73"/>
      <c r="IA234" s="73"/>
      <c r="IB234" s="73"/>
      <c r="IC234" s="73"/>
      <c r="ID234" s="73"/>
      <c r="IE234" s="73"/>
      <c r="IF234" s="73"/>
      <c r="IG234" s="73"/>
      <c r="IH234" s="73"/>
      <c r="II234" s="73"/>
      <c r="IJ234" s="73"/>
      <c r="IK234" s="73"/>
      <c r="IL234" s="73"/>
      <c r="IM234" s="73"/>
      <c r="IN234" s="73"/>
      <c r="IO234" s="73"/>
      <c r="IP234" s="73"/>
      <c r="IQ234" s="73"/>
      <c r="IR234" s="73"/>
      <c r="IS234" s="73"/>
      <c r="IT234" s="73"/>
      <c r="IU234" s="73"/>
      <c r="IV234" s="73"/>
      <c r="IW234" s="73"/>
      <c r="IX234" s="73"/>
      <c r="IY234" s="73"/>
      <c r="IZ234" s="73"/>
      <c r="JA234" s="73"/>
      <c r="JB234" s="73"/>
      <c r="JC234" s="73"/>
    </row>
    <row r="235" spans="2:263" s="72" customFormat="1"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GL235" s="73"/>
      <c r="GM235" s="73"/>
      <c r="GN235" s="73"/>
      <c r="GO235" s="73"/>
      <c r="GP235" s="73"/>
      <c r="GQ235" s="73"/>
      <c r="GR235" s="73"/>
      <c r="GS235" s="73"/>
      <c r="GT235" s="73"/>
      <c r="GU235" s="73"/>
      <c r="GV235" s="73"/>
      <c r="GW235" s="73"/>
      <c r="GX235" s="73"/>
      <c r="GY235" s="73"/>
      <c r="GZ235" s="73"/>
      <c r="HA235" s="73"/>
      <c r="HB235" s="73"/>
      <c r="HC235" s="73"/>
      <c r="HD235" s="73"/>
      <c r="HE235" s="73"/>
      <c r="HF235" s="73"/>
      <c r="HG235" s="73"/>
      <c r="HH235" s="73"/>
      <c r="HI235" s="73"/>
      <c r="HJ235" s="73"/>
      <c r="HK235" s="73"/>
      <c r="HL235" s="73"/>
      <c r="HM235" s="73"/>
      <c r="HN235" s="73"/>
      <c r="HO235" s="73"/>
      <c r="HP235" s="73"/>
      <c r="HQ235" s="73"/>
      <c r="HR235" s="73"/>
      <c r="HS235" s="73"/>
      <c r="HT235" s="73"/>
      <c r="HU235" s="73"/>
      <c r="HV235" s="73"/>
      <c r="HW235" s="73"/>
      <c r="HX235" s="73"/>
      <c r="HY235" s="73"/>
      <c r="HZ235" s="73"/>
      <c r="IA235" s="73"/>
      <c r="IB235" s="73"/>
      <c r="IC235" s="73"/>
      <c r="ID235" s="73"/>
      <c r="IE235" s="73"/>
      <c r="IF235" s="73"/>
      <c r="IG235" s="73"/>
      <c r="IH235" s="73"/>
      <c r="II235" s="73"/>
      <c r="IJ235" s="73"/>
      <c r="IK235" s="73"/>
      <c r="IL235" s="73"/>
      <c r="IM235" s="73"/>
      <c r="IN235" s="73"/>
      <c r="IO235" s="73"/>
      <c r="IP235" s="73"/>
      <c r="IQ235" s="73"/>
      <c r="IR235" s="73"/>
      <c r="IS235" s="73"/>
      <c r="IT235" s="73"/>
      <c r="IU235" s="73"/>
      <c r="IV235" s="73"/>
      <c r="IW235" s="73"/>
      <c r="IX235" s="73"/>
      <c r="IY235" s="73"/>
      <c r="IZ235" s="73"/>
      <c r="JA235" s="73"/>
      <c r="JB235" s="73"/>
      <c r="JC235" s="73"/>
    </row>
    <row r="236" spans="2:263" s="72" customFormat="1">
      <c r="B236" s="73"/>
      <c r="C236" s="73"/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GL236" s="73"/>
      <c r="GM236" s="73"/>
      <c r="GN236" s="73"/>
      <c r="GO236" s="73"/>
      <c r="GP236" s="73"/>
      <c r="GQ236" s="73"/>
      <c r="GR236" s="73"/>
      <c r="GS236" s="73"/>
      <c r="GT236" s="73"/>
      <c r="GU236" s="73"/>
      <c r="GV236" s="73"/>
      <c r="GW236" s="73"/>
      <c r="GX236" s="73"/>
      <c r="GY236" s="73"/>
      <c r="GZ236" s="73"/>
      <c r="HA236" s="73"/>
      <c r="HB236" s="73"/>
      <c r="HC236" s="73"/>
      <c r="HD236" s="73"/>
      <c r="HE236" s="73"/>
      <c r="HF236" s="73"/>
      <c r="HG236" s="73"/>
      <c r="HH236" s="73"/>
      <c r="HI236" s="73"/>
      <c r="HJ236" s="73"/>
      <c r="HK236" s="73"/>
      <c r="HL236" s="73"/>
      <c r="HM236" s="73"/>
      <c r="HN236" s="73"/>
      <c r="HO236" s="73"/>
      <c r="HP236" s="73"/>
      <c r="HQ236" s="73"/>
      <c r="HR236" s="73"/>
      <c r="HS236" s="73"/>
      <c r="HT236" s="73"/>
      <c r="HU236" s="73"/>
      <c r="HV236" s="73"/>
      <c r="HW236" s="73"/>
      <c r="HX236" s="73"/>
      <c r="HY236" s="73"/>
      <c r="HZ236" s="73"/>
      <c r="IA236" s="73"/>
      <c r="IB236" s="73"/>
      <c r="IC236" s="73"/>
      <c r="ID236" s="73"/>
      <c r="IE236" s="73"/>
      <c r="IF236" s="73"/>
      <c r="IG236" s="73"/>
      <c r="IH236" s="73"/>
      <c r="II236" s="73"/>
      <c r="IJ236" s="73"/>
      <c r="IK236" s="73"/>
      <c r="IL236" s="73"/>
      <c r="IM236" s="73"/>
      <c r="IN236" s="73"/>
      <c r="IO236" s="73"/>
      <c r="IP236" s="73"/>
      <c r="IQ236" s="73"/>
      <c r="IR236" s="73"/>
      <c r="IS236" s="73"/>
      <c r="IT236" s="73"/>
      <c r="IU236" s="73"/>
      <c r="IV236" s="73"/>
      <c r="IW236" s="73"/>
      <c r="IX236" s="73"/>
      <c r="IY236" s="73"/>
      <c r="IZ236" s="73"/>
      <c r="JA236" s="73"/>
      <c r="JB236" s="73"/>
      <c r="JC236" s="73"/>
    </row>
    <row r="237" spans="2:263" s="72" customFormat="1">
      <c r="B237" s="73"/>
      <c r="C237" s="73"/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GL237" s="73"/>
      <c r="GM237" s="73"/>
      <c r="GN237" s="73"/>
      <c r="GO237" s="73"/>
      <c r="GP237" s="73"/>
      <c r="GQ237" s="73"/>
      <c r="GR237" s="73"/>
      <c r="GS237" s="73"/>
      <c r="GT237" s="73"/>
      <c r="GU237" s="73"/>
      <c r="GV237" s="73"/>
      <c r="GW237" s="73"/>
      <c r="GX237" s="73"/>
      <c r="GY237" s="73"/>
      <c r="GZ237" s="73"/>
      <c r="HA237" s="73"/>
      <c r="HB237" s="73"/>
      <c r="HC237" s="73"/>
      <c r="HD237" s="73"/>
      <c r="HE237" s="73"/>
      <c r="HF237" s="73"/>
      <c r="HG237" s="73"/>
      <c r="HH237" s="73"/>
      <c r="HI237" s="73"/>
      <c r="HJ237" s="73"/>
      <c r="HK237" s="73"/>
      <c r="HL237" s="73"/>
      <c r="HM237" s="73"/>
      <c r="HN237" s="73"/>
      <c r="HO237" s="73"/>
      <c r="HP237" s="73"/>
      <c r="HQ237" s="73"/>
      <c r="HR237" s="73"/>
      <c r="HS237" s="73"/>
      <c r="HT237" s="73"/>
      <c r="HU237" s="73"/>
      <c r="HV237" s="73"/>
      <c r="HW237" s="73"/>
      <c r="HX237" s="73"/>
      <c r="HY237" s="73"/>
      <c r="HZ237" s="73"/>
      <c r="IA237" s="73"/>
      <c r="IB237" s="73"/>
      <c r="IC237" s="73"/>
      <c r="ID237" s="73"/>
      <c r="IE237" s="73"/>
      <c r="IF237" s="73"/>
      <c r="IG237" s="73"/>
      <c r="IH237" s="73"/>
      <c r="II237" s="73"/>
      <c r="IJ237" s="73"/>
      <c r="IK237" s="73"/>
      <c r="IL237" s="73"/>
      <c r="IM237" s="73"/>
      <c r="IN237" s="73"/>
      <c r="IO237" s="73"/>
      <c r="IP237" s="73"/>
      <c r="IQ237" s="73"/>
      <c r="IR237" s="73"/>
      <c r="IS237" s="73"/>
      <c r="IT237" s="73"/>
      <c r="IU237" s="73"/>
      <c r="IV237" s="73"/>
      <c r="IW237" s="73"/>
      <c r="IX237" s="73"/>
      <c r="IY237" s="73"/>
      <c r="IZ237" s="73"/>
      <c r="JA237" s="73"/>
      <c r="JB237" s="73"/>
      <c r="JC237" s="73"/>
    </row>
    <row r="238" spans="2:263" s="72" customFormat="1">
      <c r="B238" s="73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GL238" s="73"/>
      <c r="GM238" s="73"/>
      <c r="GN238" s="73"/>
      <c r="GO238" s="73"/>
      <c r="GP238" s="73"/>
      <c r="GQ238" s="73"/>
      <c r="GR238" s="73"/>
      <c r="GS238" s="73"/>
      <c r="GT238" s="73"/>
      <c r="GU238" s="73"/>
      <c r="GV238" s="73"/>
      <c r="GW238" s="73"/>
      <c r="GX238" s="73"/>
      <c r="GY238" s="73"/>
      <c r="GZ238" s="73"/>
      <c r="HA238" s="73"/>
      <c r="HB238" s="73"/>
      <c r="HC238" s="73"/>
      <c r="HD238" s="73"/>
      <c r="HE238" s="73"/>
      <c r="HF238" s="73"/>
      <c r="HG238" s="73"/>
      <c r="HH238" s="73"/>
      <c r="HI238" s="73"/>
      <c r="HJ238" s="73"/>
      <c r="HK238" s="73"/>
      <c r="HL238" s="73"/>
      <c r="HM238" s="73"/>
      <c r="HN238" s="73"/>
      <c r="HO238" s="73"/>
      <c r="HP238" s="73"/>
      <c r="HQ238" s="73"/>
      <c r="HR238" s="73"/>
      <c r="HS238" s="73"/>
      <c r="HT238" s="73"/>
      <c r="HU238" s="73"/>
      <c r="HV238" s="73"/>
      <c r="HW238" s="73"/>
      <c r="HX238" s="73"/>
      <c r="HY238" s="73"/>
      <c r="HZ238" s="73"/>
      <c r="IA238" s="73"/>
      <c r="IB238" s="73"/>
      <c r="IC238" s="73"/>
      <c r="ID238" s="73"/>
      <c r="IE238" s="73"/>
      <c r="IF238" s="73"/>
      <c r="IG238" s="73"/>
      <c r="IH238" s="73"/>
      <c r="II238" s="73"/>
      <c r="IJ238" s="73"/>
      <c r="IK238" s="73"/>
      <c r="IL238" s="73"/>
      <c r="IM238" s="73"/>
      <c r="IN238" s="73"/>
      <c r="IO238" s="73"/>
      <c r="IP238" s="73"/>
      <c r="IQ238" s="73"/>
      <c r="IR238" s="73"/>
      <c r="IS238" s="73"/>
      <c r="IT238" s="73"/>
      <c r="IU238" s="73"/>
      <c r="IV238" s="73"/>
      <c r="IW238" s="73"/>
      <c r="IX238" s="73"/>
      <c r="IY238" s="73"/>
      <c r="IZ238" s="73"/>
      <c r="JA238" s="73"/>
      <c r="JB238" s="73"/>
      <c r="JC238" s="73"/>
    </row>
    <row r="239" spans="2:263" s="72" customFormat="1">
      <c r="B239" s="73"/>
      <c r="C239" s="73"/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GL239" s="73"/>
      <c r="GM239" s="73"/>
      <c r="GN239" s="73"/>
      <c r="GO239" s="73"/>
      <c r="GP239" s="73"/>
      <c r="GQ239" s="73"/>
      <c r="GR239" s="73"/>
      <c r="GS239" s="73"/>
      <c r="GT239" s="73"/>
      <c r="GU239" s="73"/>
      <c r="GV239" s="73"/>
      <c r="GW239" s="73"/>
      <c r="GX239" s="73"/>
      <c r="GY239" s="73"/>
      <c r="GZ239" s="73"/>
      <c r="HA239" s="73"/>
      <c r="HB239" s="73"/>
      <c r="HC239" s="73"/>
      <c r="HD239" s="73"/>
      <c r="HE239" s="73"/>
      <c r="HF239" s="73"/>
      <c r="HG239" s="73"/>
      <c r="HH239" s="73"/>
      <c r="HI239" s="73"/>
      <c r="HJ239" s="73"/>
      <c r="HK239" s="73"/>
      <c r="HL239" s="73"/>
      <c r="HM239" s="73"/>
      <c r="HN239" s="73"/>
      <c r="HO239" s="73"/>
      <c r="HP239" s="73"/>
      <c r="HQ239" s="73"/>
      <c r="HR239" s="73"/>
      <c r="HS239" s="73"/>
      <c r="HT239" s="73"/>
      <c r="HU239" s="73"/>
      <c r="HV239" s="73"/>
      <c r="HW239" s="73"/>
      <c r="HX239" s="73"/>
      <c r="HY239" s="73"/>
      <c r="HZ239" s="73"/>
      <c r="IA239" s="73"/>
      <c r="IB239" s="73"/>
      <c r="IC239" s="73"/>
      <c r="ID239" s="73"/>
      <c r="IE239" s="73"/>
      <c r="IF239" s="73"/>
      <c r="IG239" s="73"/>
      <c r="IH239" s="73"/>
      <c r="II239" s="73"/>
      <c r="IJ239" s="73"/>
      <c r="IK239" s="73"/>
      <c r="IL239" s="73"/>
      <c r="IM239" s="73"/>
      <c r="IN239" s="73"/>
      <c r="IO239" s="73"/>
      <c r="IP239" s="73"/>
      <c r="IQ239" s="73"/>
      <c r="IR239" s="73"/>
      <c r="IS239" s="73"/>
      <c r="IT239" s="73"/>
      <c r="IU239" s="73"/>
      <c r="IV239" s="73"/>
      <c r="IW239" s="73"/>
      <c r="IX239" s="73"/>
      <c r="IY239" s="73"/>
      <c r="IZ239" s="73"/>
      <c r="JA239" s="73"/>
      <c r="JB239" s="73"/>
      <c r="JC239" s="73"/>
    </row>
    <row r="240" spans="2:263" s="72" customFormat="1">
      <c r="B240" s="73"/>
      <c r="C240" s="73"/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GL240" s="73"/>
      <c r="GM240" s="73"/>
      <c r="GN240" s="73"/>
      <c r="GO240" s="73"/>
      <c r="GP240" s="73"/>
      <c r="GQ240" s="73"/>
      <c r="GR240" s="73"/>
      <c r="GS240" s="73"/>
      <c r="GT240" s="73"/>
      <c r="GU240" s="73"/>
      <c r="GV240" s="73"/>
      <c r="GW240" s="73"/>
      <c r="GX240" s="73"/>
      <c r="GY240" s="73"/>
      <c r="GZ240" s="73"/>
      <c r="HA240" s="73"/>
      <c r="HB240" s="73"/>
      <c r="HC240" s="73"/>
      <c r="HD240" s="73"/>
      <c r="HE240" s="73"/>
      <c r="HF240" s="73"/>
      <c r="HG240" s="73"/>
      <c r="HH240" s="73"/>
      <c r="HI240" s="73"/>
      <c r="HJ240" s="73"/>
      <c r="HK240" s="73"/>
      <c r="HL240" s="73"/>
      <c r="HM240" s="73"/>
      <c r="HN240" s="73"/>
      <c r="HO240" s="73"/>
      <c r="HP240" s="73"/>
      <c r="HQ240" s="73"/>
      <c r="HR240" s="73"/>
      <c r="HS240" s="73"/>
      <c r="HT240" s="73"/>
      <c r="HU240" s="73"/>
      <c r="HV240" s="73"/>
      <c r="HW240" s="73"/>
      <c r="HX240" s="73"/>
      <c r="HY240" s="73"/>
      <c r="HZ240" s="73"/>
      <c r="IA240" s="73"/>
      <c r="IB240" s="73"/>
      <c r="IC240" s="73"/>
      <c r="ID240" s="73"/>
      <c r="IE240" s="73"/>
      <c r="IF240" s="73"/>
      <c r="IG240" s="73"/>
      <c r="IH240" s="73"/>
      <c r="II240" s="73"/>
      <c r="IJ240" s="73"/>
      <c r="IK240" s="73"/>
      <c r="IL240" s="73"/>
      <c r="IM240" s="73"/>
      <c r="IN240" s="73"/>
      <c r="IO240" s="73"/>
      <c r="IP240" s="73"/>
      <c r="IQ240" s="73"/>
      <c r="IR240" s="73"/>
      <c r="IS240" s="73"/>
      <c r="IT240" s="73"/>
      <c r="IU240" s="73"/>
      <c r="IV240" s="73"/>
      <c r="IW240" s="73"/>
      <c r="IX240" s="73"/>
      <c r="IY240" s="73"/>
      <c r="IZ240" s="73"/>
      <c r="JA240" s="73"/>
      <c r="JB240" s="73"/>
      <c r="JC240" s="73"/>
    </row>
    <row r="241" spans="2:263" s="72" customFormat="1">
      <c r="B241" s="73"/>
      <c r="C241" s="73"/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GL241" s="73"/>
      <c r="GM241" s="73"/>
      <c r="GN241" s="73"/>
      <c r="GO241" s="73"/>
      <c r="GP241" s="73"/>
      <c r="GQ241" s="73"/>
      <c r="GR241" s="73"/>
      <c r="GS241" s="73"/>
      <c r="GT241" s="73"/>
      <c r="GU241" s="73"/>
      <c r="GV241" s="73"/>
      <c r="GW241" s="73"/>
      <c r="GX241" s="73"/>
      <c r="GY241" s="73"/>
      <c r="GZ241" s="73"/>
      <c r="HA241" s="73"/>
      <c r="HB241" s="73"/>
      <c r="HC241" s="73"/>
      <c r="HD241" s="73"/>
      <c r="HE241" s="73"/>
      <c r="HF241" s="73"/>
      <c r="HG241" s="73"/>
      <c r="HH241" s="73"/>
      <c r="HI241" s="73"/>
      <c r="HJ241" s="73"/>
      <c r="HK241" s="73"/>
      <c r="HL241" s="73"/>
      <c r="HM241" s="73"/>
      <c r="HN241" s="73"/>
      <c r="HO241" s="73"/>
      <c r="HP241" s="73"/>
      <c r="HQ241" s="73"/>
      <c r="HR241" s="73"/>
      <c r="HS241" s="73"/>
      <c r="HT241" s="73"/>
      <c r="HU241" s="73"/>
      <c r="HV241" s="73"/>
      <c r="HW241" s="73"/>
      <c r="HX241" s="73"/>
      <c r="HY241" s="73"/>
      <c r="HZ241" s="73"/>
      <c r="IA241" s="73"/>
      <c r="IB241" s="73"/>
      <c r="IC241" s="73"/>
      <c r="ID241" s="73"/>
      <c r="IE241" s="73"/>
      <c r="IF241" s="73"/>
      <c r="IG241" s="73"/>
      <c r="IH241" s="73"/>
      <c r="II241" s="73"/>
      <c r="IJ241" s="73"/>
      <c r="IK241" s="73"/>
      <c r="IL241" s="73"/>
      <c r="IM241" s="73"/>
      <c r="IN241" s="73"/>
      <c r="IO241" s="73"/>
      <c r="IP241" s="73"/>
      <c r="IQ241" s="73"/>
      <c r="IR241" s="73"/>
      <c r="IS241" s="73"/>
      <c r="IT241" s="73"/>
      <c r="IU241" s="73"/>
      <c r="IV241" s="73"/>
      <c r="IW241" s="73"/>
      <c r="IX241" s="73"/>
      <c r="IY241" s="73"/>
      <c r="IZ241" s="73"/>
      <c r="JA241" s="73"/>
      <c r="JB241" s="73"/>
      <c r="JC241" s="73"/>
    </row>
    <row r="242" spans="2:263" s="72" customFormat="1">
      <c r="B242" s="73"/>
      <c r="C242" s="73"/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GL242" s="73"/>
      <c r="GM242" s="73"/>
      <c r="GN242" s="73"/>
      <c r="GO242" s="73"/>
      <c r="GP242" s="73"/>
      <c r="GQ242" s="73"/>
      <c r="GR242" s="73"/>
      <c r="GS242" s="73"/>
      <c r="GT242" s="73"/>
      <c r="GU242" s="73"/>
      <c r="GV242" s="73"/>
      <c r="GW242" s="73"/>
      <c r="GX242" s="73"/>
      <c r="GY242" s="73"/>
      <c r="GZ242" s="73"/>
      <c r="HA242" s="73"/>
      <c r="HB242" s="73"/>
      <c r="HC242" s="73"/>
      <c r="HD242" s="73"/>
      <c r="HE242" s="73"/>
      <c r="HF242" s="73"/>
      <c r="HG242" s="73"/>
      <c r="HH242" s="73"/>
      <c r="HI242" s="73"/>
      <c r="HJ242" s="73"/>
      <c r="HK242" s="73"/>
      <c r="HL242" s="73"/>
      <c r="HM242" s="73"/>
      <c r="HN242" s="73"/>
      <c r="HO242" s="73"/>
      <c r="HP242" s="73"/>
      <c r="HQ242" s="73"/>
      <c r="HR242" s="73"/>
      <c r="HS242" s="73"/>
      <c r="HT242" s="73"/>
      <c r="HU242" s="73"/>
      <c r="HV242" s="73"/>
      <c r="HW242" s="73"/>
      <c r="HX242" s="73"/>
      <c r="HY242" s="73"/>
      <c r="HZ242" s="73"/>
      <c r="IA242" s="73"/>
      <c r="IB242" s="73"/>
      <c r="IC242" s="73"/>
      <c r="ID242" s="73"/>
      <c r="IE242" s="73"/>
      <c r="IF242" s="73"/>
      <c r="IG242" s="73"/>
      <c r="IH242" s="73"/>
      <c r="II242" s="73"/>
      <c r="IJ242" s="73"/>
      <c r="IK242" s="73"/>
      <c r="IL242" s="73"/>
      <c r="IM242" s="73"/>
      <c r="IN242" s="73"/>
      <c r="IO242" s="73"/>
      <c r="IP242" s="73"/>
      <c r="IQ242" s="73"/>
      <c r="IR242" s="73"/>
      <c r="IS242" s="73"/>
      <c r="IT242" s="73"/>
      <c r="IU242" s="73"/>
      <c r="IV242" s="73"/>
      <c r="IW242" s="73"/>
      <c r="IX242" s="73"/>
      <c r="IY242" s="73"/>
      <c r="IZ242" s="73"/>
      <c r="JA242" s="73"/>
      <c r="JB242" s="73"/>
      <c r="JC242" s="73"/>
    </row>
    <row r="243" spans="2:263" s="72" customFormat="1">
      <c r="B243" s="73"/>
      <c r="C243" s="73"/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GL243" s="73"/>
      <c r="GM243" s="73"/>
      <c r="GN243" s="73"/>
      <c r="GO243" s="73"/>
      <c r="GP243" s="73"/>
      <c r="GQ243" s="73"/>
      <c r="GR243" s="73"/>
      <c r="GS243" s="73"/>
      <c r="GT243" s="73"/>
      <c r="GU243" s="73"/>
      <c r="GV243" s="73"/>
      <c r="GW243" s="73"/>
      <c r="GX243" s="73"/>
      <c r="GY243" s="73"/>
      <c r="GZ243" s="73"/>
      <c r="HA243" s="73"/>
      <c r="HB243" s="73"/>
      <c r="HC243" s="73"/>
      <c r="HD243" s="73"/>
      <c r="HE243" s="73"/>
      <c r="HF243" s="73"/>
      <c r="HG243" s="73"/>
      <c r="HH243" s="73"/>
      <c r="HI243" s="73"/>
      <c r="HJ243" s="73"/>
      <c r="HK243" s="73"/>
      <c r="HL243" s="73"/>
      <c r="HM243" s="73"/>
      <c r="HN243" s="73"/>
      <c r="HO243" s="73"/>
      <c r="HP243" s="73"/>
      <c r="HQ243" s="73"/>
      <c r="HR243" s="73"/>
      <c r="HS243" s="73"/>
      <c r="HT243" s="73"/>
      <c r="HU243" s="73"/>
      <c r="HV243" s="73"/>
      <c r="HW243" s="73"/>
      <c r="HX243" s="73"/>
      <c r="HY243" s="73"/>
      <c r="HZ243" s="73"/>
      <c r="IA243" s="73"/>
      <c r="IB243" s="73"/>
      <c r="IC243" s="73"/>
      <c r="ID243" s="73"/>
      <c r="IE243" s="73"/>
      <c r="IF243" s="73"/>
      <c r="IG243" s="73"/>
      <c r="IH243" s="73"/>
      <c r="II243" s="73"/>
      <c r="IJ243" s="73"/>
      <c r="IK243" s="73"/>
      <c r="IL243" s="73"/>
      <c r="IM243" s="73"/>
      <c r="IN243" s="73"/>
      <c r="IO243" s="73"/>
      <c r="IP243" s="73"/>
      <c r="IQ243" s="73"/>
      <c r="IR243" s="73"/>
      <c r="IS243" s="73"/>
      <c r="IT243" s="73"/>
      <c r="IU243" s="73"/>
      <c r="IV243" s="73"/>
      <c r="IW243" s="73"/>
      <c r="IX243" s="73"/>
      <c r="IY243" s="73"/>
      <c r="IZ243" s="73"/>
      <c r="JA243" s="73"/>
      <c r="JB243" s="73"/>
      <c r="JC243" s="73"/>
    </row>
    <row r="244" spans="2:263" s="72" customFormat="1">
      <c r="B244" s="73"/>
      <c r="C244" s="73"/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GL244" s="73"/>
      <c r="GM244" s="73"/>
      <c r="GN244" s="73"/>
      <c r="GO244" s="73"/>
      <c r="GP244" s="73"/>
      <c r="GQ244" s="73"/>
      <c r="GR244" s="73"/>
      <c r="GS244" s="73"/>
      <c r="GT244" s="73"/>
      <c r="GU244" s="73"/>
      <c r="GV244" s="73"/>
      <c r="GW244" s="73"/>
      <c r="GX244" s="73"/>
      <c r="GY244" s="73"/>
      <c r="GZ244" s="73"/>
      <c r="HA244" s="73"/>
      <c r="HB244" s="73"/>
      <c r="HC244" s="73"/>
      <c r="HD244" s="73"/>
      <c r="HE244" s="73"/>
      <c r="HF244" s="73"/>
      <c r="HG244" s="73"/>
      <c r="HH244" s="73"/>
      <c r="HI244" s="73"/>
      <c r="HJ244" s="73"/>
      <c r="HK244" s="73"/>
      <c r="HL244" s="73"/>
      <c r="HM244" s="73"/>
      <c r="HN244" s="73"/>
      <c r="HO244" s="73"/>
      <c r="HP244" s="73"/>
      <c r="HQ244" s="73"/>
      <c r="HR244" s="73"/>
      <c r="HS244" s="73"/>
      <c r="HT244" s="73"/>
      <c r="HU244" s="73"/>
      <c r="HV244" s="73"/>
      <c r="HW244" s="73"/>
      <c r="HX244" s="73"/>
      <c r="HY244" s="73"/>
      <c r="HZ244" s="73"/>
      <c r="IA244" s="73"/>
      <c r="IB244" s="73"/>
      <c r="IC244" s="73"/>
      <c r="ID244" s="73"/>
      <c r="IE244" s="73"/>
      <c r="IF244" s="73"/>
      <c r="IG244" s="73"/>
      <c r="IH244" s="73"/>
      <c r="II244" s="73"/>
      <c r="IJ244" s="73"/>
      <c r="IK244" s="73"/>
      <c r="IL244" s="73"/>
      <c r="IM244" s="73"/>
      <c r="IN244" s="73"/>
      <c r="IO244" s="73"/>
      <c r="IP244" s="73"/>
      <c r="IQ244" s="73"/>
      <c r="IR244" s="73"/>
      <c r="IS244" s="73"/>
      <c r="IT244" s="73"/>
      <c r="IU244" s="73"/>
      <c r="IV244" s="73"/>
      <c r="IW244" s="73"/>
      <c r="IX244" s="73"/>
      <c r="IY244" s="73"/>
      <c r="IZ244" s="73"/>
      <c r="JA244" s="73"/>
      <c r="JB244" s="73"/>
      <c r="JC244" s="73"/>
    </row>
    <row r="245" spans="2:263" s="72" customFormat="1">
      <c r="B245" s="73"/>
      <c r="C245" s="73"/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GL245" s="73"/>
      <c r="GM245" s="73"/>
      <c r="GN245" s="73"/>
      <c r="GO245" s="73"/>
      <c r="GP245" s="73"/>
      <c r="GQ245" s="73"/>
      <c r="GR245" s="73"/>
      <c r="GS245" s="73"/>
      <c r="GT245" s="73"/>
      <c r="GU245" s="73"/>
      <c r="GV245" s="73"/>
      <c r="GW245" s="73"/>
      <c r="GX245" s="73"/>
      <c r="GY245" s="73"/>
      <c r="GZ245" s="73"/>
      <c r="HA245" s="73"/>
      <c r="HB245" s="73"/>
      <c r="HC245" s="73"/>
      <c r="HD245" s="73"/>
      <c r="HE245" s="73"/>
      <c r="HF245" s="73"/>
      <c r="HG245" s="73"/>
      <c r="HH245" s="73"/>
      <c r="HI245" s="73"/>
      <c r="HJ245" s="73"/>
      <c r="HK245" s="73"/>
      <c r="HL245" s="73"/>
      <c r="HM245" s="73"/>
      <c r="HN245" s="73"/>
      <c r="HO245" s="73"/>
      <c r="HP245" s="73"/>
      <c r="HQ245" s="73"/>
      <c r="HR245" s="73"/>
      <c r="HS245" s="73"/>
      <c r="HT245" s="73"/>
      <c r="HU245" s="73"/>
      <c r="HV245" s="73"/>
      <c r="HW245" s="73"/>
      <c r="HX245" s="73"/>
      <c r="HY245" s="73"/>
      <c r="HZ245" s="73"/>
      <c r="IA245" s="73"/>
      <c r="IB245" s="73"/>
      <c r="IC245" s="73"/>
      <c r="ID245" s="73"/>
      <c r="IE245" s="73"/>
      <c r="IF245" s="73"/>
      <c r="IG245" s="73"/>
      <c r="IH245" s="73"/>
      <c r="II245" s="73"/>
      <c r="IJ245" s="73"/>
      <c r="IK245" s="73"/>
      <c r="IL245" s="73"/>
      <c r="IM245" s="73"/>
      <c r="IN245" s="73"/>
      <c r="IO245" s="73"/>
      <c r="IP245" s="73"/>
      <c r="IQ245" s="73"/>
      <c r="IR245" s="73"/>
      <c r="IS245" s="73"/>
      <c r="IT245" s="73"/>
      <c r="IU245" s="73"/>
      <c r="IV245" s="73"/>
      <c r="IW245" s="73"/>
      <c r="IX245" s="73"/>
      <c r="IY245" s="73"/>
      <c r="IZ245" s="73"/>
      <c r="JA245" s="73"/>
      <c r="JB245" s="73"/>
      <c r="JC245" s="73"/>
    </row>
    <row r="246" spans="2:263" s="72" customFormat="1">
      <c r="B246" s="73"/>
      <c r="C246" s="73"/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GL246" s="73"/>
      <c r="GM246" s="73"/>
      <c r="GN246" s="73"/>
      <c r="GO246" s="73"/>
      <c r="GP246" s="73"/>
      <c r="GQ246" s="73"/>
      <c r="GR246" s="73"/>
      <c r="GS246" s="73"/>
      <c r="GT246" s="73"/>
      <c r="GU246" s="73"/>
      <c r="GV246" s="73"/>
      <c r="GW246" s="73"/>
      <c r="GX246" s="73"/>
      <c r="GY246" s="73"/>
      <c r="GZ246" s="73"/>
      <c r="HA246" s="73"/>
      <c r="HB246" s="73"/>
      <c r="HC246" s="73"/>
      <c r="HD246" s="73"/>
      <c r="HE246" s="73"/>
      <c r="HF246" s="73"/>
      <c r="HG246" s="73"/>
      <c r="HH246" s="73"/>
      <c r="HI246" s="73"/>
      <c r="HJ246" s="73"/>
      <c r="HK246" s="73"/>
      <c r="HL246" s="73"/>
      <c r="HM246" s="73"/>
      <c r="HN246" s="73"/>
      <c r="HO246" s="73"/>
      <c r="HP246" s="73"/>
      <c r="HQ246" s="73"/>
      <c r="HR246" s="73"/>
      <c r="HS246" s="73"/>
      <c r="HT246" s="73"/>
      <c r="HU246" s="73"/>
      <c r="HV246" s="73"/>
      <c r="HW246" s="73"/>
      <c r="HX246" s="73"/>
      <c r="HY246" s="73"/>
      <c r="HZ246" s="73"/>
      <c r="IA246" s="73"/>
      <c r="IB246" s="73"/>
      <c r="IC246" s="73"/>
      <c r="ID246" s="73"/>
      <c r="IE246" s="73"/>
      <c r="IF246" s="73"/>
      <c r="IG246" s="73"/>
      <c r="IH246" s="73"/>
      <c r="II246" s="73"/>
      <c r="IJ246" s="73"/>
      <c r="IK246" s="73"/>
      <c r="IL246" s="73"/>
      <c r="IM246" s="73"/>
      <c r="IN246" s="73"/>
      <c r="IO246" s="73"/>
      <c r="IP246" s="73"/>
      <c r="IQ246" s="73"/>
      <c r="IR246" s="73"/>
      <c r="IS246" s="73"/>
      <c r="IT246" s="73"/>
      <c r="IU246" s="73"/>
      <c r="IV246" s="73"/>
      <c r="IW246" s="73"/>
      <c r="IX246" s="73"/>
      <c r="IY246" s="73"/>
      <c r="IZ246" s="73"/>
      <c r="JA246" s="73"/>
      <c r="JB246" s="73"/>
      <c r="JC246" s="73"/>
    </row>
    <row r="247" spans="2:263" s="72" customFormat="1">
      <c r="B247" s="73"/>
      <c r="C247" s="73"/>
      <c r="D247" s="73"/>
      <c r="E247" s="73"/>
      <c r="F247" s="73"/>
      <c r="G247" s="73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GL247" s="73"/>
      <c r="GM247" s="73"/>
      <c r="GN247" s="73"/>
      <c r="GO247" s="73"/>
      <c r="GP247" s="73"/>
      <c r="GQ247" s="73"/>
      <c r="GR247" s="73"/>
      <c r="GS247" s="73"/>
      <c r="GT247" s="73"/>
      <c r="GU247" s="73"/>
      <c r="GV247" s="73"/>
      <c r="GW247" s="73"/>
      <c r="GX247" s="73"/>
      <c r="GY247" s="73"/>
      <c r="GZ247" s="73"/>
      <c r="HA247" s="73"/>
      <c r="HB247" s="73"/>
      <c r="HC247" s="73"/>
      <c r="HD247" s="73"/>
      <c r="HE247" s="73"/>
      <c r="HF247" s="73"/>
      <c r="HG247" s="73"/>
      <c r="HH247" s="73"/>
      <c r="HI247" s="73"/>
      <c r="HJ247" s="73"/>
      <c r="HK247" s="73"/>
      <c r="HL247" s="73"/>
      <c r="HM247" s="73"/>
      <c r="HN247" s="73"/>
      <c r="HO247" s="73"/>
      <c r="HP247" s="73"/>
      <c r="HQ247" s="73"/>
      <c r="HR247" s="73"/>
      <c r="HS247" s="73"/>
      <c r="HT247" s="73"/>
      <c r="HU247" s="73"/>
      <c r="HV247" s="73"/>
      <c r="HW247" s="73"/>
      <c r="HX247" s="73"/>
      <c r="HY247" s="73"/>
      <c r="HZ247" s="73"/>
      <c r="IA247" s="73"/>
      <c r="IB247" s="73"/>
      <c r="IC247" s="73"/>
      <c r="ID247" s="73"/>
      <c r="IE247" s="73"/>
      <c r="IF247" s="73"/>
      <c r="IG247" s="73"/>
      <c r="IH247" s="73"/>
      <c r="II247" s="73"/>
      <c r="IJ247" s="73"/>
      <c r="IK247" s="73"/>
      <c r="IL247" s="73"/>
      <c r="IM247" s="73"/>
      <c r="IN247" s="73"/>
      <c r="IO247" s="73"/>
      <c r="IP247" s="73"/>
      <c r="IQ247" s="73"/>
      <c r="IR247" s="73"/>
      <c r="IS247" s="73"/>
      <c r="IT247" s="73"/>
      <c r="IU247" s="73"/>
      <c r="IV247" s="73"/>
      <c r="IW247" s="73"/>
      <c r="IX247" s="73"/>
      <c r="IY247" s="73"/>
      <c r="IZ247" s="73"/>
      <c r="JA247" s="73"/>
      <c r="JB247" s="73"/>
      <c r="JC247" s="73"/>
    </row>
    <row r="248" spans="2:263" s="72" customFormat="1">
      <c r="B248" s="73"/>
      <c r="C248" s="73"/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GL248" s="73"/>
      <c r="GM248" s="73"/>
      <c r="GN248" s="73"/>
      <c r="GO248" s="73"/>
      <c r="GP248" s="73"/>
      <c r="GQ248" s="73"/>
      <c r="GR248" s="73"/>
      <c r="GS248" s="73"/>
      <c r="GT248" s="73"/>
      <c r="GU248" s="73"/>
      <c r="GV248" s="73"/>
      <c r="GW248" s="73"/>
      <c r="GX248" s="73"/>
      <c r="GY248" s="73"/>
      <c r="GZ248" s="73"/>
      <c r="HA248" s="73"/>
      <c r="HB248" s="73"/>
      <c r="HC248" s="73"/>
      <c r="HD248" s="73"/>
      <c r="HE248" s="73"/>
      <c r="HF248" s="73"/>
      <c r="HG248" s="73"/>
      <c r="HH248" s="73"/>
      <c r="HI248" s="73"/>
      <c r="HJ248" s="73"/>
      <c r="HK248" s="73"/>
      <c r="HL248" s="73"/>
      <c r="HM248" s="73"/>
      <c r="HN248" s="73"/>
      <c r="HO248" s="73"/>
      <c r="HP248" s="73"/>
      <c r="HQ248" s="73"/>
      <c r="HR248" s="73"/>
      <c r="HS248" s="73"/>
      <c r="HT248" s="73"/>
      <c r="HU248" s="73"/>
      <c r="HV248" s="73"/>
      <c r="HW248" s="73"/>
      <c r="HX248" s="73"/>
      <c r="HY248" s="73"/>
      <c r="HZ248" s="73"/>
      <c r="IA248" s="73"/>
      <c r="IB248" s="73"/>
      <c r="IC248" s="73"/>
      <c r="ID248" s="73"/>
      <c r="IE248" s="73"/>
      <c r="IF248" s="73"/>
      <c r="IG248" s="73"/>
      <c r="IH248" s="73"/>
      <c r="II248" s="73"/>
      <c r="IJ248" s="73"/>
      <c r="IK248" s="73"/>
      <c r="IL248" s="73"/>
      <c r="IM248" s="73"/>
      <c r="IN248" s="73"/>
      <c r="IO248" s="73"/>
      <c r="IP248" s="73"/>
      <c r="IQ248" s="73"/>
      <c r="IR248" s="73"/>
      <c r="IS248" s="73"/>
      <c r="IT248" s="73"/>
      <c r="IU248" s="73"/>
      <c r="IV248" s="73"/>
      <c r="IW248" s="73"/>
      <c r="IX248" s="73"/>
      <c r="IY248" s="73"/>
      <c r="IZ248" s="73"/>
      <c r="JA248" s="73"/>
      <c r="JB248" s="73"/>
      <c r="JC248" s="73"/>
    </row>
    <row r="249" spans="2:263" s="72" customFormat="1">
      <c r="B249" s="73"/>
      <c r="C249" s="73"/>
      <c r="D249" s="73"/>
      <c r="E249" s="73"/>
      <c r="F249" s="73"/>
      <c r="G249" s="73"/>
      <c r="H249" s="73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GL249" s="73"/>
      <c r="GM249" s="73"/>
      <c r="GN249" s="73"/>
      <c r="GO249" s="73"/>
      <c r="GP249" s="73"/>
      <c r="GQ249" s="73"/>
      <c r="GR249" s="73"/>
      <c r="GS249" s="73"/>
      <c r="GT249" s="73"/>
      <c r="GU249" s="73"/>
      <c r="GV249" s="73"/>
      <c r="GW249" s="73"/>
      <c r="GX249" s="73"/>
      <c r="GY249" s="73"/>
      <c r="GZ249" s="73"/>
      <c r="HA249" s="73"/>
      <c r="HB249" s="73"/>
      <c r="HC249" s="73"/>
      <c r="HD249" s="73"/>
      <c r="HE249" s="73"/>
      <c r="HF249" s="73"/>
      <c r="HG249" s="73"/>
      <c r="HH249" s="73"/>
      <c r="HI249" s="73"/>
      <c r="HJ249" s="73"/>
      <c r="HK249" s="73"/>
      <c r="HL249" s="73"/>
      <c r="HM249" s="73"/>
      <c r="HN249" s="73"/>
      <c r="HO249" s="73"/>
      <c r="HP249" s="73"/>
      <c r="HQ249" s="73"/>
      <c r="HR249" s="73"/>
      <c r="HS249" s="73"/>
      <c r="HT249" s="73"/>
      <c r="HU249" s="73"/>
      <c r="HV249" s="73"/>
      <c r="HW249" s="73"/>
      <c r="HX249" s="73"/>
      <c r="HY249" s="73"/>
      <c r="HZ249" s="73"/>
      <c r="IA249" s="73"/>
      <c r="IB249" s="73"/>
      <c r="IC249" s="73"/>
      <c r="ID249" s="73"/>
      <c r="IE249" s="73"/>
      <c r="IF249" s="73"/>
      <c r="IG249" s="73"/>
      <c r="IH249" s="73"/>
      <c r="II249" s="73"/>
      <c r="IJ249" s="73"/>
      <c r="IK249" s="73"/>
      <c r="IL249" s="73"/>
      <c r="IM249" s="73"/>
      <c r="IN249" s="73"/>
      <c r="IO249" s="73"/>
      <c r="IP249" s="73"/>
      <c r="IQ249" s="73"/>
      <c r="IR249" s="73"/>
      <c r="IS249" s="73"/>
      <c r="IT249" s="73"/>
      <c r="IU249" s="73"/>
      <c r="IV249" s="73"/>
      <c r="IW249" s="73"/>
      <c r="IX249" s="73"/>
      <c r="IY249" s="73"/>
      <c r="IZ249" s="73"/>
      <c r="JA249" s="73"/>
      <c r="JB249" s="73"/>
      <c r="JC249" s="73"/>
    </row>
    <row r="250" spans="2:263" s="72" customFormat="1">
      <c r="B250" s="73"/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GL250" s="73"/>
      <c r="GM250" s="73"/>
      <c r="GN250" s="73"/>
      <c r="GO250" s="73"/>
      <c r="GP250" s="73"/>
      <c r="GQ250" s="73"/>
      <c r="GR250" s="73"/>
      <c r="GS250" s="73"/>
      <c r="GT250" s="73"/>
      <c r="GU250" s="73"/>
      <c r="GV250" s="73"/>
      <c r="GW250" s="73"/>
      <c r="GX250" s="73"/>
      <c r="GY250" s="73"/>
      <c r="GZ250" s="73"/>
      <c r="HA250" s="73"/>
      <c r="HB250" s="73"/>
      <c r="HC250" s="73"/>
      <c r="HD250" s="73"/>
      <c r="HE250" s="73"/>
      <c r="HF250" s="73"/>
      <c r="HG250" s="73"/>
      <c r="HH250" s="73"/>
      <c r="HI250" s="73"/>
      <c r="HJ250" s="73"/>
      <c r="HK250" s="73"/>
      <c r="HL250" s="73"/>
      <c r="HM250" s="73"/>
      <c r="HN250" s="73"/>
      <c r="HO250" s="73"/>
      <c r="HP250" s="73"/>
      <c r="HQ250" s="73"/>
      <c r="HR250" s="73"/>
      <c r="HS250" s="73"/>
      <c r="HT250" s="73"/>
      <c r="HU250" s="73"/>
      <c r="HV250" s="73"/>
      <c r="HW250" s="73"/>
      <c r="HX250" s="73"/>
      <c r="HY250" s="73"/>
      <c r="HZ250" s="73"/>
      <c r="IA250" s="73"/>
      <c r="IB250" s="73"/>
      <c r="IC250" s="73"/>
      <c r="ID250" s="73"/>
      <c r="IE250" s="73"/>
      <c r="IF250" s="73"/>
      <c r="IG250" s="73"/>
      <c r="IH250" s="73"/>
      <c r="II250" s="73"/>
      <c r="IJ250" s="73"/>
      <c r="IK250" s="73"/>
      <c r="IL250" s="73"/>
      <c r="IM250" s="73"/>
      <c r="IN250" s="73"/>
      <c r="IO250" s="73"/>
      <c r="IP250" s="73"/>
      <c r="IQ250" s="73"/>
      <c r="IR250" s="73"/>
      <c r="IS250" s="73"/>
      <c r="IT250" s="73"/>
      <c r="IU250" s="73"/>
      <c r="IV250" s="73"/>
      <c r="IW250" s="73"/>
      <c r="IX250" s="73"/>
      <c r="IY250" s="73"/>
      <c r="IZ250" s="73"/>
      <c r="JA250" s="73"/>
      <c r="JB250" s="73"/>
      <c r="JC250" s="73"/>
    </row>
    <row r="251" spans="2:263" s="72" customFormat="1">
      <c r="B251" s="73"/>
      <c r="C251" s="73"/>
      <c r="D251" s="73"/>
      <c r="E251" s="73"/>
      <c r="F251" s="73"/>
      <c r="G251" s="73"/>
      <c r="H251" s="73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GL251" s="73"/>
      <c r="GM251" s="73"/>
      <c r="GN251" s="73"/>
      <c r="GO251" s="73"/>
      <c r="GP251" s="73"/>
      <c r="GQ251" s="73"/>
      <c r="GR251" s="73"/>
      <c r="GS251" s="73"/>
      <c r="GT251" s="73"/>
      <c r="GU251" s="73"/>
      <c r="GV251" s="73"/>
      <c r="GW251" s="73"/>
      <c r="GX251" s="73"/>
      <c r="GY251" s="73"/>
      <c r="GZ251" s="73"/>
      <c r="HA251" s="73"/>
      <c r="HB251" s="73"/>
      <c r="HC251" s="73"/>
      <c r="HD251" s="73"/>
      <c r="HE251" s="73"/>
      <c r="HF251" s="73"/>
      <c r="HG251" s="73"/>
      <c r="HH251" s="73"/>
      <c r="HI251" s="73"/>
      <c r="HJ251" s="73"/>
      <c r="HK251" s="73"/>
      <c r="HL251" s="73"/>
      <c r="HM251" s="73"/>
      <c r="HN251" s="73"/>
      <c r="HO251" s="73"/>
      <c r="HP251" s="73"/>
      <c r="HQ251" s="73"/>
      <c r="HR251" s="73"/>
      <c r="HS251" s="73"/>
      <c r="HT251" s="73"/>
      <c r="HU251" s="73"/>
      <c r="HV251" s="73"/>
      <c r="HW251" s="73"/>
      <c r="HX251" s="73"/>
      <c r="HY251" s="73"/>
      <c r="HZ251" s="73"/>
      <c r="IA251" s="73"/>
      <c r="IB251" s="73"/>
      <c r="IC251" s="73"/>
      <c r="ID251" s="73"/>
      <c r="IE251" s="73"/>
      <c r="IF251" s="73"/>
      <c r="IG251" s="73"/>
      <c r="IH251" s="73"/>
      <c r="II251" s="73"/>
      <c r="IJ251" s="73"/>
      <c r="IK251" s="73"/>
      <c r="IL251" s="73"/>
      <c r="IM251" s="73"/>
      <c r="IN251" s="73"/>
      <c r="IO251" s="73"/>
      <c r="IP251" s="73"/>
      <c r="IQ251" s="73"/>
      <c r="IR251" s="73"/>
      <c r="IS251" s="73"/>
      <c r="IT251" s="73"/>
      <c r="IU251" s="73"/>
      <c r="IV251" s="73"/>
      <c r="IW251" s="73"/>
      <c r="IX251" s="73"/>
      <c r="IY251" s="73"/>
      <c r="IZ251" s="73"/>
      <c r="JA251" s="73"/>
      <c r="JB251" s="73"/>
      <c r="JC251" s="73"/>
    </row>
    <row r="252" spans="2:263" s="72" customFormat="1">
      <c r="B252" s="73"/>
      <c r="C252" s="73"/>
      <c r="D252" s="73"/>
      <c r="E252" s="73"/>
      <c r="F252" s="73"/>
      <c r="G252" s="73"/>
      <c r="H252" s="73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GL252" s="73"/>
      <c r="GM252" s="73"/>
      <c r="GN252" s="73"/>
      <c r="GO252" s="73"/>
      <c r="GP252" s="73"/>
      <c r="GQ252" s="73"/>
      <c r="GR252" s="73"/>
      <c r="GS252" s="73"/>
      <c r="GT252" s="73"/>
      <c r="GU252" s="73"/>
      <c r="GV252" s="73"/>
      <c r="GW252" s="73"/>
      <c r="GX252" s="73"/>
      <c r="GY252" s="73"/>
      <c r="GZ252" s="73"/>
      <c r="HA252" s="73"/>
      <c r="HB252" s="73"/>
      <c r="HC252" s="73"/>
      <c r="HD252" s="73"/>
      <c r="HE252" s="73"/>
      <c r="HF252" s="73"/>
      <c r="HG252" s="73"/>
      <c r="HH252" s="73"/>
      <c r="HI252" s="73"/>
      <c r="HJ252" s="73"/>
      <c r="HK252" s="73"/>
      <c r="HL252" s="73"/>
      <c r="HM252" s="73"/>
      <c r="HN252" s="73"/>
      <c r="HO252" s="73"/>
      <c r="HP252" s="73"/>
      <c r="HQ252" s="73"/>
      <c r="HR252" s="73"/>
      <c r="HS252" s="73"/>
      <c r="HT252" s="73"/>
      <c r="HU252" s="73"/>
      <c r="HV252" s="73"/>
      <c r="HW252" s="73"/>
      <c r="HX252" s="73"/>
      <c r="HY252" s="73"/>
      <c r="HZ252" s="73"/>
      <c r="IA252" s="73"/>
      <c r="IB252" s="73"/>
      <c r="IC252" s="73"/>
      <c r="ID252" s="73"/>
      <c r="IE252" s="73"/>
      <c r="IF252" s="73"/>
      <c r="IG252" s="73"/>
      <c r="IH252" s="73"/>
      <c r="II252" s="73"/>
      <c r="IJ252" s="73"/>
      <c r="IK252" s="73"/>
      <c r="IL252" s="73"/>
      <c r="IM252" s="73"/>
      <c r="IN252" s="73"/>
      <c r="IO252" s="73"/>
      <c r="IP252" s="73"/>
      <c r="IQ252" s="73"/>
      <c r="IR252" s="73"/>
      <c r="IS252" s="73"/>
      <c r="IT252" s="73"/>
      <c r="IU252" s="73"/>
      <c r="IV252" s="73"/>
      <c r="IW252" s="73"/>
      <c r="IX252" s="73"/>
      <c r="IY252" s="73"/>
      <c r="IZ252" s="73"/>
      <c r="JA252" s="73"/>
      <c r="JB252" s="73"/>
      <c r="JC252" s="73"/>
    </row>
    <row r="253" spans="2:263" s="72" customFormat="1">
      <c r="B253" s="73"/>
      <c r="C253" s="73"/>
      <c r="D253" s="73"/>
      <c r="E253" s="73"/>
      <c r="F253" s="73"/>
      <c r="G253" s="73"/>
      <c r="H253" s="73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GL253" s="73"/>
      <c r="GM253" s="73"/>
      <c r="GN253" s="73"/>
      <c r="GO253" s="73"/>
      <c r="GP253" s="73"/>
      <c r="GQ253" s="73"/>
      <c r="GR253" s="73"/>
      <c r="GS253" s="73"/>
      <c r="GT253" s="73"/>
      <c r="GU253" s="73"/>
      <c r="GV253" s="73"/>
      <c r="GW253" s="73"/>
      <c r="GX253" s="73"/>
      <c r="GY253" s="73"/>
      <c r="GZ253" s="73"/>
      <c r="HA253" s="73"/>
      <c r="HB253" s="73"/>
      <c r="HC253" s="73"/>
      <c r="HD253" s="73"/>
      <c r="HE253" s="73"/>
      <c r="HF253" s="73"/>
      <c r="HG253" s="73"/>
      <c r="HH253" s="73"/>
      <c r="HI253" s="73"/>
      <c r="HJ253" s="73"/>
      <c r="HK253" s="73"/>
      <c r="HL253" s="73"/>
      <c r="HM253" s="73"/>
      <c r="HN253" s="73"/>
      <c r="HO253" s="73"/>
      <c r="HP253" s="73"/>
      <c r="HQ253" s="73"/>
      <c r="HR253" s="73"/>
      <c r="HS253" s="73"/>
      <c r="HT253" s="73"/>
      <c r="HU253" s="73"/>
      <c r="HV253" s="73"/>
      <c r="HW253" s="73"/>
      <c r="HX253" s="73"/>
      <c r="HY253" s="73"/>
      <c r="HZ253" s="73"/>
      <c r="IA253" s="73"/>
      <c r="IB253" s="73"/>
      <c r="IC253" s="73"/>
      <c r="ID253" s="73"/>
      <c r="IE253" s="73"/>
      <c r="IF253" s="73"/>
      <c r="IG253" s="73"/>
      <c r="IH253" s="73"/>
      <c r="II253" s="73"/>
      <c r="IJ253" s="73"/>
      <c r="IK253" s="73"/>
      <c r="IL253" s="73"/>
      <c r="IM253" s="73"/>
      <c r="IN253" s="73"/>
      <c r="IO253" s="73"/>
      <c r="IP253" s="73"/>
      <c r="IQ253" s="73"/>
      <c r="IR253" s="73"/>
      <c r="IS253" s="73"/>
      <c r="IT253" s="73"/>
      <c r="IU253" s="73"/>
      <c r="IV253" s="73"/>
      <c r="IW253" s="73"/>
      <c r="IX253" s="73"/>
      <c r="IY253" s="73"/>
      <c r="IZ253" s="73"/>
      <c r="JA253" s="73"/>
      <c r="JB253" s="73"/>
      <c r="JC253" s="73"/>
    </row>
    <row r="254" spans="2:263" s="72" customFormat="1">
      <c r="B254" s="73"/>
      <c r="C254" s="73"/>
      <c r="D254" s="73"/>
      <c r="E254" s="73"/>
      <c r="F254" s="73"/>
      <c r="G254" s="73"/>
      <c r="H254" s="73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GL254" s="73"/>
      <c r="GM254" s="73"/>
      <c r="GN254" s="73"/>
      <c r="GO254" s="73"/>
      <c r="GP254" s="73"/>
      <c r="GQ254" s="73"/>
      <c r="GR254" s="73"/>
      <c r="GS254" s="73"/>
      <c r="GT254" s="73"/>
      <c r="GU254" s="73"/>
      <c r="GV254" s="73"/>
      <c r="GW254" s="73"/>
      <c r="GX254" s="73"/>
      <c r="GY254" s="73"/>
      <c r="GZ254" s="73"/>
      <c r="HA254" s="73"/>
      <c r="HB254" s="73"/>
      <c r="HC254" s="73"/>
      <c r="HD254" s="73"/>
      <c r="HE254" s="73"/>
      <c r="HF254" s="73"/>
      <c r="HG254" s="73"/>
      <c r="HH254" s="73"/>
      <c r="HI254" s="73"/>
      <c r="HJ254" s="73"/>
      <c r="HK254" s="73"/>
      <c r="HL254" s="73"/>
      <c r="HM254" s="73"/>
      <c r="HN254" s="73"/>
      <c r="HO254" s="73"/>
      <c r="HP254" s="73"/>
      <c r="HQ254" s="73"/>
      <c r="HR254" s="73"/>
      <c r="HS254" s="73"/>
      <c r="HT254" s="73"/>
      <c r="HU254" s="73"/>
      <c r="HV254" s="73"/>
      <c r="HW254" s="73"/>
      <c r="HX254" s="73"/>
      <c r="HY254" s="73"/>
      <c r="HZ254" s="73"/>
      <c r="IA254" s="73"/>
      <c r="IB254" s="73"/>
      <c r="IC254" s="73"/>
      <c r="ID254" s="73"/>
      <c r="IE254" s="73"/>
      <c r="IF254" s="73"/>
      <c r="IG254" s="73"/>
      <c r="IH254" s="73"/>
      <c r="II254" s="73"/>
      <c r="IJ254" s="73"/>
      <c r="IK254" s="73"/>
      <c r="IL254" s="73"/>
      <c r="IM254" s="73"/>
      <c r="IN254" s="73"/>
      <c r="IO254" s="73"/>
      <c r="IP254" s="73"/>
      <c r="IQ254" s="73"/>
      <c r="IR254" s="73"/>
      <c r="IS254" s="73"/>
      <c r="IT254" s="73"/>
      <c r="IU254" s="73"/>
      <c r="IV254" s="73"/>
      <c r="IW254" s="73"/>
      <c r="IX254" s="73"/>
      <c r="IY254" s="73"/>
      <c r="IZ254" s="73"/>
      <c r="JA254" s="73"/>
      <c r="JB254" s="73"/>
      <c r="JC254" s="73"/>
    </row>
    <row r="255" spans="2:263" s="72" customFormat="1">
      <c r="B255" s="73"/>
      <c r="C255" s="73"/>
      <c r="D255" s="73"/>
      <c r="E255" s="73"/>
      <c r="F255" s="73"/>
      <c r="G255" s="73"/>
      <c r="H255" s="73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GL255" s="73"/>
      <c r="GM255" s="73"/>
      <c r="GN255" s="73"/>
      <c r="GO255" s="73"/>
      <c r="GP255" s="73"/>
      <c r="GQ255" s="73"/>
      <c r="GR255" s="73"/>
      <c r="GS255" s="73"/>
      <c r="GT255" s="73"/>
      <c r="GU255" s="73"/>
      <c r="GV255" s="73"/>
      <c r="GW255" s="73"/>
      <c r="GX255" s="73"/>
      <c r="GY255" s="73"/>
      <c r="GZ255" s="73"/>
      <c r="HA255" s="73"/>
      <c r="HB255" s="73"/>
      <c r="HC255" s="73"/>
      <c r="HD255" s="73"/>
      <c r="HE255" s="73"/>
      <c r="HF255" s="73"/>
      <c r="HG255" s="73"/>
      <c r="HH255" s="73"/>
      <c r="HI255" s="73"/>
      <c r="HJ255" s="73"/>
      <c r="HK255" s="73"/>
      <c r="HL255" s="73"/>
      <c r="HM255" s="73"/>
      <c r="HN255" s="73"/>
      <c r="HO255" s="73"/>
      <c r="HP255" s="73"/>
      <c r="HQ255" s="73"/>
      <c r="HR255" s="73"/>
      <c r="HS255" s="73"/>
      <c r="HT255" s="73"/>
      <c r="HU255" s="73"/>
      <c r="HV255" s="73"/>
      <c r="HW255" s="73"/>
      <c r="HX255" s="73"/>
      <c r="HY255" s="73"/>
      <c r="HZ255" s="73"/>
      <c r="IA255" s="73"/>
      <c r="IB255" s="73"/>
      <c r="IC255" s="73"/>
      <c r="ID255" s="73"/>
      <c r="IE255" s="73"/>
      <c r="IF255" s="73"/>
      <c r="IG255" s="73"/>
      <c r="IH255" s="73"/>
      <c r="II255" s="73"/>
      <c r="IJ255" s="73"/>
      <c r="IK255" s="73"/>
      <c r="IL255" s="73"/>
      <c r="IM255" s="73"/>
      <c r="IN255" s="73"/>
      <c r="IO255" s="73"/>
      <c r="IP255" s="73"/>
      <c r="IQ255" s="73"/>
      <c r="IR255" s="73"/>
      <c r="IS255" s="73"/>
      <c r="IT255" s="73"/>
      <c r="IU255" s="73"/>
      <c r="IV255" s="73"/>
      <c r="IW255" s="73"/>
      <c r="IX255" s="73"/>
      <c r="IY255" s="73"/>
      <c r="IZ255" s="73"/>
      <c r="JA255" s="73"/>
      <c r="JB255" s="73"/>
      <c r="JC255" s="73"/>
    </row>
    <row r="256" spans="2:263" s="72" customFormat="1">
      <c r="B256" s="73"/>
      <c r="C256" s="73"/>
      <c r="D256" s="73"/>
      <c r="E256" s="73"/>
      <c r="F256" s="73"/>
      <c r="G256" s="73"/>
      <c r="H256" s="73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GL256" s="73"/>
      <c r="GM256" s="73"/>
      <c r="GN256" s="73"/>
      <c r="GO256" s="73"/>
      <c r="GP256" s="73"/>
      <c r="GQ256" s="73"/>
      <c r="GR256" s="73"/>
      <c r="GS256" s="73"/>
      <c r="GT256" s="73"/>
      <c r="GU256" s="73"/>
      <c r="GV256" s="73"/>
      <c r="GW256" s="73"/>
      <c r="GX256" s="73"/>
      <c r="GY256" s="73"/>
      <c r="GZ256" s="73"/>
      <c r="HA256" s="73"/>
      <c r="HB256" s="73"/>
      <c r="HC256" s="73"/>
      <c r="HD256" s="73"/>
      <c r="HE256" s="73"/>
      <c r="HF256" s="73"/>
      <c r="HG256" s="73"/>
      <c r="HH256" s="73"/>
      <c r="HI256" s="73"/>
      <c r="HJ256" s="73"/>
      <c r="HK256" s="73"/>
      <c r="HL256" s="73"/>
      <c r="HM256" s="73"/>
      <c r="HN256" s="73"/>
      <c r="HO256" s="73"/>
      <c r="HP256" s="73"/>
      <c r="HQ256" s="73"/>
      <c r="HR256" s="73"/>
      <c r="HS256" s="73"/>
      <c r="HT256" s="73"/>
      <c r="HU256" s="73"/>
      <c r="HV256" s="73"/>
      <c r="HW256" s="73"/>
      <c r="HX256" s="73"/>
      <c r="HY256" s="73"/>
      <c r="HZ256" s="73"/>
      <c r="IA256" s="73"/>
      <c r="IB256" s="73"/>
      <c r="IC256" s="73"/>
      <c r="ID256" s="73"/>
      <c r="IE256" s="73"/>
      <c r="IF256" s="73"/>
      <c r="IG256" s="73"/>
      <c r="IH256" s="73"/>
      <c r="II256" s="73"/>
      <c r="IJ256" s="73"/>
      <c r="IK256" s="73"/>
      <c r="IL256" s="73"/>
      <c r="IM256" s="73"/>
      <c r="IN256" s="73"/>
      <c r="IO256" s="73"/>
      <c r="IP256" s="73"/>
      <c r="IQ256" s="73"/>
      <c r="IR256" s="73"/>
      <c r="IS256" s="73"/>
      <c r="IT256" s="73"/>
      <c r="IU256" s="73"/>
      <c r="IV256" s="73"/>
      <c r="IW256" s="73"/>
      <c r="IX256" s="73"/>
      <c r="IY256" s="73"/>
      <c r="IZ256" s="73"/>
      <c r="JA256" s="73"/>
      <c r="JB256" s="73"/>
      <c r="JC256" s="73"/>
    </row>
    <row r="257" spans="2:263" s="72" customFormat="1">
      <c r="B257" s="73"/>
      <c r="C257" s="73"/>
      <c r="D257" s="73"/>
      <c r="E257" s="73"/>
      <c r="F257" s="73"/>
      <c r="G257" s="73"/>
      <c r="H257" s="73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GL257" s="73"/>
      <c r="GM257" s="73"/>
      <c r="GN257" s="73"/>
      <c r="GO257" s="73"/>
      <c r="GP257" s="73"/>
      <c r="GQ257" s="73"/>
      <c r="GR257" s="73"/>
      <c r="GS257" s="73"/>
      <c r="GT257" s="73"/>
      <c r="GU257" s="73"/>
      <c r="GV257" s="73"/>
      <c r="GW257" s="73"/>
      <c r="GX257" s="73"/>
      <c r="GY257" s="73"/>
      <c r="GZ257" s="73"/>
      <c r="HA257" s="73"/>
      <c r="HB257" s="73"/>
      <c r="HC257" s="73"/>
      <c r="HD257" s="73"/>
      <c r="HE257" s="73"/>
      <c r="HF257" s="73"/>
      <c r="HG257" s="73"/>
      <c r="HH257" s="73"/>
      <c r="HI257" s="73"/>
      <c r="HJ257" s="73"/>
      <c r="HK257" s="73"/>
      <c r="HL257" s="73"/>
      <c r="HM257" s="73"/>
      <c r="HN257" s="73"/>
      <c r="HO257" s="73"/>
      <c r="HP257" s="73"/>
      <c r="HQ257" s="73"/>
      <c r="HR257" s="73"/>
      <c r="HS257" s="73"/>
      <c r="HT257" s="73"/>
      <c r="HU257" s="73"/>
      <c r="HV257" s="73"/>
      <c r="HW257" s="73"/>
      <c r="HX257" s="73"/>
      <c r="HY257" s="73"/>
      <c r="HZ257" s="73"/>
      <c r="IA257" s="73"/>
      <c r="IB257" s="73"/>
      <c r="IC257" s="73"/>
      <c r="ID257" s="73"/>
      <c r="IE257" s="73"/>
      <c r="IF257" s="73"/>
      <c r="IG257" s="73"/>
      <c r="IH257" s="73"/>
      <c r="II257" s="73"/>
      <c r="IJ257" s="73"/>
      <c r="IK257" s="73"/>
      <c r="IL257" s="73"/>
      <c r="IM257" s="73"/>
      <c r="IN257" s="73"/>
      <c r="IO257" s="73"/>
      <c r="IP257" s="73"/>
      <c r="IQ257" s="73"/>
      <c r="IR257" s="73"/>
      <c r="IS257" s="73"/>
      <c r="IT257" s="73"/>
      <c r="IU257" s="73"/>
      <c r="IV257" s="73"/>
      <c r="IW257" s="73"/>
      <c r="IX257" s="73"/>
      <c r="IY257" s="73"/>
      <c r="IZ257" s="73"/>
      <c r="JA257" s="73"/>
      <c r="JB257" s="73"/>
      <c r="JC257" s="73"/>
    </row>
    <row r="258" spans="2:263" s="72" customFormat="1">
      <c r="B258" s="73"/>
      <c r="C258" s="73"/>
      <c r="D258" s="73"/>
      <c r="E258" s="73"/>
      <c r="F258" s="73"/>
      <c r="G258" s="73"/>
      <c r="H258" s="73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GL258" s="73"/>
      <c r="GM258" s="73"/>
      <c r="GN258" s="73"/>
      <c r="GO258" s="73"/>
      <c r="GP258" s="73"/>
      <c r="GQ258" s="73"/>
      <c r="GR258" s="73"/>
      <c r="GS258" s="73"/>
      <c r="GT258" s="73"/>
      <c r="GU258" s="73"/>
      <c r="GV258" s="73"/>
      <c r="GW258" s="73"/>
      <c r="GX258" s="73"/>
      <c r="GY258" s="73"/>
      <c r="GZ258" s="73"/>
      <c r="HA258" s="73"/>
      <c r="HB258" s="73"/>
      <c r="HC258" s="73"/>
      <c r="HD258" s="73"/>
      <c r="HE258" s="73"/>
      <c r="HF258" s="73"/>
      <c r="HG258" s="73"/>
      <c r="HH258" s="73"/>
      <c r="HI258" s="73"/>
      <c r="HJ258" s="73"/>
      <c r="HK258" s="73"/>
      <c r="HL258" s="73"/>
      <c r="HM258" s="73"/>
      <c r="HN258" s="73"/>
      <c r="HO258" s="73"/>
      <c r="HP258" s="73"/>
      <c r="HQ258" s="73"/>
      <c r="HR258" s="73"/>
      <c r="HS258" s="73"/>
      <c r="HT258" s="73"/>
      <c r="HU258" s="73"/>
      <c r="HV258" s="73"/>
      <c r="HW258" s="73"/>
      <c r="HX258" s="73"/>
      <c r="HY258" s="73"/>
      <c r="HZ258" s="73"/>
      <c r="IA258" s="73"/>
      <c r="IB258" s="73"/>
      <c r="IC258" s="73"/>
      <c r="ID258" s="73"/>
      <c r="IE258" s="73"/>
      <c r="IF258" s="73"/>
      <c r="IG258" s="73"/>
      <c r="IH258" s="73"/>
      <c r="II258" s="73"/>
      <c r="IJ258" s="73"/>
      <c r="IK258" s="73"/>
      <c r="IL258" s="73"/>
      <c r="IM258" s="73"/>
      <c r="IN258" s="73"/>
      <c r="IO258" s="73"/>
      <c r="IP258" s="73"/>
      <c r="IQ258" s="73"/>
      <c r="IR258" s="73"/>
      <c r="IS258" s="73"/>
      <c r="IT258" s="73"/>
      <c r="IU258" s="73"/>
      <c r="IV258" s="73"/>
      <c r="IW258" s="73"/>
      <c r="IX258" s="73"/>
      <c r="IY258" s="73"/>
      <c r="IZ258" s="73"/>
      <c r="JA258" s="73"/>
      <c r="JB258" s="73"/>
      <c r="JC258" s="73"/>
    </row>
    <row r="259" spans="2:263" s="72" customFormat="1">
      <c r="B259" s="73"/>
      <c r="C259" s="73"/>
      <c r="D259" s="73"/>
      <c r="E259" s="73"/>
      <c r="F259" s="73"/>
      <c r="G259" s="73"/>
      <c r="H259" s="73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GL259" s="73"/>
      <c r="GM259" s="73"/>
      <c r="GN259" s="73"/>
      <c r="GO259" s="73"/>
      <c r="GP259" s="73"/>
      <c r="GQ259" s="73"/>
      <c r="GR259" s="73"/>
      <c r="GS259" s="73"/>
      <c r="GT259" s="73"/>
      <c r="GU259" s="73"/>
      <c r="GV259" s="73"/>
      <c r="GW259" s="73"/>
      <c r="GX259" s="73"/>
      <c r="GY259" s="73"/>
      <c r="GZ259" s="73"/>
      <c r="HA259" s="73"/>
      <c r="HB259" s="73"/>
      <c r="HC259" s="73"/>
      <c r="HD259" s="73"/>
      <c r="HE259" s="73"/>
      <c r="HF259" s="73"/>
      <c r="HG259" s="73"/>
      <c r="HH259" s="73"/>
      <c r="HI259" s="73"/>
      <c r="HJ259" s="73"/>
      <c r="HK259" s="73"/>
      <c r="HL259" s="73"/>
      <c r="HM259" s="73"/>
      <c r="HN259" s="73"/>
      <c r="HO259" s="73"/>
      <c r="HP259" s="73"/>
      <c r="HQ259" s="73"/>
      <c r="HR259" s="73"/>
      <c r="HS259" s="73"/>
      <c r="HT259" s="73"/>
      <c r="HU259" s="73"/>
      <c r="HV259" s="73"/>
      <c r="HW259" s="73"/>
      <c r="HX259" s="73"/>
      <c r="HY259" s="73"/>
      <c r="HZ259" s="73"/>
      <c r="IA259" s="73"/>
      <c r="IB259" s="73"/>
      <c r="IC259" s="73"/>
      <c r="ID259" s="73"/>
      <c r="IE259" s="73"/>
      <c r="IF259" s="73"/>
      <c r="IG259" s="73"/>
      <c r="IH259" s="73"/>
      <c r="II259" s="73"/>
      <c r="IJ259" s="73"/>
      <c r="IK259" s="73"/>
      <c r="IL259" s="73"/>
      <c r="IM259" s="73"/>
      <c r="IN259" s="73"/>
      <c r="IO259" s="73"/>
      <c r="IP259" s="73"/>
      <c r="IQ259" s="73"/>
      <c r="IR259" s="73"/>
      <c r="IS259" s="73"/>
      <c r="IT259" s="73"/>
      <c r="IU259" s="73"/>
      <c r="IV259" s="73"/>
      <c r="IW259" s="73"/>
      <c r="IX259" s="73"/>
      <c r="IY259" s="73"/>
      <c r="IZ259" s="73"/>
      <c r="JA259" s="73"/>
      <c r="JB259" s="73"/>
      <c r="JC259" s="73"/>
    </row>
    <row r="260" spans="2:263" s="72" customFormat="1">
      <c r="B260" s="73"/>
      <c r="C260" s="73"/>
      <c r="D260" s="73"/>
      <c r="E260" s="73"/>
      <c r="F260" s="73"/>
      <c r="G260" s="73"/>
      <c r="H260" s="73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GL260" s="73"/>
      <c r="GM260" s="73"/>
      <c r="GN260" s="73"/>
      <c r="GO260" s="73"/>
      <c r="GP260" s="73"/>
      <c r="GQ260" s="73"/>
      <c r="GR260" s="73"/>
      <c r="GS260" s="73"/>
      <c r="GT260" s="73"/>
      <c r="GU260" s="73"/>
      <c r="GV260" s="73"/>
      <c r="GW260" s="73"/>
      <c r="GX260" s="73"/>
      <c r="GY260" s="73"/>
      <c r="GZ260" s="73"/>
      <c r="HA260" s="73"/>
      <c r="HB260" s="73"/>
      <c r="HC260" s="73"/>
      <c r="HD260" s="73"/>
      <c r="HE260" s="73"/>
      <c r="HF260" s="73"/>
      <c r="HG260" s="73"/>
      <c r="HH260" s="73"/>
      <c r="HI260" s="73"/>
      <c r="HJ260" s="73"/>
      <c r="HK260" s="73"/>
      <c r="HL260" s="73"/>
      <c r="HM260" s="73"/>
      <c r="HN260" s="73"/>
      <c r="HO260" s="73"/>
      <c r="HP260" s="73"/>
      <c r="HQ260" s="73"/>
      <c r="HR260" s="73"/>
      <c r="HS260" s="73"/>
      <c r="HT260" s="73"/>
      <c r="HU260" s="73"/>
      <c r="HV260" s="73"/>
      <c r="HW260" s="73"/>
      <c r="HX260" s="73"/>
      <c r="HY260" s="73"/>
      <c r="HZ260" s="73"/>
      <c r="IA260" s="73"/>
      <c r="IB260" s="73"/>
      <c r="IC260" s="73"/>
      <c r="ID260" s="73"/>
      <c r="IE260" s="73"/>
      <c r="IF260" s="73"/>
      <c r="IG260" s="73"/>
      <c r="IH260" s="73"/>
      <c r="II260" s="73"/>
      <c r="IJ260" s="73"/>
      <c r="IK260" s="73"/>
      <c r="IL260" s="73"/>
      <c r="IM260" s="73"/>
      <c r="IN260" s="73"/>
      <c r="IO260" s="73"/>
      <c r="IP260" s="73"/>
      <c r="IQ260" s="73"/>
      <c r="IR260" s="73"/>
      <c r="IS260" s="73"/>
      <c r="IT260" s="73"/>
      <c r="IU260" s="73"/>
      <c r="IV260" s="73"/>
      <c r="IW260" s="73"/>
      <c r="IX260" s="73"/>
      <c r="IY260" s="73"/>
      <c r="IZ260" s="73"/>
      <c r="JA260" s="73"/>
      <c r="JB260" s="73"/>
      <c r="JC260" s="73"/>
    </row>
    <row r="261" spans="2:263" s="72" customFormat="1">
      <c r="B261" s="73"/>
      <c r="C261" s="73"/>
      <c r="D261" s="73"/>
      <c r="E261" s="73"/>
      <c r="F261" s="73"/>
      <c r="G261" s="73"/>
      <c r="H261" s="73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GL261" s="73"/>
      <c r="GM261" s="73"/>
      <c r="GN261" s="73"/>
      <c r="GO261" s="73"/>
      <c r="GP261" s="73"/>
      <c r="GQ261" s="73"/>
      <c r="GR261" s="73"/>
      <c r="GS261" s="73"/>
      <c r="GT261" s="73"/>
      <c r="GU261" s="73"/>
      <c r="GV261" s="73"/>
      <c r="GW261" s="73"/>
      <c r="GX261" s="73"/>
      <c r="GY261" s="73"/>
      <c r="GZ261" s="73"/>
      <c r="HA261" s="73"/>
      <c r="HB261" s="73"/>
      <c r="HC261" s="73"/>
      <c r="HD261" s="73"/>
      <c r="HE261" s="73"/>
      <c r="HF261" s="73"/>
      <c r="HG261" s="73"/>
      <c r="HH261" s="73"/>
      <c r="HI261" s="73"/>
      <c r="HJ261" s="73"/>
      <c r="HK261" s="73"/>
      <c r="HL261" s="73"/>
      <c r="HM261" s="73"/>
      <c r="HN261" s="73"/>
      <c r="HO261" s="73"/>
      <c r="HP261" s="73"/>
      <c r="HQ261" s="73"/>
      <c r="HR261" s="73"/>
      <c r="HS261" s="73"/>
      <c r="HT261" s="73"/>
      <c r="HU261" s="73"/>
      <c r="HV261" s="73"/>
      <c r="HW261" s="73"/>
      <c r="HX261" s="73"/>
      <c r="HY261" s="73"/>
      <c r="HZ261" s="73"/>
      <c r="IA261" s="73"/>
      <c r="IB261" s="73"/>
      <c r="IC261" s="73"/>
      <c r="ID261" s="73"/>
      <c r="IE261" s="73"/>
      <c r="IF261" s="73"/>
      <c r="IG261" s="73"/>
      <c r="IH261" s="73"/>
      <c r="II261" s="73"/>
      <c r="IJ261" s="73"/>
      <c r="IK261" s="73"/>
      <c r="IL261" s="73"/>
      <c r="IM261" s="73"/>
      <c r="IN261" s="73"/>
      <c r="IO261" s="73"/>
      <c r="IP261" s="73"/>
      <c r="IQ261" s="73"/>
      <c r="IR261" s="73"/>
      <c r="IS261" s="73"/>
      <c r="IT261" s="73"/>
      <c r="IU261" s="73"/>
      <c r="IV261" s="73"/>
      <c r="IW261" s="73"/>
      <c r="IX261" s="73"/>
      <c r="IY261" s="73"/>
      <c r="IZ261" s="73"/>
      <c r="JA261" s="73"/>
      <c r="JB261" s="73"/>
      <c r="JC261" s="73"/>
    </row>
    <row r="262" spans="2:263" s="72" customFormat="1">
      <c r="B262" s="73"/>
      <c r="C262" s="73"/>
      <c r="D262" s="73"/>
      <c r="E262" s="73"/>
      <c r="F262" s="73"/>
      <c r="G262" s="73"/>
      <c r="H262" s="73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GL262" s="73"/>
      <c r="GM262" s="73"/>
      <c r="GN262" s="73"/>
      <c r="GO262" s="73"/>
      <c r="GP262" s="73"/>
      <c r="GQ262" s="73"/>
      <c r="GR262" s="73"/>
      <c r="GS262" s="73"/>
      <c r="GT262" s="73"/>
      <c r="GU262" s="73"/>
      <c r="GV262" s="73"/>
      <c r="GW262" s="73"/>
      <c r="GX262" s="73"/>
      <c r="GY262" s="73"/>
      <c r="GZ262" s="73"/>
      <c r="HA262" s="73"/>
      <c r="HB262" s="73"/>
      <c r="HC262" s="73"/>
      <c r="HD262" s="73"/>
      <c r="HE262" s="73"/>
      <c r="HF262" s="73"/>
      <c r="HG262" s="73"/>
      <c r="HH262" s="73"/>
      <c r="HI262" s="73"/>
      <c r="HJ262" s="73"/>
      <c r="HK262" s="73"/>
      <c r="HL262" s="73"/>
      <c r="HM262" s="73"/>
      <c r="HN262" s="73"/>
      <c r="HO262" s="73"/>
      <c r="HP262" s="73"/>
      <c r="HQ262" s="73"/>
      <c r="HR262" s="73"/>
      <c r="HS262" s="73"/>
      <c r="HT262" s="73"/>
      <c r="HU262" s="73"/>
      <c r="HV262" s="73"/>
      <c r="HW262" s="73"/>
      <c r="HX262" s="73"/>
      <c r="HY262" s="73"/>
      <c r="HZ262" s="73"/>
      <c r="IA262" s="73"/>
      <c r="IB262" s="73"/>
      <c r="IC262" s="73"/>
      <c r="ID262" s="73"/>
      <c r="IE262" s="73"/>
      <c r="IF262" s="73"/>
      <c r="IG262" s="73"/>
      <c r="IH262" s="73"/>
      <c r="II262" s="73"/>
      <c r="IJ262" s="73"/>
      <c r="IK262" s="73"/>
      <c r="IL262" s="73"/>
      <c r="IM262" s="73"/>
      <c r="IN262" s="73"/>
      <c r="IO262" s="73"/>
      <c r="IP262" s="73"/>
      <c r="IQ262" s="73"/>
      <c r="IR262" s="73"/>
      <c r="IS262" s="73"/>
      <c r="IT262" s="73"/>
      <c r="IU262" s="73"/>
      <c r="IV262" s="73"/>
      <c r="IW262" s="73"/>
      <c r="IX262" s="73"/>
      <c r="IY262" s="73"/>
      <c r="IZ262" s="73"/>
      <c r="JA262" s="73"/>
      <c r="JB262" s="73"/>
      <c r="JC262" s="73"/>
    </row>
    <row r="263" spans="2:263" s="72" customFormat="1">
      <c r="B263" s="73"/>
      <c r="C263" s="73"/>
      <c r="D263" s="73"/>
      <c r="E263" s="73"/>
      <c r="F263" s="73"/>
      <c r="G263" s="73"/>
      <c r="H263" s="73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GL263" s="73"/>
      <c r="GM263" s="73"/>
      <c r="GN263" s="73"/>
      <c r="GO263" s="73"/>
      <c r="GP263" s="73"/>
      <c r="GQ263" s="73"/>
      <c r="GR263" s="73"/>
      <c r="GS263" s="73"/>
      <c r="GT263" s="73"/>
      <c r="GU263" s="73"/>
      <c r="GV263" s="73"/>
      <c r="GW263" s="73"/>
      <c r="GX263" s="73"/>
      <c r="GY263" s="73"/>
      <c r="GZ263" s="73"/>
      <c r="HA263" s="73"/>
      <c r="HB263" s="73"/>
      <c r="HC263" s="73"/>
      <c r="HD263" s="73"/>
      <c r="HE263" s="73"/>
      <c r="HF263" s="73"/>
      <c r="HG263" s="73"/>
      <c r="HH263" s="73"/>
      <c r="HI263" s="73"/>
      <c r="HJ263" s="73"/>
      <c r="HK263" s="73"/>
      <c r="HL263" s="73"/>
      <c r="HM263" s="73"/>
      <c r="HN263" s="73"/>
      <c r="HO263" s="73"/>
      <c r="HP263" s="73"/>
      <c r="HQ263" s="73"/>
      <c r="HR263" s="73"/>
      <c r="HS263" s="73"/>
      <c r="HT263" s="73"/>
      <c r="HU263" s="73"/>
      <c r="HV263" s="73"/>
      <c r="HW263" s="73"/>
      <c r="HX263" s="73"/>
      <c r="HY263" s="73"/>
      <c r="HZ263" s="73"/>
      <c r="IA263" s="73"/>
      <c r="IB263" s="73"/>
      <c r="IC263" s="73"/>
      <c r="ID263" s="73"/>
      <c r="IE263" s="73"/>
      <c r="IF263" s="73"/>
      <c r="IG263" s="73"/>
      <c r="IH263" s="73"/>
      <c r="II263" s="73"/>
      <c r="IJ263" s="73"/>
      <c r="IK263" s="73"/>
      <c r="IL263" s="73"/>
      <c r="IM263" s="73"/>
      <c r="IN263" s="73"/>
      <c r="IO263" s="73"/>
      <c r="IP263" s="73"/>
      <c r="IQ263" s="73"/>
      <c r="IR263" s="73"/>
      <c r="IS263" s="73"/>
      <c r="IT263" s="73"/>
      <c r="IU263" s="73"/>
      <c r="IV263" s="73"/>
      <c r="IW263" s="73"/>
      <c r="IX263" s="73"/>
      <c r="IY263" s="73"/>
      <c r="IZ263" s="73"/>
      <c r="JA263" s="73"/>
      <c r="JB263" s="73"/>
      <c r="JC263" s="73"/>
    </row>
    <row r="264" spans="2:263" s="72" customFormat="1">
      <c r="B264" s="73"/>
      <c r="C264" s="73"/>
      <c r="D264" s="73"/>
      <c r="E264" s="73"/>
      <c r="F264" s="73"/>
      <c r="G264" s="73"/>
      <c r="H264" s="73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GL264" s="73"/>
      <c r="GM264" s="73"/>
      <c r="GN264" s="73"/>
      <c r="GO264" s="73"/>
      <c r="GP264" s="73"/>
      <c r="GQ264" s="73"/>
      <c r="GR264" s="73"/>
      <c r="GS264" s="73"/>
      <c r="GT264" s="73"/>
      <c r="GU264" s="73"/>
      <c r="GV264" s="73"/>
      <c r="GW264" s="73"/>
      <c r="GX264" s="73"/>
      <c r="GY264" s="73"/>
      <c r="GZ264" s="73"/>
      <c r="HA264" s="73"/>
      <c r="HB264" s="73"/>
      <c r="HC264" s="73"/>
      <c r="HD264" s="73"/>
      <c r="HE264" s="73"/>
      <c r="HF264" s="73"/>
      <c r="HG264" s="73"/>
      <c r="HH264" s="73"/>
      <c r="HI264" s="73"/>
      <c r="HJ264" s="73"/>
      <c r="HK264" s="73"/>
      <c r="HL264" s="73"/>
      <c r="HM264" s="73"/>
      <c r="HN264" s="73"/>
      <c r="HO264" s="73"/>
      <c r="HP264" s="73"/>
      <c r="HQ264" s="73"/>
      <c r="HR264" s="73"/>
      <c r="HS264" s="73"/>
      <c r="HT264" s="73"/>
      <c r="HU264" s="73"/>
      <c r="HV264" s="73"/>
      <c r="HW264" s="73"/>
      <c r="HX264" s="73"/>
      <c r="HY264" s="73"/>
      <c r="HZ264" s="73"/>
      <c r="IA264" s="73"/>
      <c r="IB264" s="73"/>
      <c r="IC264" s="73"/>
      <c r="ID264" s="73"/>
      <c r="IE264" s="73"/>
      <c r="IF264" s="73"/>
      <c r="IG264" s="73"/>
      <c r="IH264" s="73"/>
      <c r="II264" s="73"/>
      <c r="IJ264" s="73"/>
      <c r="IK264" s="73"/>
      <c r="IL264" s="73"/>
      <c r="IM264" s="73"/>
      <c r="IN264" s="73"/>
      <c r="IO264" s="73"/>
      <c r="IP264" s="73"/>
      <c r="IQ264" s="73"/>
      <c r="IR264" s="73"/>
      <c r="IS264" s="73"/>
      <c r="IT264" s="73"/>
      <c r="IU264" s="73"/>
      <c r="IV264" s="73"/>
      <c r="IW264" s="73"/>
      <c r="IX264" s="73"/>
      <c r="IY264" s="73"/>
      <c r="IZ264" s="73"/>
      <c r="JA264" s="73"/>
      <c r="JB264" s="73"/>
      <c r="JC264" s="73"/>
    </row>
    <row r="265" spans="2:263" s="72" customFormat="1">
      <c r="B265" s="73"/>
      <c r="C265" s="73"/>
      <c r="D265" s="73"/>
      <c r="E265" s="73"/>
      <c r="F265" s="73"/>
      <c r="G265" s="73"/>
      <c r="H265" s="73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GL265" s="73"/>
      <c r="GM265" s="73"/>
      <c r="GN265" s="73"/>
      <c r="GO265" s="73"/>
      <c r="GP265" s="73"/>
      <c r="GQ265" s="73"/>
      <c r="GR265" s="73"/>
      <c r="GS265" s="73"/>
      <c r="GT265" s="73"/>
      <c r="GU265" s="73"/>
      <c r="GV265" s="73"/>
      <c r="GW265" s="73"/>
      <c r="GX265" s="73"/>
      <c r="GY265" s="73"/>
      <c r="GZ265" s="73"/>
      <c r="HA265" s="73"/>
      <c r="HB265" s="73"/>
      <c r="HC265" s="73"/>
      <c r="HD265" s="73"/>
      <c r="HE265" s="73"/>
      <c r="HF265" s="73"/>
      <c r="HG265" s="73"/>
      <c r="HH265" s="73"/>
      <c r="HI265" s="73"/>
      <c r="HJ265" s="73"/>
      <c r="HK265" s="73"/>
      <c r="HL265" s="73"/>
      <c r="HM265" s="73"/>
      <c r="HN265" s="73"/>
      <c r="HO265" s="73"/>
      <c r="HP265" s="73"/>
      <c r="HQ265" s="73"/>
      <c r="HR265" s="73"/>
      <c r="HS265" s="73"/>
      <c r="HT265" s="73"/>
      <c r="HU265" s="73"/>
      <c r="HV265" s="73"/>
      <c r="HW265" s="73"/>
      <c r="HX265" s="73"/>
      <c r="HY265" s="73"/>
      <c r="HZ265" s="73"/>
      <c r="IA265" s="73"/>
      <c r="IB265" s="73"/>
      <c r="IC265" s="73"/>
      <c r="ID265" s="73"/>
      <c r="IE265" s="73"/>
      <c r="IF265" s="73"/>
      <c r="IG265" s="73"/>
      <c r="IH265" s="73"/>
      <c r="II265" s="73"/>
      <c r="IJ265" s="73"/>
      <c r="IK265" s="73"/>
      <c r="IL265" s="73"/>
      <c r="IM265" s="73"/>
      <c r="IN265" s="73"/>
      <c r="IO265" s="73"/>
      <c r="IP265" s="73"/>
      <c r="IQ265" s="73"/>
      <c r="IR265" s="73"/>
      <c r="IS265" s="73"/>
      <c r="IT265" s="73"/>
      <c r="IU265" s="73"/>
      <c r="IV265" s="73"/>
      <c r="IW265" s="73"/>
      <c r="IX265" s="73"/>
      <c r="IY265" s="73"/>
      <c r="IZ265" s="73"/>
      <c r="JA265" s="73"/>
      <c r="JB265" s="73"/>
      <c r="JC265" s="73"/>
    </row>
    <row r="266" spans="2:263" s="72" customFormat="1">
      <c r="B266" s="73"/>
      <c r="C266" s="73"/>
      <c r="D266" s="73"/>
      <c r="E266" s="73"/>
      <c r="F266" s="73"/>
      <c r="G266" s="73"/>
      <c r="H266" s="73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GL266" s="73"/>
      <c r="GM266" s="73"/>
      <c r="GN266" s="73"/>
      <c r="GO266" s="73"/>
      <c r="GP266" s="73"/>
      <c r="GQ266" s="73"/>
      <c r="GR266" s="73"/>
      <c r="GS266" s="73"/>
      <c r="GT266" s="73"/>
      <c r="GU266" s="73"/>
      <c r="GV266" s="73"/>
      <c r="GW266" s="73"/>
      <c r="GX266" s="73"/>
      <c r="GY266" s="73"/>
      <c r="GZ266" s="73"/>
      <c r="HA266" s="73"/>
      <c r="HB266" s="73"/>
      <c r="HC266" s="73"/>
      <c r="HD266" s="73"/>
      <c r="HE266" s="73"/>
      <c r="HF266" s="73"/>
      <c r="HG266" s="73"/>
      <c r="HH266" s="73"/>
      <c r="HI266" s="73"/>
      <c r="HJ266" s="73"/>
      <c r="HK266" s="73"/>
      <c r="HL266" s="73"/>
      <c r="HM266" s="73"/>
      <c r="HN266" s="73"/>
      <c r="HO266" s="73"/>
      <c r="HP266" s="73"/>
      <c r="HQ266" s="73"/>
      <c r="HR266" s="73"/>
      <c r="HS266" s="73"/>
      <c r="HT266" s="73"/>
      <c r="HU266" s="73"/>
      <c r="HV266" s="73"/>
      <c r="HW266" s="73"/>
      <c r="HX266" s="73"/>
      <c r="HY266" s="73"/>
      <c r="HZ266" s="73"/>
      <c r="IA266" s="73"/>
      <c r="IB266" s="73"/>
      <c r="IC266" s="73"/>
      <c r="ID266" s="73"/>
      <c r="IE266" s="73"/>
      <c r="IF266" s="73"/>
      <c r="IG266" s="73"/>
      <c r="IH266" s="73"/>
      <c r="II266" s="73"/>
      <c r="IJ266" s="73"/>
      <c r="IK266" s="73"/>
      <c r="IL266" s="73"/>
      <c r="IM266" s="73"/>
      <c r="IN266" s="73"/>
      <c r="IO266" s="73"/>
      <c r="IP266" s="73"/>
      <c r="IQ266" s="73"/>
      <c r="IR266" s="73"/>
      <c r="IS266" s="73"/>
      <c r="IT266" s="73"/>
      <c r="IU266" s="73"/>
      <c r="IV266" s="73"/>
      <c r="IW266" s="73"/>
      <c r="IX266" s="73"/>
      <c r="IY266" s="73"/>
      <c r="IZ266" s="73"/>
      <c r="JA266" s="73"/>
      <c r="JB266" s="73"/>
      <c r="JC266" s="73"/>
    </row>
    <row r="267" spans="2:263" s="72" customFormat="1">
      <c r="B267" s="73"/>
      <c r="C267" s="73"/>
      <c r="D267" s="73"/>
      <c r="E267" s="73"/>
      <c r="F267" s="73"/>
      <c r="G267" s="73"/>
      <c r="H267" s="73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GL267" s="73"/>
      <c r="GM267" s="73"/>
      <c r="GN267" s="73"/>
      <c r="GO267" s="73"/>
      <c r="GP267" s="73"/>
      <c r="GQ267" s="73"/>
      <c r="GR267" s="73"/>
      <c r="GS267" s="73"/>
      <c r="GT267" s="73"/>
      <c r="GU267" s="73"/>
      <c r="GV267" s="73"/>
      <c r="GW267" s="73"/>
      <c r="GX267" s="73"/>
      <c r="GY267" s="73"/>
      <c r="GZ267" s="73"/>
      <c r="HA267" s="73"/>
      <c r="HB267" s="73"/>
      <c r="HC267" s="73"/>
      <c r="HD267" s="73"/>
      <c r="HE267" s="73"/>
      <c r="HF267" s="73"/>
      <c r="HG267" s="73"/>
      <c r="HH267" s="73"/>
      <c r="HI267" s="73"/>
      <c r="HJ267" s="73"/>
      <c r="HK267" s="73"/>
      <c r="HL267" s="73"/>
      <c r="HM267" s="73"/>
      <c r="HN267" s="73"/>
      <c r="HO267" s="73"/>
      <c r="HP267" s="73"/>
      <c r="HQ267" s="73"/>
      <c r="HR267" s="73"/>
      <c r="HS267" s="73"/>
      <c r="HT267" s="73"/>
      <c r="HU267" s="73"/>
      <c r="HV267" s="73"/>
      <c r="HW267" s="73"/>
      <c r="HX267" s="73"/>
      <c r="HY267" s="73"/>
      <c r="HZ267" s="73"/>
      <c r="IA267" s="73"/>
      <c r="IB267" s="73"/>
      <c r="IC267" s="73"/>
      <c r="ID267" s="73"/>
      <c r="IE267" s="73"/>
      <c r="IF267" s="73"/>
      <c r="IG267" s="73"/>
      <c r="IH267" s="73"/>
      <c r="II267" s="73"/>
      <c r="IJ267" s="73"/>
      <c r="IK267" s="73"/>
      <c r="IL267" s="73"/>
      <c r="IM267" s="73"/>
      <c r="IN267" s="73"/>
      <c r="IO267" s="73"/>
      <c r="IP267" s="73"/>
      <c r="IQ267" s="73"/>
      <c r="IR267" s="73"/>
      <c r="IS267" s="73"/>
      <c r="IT267" s="73"/>
      <c r="IU267" s="73"/>
      <c r="IV267" s="73"/>
      <c r="IW267" s="73"/>
      <c r="IX267" s="73"/>
      <c r="IY267" s="73"/>
      <c r="IZ267" s="73"/>
      <c r="JA267" s="73"/>
      <c r="JB267" s="73"/>
      <c r="JC267" s="73"/>
    </row>
    <row r="268" spans="2:263" s="72" customFormat="1">
      <c r="B268" s="73"/>
      <c r="C268" s="73"/>
      <c r="D268" s="73"/>
      <c r="E268" s="73"/>
      <c r="F268" s="73"/>
      <c r="G268" s="73"/>
      <c r="H268" s="73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GL268" s="73"/>
      <c r="GM268" s="73"/>
      <c r="GN268" s="73"/>
      <c r="GO268" s="73"/>
      <c r="GP268" s="73"/>
      <c r="GQ268" s="73"/>
      <c r="GR268" s="73"/>
      <c r="GS268" s="73"/>
      <c r="GT268" s="73"/>
      <c r="GU268" s="73"/>
      <c r="GV268" s="73"/>
      <c r="GW268" s="73"/>
      <c r="GX268" s="73"/>
      <c r="GY268" s="73"/>
      <c r="GZ268" s="73"/>
      <c r="HA268" s="73"/>
      <c r="HB268" s="73"/>
      <c r="HC268" s="73"/>
      <c r="HD268" s="73"/>
      <c r="HE268" s="73"/>
      <c r="HF268" s="73"/>
      <c r="HG268" s="73"/>
      <c r="HH268" s="73"/>
      <c r="HI268" s="73"/>
      <c r="HJ268" s="73"/>
      <c r="HK268" s="73"/>
      <c r="HL268" s="73"/>
      <c r="HM268" s="73"/>
      <c r="HN268" s="73"/>
      <c r="HO268" s="73"/>
      <c r="HP268" s="73"/>
      <c r="HQ268" s="73"/>
      <c r="HR268" s="73"/>
      <c r="HS268" s="73"/>
      <c r="HT268" s="73"/>
      <c r="HU268" s="73"/>
      <c r="HV268" s="73"/>
      <c r="HW268" s="73"/>
      <c r="HX268" s="73"/>
      <c r="HY268" s="73"/>
      <c r="HZ268" s="73"/>
      <c r="IA268" s="73"/>
      <c r="IB268" s="73"/>
      <c r="IC268" s="73"/>
      <c r="ID268" s="73"/>
      <c r="IE268" s="73"/>
      <c r="IF268" s="73"/>
      <c r="IG268" s="73"/>
      <c r="IH268" s="73"/>
      <c r="II268" s="73"/>
      <c r="IJ268" s="73"/>
      <c r="IK268" s="73"/>
      <c r="IL268" s="73"/>
      <c r="IM268" s="73"/>
      <c r="IN268" s="73"/>
      <c r="IO268" s="73"/>
      <c r="IP268" s="73"/>
      <c r="IQ268" s="73"/>
      <c r="IR268" s="73"/>
      <c r="IS268" s="73"/>
      <c r="IT268" s="73"/>
      <c r="IU268" s="73"/>
      <c r="IV268" s="73"/>
      <c r="IW268" s="73"/>
      <c r="IX268" s="73"/>
      <c r="IY268" s="73"/>
      <c r="IZ268" s="73"/>
      <c r="JA268" s="73"/>
      <c r="JB268" s="73"/>
      <c r="JC268" s="73"/>
    </row>
    <row r="269" spans="2:263" s="72" customFormat="1">
      <c r="B269" s="73"/>
      <c r="C269" s="73"/>
      <c r="D269" s="73"/>
      <c r="E269" s="73"/>
      <c r="F269" s="73"/>
      <c r="G269" s="73"/>
      <c r="H269" s="73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GL269" s="73"/>
      <c r="GM269" s="73"/>
      <c r="GN269" s="73"/>
      <c r="GO269" s="73"/>
      <c r="GP269" s="73"/>
      <c r="GQ269" s="73"/>
      <c r="GR269" s="73"/>
      <c r="GS269" s="73"/>
      <c r="GT269" s="73"/>
      <c r="GU269" s="73"/>
      <c r="GV269" s="73"/>
      <c r="GW269" s="73"/>
      <c r="GX269" s="73"/>
      <c r="GY269" s="73"/>
      <c r="GZ269" s="73"/>
      <c r="HA269" s="73"/>
      <c r="HB269" s="73"/>
      <c r="HC269" s="73"/>
      <c r="HD269" s="73"/>
      <c r="HE269" s="73"/>
      <c r="HF269" s="73"/>
      <c r="HG269" s="73"/>
      <c r="HH269" s="73"/>
      <c r="HI269" s="73"/>
      <c r="HJ269" s="73"/>
      <c r="HK269" s="73"/>
      <c r="HL269" s="73"/>
      <c r="HM269" s="73"/>
      <c r="HN269" s="73"/>
      <c r="HO269" s="73"/>
      <c r="HP269" s="73"/>
      <c r="HQ269" s="73"/>
      <c r="HR269" s="73"/>
      <c r="HS269" s="73"/>
      <c r="HT269" s="73"/>
      <c r="HU269" s="73"/>
      <c r="HV269" s="73"/>
      <c r="HW269" s="73"/>
      <c r="HX269" s="73"/>
      <c r="HY269" s="73"/>
      <c r="HZ269" s="73"/>
      <c r="IA269" s="73"/>
      <c r="IB269" s="73"/>
      <c r="IC269" s="73"/>
      <c r="ID269" s="73"/>
      <c r="IE269" s="73"/>
      <c r="IF269" s="73"/>
      <c r="IG269" s="73"/>
      <c r="IH269" s="73"/>
      <c r="II269" s="73"/>
      <c r="IJ269" s="73"/>
      <c r="IK269" s="73"/>
      <c r="IL269" s="73"/>
      <c r="IM269" s="73"/>
      <c r="IN269" s="73"/>
      <c r="IO269" s="73"/>
      <c r="IP269" s="73"/>
      <c r="IQ269" s="73"/>
      <c r="IR269" s="73"/>
      <c r="IS269" s="73"/>
      <c r="IT269" s="73"/>
      <c r="IU269" s="73"/>
      <c r="IV269" s="73"/>
      <c r="IW269" s="73"/>
      <c r="IX269" s="73"/>
      <c r="IY269" s="73"/>
      <c r="IZ269" s="73"/>
      <c r="JA269" s="73"/>
      <c r="JB269" s="73"/>
      <c r="JC269" s="73"/>
    </row>
    <row r="270" spans="2:263" s="72" customFormat="1">
      <c r="B270" s="73"/>
      <c r="C270" s="73"/>
      <c r="D270" s="73"/>
      <c r="E270" s="73"/>
      <c r="F270" s="73"/>
      <c r="G270" s="73"/>
      <c r="H270" s="73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GL270" s="73"/>
      <c r="GM270" s="73"/>
      <c r="GN270" s="73"/>
      <c r="GO270" s="73"/>
      <c r="GP270" s="73"/>
      <c r="GQ270" s="73"/>
      <c r="GR270" s="73"/>
      <c r="GS270" s="73"/>
      <c r="GT270" s="73"/>
      <c r="GU270" s="73"/>
      <c r="GV270" s="73"/>
      <c r="GW270" s="73"/>
      <c r="GX270" s="73"/>
      <c r="GY270" s="73"/>
      <c r="GZ270" s="73"/>
      <c r="HA270" s="73"/>
      <c r="HB270" s="73"/>
      <c r="HC270" s="73"/>
      <c r="HD270" s="73"/>
      <c r="HE270" s="73"/>
      <c r="HF270" s="73"/>
      <c r="HG270" s="73"/>
      <c r="HH270" s="73"/>
      <c r="HI270" s="73"/>
      <c r="HJ270" s="73"/>
      <c r="HK270" s="73"/>
      <c r="HL270" s="73"/>
      <c r="HM270" s="73"/>
      <c r="HN270" s="73"/>
      <c r="HO270" s="73"/>
      <c r="HP270" s="73"/>
      <c r="HQ270" s="73"/>
      <c r="HR270" s="73"/>
      <c r="HS270" s="73"/>
      <c r="HT270" s="73"/>
      <c r="HU270" s="73"/>
      <c r="HV270" s="73"/>
      <c r="HW270" s="73"/>
      <c r="HX270" s="73"/>
      <c r="HY270" s="73"/>
      <c r="HZ270" s="73"/>
      <c r="IA270" s="73"/>
      <c r="IB270" s="73"/>
      <c r="IC270" s="73"/>
      <c r="ID270" s="73"/>
      <c r="IE270" s="73"/>
      <c r="IF270" s="73"/>
      <c r="IG270" s="73"/>
      <c r="IH270" s="73"/>
      <c r="II270" s="73"/>
      <c r="IJ270" s="73"/>
      <c r="IK270" s="73"/>
      <c r="IL270" s="73"/>
      <c r="IM270" s="73"/>
      <c r="IN270" s="73"/>
      <c r="IO270" s="73"/>
      <c r="IP270" s="73"/>
      <c r="IQ270" s="73"/>
      <c r="IR270" s="73"/>
      <c r="IS270" s="73"/>
      <c r="IT270" s="73"/>
      <c r="IU270" s="73"/>
      <c r="IV270" s="73"/>
      <c r="IW270" s="73"/>
      <c r="IX270" s="73"/>
      <c r="IY270" s="73"/>
      <c r="IZ270" s="73"/>
      <c r="JA270" s="73"/>
      <c r="JB270" s="73"/>
      <c r="JC270" s="73"/>
    </row>
    <row r="271" spans="2:263" s="72" customFormat="1">
      <c r="B271" s="73"/>
      <c r="C271" s="73"/>
      <c r="D271" s="73"/>
      <c r="E271" s="73"/>
      <c r="F271" s="73"/>
      <c r="G271" s="73"/>
      <c r="H271" s="73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GL271" s="73"/>
      <c r="GM271" s="73"/>
      <c r="GN271" s="73"/>
      <c r="GO271" s="73"/>
      <c r="GP271" s="73"/>
      <c r="GQ271" s="73"/>
      <c r="GR271" s="73"/>
      <c r="GS271" s="73"/>
      <c r="GT271" s="73"/>
      <c r="GU271" s="73"/>
      <c r="GV271" s="73"/>
      <c r="GW271" s="73"/>
      <c r="GX271" s="73"/>
      <c r="GY271" s="73"/>
      <c r="GZ271" s="73"/>
      <c r="HA271" s="73"/>
      <c r="HB271" s="73"/>
      <c r="HC271" s="73"/>
      <c r="HD271" s="73"/>
      <c r="HE271" s="73"/>
      <c r="HF271" s="73"/>
      <c r="HG271" s="73"/>
      <c r="HH271" s="73"/>
      <c r="HI271" s="73"/>
      <c r="HJ271" s="73"/>
      <c r="HK271" s="73"/>
      <c r="HL271" s="73"/>
      <c r="HM271" s="73"/>
      <c r="HN271" s="73"/>
      <c r="HO271" s="73"/>
      <c r="HP271" s="73"/>
      <c r="HQ271" s="73"/>
      <c r="HR271" s="73"/>
      <c r="HS271" s="73"/>
      <c r="HT271" s="73"/>
      <c r="HU271" s="73"/>
      <c r="HV271" s="73"/>
      <c r="HW271" s="73"/>
      <c r="HX271" s="73"/>
      <c r="HY271" s="73"/>
      <c r="HZ271" s="73"/>
      <c r="IA271" s="73"/>
      <c r="IB271" s="73"/>
      <c r="IC271" s="73"/>
      <c r="ID271" s="73"/>
      <c r="IE271" s="73"/>
      <c r="IF271" s="73"/>
      <c r="IG271" s="73"/>
      <c r="IH271" s="73"/>
      <c r="II271" s="73"/>
      <c r="IJ271" s="73"/>
      <c r="IK271" s="73"/>
      <c r="IL271" s="73"/>
      <c r="IM271" s="73"/>
      <c r="IN271" s="73"/>
      <c r="IO271" s="73"/>
      <c r="IP271" s="73"/>
      <c r="IQ271" s="73"/>
      <c r="IR271" s="73"/>
      <c r="IS271" s="73"/>
      <c r="IT271" s="73"/>
      <c r="IU271" s="73"/>
      <c r="IV271" s="73"/>
      <c r="IW271" s="73"/>
      <c r="IX271" s="73"/>
      <c r="IY271" s="73"/>
      <c r="IZ271" s="73"/>
      <c r="JA271" s="73"/>
      <c r="JB271" s="73"/>
      <c r="JC271" s="73"/>
    </row>
    <row r="272" spans="2:263" s="72" customFormat="1">
      <c r="B272" s="73"/>
      <c r="C272" s="73"/>
      <c r="D272" s="73"/>
      <c r="E272" s="73"/>
      <c r="F272" s="73"/>
      <c r="G272" s="73"/>
      <c r="H272" s="73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GL272" s="73"/>
      <c r="GM272" s="73"/>
      <c r="GN272" s="73"/>
      <c r="GO272" s="73"/>
      <c r="GP272" s="73"/>
      <c r="GQ272" s="73"/>
      <c r="GR272" s="73"/>
      <c r="GS272" s="73"/>
      <c r="GT272" s="73"/>
      <c r="GU272" s="73"/>
      <c r="GV272" s="73"/>
      <c r="GW272" s="73"/>
      <c r="GX272" s="73"/>
      <c r="GY272" s="73"/>
      <c r="GZ272" s="73"/>
      <c r="HA272" s="73"/>
      <c r="HB272" s="73"/>
      <c r="HC272" s="73"/>
      <c r="HD272" s="73"/>
      <c r="HE272" s="73"/>
      <c r="HF272" s="73"/>
      <c r="HG272" s="73"/>
      <c r="HH272" s="73"/>
      <c r="HI272" s="73"/>
      <c r="HJ272" s="73"/>
      <c r="HK272" s="73"/>
      <c r="HL272" s="73"/>
      <c r="HM272" s="73"/>
      <c r="HN272" s="73"/>
      <c r="HO272" s="73"/>
      <c r="HP272" s="73"/>
      <c r="HQ272" s="73"/>
      <c r="HR272" s="73"/>
      <c r="HS272" s="73"/>
      <c r="HT272" s="73"/>
      <c r="HU272" s="73"/>
      <c r="HV272" s="73"/>
      <c r="HW272" s="73"/>
      <c r="HX272" s="73"/>
      <c r="HY272" s="73"/>
      <c r="HZ272" s="73"/>
      <c r="IA272" s="73"/>
      <c r="IB272" s="73"/>
      <c r="IC272" s="73"/>
      <c r="ID272" s="73"/>
      <c r="IE272" s="73"/>
      <c r="IF272" s="73"/>
      <c r="IG272" s="73"/>
      <c r="IH272" s="73"/>
      <c r="II272" s="73"/>
      <c r="IJ272" s="73"/>
      <c r="IK272" s="73"/>
      <c r="IL272" s="73"/>
      <c r="IM272" s="73"/>
      <c r="IN272" s="73"/>
      <c r="IO272" s="73"/>
      <c r="IP272" s="73"/>
      <c r="IQ272" s="73"/>
      <c r="IR272" s="73"/>
      <c r="IS272" s="73"/>
      <c r="IT272" s="73"/>
      <c r="IU272" s="73"/>
      <c r="IV272" s="73"/>
      <c r="IW272" s="73"/>
      <c r="IX272" s="73"/>
      <c r="IY272" s="73"/>
      <c r="IZ272" s="73"/>
      <c r="JA272" s="73"/>
      <c r="JB272" s="73"/>
      <c r="JC272" s="73"/>
    </row>
    <row r="273" spans="2:263" s="72" customFormat="1">
      <c r="B273" s="73"/>
      <c r="C273" s="73"/>
      <c r="D273" s="73"/>
      <c r="E273" s="73"/>
      <c r="F273" s="73"/>
      <c r="G273" s="73"/>
      <c r="H273" s="73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GL273" s="73"/>
      <c r="GM273" s="73"/>
      <c r="GN273" s="73"/>
      <c r="GO273" s="73"/>
      <c r="GP273" s="73"/>
      <c r="GQ273" s="73"/>
      <c r="GR273" s="73"/>
      <c r="GS273" s="73"/>
      <c r="GT273" s="73"/>
      <c r="GU273" s="73"/>
      <c r="GV273" s="73"/>
      <c r="GW273" s="73"/>
      <c r="GX273" s="73"/>
      <c r="GY273" s="73"/>
      <c r="GZ273" s="73"/>
      <c r="HA273" s="73"/>
      <c r="HB273" s="73"/>
      <c r="HC273" s="73"/>
      <c r="HD273" s="73"/>
      <c r="HE273" s="73"/>
      <c r="HF273" s="73"/>
      <c r="HG273" s="73"/>
      <c r="HH273" s="73"/>
      <c r="HI273" s="73"/>
      <c r="HJ273" s="73"/>
      <c r="HK273" s="73"/>
      <c r="HL273" s="73"/>
      <c r="HM273" s="73"/>
      <c r="HN273" s="73"/>
      <c r="HO273" s="73"/>
      <c r="HP273" s="73"/>
      <c r="HQ273" s="73"/>
      <c r="HR273" s="73"/>
      <c r="HS273" s="73"/>
      <c r="HT273" s="73"/>
      <c r="HU273" s="73"/>
      <c r="HV273" s="73"/>
      <c r="HW273" s="73"/>
      <c r="HX273" s="73"/>
      <c r="HY273" s="73"/>
      <c r="HZ273" s="73"/>
      <c r="IA273" s="73"/>
      <c r="IB273" s="73"/>
      <c r="IC273" s="73"/>
      <c r="ID273" s="73"/>
      <c r="IE273" s="73"/>
      <c r="IF273" s="73"/>
      <c r="IG273" s="73"/>
      <c r="IH273" s="73"/>
      <c r="II273" s="73"/>
      <c r="IJ273" s="73"/>
      <c r="IK273" s="73"/>
      <c r="IL273" s="73"/>
      <c r="IM273" s="73"/>
      <c r="IN273" s="73"/>
      <c r="IO273" s="73"/>
      <c r="IP273" s="73"/>
      <c r="IQ273" s="73"/>
      <c r="IR273" s="73"/>
      <c r="IS273" s="73"/>
      <c r="IT273" s="73"/>
      <c r="IU273" s="73"/>
      <c r="IV273" s="73"/>
      <c r="IW273" s="73"/>
      <c r="IX273" s="73"/>
      <c r="IY273" s="73"/>
      <c r="IZ273" s="73"/>
      <c r="JA273" s="73"/>
      <c r="JB273" s="73"/>
      <c r="JC273" s="73"/>
    </row>
    <row r="274" spans="2:263" s="72" customFormat="1">
      <c r="B274" s="73"/>
      <c r="C274" s="73"/>
      <c r="D274" s="73"/>
      <c r="E274" s="73"/>
      <c r="F274" s="73"/>
      <c r="G274" s="73"/>
      <c r="H274" s="73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GL274" s="73"/>
      <c r="GM274" s="73"/>
      <c r="GN274" s="73"/>
      <c r="GO274" s="73"/>
      <c r="GP274" s="73"/>
      <c r="GQ274" s="73"/>
      <c r="GR274" s="73"/>
      <c r="GS274" s="73"/>
      <c r="GT274" s="73"/>
      <c r="GU274" s="73"/>
      <c r="GV274" s="73"/>
      <c r="GW274" s="73"/>
      <c r="GX274" s="73"/>
      <c r="GY274" s="73"/>
      <c r="GZ274" s="73"/>
      <c r="HA274" s="73"/>
      <c r="HB274" s="73"/>
      <c r="HC274" s="73"/>
      <c r="HD274" s="73"/>
      <c r="HE274" s="73"/>
      <c r="HF274" s="73"/>
      <c r="HG274" s="73"/>
      <c r="HH274" s="73"/>
      <c r="HI274" s="73"/>
      <c r="HJ274" s="73"/>
      <c r="HK274" s="73"/>
      <c r="HL274" s="73"/>
      <c r="HM274" s="73"/>
      <c r="HN274" s="73"/>
      <c r="HO274" s="73"/>
      <c r="HP274" s="73"/>
      <c r="HQ274" s="73"/>
      <c r="HR274" s="73"/>
      <c r="HS274" s="73"/>
      <c r="HT274" s="73"/>
      <c r="HU274" s="73"/>
      <c r="HV274" s="73"/>
      <c r="HW274" s="73"/>
      <c r="HX274" s="73"/>
      <c r="HY274" s="73"/>
      <c r="HZ274" s="73"/>
      <c r="IA274" s="73"/>
      <c r="IB274" s="73"/>
      <c r="IC274" s="73"/>
      <c r="ID274" s="73"/>
      <c r="IE274" s="73"/>
      <c r="IF274" s="73"/>
      <c r="IG274" s="73"/>
      <c r="IH274" s="73"/>
      <c r="II274" s="73"/>
      <c r="IJ274" s="73"/>
      <c r="IK274" s="73"/>
      <c r="IL274" s="73"/>
      <c r="IM274" s="73"/>
      <c r="IN274" s="73"/>
      <c r="IO274" s="73"/>
      <c r="IP274" s="73"/>
      <c r="IQ274" s="73"/>
      <c r="IR274" s="73"/>
      <c r="IS274" s="73"/>
      <c r="IT274" s="73"/>
      <c r="IU274" s="73"/>
      <c r="IV274" s="73"/>
      <c r="IW274" s="73"/>
      <c r="IX274" s="73"/>
      <c r="IY274" s="73"/>
      <c r="IZ274" s="73"/>
      <c r="JA274" s="73"/>
      <c r="JB274" s="73"/>
      <c r="JC274" s="73"/>
    </row>
    <row r="275" spans="2:263" s="72" customFormat="1">
      <c r="B275" s="73"/>
      <c r="C275" s="73"/>
      <c r="D275" s="73"/>
      <c r="E275" s="73"/>
      <c r="F275" s="73"/>
      <c r="G275" s="73"/>
      <c r="H275" s="73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GL275" s="73"/>
      <c r="GM275" s="73"/>
      <c r="GN275" s="73"/>
      <c r="GO275" s="73"/>
      <c r="GP275" s="73"/>
      <c r="GQ275" s="73"/>
      <c r="GR275" s="73"/>
      <c r="GS275" s="73"/>
      <c r="GT275" s="73"/>
      <c r="GU275" s="73"/>
      <c r="GV275" s="73"/>
      <c r="GW275" s="73"/>
      <c r="GX275" s="73"/>
      <c r="GY275" s="73"/>
      <c r="GZ275" s="73"/>
      <c r="HA275" s="73"/>
      <c r="HB275" s="73"/>
      <c r="HC275" s="73"/>
      <c r="HD275" s="73"/>
      <c r="HE275" s="73"/>
      <c r="HF275" s="73"/>
      <c r="HG275" s="73"/>
      <c r="HH275" s="73"/>
      <c r="HI275" s="73"/>
      <c r="HJ275" s="73"/>
      <c r="HK275" s="73"/>
      <c r="HL275" s="73"/>
      <c r="HM275" s="73"/>
      <c r="HN275" s="73"/>
      <c r="HO275" s="73"/>
      <c r="HP275" s="73"/>
      <c r="HQ275" s="73"/>
      <c r="HR275" s="73"/>
      <c r="HS275" s="73"/>
      <c r="HT275" s="73"/>
      <c r="HU275" s="73"/>
      <c r="HV275" s="73"/>
      <c r="HW275" s="73"/>
      <c r="HX275" s="73"/>
      <c r="HY275" s="73"/>
      <c r="HZ275" s="73"/>
      <c r="IA275" s="73"/>
      <c r="IB275" s="73"/>
      <c r="IC275" s="73"/>
      <c r="ID275" s="73"/>
      <c r="IE275" s="73"/>
      <c r="IF275" s="73"/>
      <c r="IG275" s="73"/>
      <c r="IH275" s="73"/>
      <c r="II275" s="73"/>
      <c r="IJ275" s="73"/>
      <c r="IK275" s="73"/>
      <c r="IL275" s="73"/>
      <c r="IM275" s="73"/>
      <c r="IN275" s="73"/>
      <c r="IO275" s="73"/>
      <c r="IP275" s="73"/>
      <c r="IQ275" s="73"/>
      <c r="IR275" s="73"/>
      <c r="IS275" s="73"/>
      <c r="IT275" s="73"/>
      <c r="IU275" s="73"/>
      <c r="IV275" s="73"/>
      <c r="IW275" s="73"/>
      <c r="IX275" s="73"/>
      <c r="IY275" s="73"/>
      <c r="IZ275" s="73"/>
      <c r="JA275" s="73"/>
      <c r="JB275" s="73"/>
      <c r="JC275" s="73"/>
    </row>
    <row r="276" spans="2:263" s="72" customFormat="1">
      <c r="B276" s="73"/>
      <c r="C276" s="73"/>
      <c r="D276" s="73"/>
      <c r="E276" s="73"/>
      <c r="F276" s="73"/>
      <c r="G276" s="73"/>
      <c r="H276" s="73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GL276" s="73"/>
      <c r="GM276" s="73"/>
      <c r="GN276" s="73"/>
      <c r="GO276" s="73"/>
      <c r="GP276" s="73"/>
      <c r="GQ276" s="73"/>
      <c r="GR276" s="73"/>
      <c r="GS276" s="73"/>
      <c r="GT276" s="73"/>
      <c r="GU276" s="73"/>
      <c r="GV276" s="73"/>
      <c r="GW276" s="73"/>
      <c r="GX276" s="73"/>
      <c r="GY276" s="73"/>
      <c r="GZ276" s="73"/>
      <c r="HA276" s="73"/>
      <c r="HB276" s="73"/>
      <c r="HC276" s="73"/>
      <c r="HD276" s="73"/>
      <c r="HE276" s="73"/>
      <c r="HF276" s="73"/>
      <c r="HG276" s="73"/>
      <c r="HH276" s="73"/>
      <c r="HI276" s="73"/>
      <c r="HJ276" s="73"/>
      <c r="HK276" s="73"/>
      <c r="HL276" s="73"/>
      <c r="HM276" s="73"/>
      <c r="HN276" s="73"/>
      <c r="HO276" s="73"/>
      <c r="HP276" s="73"/>
      <c r="HQ276" s="73"/>
      <c r="HR276" s="73"/>
      <c r="HS276" s="73"/>
      <c r="HT276" s="73"/>
      <c r="HU276" s="73"/>
      <c r="HV276" s="73"/>
      <c r="HW276" s="73"/>
      <c r="HX276" s="73"/>
      <c r="HY276" s="73"/>
      <c r="HZ276" s="73"/>
      <c r="IA276" s="73"/>
      <c r="IB276" s="73"/>
      <c r="IC276" s="73"/>
      <c r="ID276" s="73"/>
      <c r="IE276" s="73"/>
      <c r="IF276" s="73"/>
      <c r="IG276" s="73"/>
      <c r="IH276" s="73"/>
      <c r="II276" s="73"/>
      <c r="IJ276" s="73"/>
      <c r="IK276" s="73"/>
      <c r="IL276" s="73"/>
      <c r="IM276" s="73"/>
      <c r="IN276" s="73"/>
      <c r="IO276" s="73"/>
      <c r="IP276" s="73"/>
      <c r="IQ276" s="73"/>
      <c r="IR276" s="73"/>
      <c r="IS276" s="73"/>
      <c r="IT276" s="73"/>
      <c r="IU276" s="73"/>
      <c r="IV276" s="73"/>
      <c r="IW276" s="73"/>
      <c r="IX276" s="73"/>
      <c r="IY276" s="73"/>
      <c r="IZ276" s="73"/>
      <c r="JA276" s="73"/>
      <c r="JB276" s="73"/>
      <c r="JC276" s="73"/>
    </row>
    <row r="277" spans="2:263" s="72" customFormat="1">
      <c r="B277" s="73"/>
      <c r="C277" s="73"/>
      <c r="D277" s="73"/>
      <c r="E277" s="73"/>
      <c r="F277" s="73"/>
      <c r="G277" s="73"/>
      <c r="H277" s="73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GL277" s="73"/>
      <c r="GM277" s="73"/>
      <c r="GN277" s="73"/>
      <c r="GO277" s="73"/>
      <c r="GP277" s="73"/>
      <c r="GQ277" s="73"/>
      <c r="GR277" s="73"/>
      <c r="GS277" s="73"/>
      <c r="GT277" s="73"/>
      <c r="GU277" s="73"/>
      <c r="GV277" s="73"/>
      <c r="GW277" s="73"/>
      <c r="GX277" s="73"/>
      <c r="GY277" s="73"/>
      <c r="GZ277" s="73"/>
      <c r="HA277" s="73"/>
      <c r="HB277" s="73"/>
      <c r="HC277" s="73"/>
      <c r="HD277" s="73"/>
      <c r="HE277" s="73"/>
      <c r="HF277" s="73"/>
      <c r="HG277" s="73"/>
      <c r="HH277" s="73"/>
      <c r="HI277" s="73"/>
      <c r="HJ277" s="73"/>
      <c r="HK277" s="73"/>
      <c r="HL277" s="73"/>
      <c r="HM277" s="73"/>
      <c r="HN277" s="73"/>
      <c r="HO277" s="73"/>
      <c r="HP277" s="73"/>
      <c r="HQ277" s="73"/>
      <c r="HR277" s="73"/>
      <c r="HS277" s="73"/>
      <c r="HT277" s="73"/>
      <c r="HU277" s="73"/>
      <c r="HV277" s="73"/>
      <c r="HW277" s="73"/>
      <c r="HX277" s="73"/>
      <c r="HY277" s="73"/>
      <c r="HZ277" s="73"/>
      <c r="IA277" s="73"/>
      <c r="IB277" s="73"/>
      <c r="IC277" s="73"/>
      <c r="ID277" s="73"/>
      <c r="IE277" s="73"/>
      <c r="IF277" s="73"/>
      <c r="IG277" s="73"/>
      <c r="IH277" s="73"/>
      <c r="II277" s="73"/>
      <c r="IJ277" s="73"/>
      <c r="IK277" s="73"/>
      <c r="IL277" s="73"/>
      <c r="IM277" s="73"/>
      <c r="IN277" s="73"/>
      <c r="IO277" s="73"/>
      <c r="IP277" s="73"/>
      <c r="IQ277" s="73"/>
      <c r="IR277" s="73"/>
      <c r="IS277" s="73"/>
      <c r="IT277" s="73"/>
      <c r="IU277" s="73"/>
      <c r="IV277" s="73"/>
      <c r="IW277" s="73"/>
      <c r="IX277" s="73"/>
      <c r="IY277" s="73"/>
      <c r="IZ277" s="73"/>
      <c r="JA277" s="73"/>
      <c r="JB277" s="73"/>
      <c r="JC277" s="73"/>
    </row>
    <row r="278" spans="2:263" s="72" customFormat="1">
      <c r="B278" s="73"/>
      <c r="C278" s="73"/>
      <c r="D278" s="73"/>
      <c r="E278" s="73"/>
      <c r="F278" s="73"/>
      <c r="G278" s="73"/>
      <c r="H278" s="73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GL278" s="73"/>
      <c r="GM278" s="73"/>
      <c r="GN278" s="73"/>
      <c r="GO278" s="73"/>
      <c r="GP278" s="73"/>
      <c r="GQ278" s="73"/>
      <c r="GR278" s="73"/>
      <c r="GS278" s="73"/>
      <c r="GT278" s="73"/>
      <c r="GU278" s="73"/>
      <c r="GV278" s="73"/>
      <c r="GW278" s="73"/>
      <c r="GX278" s="73"/>
      <c r="GY278" s="73"/>
      <c r="GZ278" s="73"/>
      <c r="HA278" s="73"/>
      <c r="HB278" s="73"/>
      <c r="HC278" s="73"/>
      <c r="HD278" s="73"/>
      <c r="HE278" s="73"/>
      <c r="HF278" s="73"/>
      <c r="HG278" s="73"/>
      <c r="HH278" s="73"/>
      <c r="HI278" s="73"/>
      <c r="HJ278" s="73"/>
      <c r="HK278" s="73"/>
      <c r="HL278" s="73"/>
      <c r="HM278" s="73"/>
      <c r="HN278" s="73"/>
      <c r="HO278" s="73"/>
      <c r="HP278" s="73"/>
      <c r="HQ278" s="73"/>
      <c r="HR278" s="73"/>
      <c r="HS278" s="73"/>
      <c r="HT278" s="73"/>
      <c r="HU278" s="73"/>
      <c r="HV278" s="73"/>
      <c r="HW278" s="73"/>
      <c r="HX278" s="73"/>
      <c r="HY278" s="73"/>
      <c r="HZ278" s="73"/>
      <c r="IA278" s="73"/>
      <c r="IB278" s="73"/>
      <c r="IC278" s="73"/>
      <c r="ID278" s="73"/>
      <c r="IE278" s="73"/>
      <c r="IF278" s="73"/>
      <c r="IG278" s="73"/>
      <c r="IH278" s="73"/>
      <c r="II278" s="73"/>
      <c r="IJ278" s="73"/>
      <c r="IK278" s="73"/>
      <c r="IL278" s="73"/>
      <c r="IM278" s="73"/>
      <c r="IN278" s="73"/>
      <c r="IO278" s="73"/>
      <c r="IP278" s="73"/>
      <c r="IQ278" s="73"/>
      <c r="IR278" s="73"/>
      <c r="IS278" s="73"/>
      <c r="IT278" s="73"/>
      <c r="IU278" s="73"/>
      <c r="IV278" s="73"/>
      <c r="IW278" s="73"/>
      <c r="IX278" s="73"/>
      <c r="IY278" s="73"/>
      <c r="IZ278" s="73"/>
      <c r="JA278" s="73"/>
      <c r="JB278" s="73"/>
      <c r="JC278" s="73"/>
    </row>
    <row r="279" spans="2:263" s="72" customFormat="1">
      <c r="B279" s="73"/>
      <c r="C279" s="73"/>
      <c r="D279" s="73"/>
      <c r="E279" s="73"/>
      <c r="F279" s="73"/>
      <c r="G279" s="73"/>
      <c r="H279" s="73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GL279" s="73"/>
      <c r="GM279" s="73"/>
      <c r="GN279" s="73"/>
      <c r="GO279" s="73"/>
      <c r="GP279" s="73"/>
      <c r="GQ279" s="73"/>
      <c r="GR279" s="73"/>
      <c r="GS279" s="73"/>
      <c r="GT279" s="73"/>
      <c r="GU279" s="73"/>
      <c r="GV279" s="73"/>
      <c r="GW279" s="73"/>
      <c r="GX279" s="73"/>
      <c r="GY279" s="73"/>
      <c r="GZ279" s="73"/>
      <c r="HA279" s="73"/>
      <c r="HB279" s="73"/>
      <c r="HC279" s="73"/>
      <c r="HD279" s="73"/>
      <c r="HE279" s="73"/>
      <c r="HF279" s="73"/>
      <c r="HG279" s="73"/>
      <c r="HH279" s="73"/>
      <c r="HI279" s="73"/>
      <c r="HJ279" s="73"/>
      <c r="HK279" s="73"/>
      <c r="HL279" s="73"/>
      <c r="HM279" s="73"/>
      <c r="HN279" s="73"/>
      <c r="HO279" s="73"/>
      <c r="HP279" s="73"/>
      <c r="HQ279" s="73"/>
      <c r="HR279" s="73"/>
      <c r="HS279" s="73"/>
      <c r="HT279" s="73"/>
      <c r="HU279" s="73"/>
      <c r="HV279" s="73"/>
      <c r="HW279" s="73"/>
      <c r="HX279" s="73"/>
      <c r="HY279" s="73"/>
      <c r="HZ279" s="73"/>
      <c r="IA279" s="73"/>
      <c r="IB279" s="73"/>
      <c r="IC279" s="73"/>
      <c r="ID279" s="73"/>
      <c r="IE279" s="73"/>
      <c r="IF279" s="73"/>
      <c r="IG279" s="73"/>
      <c r="IH279" s="73"/>
      <c r="II279" s="73"/>
      <c r="IJ279" s="73"/>
      <c r="IK279" s="73"/>
      <c r="IL279" s="73"/>
      <c r="IM279" s="73"/>
      <c r="IN279" s="73"/>
      <c r="IO279" s="73"/>
      <c r="IP279" s="73"/>
      <c r="IQ279" s="73"/>
      <c r="IR279" s="73"/>
      <c r="IS279" s="73"/>
      <c r="IT279" s="73"/>
      <c r="IU279" s="73"/>
      <c r="IV279" s="73"/>
      <c r="IW279" s="73"/>
      <c r="IX279" s="73"/>
      <c r="IY279" s="73"/>
      <c r="IZ279" s="73"/>
      <c r="JA279" s="73"/>
      <c r="JB279" s="73"/>
      <c r="JC279" s="73"/>
    </row>
    <row r="280" spans="2:263" s="72" customFormat="1">
      <c r="B280" s="73"/>
      <c r="C280" s="73"/>
      <c r="D280" s="73"/>
      <c r="E280" s="73"/>
      <c r="F280" s="73"/>
      <c r="G280" s="73"/>
      <c r="H280" s="73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GL280" s="73"/>
      <c r="GM280" s="73"/>
      <c r="GN280" s="73"/>
      <c r="GO280" s="73"/>
      <c r="GP280" s="73"/>
      <c r="GQ280" s="73"/>
      <c r="GR280" s="73"/>
      <c r="GS280" s="73"/>
      <c r="GT280" s="73"/>
      <c r="GU280" s="73"/>
      <c r="GV280" s="73"/>
      <c r="GW280" s="73"/>
      <c r="GX280" s="73"/>
      <c r="GY280" s="73"/>
      <c r="GZ280" s="73"/>
      <c r="HA280" s="73"/>
      <c r="HB280" s="73"/>
      <c r="HC280" s="73"/>
      <c r="HD280" s="73"/>
      <c r="HE280" s="73"/>
      <c r="HF280" s="73"/>
      <c r="HG280" s="73"/>
      <c r="HH280" s="73"/>
      <c r="HI280" s="73"/>
      <c r="HJ280" s="73"/>
      <c r="HK280" s="73"/>
      <c r="HL280" s="73"/>
      <c r="HM280" s="73"/>
      <c r="HN280" s="73"/>
      <c r="HO280" s="73"/>
      <c r="HP280" s="73"/>
      <c r="HQ280" s="73"/>
      <c r="HR280" s="73"/>
      <c r="HS280" s="73"/>
      <c r="HT280" s="73"/>
      <c r="HU280" s="73"/>
      <c r="HV280" s="73"/>
      <c r="HW280" s="73"/>
      <c r="HX280" s="73"/>
      <c r="HY280" s="73"/>
      <c r="HZ280" s="73"/>
      <c r="IA280" s="73"/>
      <c r="IB280" s="73"/>
      <c r="IC280" s="73"/>
      <c r="ID280" s="73"/>
      <c r="IE280" s="73"/>
      <c r="IF280" s="73"/>
      <c r="IG280" s="73"/>
      <c r="IH280" s="73"/>
      <c r="II280" s="73"/>
      <c r="IJ280" s="73"/>
      <c r="IK280" s="73"/>
      <c r="IL280" s="73"/>
      <c r="IM280" s="73"/>
      <c r="IN280" s="73"/>
      <c r="IO280" s="73"/>
      <c r="IP280" s="73"/>
      <c r="IQ280" s="73"/>
      <c r="IR280" s="73"/>
      <c r="IS280" s="73"/>
      <c r="IT280" s="73"/>
      <c r="IU280" s="73"/>
      <c r="IV280" s="73"/>
      <c r="IW280" s="73"/>
      <c r="IX280" s="73"/>
      <c r="IY280" s="73"/>
      <c r="IZ280" s="73"/>
      <c r="JA280" s="73"/>
      <c r="JB280" s="73"/>
      <c r="JC280" s="73"/>
    </row>
    <row r="281" spans="2:263" s="72" customFormat="1">
      <c r="B281" s="73"/>
      <c r="C281" s="73"/>
      <c r="D281" s="73"/>
      <c r="E281" s="73"/>
      <c r="F281" s="73"/>
      <c r="G281" s="73"/>
      <c r="H281" s="73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GL281" s="73"/>
      <c r="GM281" s="73"/>
      <c r="GN281" s="73"/>
      <c r="GO281" s="73"/>
      <c r="GP281" s="73"/>
      <c r="GQ281" s="73"/>
      <c r="GR281" s="73"/>
      <c r="GS281" s="73"/>
      <c r="GT281" s="73"/>
      <c r="GU281" s="73"/>
      <c r="GV281" s="73"/>
      <c r="GW281" s="73"/>
      <c r="GX281" s="73"/>
      <c r="GY281" s="73"/>
      <c r="GZ281" s="73"/>
      <c r="HA281" s="73"/>
      <c r="HB281" s="73"/>
      <c r="HC281" s="73"/>
      <c r="HD281" s="73"/>
      <c r="HE281" s="73"/>
      <c r="HF281" s="73"/>
      <c r="HG281" s="73"/>
      <c r="HH281" s="73"/>
      <c r="HI281" s="73"/>
      <c r="HJ281" s="73"/>
      <c r="HK281" s="73"/>
      <c r="HL281" s="73"/>
      <c r="HM281" s="73"/>
      <c r="HN281" s="73"/>
      <c r="HO281" s="73"/>
      <c r="HP281" s="73"/>
      <c r="HQ281" s="73"/>
      <c r="HR281" s="73"/>
      <c r="HS281" s="73"/>
      <c r="HT281" s="73"/>
      <c r="HU281" s="73"/>
      <c r="HV281" s="73"/>
      <c r="HW281" s="73"/>
      <c r="HX281" s="73"/>
      <c r="HY281" s="73"/>
      <c r="HZ281" s="73"/>
      <c r="IA281" s="73"/>
      <c r="IB281" s="73"/>
      <c r="IC281" s="73"/>
      <c r="ID281" s="73"/>
      <c r="IE281" s="73"/>
      <c r="IF281" s="73"/>
      <c r="IG281" s="73"/>
      <c r="IH281" s="73"/>
      <c r="II281" s="73"/>
      <c r="IJ281" s="73"/>
      <c r="IK281" s="73"/>
      <c r="IL281" s="73"/>
      <c r="IM281" s="73"/>
      <c r="IN281" s="73"/>
      <c r="IO281" s="73"/>
      <c r="IP281" s="73"/>
      <c r="IQ281" s="73"/>
      <c r="IR281" s="73"/>
      <c r="IS281" s="73"/>
      <c r="IT281" s="73"/>
      <c r="IU281" s="73"/>
      <c r="IV281" s="73"/>
      <c r="IW281" s="73"/>
      <c r="IX281" s="73"/>
      <c r="IY281" s="73"/>
      <c r="IZ281" s="73"/>
      <c r="JA281" s="73"/>
      <c r="JB281" s="73"/>
      <c r="JC281" s="73"/>
    </row>
    <row r="282" spans="2:263" s="72" customFormat="1">
      <c r="B282" s="73"/>
      <c r="C282" s="73"/>
      <c r="D282" s="73"/>
      <c r="E282" s="73"/>
      <c r="F282" s="73"/>
      <c r="G282" s="73"/>
      <c r="H282" s="73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GL282" s="73"/>
      <c r="GM282" s="73"/>
      <c r="GN282" s="73"/>
      <c r="GO282" s="73"/>
      <c r="GP282" s="73"/>
      <c r="GQ282" s="73"/>
      <c r="GR282" s="73"/>
      <c r="GS282" s="73"/>
      <c r="GT282" s="73"/>
      <c r="GU282" s="73"/>
      <c r="GV282" s="73"/>
      <c r="GW282" s="73"/>
      <c r="GX282" s="73"/>
      <c r="GY282" s="73"/>
      <c r="GZ282" s="73"/>
      <c r="HA282" s="73"/>
      <c r="HB282" s="73"/>
      <c r="HC282" s="73"/>
      <c r="HD282" s="73"/>
      <c r="HE282" s="73"/>
      <c r="HF282" s="73"/>
      <c r="HG282" s="73"/>
      <c r="HH282" s="73"/>
      <c r="HI282" s="73"/>
      <c r="HJ282" s="73"/>
      <c r="HK282" s="73"/>
      <c r="HL282" s="73"/>
      <c r="HM282" s="73"/>
      <c r="HN282" s="73"/>
      <c r="HO282" s="73"/>
      <c r="HP282" s="73"/>
      <c r="HQ282" s="73"/>
      <c r="HR282" s="73"/>
      <c r="HS282" s="73"/>
      <c r="HT282" s="73"/>
      <c r="HU282" s="73"/>
      <c r="HV282" s="73"/>
      <c r="HW282" s="73"/>
      <c r="HX282" s="73"/>
      <c r="HY282" s="73"/>
      <c r="HZ282" s="73"/>
      <c r="IA282" s="73"/>
      <c r="IB282" s="73"/>
      <c r="IC282" s="73"/>
      <c r="ID282" s="73"/>
      <c r="IE282" s="73"/>
      <c r="IF282" s="73"/>
      <c r="IG282" s="73"/>
      <c r="IH282" s="73"/>
      <c r="II282" s="73"/>
      <c r="IJ282" s="73"/>
      <c r="IK282" s="73"/>
      <c r="IL282" s="73"/>
      <c r="IM282" s="73"/>
      <c r="IN282" s="73"/>
      <c r="IO282" s="73"/>
      <c r="IP282" s="73"/>
      <c r="IQ282" s="73"/>
      <c r="IR282" s="73"/>
      <c r="IS282" s="73"/>
      <c r="IT282" s="73"/>
      <c r="IU282" s="73"/>
      <c r="IV282" s="73"/>
      <c r="IW282" s="73"/>
      <c r="IX282" s="73"/>
      <c r="IY282" s="73"/>
      <c r="IZ282" s="73"/>
      <c r="JA282" s="73"/>
      <c r="JB282" s="73"/>
      <c r="JC282" s="73"/>
    </row>
    <row r="283" spans="2:263" s="72" customFormat="1">
      <c r="B283" s="73"/>
      <c r="C283" s="73"/>
      <c r="D283" s="73"/>
      <c r="E283" s="73"/>
      <c r="F283" s="73"/>
      <c r="G283" s="73"/>
      <c r="H283" s="73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GL283" s="73"/>
      <c r="GM283" s="73"/>
      <c r="GN283" s="73"/>
      <c r="GO283" s="73"/>
      <c r="GP283" s="73"/>
      <c r="GQ283" s="73"/>
      <c r="GR283" s="73"/>
      <c r="GS283" s="73"/>
      <c r="GT283" s="73"/>
      <c r="GU283" s="73"/>
      <c r="GV283" s="73"/>
      <c r="GW283" s="73"/>
      <c r="GX283" s="73"/>
      <c r="GY283" s="73"/>
      <c r="GZ283" s="73"/>
      <c r="HA283" s="73"/>
      <c r="HB283" s="73"/>
      <c r="HC283" s="73"/>
      <c r="HD283" s="73"/>
      <c r="HE283" s="73"/>
      <c r="HF283" s="73"/>
      <c r="HG283" s="73"/>
      <c r="HH283" s="73"/>
      <c r="HI283" s="73"/>
      <c r="HJ283" s="73"/>
      <c r="HK283" s="73"/>
      <c r="HL283" s="73"/>
      <c r="HM283" s="73"/>
      <c r="HN283" s="73"/>
      <c r="HO283" s="73"/>
      <c r="HP283" s="73"/>
      <c r="HQ283" s="73"/>
      <c r="HR283" s="73"/>
      <c r="HS283" s="73"/>
      <c r="HT283" s="73"/>
      <c r="HU283" s="73"/>
      <c r="HV283" s="73"/>
      <c r="HW283" s="73"/>
      <c r="HX283" s="73"/>
      <c r="HY283" s="73"/>
      <c r="HZ283" s="73"/>
      <c r="IA283" s="73"/>
      <c r="IB283" s="73"/>
      <c r="IC283" s="73"/>
      <c r="ID283" s="73"/>
      <c r="IE283" s="73"/>
      <c r="IF283" s="73"/>
      <c r="IG283" s="73"/>
      <c r="IH283" s="73"/>
      <c r="II283" s="73"/>
      <c r="IJ283" s="73"/>
      <c r="IK283" s="73"/>
      <c r="IL283" s="73"/>
      <c r="IM283" s="73"/>
      <c r="IN283" s="73"/>
      <c r="IO283" s="73"/>
      <c r="IP283" s="73"/>
      <c r="IQ283" s="73"/>
      <c r="IR283" s="73"/>
      <c r="IS283" s="73"/>
      <c r="IT283" s="73"/>
      <c r="IU283" s="73"/>
      <c r="IV283" s="73"/>
      <c r="IW283" s="73"/>
      <c r="IX283" s="73"/>
      <c r="IY283" s="73"/>
      <c r="IZ283" s="73"/>
      <c r="JA283" s="73"/>
      <c r="JB283" s="73"/>
      <c r="JC283" s="73"/>
    </row>
    <row r="284" spans="2:263" s="72" customFormat="1">
      <c r="B284" s="73"/>
      <c r="C284" s="73"/>
      <c r="D284" s="73"/>
      <c r="E284" s="73"/>
      <c r="F284" s="73"/>
      <c r="G284" s="73"/>
      <c r="H284" s="73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GL284" s="73"/>
      <c r="GM284" s="73"/>
      <c r="GN284" s="73"/>
      <c r="GO284" s="73"/>
      <c r="GP284" s="73"/>
      <c r="GQ284" s="73"/>
      <c r="GR284" s="73"/>
      <c r="GS284" s="73"/>
      <c r="GT284" s="73"/>
      <c r="GU284" s="73"/>
      <c r="GV284" s="73"/>
      <c r="GW284" s="73"/>
      <c r="GX284" s="73"/>
      <c r="GY284" s="73"/>
      <c r="GZ284" s="73"/>
      <c r="HA284" s="73"/>
      <c r="HB284" s="73"/>
      <c r="HC284" s="73"/>
      <c r="HD284" s="73"/>
      <c r="HE284" s="73"/>
      <c r="HF284" s="73"/>
      <c r="HG284" s="73"/>
      <c r="HH284" s="73"/>
      <c r="HI284" s="73"/>
      <c r="HJ284" s="73"/>
      <c r="HK284" s="73"/>
      <c r="HL284" s="73"/>
      <c r="HM284" s="73"/>
      <c r="HN284" s="73"/>
      <c r="HO284" s="73"/>
      <c r="HP284" s="73"/>
      <c r="HQ284" s="73"/>
      <c r="HR284" s="73"/>
      <c r="HS284" s="73"/>
      <c r="HT284" s="73"/>
      <c r="HU284" s="73"/>
      <c r="HV284" s="73"/>
      <c r="HW284" s="73"/>
      <c r="HX284" s="73"/>
      <c r="HY284" s="73"/>
      <c r="HZ284" s="73"/>
      <c r="IA284" s="73"/>
      <c r="IB284" s="73"/>
      <c r="IC284" s="73"/>
      <c r="ID284" s="73"/>
      <c r="IE284" s="73"/>
      <c r="IF284" s="73"/>
      <c r="IG284" s="73"/>
      <c r="IH284" s="73"/>
      <c r="II284" s="73"/>
      <c r="IJ284" s="73"/>
      <c r="IK284" s="73"/>
      <c r="IL284" s="73"/>
      <c r="IM284" s="73"/>
      <c r="IN284" s="73"/>
      <c r="IO284" s="73"/>
      <c r="IP284" s="73"/>
      <c r="IQ284" s="73"/>
      <c r="IR284" s="73"/>
      <c r="IS284" s="73"/>
      <c r="IT284" s="73"/>
      <c r="IU284" s="73"/>
      <c r="IV284" s="73"/>
      <c r="IW284" s="73"/>
      <c r="IX284" s="73"/>
      <c r="IY284" s="73"/>
      <c r="IZ284" s="73"/>
      <c r="JA284" s="73"/>
      <c r="JB284" s="73"/>
      <c r="JC284" s="73"/>
    </row>
    <row r="285" spans="2:263" s="72" customFormat="1">
      <c r="B285" s="73"/>
      <c r="C285" s="73"/>
      <c r="D285" s="73"/>
      <c r="E285" s="73"/>
      <c r="F285" s="73"/>
      <c r="G285" s="73"/>
      <c r="H285" s="73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GL285" s="73"/>
      <c r="GM285" s="73"/>
      <c r="GN285" s="73"/>
      <c r="GO285" s="73"/>
      <c r="GP285" s="73"/>
      <c r="GQ285" s="73"/>
      <c r="GR285" s="73"/>
      <c r="GS285" s="73"/>
      <c r="GT285" s="73"/>
      <c r="GU285" s="73"/>
      <c r="GV285" s="73"/>
      <c r="GW285" s="73"/>
      <c r="GX285" s="73"/>
      <c r="GY285" s="73"/>
      <c r="GZ285" s="73"/>
      <c r="HA285" s="73"/>
      <c r="HB285" s="73"/>
      <c r="HC285" s="73"/>
      <c r="HD285" s="73"/>
      <c r="HE285" s="73"/>
      <c r="HF285" s="73"/>
      <c r="HG285" s="73"/>
      <c r="HH285" s="73"/>
      <c r="HI285" s="73"/>
      <c r="HJ285" s="73"/>
      <c r="HK285" s="73"/>
      <c r="HL285" s="73"/>
      <c r="HM285" s="73"/>
      <c r="HN285" s="73"/>
      <c r="HO285" s="73"/>
      <c r="HP285" s="73"/>
      <c r="HQ285" s="73"/>
      <c r="HR285" s="73"/>
      <c r="HS285" s="73"/>
      <c r="HT285" s="73"/>
      <c r="HU285" s="73"/>
      <c r="HV285" s="73"/>
      <c r="HW285" s="73"/>
      <c r="HX285" s="73"/>
      <c r="HY285" s="73"/>
      <c r="HZ285" s="73"/>
      <c r="IA285" s="73"/>
      <c r="IB285" s="73"/>
      <c r="IC285" s="73"/>
      <c r="ID285" s="73"/>
      <c r="IE285" s="73"/>
      <c r="IF285" s="73"/>
      <c r="IG285" s="73"/>
      <c r="IH285" s="73"/>
      <c r="II285" s="73"/>
      <c r="IJ285" s="73"/>
      <c r="IK285" s="73"/>
      <c r="IL285" s="73"/>
      <c r="IM285" s="73"/>
      <c r="IN285" s="73"/>
      <c r="IO285" s="73"/>
      <c r="IP285" s="73"/>
      <c r="IQ285" s="73"/>
      <c r="IR285" s="73"/>
      <c r="IS285" s="73"/>
      <c r="IT285" s="73"/>
      <c r="IU285" s="73"/>
      <c r="IV285" s="73"/>
      <c r="IW285" s="73"/>
      <c r="IX285" s="73"/>
      <c r="IY285" s="73"/>
      <c r="IZ285" s="73"/>
      <c r="JA285" s="73"/>
      <c r="JB285" s="73"/>
      <c r="JC285" s="73"/>
    </row>
    <row r="286" spans="2:263" s="72" customFormat="1">
      <c r="B286" s="73"/>
      <c r="C286" s="73"/>
      <c r="D286" s="73"/>
      <c r="E286" s="73"/>
      <c r="F286" s="73"/>
      <c r="G286" s="73"/>
      <c r="H286" s="73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GL286" s="73"/>
      <c r="GM286" s="73"/>
      <c r="GN286" s="73"/>
      <c r="GO286" s="73"/>
      <c r="GP286" s="73"/>
      <c r="GQ286" s="73"/>
      <c r="GR286" s="73"/>
      <c r="GS286" s="73"/>
      <c r="GT286" s="73"/>
      <c r="GU286" s="73"/>
      <c r="GV286" s="73"/>
      <c r="GW286" s="73"/>
      <c r="GX286" s="73"/>
      <c r="GY286" s="73"/>
      <c r="GZ286" s="73"/>
      <c r="HA286" s="73"/>
      <c r="HB286" s="73"/>
      <c r="HC286" s="73"/>
      <c r="HD286" s="73"/>
      <c r="HE286" s="73"/>
      <c r="HF286" s="73"/>
      <c r="HG286" s="73"/>
      <c r="HH286" s="73"/>
      <c r="HI286" s="73"/>
      <c r="HJ286" s="73"/>
      <c r="HK286" s="73"/>
      <c r="HL286" s="73"/>
      <c r="HM286" s="73"/>
      <c r="HN286" s="73"/>
      <c r="HO286" s="73"/>
      <c r="HP286" s="73"/>
      <c r="HQ286" s="73"/>
      <c r="HR286" s="73"/>
      <c r="HS286" s="73"/>
      <c r="HT286" s="73"/>
      <c r="HU286" s="73"/>
      <c r="HV286" s="73"/>
      <c r="HW286" s="73"/>
      <c r="HX286" s="73"/>
      <c r="HY286" s="73"/>
      <c r="HZ286" s="73"/>
      <c r="IA286" s="73"/>
      <c r="IB286" s="73"/>
      <c r="IC286" s="73"/>
      <c r="ID286" s="73"/>
      <c r="IE286" s="73"/>
      <c r="IF286" s="73"/>
      <c r="IG286" s="73"/>
      <c r="IH286" s="73"/>
      <c r="II286" s="73"/>
      <c r="IJ286" s="73"/>
      <c r="IK286" s="73"/>
      <c r="IL286" s="73"/>
      <c r="IM286" s="73"/>
      <c r="IN286" s="73"/>
      <c r="IO286" s="73"/>
      <c r="IP286" s="73"/>
      <c r="IQ286" s="73"/>
      <c r="IR286" s="73"/>
      <c r="IS286" s="73"/>
      <c r="IT286" s="73"/>
      <c r="IU286" s="73"/>
      <c r="IV286" s="73"/>
      <c r="IW286" s="73"/>
      <c r="IX286" s="73"/>
      <c r="IY286" s="73"/>
      <c r="IZ286" s="73"/>
      <c r="JA286" s="73"/>
      <c r="JB286" s="73"/>
      <c r="JC286" s="73"/>
    </row>
    <row r="287" spans="2:263" s="72" customFormat="1">
      <c r="B287" s="73"/>
      <c r="C287" s="73"/>
      <c r="D287" s="73"/>
      <c r="E287" s="73"/>
      <c r="F287" s="73"/>
      <c r="G287" s="73"/>
      <c r="H287" s="73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GL287" s="73"/>
      <c r="GM287" s="73"/>
      <c r="GN287" s="73"/>
      <c r="GO287" s="73"/>
      <c r="GP287" s="73"/>
      <c r="GQ287" s="73"/>
      <c r="GR287" s="73"/>
      <c r="GS287" s="73"/>
      <c r="GT287" s="73"/>
      <c r="GU287" s="73"/>
      <c r="GV287" s="73"/>
      <c r="GW287" s="73"/>
      <c r="GX287" s="73"/>
      <c r="GY287" s="73"/>
      <c r="GZ287" s="73"/>
      <c r="HA287" s="73"/>
      <c r="HB287" s="73"/>
      <c r="HC287" s="73"/>
      <c r="HD287" s="73"/>
      <c r="HE287" s="73"/>
      <c r="HF287" s="73"/>
      <c r="HG287" s="73"/>
      <c r="HH287" s="73"/>
      <c r="HI287" s="73"/>
      <c r="HJ287" s="73"/>
      <c r="HK287" s="73"/>
      <c r="HL287" s="73"/>
      <c r="HM287" s="73"/>
      <c r="HN287" s="73"/>
      <c r="HO287" s="73"/>
      <c r="HP287" s="73"/>
      <c r="HQ287" s="73"/>
      <c r="HR287" s="73"/>
      <c r="HS287" s="73"/>
      <c r="HT287" s="73"/>
      <c r="HU287" s="73"/>
      <c r="HV287" s="73"/>
      <c r="HW287" s="73"/>
      <c r="HX287" s="73"/>
      <c r="HY287" s="73"/>
      <c r="HZ287" s="73"/>
      <c r="IA287" s="73"/>
      <c r="IB287" s="73"/>
      <c r="IC287" s="73"/>
      <c r="ID287" s="73"/>
      <c r="IE287" s="73"/>
      <c r="IF287" s="73"/>
      <c r="IG287" s="73"/>
      <c r="IH287" s="73"/>
      <c r="II287" s="73"/>
      <c r="IJ287" s="73"/>
      <c r="IK287" s="73"/>
      <c r="IL287" s="73"/>
      <c r="IM287" s="73"/>
      <c r="IN287" s="73"/>
      <c r="IO287" s="73"/>
      <c r="IP287" s="73"/>
      <c r="IQ287" s="73"/>
      <c r="IR287" s="73"/>
      <c r="IS287" s="73"/>
      <c r="IT287" s="73"/>
      <c r="IU287" s="73"/>
      <c r="IV287" s="73"/>
      <c r="IW287" s="73"/>
      <c r="IX287" s="73"/>
      <c r="IY287" s="73"/>
      <c r="IZ287" s="73"/>
      <c r="JA287" s="73"/>
      <c r="JB287" s="73"/>
      <c r="JC287" s="73"/>
    </row>
    <row r="288" spans="2:263" s="72" customFormat="1">
      <c r="B288" s="73"/>
      <c r="C288" s="73"/>
      <c r="D288" s="73"/>
      <c r="E288" s="73"/>
      <c r="F288" s="73"/>
      <c r="G288" s="73"/>
      <c r="H288" s="73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GL288" s="73"/>
      <c r="GM288" s="73"/>
      <c r="GN288" s="73"/>
      <c r="GO288" s="73"/>
      <c r="GP288" s="73"/>
      <c r="GQ288" s="73"/>
      <c r="GR288" s="73"/>
      <c r="GS288" s="73"/>
      <c r="GT288" s="73"/>
      <c r="GU288" s="73"/>
      <c r="GV288" s="73"/>
      <c r="GW288" s="73"/>
      <c r="GX288" s="73"/>
      <c r="GY288" s="73"/>
      <c r="GZ288" s="73"/>
      <c r="HA288" s="73"/>
      <c r="HB288" s="73"/>
      <c r="HC288" s="73"/>
      <c r="HD288" s="73"/>
      <c r="HE288" s="73"/>
      <c r="HF288" s="73"/>
      <c r="HG288" s="73"/>
      <c r="HH288" s="73"/>
      <c r="HI288" s="73"/>
      <c r="HJ288" s="73"/>
      <c r="HK288" s="73"/>
      <c r="HL288" s="73"/>
      <c r="HM288" s="73"/>
      <c r="HN288" s="73"/>
      <c r="HO288" s="73"/>
      <c r="HP288" s="73"/>
      <c r="HQ288" s="73"/>
      <c r="HR288" s="73"/>
      <c r="HS288" s="73"/>
      <c r="HT288" s="73"/>
      <c r="HU288" s="73"/>
      <c r="HV288" s="73"/>
      <c r="HW288" s="73"/>
      <c r="HX288" s="73"/>
      <c r="HY288" s="73"/>
      <c r="HZ288" s="73"/>
      <c r="IA288" s="73"/>
      <c r="IB288" s="73"/>
      <c r="IC288" s="73"/>
      <c r="ID288" s="73"/>
      <c r="IE288" s="73"/>
      <c r="IF288" s="73"/>
      <c r="IG288" s="73"/>
      <c r="IH288" s="73"/>
      <c r="II288" s="73"/>
      <c r="IJ288" s="73"/>
      <c r="IK288" s="73"/>
      <c r="IL288" s="73"/>
      <c r="IM288" s="73"/>
      <c r="IN288" s="73"/>
      <c r="IO288" s="73"/>
      <c r="IP288" s="73"/>
      <c r="IQ288" s="73"/>
      <c r="IR288" s="73"/>
      <c r="IS288" s="73"/>
      <c r="IT288" s="73"/>
      <c r="IU288" s="73"/>
      <c r="IV288" s="73"/>
      <c r="IW288" s="73"/>
      <c r="IX288" s="73"/>
      <c r="IY288" s="73"/>
      <c r="IZ288" s="73"/>
      <c r="JA288" s="73"/>
      <c r="JB288" s="73"/>
      <c r="JC288" s="73"/>
    </row>
    <row r="289" spans="2:263" s="72" customFormat="1">
      <c r="B289" s="73"/>
      <c r="C289" s="73"/>
      <c r="D289" s="73"/>
      <c r="E289" s="73"/>
      <c r="F289" s="73"/>
      <c r="G289" s="73"/>
      <c r="H289" s="73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GL289" s="73"/>
      <c r="GM289" s="73"/>
      <c r="GN289" s="73"/>
      <c r="GO289" s="73"/>
      <c r="GP289" s="73"/>
      <c r="GQ289" s="73"/>
      <c r="GR289" s="73"/>
      <c r="GS289" s="73"/>
      <c r="GT289" s="73"/>
      <c r="GU289" s="73"/>
      <c r="GV289" s="73"/>
      <c r="GW289" s="73"/>
      <c r="GX289" s="73"/>
      <c r="GY289" s="73"/>
      <c r="GZ289" s="73"/>
      <c r="HA289" s="73"/>
      <c r="HB289" s="73"/>
      <c r="HC289" s="73"/>
      <c r="HD289" s="73"/>
      <c r="HE289" s="73"/>
      <c r="HF289" s="73"/>
      <c r="HG289" s="73"/>
      <c r="HH289" s="73"/>
      <c r="HI289" s="73"/>
      <c r="HJ289" s="73"/>
      <c r="HK289" s="73"/>
      <c r="HL289" s="73"/>
      <c r="HM289" s="73"/>
      <c r="HN289" s="73"/>
      <c r="HO289" s="73"/>
      <c r="HP289" s="73"/>
      <c r="HQ289" s="73"/>
      <c r="HR289" s="73"/>
      <c r="HS289" s="73"/>
      <c r="HT289" s="73"/>
      <c r="HU289" s="73"/>
      <c r="HV289" s="73"/>
      <c r="HW289" s="73"/>
      <c r="HX289" s="73"/>
      <c r="HY289" s="73"/>
      <c r="HZ289" s="73"/>
      <c r="IA289" s="73"/>
      <c r="IB289" s="73"/>
      <c r="IC289" s="73"/>
      <c r="ID289" s="73"/>
      <c r="IE289" s="73"/>
      <c r="IF289" s="73"/>
      <c r="IG289" s="73"/>
      <c r="IH289" s="73"/>
      <c r="II289" s="73"/>
      <c r="IJ289" s="73"/>
      <c r="IK289" s="73"/>
      <c r="IL289" s="73"/>
      <c r="IM289" s="73"/>
      <c r="IN289" s="73"/>
      <c r="IO289" s="73"/>
      <c r="IP289" s="73"/>
      <c r="IQ289" s="73"/>
      <c r="IR289" s="73"/>
      <c r="IS289" s="73"/>
      <c r="IT289" s="73"/>
      <c r="IU289" s="73"/>
      <c r="IV289" s="73"/>
      <c r="IW289" s="73"/>
      <c r="IX289" s="73"/>
      <c r="IY289" s="73"/>
      <c r="IZ289" s="73"/>
      <c r="JA289" s="73"/>
      <c r="JB289" s="73"/>
      <c r="JC289" s="73"/>
    </row>
    <row r="290" spans="2:263" s="72" customFormat="1">
      <c r="B290" s="73"/>
      <c r="C290" s="73"/>
      <c r="D290" s="73"/>
      <c r="E290" s="73"/>
      <c r="F290" s="73"/>
      <c r="G290" s="73"/>
      <c r="H290" s="73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GL290" s="73"/>
      <c r="GM290" s="73"/>
      <c r="GN290" s="73"/>
      <c r="GO290" s="73"/>
      <c r="GP290" s="73"/>
      <c r="GQ290" s="73"/>
      <c r="GR290" s="73"/>
      <c r="GS290" s="73"/>
      <c r="GT290" s="73"/>
      <c r="GU290" s="73"/>
      <c r="GV290" s="73"/>
      <c r="GW290" s="73"/>
      <c r="GX290" s="73"/>
      <c r="GY290" s="73"/>
      <c r="GZ290" s="73"/>
      <c r="HA290" s="73"/>
      <c r="HB290" s="73"/>
      <c r="HC290" s="73"/>
      <c r="HD290" s="73"/>
      <c r="HE290" s="73"/>
      <c r="HF290" s="73"/>
      <c r="HG290" s="73"/>
      <c r="HH290" s="73"/>
      <c r="HI290" s="73"/>
      <c r="HJ290" s="73"/>
      <c r="HK290" s="73"/>
      <c r="HL290" s="73"/>
      <c r="HM290" s="73"/>
      <c r="HN290" s="73"/>
      <c r="HO290" s="73"/>
      <c r="HP290" s="73"/>
      <c r="HQ290" s="73"/>
      <c r="HR290" s="73"/>
      <c r="HS290" s="73"/>
      <c r="HT290" s="73"/>
      <c r="HU290" s="73"/>
      <c r="HV290" s="73"/>
      <c r="HW290" s="73"/>
      <c r="HX290" s="73"/>
      <c r="HY290" s="73"/>
      <c r="HZ290" s="73"/>
      <c r="IA290" s="73"/>
      <c r="IB290" s="73"/>
      <c r="IC290" s="73"/>
      <c r="ID290" s="73"/>
      <c r="IE290" s="73"/>
      <c r="IF290" s="73"/>
      <c r="IG290" s="73"/>
      <c r="IH290" s="73"/>
      <c r="II290" s="73"/>
      <c r="IJ290" s="73"/>
      <c r="IK290" s="73"/>
      <c r="IL290" s="73"/>
      <c r="IM290" s="73"/>
      <c r="IN290" s="73"/>
      <c r="IO290" s="73"/>
      <c r="IP290" s="73"/>
      <c r="IQ290" s="73"/>
      <c r="IR290" s="73"/>
      <c r="IS290" s="73"/>
      <c r="IT290" s="73"/>
      <c r="IU290" s="73"/>
      <c r="IV290" s="73"/>
      <c r="IW290" s="73"/>
      <c r="IX290" s="73"/>
      <c r="IY290" s="73"/>
      <c r="IZ290" s="73"/>
      <c r="JA290" s="73"/>
      <c r="JB290" s="73"/>
      <c r="JC290" s="73"/>
    </row>
    <row r="291" spans="2:263" s="72" customFormat="1">
      <c r="B291" s="73"/>
      <c r="C291" s="73"/>
      <c r="D291" s="73"/>
      <c r="E291" s="73"/>
      <c r="F291" s="73"/>
      <c r="G291" s="73"/>
      <c r="H291" s="73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GL291" s="73"/>
      <c r="GM291" s="73"/>
      <c r="GN291" s="73"/>
      <c r="GO291" s="73"/>
      <c r="GP291" s="73"/>
      <c r="GQ291" s="73"/>
      <c r="GR291" s="73"/>
      <c r="GS291" s="73"/>
      <c r="GT291" s="73"/>
      <c r="GU291" s="73"/>
      <c r="GV291" s="73"/>
      <c r="GW291" s="73"/>
      <c r="GX291" s="73"/>
      <c r="GY291" s="73"/>
      <c r="GZ291" s="73"/>
      <c r="HA291" s="73"/>
      <c r="HB291" s="73"/>
      <c r="HC291" s="73"/>
      <c r="HD291" s="73"/>
      <c r="HE291" s="73"/>
      <c r="HF291" s="73"/>
      <c r="HG291" s="73"/>
      <c r="HH291" s="73"/>
      <c r="HI291" s="73"/>
      <c r="HJ291" s="73"/>
      <c r="HK291" s="73"/>
      <c r="HL291" s="73"/>
      <c r="HM291" s="73"/>
      <c r="HN291" s="73"/>
      <c r="HO291" s="73"/>
      <c r="HP291" s="73"/>
      <c r="HQ291" s="73"/>
      <c r="HR291" s="73"/>
      <c r="HS291" s="73"/>
      <c r="HT291" s="73"/>
      <c r="HU291" s="73"/>
      <c r="HV291" s="73"/>
      <c r="HW291" s="73"/>
      <c r="HX291" s="73"/>
      <c r="HY291" s="73"/>
      <c r="HZ291" s="73"/>
      <c r="IA291" s="73"/>
      <c r="IB291" s="73"/>
      <c r="IC291" s="73"/>
      <c r="ID291" s="73"/>
      <c r="IE291" s="73"/>
      <c r="IF291" s="73"/>
      <c r="IG291" s="73"/>
      <c r="IH291" s="73"/>
      <c r="II291" s="73"/>
      <c r="IJ291" s="73"/>
      <c r="IK291" s="73"/>
      <c r="IL291" s="73"/>
      <c r="IM291" s="73"/>
      <c r="IN291" s="73"/>
      <c r="IO291" s="73"/>
      <c r="IP291" s="73"/>
      <c r="IQ291" s="73"/>
      <c r="IR291" s="73"/>
      <c r="IS291" s="73"/>
      <c r="IT291" s="73"/>
      <c r="IU291" s="73"/>
      <c r="IV291" s="73"/>
      <c r="IW291" s="73"/>
      <c r="IX291" s="73"/>
      <c r="IY291" s="73"/>
      <c r="IZ291" s="73"/>
      <c r="JA291" s="73"/>
      <c r="JB291" s="73"/>
      <c r="JC291" s="73"/>
    </row>
    <row r="292" spans="2:263" s="72" customFormat="1">
      <c r="B292" s="73"/>
      <c r="C292" s="73"/>
      <c r="D292" s="73"/>
      <c r="E292" s="73"/>
      <c r="F292" s="73"/>
      <c r="G292" s="73"/>
      <c r="H292" s="73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GL292" s="73"/>
      <c r="GM292" s="73"/>
      <c r="GN292" s="73"/>
      <c r="GO292" s="73"/>
      <c r="GP292" s="73"/>
      <c r="GQ292" s="73"/>
      <c r="GR292" s="73"/>
      <c r="GS292" s="73"/>
      <c r="GT292" s="73"/>
      <c r="GU292" s="73"/>
      <c r="GV292" s="73"/>
      <c r="GW292" s="73"/>
      <c r="GX292" s="73"/>
      <c r="GY292" s="73"/>
      <c r="GZ292" s="73"/>
      <c r="HA292" s="73"/>
      <c r="HB292" s="73"/>
      <c r="HC292" s="73"/>
      <c r="HD292" s="73"/>
      <c r="HE292" s="73"/>
      <c r="HF292" s="73"/>
      <c r="HG292" s="73"/>
      <c r="HH292" s="73"/>
      <c r="HI292" s="73"/>
      <c r="HJ292" s="73"/>
      <c r="HK292" s="73"/>
      <c r="HL292" s="73"/>
      <c r="HM292" s="73"/>
      <c r="HN292" s="73"/>
      <c r="HO292" s="73"/>
      <c r="HP292" s="73"/>
      <c r="HQ292" s="73"/>
      <c r="HR292" s="73"/>
      <c r="HS292" s="73"/>
      <c r="HT292" s="73"/>
      <c r="HU292" s="73"/>
      <c r="HV292" s="73"/>
      <c r="HW292" s="73"/>
      <c r="HX292" s="73"/>
      <c r="HY292" s="73"/>
      <c r="HZ292" s="73"/>
      <c r="IA292" s="73"/>
      <c r="IB292" s="73"/>
      <c r="IC292" s="73"/>
      <c r="ID292" s="73"/>
      <c r="IE292" s="73"/>
      <c r="IF292" s="73"/>
      <c r="IG292" s="73"/>
      <c r="IH292" s="73"/>
      <c r="II292" s="73"/>
      <c r="IJ292" s="73"/>
      <c r="IK292" s="73"/>
      <c r="IL292" s="73"/>
      <c r="IM292" s="73"/>
      <c r="IN292" s="73"/>
      <c r="IO292" s="73"/>
      <c r="IP292" s="73"/>
      <c r="IQ292" s="73"/>
      <c r="IR292" s="73"/>
      <c r="IS292" s="73"/>
      <c r="IT292" s="73"/>
      <c r="IU292" s="73"/>
      <c r="IV292" s="73"/>
      <c r="IW292" s="73"/>
      <c r="IX292" s="73"/>
      <c r="IY292" s="73"/>
      <c r="IZ292" s="73"/>
      <c r="JA292" s="73"/>
      <c r="JB292" s="73"/>
      <c r="JC292" s="73"/>
    </row>
    <row r="293" spans="2:263" s="72" customFormat="1">
      <c r="B293" s="73"/>
      <c r="C293" s="73"/>
      <c r="D293" s="73"/>
      <c r="E293" s="73"/>
      <c r="F293" s="73"/>
      <c r="G293" s="73"/>
      <c r="H293" s="73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GL293" s="73"/>
      <c r="GM293" s="73"/>
      <c r="GN293" s="73"/>
      <c r="GO293" s="73"/>
      <c r="GP293" s="73"/>
      <c r="GQ293" s="73"/>
      <c r="GR293" s="73"/>
      <c r="GS293" s="73"/>
      <c r="GT293" s="73"/>
      <c r="GU293" s="73"/>
      <c r="GV293" s="73"/>
      <c r="GW293" s="73"/>
      <c r="GX293" s="73"/>
      <c r="GY293" s="73"/>
      <c r="GZ293" s="73"/>
      <c r="HA293" s="73"/>
      <c r="HB293" s="73"/>
      <c r="HC293" s="73"/>
      <c r="HD293" s="73"/>
      <c r="HE293" s="73"/>
      <c r="HF293" s="73"/>
      <c r="HG293" s="73"/>
      <c r="HH293" s="73"/>
      <c r="HI293" s="73"/>
      <c r="HJ293" s="73"/>
      <c r="HK293" s="73"/>
      <c r="HL293" s="73"/>
      <c r="HM293" s="73"/>
      <c r="HN293" s="73"/>
      <c r="HO293" s="73"/>
      <c r="HP293" s="73"/>
      <c r="HQ293" s="73"/>
      <c r="HR293" s="73"/>
      <c r="HS293" s="73"/>
      <c r="HT293" s="73"/>
      <c r="HU293" s="73"/>
      <c r="HV293" s="73"/>
      <c r="HW293" s="73"/>
      <c r="HX293" s="73"/>
      <c r="HY293" s="73"/>
      <c r="HZ293" s="73"/>
      <c r="IA293" s="73"/>
      <c r="IB293" s="73"/>
      <c r="IC293" s="73"/>
      <c r="ID293" s="73"/>
      <c r="IE293" s="73"/>
      <c r="IF293" s="73"/>
      <c r="IG293" s="73"/>
      <c r="IH293" s="73"/>
      <c r="II293" s="73"/>
      <c r="IJ293" s="73"/>
      <c r="IK293" s="73"/>
      <c r="IL293" s="73"/>
      <c r="IM293" s="73"/>
      <c r="IN293" s="73"/>
      <c r="IO293" s="73"/>
      <c r="IP293" s="73"/>
      <c r="IQ293" s="73"/>
      <c r="IR293" s="73"/>
      <c r="IS293" s="73"/>
      <c r="IT293" s="73"/>
      <c r="IU293" s="73"/>
      <c r="IV293" s="73"/>
      <c r="IW293" s="73"/>
      <c r="IX293" s="73"/>
      <c r="IY293" s="73"/>
      <c r="IZ293" s="73"/>
      <c r="JA293" s="73"/>
      <c r="JB293" s="73"/>
      <c r="JC293" s="73"/>
    </row>
    <row r="294" spans="2:263" s="72" customFormat="1">
      <c r="B294" s="73"/>
      <c r="C294" s="73"/>
      <c r="D294" s="73"/>
      <c r="E294" s="73"/>
      <c r="F294" s="73"/>
      <c r="G294" s="73"/>
      <c r="H294" s="73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GL294" s="73"/>
      <c r="GM294" s="73"/>
      <c r="GN294" s="73"/>
      <c r="GO294" s="73"/>
      <c r="GP294" s="73"/>
      <c r="GQ294" s="73"/>
      <c r="GR294" s="73"/>
      <c r="GS294" s="73"/>
      <c r="GT294" s="73"/>
      <c r="GU294" s="73"/>
      <c r="GV294" s="73"/>
      <c r="GW294" s="73"/>
      <c r="GX294" s="73"/>
      <c r="GY294" s="73"/>
      <c r="GZ294" s="73"/>
      <c r="HA294" s="73"/>
      <c r="HB294" s="73"/>
      <c r="HC294" s="73"/>
      <c r="HD294" s="73"/>
      <c r="HE294" s="73"/>
      <c r="HF294" s="73"/>
      <c r="HG294" s="73"/>
      <c r="HH294" s="73"/>
      <c r="HI294" s="73"/>
      <c r="HJ294" s="73"/>
      <c r="HK294" s="73"/>
      <c r="HL294" s="73"/>
      <c r="HM294" s="73"/>
      <c r="HN294" s="73"/>
      <c r="HO294" s="73"/>
      <c r="HP294" s="73"/>
      <c r="HQ294" s="73"/>
      <c r="HR294" s="73"/>
      <c r="HS294" s="73"/>
      <c r="HT294" s="73"/>
      <c r="HU294" s="73"/>
      <c r="HV294" s="73"/>
      <c r="HW294" s="73"/>
      <c r="HX294" s="73"/>
      <c r="HY294" s="73"/>
      <c r="HZ294" s="73"/>
      <c r="IA294" s="73"/>
      <c r="IB294" s="73"/>
      <c r="IC294" s="73"/>
      <c r="ID294" s="73"/>
      <c r="IE294" s="73"/>
      <c r="IF294" s="73"/>
      <c r="IG294" s="73"/>
      <c r="IH294" s="73"/>
      <c r="II294" s="73"/>
      <c r="IJ294" s="73"/>
      <c r="IK294" s="73"/>
      <c r="IL294" s="73"/>
      <c r="IM294" s="73"/>
      <c r="IN294" s="73"/>
      <c r="IO294" s="73"/>
      <c r="IP294" s="73"/>
      <c r="IQ294" s="73"/>
      <c r="IR294" s="73"/>
      <c r="IS294" s="73"/>
      <c r="IT294" s="73"/>
      <c r="IU294" s="73"/>
      <c r="IV294" s="73"/>
      <c r="IW294" s="73"/>
      <c r="IX294" s="73"/>
      <c r="IY294" s="73"/>
      <c r="IZ294" s="73"/>
      <c r="JA294" s="73"/>
      <c r="JB294" s="73"/>
      <c r="JC294" s="73"/>
    </row>
    <row r="295" spans="2:263" s="72" customFormat="1">
      <c r="B295" s="73"/>
      <c r="C295" s="73"/>
      <c r="D295" s="73"/>
      <c r="E295" s="73"/>
      <c r="F295" s="73"/>
      <c r="G295" s="73"/>
      <c r="H295" s="73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GL295" s="73"/>
      <c r="GM295" s="73"/>
      <c r="GN295" s="73"/>
      <c r="GO295" s="73"/>
      <c r="GP295" s="73"/>
      <c r="GQ295" s="73"/>
      <c r="GR295" s="73"/>
      <c r="GS295" s="73"/>
      <c r="GT295" s="73"/>
      <c r="GU295" s="73"/>
      <c r="GV295" s="73"/>
      <c r="GW295" s="73"/>
      <c r="GX295" s="73"/>
      <c r="GY295" s="73"/>
      <c r="GZ295" s="73"/>
      <c r="HA295" s="73"/>
      <c r="HB295" s="73"/>
      <c r="HC295" s="73"/>
      <c r="HD295" s="73"/>
      <c r="HE295" s="73"/>
      <c r="HF295" s="73"/>
      <c r="HG295" s="73"/>
      <c r="HH295" s="73"/>
      <c r="HI295" s="73"/>
      <c r="HJ295" s="73"/>
      <c r="HK295" s="73"/>
      <c r="HL295" s="73"/>
      <c r="HM295" s="73"/>
      <c r="HN295" s="73"/>
      <c r="HO295" s="73"/>
      <c r="HP295" s="73"/>
      <c r="HQ295" s="73"/>
      <c r="HR295" s="73"/>
      <c r="HS295" s="73"/>
      <c r="HT295" s="73"/>
      <c r="HU295" s="73"/>
      <c r="HV295" s="73"/>
      <c r="HW295" s="73"/>
      <c r="HX295" s="73"/>
      <c r="HY295" s="73"/>
      <c r="HZ295" s="73"/>
      <c r="IA295" s="73"/>
      <c r="IB295" s="73"/>
      <c r="IC295" s="73"/>
      <c r="ID295" s="73"/>
      <c r="IE295" s="73"/>
      <c r="IF295" s="73"/>
      <c r="IG295" s="73"/>
      <c r="IH295" s="73"/>
      <c r="II295" s="73"/>
      <c r="IJ295" s="73"/>
      <c r="IK295" s="73"/>
      <c r="IL295" s="73"/>
      <c r="IM295" s="73"/>
      <c r="IN295" s="73"/>
      <c r="IO295" s="73"/>
      <c r="IP295" s="73"/>
      <c r="IQ295" s="73"/>
      <c r="IR295" s="73"/>
      <c r="IS295" s="73"/>
      <c r="IT295" s="73"/>
      <c r="IU295" s="73"/>
      <c r="IV295" s="73"/>
      <c r="IW295" s="73"/>
      <c r="IX295" s="73"/>
      <c r="IY295" s="73"/>
      <c r="IZ295" s="73"/>
      <c r="JA295" s="73"/>
      <c r="JB295" s="73"/>
      <c r="JC295" s="73"/>
    </row>
    <row r="296" spans="2:263" s="72" customFormat="1">
      <c r="B296" s="73"/>
      <c r="C296" s="73"/>
      <c r="D296" s="73"/>
      <c r="E296" s="73"/>
      <c r="F296" s="73"/>
      <c r="G296" s="73"/>
      <c r="H296" s="73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GL296" s="73"/>
      <c r="GM296" s="73"/>
      <c r="GN296" s="73"/>
      <c r="GO296" s="73"/>
      <c r="GP296" s="73"/>
      <c r="GQ296" s="73"/>
      <c r="GR296" s="73"/>
      <c r="GS296" s="73"/>
      <c r="GT296" s="73"/>
      <c r="GU296" s="73"/>
      <c r="GV296" s="73"/>
      <c r="GW296" s="73"/>
      <c r="GX296" s="73"/>
      <c r="GY296" s="73"/>
      <c r="GZ296" s="73"/>
      <c r="HA296" s="73"/>
      <c r="HB296" s="73"/>
      <c r="HC296" s="73"/>
      <c r="HD296" s="73"/>
      <c r="HE296" s="73"/>
      <c r="HF296" s="73"/>
      <c r="HG296" s="73"/>
      <c r="HH296" s="73"/>
      <c r="HI296" s="73"/>
      <c r="HJ296" s="73"/>
      <c r="HK296" s="73"/>
      <c r="HL296" s="73"/>
      <c r="HM296" s="73"/>
      <c r="HN296" s="73"/>
      <c r="HO296" s="73"/>
      <c r="HP296" s="73"/>
      <c r="HQ296" s="73"/>
      <c r="HR296" s="73"/>
      <c r="HS296" s="73"/>
      <c r="HT296" s="73"/>
      <c r="HU296" s="73"/>
      <c r="HV296" s="73"/>
      <c r="HW296" s="73"/>
      <c r="HX296" s="73"/>
      <c r="HY296" s="73"/>
      <c r="HZ296" s="73"/>
      <c r="IA296" s="73"/>
      <c r="IB296" s="73"/>
      <c r="IC296" s="73"/>
      <c r="ID296" s="73"/>
      <c r="IE296" s="73"/>
      <c r="IF296" s="73"/>
      <c r="IG296" s="73"/>
      <c r="IH296" s="73"/>
      <c r="II296" s="73"/>
      <c r="IJ296" s="73"/>
      <c r="IK296" s="73"/>
      <c r="IL296" s="73"/>
      <c r="IM296" s="73"/>
      <c r="IN296" s="73"/>
      <c r="IO296" s="73"/>
      <c r="IP296" s="73"/>
      <c r="IQ296" s="73"/>
      <c r="IR296" s="73"/>
      <c r="IS296" s="73"/>
      <c r="IT296" s="73"/>
      <c r="IU296" s="73"/>
      <c r="IV296" s="73"/>
      <c r="IW296" s="73"/>
      <c r="IX296" s="73"/>
      <c r="IY296" s="73"/>
      <c r="IZ296" s="73"/>
      <c r="JA296" s="73"/>
      <c r="JB296" s="73"/>
      <c r="JC296" s="73"/>
    </row>
    <row r="297" spans="2:263" s="72" customFormat="1">
      <c r="B297" s="73"/>
      <c r="C297" s="73"/>
      <c r="D297" s="73"/>
      <c r="E297" s="73"/>
      <c r="F297" s="73"/>
      <c r="G297" s="73"/>
      <c r="H297" s="73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GL297" s="73"/>
      <c r="GM297" s="73"/>
      <c r="GN297" s="73"/>
      <c r="GO297" s="73"/>
      <c r="GP297" s="73"/>
      <c r="GQ297" s="73"/>
      <c r="GR297" s="73"/>
      <c r="GS297" s="73"/>
      <c r="GT297" s="73"/>
      <c r="GU297" s="73"/>
      <c r="GV297" s="73"/>
      <c r="GW297" s="73"/>
      <c r="GX297" s="73"/>
      <c r="GY297" s="73"/>
      <c r="GZ297" s="73"/>
      <c r="HA297" s="73"/>
      <c r="HB297" s="73"/>
      <c r="HC297" s="73"/>
      <c r="HD297" s="73"/>
      <c r="HE297" s="73"/>
      <c r="HF297" s="73"/>
      <c r="HG297" s="73"/>
      <c r="HH297" s="73"/>
      <c r="HI297" s="73"/>
      <c r="HJ297" s="73"/>
      <c r="HK297" s="73"/>
      <c r="HL297" s="73"/>
      <c r="HM297" s="73"/>
      <c r="HN297" s="73"/>
      <c r="HO297" s="73"/>
      <c r="HP297" s="73"/>
      <c r="HQ297" s="73"/>
      <c r="HR297" s="73"/>
      <c r="HS297" s="73"/>
      <c r="HT297" s="73"/>
      <c r="HU297" s="73"/>
      <c r="HV297" s="73"/>
      <c r="HW297" s="73"/>
      <c r="HX297" s="73"/>
      <c r="HY297" s="73"/>
      <c r="HZ297" s="73"/>
      <c r="IA297" s="73"/>
      <c r="IB297" s="73"/>
      <c r="IC297" s="73"/>
      <c r="ID297" s="73"/>
      <c r="IE297" s="73"/>
      <c r="IF297" s="73"/>
      <c r="IG297" s="73"/>
      <c r="IH297" s="73"/>
      <c r="II297" s="73"/>
      <c r="IJ297" s="73"/>
      <c r="IK297" s="73"/>
      <c r="IL297" s="73"/>
      <c r="IM297" s="73"/>
      <c r="IN297" s="73"/>
      <c r="IO297" s="73"/>
      <c r="IP297" s="73"/>
      <c r="IQ297" s="73"/>
      <c r="IR297" s="73"/>
      <c r="IS297" s="73"/>
      <c r="IT297" s="73"/>
      <c r="IU297" s="73"/>
      <c r="IV297" s="73"/>
      <c r="IW297" s="73"/>
      <c r="IX297" s="73"/>
      <c r="IY297" s="73"/>
      <c r="IZ297" s="73"/>
      <c r="JA297" s="73"/>
      <c r="JB297" s="73"/>
      <c r="JC297" s="73"/>
    </row>
    <row r="298" spans="2:263" s="72" customFormat="1">
      <c r="B298" s="73"/>
      <c r="C298" s="73"/>
      <c r="D298" s="73"/>
      <c r="E298" s="73"/>
      <c r="F298" s="73"/>
      <c r="G298" s="73"/>
      <c r="H298" s="73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GL298" s="73"/>
      <c r="GM298" s="73"/>
      <c r="GN298" s="73"/>
      <c r="GO298" s="73"/>
      <c r="GP298" s="73"/>
      <c r="GQ298" s="73"/>
      <c r="GR298" s="73"/>
      <c r="GS298" s="73"/>
      <c r="GT298" s="73"/>
      <c r="GU298" s="73"/>
      <c r="GV298" s="73"/>
      <c r="GW298" s="73"/>
      <c r="GX298" s="73"/>
      <c r="GY298" s="73"/>
      <c r="GZ298" s="73"/>
      <c r="HA298" s="73"/>
      <c r="HB298" s="73"/>
      <c r="HC298" s="73"/>
      <c r="HD298" s="73"/>
      <c r="HE298" s="73"/>
      <c r="HF298" s="73"/>
      <c r="HG298" s="73"/>
      <c r="HH298" s="73"/>
      <c r="HI298" s="73"/>
      <c r="HJ298" s="73"/>
      <c r="HK298" s="73"/>
      <c r="HL298" s="73"/>
      <c r="HM298" s="73"/>
      <c r="HN298" s="73"/>
      <c r="HO298" s="73"/>
      <c r="HP298" s="73"/>
      <c r="HQ298" s="73"/>
      <c r="HR298" s="73"/>
      <c r="HS298" s="73"/>
      <c r="HT298" s="73"/>
      <c r="HU298" s="73"/>
      <c r="HV298" s="73"/>
      <c r="HW298" s="73"/>
      <c r="HX298" s="73"/>
      <c r="HY298" s="73"/>
      <c r="HZ298" s="73"/>
      <c r="IA298" s="73"/>
      <c r="IB298" s="73"/>
      <c r="IC298" s="73"/>
      <c r="ID298" s="73"/>
      <c r="IE298" s="73"/>
      <c r="IF298" s="73"/>
      <c r="IG298" s="73"/>
      <c r="IH298" s="73"/>
      <c r="II298" s="73"/>
      <c r="IJ298" s="73"/>
      <c r="IK298" s="73"/>
      <c r="IL298" s="73"/>
      <c r="IM298" s="73"/>
      <c r="IN298" s="73"/>
      <c r="IO298" s="73"/>
      <c r="IP298" s="73"/>
      <c r="IQ298" s="73"/>
      <c r="IR298" s="73"/>
      <c r="IS298" s="73"/>
      <c r="IT298" s="73"/>
      <c r="IU298" s="73"/>
      <c r="IV298" s="73"/>
      <c r="IW298" s="73"/>
      <c r="IX298" s="73"/>
      <c r="IY298" s="73"/>
      <c r="IZ298" s="73"/>
      <c r="JA298" s="73"/>
      <c r="JB298" s="73"/>
      <c r="JC298" s="73"/>
    </row>
    <row r="299" spans="2:263" s="72" customFormat="1">
      <c r="B299" s="73"/>
      <c r="C299" s="73"/>
      <c r="D299" s="73"/>
      <c r="E299" s="73"/>
      <c r="F299" s="73"/>
      <c r="G299" s="73"/>
      <c r="H299" s="73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GL299" s="73"/>
      <c r="GM299" s="73"/>
      <c r="GN299" s="73"/>
      <c r="GO299" s="73"/>
      <c r="GP299" s="73"/>
      <c r="GQ299" s="73"/>
      <c r="GR299" s="73"/>
      <c r="GS299" s="73"/>
      <c r="GT299" s="73"/>
      <c r="GU299" s="73"/>
      <c r="GV299" s="73"/>
      <c r="GW299" s="73"/>
      <c r="GX299" s="73"/>
      <c r="GY299" s="73"/>
      <c r="GZ299" s="73"/>
      <c r="HA299" s="73"/>
      <c r="HB299" s="73"/>
      <c r="HC299" s="73"/>
      <c r="HD299" s="73"/>
      <c r="HE299" s="73"/>
      <c r="HF299" s="73"/>
      <c r="HG299" s="73"/>
      <c r="HH299" s="73"/>
      <c r="HI299" s="73"/>
      <c r="HJ299" s="73"/>
      <c r="HK299" s="73"/>
      <c r="HL299" s="73"/>
      <c r="HM299" s="73"/>
      <c r="HN299" s="73"/>
      <c r="HO299" s="73"/>
      <c r="HP299" s="73"/>
      <c r="HQ299" s="73"/>
      <c r="HR299" s="73"/>
      <c r="HS299" s="73"/>
      <c r="HT299" s="73"/>
      <c r="HU299" s="73"/>
      <c r="HV299" s="73"/>
      <c r="HW299" s="73"/>
      <c r="HX299" s="73"/>
      <c r="HY299" s="73"/>
      <c r="HZ299" s="73"/>
      <c r="IA299" s="73"/>
      <c r="IB299" s="73"/>
      <c r="IC299" s="73"/>
      <c r="ID299" s="73"/>
      <c r="IE299" s="73"/>
      <c r="IF299" s="73"/>
      <c r="IG299" s="73"/>
      <c r="IH299" s="73"/>
      <c r="II299" s="73"/>
      <c r="IJ299" s="73"/>
      <c r="IK299" s="73"/>
      <c r="IL299" s="73"/>
      <c r="IM299" s="73"/>
      <c r="IN299" s="73"/>
      <c r="IO299" s="73"/>
      <c r="IP299" s="73"/>
      <c r="IQ299" s="73"/>
      <c r="IR299" s="73"/>
      <c r="IS299" s="73"/>
      <c r="IT299" s="73"/>
      <c r="IU299" s="73"/>
      <c r="IV299" s="73"/>
      <c r="IW299" s="73"/>
      <c r="IX299" s="73"/>
      <c r="IY299" s="73"/>
      <c r="IZ299" s="73"/>
      <c r="JA299" s="73"/>
      <c r="JB299" s="73"/>
      <c r="JC299" s="73"/>
    </row>
    <row r="300" spans="2:263" s="72" customFormat="1">
      <c r="B300" s="73"/>
      <c r="C300" s="73"/>
      <c r="D300" s="73"/>
      <c r="E300" s="73"/>
      <c r="F300" s="73"/>
      <c r="G300" s="73"/>
      <c r="H300" s="73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GL300" s="73"/>
      <c r="GM300" s="73"/>
      <c r="GN300" s="73"/>
      <c r="GO300" s="73"/>
      <c r="GP300" s="73"/>
      <c r="GQ300" s="73"/>
      <c r="GR300" s="73"/>
      <c r="GS300" s="73"/>
      <c r="GT300" s="73"/>
      <c r="GU300" s="73"/>
      <c r="GV300" s="73"/>
      <c r="GW300" s="73"/>
      <c r="GX300" s="73"/>
      <c r="GY300" s="73"/>
      <c r="GZ300" s="73"/>
      <c r="HA300" s="73"/>
      <c r="HB300" s="73"/>
      <c r="HC300" s="73"/>
      <c r="HD300" s="73"/>
      <c r="HE300" s="73"/>
      <c r="HF300" s="73"/>
      <c r="HG300" s="73"/>
      <c r="HH300" s="73"/>
      <c r="HI300" s="73"/>
      <c r="HJ300" s="73"/>
      <c r="HK300" s="73"/>
      <c r="HL300" s="73"/>
      <c r="HM300" s="73"/>
      <c r="HN300" s="73"/>
      <c r="HO300" s="73"/>
      <c r="HP300" s="73"/>
      <c r="HQ300" s="73"/>
      <c r="HR300" s="73"/>
      <c r="HS300" s="73"/>
      <c r="HT300" s="73"/>
      <c r="HU300" s="73"/>
      <c r="HV300" s="73"/>
      <c r="HW300" s="73"/>
      <c r="HX300" s="73"/>
      <c r="HY300" s="73"/>
      <c r="HZ300" s="73"/>
      <c r="IA300" s="73"/>
      <c r="IB300" s="73"/>
      <c r="IC300" s="73"/>
      <c r="ID300" s="73"/>
      <c r="IE300" s="73"/>
      <c r="IF300" s="73"/>
      <c r="IG300" s="73"/>
      <c r="IH300" s="73"/>
      <c r="II300" s="73"/>
      <c r="IJ300" s="73"/>
      <c r="IK300" s="73"/>
      <c r="IL300" s="73"/>
      <c r="IM300" s="73"/>
      <c r="IN300" s="73"/>
      <c r="IO300" s="73"/>
      <c r="IP300" s="73"/>
      <c r="IQ300" s="73"/>
      <c r="IR300" s="73"/>
      <c r="IS300" s="73"/>
      <c r="IT300" s="73"/>
      <c r="IU300" s="73"/>
      <c r="IV300" s="73"/>
      <c r="IW300" s="73"/>
      <c r="IX300" s="73"/>
      <c r="IY300" s="73"/>
      <c r="IZ300" s="73"/>
      <c r="JA300" s="73"/>
      <c r="JB300" s="73"/>
      <c r="JC300" s="73"/>
    </row>
    <row r="301" spans="2:263" s="72" customFormat="1">
      <c r="B301" s="73"/>
      <c r="C301" s="73"/>
      <c r="D301" s="73"/>
      <c r="E301" s="73"/>
      <c r="F301" s="73"/>
      <c r="G301" s="73"/>
      <c r="H301" s="73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GL301" s="73"/>
      <c r="GM301" s="73"/>
      <c r="GN301" s="73"/>
      <c r="GO301" s="73"/>
      <c r="GP301" s="73"/>
      <c r="GQ301" s="73"/>
      <c r="GR301" s="73"/>
      <c r="GS301" s="73"/>
      <c r="GT301" s="73"/>
      <c r="GU301" s="73"/>
      <c r="GV301" s="73"/>
      <c r="GW301" s="73"/>
      <c r="GX301" s="73"/>
      <c r="GY301" s="73"/>
      <c r="GZ301" s="73"/>
      <c r="HA301" s="73"/>
      <c r="HB301" s="73"/>
      <c r="HC301" s="73"/>
      <c r="HD301" s="73"/>
      <c r="HE301" s="73"/>
      <c r="HF301" s="73"/>
      <c r="HG301" s="73"/>
      <c r="HH301" s="73"/>
      <c r="HI301" s="73"/>
      <c r="HJ301" s="73"/>
      <c r="HK301" s="73"/>
      <c r="HL301" s="73"/>
      <c r="HM301" s="73"/>
      <c r="HN301" s="73"/>
      <c r="HO301" s="73"/>
      <c r="HP301" s="73"/>
      <c r="HQ301" s="73"/>
      <c r="HR301" s="73"/>
      <c r="HS301" s="73"/>
      <c r="HT301" s="73"/>
      <c r="HU301" s="73"/>
      <c r="HV301" s="73"/>
      <c r="HW301" s="73"/>
      <c r="HX301" s="73"/>
      <c r="HY301" s="73"/>
      <c r="HZ301" s="73"/>
      <c r="IA301" s="73"/>
      <c r="IB301" s="73"/>
      <c r="IC301" s="73"/>
      <c r="ID301" s="73"/>
      <c r="IE301" s="73"/>
      <c r="IF301" s="73"/>
      <c r="IG301" s="73"/>
      <c r="IH301" s="73"/>
      <c r="II301" s="73"/>
      <c r="IJ301" s="73"/>
      <c r="IK301" s="73"/>
      <c r="IL301" s="73"/>
      <c r="IM301" s="73"/>
      <c r="IN301" s="73"/>
      <c r="IO301" s="73"/>
      <c r="IP301" s="73"/>
      <c r="IQ301" s="73"/>
      <c r="IR301" s="73"/>
      <c r="IS301" s="73"/>
      <c r="IT301" s="73"/>
      <c r="IU301" s="73"/>
      <c r="IV301" s="73"/>
      <c r="IW301" s="73"/>
      <c r="IX301" s="73"/>
      <c r="IY301" s="73"/>
      <c r="IZ301" s="73"/>
      <c r="JA301" s="73"/>
      <c r="JB301" s="73"/>
      <c r="JC301" s="73"/>
    </row>
    <row r="302" spans="2:263" s="72" customFormat="1">
      <c r="B302" s="73"/>
      <c r="C302" s="73"/>
      <c r="D302" s="73"/>
      <c r="E302" s="73"/>
      <c r="F302" s="73"/>
      <c r="G302" s="73"/>
      <c r="H302" s="73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GL302" s="73"/>
      <c r="GM302" s="73"/>
      <c r="GN302" s="73"/>
      <c r="GO302" s="73"/>
      <c r="GP302" s="73"/>
      <c r="GQ302" s="73"/>
      <c r="GR302" s="73"/>
      <c r="GS302" s="73"/>
      <c r="GT302" s="73"/>
      <c r="GU302" s="73"/>
      <c r="GV302" s="73"/>
      <c r="GW302" s="73"/>
      <c r="GX302" s="73"/>
      <c r="GY302" s="73"/>
      <c r="GZ302" s="73"/>
      <c r="HA302" s="73"/>
      <c r="HB302" s="73"/>
      <c r="HC302" s="73"/>
      <c r="HD302" s="73"/>
      <c r="HE302" s="73"/>
      <c r="HF302" s="73"/>
      <c r="HG302" s="73"/>
      <c r="HH302" s="73"/>
      <c r="HI302" s="73"/>
      <c r="HJ302" s="73"/>
      <c r="HK302" s="73"/>
      <c r="HL302" s="73"/>
      <c r="HM302" s="73"/>
      <c r="HN302" s="73"/>
      <c r="HO302" s="73"/>
      <c r="HP302" s="73"/>
      <c r="HQ302" s="73"/>
      <c r="HR302" s="73"/>
      <c r="HS302" s="73"/>
      <c r="HT302" s="73"/>
      <c r="HU302" s="73"/>
      <c r="HV302" s="73"/>
      <c r="HW302" s="73"/>
      <c r="HX302" s="73"/>
      <c r="HY302" s="73"/>
      <c r="HZ302" s="73"/>
      <c r="IA302" s="73"/>
      <c r="IB302" s="73"/>
      <c r="IC302" s="73"/>
      <c r="ID302" s="73"/>
      <c r="IE302" s="73"/>
      <c r="IF302" s="73"/>
      <c r="IG302" s="73"/>
      <c r="IH302" s="73"/>
      <c r="II302" s="73"/>
      <c r="IJ302" s="73"/>
      <c r="IK302" s="73"/>
      <c r="IL302" s="73"/>
      <c r="IM302" s="73"/>
      <c r="IN302" s="73"/>
      <c r="IO302" s="73"/>
      <c r="IP302" s="73"/>
      <c r="IQ302" s="73"/>
      <c r="IR302" s="73"/>
      <c r="IS302" s="73"/>
      <c r="IT302" s="73"/>
      <c r="IU302" s="73"/>
      <c r="IV302" s="73"/>
      <c r="IW302" s="73"/>
      <c r="IX302" s="73"/>
      <c r="IY302" s="73"/>
      <c r="IZ302" s="73"/>
      <c r="JA302" s="73"/>
      <c r="JB302" s="73"/>
      <c r="JC302" s="73"/>
    </row>
    <row r="303" spans="2:263" s="72" customFormat="1">
      <c r="B303" s="73"/>
      <c r="C303" s="73"/>
      <c r="D303" s="73"/>
      <c r="E303" s="73"/>
      <c r="F303" s="73"/>
      <c r="G303" s="73"/>
      <c r="H303" s="73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GL303" s="73"/>
      <c r="GM303" s="73"/>
      <c r="GN303" s="73"/>
      <c r="GO303" s="73"/>
      <c r="GP303" s="73"/>
      <c r="GQ303" s="73"/>
      <c r="GR303" s="73"/>
      <c r="GS303" s="73"/>
      <c r="GT303" s="73"/>
      <c r="GU303" s="73"/>
      <c r="GV303" s="73"/>
      <c r="GW303" s="73"/>
      <c r="GX303" s="73"/>
      <c r="GY303" s="73"/>
      <c r="GZ303" s="73"/>
      <c r="HA303" s="73"/>
      <c r="HB303" s="73"/>
      <c r="HC303" s="73"/>
      <c r="HD303" s="73"/>
      <c r="HE303" s="73"/>
      <c r="HF303" s="73"/>
      <c r="HG303" s="73"/>
      <c r="HH303" s="73"/>
      <c r="HI303" s="73"/>
      <c r="HJ303" s="73"/>
      <c r="HK303" s="73"/>
      <c r="HL303" s="73"/>
      <c r="HM303" s="73"/>
      <c r="HN303" s="73"/>
      <c r="HO303" s="73"/>
      <c r="HP303" s="73"/>
      <c r="HQ303" s="73"/>
      <c r="HR303" s="73"/>
      <c r="HS303" s="73"/>
      <c r="HT303" s="73"/>
      <c r="HU303" s="73"/>
      <c r="HV303" s="73"/>
      <c r="HW303" s="73"/>
      <c r="HX303" s="73"/>
      <c r="HY303" s="73"/>
      <c r="HZ303" s="73"/>
      <c r="IA303" s="73"/>
      <c r="IB303" s="73"/>
      <c r="IC303" s="73"/>
      <c r="ID303" s="73"/>
      <c r="IE303" s="73"/>
      <c r="IF303" s="73"/>
      <c r="IG303" s="73"/>
      <c r="IH303" s="73"/>
      <c r="II303" s="73"/>
      <c r="IJ303" s="73"/>
      <c r="IK303" s="73"/>
      <c r="IL303" s="73"/>
      <c r="IM303" s="73"/>
      <c r="IN303" s="73"/>
      <c r="IO303" s="73"/>
      <c r="IP303" s="73"/>
      <c r="IQ303" s="73"/>
      <c r="IR303" s="73"/>
      <c r="IS303" s="73"/>
      <c r="IT303" s="73"/>
      <c r="IU303" s="73"/>
      <c r="IV303" s="73"/>
      <c r="IW303" s="73"/>
      <c r="IX303" s="73"/>
      <c r="IY303" s="73"/>
      <c r="IZ303" s="73"/>
      <c r="JA303" s="73"/>
      <c r="JB303" s="73"/>
      <c r="JC303" s="73"/>
    </row>
    <row r="304" spans="2:263" s="72" customFormat="1">
      <c r="B304" s="73"/>
      <c r="C304" s="73"/>
      <c r="D304" s="73"/>
      <c r="E304" s="73"/>
      <c r="F304" s="73"/>
      <c r="G304" s="73"/>
      <c r="H304" s="73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GL304" s="73"/>
      <c r="GM304" s="73"/>
      <c r="GN304" s="73"/>
      <c r="GO304" s="73"/>
      <c r="GP304" s="73"/>
      <c r="GQ304" s="73"/>
      <c r="GR304" s="73"/>
      <c r="GS304" s="73"/>
      <c r="GT304" s="73"/>
      <c r="GU304" s="73"/>
      <c r="GV304" s="73"/>
      <c r="GW304" s="73"/>
      <c r="GX304" s="73"/>
      <c r="GY304" s="73"/>
      <c r="GZ304" s="73"/>
      <c r="HA304" s="73"/>
      <c r="HB304" s="73"/>
      <c r="HC304" s="73"/>
      <c r="HD304" s="73"/>
      <c r="HE304" s="73"/>
      <c r="HF304" s="73"/>
      <c r="HG304" s="73"/>
      <c r="HH304" s="73"/>
      <c r="HI304" s="73"/>
      <c r="HJ304" s="73"/>
      <c r="HK304" s="73"/>
      <c r="HL304" s="73"/>
      <c r="HM304" s="73"/>
      <c r="HN304" s="73"/>
      <c r="HO304" s="73"/>
      <c r="HP304" s="73"/>
      <c r="HQ304" s="73"/>
      <c r="HR304" s="73"/>
      <c r="HS304" s="73"/>
      <c r="HT304" s="73"/>
      <c r="HU304" s="73"/>
      <c r="HV304" s="73"/>
      <c r="HW304" s="73"/>
      <c r="HX304" s="73"/>
      <c r="HY304" s="73"/>
      <c r="HZ304" s="73"/>
      <c r="IA304" s="73"/>
      <c r="IB304" s="73"/>
      <c r="IC304" s="73"/>
      <c r="ID304" s="73"/>
      <c r="IE304" s="73"/>
      <c r="IF304" s="73"/>
      <c r="IG304" s="73"/>
      <c r="IH304" s="73"/>
      <c r="II304" s="73"/>
      <c r="IJ304" s="73"/>
      <c r="IK304" s="73"/>
      <c r="IL304" s="73"/>
      <c r="IM304" s="73"/>
      <c r="IN304" s="73"/>
      <c r="IO304" s="73"/>
      <c r="IP304" s="73"/>
      <c r="IQ304" s="73"/>
      <c r="IR304" s="73"/>
      <c r="IS304" s="73"/>
      <c r="IT304" s="73"/>
      <c r="IU304" s="73"/>
      <c r="IV304" s="73"/>
      <c r="IW304" s="73"/>
      <c r="IX304" s="73"/>
      <c r="IY304" s="73"/>
      <c r="IZ304" s="73"/>
      <c r="JA304" s="73"/>
      <c r="JB304" s="73"/>
      <c r="JC304" s="73"/>
    </row>
    <row r="305" spans="2:263" s="72" customFormat="1">
      <c r="B305" s="73"/>
      <c r="C305" s="73"/>
      <c r="D305" s="73"/>
      <c r="E305" s="73"/>
      <c r="F305" s="73"/>
      <c r="G305" s="73"/>
      <c r="H305" s="73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GL305" s="73"/>
      <c r="GM305" s="73"/>
      <c r="GN305" s="73"/>
      <c r="GO305" s="73"/>
      <c r="GP305" s="73"/>
      <c r="GQ305" s="73"/>
      <c r="GR305" s="73"/>
      <c r="GS305" s="73"/>
      <c r="GT305" s="73"/>
      <c r="GU305" s="73"/>
      <c r="GV305" s="73"/>
      <c r="GW305" s="73"/>
      <c r="GX305" s="73"/>
      <c r="GY305" s="73"/>
      <c r="GZ305" s="73"/>
      <c r="HA305" s="73"/>
      <c r="HB305" s="73"/>
      <c r="HC305" s="73"/>
      <c r="HD305" s="73"/>
      <c r="HE305" s="73"/>
      <c r="HF305" s="73"/>
      <c r="HG305" s="73"/>
      <c r="HH305" s="73"/>
      <c r="HI305" s="73"/>
      <c r="HJ305" s="73"/>
      <c r="HK305" s="73"/>
      <c r="HL305" s="73"/>
      <c r="HM305" s="73"/>
      <c r="HN305" s="73"/>
      <c r="HO305" s="73"/>
      <c r="HP305" s="73"/>
      <c r="HQ305" s="73"/>
      <c r="HR305" s="73"/>
      <c r="HS305" s="73"/>
      <c r="HT305" s="73"/>
      <c r="HU305" s="73"/>
      <c r="HV305" s="73"/>
      <c r="HW305" s="73"/>
      <c r="HX305" s="73"/>
      <c r="HY305" s="73"/>
      <c r="HZ305" s="73"/>
      <c r="IA305" s="73"/>
      <c r="IB305" s="73"/>
      <c r="IC305" s="73"/>
      <c r="ID305" s="73"/>
      <c r="IE305" s="73"/>
      <c r="IF305" s="73"/>
      <c r="IG305" s="73"/>
      <c r="IH305" s="73"/>
      <c r="II305" s="73"/>
      <c r="IJ305" s="73"/>
      <c r="IK305" s="73"/>
      <c r="IL305" s="73"/>
      <c r="IM305" s="73"/>
      <c r="IN305" s="73"/>
      <c r="IO305" s="73"/>
      <c r="IP305" s="73"/>
      <c r="IQ305" s="73"/>
      <c r="IR305" s="73"/>
      <c r="IS305" s="73"/>
      <c r="IT305" s="73"/>
      <c r="IU305" s="73"/>
      <c r="IV305" s="73"/>
      <c r="IW305" s="73"/>
      <c r="IX305" s="73"/>
      <c r="IY305" s="73"/>
      <c r="IZ305" s="73"/>
      <c r="JA305" s="73"/>
      <c r="JB305" s="73"/>
      <c r="JC305" s="73"/>
    </row>
    <row r="306" spans="2:263" s="72" customFormat="1">
      <c r="B306" s="73"/>
      <c r="C306" s="73"/>
      <c r="D306" s="73"/>
      <c r="E306" s="73"/>
      <c r="F306" s="73"/>
      <c r="G306" s="73"/>
      <c r="H306" s="73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GL306" s="73"/>
      <c r="GM306" s="73"/>
      <c r="GN306" s="73"/>
      <c r="GO306" s="73"/>
      <c r="GP306" s="73"/>
      <c r="GQ306" s="73"/>
      <c r="GR306" s="73"/>
      <c r="GS306" s="73"/>
      <c r="GT306" s="73"/>
      <c r="GU306" s="73"/>
      <c r="GV306" s="73"/>
      <c r="GW306" s="73"/>
      <c r="GX306" s="73"/>
      <c r="GY306" s="73"/>
      <c r="GZ306" s="73"/>
      <c r="HA306" s="73"/>
      <c r="HB306" s="73"/>
      <c r="HC306" s="73"/>
      <c r="HD306" s="73"/>
      <c r="HE306" s="73"/>
      <c r="HF306" s="73"/>
      <c r="HG306" s="73"/>
      <c r="HH306" s="73"/>
      <c r="HI306" s="73"/>
      <c r="HJ306" s="73"/>
      <c r="HK306" s="73"/>
      <c r="HL306" s="73"/>
      <c r="HM306" s="73"/>
      <c r="HN306" s="73"/>
      <c r="HO306" s="73"/>
      <c r="HP306" s="73"/>
      <c r="HQ306" s="73"/>
      <c r="HR306" s="73"/>
      <c r="HS306" s="73"/>
      <c r="HT306" s="73"/>
      <c r="HU306" s="73"/>
      <c r="HV306" s="73"/>
      <c r="HW306" s="73"/>
      <c r="HX306" s="73"/>
      <c r="HY306" s="73"/>
      <c r="HZ306" s="73"/>
      <c r="IA306" s="73"/>
      <c r="IB306" s="73"/>
      <c r="IC306" s="73"/>
      <c r="ID306" s="73"/>
      <c r="IE306" s="73"/>
      <c r="IF306" s="73"/>
      <c r="IG306" s="73"/>
      <c r="IH306" s="73"/>
      <c r="II306" s="73"/>
      <c r="IJ306" s="73"/>
      <c r="IK306" s="73"/>
      <c r="IL306" s="73"/>
      <c r="IM306" s="73"/>
      <c r="IN306" s="73"/>
      <c r="IO306" s="73"/>
      <c r="IP306" s="73"/>
      <c r="IQ306" s="73"/>
      <c r="IR306" s="73"/>
      <c r="IS306" s="73"/>
      <c r="IT306" s="73"/>
      <c r="IU306" s="73"/>
      <c r="IV306" s="73"/>
      <c r="IW306" s="73"/>
      <c r="IX306" s="73"/>
      <c r="IY306" s="73"/>
      <c r="IZ306" s="73"/>
      <c r="JA306" s="73"/>
      <c r="JB306" s="73"/>
      <c r="JC306" s="73"/>
    </row>
    <row r="307" spans="2:263" s="72" customFormat="1">
      <c r="B307" s="73"/>
      <c r="C307" s="73"/>
      <c r="D307" s="73"/>
      <c r="E307" s="73"/>
      <c r="F307" s="73"/>
      <c r="G307" s="73"/>
      <c r="H307" s="73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GL307" s="73"/>
      <c r="GM307" s="73"/>
      <c r="GN307" s="73"/>
      <c r="GO307" s="73"/>
      <c r="GP307" s="73"/>
      <c r="GQ307" s="73"/>
      <c r="GR307" s="73"/>
      <c r="GS307" s="73"/>
      <c r="GT307" s="73"/>
      <c r="GU307" s="73"/>
      <c r="GV307" s="73"/>
      <c r="GW307" s="73"/>
      <c r="GX307" s="73"/>
      <c r="GY307" s="73"/>
      <c r="GZ307" s="73"/>
      <c r="HA307" s="73"/>
      <c r="HB307" s="73"/>
      <c r="HC307" s="73"/>
      <c r="HD307" s="73"/>
      <c r="HE307" s="73"/>
      <c r="HF307" s="73"/>
      <c r="HG307" s="73"/>
      <c r="HH307" s="73"/>
      <c r="HI307" s="73"/>
      <c r="HJ307" s="73"/>
      <c r="HK307" s="73"/>
      <c r="HL307" s="73"/>
      <c r="HM307" s="73"/>
      <c r="HN307" s="73"/>
      <c r="HO307" s="73"/>
      <c r="HP307" s="73"/>
      <c r="HQ307" s="73"/>
      <c r="HR307" s="73"/>
      <c r="HS307" s="73"/>
      <c r="HT307" s="73"/>
      <c r="HU307" s="73"/>
      <c r="HV307" s="73"/>
      <c r="HW307" s="73"/>
      <c r="HX307" s="73"/>
      <c r="HY307" s="73"/>
      <c r="HZ307" s="73"/>
      <c r="IA307" s="73"/>
      <c r="IB307" s="73"/>
      <c r="IC307" s="73"/>
      <c r="ID307" s="73"/>
      <c r="IE307" s="73"/>
      <c r="IF307" s="73"/>
      <c r="IG307" s="73"/>
      <c r="IH307" s="73"/>
      <c r="II307" s="73"/>
      <c r="IJ307" s="73"/>
      <c r="IK307" s="73"/>
      <c r="IL307" s="73"/>
      <c r="IM307" s="73"/>
      <c r="IN307" s="73"/>
      <c r="IO307" s="73"/>
      <c r="IP307" s="73"/>
      <c r="IQ307" s="73"/>
      <c r="IR307" s="73"/>
      <c r="IS307" s="73"/>
      <c r="IT307" s="73"/>
      <c r="IU307" s="73"/>
      <c r="IV307" s="73"/>
      <c r="IW307" s="73"/>
      <c r="IX307" s="73"/>
      <c r="IY307" s="73"/>
      <c r="IZ307" s="73"/>
      <c r="JA307" s="73"/>
      <c r="JB307" s="73"/>
      <c r="JC307" s="73"/>
    </row>
    <row r="308" spans="2:263" s="72" customFormat="1">
      <c r="B308" s="73"/>
      <c r="C308" s="73"/>
      <c r="D308" s="73"/>
      <c r="E308" s="73"/>
      <c r="F308" s="73"/>
      <c r="G308" s="73"/>
      <c r="H308" s="73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GL308" s="73"/>
      <c r="GM308" s="73"/>
      <c r="GN308" s="73"/>
      <c r="GO308" s="73"/>
      <c r="GP308" s="73"/>
      <c r="GQ308" s="73"/>
      <c r="GR308" s="73"/>
      <c r="GS308" s="73"/>
      <c r="GT308" s="73"/>
      <c r="GU308" s="73"/>
      <c r="GV308" s="73"/>
      <c r="GW308" s="73"/>
      <c r="GX308" s="73"/>
      <c r="GY308" s="73"/>
      <c r="GZ308" s="73"/>
      <c r="HA308" s="73"/>
      <c r="HB308" s="73"/>
      <c r="HC308" s="73"/>
      <c r="HD308" s="73"/>
      <c r="HE308" s="73"/>
      <c r="HF308" s="73"/>
      <c r="HG308" s="73"/>
      <c r="HH308" s="73"/>
      <c r="HI308" s="73"/>
      <c r="HJ308" s="73"/>
      <c r="HK308" s="73"/>
      <c r="HL308" s="73"/>
      <c r="HM308" s="73"/>
      <c r="HN308" s="73"/>
      <c r="HO308" s="73"/>
      <c r="HP308" s="73"/>
      <c r="HQ308" s="73"/>
      <c r="HR308" s="73"/>
      <c r="HS308" s="73"/>
      <c r="HT308" s="73"/>
      <c r="HU308" s="73"/>
      <c r="HV308" s="73"/>
      <c r="HW308" s="73"/>
      <c r="HX308" s="73"/>
      <c r="HY308" s="73"/>
      <c r="HZ308" s="73"/>
      <c r="IA308" s="73"/>
      <c r="IB308" s="73"/>
      <c r="IC308" s="73"/>
      <c r="ID308" s="73"/>
      <c r="IE308" s="73"/>
      <c r="IF308" s="73"/>
      <c r="IG308" s="73"/>
      <c r="IH308" s="73"/>
      <c r="II308" s="73"/>
      <c r="IJ308" s="73"/>
      <c r="IK308" s="73"/>
      <c r="IL308" s="73"/>
      <c r="IM308" s="73"/>
      <c r="IN308" s="73"/>
      <c r="IO308" s="73"/>
      <c r="IP308" s="73"/>
      <c r="IQ308" s="73"/>
      <c r="IR308" s="73"/>
      <c r="IS308" s="73"/>
      <c r="IT308" s="73"/>
      <c r="IU308" s="73"/>
      <c r="IV308" s="73"/>
      <c r="IW308" s="73"/>
      <c r="IX308" s="73"/>
      <c r="IY308" s="73"/>
      <c r="IZ308" s="73"/>
      <c r="JA308" s="73"/>
      <c r="JB308" s="73"/>
      <c r="JC308" s="73"/>
    </row>
    <row r="309" spans="2:263" s="72" customFormat="1">
      <c r="B309" s="73"/>
      <c r="C309" s="73"/>
      <c r="D309" s="73"/>
      <c r="E309" s="73"/>
      <c r="F309" s="73"/>
      <c r="G309" s="73"/>
      <c r="H309" s="73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GL309" s="73"/>
      <c r="GM309" s="73"/>
      <c r="GN309" s="73"/>
      <c r="GO309" s="73"/>
      <c r="GP309" s="73"/>
      <c r="GQ309" s="73"/>
      <c r="GR309" s="73"/>
      <c r="GS309" s="73"/>
      <c r="GT309" s="73"/>
      <c r="GU309" s="73"/>
      <c r="GV309" s="73"/>
      <c r="GW309" s="73"/>
      <c r="GX309" s="73"/>
      <c r="GY309" s="73"/>
      <c r="GZ309" s="73"/>
      <c r="HA309" s="73"/>
      <c r="HB309" s="73"/>
      <c r="HC309" s="73"/>
      <c r="HD309" s="73"/>
      <c r="HE309" s="73"/>
      <c r="HF309" s="73"/>
      <c r="HG309" s="73"/>
      <c r="HH309" s="73"/>
      <c r="HI309" s="73"/>
      <c r="HJ309" s="73"/>
      <c r="HK309" s="73"/>
      <c r="HL309" s="73"/>
      <c r="HM309" s="73"/>
      <c r="HN309" s="73"/>
      <c r="HO309" s="73"/>
      <c r="HP309" s="73"/>
      <c r="HQ309" s="73"/>
      <c r="HR309" s="73"/>
      <c r="HS309" s="73"/>
      <c r="HT309" s="73"/>
      <c r="HU309" s="73"/>
      <c r="HV309" s="73"/>
      <c r="HW309" s="73"/>
      <c r="HX309" s="73"/>
      <c r="HY309" s="73"/>
      <c r="HZ309" s="73"/>
      <c r="IA309" s="73"/>
      <c r="IB309" s="73"/>
      <c r="IC309" s="73"/>
      <c r="ID309" s="73"/>
      <c r="IE309" s="73"/>
      <c r="IF309" s="73"/>
      <c r="IG309" s="73"/>
      <c r="IH309" s="73"/>
      <c r="II309" s="73"/>
      <c r="IJ309" s="73"/>
      <c r="IK309" s="73"/>
      <c r="IL309" s="73"/>
      <c r="IM309" s="73"/>
      <c r="IN309" s="73"/>
      <c r="IO309" s="73"/>
      <c r="IP309" s="73"/>
      <c r="IQ309" s="73"/>
      <c r="IR309" s="73"/>
      <c r="IS309" s="73"/>
      <c r="IT309" s="73"/>
      <c r="IU309" s="73"/>
      <c r="IV309" s="73"/>
      <c r="IW309" s="73"/>
      <c r="IX309" s="73"/>
      <c r="IY309" s="73"/>
      <c r="IZ309" s="73"/>
      <c r="JA309" s="73"/>
      <c r="JB309" s="73"/>
      <c r="JC309" s="73"/>
    </row>
    <row r="310" spans="2:263" s="72" customFormat="1">
      <c r="B310" s="73"/>
      <c r="C310" s="73"/>
      <c r="D310" s="73"/>
      <c r="E310" s="73"/>
      <c r="F310" s="73"/>
      <c r="G310" s="73"/>
      <c r="H310" s="73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GL310" s="73"/>
      <c r="GM310" s="73"/>
      <c r="GN310" s="73"/>
      <c r="GO310" s="73"/>
      <c r="GP310" s="73"/>
      <c r="GQ310" s="73"/>
      <c r="GR310" s="73"/>
      <c r="GS310" s="73"/>
      <c r="GT310" s="73"/>
      <c r="GU310" s="73"/>
      <c r="GV310" s="73"/>
      <c r="GW310" s="73"/>
      <c r="GX310" s="73"/>
      <c r="GY310" s="73"/>
      <c r="GZ310" s="73"/>
      <c r="HA310" s="73"/>
      <c r="HB310" s="73"/>
      <c r="HC310" s="73"/>
      <c r="HD310" s="73"/>
      <c r="HE310" s="73"/>
      <c r="HF310" s="73"/>
      <c r="HG310" s="73"/>
      <c r="HH310" s="73"/>
      <c r="HI310" s="73"/>
      <c r="HJ310" s="73"/>
      <c r="HK310" s="73"/>
      <c r="HL310" s="73"/>
      <c r="HM310" s="73"/>
      <c r="HN310" s="73"/>
      <c r="HO310" s="73"/>
      <c r="HP310" s="73"/>
      <c r="HQ310" s="73"/>
      <c r="HR310" s="73"/>
      <c r="HS310" s="73"/>
      <c r="HT310" s="73"/>
      <c r="HU310" s="73"/>
      <c r="HV310" s="73"/>
      <c r="HW310" s="73"/>
      <c r="HX310" s="73"/>
      <c r="HY310" s="73"/>
      <c r="HZ310" s="73"/>
      <c r="IA310" s="73"/>
      <c r="IB310" s="73"/>
      <c r="IC310" s="73"/>
      <c r="ID310" s="73"/>
      <c r="IE310" s="73"/>
      <c r="IF310" s="73"/>
      <c r="IG310" s="73"/>
      <c r="IH310" s="73"/>
      <c r="II310" s="73"/>
      <c r="IJ310" s="73"/>
      <c r="IK310" s="73"/>
      <c r="IL310" s="73"/>
      <c r="IM310" s="73"/>
      <c r="IN310" s="73"/>
      <c r="IO310" s="73"/>
      <c r="IP310" s="73"/>
      <c r="IQ310" s="73"/>
      <c r="IR310" s="73"/>
      <c r="IS310" s="73"/>
      <c r="IT310" s="73"/>
      <c r="IU310" s="73"/>
      <c r="IV310" s="73"/>
      <c r="IW310" s="73"/>
      <c r="IX310" s="73"/>
      <c r="IY310" s="73"/>
      <c r="IZ310" s="73"/>
      <c r="JA310" s="73"/>
      <c r="JB310" s="73"/>
      <c r="JC310" s="73"/>
    </row>
    <row r="311" spans="2:263" s="72" customFormat="1">
      <c r="B311" s="73"/>
      <c r="C311" s="73"/>
      <c r="D311" s="73"/>
      <c r="E311" s="73"/>
      <c r="F311" s="73"/>
      <c r="G311" s="73"/>
      <c r="H311" s="73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GL311" s="73"/>
      <c r="GM311" s="73"/>
      <c r="GN311" s="73"/>
      <c r="GO311" s="73"/>
      <c r="GP311" s="73"/>
      <c r="GQ311" s="73"/>
      <c r="GR311" s="73"/>
      <c r="GS311" s="73"/>
      <c r="GT311" s="73"/>
      <c r="GU311" s="73"/>
      <c r="GV311" s="73"/>
      <c r="GW311" s="73"/>
      <c r="GX311" s="73"/>
      <c r="GY311" s="73"/>
      <c r="GZ311" s="73"/>
      <c r="HA311" s="73"/>
      <c r="HB311" s="73"/>
      <c r="HC311" s="73"/>
      <c r="HD311" s="73"/>
      <c r="HE311" s="73"/>
      <c r="HF311" s="73"/>
      <c r="HG311" s="73"/>
      <c r="HH311" s="73"/>
      <c r="HI311" s="73"/>
      <c r="HJ311" s="73"/>
      <c r="HK311" s="73"/>
      <c r="HL311" s="73"/>
      <c r="HM311" s="73"/>
      <c r="HN311" s="73"/>
      <c r="HO311" s="73"/>
      <c r="HP311" s="73"/>
      <c r="HQ311" s="73"/>
      <c r="HR311" s="73"/>
      <c r="HS311" s="73"/>
      <c r="HT311" s="73"/>
      <c r="HU311" s="73"/>
      <c r="HV311" s="73"/>
      <c r="HW311" s="73"/>
      <c r="HX311" s="73"/>
      <c r="HY311" s="73"/>
      <c r="HZ311" s="73"/>
      <c r="IA311" s="73"/>
      <c r="IB311" s="73"/>
      <c r="IC311" s="73"/>
      <c r="ID311" s="73"/>
      <c r="IE311" s="73"/>
      <c r="IF311" s="73"/>
      <c r="IG311" s="73"/>
      <c r="IH311" s="73"/>
      <c r="II311" s="73"/>
      <c r="IJ311" s="73"/>
      <c r="IK311" s="73"/>
      <c r="IL311" s="73"/>
      <c r="IM311" s="73"/>
      <c r="IN311" s="73"/>
      <c r="IO311" s="73"/>
      <c r="IP311" s="73"/>
      <c r="IQ311" s="73"/>
      <c r="IR311" s="73"/>
      <c r="IS311" s="73"/>
      <c r="IT311" s="73"/>
      <c r="IU311" s="73"/>
      <c r="IV311" s="73"/>
      <c r="IW311" s="73"/>
      <c r="IX311" s="73"/>
      <c r="IY311" s="73"/>
      <c r="IZ311" s="73"/>
      <c r="JA311" s="73"/>
      <c r="JB311" s="73"/>
      <c r="JC311" s="73"/>
    </row>
    <row r="312" spans="2:263" s="72" customFormat="1">
      <c r="B312" s="73"/>
      <c r="C312" s="73"/>
      <c r="D312" s="73"/>
      <c r="E312" s="73"/>
      <c r="F312" s="73"/>
      <c r="G312" s="73"/>
      <c r="H312" s="73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GL312" s="73"/>
      <c r="GM312" s="73"/>
      <c r="GN312" s="73"/>
      <c r="GO312" s="73"/>
      <c r="GP312" s="73"/>
      <c r="GQ312" s="73"/>
      <c r="GR312" s="73"/>
      <c r="GS312" s="73"/>
      <c r="GT312" s="73"/>
      <c r="GU312" s="73"/>
      <c r="GV312" s="73"/>
      <c r="GW312" s="73"/>
      <c r="GX312" s="73"/>
      <c r="GY312" s="73"/>
      <c r="GZ312" s="73"/>
      <c r="HA312" s="73"/>
      <c r="HB312" s="73"/>
      <c r="HC312" s="73"/>
      <c r="HD312" s="73"/>
      <c r="HE312" s="73"/>
      <c r="HF312" s="73"/>
      <c r="HG312" s="73"/>
      <c r="HH312" s="73"/>
      <c r="HI312" s="73"/>
      <c r="HJ312" s="73"/>
      <c r="HK312" s="73"/>
      <c r="HL312" s="73"/>
      <c r="HM312" s="73"/>
      <c r="HN312" s="73"/>
      <c r="HO312" s="73"/>
      <c r="HP312" s="73"/>
      <c r="HQ312" s="73"/>
      <c r="HR312" s="73"/>
      <c r="HS312" s="73"/>
      <c r="HT312" s="73"/>
      <c r="HU312" s="73"/>
      <c r="HV312" s="73"/>
      <c r="HW312" s="73"/>
      <c r="HX312" s="73"/>
      <c r="HY312" s="73"/>
      <c r="HZ312" s="73"/>
      <c r="IA312" s="73"/>
      <c r="IB312" s="73"/>
      <c r="IC312" s="73"/>
      <c r="ID312" s="73"/>
      <c r="IE312" s="73"/>
      <c r="IF312" s="73"/>
      <c r="IG312" s="73"/>
      <c r="IH312" s="73"/>
      <c r="II312" s="73"/>
      <c r="IJ312" s="73"/>
      <c r="IK312" s="73"/>
      <c r="IL312" s="73"/>
      <c r="IM312" s="73"/>
      <c r="IN312" s="73"/>
      <c r="IO312" s="73"/>
      <c r="IP312" s="73"/>
      <c r="IQ312" s="73"/>
      <c r="IR312" s="73"/>
      <c r="IS312" s="73"/>
      <c r="IT312" s="73"/>
      <c r="IU312" s="73"/>
      <c r="IV312" s="73"/>
      <c r="IW312" s="73"/>
      <c r="IX312" s="73"/>
      <c r="IY312" s="73"/>
      <c r="IZ312" s="73"/>
      <c r="JA312" s="73"/>
      <c r="JB312" s="73"/>
      <c r="JC312" s="73"/>
    </row>
    <row r="313" spans="2:263" s="72" customFormat="1">
      <c r="B313" s="73"/>
      <c r="C313" s="73"/>
      <c r="D313" s="73"/>
      <c r="E313" s="73"/>
      <c r="F313" s="73"/>
      <c r="G313" s="73"/>
      <c r="H313" s="73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GL313" s="73"/>
      <c r="GM313" s="73"/>
      <c r="GN313" s="73"/>
      <c r="GO313" s="73"/>
      <c r="GP313" s="73"/>
      <c r="GQ313" s="73"/>
      <c r="GR313" s="73"/>
      <c r="GS313" s="73"/>
      <c r="GT313" s="73"/>
      <c r="GU313" s="73"/>
      <c r="GV313" s="73"/>
      <c r="GW313" s="73"/>
      <c r="GX313" s="73"/>
      <c r="GY313" s="73"/>
      <c r="GZ313" s="73"/>
      <c r="HA313" s="73"/>
      <c r="HB313" s="73"/>
      <c r="HC313" s="73"/>
      <c r="HD313" s="73"/>
      <c r="HE313" s="73"/>
      <c r="HF313" s="73"/>
      <c r="HG313" s="73"/>
      <c r="HH313" s="73"/>
      <c r="HI313" s="73"/>
      <c r="HJ313" s="73"/>
      <c r="HK313" s="73"/>
      <c r="HL313" s="73"/>
      <c r="HM313" s="73"/>
      <c r="HN313" s="73"/>
      <c r="HO313" s="73"/>
      <c r="HP313" s="73"/>
      <c r="HQ313" s="73"/>
      <c r="HR313" s="73"/>
      <c r="HS313" s="73"/>
      <c r="HT313" s="73"/>
      <c r="HU313" s="73"/>
      <c r="HV313" s="73"/>
      <c r="HW313" s="73"/>
      <c r="HX313" s="73"/>
      <c r="HY313" s="73"/>
      <c r="HZ313" s="73"/>
      <c r="IA313" s="73"/>
      <c r="IB313" s="73"/>
      <c r="IC313" s="73"/>
      <c r="ID313" s="73"/>
      <c r="IE313" s="73"/>
      <c r="IF313" s="73"/>
      <c r="IG313" s="73"/>
      <c r="IH313" s="73"/>
      <c r="II313" s="73"/>
      <c r="IJ313" s="73"/>
      <c r="IK313" s="73"/>
      <c r="IL313" s="73"/>
      <c r="IM313" s="73"/>
      <c r="IN313" s="73"/>
      <c r="IO313" s="73"/>
      <c r="IP313" s="73"/>
      <c r="IQ313" s="73"/>
      <c r="IR313" s="73"/>
      <c r="IS313" s="73"/>
      <c r="IT313" s="73"/>
      <c r="IU313" s="73"/>
      <c r="IV313" s="73"/>
      <c r="IW313" s="73"/>
      <c r="IX313" s="73"/>
      <c r="IY313" s="73"/>
      <c r="IZ313" s="73"/>
      <c r="JA313" s="73"/>
      <c r="JB313" s="73"/>
      <c r="JC313" s="73"/>
    </row>
    <row r="314" spans="2:263" s="72" customFormat="1">
      <c r="B314" s="73"/>
      <c r="C314" s="73"/>
      <c r="D314" s="73"/>
      <c r="E314" s="73"/>
      <c r="F314" s="73"/>
      <c r="G314" s="73"/>
      <c r="H314" s="73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GL314" s="73"/>
      <c r="GM314" s="73"/>
      <c r="GN314" s="73"/>
      <c r="GO314" s="73"/>
      <c r="GP314" s="73"/>
      <c r="GQ314" s="73"/>
      <c r="GR314" s="73"/>
      <c r="GS314" s="73"/>
      <c r="GT314" s="73"/>
      <c r="GU314" s="73"/>
      <c r="GV314" s="73"/>
      <c r="GW314" s="73"/>
      <c r="GX314" s="73"/>
      <c r="GY314" s="73"/>
      <c r="GZ314" s="73"/>
      <c r="HA314" s="73"/>
      <c r="HB314" s="73"/>
      <c r="HC314" s="73"/>
      <c r="HD314" s="73"/>
      <c r="HE314" s="73"/>
      <c r="HF314" s="73"/>
      <c r="HG314" s="73"/>
      <c r="HH314" s="73"/>
      <c r="HI314" s="73"/>
      <c r="HJ314" s="73"/>
      <c r="HK314" s="73"/>
      <c r="HL314" s="73"/>
      <c r="HM314" s="73"/>
      <c r="HN314" s="73"/>
      <c r="HO314" s="73"/>
      <c r="HP314" s="73"/>
      <c r="HQ314" s="73"/>
      <c r="HR314" s="73"/>
      <c r="HS314" s="73"/>
      <c r="HT314" s="73"/>
      <c r="HU314" s="73"/>
      <c r="HV314" s="73"/>
      <c r="HW314" s="73"/>
      <c r="HX314" s="73"/>
      <c r="HY314" s="73"/>
      <c r="HZ314" s="73"/>
      <c r="IA314" s="73"/>
      <c r="IB314" s="73"/>
      <c r="IC314" s="73"/>
      <c r="ID314" s="73"/>
      <c r="IE314" s="73"/>
      <c r="IF314" s="73"/>
      <c r="IG314" s="73"/>
      <c r="IH314" s="73"/>
      <c r="II314" s="73"/>
      <c r="IJ314" s="73"/>
      <c r="IK314" s="73"/>
      <c r="IL314" s="73"/>
      <c r="IM314" s="73"/>
      <c r="IN314" s="73"/>
      <c r="IO314" s="73"/>
      <c r="IP314" s="73"/>
      <c r="IQ314" s="73"/>
      <c r="IR314" s="73"/>
      <c r="IS314" s="73"/>
      <c r="IT314" s="73"/>
      <c r="IU314" s="73"/>
      <c r="IV314" s="73"/>
      <c r="IW314" s="73"/>
      <c r="IX314" s="73"/>
      <c r="IY314" s="73"/>
      <c r="IZ314" s="73"/>
      <c r="JA314" s="73"/>
      <c r="JB314" s="73"/>
      <c r="JC314" s="73"/>
    </row>
    <row r="315" spans="2:263" s="72" customFormat="1">
      <c r="B315" s="73"/>
      <c r="C315" s="73"/>
      <c r="D315" s="73"/>
      <c r="E315" s="73"/>
      <c r="F315" s="73"/>
      <c r="G315" s="73"/>
      <c r="H315" s="73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GL315" s="73"/>
      <c r="GM315" s="73"/>
      <c r="GN315" s="73"/>
      <c r="GO315" s="73"/>
      <c r="GP315" s="73"/>
      <c r="GQ315" s="73"/>
      <c r="GR315" s="73"/>
      <c r="GS315" s="73"/>
      <c r="GT315" s="73"/>
      <c r="GU315" s="73"/>
      <c r="GV315" s="73"/>
      <c r="GW315" s="73"/>
      <c r="GX315" s="73"/>
      <c r="GY315" s="73"/>
      <c r="GZ315" s="73"/>
      <c r="HA315" s="73"/>
      <c r="HB315" s="73"/>
      <c r="HC315" s="73"/>
      <c r="HD315" s="73"/>
      <c r="HE315" s="73"/>
      <c r="HF315" s="73"/>
      <c r="HG315" s="73"/>
      <c r="HH315" s="73"/>
      <c r="HI315" s="73"/>
      <c r="HJ315" s="73"/>
      <c r="HK315" s="73"/>
      <c r="HL315" s="73"/>
      <c r="HM315" s="73"/>
      <c r="HN315" s="73"/>
      <c r="HO315" s="73"/>
      <c r="HP315" s="73"/>
      <c r="HQ315" s="73"/>
      <c r="HR315" s="73"/>
      <c r="HS315" s="73"/>
      <c r="HT315" s="73"/>
      <c r="HU315" s="73"/>
      <c r="HV315" s="73"/>
      <c r="HW315" s="73"/>
      <c r="HX315" s="73"/>
      <c r="HY315" s="73"/>
      <c r="HZ315" s="73"/>
      <c r="IA315" s="73"/>
      <c r="IB315" s="73"/>
      <c r="IC315" s="73"/>
      <c r="ID315" s="73"/>
      <c r="IE315" s="73"/>
      <c r="IF315" s="73"/>
      <c r="IG315" s="73"/>
      <c r="IH315" s="73"/>
      <c r="II315" s="73"/>
      <c r="IJ315" s="73"/>
      <c r="IK315" s="73"/>
      <c r="IL315" s="73"/>
      <c r="IM315" s="73"/>
      <c r="IN315" s="73"/>
      <c r="IO315" s="73"/>
      <c r="IP315" s="73"/>
      <c r="IQ315" s="73"/>
      <c r="IR315" s="73"/>
      <c r="IS315" s="73"/>
      <c r="IT315" s="73"/>
      <c r="IU315" s="73"/>
      <c r="IV315" s="73"/>
      <c r="IW315" s="73"/>
      <c r="IX315" s="73"/>
      <c r="IY315" s="73"/>
      <c r="IZ315" s="73"/>
      <c r="JA315" s="73"/>
      <c r="JB315" s="73"/>
      <c r="JC315" s="73"/>
    </row>
    <row r="316" spans="2:263" s="72" customFormat="1">
      <c r="B316" s="73"/>
      <c r="C316" s="73"/>
      <c r="D316" s="73"/>
      <c r="E316" s="73"/>
      <c r="F316" s="73"/>
      <c r="G316" s="73"/>
      <c r="H316" s="73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GL316" s="73"/>
      <c r="GM316" s="73"/>
      <c r="GN316" s="73"/>
      <c r="GO316" s="73"/>
      <c r="GP316" s="73"/>
      <c r="GQ316" s="73"/>
      <c r="GR316" s="73"/>
      <c r="GS316" s="73"/>
      <c r="GT316" s="73"/>
      <c r="GU316" s="73"/>
      <c r="GV316" s="73"/>
      <c r="GW316" s="73"/>
      <c r="GX316" s="73"/>
      <c r="GY316" s="73"/>
      <c r="GZ316" s="73"/>
      <c r="HA316" s="73"/>
      <c r="HB316" s="73"/>
      <c r="HC316" s="73"/>
      <c r="HD316" s="73"/>
      <c r="HE316" s="73"/>
      <c r="HF316" s="73"/>
      <c r="HG316" s="73"/>
      <c r="HH316" s="73"/>
      <c r="HI316" s="73"/>
      <c r="HJ316" s="73"/>
      <c r="HK316" s="73"/>
      <c r="HL316" s="73"/>
      <c r="HM316" s="73"/>
      <c r="HN316" s="73"/>
      <c r="HO316" s="73"/>
      <c r="HP316" s="73"/>
      <c r="HQ316" s="73"/>
      <c r="HR316" s="73"/>
      <c r="HS316" s="73"/>
      <c r="HT316" s="73"/>
      <c r="HU316" s="73"/>
      <c r="HV316" s="73"/>
      <c r="HW316" s="73"/>
      <c r="HX316" s="73"/>
      <c r="HY316" s="73"/>
      <c r="HZ316" s="73"/>
      <c r="IA316" s="73"/>
      <c r="IB316" s="73"/>
      <c r="IC316" s="73"/>
      <c r="ID316" s="73"/>
      <c r="IE316" s="73"/>
      <c r="IF316" s="73"/>
      <c r="IG316" s="73"/>
      <c r="IH316" s="73"/>
      <c r="II316" s="73"/>
      <c r="IJ316" s="73"/>
      <c r="IK316" s="73"/>
      <c r="IL316" s="73"/>
      <c r="IM316" s="73"/>
      <c r="IN316" s="73"/>
      <c r="IO316" s="73"/>
      <c r="IP316" s="73"/>
      <c r="IQ316" s="73"/>
      <c r="IR316" s="73"/>
      <c r="IS316" s="73"/>
      <c r="IT316" s="73"/>
      <c r="IU316" s="73"/>
      <c r="IV316" s="73"/>
      <c r="IW316" s="73"/>
      <c r="IX316" s="73"/>
      <c r="IY316" s="73"/>
      <c r="IZ316" s="73"/>
      <c r="JA316" s="73"/>
      <c r="JB316" s="73"/>
      <c r="JC316" s="73"/>
    </row>
    <row r="317" spans="2:263" s="72" customFormat="1">
      <c r="B317" s="73"/>
      <c r="C317" s="73"/>
      <c r="D317" s="73"/>
      <c r="E317" s="73"/>
      <c r="F317" s="73"/>
      <c r="G317" s="73"/>
      <c r="H317" s="73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GL317" s="73"/>
      <c r="GM317" s="73"/>
      <c r="GN317" s="73"/>
      <c r="GO317" s="73"/>
      <c r="GP317" s="73"/>
      <c r="GQ317" s="73"/>
      <c r="GR317" s="73"/>
      <c r="GS317" s="73"/>
      <c r="GT317" s="73"/>
      <c r="GU317" s="73"/>
      <c r="GV317" s="73"/>
      <c r="GW317" s="73"/>
      <c r="GX317" s="73"/>
      <c r="GY317" s="73"/>
      <c r="GZ317" s="73"/>
      <c r="HA317" s="73"/>
      <c r="HB317" s="73"/>
      <c r="HC317" s="73"/>
      <c r="HD317" s="73"/>
      <c r="HE317" s="73"/>
      <c r="HF317" s="73"/>
      <c r="HG317" s="73"/>
      <c r="HH317" s="73"/>
      <c r="HI317" s="73"/>
      <c r="HJ317" s="73"/>
      <c r="HK317" s="73"/>
      <c r="HL317" s="73"/>
      <c r="HM317" s="73"/>
      <c r="HN317" s="73"/>
      <c r="HO317" s="73"/>
      <c r="HP317" s="73"/>
      <c r="HQ317" s="73"/>
      <c r="HR317" s="73"/>
      <c r="HS317" s="73"/>
      <c r="HT317" s="73"/>
      <c r="HU317" s="73"/>
      <c r="HV317" s="73"/>
      <c r="HW317" s="73"/>
      <c r="HX317" s="73"/>
      <c r="HY317" s="73"/>
      <c r="HZ317" s="73"/>
      <c r="IA317" s="73"/>
      <c r="IB317" s="73"/>
      <c r="IC317" s="73"/>
      <c r="ID317" s="73"/>
      <c r="IE317" s="73"/>
      <c r="IF317" s="73"/>
      <c r="IG317" s="73"/>
      <c r="IH317" s="73"/>
      <c r="II317" s="73"/>
      <c r="IJ317" s="73"/>
      <c r="IK317" s="73"/>
      <c r="IL317" s="73"/>
      <c r="IM317" s="73"/>
      <c r="IN317" s="73"/>
      <c r="IO317" s="73"/>
      <c r="IP317" s="73"/>
      <c r="IQ317" s="73"/>
      <c r="IR317" s="73"/>
      <c r="IS317" s="73"/>
      <c r="IT317" s="73"/>
      <c r="IU317" s="73"/>
      <c r="IV317" s="73"/>
      <c r="IW317" s="73"/>
      <c r="IX317" s="73"/>
      <c r="IY317" s="73"/>
      <c r="IZ317" s="73"/>
      <c r="JA317" s="73"/>
      <c r="JB317" s="73"/>
      <c r="JC317" s="73"/>
    </row>
    <row r="318" spans="2:263" s="72" customFormat="1">
      <c r="B318" s="73"/>
      <c r="C318" s="73"/>
      <c r="D318" s="73"/>
      <c r="E318" s="73"/>
      <c r="F318" s="73"/>
      <c r="G318" s="73"/>
      <c r="H318" s="73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GL318" s="73"/>
      <c r="GM318" s="73"/>
      <c r="GN318" s="73"/>
      <c r="GO318" s="73"/>
      <c r="GP318" s="73"/>
      <c r="GQ318" s="73"/>
      <c r="GR318" s="73"/>
      <c r="GS318" s="73"/>
      <c r="GT318" s="73"/>
      <c r="GU318" s="73"/>
      <c r="GV318" s="73"/>
      <c r="GW318" s="73"/>
      <c r="GX318" s="73"/>
      <c r="GY318" s="73"/>
      <c r="GZ318" s="73"/>
      <c r="HA318" s="73"/>
      <c r="HB318" s="73"/>
      <c r="HC318" s="73"/>
      <c r="HD318" s="73"/>
      <c r="HE318" s="73"/>
      <c r="HF318" s="73"/>
      <c r="HG318" s="73"/>
      <c r="HH318" s="73"/>
      <c r="HI318" s="73"/>
      <c r="HJ318" s="73"/>
      <c r="HK318" s="73"/>
      <c r="HL318" s="73"/>
      <c r="HM318" s="73"/>
      <c r="HN318" s="73"/>
      <c r="HO318" s="73"/>
      <c r="HP318" s="73"/>
      <c r="HQ318" s="73"/>
      <c r="HR318" s="73"/>
      <c r="HS318" s="73"/>
      <c r="HT318" s="73"/>
      <c r="HU318" s="73"/>
      <c r="HV318" s="73"/>
      <c r="HW318" s="73"/>
      <c r="HX318" s="73"/>
      <c r="HY318" s="73"/>
      <c r="HZ318" s="73"/>
      <c r="IA318" s="73"/>
      <c r="IB318" s="73"/>
      <c r="IC318" s="73"/>
      <c r="ID318" s="73"/>
      <c r="IE318" s="73"/>
      <c r="IF318" s="73"/>
      <c r="IG318" s="73"/>
      <c r="IH318" s="73"/>
      <c r="II318" s="73"/>
      <c r="IJ318" s="73"/>
      <c r="IK318" s="73"/>
      <c r="IL318" s="73"/>
      <c r="IM318" s="73"/>
      <c r="IN318" s="73"/>
      <c r="IO318" s="73"/>
      <c r="IP318" s="73"/>
      <c r="IQ318" s="73"/>
      <c r="IR318" s="73"/>
      <c r="IS318" s="73"/>
      <c r="IT318" s="73"/>
      <c r="IU318" s="73"/>
      <c r="IV318" s="73"/>
      <c r="IW318" s="73"/>
      <c r="IX318" s="73"/>
      <c r="IY318" s="73"/>
      <c r="IZ318" s="73"/>
      <c r="JA318" s="73"/>
      <c r="JB318" s="73"/>
      <c r="JC318" s="73"/>
    </row>
    <row r="319" spans="2:263" s="72" customFormat="1">
      <c r="B319" s="73"/>
      <c r="C319" s="73"/>
      <c r="D319" s="73"/>
      <c r="E319" s="73"/>
      <c r="F319" s="73"/>
      <c r="G319" s="73"/>
      <c r="H319" s="73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GL319" s="73"/>
      <c r="GM319" s="73"/>
      <c r="GN319" s="73"/>
      <c r="GO319" s="73"/>
      <c r="GP319" s="73"/>
      <c r="GQ319" s="73"/>
      <c r="GR319" s="73"/>
      <c r="GS319" s="73"/>
      <c r="GT319" s="73"/>
      <c r="GU319" s="73"/>
      <c r="GV319" s="73"/>
      <c r="GW319" s="73"/>
      <c r="GX319" s="73"/>
      <c r="GY319" s="73"/>
      <c r="GZ319" s="73"/>
      <c r="HA319" s="73"/>
      <c r="HB319" s="73"/>
      <c r="HC319" s="73"/>
      <c r="HD319" s="73"/>
      <c r="HE319" s="73"/>
      <c r="HF319" s="73"/>
      <c r="HG319" s="73"/>
      <c r="HH319" s="73"/>
      <c r="HI319" s="73"/>
      <c r="HJ319" s="73"/>
      <c r="HK319" s="73"/>
      <c r="HL319" s="73"/>
      <c r="HM319" s="73"/>
      <c r="HN319" s="73"/>
      <c r="HO319" s="73"/>
      <c r="HP319" s="73"/>
      <c r="HQ319" s="73"/>
      <c r="HR319" s="73"/>
      <c r="HS319" s="73"/>
      <c r="HT319" s="73"/>
      <c r="HU319" s="73"/>
      <c r="HV319" s="73"/>
      <c r="HW319" s="73"/>
      <c r="HX319" s="73"/>
      <c r="HY319" s="73"/>
      <c r="HZ319" s="73"/>
      <c r="IA319" s="73"/>
      <c r="IB319" s="73"/>
      <c r="IC319" s="73"/>
      <c r="ID319" s="73"/>
      <c r="IE319" s="73"/>
      <c r="IF319" s="73"/>
      <c r="IG319" s="73"/>
      <c r="IH319" s="73"/>
      <c r="II319" s="73"/>
      <c r="IJ319" s="73"/>
      <c r="IK319" s="73"/>
      <c r="IL319" s="73"/>
      <c r="IM319" s="73"/>
      <c r="IN319" s="73"/>
      <c r="IO319" s="73"/>
      <c r="IP319" s="73"/>
      <c r="IQ319" s="73"/>
      <c r="IR319" s="73"/>
      <c r="IS319" s="73"/>
      <c r="IT319" s="73"/>
      <c r="IU319" s="73"/>
      <c r="IV319" s="73"/>
      <c r="IW319" s="73"/>
      <c r="IX319" s="73"/>
      <c r="IY319" s="73"/>
      <c r="IZ319" s="73"/>
      <c r="JA319" s="73"/>
      <c r="JB319" s="73"/>
      <c r="JC319" s="73"/>
    </row>
    <row r="320" spans="2:263" s="72" customFormat="1">
      <c r="B320" s="73"/>
      <c r="C320" s="73"/>
      <c r="D320" s="73"/>
      <c r="E320" s="73"/>
      <c r="F320" s="73"/>
      <c r="G320" s="73"/>
      <c r="H320" s="73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GL320" s="73"/>
      <c r="GM320" s="73"/>
      <c r="GN320" s="73"/>
      <c r="GO320" s="73"/>
      <c r="GP320" s="73"/>
      <c r="GQ320" s="73"/>
      <c r="GR320" s="73"/>
      <c r="GS320" s="73"/>
      <c r="GT320" s="73"/>
      <c r="GU320" s="73"/>
      <c r="GV320" s="73"/>
      <c r="GW320" s="73"/>
      <c r="GX320" s="73"/>
      <c r="GY320" s="73"/>
      <c r="GZ320" s="73"/>
      <c r="HA320" s="73"/>
      <c r="HB320" s="73"/>
      <c r="HC320" s="73"/>
      <c r="HD320" s="73"/>
      <c r="HE320" s="73"/>
      <c r="HF320" s="73"/>
      <c r="HG320" s="73"/>
      <c r="HH320" s="73"/>
      <c r="HI320" s="73"/>
      <c r="HJ320" s="73"/>
      <c r="HK320" s="73"/>
      <c r="HL320" s="73"/>
      <c r="HM320" s="73"/>
      <c r="HN320" s="73"/>
      <c r="HO320" s="73"/>
      <c r="HP320" s="73"/>
      <c r="HQ320" s="73"/>
      <c r="HR320" s="73"/>
      <c r="HS320" s="73"/>
      <c r="HT320" s="73"/>
      <c r="HU320" s="73"/>
      <c r="HV320" s="73"/>
      <c r="HW320" s="73"/>
      <c r="HX320" s="73"/>
      <c r="HY320" s="73"/>
      <c r="HZ320" s="73"/>
      <c r="IA320" s="73"/>
      <c r="IB320" s="73"/>
      <c r="IC320" s="73"/>
      <c r="ID320" s="73"/>
      <c r="IE320" s="73"/>
      <c r="IF320" s="73"/>
      <c r="IG320" s="73"/>
      <c r="IH320" s="73"/>
      <c r="II320" s="73"/>
      <c r="IJ320" s="73"/>
      <c r="IK320" s="73"/>
      <c r="IL320" s="73"/>
      <c r="IM320" s="73"/>
      <c r="IN320" s="73"/>
      <c r="IO320" s="73"/>
      <c r="IP320" s="73"/>
      <c r="IQ320" s="73"/>
      <c r="IR320" s="73"/>
      <c r="IS320" s="73"/>
      <c r="IT320" s="73"/>
      <c r="IU320" s="73"/>
      <c r="IV320" s="73"/>
      <c r="IW320" s="73"/>
      <c r="IX320" s="73"/>
      <c r="IY320" s="73"/>
      <c r="IZ320" s="73"/>
      <c r="JA320" s="73"/>
      <c r="JB320" s="73"/>
      <c r="JC320" s="73"/>
    </row>
    <row r="321" spans="2:263" s="72" customFormat="1">
      <c r="B321" s="73"/>
      <c r="C321" s="73"/>
      <c r="D321" s="73"/>
      <c r="E321" s="73"/>
      <c r="F321" s="73"/>
      <c r="G321" s="73"/>
      <c r="H321" s="73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GL321" s="73"/>
      <c r="GM321" s="73"/>
      <c r="GN321" s="73"/>
      <c r="GO321" s="73"/>
      <c r="GP321" s="73"/>
      <c r="GQ321" s="73"/>
      <c r="GR321" s="73"/>
      <c r="GS321" s="73"/>
      <c r="GT321" s="73"/>
      <c r="GU321" s="73"/>
      <c r="GV321" s="73"/>
      <c r="GW321" s="73"/>
      <c r="GX321" s="73"/>
      <c r="GY321" s="73"/>
      <c r="GZ321" s="73"/>
      <c r="HA321" s="73"/>
      <c r="HB321" s="73"/>
      <c r="HC321" s="73"/>
      <c r="HD321" s="73"/>
      <c r="HE321" s="73"/>
      <c r="HF321" s="73"/>
      <c r="HG321" s="73"/>
      <c r="HH321" s="73"/>
      <c r="HI321" s="73"/>
      <c r="HJ321" s="73"/>
      <c r="HK321" s="73"/>
      <c r="HL321" s="73"/>
      <c r="HM321" s="73"/>
      <c r="HN321" s="73"/>
      <c r="HO321" s="73"/>
      <c r="HP321" s="73"/>
      <c r="HQ321" s="73"/>
      <c r="HR321" s="73"/>
      <c r="HS321" s="73"/>
      <c r="HT321" s="73"/>
      <c r="HU321" s="73"/>
      <c r="HV321" s="73"/>
      <c r="HW321" s="73"/>
      <c r="HX321" s="73"/>
      <c r="HY321" s="73"/>
      <c r="HZ321" s="73"/>
      <c r="IA321" s="73"/>
      <c r="IB321" s="73"/>
      <c r="IC321" s="73"/>
      <c r="ID321" s="73"/>
      <c r="IE321" s="73"/>
      <c r="IF321" s="73"/>
      <c r="IG321" s="73"/>
      <c r="IH321" s="73"/>
      <c r="II321" s="73"/>
      <c r="IJ321" s="73"/>
      <c r="IK321" s="73"/>
      <c r="IL321" s="73"/>
      <c r="IM321" s="73"/>
      <c r="IN321" s="73"/>
      <c r="IO321" s="73"/>
      <c r="IP321" s="73"/>
      <c r="IQ321" s="73"/>
      <c r="IR321" s="73"/>
      <c r="IS321" s="73"/>
      <c r="IT321" s="73"/>
      <c r="IU321" s="73"/>
      <c r="IV321" s="73"/>
      <c r="IW321" s="73"/>
      <c r="IX321" s="73"/>
      <c r="IY321" s="73"/>
      <c r="IZ321" s="73"/>
      <c r="JA321" s="73"/>
      <c r="JB321" s="73"/>
      <c r="JC321" s="73"/>
    </row>
    <row r="322" spans="2:263" s="72" customFormat="1">
      <c r="B322" s="73"/>
      <c r="C322" s="73"/>
      <c r="D322" s="73"/>
      <c r="E322" s="73"/>
      <c r="F322" s="73"/>
      <c r="G322" s="73"/>
      <c r="H322" s="73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GL322" s="73"/>
      <c r="GM322" s="73"/>
      <c r="GN322" s="73"/>
      <c r="GO322" s="73"/>
      <c r="GP322" s="73"/>
      <c r="GQ322" s="73"/>
      <c r="GR322" s="73"/>
      <c r="GS322" s="73"/>
      <c r="GT322" s="73"/>
      <c r="GU322" s="73"/>
      <c r="GV322" s="73"/>
      <c r="GW322" s="73"/>
      <c r="GX322" s="73"/>
      <c r="GY322" s="73"/>
      <c r="GZ322" s="73"/>
      <c r="HA322" s="73"/>
      <c r="HB322" s="73"/>
      <c r="HC322" s="73"/>
      <c r="HD322" s="73"/>
      <c r="HE322" s="73"/>
      <c r="HF322" s="73"/>
      <c r="HG322" s="73"/>
      <c r="HH322" s="73"/>
      <c r="HI322" s="73"/>
      <c r="HJ322" s="73"/>
      <c r="HK322" s="73"/>
      <c r="HL322" s="73"/>
      <c r="HM322" s="73"/>
      <c r="HN322" s="73"/>
      <c r="HO322" s="73"/>
      <c r="HP322" s="73"/>
      <c r="HQ322" s="73"/>
      <c r="HR322" s="73"/>
      <c r="HS322" s="73"/>
      <c r="HT322" s="73"/>
      <c r="HU322" s="73"/>
      <c r="HV322" s="73"/>
      <c r="HW322" s="73"/>
      <c r="HX322" s="73"/>
      <c r="HY322" s="73"/>
      <c r="HZ322" s="73"/>
      <c r="IA322" s="73"/>
      <c r="IB322" s="73"/>
      <c r="IC322" s="73"/>
      <c r="ID322" s="73"/>
      <c r="IE322" s="73"/>
      <c r="IF322" s="73"/>
      <c r="IG322" s="73"/>
      <c r="IH322" s="73"/>
      <c r="II322" s="73"/>
      <c r="IJ322" s="73"/>
      <c r="IK322" s="73"/>
      <c r="IL322" s="73"/>
      <c r="IM322" s="73"/>
      <c r="IN322" s="73"/>
      <c r="IO322" s="73"/>
      <c r="IP322" s="73"/>
      <c r="IQ322" s="73"/>
      <c r="IR322" s="73"/>
      <c r="IS322" s="73"/>
      <c r="IT322" s="73"/>
      <c r="IU322" s="73"/>
      <c r="IV322" s="73"/>
      <c r="IW322" s="73"/>
      <c r="IX322" s="73"/>
      <c r="IY322" s="73"/>
      <c r="IZ322" s="73"/>
      <c r="JA322" s="73"/>
      <c r="JB322" s="73"/>
      <c r="JC322" s="73"/>
    </row>
    <row r="323" spans="2:263" s="72" customFormat="1">
      <c r="B323" s="73"/>
      <c r="C323" s="73"/>
      <c r="D323" s="73"/>
      <c r="E323" s="73"/>
      <c r="F323" s="73"/>
      <c r="G323" s="73"/>
      <c r="H323" s="73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GL323" s="73"/>
      <c r="GM323" s="73"/>
      <c r="GN323" s="73"/>
      <c r="GO323" s="73"/>
      <c r="GP323" s="73"/>
      <c r="GQ323" s="73"/>
      <c r="GR323" s="73"/>
      <c r="GS323" s="73"/>
      <c r="GT323" s="73"/>
      <c r="GU323" s="73"/>
      <c r="GV323" s="73"/>
      <c r="GW323" s="73"/>
      <c r="GX323" s="73"/>
      <c r="GY323" s="73"/>
      <c r="GZ323" s="73"/>
      <c r="HA323" s="73"/>
      <c r="HB323" s="73"/>
      <c r="HC323" s="73"/>
      <c r="HD323" s="73"/>
      <c r="HE323" s="73"/>
      <c r="HF323" s="73"/>
      <c r="HG323" s="73"/>
      <c r="HH323" s="73"/>
      <c r="HI323" s="73"/>
      <c r="HJ323" s="73"/>
      <c r="HK323" s="73"/>
      <c r="HL323" s="73"/>
      <c r="HM323" s="73"/>
      <c r="HN323" s="73"/>
      <c r="HO323" s="73"/>
      <c r="HP323" s="73"/>
      <c r="HQ323" s="73"/>
      <c r="HR323" s="73"/>
      <c r="HS323" s="73"/>
      <c r="HT323" s="73"/>
      <c r="HU323" s="73"/>
      <c r="HV323" s="73"/>
      <c r="HW323" s="73"/>
      <c r="HX323" s="73"/>
      <c r="HY323" s="73"/>
      <c r="HZ323" s="73"/>
      <c r="IA323" s="73"/>
      <c r="IB323" s="73"/>
      <c r="IC323" s="73"/>
      <c r="ID323" s="73"/>
      <c r="IE323" s="73"/>
      <c r="IF323" s="73"/>
      <c r="IG323" s="73"/>
      <c r="IH323" s="73"/>
      <c r="II323" s="73"/>
      <c r="IJ323" s="73"/>
      <c r="IK323" s="73"/>
      <c r="IL323" s="73"/>
      <c r="IM323" s="73"/>
      <c r="IN323" s="73"/>
      <c r="IO323" s="73"/>
      <c r="IP323" s="73"/>
      <c r="IQ323" s="73"/>
      <c r="IR323" s="73"/>
      <c r="IS323" s="73"/>
      <c r="IT323" s="73"/>
      <c r="IU323" s="73"/>
      <c r="IV323" s="73"/>
      <c r="IW323" s="73"/>
      <c r="IX323" s="73"/>
      <c r="IY323" s="73"/>
      <c r="IZ323" s="73"/>
      <c r="JA323" s="73"/>
      <c r="JB323" s="73"/>
      <c r="JC323" s="73"/>
    </row>
    <row r="324" spans="2:263" s="72" customFormat="1">
      <c r="B324" s="73"/>
      <c r="C324" s="73"/>
      <c r="D324" s="73"/>
      <c r="E324" s="73"/>
      <c r="F324" s="73"/>
      <c r="G324" s="73"/>
      <c r="H324" s="73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GL324" s="73"/>
      <c r="GM324" s="73"/>
      <c r="GN324" s="73"/>
      <c r="GO324" s="73"/>
      <c r="GP324" s="73"/>
      <c r="GQ324" s="73"/>
      <c r="GR324" s="73"/>
      <c r="GS324" s="73"/>
      <c r="GT324" s="73"/>
      <c r="GU324" s="73"/>
      <c r="GV324" s="73"/>
      <c r="GW324" s="73"/>
      <c r="GX324" s="73"/>
      <c r="GY324" s="73"/>
      <c r="GZ324" s="73"/>
      <c r="HA324" s="73"/>
      <c r="HB324" s="73"/>
      <c r="HC324" s="73"/>
      <c r="HD324" s="73"/>
      <c r="HE324" s="73"/>
      <c r="HF324" s="73"/>
      <c r="HG324" s="73"/>
      <c r="HH324" s="73"/>
      <c r="HI324" s="73"/>
      <c r="HJ324" s="73"/>
      <c r="HK324" s="73"/>
      <c r="HL324" s="73"/>
      <c r="HM324" s="73"/>
      <c r="HN324" s="73"/>
      <c r="HO324" s="73"/>
      <c r="HP324" s="73"/>
      <c r="HQ324" s="73"/>
      <c r="HR324" s="73"/>
      <c r="HS324" s="73"/>
      <c r="HT324" s="73"/>
      <c r="HU324" s="73"/>
      <c r="HV324" s="73"/>
      <c r="HW324" s="73"/>
      <c r="HX324" s="73"/>
      <c r="HY324" s="73"/>
      <c r="HZ324" s="73"/>
      <c r="IA324" s="73"/>
      <c r="IB324" s="73"/>
      <c r="IC324" s="73"/>
      <c r="ID324" s="73"/>
      <c r="IE324" s="73"/>
      <c r="IF324" s="73"/>
      <c r="IG324" s="73"/>
      <c r="IH324" s="73"/>
      <c r="II324" s="73"/>
      <c r="IJ324" s="73"/>
      <c r="IK324" s="73"/>
      <c r="IL324" s="73"/>
      <c r="IM324" s="73"/>
      <c r="IN324" s="73"/>
      <c r="IO324" s="73"/>
      <c r="IP324" s="73"/>
      <c r="IQ324" s="73"/>
      <c r="IR324" s="73"/>
      <c r="IS324" s="73"/>
      <c r="IT324" s="73"/>
      <c r="IU324" s="73"/>
      <c r="IV324" s="73"/>
      <c r="IW324" s="73"/>
      <c r="IX324" s="73"/>
      <c r="IY324" s="73"/>
      <c r="IZ324" s="73"/>
      <c r="JA324" s="73"/>
      <c r="JB324" s="73"/>
      <c r="JC324" s="73"/>
    </row>
    <row r="325" spans="2:263" s="72" customFormat="1">
      <c r="B325" s="73"/>
      <c r="C325" s="73"/>
      <c r="D325" s="73"/>
      <c r="E325" s="73"/>
      <c r="F325" s="73"/>
      <c r="G325" s="73"/>
      <c r="H325" s="73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GL325" s="73"/>
      <c r="GM325" s="73"/>
      <c r="GN325" s="73"/>
      <c r="GO325" s="73"/>
      <c r="GP325" s="73"/>
      <c r="GQ325" s="73"/>
      <c r="GR325" s="73"/>
      <c r="GS325" s="73"/>
      <c r="GT325" s="73"/>
      <c r="GU325" s="73"/>
      <c r="GV325" s="73"/>
      <c r="GW325" s="73"/>
      <c r="GX325" s="73"/>
      <c r="GY325" s="73"/>
      <c r="GZ325" s="73"/>
      <c r="HA325" s="73"/>
      <c r="HB325" s="73"/>
      <c r="HC325" s="73"/>
      <c r="HD325" s="73"/>
      <c r="HE325" s="73"/>
      <c r="HF325" s="73"/>
      <c r="HG325" s="73"/>
      <c r="HH325" s="73"/>
      <c r="HI325" s="73"/>
      <c r="HJ325" s="73"/>
      <c r="HK325" s="73"/>
      <c r="HL325" s="73"/>
      <c r="HM325" s="73"/>
      <c r="HN325" s="73"/>
      <c r="HO325" s="73"/>
      <c r="HP325" s="73"/>
      <c r="HQ325" s="73"/>
      <c r="HR325" s="73"/>
      <c r="HS325" s="73"/>
      <c r="HT325" s="73"/>
      <c r="HU325" s="73"/>
      <c r="HV325" s="73"/>
      <c r="HW325" s="73"/>
      <c r="HX325" s="73"/>
      <c r="HY325" s="73"/>
      <c r="HZ325" s="73"/>
      <c r="IA325" s="73"/>
      <c r="IB325" s="73"/>
      <c r="IC325" s="73"/>
      <c r="ID325" s="73"/>
      <c r="IE325" s="73"/>
      <c r="IF325" s="73"/>
      <c r="IG325" s="73"/>
      <c r="IH325" s="73"/>
      <c r="II325" s="73"/>
      <c r="IJ325" s="73"/>
      <c r="IK325" s="73"/>
      <c r="IL325" s="73"/>
      <c r="IM325" s="73"/>
      <c r="IN325" s="73"/>
      <c r="IO325" s="73"/>
      <c r="IP325" s="73"/>
      <c r="IQ325" s="73"/>
      <c r="IR325" s="73"/>
      <c r="IS325" s="73"/>
      <c r="IT325" s="73"/>
      <c r="IU325" s="73"/>
      <c r="IV325" s="73"/>
      <c r="IW325" s="73"/>
      <c r="IX325" s="73"/>
      <c r="IY325" s="73"/>
      <c r="IZ325" s="73"/>
      <c r="JA325" s="73"/>
      <c r="JB325" s="73"/>
      <c r="JC325" s="73"/>
    </row>
    <row r="326" spans="2:263" s="72" customFormat="1">
      <c r="B326" s="73"/>
      <c r="C326" s="73"/>
      <c r="D326" s="73"/>
      <c r="E326" s="73"/>
      <c r="F326" s="73"/>
      <c r="G326" s="73"/>
      <c r="H326" s="73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GL326" s="73"/>
      <c r="GM326" s="73"/>
      <c r="GN326" s="73"/>
      <c r="GO326" s="73"/>
      <c r="GP326" s="73"/>
      <c r="GQ326" s="73"/>
      <c r="GR326" s="73"/>
      <c r="GS326" s="73"/>
      <c r="GT326" s="73"/>
      <c r="GU326" s="73"/>
      <c r="GV326" s="73"/>
      <c r="GW326" s="73"/>
      <c r="GX326" s="73"/>
      <c r="GY326" s="73"/>
      <c r="GZ326" s="73"/>
      <c r="HA326" s="73"/>
      <c r="HB326" s="73"/>
      <c r="HC326" s="73"/>
      <c r="HD326" s="73"/>
      <c r="HE326" s="73"/>
      <c r="HF326" s="73"/>
      <c r="HG326" s="73"/>
      <c r="HH326" s="73"/>
      <c r="HI326" s="73"/>
      <c r="HJ326" s="73"/>
      <c r="HK326" s="73"/>
      <c r="HL326" s="73"/>
      <c r="HM326" s="73"/>
      <c r="HN326" s="73"/>
      <c r="HO326" s="73"/>
      <c r="HP326" s="73"/>
      <c r="HQ326" s="73"/>
      <c r="HR326" s="73"/>
      <c r="HS326" s="73"/>
      <c r="HT326" s="73"/>
      <c r="HU326" s="73"/>
      <c r="HV326" s="73"/>
      <c r="HW326" s="73"/>
      <c r="HX326" s="73"/>
      <c r="HY326" s="73"/>
      <c r="HZ326" s="73"/>
      <c r="IA326" s="73"/>
      <c r="IB326" s="73"/>
      <c r="IC326" s="73"/>
      <c r="ID326" s="73"/>
      <c r="IE326" s="73"/>
      <c r="IF326" s="73"/>
      <c r="IG326" s="73"/>
      <c r="IH326" s="73"/>
      <c r="II326" s="73"/>
      <c r="IJ326" s="73"/>
      <c r="IK326" s="73"/>
      <c r="IL326" s="73"/>
      <c r="IM326" s="73"/>
      <c r="IN326" s="73"/>
      <c r="IO326" s="73"/>
      <c r="IP326" s="73"/>
      <c r="IQ326" s="73"/>
      <c r="IR326" s="73"/>
      <c r="IS326" s="73"/>
      <c r="IT326" s="73"/>
      <c r="IU326" s="73"/>
      <c r="IV326" s="73"/>
      <c r="IW326" s="73"/>
      <c r="IX326" s="73"/>
      <c r="IY326" s="73"/>
      <c r="IZ326" s="73"/>
      <c r="JA326" s="73"/>
      <c r="JB326" s="73"/>
      <c r="JC326" s="73"/>
    </row>
    <row r="327" spans="2:263" s="72" customFormat="1">
      <c r="B327" s="73"/>
      <c r="C327" s="73"/>
      <c r="D327" s="73"/>
      <c r="E327" s="73"/>
      <c r="F327" s="73"/>
      <c r="G327" s="73"/>
      <c r="H327" s="73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GL327" s="73"/>
      <c r="GM327" s="73"/>
      <c r="GN327" s="73"/>
      <c r="GO327" s="73"/>
      <c r="GP327" s="73"/>
      <c r="GQ327" s="73"/>
      <c r="GR327" s="73"/>
      <c r="GS327" s="73"/>
      <c r="GT327" s="73"/>
      <c r="GU327" s="73"/>
      <c r="GV327" s="73"/>
      <c r="GW327" s="73"/>
      <c r="GX327" s="73"/>
      <c r="GY327" s="73"/>
      <c r="GZ327" s="73"/>
      <c r="HA327" s="73"/>
      <c r="HB327" s="73"/>
      <c r="HC327" s="73"/>
      <c r="HD327" s="73"/>
      <c r="HE327" s="73"/>
      <c r="HF327" s="73"/>
      <c r="HG327" s="73"/>
      <c r="HH327" s="73"/>
      <c r="HI327" s="73"/>
      <c r="HJ327" s="73"/>
      <c r="HK327" s="73"/>
      <c r="HL327" s="73"/>
      <c r="HM327" s="73"/>
      <c r="HN327" s="73"/>
      <c r="HO327" s="73"/>
      <c r="HP327" s="73"/>
      <c r="HQ327" s="73"/>
      <c r="HR327" s="73"/>
      <c r="HS327" s="73"/>
      <c r="HT327" s="73"/>
      <c r="HU327" s="73"/>
      <c r="HV327" s="73"/>
      <c r="HW327" s="73"/>
      <c r="HX327" s="73"/>
      <c r="HY327" s="73"/>
      <c r="HZ327" s="73"/>
      <c r="IA327" s="73"/>
      <c r="IB327" s="73"/>
      <c r="IC327" s="73"/>
      <c r="ID327" s="73"/>
      <c r="IE327" s="73"/>
      <c r="IF327" s="73"/>
      <c r="IG327" s="73"/>
      <c r="IH327" s="73"/>
      <c r="II327" s="73"/>
      <c r="IJ327" s="73"/>
      <c r="IK327" s="73"/>
      <c r="IL327" s="73"/>
      <c r="IM327" s="73"/>
      <c r="IN327" s="73"/>
      <c r="IO327" s="73"/>
      <c r="IP327" s="73"/>
      <c r="IQ327" s="73"/>
      <c r="IR327" s="73"/>
      <c r="IS327" s="73"/>
      <c r="IT327" s="73"/>
      <c r="IU327" s="73"/>
      <c r="IV327" s="73"/>
      <c r="IW327" s="73"/>
      <c r="IX327" s="73"/>
      <c r="IY327" s="73"/>
      <c r="IZ327" s="73"/>
      <c r="JA327" s="73"/>
      <c r="JB327" s="73"/>
      <c r="JC327" s="73"/>
    </row>
    <row r="328" spans="2:263" s="72" customFormat="1">
      <c r="B328" s="73"/>
      <c r="C328" s="73"/>
      <c r="D328" s="73"/>
      <c r="E328" s="73"/>
      <c r="F328" s="73"/>
      <c r="G328" s="73"/>
      <c r="H328" s="73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GL328" s="73"/>
      <c r="GM328" s="73"/>
      <c r="GN328" s="73"/>
      <c r="GO328" s="73"/>
      <c r="GP328" s="73"/>
      <c r="GQ328" s="73"/>
      <c r="GR328" s="73"/>
      <c r="GS328" s="73"/>
      <c r="GT328" s="73"/>
      <c r="GU328" s="73"/>
      <c r="GV328" s="73"/>
      <c r="GW328" s="73"/>
      <c r="GX328" s="73"/>
      <c r="GY328" s="73"/>
      <c r="GZ328" s="73"/>
      <c r="HA328" s="73"/>
      <c r="HB328" s="73"/>
      <c r="HC328" s="73"/>
      <c r="HD328" s="73"/>
      <c r="HE328" s="73"/>
      <c r="HF328" s="73"/>
      <c r="HG328" s="73"/>
      <c r="HH328" s="73"/>
      <c r="HI328" s="73"/>
      <c r="HJ328" s="73"/>
      <c r="HK328" s="73"/>
      <c r="HL328" s="73"/>
      <c r="HM328" s="73"/>
      <c r="HN328" s="73"/>
      <c r="HO328" s="73"/>
      <c r="HP328" s="73"/>
      <c r="HQ328" s="73"/>
      <c r="HR328" s="73"/>
      <c r="HS328" s="73"/>
      <c r="HT328" s="73"/>
      <c r="HU328" s="73"/>
      <c r="HV328" s="73"/>
      <c r="HW328" s="73"/>
      <c r="HX328" s="73"/>
      <c r="HY328" s="73"/>
      <c r="HZ328" s="73"/>
      <c r="IA328" s="73"/>
      <c r="IB328" s="73"/>
      <c r="IC328" s="73"/>
      <c r="ID328" s="73"/>
      <c r="IE328" s="73"/>
      <c r="IF328" s="73"/>
      <c r="IG328" s="73"/>
      <c r="IH328" s="73"/>
      <c r="II328" s="73"/>
      <c r="IJ328" s="73"/>
      <c r="IK328" s="73"/>
      <c r="IL328" s="73"/>
      <c r="IM328" s="73"/>
      <c r="IN328" s="73"/>
      <c r="IO328" s="73"/>
      <c r="IP328" s="73"/>
      <c r="IQ328" s="73"/>
      <c r="IR328" s="73"/>
      <c r="IS328" s="73"/>
      <c r="IT328" s="73"/>
      <c r="IU328" s="73"/>
      <c r="IV328" s="73"/>
      <c r="IW328" s="73"/>
      <c r="IX328" s="73"/>
      <c r="IY328" s="73"/>
      <c r="IZ328" s="73"/>
      <c r="JA328" s="73"/>
      <c r="JB328" s="73"/>
      <c r="JC328" s="73"/>
    </row>
    <row r="329" spans="2:263" s="72" customFormat="1">
      <c r="B329" s="73"/>
      <c r="C329" s="73"/>
      <c r="D329" s="73"/>
      <c r="E329" s="73"/>
      <c r="F329" s="73"/>
      <c r="G329" s="73"/>
      <c r="H329" s="73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GL329" s="73"/>
      <c r="GM329" s="73"/>
      <c r="GN329" s="73"/>
      <c r="GO329" s="73"/>
      <c r="GP329" s="73"/>
      <c r="GQ329" s="73"/>
      <c r="GR329" s="73"/>
      <c r="GS329" s="73"/>
      <c r="GT329" s="73"/>
      <c r="GU329" s="73"/>
      <c r="GV329" s="73"/>
      <c r="GW329" s="73"/>
      <c r="GX329" s="73"/>
      <c r="GY329" s="73"/>
      <c r="GZ329" s="73"/>
      <c r="HA329" s="73"/>
      <c r="HB329" s="73"/>
      <c r="HC329" s="73"/>
      <c r="HD329" s="73"/>
      <c r="HE329" s="73"/>
      <c r="HF329" s="73"/>
      <c r="HG329" s="73"/>
      <c r="HH329" s="73"/>
      <c r="HI329" s="73"/>
      <c r="HJ329" s="73"/>
      <c r="HK329" s="73"/>
      <c r="HL329" s="73"/>
      <c r="HM329" s="73"/>
      <c r="HN329" s="73"/>
      <c r="HO329" s="73"/>
      <c r="HP329" s="73"/>
      <c r="HQ329" s="73"/>
      <c r="HR329" s="73"/>
      <c r="HS329" s="73"/>
      <c r="HT329" s="73"/>
      <c r="HU329" s="73"/>
      <c r="HV329" s="73"/>
      <c r="HW329" s="73"/>
      <c r="HX329" s="73"/>
      <c r="HY329" s="73"/>
      <c r="HZ329" s="73"/>
      <c r="IA329" s="73"/>
      <c r="IB329" s="73"/>
      <c r="IC329" s="73"/>
      <c r="ID329" s="73"/>
      <c r="IE329" s="73"/>
      <c r="IF329" s="73"/>
      <c r="IG329" s="73"/>
      <c r="IH329" s="73"/>
      <c r="II329" s="73"/>
      <c r="IJ329" s="73"/>
      <c r="IK329" s="73"/>
      <c r="IL329" s="73"/>
      <c r="IM329" s="73"/>
      <c r="IN329" s="73"/>
      <c r="IO329" s="73"/>
      <c r="IP329" s="73"/>
      <c r="IQ329" s="73"/>
      <c r="IR329" s="73"/>
      <c r="IS329" s="73"/>
      <c r="IT329" s="73"/>
      <c r="IU329" s="73"/>
      <c r="IV329" s="73"/>
      <c r="IW329" s="73"/>
      <c r="IX329" s="73"/>
      <c r="IY329" s="73"/>
      <c r="IZ329" s="73"/>
      <c r="JA329" s="73"/>
      <c r="JB329" s="73"/>
      <c r="JC329" s="73"/>
    </row>
    <row r="330" spans="2:263" s="72" customFormat="1">
      <c r="B330" s="73"/>
      <c r="C330" s="73"/>
      <c r="D330" s="73"/>
      <c r="E330" s="73"/>
      <c r="F330" s="73"/>
      <c r="G330" s="73"/>
      <c r="H330" s="73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GL330" s="73"/>
      <c r="GM330" s="73"/>
      <c r="GN330" s="73"/>
      <c r="GO330" s="73"/>
      <c r="GP330" s="73"/>
      <c r="GQ330" s="73"/>
      <c r="GR330" s="73"/>
      <c r="GS330" s="73"/>
      <c r="GT330" s="73"/>
      <c r="GU330" s="73"/>
      <c r="GV330" s="73"/>
      <c r="GW330" s="73"/>
      <c r="GX330" s="73"/>
      <c r="GY330" s="73"/>
      <c r="GZ330" s="73"/>
      <c r="HA330" s="73"/>
      <c r="HB330" s="73"/>
      <c r="HC330" s="73"/>
      <c r="HD330" s="73"/>
      <c r="HE330" s="73"/>
      <c r="HF330" s="73"/>
      <c r="HG330" s="73"/>
      <c r="HH330" s="73"/>
      <c r="HI330" s="73"/>
      <c r="HJ330" s="73"/>
      <c r="HK330" s="73"/>
      <c r="HL330" s="73"/>
      <c r="HM330" s="73"/>
      <c r="HN330" s="73"/>
      <c r="HO330" s="73"/>
      <c r="HP330" s="73"/>
      <c r="HQ330" s="73"/>
      <c r="HR330" s="73"/>
      <c r="HS330" s="73"/>
      <c r="HT330" s="73"/>
      <c r="HU330" s="73"/>
      <c r="HV330" s="73"/>
      <c r="HW330" s="73"/>
      <c r="HX330" s="73"/>
      <c r="HY330" s="73"/>
      <c r="HZ330" s="73"/>
      <c r="IA330" s="73"/>
      <c r="IB330" s="73"/>
      <c r="IC330" s="73"/>
      <c r="ID330" s="73"/>
      <c r="IE330" s="73"/>
      <c r="IF330" s="73"/>
      <c r="IG330" s="73"/>
      <c r="IH330" s="73"/>
      <c r="II330" s="73"/>
      <c r="IJ330" s="73"/>
      <c r="IK330" s="73"/>
      <c r="IL330" s="73"/>
      <c r="IM330" s="73"/>
      <c r="IN330" s="73"/>
      <c r="IO330" s="73"/>
      <c r="IP330" s="73"/>
      <c r="IQ330" s="73"/>
      <c r="IR330" s="73"/>
      <c r="IS330" s="73"/>
      <c r="IT330" s="73"/>
      <c r="IU330" s="73"/>
      <c r="IV330" s="73"/>
      <c r="IW330" s="73"/>
      <c r="IX330" s="73"/>
      <c r="IY330" s="73"/>
      <c r="IZ330" s="73"/>
      <c r="JA330" s="73"/>
      <c r="JB330" s="73"/>
      <c r="JC330" s="73"/>
    </row>
    <row r="331" spans="2:263" s="72" customFormat="1">
      <c r="B331" s="73"/>
      <c r="C331" s="73"/>
      <c r="D331" s="73"/>
      <c r="E331" s="73"/>
      <c r="F331" s="73"/>
      <c r="G331" s="73"/>
      <c r="H331" s="73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GL331" s="73"/>
      <c r="GM331" s="73"/>
      <c r="GN331" s="73"/>
      <c r="GO331" s="73"/>
      <c r="GP331" s="73"/>
      <c r="GQ331" s="73"/>
      <c r="GR331" s="73"/>
      <c r="GS331" s="73"/>
      <c r="GT331" s="73"/>
      <c r="GU331" s="73"/>
      <c r="GV331" s="73"/>
      <c r="GW331" s="73"/>
      <c r="GX331" s="73"/>
      <c r="GY331" s="73"/>
      <c r="GZ331" s="73"/>
      <c r="HA331" s="73"/>
      <c r="HB331" s="73"/>
      <c r="HC331" s="73"/>
      <c r="HD331" s="73"/>
      <c r="HE331" s="73"/>
      <c r="HF331" s="73"/>
      <c r="HG331" s="73"/>
      <c r="HH331" s="73"/>
      <c r="HI331" s="73"/>
      <c r="HJ331" s="73"/>
      <c r="HK331" s="73"/>
      <c r="HL331" s="73"/>
      <c r="HM331" s="73"/>
      <c r="HN331" s="73"/>
      <c r="HO331" s="73"/>
      <c r="HP331" s="73"/>
      <c r="HQ331" s="73"/>
      <c r="HR331" s="73"/>
      <c r="HS331" s="73"/>
      <c r="HT331" s="73"/>
      <c r="HU331" s="73"/>
      <c r="HV331" s="73"/>
      <c r="HW331" s="73"/>
      <c r="HX331" s="73"/>
      <c r="HY331" s="73"/>
      <c r="HZ331" s="73"/>
      <c r="IA331" s="73"/>
      <c r="IB331" s="73"/>
      <c r="IC331" s="73"/>
      <c r="ID331" s="73"/>
      <c r="IE331" s="73"/>
      <c r="IF331" s="73"/>
      <c r="IG331" s="73"/>
      <c r="IH331" s="73"/>
      <c r="II331" s="73"/>
      <c r="IJ331" s="73"/>
      <c r="IK331" s="73"/>
      <c r="IL331" s="73"/>
      <c r="IM331" s="73"/>
      <c r="IN331" s="73"/>
      <c r="IO331" s="73"/>
      <c r="IP331" s="73"/>
      <c r="IQ331" s="73"/>
      <c r="IR331" s="73"/>
      <c r="IS331" s="73"/>
      <c r="IT331" s="73"/>
      <c r="IU331" s="73"/>
      <c r="IV331" s="73"/>
      <c r="IW331" s="73"/>
      <c r="IX331" s="73"/>
      <c r="IY331" s="73"/>
      <c r="IZ331" s="73"/>
      <c r="JA331" s="73"/>
      <c r="JB331" s="73"/>
      <c r="JC331" s="73"/>
    </row>
    <row r="332" spans="2:263" s="72" customFormat="1">
      <c r="B332" s="73"/>
      <c r="C332" s="73"/>
      <c r="D332" s="73"/>
      <c r="E332" s="73"/>
      <c r="F332" s="73"/>
      <c r="G332" s="73"/>
      <c r="H332" s="73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GL332" s="73"/>
      <c r="GM332" s="73"/>
      <c r="GN332" s="73"/>
      <c r="GO332" s="73"/>
      <c r="GP332" s="73"/>
      <c r="GQ332" s="73"/>
      <c r="GR332" s="73"/>
      <c r="GS332" s="73"/>
      <c r="GT332" s="73"/>
      <c r="GU332" s="73"/>
      <c r="GV332" s="73"/>
      <c r="GW332" s="73"/>
      <c r="GX332" s="73"/>
      <c r="GY332" s="73"/>
      <c r="GZ332" s="73"/>
      <c r="HA332" s="73"/>
      <c r="HB332" s="73"/>
      <c r="HC332" s="73"/>
      <c r="HD332" s="73"/>
      <c r="HE332" s="73"/>
      <c r="HF332" s="73"/>
      <c r="HG332" s="73"/>
      <c r="HH332" s="73"/>
      <c r="HI332" s="73"/>
      <c r="HJ332" s="73"/>
      <c r="HK332" s="73"/>
      <c r="HL332" s="73"/>
      <c r="HM332" s="73"/>
      <c r="HN332" s="73"/>
      <c r="HO332" s="73"/>
      <c r="HP332" s="73"/>
      <c r="HQ332" s="73"/>
      <c r="HR332" s="73"/>
      <c r="HS332" s="73"/>
      <c r="HT332" s="73"/>
      <c r="HU332" s="73"/>
      <c r="HV332" s="73"/>
      <c r="HW332" s="73"/>
      <c r="HX332" s="73"/>
      <c r="HY332" s="73"/>
      <c r="HZ332" s="73"/>
      <c r="IA332" s="73"/>
      <c r="IB332" s="73"/>
      <c r="IC332" s="73"/>
      <c r="ID332" s="73"/>
      <c r="IE332" s="73"/>
      <c r="IF332" s="73"/>
      <c r="IG332" s="73"/>
      <c r="IH332" s="73"/>
      <c r="II332" s="73"/>
      <c r="IJ332" s="73"/>
      <c r="IK332" s="73"/>
      <c r="IL332" s="73"/>
      <c r="IM332" s="73"/>
      <c r="IN332" s="73"/>
      <c r="IO332" s="73"/>
      <c r="IP332" s="73"/>
      <c r="IQ332" s="73"/>
      <c r="IR332" s="73"/>
      <c r="IS332" s="73"/>
      <c r="IT332" s="73"/>
      <c r="IU332" s="73"/>
      <c r="IV332" s="73"/>
      <c r="IW332" s="73"/>
      <c r="IX332" s="73"/>
      <c r="IY332" s="73"/>
      <c r="IZ332" s="73"/>
      <c r="JA332" s="73"/>
      <c r="JB332" s="73"/>
      <c r="JC332" s="73"/>
    </row>
    <row r="333" spans="2:263" s="72" customFormat="1">
      <c r="B333" s="73"/>
      <c r="C333" s="73"/>
      <c r="D333" s="73"/>
      <c r="E333" s="73"/>
      <c r="F333" s="73"/>
      <c r="G333" s="73"/>
      <c r="H333" s="73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GL333" s="73"/>
      <c r="GM333" s="73"/>
      <c r="GN333" s="73"/>
      <c r="GO333" s="73"/>
      <c r="GP333" s="73"/>
      <c r="GQ333" s="73"/>
      <c r="GR333" s="73"/>
      <c r="GS333" s="73"/>
      <c r="GT333" s="73"/>
      <c r="GU333" s="73"/>
      <c r="GV333" s="73"/>
      <c r="GW333" s="73"/>
      <c r="GX333" s="73"/>
      <c r="GY333" s="73"/>
      <c r="GZ333" s="73"/>
      <c r="HA333" s="73"/>
      <c r="HB333" s="73"/>
      <c r="HC333" s="73"/>
      <c r="HD333" s="73"/>
      <c r="HE333" s="73"/>
      <c r="HF333" s="73"/>
      <c r="HG333" s="73"/>
      <c r="HH333" s="73"/>
      <c r="HI333" s="73"/>
      <c r="HJ333" s="73"/>
      <c r="HK333" s="73"/>
      <c r="HL333" s="73"/>
      <c r="HM333" s="73"/>
      <c r="HN333" s="73"/>
      <c r="HO333" s="73"/>
      <c r="HP333" s="73"/>
      <c r="HQ333" s="73"/>
      <c r="HR333" s="73"/>
      <c r="HS333" s="73"/>
      <c r="HT333" s="73"/>
      <c r="HU333" s="73"/>
      <c r="HV333" s="73"/>
      <c r="HW333" s="73"/>
      <c r="HX333" s="73"/>
      <c r="HY333" s="73"/>
      <c r="HZ333" s="73"/>
      <c r="IA333" s="73"/>
      <c r="IB333" s="73"/>
      <c r="IC333" s="73"/>
      <c r="ID333" s="73"/>
      <c r="IE333" s="73"/>
      <c r="IF333" s="73"/>
      <c r="IG333" s="73"/>
      <c r="IH333" s="73"/>
      <c r="II333" s="73"/>
      <c r="IJ333" s="73"/>
      <c r="IK333" s="73"/>
      <c r="IL333" s="73"/>
      <c r="IM333" s="73"/>
      <c r="IN333" s="73"/>
      <c r="IO333" s="73"/>
      <c r="IP333" s="73"/>
      <c r="IQ333" s="73"/>
      <c r="IR333" s="73"/>
      <c r="IS333" s="73"/>
      <c r="IT333" s="73"/>
      <c r="IU333" s="73"/>
      <c r="IV333" s="73"/>
      <c r="IW333" s="73"/>
      <c r="IX333" s="73"/>
      <c r="IY333" s="73"/>
      <c r="IZ333" s="73"/>
      <c r="JA333" s="73"/>
      <c r="JB333" s="73"/>
      <c r="JC333" s="73"/>
    </row>
    <row r="334" spans="2:263" s="72" customFormat="1">
      <c r="B334" s="73"/>
      <c r="C334" s="73"/>
      <c r="D334" s="73"/>
      <c r="E334" s="73"/>
      <c r="F334" s="73"/>
      <c r="G334" s="73"/>
      <c r="H334" s="73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GL334" s="73"/>
      <c r="GM334" s="73"/>
      <c r="GN334" s="73"/>
      <c r="GO334" s="73"/>
      <c r="GP334" s="73"/>
      <c r="GQ334" s="73"/>
      <c r="GR334" s="73"/>
      <c r="GS334" s="73"/>
      <c r="GT334" s="73"/>
      <c r="GU334" s="73"/>
      <c r="GV334" s="73"/>
      <c r="GW334" s="73"/>
      <c r="GX334" s="73"/>
      <c r="GY334" s="73"/>
      <c r="GZ334" s="73"/>
      <c r="HA334" s="73"/>
      <c r="HB334" s="73"/>
      <c r="HC334" s="73"/>
      <c r="HD334" s="73"/>
      <c r="HE334" s="73"/>
      <c r="HF334" s="73"/>
      <c r="HG334" s="73"/>
      <c r="HH334" s="73"/>
      <c r="HI334" s="73"/>
      <c r="HJ334" s="73"/>
      <c r="HK334" s="73"/>
      <c r="HL334" s="73"/>
      <c r="HM334" s="73"/>
      <c r="HN334" s="73"/>
      <c r="HO334" s="73"/>
      <c r="HP334" s="73"/>
      <c r="HQ334" s="73"/>
      <c r="HR334" s="73"/>
      <c r="HS334" s="73"/>
      <c r="HT334" s="73"/>
      <c r="HU334" s="73"/>
      <c r="HV334" s="73"/>
      <c r="HW334" s="73"/>
      <c r="HX334" s="73"/>
      <c r="HY334" s="73"/>
      <c r="HZ334" s="73"/>
      <c r="IA334" s="73"/>
      <c r="IB334" s="73"/>
      <c r="IC334" s="73"/>
      <c r="ID334" s="73"/>
      <c r="IE334" s="73"/>
      <c r="IF334" s="73"/>
      <c r="IG334" s="73"/>
      <c r="IH334" s="73"/>
      <c r="II334" s="73"/>
      <c r="IJ334" s="73"/>
      <c r="IK334" s="73"/>
      <c r="IL334" s="73"/>
      <c r="IM334" s="73"/>
      <c r="IN334" s="73"/>
      <c r="IO334" s="73"/>
      <c r="IP334" s="73"/>
      <c r="IQ334" s="73"/>
      <c r="IR334" s="73"/>
      <c r="IS334" s="73"/>
      <c r="IT334" s="73"/>
      <c r="IU334" s="73"/>
      <c r="IV334" s="73"/>
      <c r="IW334" s="73"/>
      <c r="IX334" s="73"/>
      <c r="IY334" s="73"/>
      <c r="IZ334" s="73"/>
      <c r="JA334" s="73"/>
      <c r="JB334" s="73"/>
      <c r="JC334" s="73"/>
    </row>
    <row r="335" spans="2:263" s="72" customFormat="1">
      <c r="B335" s="73"/>
      <c r="C335" s="73"/>
      <c r="D335" s="73"/>
      <c r="E335" s="73"/>
      <c r="F335" s="73"/>
      <c r="G335" s="73"/>
      <c r="H335" s="73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GL335" s="73"/>
      <c r="GM335" s="73"/>
      <c r="GN335" s="73"/>
      <c r="GO335" s="73"/>
      <c r="GP335" s="73"/>
      <c r="GQ335" s="73"/>
      <c r="GR335" s="73"/>
      <c r="GS335" s="73"/>
      <c r="GT335" s="73"/>
      <c r="GU335" s="73"/>
      <c r="GV335" s="73"/>
      <c r="GW335" s="73"/>
      <c r="GX335" s="73"/>
      <c r="GY335" s="73"/>
      <c r="GZ335" s="73"/>
      <c r="HA335" s="73"/>
      <c r="HB335" s="73"/>
      <c r="HC335" s="73"/>
      <c r="HD335" s="73"/>
      <c r="HE335" s="73"/>
      <c r="HF335" s="73"/>
      <c r="HG335" s="73"/>
      <c r="HH335" s="73"/>
      <c r="HI335" s="73"/>
      <c r="HJ335" s="73"/>
      <c r="HK335" s="73"/>
      <c r="HL335" s="73"/>
      <c r="HM335" s="73"/>
      <c r="HN335" s="73"/>
      <c r="HO335" s="73"/>
      <c r="HP335" s="73"/>
      <c r="HQ335" s="73"/>
      <c r="HR335" s="73"/>
      <c r="HS335" s="73"/>
      <c r="HT335" s="73"/>
      <c r="HU335" s="73"/>
      <c r="HV335" s="73"/>
      <c r="HW335" s="73"/>
      <c r="HX335" s="73"/>
      <c r="HY335" s="73"/>
      <c r="HZ335" s="73"/>
      <c r="IA335" s="73"/>
      <c r="IB335" s="73"/>
      <c r="IC335" s="73"/>
      <c r="ID335" s="73"/>
      <c r="IE335" s="73"/>
      <c r="IF335" s="73"/>
      <c r="IG335" s="73"/>
      <c r="IH335" s="73"/>
      <c r="II335" s="73"/>
      <c r="IJ335" s="73"/>
      <c r="IK335" s="73"/>
      <c r="IL335" s="73"/>
      <c r="IM335" s="73"/>
      <c r="IN335" s="73"/>
      <c r="IO335" s="73"/>
      <c r="IP335" s="73"/>
      <c r="IQ335" s="73"/>
      <c r="IR335" s="73"/>
      <c r="IS335" s="73"/>
      <c r="IT335" s="73"/>
      <c r="IU335" s="73"/>
      <c r="IV335" s="73"/>
      <c r="IW335" s="73"/>
      <c r="IX335" s="73"/>
      <c r="IY335" s="73"/>
      <c r="IZ335" s="73"/>
      <c r="JA335" s="73"/>
      <c r="JB335" s="73"/>
      <c r="JC335" s="73"/>
    </row>
    <row r="336" spans="2:263" s="72" customFormat="1">
      <c r="B336" s="73"/>
      <c r="C336" s="73"/>
      <c r="D336" s="73"/>
      <c r="E336" s="73"/>
      <c r="F336" s="73"/>
      <c r="G336" s="73"/>
      <c r="H336" s="73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GL336" s="73"/>
      <c r="GM336" s="73"/>
      <c r="GN336" s="73"/>
      <c r="GO336" s="73"/>
      <c r="GP336" s="73"/>
      <c r="GQ336" s="73"/>
      <c r="GR336" s="73"/>
      <c r="GS336" s="73"/>
      <c r="GT336" s="73"/>
      <c r="GU336" s="73"/>
      <c r="GV336" s="73"/>
      <c r="GW336" s="73"/>
      <c r="GX336" s="73"/>
      <c r="GY336" s="73"/>
      <c r="GZ336" s="73"/>
      <c r="HA336" s="73"/>
      <c r="HB336" s="73"/>
      <c r="HC336" s="73"/>
      <c r="HD336" s="73"/>
      <c r="HE336" s="73"/>
      <c r="HF336" s="73"/>
      <c r="HG336" s="73"/>
      <c r="HH336" s="73"/>
      <c r="HI336" s="73"/>
      <c r="HJ336" s="73"/>
      <c r="HK336" s="73"/>
      <c r="HL336" s="73"/>
      <c r="HM336" s="73"/>
      <c r="HN336" s="73"/>
      <c r="HO336" s="73"/>
      <c r="HP336" s="73"/>
      <c r="HQ336" s="73"/>
      <c r="HR336" s="73"/>
      <c r="HS336" s="73"/>
      <c r="HT336" s="73"/>
      <c r="HU336" s="73"/>
      <c r="HV336" s="73"/>
      <c r="HW336" s="73"/>
      <c r="HX336" s="73"/>
      <c r="HY336" s="73"/>
      <c r="HZ336" s="73"/>
      <c r="IA336" s="73"/>
      <c r="IB336" s="73"/>
      <c r="IC336" s="73"/>
      <c r="ID336" s="73"/>
      <c r="IE336" s="73"/>
      <c r="IF336" s="73"/>
      <c r="IG336" s="73"/>
      <c r="IH336" s="73"/>
      <c r="II336" s="73"/>
      <c r="IJ336" s="73"/>
      <c r="IK336" s="73"/>
      <c r="IL336" s="73"/>
      <c r="IM336" s="73"/>
      <c r="IN336" s="73"/>
      <c r="IO336" s="73"/>
      <c r="IP336" s="73"/>
      <c r="IQ336" s="73"/>
      <c r="IR336" s="73"/>
      <c r="IS336" s="73"/>
      <c r="IT336" s="73"/>
      <c r="IU336" s="73"/>
      <c r="IV336" s="73"/>
      <c r="IW336" s="73"/>
      <c r="IX336" s="73"/>
      <c r="IY336" s="73"/>
      <c r="IZ336" s="73"/>
      <c r="JA336" s="73"/>
      <c r="JB336" s="73"/>
      <c r="JC336" s="73"/>
    </row>
    <row r="337" spans="2:263" s="72" customFormat="1">
      <c r="B337" s="73"/>
      <c r="C337" s="73"/>
      <c r="D337" s="73"/>
      <c r="E337" s="73"/>
      <c r="F337" s="73"/>
      <c r="G337" s="73"/>
      <c r="H337" s="73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GL337" s="73"/>
      <c r="GM337" s="73"/>
      <c r="GN337" s="73"/>
      <c r="GO337" s="73"/>
      <c r="GP337" s="73"/>
      <c r="GQ337" s="73"/>
      <c r="GR337" s="73"/>
      <c r="GS337" s="73"/>
      <c r="GT337" s="73"/>
      <c r="GU337" s="73"/>
      <c r="GV337" s="73"/>
      <c r="GW337" s="73"/>
      <c r="GX337" s="73"/>
      <c r="GY337" s="73"/>
      <c r="GZ337" s="73"/>
      <c r="HA337" s="73"/>
      <c r="HB337" s="73"/>
      <c r="HC337" s="73"/>
      <c r="HD337" s="73"/>
      <c r="HE337" s="73"/>
      <c r="HF337" s="73"/>
      <c r="HG337" s="73"/>
      <c r="HH337" s="73"/>
      <c r="HI337" s="73"/>
      <c r="HJ337" s="73"/>
      <c r="HK337" s="73"/>
      <c r="HL337" s="73"/>
      <c r="HM337" s="73"/>
      <c r="HN337" s="73"/>
      <c r="HO337" s="73"/>
      <c r="HP337" s="73"/>
      <c r="HQ337" s="73"/>
      <c r="HR337" s="73"/>
      <c r="HS337" s="73"/>
      <c r="HT337" s="73"/>
      <c r="HU337" s="73"/>
      <c r="HV337" s="73"/>
      <c r="HW337" s="73"/>
      <c r="HX337" s="73"/>
      <c r="HY337" s="73"/>
      <c r="HZ337" s="73"/>
      <c r="IA337" s="73"/>
      <c r="IB337" s="73"/>
      <c r="IC337" s="73"/>
      <c r="ID337" s="73"/>
      <c r="IE337" s="73"/>
      <c r="IF337" s="73"/>
      <c r="IG337" s="73"/>
      <c r="IH337" s="73"/>
      <c r="II337" s="73"/>
      <c r="IJ337" s="73"/>
      <c r="IK337" s="73"/>
      <c r="IL337" s="73"/>
      <c r="IM337" s="73"/>
      <c r="IN337" s="73"/>
      <c r="IO337" s="73"/>
      <c r="IP337" s="73"/>
      <c r="IQ337" s="73"/>
      <c r="IR337" s="73"/>
      <c r="IS337" s="73"/>
      <c r="IT337" s="73"/>
      <c r="IU337" s="73"/>
      <c r="IV337" s="73"/>
      <c r="IW337" s="73"/>
      <c r="IX337" s="73"/>
      <c r="IY337" s="73"/>
      <c r="IZ337" s="73"/>
      <c r="JA337" s="73"/>
      <c r="JB337" s="73"/>
      <c r="JC337" s="73"/>
    </row>
    <row r="338" spans="2:263" s="72" customFormat="1">
      <c r="B338" s="73"/>
      <c r="C338" s="73"/>
      <c r="D338" s="73"/>
      <c r="E338" s="73"/>
      <c r="F338" s="73"/>
      <c r="G338" s="73"/>
      <c r="H338" s="73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GL338" s="73"/>
      <c r="GM338" s="73"/>
      <c r="GN338" s="73"/>
      <c r="GO338" s="73"/>
      <c r="GP338" s="73"/>
      <c r="GQ338" s="73"/>
      <c r="GR338" s="73"/>
      <c r="GS338" s="73"/>
      <c r="GT338" s="73"/>
      <c r="GU338" s="73"/>
      <c r="GV338" s="73"/>
      <c r="GW338" s="73"/>
      <c r="GX338" s="73"/>
      <c r="GY338" s="73"/>
      <c r="GZ338" s="73"/>
      <c r="HA338" s="73"/>
      <c r="HB338" s="73"/>
      <c r="HC338" s="73"/>
      <c r="HD338" s="73"/>
      <c r="HE338" s="73"/>
      <c r="HF338" s="73"/>
      <c r="HG338" s="73"/>
      <c r="HH338" s="73"/>
      <c r="HI338" s="73"/>
      <c r="HJ338" s="73"/>
      <c r="HK338" s="73"/>
      <c r="HL338" s="73"/>
      <c r="HM338" s="73"/>
      <c r="HN338" s="73"/>
      <c r="HO338" s="73"/>
      <c r="HP338" s="73"/>
      <c r="HQ338" s="73"/>
      <c r="HR338" s="73"/>
      <c r="HS338" s="73"/>
      <c r="HT338" s="73"/>
      <c r="HU338" s="73"/>
      <c r="HV338" s="73"/>
      <c r="HW338" s="73"/>
      <c r="HX338" s="73"/>
      <c r="HY338" s="73"/>
      <c r="HZ338" s="73"/>
      <c r="IA338" s="73"/>
      <c r="IB338" s="73"/>
      <c r="IC338" s="73"/>
      <c r="ID338" s="73"/>
      <c r="IE338" s="73"/>
      <c r="IF338" s="73"/>
      <c r="IG338" s="73"/>
      <c r="IH338" s="73"/>
      <c r="II338" s="73"/>
      <c r="IJ338" s="73"/>
      <c r="IK338" s="73"/>
      <c r="IL338" s="73"/>
      <c r="IM338" s="73"/>
      <c r="IN338" s="73"/>
      <c r="IO338" s="73"/>
      <c r="IP338" s="73"/>
      <c r="IQ338" s="73"/>
      <c r="IR338" s="73"/>
      <c r="IS338" s="73"/>
      <c r="IT338" s="73"/>
      <c r="IU338" s="73"/>
      <c r="IV338" s="73"/>
      <c r="IW338" s="73"/>
      <c r="IX338" s="73"/>
      <c r="IY338" s="73"/>
      <c r="IZ338" s="73"/>
      <c r="JA338" s="73"/>
      <c r="JB338" s="73"/>
      <c r="JC338" s="73"/>
    </row>
    <row r="339" spans="2:263" s="72" customFormat="1">
      <c r="B339" s="73"/>
      <c r="C339" s="73"/>
      <c r="D339" s="73"/>
      <c r="E339" s="73"/>
      <c r="F339" s="73"/>
      <c r="G339" s="73"/>
      <c r="H339" s="73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GL339" s="73"/>
      <c r="GM339" s="73"/>
      <c r="GN339" s="73"/>
      <c r="GO339" s="73"/>
      <c r="GP339" s="73"/>
      <c r="GQ339" s="73"/>
      <c r="GR339" s="73"/>
      <c r="GS339" s="73"/>
      <c r="GT339" s="73"/>
      <c r="GU339" s="73"/>
      <c r="GV339" s="73"/>
      <c r="GW339" s="73"/>
      <c r="GX339" s="73"/>
      <c r="GY339" s="73"/>
      <c r="GZ339" s="73"/>
      <c r="HA339" s="73"/>
      <c r="HB339" s="73"/>
      <c r="HC339" s="73"/>
      <c r="HD339" s="73"/>
      <c r="HE339" s="73"/>
      <c r="HF339" s="73"/>
      <c r="HG339" s="73"/>
      <c r="HH339" s="73"/>
      <c r="HI339" s="73"/>
      <c r="HJ339" s="73"/>
      <c r="HK339" s="73"/>
      <c r="HL339" s="73"/>
      <c r="HM339" s="73"/>
      <c r="HN339" s="73"/>
      <c r="HO339" s="73"/>
      <c r="HP339" s="73"/>
      <c r="HQ339" s="73"/>
      <c r="HR339" s="73"/>
      <c r="HS339" s="73"/>
      <c r="HT339" s="73"/>
      <c r="HU339" s="73"/>
      <c r="HV339" s="73"/>
      <c r="HW339" s="73"/>
      <c r="HX339" s="73"/>
      <c r="HY339" s="73"/>
      <c r="HZ339" s="73"/>
      <c r="IA339" s="73"/>
      <c r="IB339" s="73"/>
      <c r="IC339" s="73"/>
      <c r="ID339" s="73"/>
      <c r="IE339" s="73"/>
      <c r="IF339" s="73"/>
      <c r="IG339" s="73"/>
      <c r="IH339" s="73"/>
      <c r="II339" s="73"/>
      <c r="IJ339" s="73"/>
      <c r="IK339" s="73"/>
      <c r="IL339" s="73"/>
      <c r="IM339" s="73"/>
      <c r="IN339" s="73"/>
      <c r="IO339" s="73"/>
      <c r="IP339" s="73"/>
      <c r="IQ339" s="73"/>
      <c r="IR339" s="73"/>
      <c r="IS339" s="73"/>
      <c r="IT339" s="73"/>
      <c r="IU339" s="73"/>
      <c r="IV339" s="73"/>
      <c r="IW339" s="73"/>
      <c r="IX339" s="73"/>
      <c r="IY339" s="73"/>
      <c r="IZ339" s="73"/>
      <c r="JA339" s="73"/>
      <c r="JB339" s="73"/>
      <c r="JC339" s="73"/>
    </row>
    <row r="340" spans="2:263" s="72" customFormat="1">
      <c r="B340" s="73"/>
      <c r="C340" s="73"/>
      <c r="D340" s="73"/>
      <c r="E340" s="73"/>
      <c r="F340" s="73"/>
      <c r="G340" s="73"/>
      <c r="H340" s="73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GL340" s="73"/>
      <c r="GM340" s="73"/>
      <c r="GN340" s="73"/>
      <c r="GO340" s="73"/>
      <c r="GP340" s="73"/>
      <c r="GQ340" s="73"/>
      <c r="GR340" s="73"/>
      <c r="GS340" s="73"/>
      <c r="GT340" s="73"/>
      <c r="GU340" s="73"/>
      <c r="GV340" s="73"/>
      <c r="GW340" s="73"/>
      <c r="GX340" s="73"/>
      <c r="GY340" s="73"/>
      <c r="GZ340" s="73"/>
      <c r="HA340" s="73"/>
      <c r="HB340" s="73"/>
      <c r="HC340" s="73"/>
      <c r="HD340" s="73"/>
      <c r="HE340" s="73"/>
      <c r="HF340" s="73"/>
      <c r="HG340" s="73"/>
      <c r="HH340" s="73"/>
      <c r="HI340" s="73"/>
      <c r="HJ340" s="73"/>
      <c r="HK340" s="73"/>
      <c r="HL340" s="73"/>
      <c r="HM340" s="73"/>
      <c r="HN340" s="73"/>
      <c r="HO340" s="73"/>
      <c r="HP340" s="73"/>
      <c r="HQ340" s="73"/>
      <c r="HR340" s="73"/>
      <c r="HS340" s="73"/>
      <c r="HT340" s="73"/>
      <c r="HU340" s="73"/>
      <c r="HV340" s="73"/>
      <c r="HW340" s="73"/>
      <c r="HX340" s="73"/>
      <c r="HY340" s="73"/>
      <c r="HZ340" s="73"/>
      <c r="IA340" s="73"/>
      <c r="IB340" s="73"/>
      <c r="IC340" s="73"/>
      <c r="ID340" s="73"/>
      <c r="IE340" s="73"/>
      <c r="IF340" s="73"/>
      <c r="IG340" s="73"/>
      <c r="IH340" s="73"/>
      <c r="II340" s="73"/>
      <c r="IJ340" s="73"/>
      <c r="IK340" s="73"/>
      <c r="IL340" s="73"/>
      <c r="IM340" s="73"/>
      <c r="IN340" s="73"/>
      <c r="IO340" s="73"/>
      <c r="IP340" s="73"/>
      <c r="IQ340" s="73"/>
      <c r="IR340" s="73"/>
      <c r="IS340" s="73"/>
      <c r="IT340" s="73"/>
      <c r="IU340" s="73"/>
      <c r="IV340" s="73"/>
      <c r="IW340" s="73"/>
      <c r="IX340" s="73"/>
      <c r="IY340" s="73"/>
      <c r="IZ340" s="73"/>
      <c r="JA340" s="73"/>
      <c r="JB340" s="73"/>
      <c r="JC340" s="73"/>
    </row>
    <row r="341" spans="2:263" s="72" customFormat="1">
      <c r="B341" s="73"/>
      <c r="C341" s="73"/>
      <c r="D341" s="73"/>
      <c r="E341" s="73"/>
      <c r="F341" s="73"/>
      <c r="G341" s="73"/>
      <c r="H341" s="73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GL341" s="73"/>
      <c r="GM341" s="73"/>
      <c r="GN341" s="73"/>
      <c r="GO341" s="73"/>
      <c r="GP341" s="73"/>
      <c r="GQ341" s="73"/>
      <c r="GR341" s="73"/>
      <c r="GS341" s="73"/>
      <c r="GT341" s="73"/>
      <c r="GU341" s="73"/>
      <c r="GV341" s="73"/>
      <c r="GW341" s="73"/>
      <c r="GX341" s="73"/>
      <c r="GY341" s="73"/>
      <c r="GZ341" s="73"/>
      <c r="HA341" s="73"/>
      <c r="HB341" s="73"/>
      <c r="HC341" s="73"/>
      <c r="HD341" s="73"/>
      <c r="HE341" s="73"/>
      <c r="HF341" s="73"/>
      <c r="HG341" s="73"/>
      <c r="HH341" s="73"/>
      <c r="HI341" s="73"/>
      <c r="HJ341" s="73"/>
      <c r="HK341" s="73"/>
      <c r="HL341" s="73"/>
      <c r="HM341" s="73"/>
      <c r="HN341" s="73"/>
      <c r="HO341" s="73"/>
      <c r="HP341" s="73"/>
      <c r="HQ341" s="73"/>
      <c r="HR341" s="73"/>
      <c r="HS341" s="73"/>
      <c r="HT341" s="73"/>
      <c r="HU341" s="73"/>
      <c r="HV341" s="73"/>
      <c r="HW341" s="73"/>
      <c r="HX341" s="73"/>
      <c r="HY341" s="73"/>
      <c r="HZ341" s="73"/>
      <c r="IA341" s="73"/>
      <c r="IB341" s="73"/>
      <c r="IC341" s="73"/>
      <c r="ID341" s="73"/>
      <c r="IE341" s="73"/>
      <c r="IF341" s="73"/>
      <c r="IG341" s="73"/>
      <c r="IH341" s="73"/>
      <c r="II341" s="73"/>
      <c r="IJ341" s="73"/>
      <c r="IK341" s="73"/>
      <c r="IL341" s="73"/>
      <c r="IM341" s="73"/>
      <c r="IN341" s="73"/>
      <c r="IO341" s="73"/>
      <c r="IP341" s="73"/>
      <c r="IQ341" s="73"/>
      <c r="IR341" s="73"/>
      <c r="IS341" s="73"/>
      <c r="IT341" s="73"/>
      <c r="IU341" s="73"/>
      <c r="IV341" s="73"/>
      <c r="IW341" s="73"/>
      <c r="IX341" s="73"/>
      <c r="IY341" s="73"/>
      <c r="IZ341" s="73"/>
      <c r="JA341" s="73"/>
      <c r="JB341" s="73"/>
      <c r="JC341" s="73"/>
    </row>
    <row r="342" spans="2:263" s="72" customFormat="1">
      <c r="B342" s="73"/>
      <c r="C342" s="73"/>
      <c r="D342" s="73"/>
      <c r="E342" s="73"/>
      <c r="F342" s="73"/>
      <c r="G342" s="73"/>
      <c r="H342" s="73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GL342" s="73"/>
      <c r="GM342" s="73"/>
      <c r="GN342" s="73"/>
      <c r="GO342" s="73"/>
      <c r="GP342" s="73"/>
      <c r="GQ342" s="73"/>
      <c r="GR342" s="73"/>
      <c r="GS342" s="73"/>
      <c r="GT342" s="73"/>
      <c r="GU342" s="73"/>
      <c r="GV342" s="73"/>
      <c r="GW342" s="73"/>
      <c r="GX342" s="73"/>
      <c r="GY342" s="73"/>
      <c r="GZ342" s="73"/>
      <c r="HA342" s="73"/>
      <c r="HB342" s="73"/>
      <c r="HC342" s="73"/>
      <c r="HD342" s="73"/>
      <c r="HE342" s="73"/>
      <c r="HF342" s="73"/>
      <c r="HG342" s="73"/>
      <c r="HH342" s="73"/>
      <c r="HI342" s="73"/>
      <c r="HJ342" s="73"/>
      <c r="HK342" s="73"/>
      <c r="HL342" s="73"/>
      <c r="HM342" s="73"/>
      <c r="HN342" s="73"/>
      <c r="HO342" s="73"/>
      <c r="HP342" s="73"/>
      <c r="HQ342" s="73"/>
      <c r="HR342" s="73"/>
      <c r="HS342" s="73"/>
      <c r="HT342" s="73"/>
      <c r="HU342" s="73"/>
      <c r="HV342" s="73"/>
      <c r="HW342" s="73"/>
      <c r="HX342" s="73"/>
      <c r="HY342" s="73"/>
      <c r="HZ342" s="73"/>
      <c r="IA342" s="73"/>
      <c r="IB342" s="73"/>
      <c r="IC342" s="73"/>
      <c r="ID342" s="73"/>
      <c r="IE342" s="73"/>
      <c r="IF342" s="73"/>
      <c r="IG342" s="73"/>
      <c r="IH342" s="73"/>
      <c r="II342" s="73"/>
      <c r="IJ342" s="73"/>
      <c r="IK342" s="73"/>
      <c r="IL342" s="73"/>
      <c r="IM342" s="73"/>
      <c r="IN342" s="73"/>
      <c r="IO342" s="73"/>
      <c r="IP342" s="73"/>
      <c r="IQ342" s="73"/>
      <c r="IR342" s="73"/>
      <c r="IS342" s="73"/>
      <c r="IT342" s="73"/>
      <c r="IU342" s="73"/>
      <c r="IV342" s="73"/>
      <c r="IW342" s="73"/>
      <c r="IX342" s="73"/>
      <c r="IY342" s="73"/>
      <c r="IZ342" s="73"/>
      <c r="JA342" s="73"/>
      <c r="JB342" s="73"/>
      <c r="JC342" s="73"/>
    </row>
    <row r="343" spans="2:263" s="72" customFormat="1">
      <c r="B343" s="73"/>
      <c r="C343" s="73"/>
      <c r="D343" s="73"/>
      <c r="E343" s="73"/>
      <c r="F343" s="73"/>
      <c r="G343" s="73"/>
      <c r="H343" s="73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GL343" s="73"/>
      <c r="GM343" s="73"/>
      <c r="GN343" s="73"/>
      <c r="GO343" s="73"/>
      <c r="GP343" s="73"/>
      <c r="GQ343" s="73"/>
      <c r="GR343" s="73"/>
      <c r="GS343" s="73"/>
      <c r="GT343" s="73"/>
      <c r="GU343" s="73"/>
      <c r="GV343" s="73"/>
      <c r="GW343" s="73"/>
      <c r="GX343" s="73"/>
      <c r="GY343" s="73"/>
      <c r="GZ343" s="73"/>
      <c r="HA343" s="73"/>
      <c r="HB343" s="73"/>
      <c r="HC343" s="73"/>
      <c r="HD343" s="73"/>
      <c r="HE343" s="73"/>
      <c r="HF343" s="73"/>
      <c r="HG343" s="73"/>
      <c r="HH343" s="73"/>
      <c r="HI343" s="73"/>
      <c r="HJ343" s="73"/>
      <c r="HK343" s="73"/>
      <c r="HL343" s="73"/>
      <c r="HM343" s="73"/>
      <c r="HN343" s="73"/>
      <c r="HO343" s="73"/>
      <c r="HP343" s="73"/>
      <c r="HQ343" s="73"/>
      <c r="HR343" s="73"/>
      <c r="HS343" s="73"/>
      <c r="HT343" s="73"/>
      <c r="HU343" s="73"/>
      <c r="HV343" s="73"/>
      <c r="HW343" s="73"/>
      <c r="HX343" s="73"/>
      <c r="HY343" s="73"/>
      <c r="HZ343" s="73"/>
      <c r="IA343" s="73"/>
      <c r="IB343" s="73"/>
      <c r="IC343" s="73"/>
      <c r="ID343" s="73"/>
      <c r="IE343" s="73"/>
      <c r="IF343" s="73"/>
      <c r="IG343" s="73"/>
      <c r="IH343" s="73"/>
      <c r="II343" s="73"/>
      <c r="IJ343" s="73"/>
      <c r="IK343" s="73"/>
      <c r="IL343" s="73"/>
      <c r="IM343" s="73"/>
      <c r="IN343" s="73"/>
      <c r="IO343" s="73"/>
      <c r="IP343" s="73"/>
      <c r="IQ343" s="73"/>
      <c r="IR343" s="73"/>
      <c r="IS343" s="73"/>
      <c r="IT343" s="73"/>
      <c r="IU343" s="73"/>
      <c r="IV343" s="73"/>
      <c r="IW343" s="73"/>
      <c r="IX343" s="73"/>
      <c r="IY343" s="73"/>
      <c r="IZ343" s="73"/>
      <c r="JA343" s="73"/>
      <c r="JB343" s="73"/>
      <c r="JC343" s="73"/>
    </row>
    <row r="344" spans="2:263" s="72" customFormat="1">
      <c r="B344" s="73"/>
      <c r="C344" s="73"/>
      <c r="D344" s="73"/>
      <c r="E344" s="73"/>
      <c r="F344" s="73"/>
      <c r="G344" s="73"/>
      <c r="H344" s="73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GL344" s="73"/>
      <c r="GM344" s="73"/>
      <c r="GN344" s="73"/>
      <c r="GO344" s="73"/>
      <c r="GP344" s="73"/>
      <c r="GQ344" s="73"/>
      <c r="GR344" s="73"/>
      <c r="GS344" s="73"/>
      <c r="GT344" s="73"/>
      <c r="GU344" s="73"/>
      <c r="GV344" s="73"/>
      <c r="GW344" s="73"/>
      <c r="GX344" s="73"/>
      <c r="GY344" s="73"/>
      <c r="GZ344" s="73"/>
      <c r="HA344" s="73"/>
      <c r="HB344" s="73"/>
      <c r="HC344" s="73"/>
      <c r="HD344" s="73"/>
      <c r="HE344" s="73"/>
      <c r="HF344" s="73"/>
      <c r="HG344" s="73"/>
      <c r="HH344" s="73"/>
      <c r="HI344" s="73"/>
      <c r="HJ344" s="73"/>
      <c r="HK344" s="73"/>
      <c r="HL344" s="73"/>
      <c r="HM344" s="73"/>
      <c r="HN344" s="73"/>
      <c r="HO344" s="73"/>
      <c r="HP344" s="73"/>
      <c r="HQ344" s="73"/>
      <c r="HR344" s="73"/>
      <c r="HS344" s="73"/>
      <c r="HT344" s="73"/>
      <c r="HU344" s="73"/>
      <c r="HV344" s="73"/>
      <c r="HW344" s="73"/>
      <c r="HX344" s="73"/>
      <c r="HY344" s="73"/>
      <c r="HZ344" s="73"/>
      <c r="IA344" s="73"/>
      <c r="IB344" s="73"/>
      <c r="IC344" s="73"/>
      <c r="ID344" s="73"/>
      <c r="IE344" s="73"/>
      <c r="IF344" s="73"/>
      <c r="IG344" s="73"/>
      <c r="IH344" s="73"/>
      <c r="II344" s="73"/>
      <c r="IJ344" s="73"/>
      <c r="IK344" s="73"/>
      <c r="IL344" s="73"/>
      <c r="IM344" s="73"/>
      <c r="IN344" s="73"/>
      <c r="IO344" s="73"/>
      <c r="IP344" s="73"/>
      <c r="IQ344" s="73"/>
      <c r="IR344" s="73"/>
      <c r="IS344" s="73"/>
      <c r="IT344" s="73"/>
      <c r="IU344" s="73"/>
      <c r="IV344" s="73"/>
      <c r="IW344" s="73"/>
      <c r="IX344" s="73"/>
      <c r="IY344" s="73"/>
      <c r="IZ344" s="73"/>
      <c r="JA344" s="73"/>
      <c r="JB344" s="73"/>
      <c r="JC344" s="73"/>
    </row>
    <row r="345" spans="2:263" s="72" customFormat="1">
      <c r="B345" s="73"/>
      <c r="C345" s="73"/>
      <c r="D345" s="73"/>
      <c r="E345" s="73"/>
      <c r="F345" s="73"/>
      <c r="G345" s="73"/>
      <c r="H345" s="73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GL345" s="73"/>
      <c r="GM345" s="73"/>
      <c r="GN345" s="73"/>
      <c r="GO345" s="73"/>
      <c r="GP345" s="73"/>
      <c r="GQ345" s="73"/>
      <c r="GR345" s="73"/>
      <c r="GS345" s="73"/>
      <c r="GT345" s="73"/>
      <c r="GU345" s="73"/>
      <c r="GV345" s="73"/>
      <c r="GW345" s="73"/>
      <c r="GX345" s="73"/>
      <c r="GY345" s="73"/>
      <c r="GZ345" s="73"/>
      <c r="HA345" s="73"/>
      <c r="HB345" s="73"/>
      <c r="HC345" s="73"/>
      <c r="HD345" s="73"/>
      <c r="HE345" s="73"/>
      <c r="HF345" s="73"/>
      <c r="HG345" s="73"/>
      <c r="HH345" s="73"/>
      <c r="HI345" s="73"/>
      <c r="HJ345" s="73"/>
      <c r="HK345" s="73"/>
      <c r="HL345" s="73"/>
      <c r="HM345" s="73"/>
      <c r="HN345" s="73"/>
      <c r="HO345" s="73"/>
      <c r="HP345" s="73"/>
      <c r="HQ345" s="73"/>
      <c r="HR345" s="73"/>
      <c r="HS345" s="73"/>
      <c r="HT345" s="73"/>
      <c r="HU345" s="73"/>
      <c r="HV345" s="73"/>
      <c r="HW345" s="73"/>
      <c r="HX345" s="73"/>
      <c r="HY345" s="73"/>
      <c r="HZ345" s="73"/>
      <c r="IA345" s="73"/>
      <c r="IB345" s="73"/>
      <c r="IC345" s="73"/>
      <c r="ID345" s="73"/>
      <c r="IE345" s="73"/>
      <c r="IF345" s="73"/>
      <c r="IG345" s="73"/>
      <c r="IH345" s="73"/>
      <c r="II345" s="73"/>
      <c r="IJ345" s="73"/>
      <c r="IK345" s="73"/>
      <c r="IL345" s="73"/>
      <c r="IM345" s="73"/>
      <c r="IN345" s="73"/>
      <c r="IO345" s="73"/>
      <c r="IP345" s="73"/>
      <c r="IQ345" s="73"/>
      <c r="IR345" s="73"/>
      <c r="IS345" s="73"/>
      <c r="IT345" s="73"/>
      <c r="IU345" s="73"/>
      <c r="IV345" s="73"/>
      <c r="IW345" s="73"/>
      <c r="IX345" s="73"/>
      <c r="IY345" s="73"/>
      <c r="IZ345" s="73"/>
      <c r="JA345" s="73"/>
      <c r="JB345" s="73"/>
      <c r="JC345" s="73"/>
    </row>
    <row r="346" spans="2:263" s="72" customFormat="1">
      <c r="B346" s="73"/>
      <c r="C346" s="73"/>
      <c r="D346" s="73"/>
      <c r="E346" s="73"/>
      <c r="F346" s="73"/>
      <c r="G346" s="73"/>
      <c r="H346" s="73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GL346" s="73"/>
      <c r="GM346" s="73"/>
      <c r="GN346" s="73"/>
      <c r="GO346" s="73"/>
      <c r="GP346" s="73"/>
      <c r="GQ346" s="73"/>
      <c r="GR346" s="73"/>
      <c r="GS346" s="73"/>
      <c r="GT346" s="73"/>
      <c r="GU346" s="73"/>
      <c r="GV346" s="73"/>
      <c r="GW346" s="73"/>
      <c r="GX346" s="73"/>
      <c r="GY346" s="73"/>
      <c r="GZ346" s="73"/>
      <c r="HA346" s="73"/>
      <c r="HB346" s="73"/>
      <c r="HC346" s="73"/>
      <c r="HD346" s="73"/>
      <c r="HE346" s="73"/>
      <c r="HF346" s="73"/>
      <c r="HG346" s="73"/>
      <c r="HH346" s="73"/>
      <c r="HI346" s="73"/>
      <c r="HJ346" s="73"/>
      <c r="HK346" s="73"/>
      <c r="HL346" s="73"/>
      <c r="HM346" s="73"/>
      <c r="HN346" s="73"/>
      <c r="HO346" s="73"/>
      <c r="HP346" s="73"/>
      <c r="HQ346" s="73"/>
      <c r="HR346" s="73"/>
      <c r="HS346" s="73"/>
      <c r="HT346" s="73"/>
      <c r="HU346" s="73"/>
      <c r="HV346" s="73"/>
      <c r="HW346" s="73"/>
      <c r="HX346" s="73"/>
      <c r="HY346" s="73"/>
      <c r="HZ346" s="73"/>
      <c r="IA346" s="73"/>
      <c r="IB346" s="73"/>
      <c r="IC346" s="73"/>
      <c r="ID346" s="73"/>
      <c r="IE346" s="73"/>
      <c r="IF346" s="73"/>
      <c r="IG346" s="73"/>
      <c r="IH346" s="73"/>
      <c r="II346" s="73"/>
      <c r="IJ346" s="73"/>
      <c r="IK346" s="73"/>
      <c r="IL346" s="73"/>
      <c r="IM346" s="73"/>
      <c r="IN346" s="73"/>
      <c r="IO346" s="73"/>
      <c r="IP346" s="73"/>
      <c r="IQ346" s="73"/>
      <c r="IR346" s="73"/>
      <c r="IS346" s="73"/>
      <c r="IT346" s="73"/>
      <c r="IU346" s="73"/>
      <c r="IV346" s="73"/>
      <c r="IW346" s="73"/>
      <c r="IX346" s="73"/>
      <c r="IY346" s="73"/>
      <c r="IZ346" s="73"/>
      <c r="JA346" s="73"/>
      <c r="JB346" s="73"/>
      <c r="JC346" s="73"/>
    </row>
    <row r="347" spans="2:263" s="72" customFormat="1">
      <c r="B347" s="73"/>
      <c r="C347" s="73"/>
      <c r="D347" s="73"/>
      <c r="E347" s="73"/>
      <c r="F347" s="73"/>
      <c r="G347" s="73"/>
      <c r="H347" s="73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GL347" s="73"/>
      <c r="GM347" s="73"/>
      <c r="GN347" s="73"/>
      <c r="GO347" s="73"/>
      <c r="GP347" s="73"/>
      <c r="GQ347" s="73"/>
      <c r="GR347" s="73"/>
      <c r="GS347" s="73"/>
      <c r="GT347" s="73"/>
      <c r="GU347" s="73"/>
      <c r="GV347" s="73"/>
      <c r="GW347" s="73"/>
      <c r="GX347" s="73"/>
      <c r="GY347" s="73"/>
      <c r="GZ347" s="73"/>
      <c r="HA347" s="73"/>
      <c r="HB347" s="73"/>
      <c r="HC347" s="73"/>
      <c r="HD347" s="73"/>
      <c r="HE347" s="73"/>
      <c r="HF347" s="73"/>
      <c r="HG347" s="73"/>
      <c r="HH347" s="73"/>
      <c r="HI347" s="73"/>
      <c r="HJ347" s="73"/>
      <c r="HK347" s="73"/>
      <c r="HL347" s="73"/>
      <c r="HM347" s="73"/>
      <c r="HN347" s="73"/>
      <c r="HO347" s="73"/>
      <c r="HP347" s="73"/>
      <c r="HQ347" s="73"/>
      <c r="HR347" s="73"/>
      <c r="HS347" s="73"/>
      <c r="HT347" s="73"/>
      <c r="HU347" s="73"/>
      <c r="HV347" s="73"/>
      <c r="HW347" s="73"/>
      <c r="HX347" s="73"/>
      <c r="HY347" s="73"/>
      <c r="HZ347" s="73"/>
      <c r="IA347" s="73"/>
      <c r="IB347" s="73"/>
      <c r="IC347" s="73"/>
      <c r="ID347" s="73"/>
      <c r="IE347" s="73"/>
      <c r="IF347" s="73"/>
      <c r="IG347" s="73"/>
      <c r="IH347" s="73"/>
      <c r="II347" s="73"/>
      <c r="IJ347" s="73"/>
      <c r="IK347" s="73"/>
      <c r="IL347" s="73"/>
      <c r="IM347" s="73"/>
      <c r="IN347" s="73"/>
      <c r="IO347" s="73"/>
      <c r="IP347" s="73"/>
      <c r="IQ347" s="73"/>
      <c r="IR347" s="73"/>
      <c r="IS347" s="73"/>
      <c r="IT347" s="73"/>
      <c r="IU347" s="73"/>
      <c r="IV347" s="73"/>
      <c r="IW347" s="73"/>
      <c r="IX347" s="73"/>
      <c r="IY347" s="73"/>
      <c r="IZ347" s="73"/>
      <c r="JA347" s="73"/>
      <c r="JB347" s="73"/>
      <c r="JC347" s="73"/>
    </row>
    <row r="348" spans="2:263" s="72" customFormat="1">
      <c r="B348" s="73"/>
      <c r="C348" s="73"/>
      <c r="D348" s="73"/>
      <c r="E348" s="73"/>
      <c r="F348" s="73"/>
      <c r="G348" s="73"/>
      <c r="H348" s="73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GL348" s="73"/>
      <c r="GM348" s="73"/>
      <c r="GN348" s="73"/>
      <c r="GO348" s="73"/>
      <c r="GP348" s="73"/>
      <c r="GQ348" s="73"/>
      <c r="GR348" s="73"/>
      <c r="GS348" s="73"/>
      <c r="GT348" s="73"/>
      <c r="GU348" s="73"/>
      <c r="GV348" s="73"/>
      <c r="GW348" s="73"/>
      <c r="GX348" s="73"/>
      <c r="GY348" s="73"/>
      <c r="GZ348" s="73"/>
      <c r="HA348" s="73"/>
      <c r="HB348" s="73"/>
      <c r="HC348" s="73"/>
      <c r="HD348" s="73"/>
      <c r="HE348" s="73"/>
      <c r="HF348" s="73"/>
      <c r="HG348" s="73"/>
      <c r="HH348" s="73"/>
      <c r="HI348" s="73"/>
      <c r="HJ348" s="73"/>
      <c r="HK348" s="73"/>
      <c r="HL348" s="73"/>
      <c r="HM348" s="73"/>
      <c r="HN348" s="73"/>
      <c r="HO348" s="73"/>
      <c r="HP348" s="73"/>
      <c r="HQ348" s="73"/>
      <c r="HR348" s="73"/>
      <c r="HS348" s="73"/>
      <c r="HT348" s="73"/>
      <c r="HU348" s="73"/>
      <c r="HV348" s="73"/>
      <c r="HW348" s="73"/>
      <c r="HX348" s="73"/>
      <c r="HY348" s="73"/>
      <c r="HZ348" s="73"/>
      <c r="IA348" s="73"/>
      <c r="IB348" s="73"/>
      <c r="IC348" s="73"/>
      <c r="ID348" s="73"/>
      <c r="IE348" s="73"/>
      <c r="IF348" s="73"/>
      <c r="IG348" s="73"/>
      <c r="IH348" s="73"/>
      <c r="II348" s="73"/>
      <c r="IJ348" s="73"/>
      <c r="IK348" s="73"/>
      <c r="IL348" s="73"/>
      <c r="IM348" s="73"/>
      <c r="IN348" s="73"/>
      <c r="IO348" s="73"/>
      <c r="IP348" s="73"/>
      <c r="IQ348" s="73"/>
      <c r="IR348" s="73"/>
      <c r="IS348" s="73"/>
      <c r="IT348" s="73"/>
      <c r="IU348" s="73"/>
      <c r="IV348" s="73"/>
      <c r="IW348" s="73"/>
      <c r="IX348" s="73"/>
      <c r="IY348" s="73"/>
      <c r="IZ348" s="73"/>
      <c r="JA348" s="73"/>
      <c r="JB348" s="73"/>
      <c r="JC348" s="73"/>
    </row>
    <row r="349" spans="2:263" s="72" customFormat="1">
      <c r="B349" s="73"/>
      <c r="C349" s="73"/>
      <c r="D349" s="73"/>
      <c r="E349" s="73"/>
      <c r="F349" s="73"/>
      <c r="G349" s="73"/>
      <c r="H349" s="73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GL349" s="73"/>
      <c r="GM349" s="73"/>
      <c r="GN349" s="73"/>
      <c r="GO349" s="73"/>
      <c r="GP349" s="73"/>
      <c r="GQ349" s="73"/>
      <c r="GR349" s="73"/>
      <c r="GS349" s="73"/>
      <c r="GT349" s="73"/>
      <c r="GU349" s="73"/>
      <c r="GV349" s="73"/>
      <c r="GW349" s="73"/>
      <c r="GX349" s="73"/>
      <c r="GY349" s="73"/>
      <c r="GZ349" s="73"/>
      <c r="HA349" s="73"/>
      <c r="HB349" s="73"/>
      <c r="HC349" s="73"/>
      <c r="HD349" s="73"/>
      <c r="HE349" s="73"/>
      <c r="HF349" s="73"/>
      <c r="HG349" s="73"/>
      <c r="HH349" s="73"/>
      <c r="HI349" s="73"/>
      <c r="HJ349" s="73"/>
      <c r="HK349" s="73"/>
      <c r="HL349" s="73"/>
      <c r="HM349" s="73"/>
      <c r="HN349" s="73"/>
      <c r="HO349" s="73"/>
      <c r="HP349" s="73"/>
      <c r="HQ349" s="73"/>
      <c r="HR349" s="73"/>
      <c r="HS349" s="73"/>
      <c r="HT349" s="73"/>
      <c r="HU349" s="73"/>
      <c r="HV349" s="73"/>
      <c r="HW349" s="73"/>
      <c r="HX349" s="73"/>
      <c r="HY349" s="73"/>
      <c r="HZ349" s="73"/>
      <c r="IA349" s="73"/>
      <c r="IB349" s="73"/>
      <c r="IC349" s="73"/>
      <c r="ID349" s="73"/>
      <c r="IE349" s="73"/>
      <c r="IF349" s="73"/>
      <c r="IG349" s="73"/>
      <c r="IH349" s="73"/>
      <c r="II349" s="73"/>
      <c r="IJ349" s="73"/>
      <c r="IK349" s="73"/>
      <c r="IL349" s="73"/>
      <c r="IM349" s="73"/>
      <c r="IN349" s="73"/>
      <c r="IO349" s="73"/>
      <c r="IP349" s="73"/>
      <c r="IQ349" s="73"/>
      <c r="IR349" s="73"/>
      <c r="IS349" s="73"/>
      <c r="IT349" s="73"/>
      <c r="IU349" s="73"/>
      <c r="IV349" s="73"/>
      <c r="IW349" s="73"/>
      <c r="IX349" s="73"/>
      <c r="IY349" s="73"/>
      <c r="IZ349" s="73"/>
      <c r="JA349" s="73"/>
      <c r="JB349" s="73"/>
      <c r="JC349" s="73"/>
    </row>
    <row r="350" spans="2:263" s="72" customFormat="1">
      <c r="B350" s="73"/>
      <c r="C350" s="73"/>
      <c r="D350" s="73"/>
      <c r="E350" s="73"/>
      <c r="F350" s="73"/>
      <c r="G350" s="73"/>
      <c r="H350" s="73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GL350" s="73"/>
      <c r="GM350" s="73"/>
      <c r="GN350" s="73"/>
      <c r="GO350" s="73"/>
      <c r="GP350" s="73"/>
      <c r="GQ350" s="73"/>
      <c r="GR350" s="73"/>
      <c r="GS350" s="73"/>
      <c r="GT350" s="73"/>
      <c r="GU350" s="73"/>
      <c r="GV350" s="73"/>
      <c r="GW350" s="73"/>
      <c r="GX350" s="73"/>
      <c r="GY350" s="73"/>
      <c r="GZ350" s="73"/>
      <c r="HA350" s="73"/>
      <c r="HB350" s="73"/>
      <c r="HC350" s="73"/>
      <c r="HD350" s="73"/>
      <c r="HE350" s="73"/>
      <c r="HF350" s="73"/>
      <c r="HG350" s="73"/>
      <c r="HH350" s="73"/>
      <c r="HI350" s="73"/>
      <c r="HJ350" s="73"/>
      <c r="HK350" s="73"/>
      <c r="HL350" s="73"/>
      <c r="HM350" s="73"/>
      <c r="HN350" s="73"/>
      <c r="HO350" s="73"/>
      <c r="HP350" s="73"/>
      <c r="HQ350" s="73"/>
      <c r="HR350" s="73"/>
      <c r="HS350" s="73"/>
      <c r="HT350" s="73"/>
      <c r="HU350" s="73"/>
      <c r="HV350" s="73"/>
      <c r="HW350" s="73"/>
      <c r="HX350" s="73"/>
      <c r="HY350" s="73"/>
      <c r="HZ350" s="73"/>
      <c r="IA350" s="73"/>
      <c r="IB350" s="73"/>
      <c r="IC350" s="73"/>
      <c r="ID350" s="73"/>
      <c r="IE350" s="73"/>
      <c r="IF350" s="73"/>
      <c r="IG350" s="73"/>
      <c r="IH350" s="73"/>
      <c r="II350" s="73"/>
      <c r="IJ350" s="73"/>
      <c r="IK350" s="73"/>
      <c r="IL350" s="73"/>
      <c r="IM350" s="73"/>
      <c r="IN350" s="73"/>
      <c r="IO350" s="73"/>
      <c r="IP350" s="73"/>
      <c r="IQ350" s="73"/>
      <c r="IR350" s="73"/>
      <c r="IS350" s="73"/>
      <c r="IT350" s="73"/>
      <c r="IU350" s="73"/>
      <c r="IV350" s="73"/>
      <c r="IW350" s="73"/>
      <c r="IX350" s="73"/>
      <c r="IY350" s="73"/>
      <c r="IZ350" s="73"/>
      <c r="JA350" s="73"/>
      <c r="JB350" s="73"/>
      <c r="JC350" s="73"/>
    </row>
    <row r="351" spans="2:263" s="72" customFormat="1">
      <c r="B351" s="73"/>
      <c r="C351" s="73"/>
      <c r="D351" s="73"/>
      <c r="E351" s="73"/>
      <c r="F351" s="73"/>
      <c r="G351" s="73"/>
      <c r="H351" s="73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GL351" s="73"/>
      <c r="GM351" s="73"/>
      <c r="GN351" s="73"/>
      <c r="GO351" s="73"/>
      <c r="GP351" s="73"/>
      <c r="GQ351" s="73"/>
      <c r="GR351" s="73"/>
      <c r="GS351" s="73"/>
      <c r="GT351" s="73"/>
      <c r="GU351" s="73"/>
      <c r="GV351" s="73"/>
      <c r="GW351" s="73"/>
      <c r="GX351" s="73"/>
      <c r="GY351" s="73"/>
      <c r="GZ351" s="73"/>
      <c r="HA351" s="73"/>
      <c r="HB351" s="73"/>
      <c r="HC351" s="73"/>
      <c r="HD351" s="73"/>
      <c r="HE351" s="73"/>
      <c r="HF351" s="73"/>
      <c r="HG351" s="73"/>
      <c r="HH351" s="73"/>
      <c r="HI351" s="73"/>
      <c r="HJ351" s="73"/>
      <c r="HK351" s="73"/>
      <c r="HL351" s="73"/>
      <c r="HM351" s="73"/>
      <c r="HN351" s="73"/>
      <c r="HO351" s="73"/>
      <c r="HP351" s="73"/>
      <c r="HQ351" s="73"/>
      <c r="HR351" s="73"/>
      <c r="HS351" s="73"/>
      <c r="HT351" s="73"/>
      <c r="HU351" s="73"/>
      <c r="HV351" s="73"/>
      <c r="HW351" s="73"/>
      <c r="HX351" s="73"/>
      <c r="HY351" s="73"/>
      <c r="HZ351" s="73"/>
      <c r="IA351" s="73"/>
      <c r="IB351" s="73"/>
      <c r="IC351" s="73"/>
      <c r="ID351" s="73"/>
      <c r="IE351" s="73"/>
      <c r="IF351" s="73"/>
      <c r="IG351" s="73"/>
      <c r="IH351" s="73"/>
      <c r="II351" s="73"/>
      <c r="IJ351" s="73"/>
      <c r="IK351" s="73"/>
      <c r="IL351" s="73"/>
      <c r="IM351" s="73"/>
      <c r="IN351" s="73"/>
      <c r="IO351" s="73"/>
      <c r="IP351" s="73"/>
      <c r="IQ351" s="73"/>
      <c r="IR351" s="73"/>
      <c r="IS351" s="73"/>
      <c r="IT351" s="73"/>
      <c r="IU351" s="73"/>
      <c r="IV351" s="73"/>
      <c r="IW351" s="73"/>
      <c r="IX351" s="73"/>
      <c r="IY351" s="73"/>
      <c r="IZ351" s="73"/>
      <c r="JA351" s="73"/>
      <c r="JB351" s="73"/>
      <c r="JC351" s="73"/>
    </row>
    <row r="352" spans="2:263" s="72" customFormat="1">
      <c r="B352" s="73"/>
      <c r="C352" s="73"/>
      <c r="D352" s="73"/>
      <c r="E352" s="73"/>
      <c r="F352" s="73"/>
      <c r="G352" s="73"/>
      <c r="H352" s="73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GL352" s="73"/>
      <c r="GM352" s="73"/>
      <c r="GN352" s="73"/>
      <c r="GO352" s="73"/>
      <c r="GP352" s="73"/>
      <c r="GQ352" s="73"/>
      <c r="GR352" s="73"/>
      <c r="GS352" s="73"/>
      <c r="GT352" s="73"/>
      <c r="GU352" s="73"/>
      <c r="GV352" s="73"/>
      <c r="GW352" s="73"/>
      <c r="GX352" s="73"/>
      <c r="GY352" s="73"/>
      <c r="GZ352" s="73"/>
      <c r="HA352" s="73"/>
      <c r="HB352" s="73"/>
      <c r="HC352" s="73"/>
      <c r="HD352" s="73"/>
      <c r="HE352" s="73"/>
      <c r="HF352" s="73"/>
      <c r="HG352" s="73"/>
      <c r="HH352" s="73"/>
      <c r="HI352" s="73"/>
      <c r="HJ352" s="73"/>
      <c r="HK352" s="73"/>
      <c r="HL352" s="73"/>
      <c r="HM352" s="73"/>
      <c r="HN352" s="73"/>
      <c r="HO352" s="73"/>
      <c r="HP352" s="73"/>
      <c r="HQ352" s="73"/>
      <c r="HR352" s="73"/>
      <c r="HS352" s="73"/>
      <c r="HT352" s="73"/>
      <c r="HU352" s="73"/>
      <c r="HV352" s="73"/>
      <c r="HW352" s="73"/>
      <c r="HX352" s="73"/>
      <c r="HY352" s="73"/>
      <c r="HZ352" s="73"/>
      <c r="IA352" s="73"/>
      <c r="IB352" s="73"/>
      <c r="IC352" s="73"/>
      <c r="ID352" s="73"/>
      <c r="IE352" s="73"/>
      <c r="IF352" s="73"/>
      <c r="IG352" s="73"/>
      <c r="IH352" s="73"/>
      <c r="II352" s="73"/>
      <c r="IJ352" s="73"/>
      <c r="IK352" s="73"/>
      <c r="IL352" s="73"/>
      <c r="IM352" s="73"/>
      <c r="IN352" s="73"/>
      <c r="IO352" s="73"/>
      <c r="IP352" s="73"/>
      <c r="IQ352" s="73"/>
      <c r="IR352" s="73"/>
      <c r="IS352" s="73"/>
      <c r="IT352" s="73"/>
      <c r="IU352" s="73"/>
      <c r="IV352" s="73"/>
      <c r="IW352" s="73"/>
      <c r="IX352" s="73"/>
      <c r="IY352" s="73"/>
      <c r="IZ352" s="73"/>
      <c r="JA352" s="73"/>
      <c r="JB352" s="73"/>
      <c r="JC352" s="73"/>
    </row>
    <row r="353" spans="2:263" s="72" customFormat="1">
      <c r="B353" s="73"/>
      <c r="C353" s="73"/>
      <c r="D353" s="73"/>
      <c r="E353" s="73"/>
      <c r="F353" s="73"/>
      <c r="G353" s="73"/>
      <c r="H353" s="73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GL353" s="73"/>
      <c r="GM353" s="73"/>
      <c r="GN353" s="73"/>
      <c r="GO353" s="73"/>
      <c r="GP353" s="73"/>
      <c r="GQ353" s="73"/>
      <c r="GR353" s="73"/>
      <c r="GS353" s="73"/>
      <c r="GT353" s="73"/>
      <c r="GU353" s="73"/>
      <c r="GV353" s="73"/>
      <c r="GW353" s="73"/>
      <c r="GX353" s="73"/>
      <c r="GY353" s="73"/>
      <c r="GZ353" s="73"/>
      <c r="HA353" s="73"/>
      <c r="HB353" s="73"/>
      <c r="HC353" s="73"/>
      <c r="HD353" s="73"/>
      <c r="HE353" s="73"/>
      <c r="HF353" s="73"/>
      <c r="HG353" s="73"/>
      <c r="HH353" s="73"/>
      <c r="HI353" s="73"/>
      <c r="HJ353" s="73"/>
      <c r="HK353" s="73"/>
      <c r="HL353" s="73"/>
      <c r="HM353" s="73"/>
      <c r="HN353" s="73"/>
      <c r="HO353" s="73"/>
      <c r="HP353" s="73"/>
      <c r="HQ353" s="73"/>
      <c r="HR353" s="73"/>
      <c r="HS353" s="73"/>
      <c r="HT353" s="73"/>
      <c r="HU353" s="73"/>
      <c r="HV353" s="73"/>
      <c r="HW353" s="73"/>
      <c r="HX353" s="73"/>
      <c r="HY353" s="73"/>
      <c r="HZ353" s="73"/>
      <c r="IA353" s="73"/>
      <c r="IB353" s="73"/>
      <c r="IC353" s="73"/>
      <c r="ID353" s="73"/>
      <c r="IE353" s="73"/>
      <c r="IF353" s="73"/>
      <c r="IG353" s="73"/>
      <c r="IH353" s="73"/>
      <c r="II353" s="73"/>
      <c r="IJ353" s="73"/>
      <c r="IK353" s="73"/>
      <c r="IL353" s="73"/>
      <c r="IM353" s="73"/>
      <c r="IN353" s="73"/>
      <c r="IO353" s="73"/>
      <c r="IP353" s="73"/>
      <c r="IQ353" s="73"/>
      <c r="IR353" s="73"/>
      <c r="IS353" s="73"/>
      <c r="IT353" s="73"/>
      <c r="IU353" s="73"/>
      <c r="IV353" s="73"/>
      <c r="IW353" s="73"/>
      <c r="IX353" s="73"/>
      <c r="IY353" s="73"/>
      <c r="IZ353" s="73"/>
      <c r="JA353" s="73"/>
      <c r="JB353" s="73"/>
      <c r="JC353" s="73"/>
    </row>
    <row r="354" spans="2:263" s="72" customFormat="1">
      <c r="B354" s="73"/>
      <c r="C354" s="73"/>
      <c r="D354" s="73"/>
      <c r="E354" s="73"/>
      <c r="F354" s="73"/>
      <c r="G354" s="73"/>
      <c r="H354" s="73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GL354" s="73"/>
      <c r="GM354" s="73"/>
      <c r="GN354" s="73"/>
      <c r="GO354" s="73"/>
      <c r="GP354" s="73"/>
      <c r="GQ354" s="73"/>
      <c r="GR354" s="73"/>
      <c r="GS354" s="73"/>
      <c r="GT354" s="73"/>
      <c r="GU354" s="73"/>
      <c r="GV354" s="73"/>
      <c r="GW354" s="73"/>
      <c r="GX354" s="73"/>
      <c r="GY354" s="73"/>
      <c r="GZ354" s="73"/>
      <c r="HA354" s="73"/>
      <c r="HB354" s="73"/>
      <c r="HC354" s="73"/>
      <c r="HD354" s="73"/>
      <c r="HE354" s="73"/>
      <c r="HF354" s="73"/>
      <c r="HG354" s="73"/>
      <c r="HH354" s="73"/>
      <c r="HI354" s="73"/>
      <c r="HJ354" s="73"/>
      <c r="HK354" s="73"/>
      <c r="HL354" s="73"/>
      <c r="HM354" s="73"/>
      <c r="HN354" s="73"/>
      <c r="HO354" s="73"/>
      <c r="HP354" s="73"/>
      <c r="HQ354" s="73"/>
      <c r="HR354" s="73"/>
      <c r="HS354" s="73"/>
      <c r="HT354" s="73"/>
      <c r="HU354" s="73"/>
      <c r="HV354" s="73"/>
      <c r="HW354" s="73"/>
      <c r="HX354" s="73"/>
      <c r="HY354" s="73"/>
      <c r="HZ354" s="73"/>
      <c r="IA354" s="73"/>
      <c r="IB354" s="73"/>
      <c r="IC354" s="73"/>
      <c r="ID354" s="73"/>
      <c r="IE354" s="73"/>
      <c r="IF354" s="73"/>
      <c r="IG354" s="73"/>
      <c r="IH354" s="73"/>
      <c r="II354" s="73"/>
      <c r="IJ354" s="73"/>
      <c r="IK354" s="73"/>
      <c r="IL354" s="73"/>
      <c r="IM354" s="73"/>
      <c r="IN354" s="73"/>
      <c r="IO354" s="73"/>
      <c r="IP354" s="73"/>
      <c r="IQ354" s="73"/>
      <c r="IR354" s="73"/>
      <c r="IS354" s="73"/>
      <c r="IT354" s="73"/>
      <c r="IU354" s="73"/>
      <c r="IV354" s="73"/>
      <c r="IW354" s="73"/>
      <c r="IX354" s="73"/>
      <c r="IY354" s="73"/>
      <c r="IZ354" s="73"/>
      <c r="JA354" s="73"/>
      <c r="JB354" s="73"/>
      <c r="JC354" s="73"/>
    </row>
    <row r="355" spans="2:263" s="72" customFormat="1">
      <c r="B355" s="73"/>
      <c r="C355" s="73"/>
      <c r="D355" s="73"/>
      <c r="E355" s="73"/>
      <c r="F355" s="73"/>
      <c r="G355" s="73"/>
      <c r="H355" s="73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GL355" s="73"/>
      <c r="GM355" s="73"/>
      <c r="GN355" s="73"/>
      <c r="GO355" s="73"/>
      <c r="GP355" s="73"/>
      <c r="GQ355" s="73"/>
      <c r="GR355" s="73"/>
      <c r="GS355" s="73"/>
      <c r="GT355" s="73"/>
      <c r="GU355" s="73"/>
      <c r="GV355" s="73"/>
      <c r="GW355" s="73"/>
      <c r="GX355" s="73"/>
      <c r="GY355" s="73"/>
      <c r="GZ355" s="73"/>
      <c r="HA355" s="73"/>
      <c r="HB355" s="73"/>
      <c r="HC355" s="73"/>
      <c r="HD355" s="73"/>
      <c r="HE355" s="73"/>
      <c r="HF355" s="73"/>
      <c r="HG355" s="73"/>
      <c r="HH355" s="73"/>
      <c r="HI355" s="73"/>
      <c r="HJ355" s="73"/>
      <c r="HK355" s="73"/>
      <c r="HL355" s="73"/>
      <c r="HM355" s="73"/>
      <c r="HN355" s="73"/>
      <c r="HO355" s="73"/>
      <c r="HP355" s="73"/>
      <c r="HQ355" s="73"/>
      <c r="HR355" s="73"/>
      <c r="HS355" s="73"/>
      <c r="HT355" s="73"/>
      <c r="HU355" s="73"/>
      <c r="HV355" s="73"/>
      <c r="HW355" s="73"/>
      <c r="HX355" s="73"/>
      <c r="HY355" s="73"/>
      <c r="HZ355" s="73"/>
      <c r="IA355" s="73"/>
      <c r="IB355" s="73"/>
      <c r="IC355" s="73"/>
      <c r="ID355" s="73"/>
      <c r="IE355" s="73"/>
      <c r="IF355" s="73"/>
      <c r="IG355" s="73"/>
      <c r="IH355" s="73"/>
      <c r="II355" s="73"/>
      <c r="IJ355" s="73"/>
      <c r="IK355" s="73"/>
      <c r="IL355" s="73"/>
      <c r="IM355" s="73"/>
      <c r="IN355" s="73"/>
      <c r="IO355" s="73"/>
      <c r="IP355" s="73"/>
      <c r="IQ355" s="73"/>
      <c r="IR355" s="73"/>
      <c r="IS355" s="73"/>
      <c r="IT355" s="73"/>
      <c r="IU355" s="73"/>
      <c r="IV355" s="73"/>
      <c r="IW355" s="73"/>
      <c r="IX355" s="73"/>
      <c r="IY355" s="73"/>
      <c r="IZ355" s="73"/>
      <c r="JA355" s="73"/>
      <c r="JB355" s="73"/>
      <c r="JC355" s="73"/>
    </row>
    <row r="356" spans="2:263" s="72" customFormat="1">
      <c r="B356" s="73"/>
      <c r="C356" s="73"/>
      <c r="D356" s="73"/>
      <c r="E356" s="73"/>
      <c r="F356" s="73"/>
      <c r="G356" s="73"/>
      <c r="H356" s="73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GL356" s="73"/>
      <c r="GM356" s="73"/>
      <c r="GN356" s="73"/>
      <c r="GO356" s="73"/>
      <c r="GP356" s="73"/>
      <c r="GQ356" s="73"/>
      <c r="GR356" s="73"/>
      <c r="GS356" s="73"/>
      <c r="GT356" s="73"/>
      <c r="GU356" s="73"/>
      <c r="GV356" s="73"/>
      <c r="GW356" s="73"/>
      <c r="GX356" s="73"/>
      <c r="GY356" s="73"/>
      <c r="GZ356" s="73"/>
      <c r="HA356" s="73"/>
      <c r="HB356" s="73"/>
      <c r="HC356" s="73"/>
      <c r="HD356" s="73"/>
      <c r="HE356" s="73"/>
      <c r="HF356" s="73"/>
      <c r="HG356" s="73"/>
      <c r="HH356" s="73"/>
      <c r="HI356" s="73"/>
      <c r="HJ356" s="73"/>
      <c r="HK356" s="73"/>
      <c r="HL356" s="73"/>
      <c r="HM356" s="73"/>
      <c r="HN356" s="73"/>
      <c r="HO356" s="73"/>
      <c r="HP356" s="73"/>
      <c r="HQ356" s="73"/>
      <c r="HR356" s="73"/>
      <c r="HS356" s="73"/>
      <c r="HT356" s="73"/>
      <c r="HU356" s="73"/>
      <c r="HV356" s="73"/>
      <c r="HW356" s="73"/>
      <c r="HX356" s="73"/>
      <c r="HY356" s="73"/>
      <c r="HZ356" s="73"/>
      <c r="IA356" s="73"/>
      <c r="IB356" s="73"/>
      <c r="IC356" s="73"/>
      <c r="ID356" s="73"/>
      <c r="IE356" s="73"/>
      <c r="IF356" s="73"/>
      <c r="IG356" s="73"/>
      <c r="IH356" s="73"/>
      <c r="II356" s="73"/>
      <c r="IJ356" s="73"/>
      <c r="IK356" s="73"/>
      <c r="IL356" s="73"/>
      <c r="IM356" s="73"/>
      <c r="IN356" s="73"/>
      <c r="IO356" s="73"/>
      <c r="IP356" s="73"/>
      <c r="IQ356" s="73"/>
      <c r="IR356" s="73"/>
      <c r="IS356" s="73"/>
      <c r="IT356" s="73"/>
      <c r="IU356" s="73"/>
      <c r="IV356" s="73"/>
      <c r="IW356" s="73"/>
      <c r="IX356" s="73"/>
      <c r="IY356" s="73"/>
      <c r="IZ356" s="73"/>
      <c r="JA356" s="73"/>
      <c r="JB356" s="73"/>
      <c r="JC356" s="73"/>
    </row>
    <row r="357" spans="2:263" s="72" customFormat="1">
      <c r="B357" s="73"/>
      <c r="C357" s="73"/>
      <c r="D357" s="73"/>
      <c r="E357" s="73"/>
      <c r="F357" s="73"/>
      <c r="G357" s="73"/>
      <c r="H357" s="73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GL357" s="73"/>
      <c r="GM357" s="73"/>
      <c r="GN357" s="73"/>
      <c r="GO357" s="73"/>
      <c r="GP357" s="73"/>
      <c r="GQ357" s="73"/>
      <c r="GR357" s="73"/>
      <c r="GS357" s="73"/>
      <c r="GT357" s="73"/>
      <c r="GU357" s="73"/>
      <c r="GV357" s="73"/>
      <c r="GW357" s="73"/>
      <c r="GX357" s="73"/>
      <c r="GY357" s="73"/>
      <c r="GZ357" s="73"/>
      <c r="HA357" s="73"/>
      <c r="HB357" s="73"/>
      <c r="HC357" s="73"/>
      <c r="HD357" s="73"/>
      <c r="HE357" s="73"/>
      <c r="HF357" s="73"/>
      <c r="HG357" s="73"/>
      <c r="HH357" s="73"/>
      <c r="HI357" s="73"/>
      <c r="HJ357" s="73"/>
      <c r="HK357" s="73"/>
      <c r="HL357" s="73"/>
      <c r="HM357" s="73"/>
      <c r="HN357" s="73"/>
      <c r="HO357" s="73"/>
      <c r="HP357" s="73"/>
      <c r="HQ357" s="73"/>
      <c r="HR357" s="73"/>
      <c r="HS357" s="73"/>
      <c r="HT357" s="73"/>
      <c r="HU357" s="73"/>
      <c r="HV357" s="73"/>
      <c r="HW357" s="73"/>
      <c r="HX357" s="73"/>
      <c r="HY357" s="73"/>
      <c r="HZ357" s="73"/>
      <c r="IA357" s="73"/>
      <c r="IB357" s="73"/>
      <c r="IC357" s="73"/>
      <c r="ID357" s="73"/>
      <c r="IE357" s="73"/>
      <c r="IF357" s="73"/>
      <c r="IG357" s="73"/>
      <c r="IH357" s="73"/>
      <c r="II357" s="73"/>
      <c r="IJ357" s="73"/>
      <c r="IK357" s="73"/>
      <c r="IL357" s="73"/>
      <c r="IM357" s="73"/>
      <c r="IN357" s="73"/>
      <c r="IO357" s="73"/>
      <c r="IP357" s="73"/>
      <c r="IQ357" s="73"/>
      <c r="IR357" s="73"/>
      <c r="IS357" s="73"/>
      <c r="IT357" s="73"/>
      <c r="IU357" s="73"/>
      <c r="IV357" s="73"/>
      <c r="IW357" s="73"/>
      <c r="IX357" s="73"/>
      <c r="IY357" s="73"/>
      <c r="IZ357" s="73"/>
      <c r="JA357" s="73"/>
      <c r="JB357" s="73"/>
      <c r="JC357" s="73"/>
    </row>
    <row r="358" spans="2:263" s="72" customFormat="1">
      <c r="B358" s="73"/>
      <c r="C358" s="73"/>
      <c r="D358" s="73"/>
      <c r="E358" s="73"/>
      <c r="F358" s="73"/>
      <c r="G358" s="73"/>
      <c r="H358" s="73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GL358" s="73"/>
      <c r="GM358" s="73"/>
      <c r="GN358" s="73"/>
      <c r="GO358" s="73"/>
      <c r="GP358" s="73"/>
      <c r="GQ358" s="73"/>
      <c r="GR358" s="73"/>
      <c r="GS358" s="73"/>
      <c r="GT358" s="73"/>
      <c r="GU358" s="73"/>
      <c r="GV358" s="73"/>
      <c r="GW358" s="73"/>
      <c r="GX358" s="73"/>
      <c r="GY358" s="73"/>
      <c r="GZ358" s="73"/>
      <c r="HA358" s="73"/>
      <c r="HB358" s="73"/>
      <c r="HC358" s="73"/>
      <c r="HD358" s="73"/>
      <c r="HE358" s="73"/>
      <c r="HF358" s="73"/>
      <c r="HG358" s="73"/>
      <c r="HH358" s="73"/>
      <c r="HI358" s="73"/>
      <c r="HJ358" s="73"/>
      <c r="HK358" s="73"/>
      <c r="HL358" s="73"/>
      <c r="HM358" s="73"/>
      <c r="HN358" s="73"/>
      <c r="HO358" s="73"/>
      <c r="HP358" s="73"/>
      <c r="HQ358" s="73"/>
      <c r="HR358" s="73"/>
      <c r="HS358" s="73"/>
      <c r="HT358" s="73"/>
      <c r="HU358" s="73"/>
      <c r="HV358" s="73"/>
      <c r="HW358" s="73"/>
      <c r="HX358" s="73"/>
      <c r="HY358" s="73"/>
      <c r="HZ358" s="73"/>
      <c r="IA358" s="73"/>
      <c r="IB358" s="73"/>
      <c r="IC358" s="73"/>
      <c r="ID358" s="73"/>
      <c r="IE358" s="73"/>
      <c r="IF358" s="73"/>
      <c r="IG358" s="73"/>
      <c r="IH358" s="73"/>
      <c r="II358" s="73"/>
      <c r="IJ358" s="73"/>
      <c r="IK358" s="73"/>
      <c r="IL358" s="73"/>
      <c r="IM358" s="73"/>
      <c r="IN358" s="73"/>
      <c r="IO358" s="73"/>
      <c r="IP358" s="73"/>
      <c r="IQ358" s="73"/>
      <c r="IR358" s="73"/>
      <c r="IS358" s="73"/>
      <c r="IT358" s="73"/>
      <c r="IU358" s="73"/>
      <c r="IV358" s="73"/>
      <c r="IW358" s="73"/>
      <c r="IX358" s="73"/>
      <c r="IY358" s="73"/>
      <c r="IZ358" s="73"/>
      <c r="JA358" s="73"/>
      <c r="JB358" s="73"/>
      <c r="JC358" s="73"/>
    </row>
    <row r="359" spans="2:263" s="72" customFormat="1">
      <c r="B359" s="73"/>
      <c r="C359" s="73"/>
      <c r="D359" s="73"/>
      <c r="E359" s="73"/>
      <c r="F359" s="73"/>
      <c r="G359" s="73"/>
      <c r="H359" s="73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GL359" s="73"/>
      <c r="GM359" s="73"/>
      <c r="GN359" s="73"/>
      <c r="GO359" s="73"/>
      <c r="GP359" s="73"/>
      <c r="GQ359" s="73"/>
      <c r="GR359" s="73"/>
      <c r="GS359" s="73"/>
      <c r="GT359" s="73"/>
      <c r="GU359" s="73"/>
      <c r="GV359" s="73"/>
      <c r="GW359" s="73"/>
      <c r="GX359" s="73"/>
      <c r="GY359" s="73"/>
      <c r="GZ359" s="73"/>
      <c r="HA359" s="73"/>
      <c r="HB359" s="73"/>
      <c r="HC359" s="73"/>
      <c r="HD359" s="73"/>
      <c r="HE359" s="73"/>
      <c r="HF359" s="73"/>
      <c r="HG359" s="73"/>
      <c r="HH359" s="73"/>
      <c r="HI359" s="73"/>
      <c r="HJ359" s="73"/>
      <c r="HK359" s="73"/>
      <c r="HL359" s="73"/>
      <c r="HM359" s="73"/>
      <c r="HN359" s="73"/>
      <c r="HO359" s="73"/>
      <c r="HP359" s="73"/>
      <c r="HQ359" s="73"/>
      <c r="HR359" s="73"/>
      <c r="HS359" s="73"/>
      <c r="HT359" s="73"/>
      <c r="HU359" s="73"/>
      <c r="HV359" s="73"/>
      <c r="HW359" s="73"/>
      <c r="HX359" s="73"/>
      <c r="HY359" s="73"/>
      <c r="HZ359" s="73"/>
      <c r="IA359" s="73"/>
      <c r="IB359" s="73"/>
      <c r="IC359" s="73"/>
      <c r="ID359" s="73"/>
      <c r="IE359" s="73"/>
      <c r="IF359" s="73"/>
      <c r="IG359" s="73"/>
      <c r="IH359" s="73"/>
      <c r="II359" s="73"/>
      <c r="IJ359" s="73"/>
      <c r="IK359" s="73"/>
      <c r="IL359" s="73"/>
      <c r="IM359" s="73"/>
      <c r="IN359" s="73"/>
      <c r="IO359" s="73"/>
      <c r="IP359" s="73"/>
      <c r="IQ359" s="73"/>
      <c r="IR359" s="73"/>
      <c r="IS359" s="73"/>
      <c r="IT359" s="73"/>
      <c r="IU359" s="73"/>
      <c r="IV359" s="73"/>
      <c r="IW359" s="73"/>
      <c r="IX359" s="73"/>
      <c r="IY359" s="73"/>
      <c r="IZ359" s="73"/>
      <c r="JA359" s="73"/>
      <c r="JB359" s="73"/>
      <c r="JC359" s="73"/>
    </row>
    <row r="360" spans="2:263" s="72" customFormat="1">
      <c r="B360" s="73"/>
      <c r="C360" s="73"/>
      <c r="D360" s="73"/>
      <c r="E360" s="73"/>
      <c r="F360" s="73"/>
      <c r="G360" s="73"/>
      <c r="H360" s="73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GL360" s="73"/>
      <c r="GM360" s="73"/>
      <c r="GN360" s="73"/>
      <c r="GO360" s="73"/>
      <c r="GP360" s="73"/>
      <c r="GQ360" s="73"/>
      <c r="GR360" s="73"/>
      <c r="GS360" s="73"/>
      <c r="GT360" s="73"/>
      <c r="GU360" s="73"/>
      <c r="GV360" s="73"/>
      <c r="GW360" s="73"/>
      <c r="GX360" s="73"/>
      <c r="GY360" s="73"/>
      <c r="GZ360" s="73"/>
      <c r="HA360" s="73"/>
      <c r="HB360" s="73"/>
      <c r="HC360" s="73"/>
      <c r="HD360" s="73"/>
      <c r="HE360" s="73"/>
      <c r="HF360" s="73"/>
      <c r="HG360" s="73"/>
      <c r="HH360" s="73"/>
      <c r="HI360" s="73"/>
      <c r="HJ360" s="73"/>
      <c r="HK360" s="73"/>
      <c r="HL360" s="73"/>
      <c r="HM360" s="73"/>
      <c r="HN360" s="73"/>
      <c r="HO360" s="73"/>
      <c r="HP360" s="73"/>
      <c r="HQ360" s="73"/>
      <c r="HR360" s="73"/>
      <c r="HS360" s="73"/>
      <c r="HT360" s="73"/>
      <c r="HU360" s="73"/>
      <c r="HV360" s="73"/>
      <c r="HW360" s="73"/>
      <c r="HX360" s="73"/>
      <c r="HY360" s="73"/>
      <c r="HZ360" s="73"/>
      <c r="IA360" s="73"/>
      <c r="IB360" s="73"/>
      <c r="IC360" s="73"/>
      <c r="ID360" s="73"/>
      <c r="IE360" s="73"/>
      <c r="IF360" s="73"/>
      <c r="IG360" s="73"/>
      <c r="IH360" s="73"/>
      <c r="II360" s="73"/>
      <c r="IJ360" s="73"/>
      <c r="IK360" s="73"/>
      <c r="IL360" s="73"/>
      <c r="IM360" s="73"/>
      <c r="IN360" s="73"/>
      <c r="IO360" s="73"/>
      <c r="IP360" s="73"/>
      <c r="IQ360" s="73"/>
      <c r="IR360" s="73"/>
      <c r="IS360" s="73"/>
      <c r="IT360" s="73"/>
      <c r="IU360" s="73"/>
      <c r="IV360" s="73"/>
      <c r="IW360" s="73"/>
      <c r="IX360" s="73"/>
      <c r="IY360" s="73"/>
      <c r="IZ360" s="73"/>
      <c r="JA360" s="73"/>
      <c r="JB360" s="73"/>
      <c r="JC360" s="73"/>
    </row>
    <row r="361" spans="2:263" s="72" customFormat="1">
      <c r="B361" s="73"/>
      <c r="C361" s="73"/>
      <c r="D361" s="73"/>
      <c r="E361" s="73"/>
      <c r="F361" s="73"/>
      <c r="G361" s="73"/>
      <c r="H361" s="73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GL361" s="73"/>
      <c r="GM361" s="73"/>
      <c r="GN361" s="73"/>
      <c r="GO361" s="73"/>
      <c r="GP361" s="73"/>
      <c r="GQ361" s="73"/>
      <c r="GR361" s="73"/>
      <c r="GS361" s="73"/>
      <c r="GT361" s="73"/>
      <c r="GU361" s="73"/>
      <c r="GV361" s="73"/>
      <c r="GW361" s="73"/>
      <c r="GX361" s="73"/>
      <c r="GY361" s="73"/>
      <c r="GZ361" s="73"/>
      <c r="HA361" s="73"/>
      <c r="HB361" s="73"/>
      <c r="HC361" s="73"/>
      <c r="HD361" s="73"/>
      <c r="HE361" s="73"/>
      <c r="HF361" s="73"/>
      <c r="HG361" s="73"/>
      <c r="HH361" s="73"/>
      <c r="HI361" s="73"/>
      <c r="HJ361" s="73"/>
      <c r="HK361" s="73"/>
      <c r="HL361" s="73"/>
      <c r="HM361" s="73"/>
      <c r="HN361" s="73"/>
      <c r="HO361" s="73"/>
      <c r="HP361" s="73"/>
      <c r="HQ361" s="73"/>
      <c r="HR361" s="73"/>
      <c r="HS361" s="73"/>
      <c r="HT361" s="73"/>
      <c r="HU361" s="73"/>
      <c r="HV361" s="73"/>
      <c r="HW361" s="73"/>
      <c r="HX361" s="73"/>
      <c r="HY361" s="73"/>
      <c r="HZ361" s="73"/>
      <c r="IA361" s="73"/>
      <c r="IB361" s="73"/>
      <c r="IC361" s="73"/>
      <c r="ID361" s="73"/>
      <c r="IE361" s="73"/>
      <c r="IF361" s="73"/>
      <c r="IG361" s="73"/>
      <c r="IH361" s="73"/>
      <c r="II361" s="73"/>
      <c r="IJ361" s="73"/>
      <c r="IK361" s="73"/>
      <c r="IL361" s="73"/>
      <c r="IM361" s="73"/>
      <c r="IN361" s="73"/>
      <c r="IO361" s="73"/>
      <c r="IP361" s="73"/>
      <c r="IQ361" s="73"/>
      <c r="IR361" s="73"/>
      <c r="IS361" s="73"/>
      <c r="IT361" s="73"/>
      <c r="IU361" s="73"/>
      <c r="IV361" s="73"/>
      <c r="IW361" s="73"/>
      <c r="IX361" s="73"/>
      <c r="IY361" s="73"/>
      <c r="IZ361" s="73"/>
      <c r="JA361" s="73"/>
      <c r="JB361" s="73"/>
      <c r="JC361" s="73"/>
    </row>
    <row r="362" spans="2:263" s="72" customFormat="1">
      <c r="B362" s="73"/>
      <c r="C362" s="73"/>
      <c r="D362" s="73"/>
      <c r="E362" s="73"/>
      <c r="F362" s="73"/>
      <c r="G362" s="73"/>
      <c r="H362" s="73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GL362" s="73"/>
      <c r="GM362" s="73"/>
      <c r="GN362" s="73"/>
      <c r="GO362" s="73"/>
      <c r="GP362" s="73"/>
      <c r="GQ362" s="73"/>
      <c r="GR362" s="73"/>
      <c r="GS362" s="73"/>
      <c r="GT362" s="73"/>
      <c r="GU362" s="73"/>
      <c r="GV362" s="73"/>
      <c r="GW362" s="73"/>
      <c r="GX362" s="73"/>
      <c r="GY362" s="73"/>
      <c r="GZ362" s="73"/>
      <c r="HA362" s="73"/>
      <c r="HB362" s="73"/>
      <c r="HC362" s="73"/>
      <c r="HD362" s="73"/>
      <c r="HE362" s="73"/>
      <c r="HF362" s="73"/>
      <c r="HG362" s="73"/>
      <c r="HH362" s="73"/>
      <c r="HI362" s="73"/>
      <c r="HJ362" s="73"/>
      <c r="HK362" s="73"/>
      <c r="HL362" s="73"/>
      <c r="HM362" s="73"/>
      <c r="HN362" s="73"/>
      <c r="HO362" s="73"/>
      <c r="HP362" s="73"/>
      <c r="HQ362" s="73"/>
      <c r="HR362" s="73"/>
      <c r="HS362" s="73"/>
      <c r="HT362" s="73"/>
      <c r="HU362" s="73"/>
      <c r="HV362" s="73"/>
      <c r="HW362" s="73"/>
      <c r="HX362" s="73"/>
      <c r="HY362" s="73"/>
      <c r="HZ362" s="73"/>
      <c r="IA362" s="73"/>
      <c r="IB362" s="73"/>
      <c r="IC362" s="73"/>
      <c r="ID362" s="73"/>
      <c r="IE362" s="73"/>
      <c r="IF362" s="73"/>
      <c r="IG362" s="73"/>
      <c r="IH362" s="73"/>
      <c r="II362" s="73"/>
      <c r="IJ362" s="73"/>
      <c r="IK362" s="73"/>
      <c r="IL362" s="73"/>
      <c r="IM362" s="73"/>
      <c r="IN362" s="73"/>
      <c r="IO362" s="73"/>
      <c r="IP362" s="73"/>
      <c r="IQ362" s="73"/>
      <c r="IR362" s="73"/>
      <c r="IS362" s="73"/>
      <c r="IT362" s="73"/>
      <c r="IU362" s="73"/>
      <c r="IV362" s="73"/>
      <c r="IW362" s="73"/>
      <c r="IX362" s="73"/>
      <c r="IY362" s="73"/>
      <c r="IZ362" s="73"/>
      <c r="JA362" s="73"/>
      <c r="JB362" s="73"/>
      <c r="JC362" s="73"/>
    </row>
    <row r="363" spans="2:263" s="72" customFormat="1">
      <c r="B363" s="73"/>
      <c r="C363" s="73"/>
      <c r="D363" s="73"/>
      <c r="E363" s="73"/>
      <c r="F363" s="73"/>
      <c r="G363" s="73"/>
      <c r="H363" s="73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GL363" s="73"/>
      <c r="GM363" s="73"/>
      <c r="GN363" s="73"/>
      <c r="GO363" s="73"/>
      <c r="GP363" s="73"/>
      <c r="GQ363" s="73"/>
      <c r="GR363" s="73"/>
      <c r="GS363" s="73"/>
      <c r="GT363" s="73"/>
      <c r="GU363" s="73"/>
      <c r="GV363" s="73"/>
      <c r="GW363" s="73"/>
      <c r="GX363" s="73"/>
      <c r="GY363" s="73"/>
      <c r="GZ363" s="73"/>
      <c r="HA363" s="73"/>
      <c r="HB363" s="73"/>
      <c r="HC363" s="73"/>
      <c r="HD363" s="73"/>
      <c r="HE363" s="73"/>
      <c r="HF363" s="73"/>
      <c r="HG363" s="73"/>
      <c r="HH363" s="73"/>
      <c r="HI363" s="73"/>
      <c r="HJ363" s="73"/>
      <c r="HK363" s="73"/>
      <c r="HL363" s="73"/>
      <c r="HM363" s="73"/>
      <c r="HN363" s="73"/>
      <c r="HO363" s="73"/>
      <c r="HP363" s="73"/>
      <c r="HQ363" s="73"/>
      <c r="HR363" s="73"/>
      <c r="HS363" s="73"/>
      <c r="HT363" s="73"/>
      <c r="HU363" s="73"/>
      <c r="HV363" s="73"/>
      <c r="HW363" s="73"/>
      <c r="HX363" s="73"/>
      <c r="HY363" s="73"/>
      <c r="HZ363" s="73"/>
      <c r="IA363" s="73"/>
      <c r="IB363" s="73"/>
      <c r="IC363" s="73"/>
      <c r="ID363" s="73"/>
      <c r="IE363" s="73"/>
      <c r="IF363" s="73"/>
      <c r="IG363" s="73"/>
      <c r="IH363" s="73"/>
      <c r="II363" s="73"/>
      <c r="IJ363" s="73"/>
      <c r="IK363" s="73"/>
      <c r="IL363" s="73"/>
      <c r="IM363" s="73"/>
      <c r="IN363" s="73"/>
      <c r="IO363" s="73"/>
      <c r="IP363" s="73"/>
      <c r="IQ363" s="73"/>
      <c r="IR363" s="73"/>
      <c r="IS363" s="73"/>
      <c r="IT363" s="73"/>
      <c r="IU363" s="73"/>
      <c r="IV363" s="73"/>
      <c r="IW363" s="73"/>
      <c r="IX363" s="73"/>
      <c r="IY363" s="73"/>
      <c r="IZ363" s="73"/>
      <c r="JA363" s="73"/>
      <c r="JB363" s="73"/>
      <c r="JC363" s="73"/>
    </row>
    <row r="364" spans="2:263" s="72" customFormat="1">
      <c r="B364" s="73"/>
      <c r="C364" s="73"/>
      <c r="D364" s="73"/>
      <c r="E364" s="73"/>
      <c r="F364" s="73"/>
      <c r="G364" s="73"/>
      <c r="H364" s="73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GL364" s="73"/>
      <c r="GM364" s="73"/>
      <c r="GN364" s="73"/>
      <c r="GO364" s="73"/>
      <c r="GP364" s="73"/>
      <c r="GQ364" s="73"/>
      <c r="GR364" s="73"/>
      <c r="GS364" s="73"/>
      <c r="GT364" s="73"/>
      <c r="GU364" s="73"/>
      <c r="GV364" s="73"/>
      <c r="GW364" s="73"/>
      <c r="GX364" s="73"/>
      <c r="GY364" s="73"/>
      <c r="GZ364" s="73"/>
      <c r="HA364" s="73"/>
      <c r="HB364" s="73"/>
      <c r="HC364" s="73"/>
      <c r="HD364" s="73"/>
      <c r="HE364" s="73"/>
      <c r="HF364" s="73"/>
      <c r="HG364" s="73"/>
      <c r="HH364" s="73"/>
      <c r="HI364" s="73"/>
      <c r="HJ364" s="73"/>
      <c r="HK364" s="73"/>
      <c r="HL364" s="73"/>
      <c r="HM364" s="73"/>
      <c r="HN364" s="73"/>
      <c r="HO364" s="73"/>
      <c r="HP364" s="73"/>
      <c r="HQ364" s="73"/>
      <c r="HR364" s="73"/>
      <c r="HS364" s="73"/>
      <c r="HT364" s="73"/>
      <c r="HU364" s="73"/>
      <c r="HV364" s="73"/>
      <c r="HW364" s="73"/>
      <c r="HX364" s="73"/>
      <c r="HY364" s="73"/>
      <c r="HZ364" s="73"/>
      <c r="IA364" s="73"/>
      <c r="IB364" s="73"/>
      <c r="IC364" s="73"/>
      <c r="ID364" s="73"/>
      <c r="IE364" s="73"/>
      <c r="IF364" s="73"/>
      <c r="IG364" s="73"/>
      <c r="IH364" s="73"/>
      <c r="II364" s="73"/>
      <c r="IJ364" s="73"/>
      <c r="IK364" s="73"/>
      <c r="IL364" s="73"/>
      <c r="IM364" s="73"/>
      <c r="IN364" s="73"/>
      <c r="IO364" s="73"/>
      <c r="IP364" s="73"/>
      <c r="IQ364" s="73"/>
      <c r="IR364" s="73"/>
      <c r="IS364" s="73"/>
      <c r="IT364" s="73"/>
      <c r="IU364" s="73"/>
      <c r="IV364" s="73"/>
      <c r="IW364" s="73"/>
      <c r="IX364" s="73"/>
      <c r="IY364" s="73"/>
      <c r="IZ364" s="73"/>
      <c r="JA364" s="73"/>
      <c r="JB364" s="73"/>
      <c r="JC364" s="73"/>
    </row>
    <row r="365" spans="2:263" s="72" customFormat="1">
      <c r="B365" s="73"/>
      <c r="C365" s="73"/>
      <c r="D365" s="73"/>
      <c r="E365" s="73"/>
      <c r="F365" s="73"/>
      <c r="G365" s="73"/>
      <c r="H365" s="73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GL365" s="73"/>
      <c r="GM365" s="73"/>
      <c r="GN365" s="73"/>
      <c r="GO365" s="73"/>
      <c r="GP365" s="73"/>
      <c r="GQ365" s="73"/>
      <c r="GR365" s="73"/>
      <c r="GS365" s="73"/>
      <c r="GT365" s="73"/>
      <c r="GU365" s="73"/>
      <c r="GV365" s="73"/>
      <c r="GW365" s="73"/>
      <c r="GX365" s="73"/>
      <c r="GY365" s="73"/>
      <c r="GZ365" s="73"/>
      <c r="HA365" s="73"/>
      <c r="HB365" s="73"/>
      <c r="HC365" s="73"/>
      <c r="HD365" s="73"/>
      <c r="HE365" s="73"/>
      <c r="HF365" s="73"/>
      <c r="HG365" s="73"/>
      <c r="HH365" s="73"/>
      <c r="HI365" s="73"/>
      <c r="HJ365" s="73"/>
      <c r="HK365" s="73"/>
      <c r="HL365" s="73"/>
      <c r="HM365" s="73"/>
      <c r="HN365" s="73"/>
      <c r="HO365" s="73"/>
      <c r="HP365" s="73"/>
      <c r="HQ365" s="73"/>
      <c r="HR365" s="73"/>
      <c r="HS365" s="73"/>
      <c r="HT365" s="73"/>
      <c r="HU365" s="73"/>
      <c r="HV365" s="73"/>
      <c r="HW365" s="73"/>
      <c r="HX365" s="73"/>
      <c r="HY365" s="73"/>
      <c r="HZ365" s="73"/>
      <c r="IA365" s="73"/>
      <c r="IB365" s="73"/>
      <c r="IC365" s="73"/>
      <c r="ID365" s="73"/>
      <c r="IE365" s="73"/>
      <c r="IF365" s="73"/>
      <c r="IG365" s="73"/>
      <c r="IH365" s="73"/>
      <c r="II365" s="73"/>
      <c r="IJ365" s="73"/>
      <c r="IK365" s="73"/>
      <c r="IL365" s="73"/>
      <c r="IM365" s="73"/>
      <c r="IN365" s="73"/>
      <c r="IO365" s="73"/>
      <c r="IP365" s="73"/>
      <c r="IQ365" s="73"/>
      <c r="IR365" s="73"/>
      <c r="IS365" s="73"/>
      <c r="IT365" s="73"/>
      <c r="IU365" s="73"/>
      <c r="IV365" s="73"/>
      <c r="IW365" s="73"/>
      <c r="IX365" s="73"/>
      <c r="IY365" s="73"/>
      <c r="IZ365" s="73"/>
      <c r="JA365" s="73"/>
      <c r="JB365" s="73"/>
      <c r="JC365" s="73"/>
    </row>
    <row r="366" spans="2:263" s="72" customFormat="1">
      <c r="B366" s="73"/>
      <c r="C366" s="73"/>
      <c r="D366" s="73"/>
      <c r="E366" s="73"/>
      <c r="F366" s="73"/>
      <c r="G366" s="73"/>
      <c r="H366" s="73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GL366" s="73"/>
      <c r="GM366" s="73"/>
      <c r="GN366" s="73"/>
      <c r="GO366" s="73"/>
      <c r="GP366" s="73"/>
      <c r="GQ366" s="73"/>
      <c r="GR366" s="73"/>
      <c r="GS366" s="73"/>
      <c r="GT366" s="73"/>
      <c r="GU366" s="73"/>
      <c r="GV366" s="73"/>
      <c r="GW366" s="73"/>
      <c r="GX366" s="73"/>
      <c r="GY366" s="73"/>
      <c r="GZ366" s="73"/>
      <c r="HA366" s="73"/>
      <c r="HB366" s="73"/>
      <c r="HC366" s="73"/>
      <c r="HD366" s="73"/>
      <c r="HE366" s="73"/>
      <c r="HF366" s="73"/>
      <c r="HG366" s="73"/>
      <c r="HH366" s="73"/>
      <c r="HI366" s="73"/>
      <c r="HJ366" s="73"/>
      <c r="HK366" s="73"/>
      <c r="HL366" s="73"/>
      <c r="HM366" s="73"/>
      <c r="HN366" s="73"/>
      <c r="HO366" s="73"/>
      <c r="HP366" s="73"/>
      <c r="HQ366" s="73"/>
      <c r="HR366" s="73"/>
      <c r="HS366" s="73"/>
      <c r="HT366" s="73"/>
      <c r="HU366" s="73"/>
      <c r="HV366" s="73"/>
      <c r="HW366" s="73"/>
      <c r="HX366" s="73"/>
      <c r="HY366" s="73"/>
      <c r="HZ366" s="73"/>
      <c r="IA366" s="73"/>
      <c r="IB366" s="73"/>
      <c r="IC366" s="73"/>
      <c r="ID366" s="73"/>
      <c r="IE366" s="73"/>
      <c r="IF366" s="73"/>
      <c r="IG366" s="73"/>
      <c r="IH366" s="73"/>
      <c r="II366" s="73"/>
      <c r="IJ366" s="73"/>
      <c r="IK366" s="73"/>
      <c r="IL366" s="73"/>
      <c r="IM366" s="73"/>
      <c r="IN366" s="73"/>
      <c r="IO366" s="73"/>
      <c r="IP366" s="73"/>
      <c r="IQ366" s="73"/>
      <c r="IR366" s="73"/>
      <c r="IS366" s="73"/>
      <c r="IT366" s="73"/>
      <c r="IU366" s="73"/>
      <c r="IV366" s="73"/>
      <c r="IW366" s="73"/>
      <c r="IX366" s="73"/>
      <c r="IY366" s="73"/>
      <c r="IZ366" s="73"/>
      <c r="JA366" s="73"/>
      <c r="JB366" s="73"/>
      <c r="JC366" s="73"/>
    </row>
    <row r="367" spans="2:263" s="72" customFormat="1">
      <c r="B367" s="73"/>
      <c r="C367" s="73"/>
      <c r="D367" s="73"/>
      <c r="E367" s="73"/>
      <c r="F367" s="73"/>
      <c r="G367" s="73"/>
      <c r="H367" s="73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GL367" s="73"/>
      <c r="GM367" s="73"/>
      <c r="GN367" s="73"/>
      <c r="GO367" s="73"/>
      <c r="GP367" s="73"/>
      <c r="GQ367" s="73"/>
      <c r="GR367" s="73"/>
      <c r="GS367" s="73"/>
      <c r="GT367" s="73"/>
      <c r="GU367" s="73"/>
      <c r="GV367" s="73"/>
      <c r="GW367" s="73"/>
      <c r="GX367" s="73"/>
      <c r="GY367" s="73"/>
      <c r="GZ367" s="73"/>
      <c r="HA367" s="73"/>
      <c r="HB367" s="73"/>
      <c r="HC367" s="73"/>
      <c r="HD367" s="73"/>
      <c r="HE367" s="73"/>
      <c r="HF367" s="73"/>
      <c r="HG367" s="73"/>
      <c r="HH367" s="73"/>
      <c r="HI367" s="73"/>
      <c r="HJ367" s="73"/>
      <c r="HK367" s="73"/>
      <c r="HL367" s="73"/>
      <c r="HM367" s="73"/>
      <c r="HN367" s="73"/>
      <c r="HO367" s="73"/>
      <c r="HP367" s="73"/>
      <c r="HQ367" s="73"/>
      <c r="HR367" s="73"/>
      <c r="HS367" s="73"/>
      <c r="HT367" s="73"/>
      <c r="HU367" s="73"/>
      <c r="HV367" s="73"/>
      <c r="HW367" s="73"/>
      <c r="HX367" s="73"/>
      <c r="HY367" s="73"/>
      <c r="HZ367" s="73"/>
      <c r="IA367" s="73"/>
      <c r="IB367" s="73"/>
      <c r="IC367" s="73"/>
      <c r="ID367" s="73"/>
      <c r="IE367" s="73"/>
      <c r="IF367" s="73"/>
      <c r="IG367" s="73"/>
      <c r="IH367" s="73"/>
      <c r="II367" s="73"/>
      <c r="IJ367" s="73"/>
      <c r="IK367" s="73"/>
      <c r="IL367" s="73"/>
      <c r="IM367" s="73"/>
      <c r="IN367" s="73"/>
      <c r="IO367" s="73"/>
      <c r="IP367" s="73"/>
      <c r="IQ367" s="73"/>
      <c r="IR367" s="73"/>
      <c r="IS367" s="73"/>
      <c r="IT367" s="73"/>
      <c r="IU367" s="73"/>
      <c r="IV367" s="73"/>
      <c r="IW367" s="73"/>
      <c r="IX367" s="73"/>
      <c r="IY367" s="73"/>
      <c r="IZ367" s="73"/>
      <c r="JA367" s="73"/>
      <c r="JB367" s="73"/>
      <c r="JC367" s="73"/>
    </row>
    <row r="368" spans="2:263" s="72" customFormat="1">
      <c r="B368" s="73"/>
      <c r="C368" s="73"/>
      <c r="D368" s="73"/>
      <c r="E368" s="73"/>
      <c r="F368" s="73"/>
      <c r="G368" s="73"/>
      <c r="H368" s="73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GL368" s="73"/>
      <c r="GM368" s="73"/>
      <c r="GN368" s="73"/>
      <c r="GO368" s="73"/>
      <c r="GP368" s="73"/>
      <c r="GQ368" s="73"/>
      <c r="GR368" s="73"/>
      <c r="GS368" s="73"/>
      <c r="GT368" s="73"/>
      <c r="GU368" s="73"/>
      <c r="GV368" s="73"/>
      <c r="GW368" s="73"/>
      <c r="GX368" s="73"/>
      <c r="GY368" s="73"/>
      <c r="GZ368" s="73"/>
      <c r="HA368" s="73"/>
      <c r="HB368" s="73"/>
      <c r="HC368" s="73"/>
      <c r="HD368" s="73"/>
      <c r="HE368" s="73"/>
      <c r="HF368" s="73"/>
      <c r="HG368" s="73"/>
      <c r="HH368" s="73"/>
      <c r="HI368" s="73"/>
      <c r="HJ368" s="73"/>
      <c r="HK368" s="73"/>
      <c r="HL368" s="73"/>
      <c r="HM368" s="73"/>
      <c r="HN368" s="73"/>
      <c r="HO368" s="73"/>
      <c r="HP368" s="73"/>
      <c r="HQ368" s="73"/>
      <c r="HR368" s="73"/>
      <c r="HS368" s="73"/>
      <c r="HT368" s="73"/>
      <c r="HU368" s="73"/>
      <c r="HV368" s="73"/>
      <c r="HW368" s="73"/>
      <c r="HX368" s="73"/>
      <c r="HY368" s="73"/>
      <c r="HZ368" s="73"/>
      <c r="IA368" s="73"/>
      <c r="IB368" s="73"/>
      <c r="IC368" s="73"/>
      <c r="ID368" s="73"/>
      <c r="IE368" s="73"/>
      <c r="IF368" s="73"/>
      <c r="IG368" s="73"/>
      <c r="IH368" s="73"/>
      <c r="II368" s="73"/>
      <c r="IJ368" s="73"/>
      <c r="IK368" s="73"/>
      <c r="IL368" s="73"/>
      <c r="IM368" s="73"/>
      <c r="IN368" s="73"/>
      <c r="IO368" s="73"/>
      <c r="IP368" s="73"/>
      <c r="IQ368" s="73"/>
      <c r="IR368" s="73"/>
      <c r="IS368" s="73"/>
      <c r="IT368" s="73"/>
      <c r="IU368" s="73"/>
      <c r="IV368" s="73"/>
      <c r="IW368" s="73"/>
      <c r="IX368" s="73"/>
      <c r="IY368" s="73"/>
      <c r="IZ368" s="73"/>
      <c r="JA368" s="73"/>
      <c r="JB368" s="73"/>
      <c r="JC368" s="73"/>
    </row>
    <row r="369" spans="2:263" s="72" customFormat="1">
      <c r="B369" s="73"/>
      <c r="C369" s="73"/>
      <c r="D369" s="73"/>
      <c r="E369" s="73"/>
      <c r="F369" s="73"/>
      <c r="G369" s="73"/>
      <c r="H369" s="73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GL369" s="73"/>
      <c r="GM369" s="73"/>
      <c r="GN369" s="73"/>
      <c r="GO369" s="73"/>
      <c r="GP369" s="73"/>
      <c r="GQ369" s="73"/>
      <c r="GR369" s="73"/>
      <c r="GS369" s="73"/>
      <c r="GT369" s="73"/>
      <c r="GU369" s="73"/>
      <c r="GV369" s="73"/>
      <c r="GW369" s="73"/>
      <c r="GX369" s="73"/>
      <c r="GY369" s="73"/>
      <c r="GZ369" s="73"/>
      <c r="HA369" s="73"/>
      <c r="HB369" s="73"/>
      <c r="HC369" s="73"/>
      <c r="HD369" s="73"/>
      <c r="HE369" s="73"/>
      <c r="HF369" s="73"/>
      <c r="HG369" s="73"/>
      <c r="HH369" s="73"/>
      <c r="HI369" s="73"/>
      <c r="HJ369" s="73"/>
      <c r="HK369" s="73"/>
      <c r="HL369" s="73"/>
      <c r="HM369" s="73"/>
      <c r="HN369" s="73"/>
      <c r="HO369" s="73"/>
      <c r="HP369" s="73"/>
      <c r="HQ369" s="73"/>
      <c r="HR369" s="73"/>
      <c r="HS369" s="73"/>
      <c r="HT369" s="73"/>
      <c r="HU369" s="73"/>
      <c r="HV369" s="73"/>
      <c r="HW369" s="73"/>
      <c r="HX369" s="73"/>
      <c r="HY369" s="73"/>
      <c r="HZ369" s="73"/>
      <c r="IA369" s="73"/>
      <c r="IB369" s="73"/>
      <c r="IC369" s="73"/>
      <c r="ID369" s="73"/>
      <c r="IE369" s="73"/>
      <c r="IF369" s="73"/>
      <c r="IG369" s="73"/>
      <c r="IH369" s="73"/>
      <c r="II369" s="73"/>
      <c r="IJ369" s="73"/>
      <c r="IK369" s="73"/>
      <c r="IL369" s="73"/>
      <c r="IM369" s="73"/>
      <c r="IN369" s="73"/>
      <c r="IO369" s="73"/>
      <c r="IP369" s="73"/>
      <c r="IQ369" s="73"/>
      <c r="IR369" s="73"/>
      <c r="IS369" s="73"/>
      <c r="IT369" s="73"/>
      <c r="IU369" s="73"/>
      <c r="IV369" s="73"/>
      <c r="IW369" s="73"/>
      <c r="IX369" s="73"/>
      <c r="IY369" s="73"/>
      <c r="IZ369" s="73"/>
      <c r="JA369" s="73"/>
      <c r="JB369" s="73"/>
      <c r="JC369" s="73"/>
    </row>
    <row r="370" spans="2:263" s="72" customFormat="1">
      <c r="B370" s="73"/>
      <c r="C370" s="73"/>
      <c r="D370" s="73"/>
      <c r="E370" s="73"/>
      <c r="F370" s="73"/>
      <c r="G370" s="73"/>
      <c r="H370" s="73"/>
      <c r="I370" s="73"/>
      <c r="J370" s="73"/>
      <c r="K370" s="73"/>
      <c r="L370" s="73"/>
      <c r="M370" s="73"/>
      <c r="N370" s="73"/>
      <c r="O370" s="73"/>
      <c r="P370" s="73"/>
      <c r="Q370" s="73"/>
      <c r="R370" s="73"/>
      <c r="S370" s="73"/>
      <c r="T370" s="73"/>
      <c r="U370" s="73"/>
      <c r="V370" s="73"/>
      <c r="W370" s="73"/>
      <c r="GL370" s="73"/>
      <c r="GM370" s="73"/>
      <c r="GN370" s="73"/>
      <c r="GO370" s="73"/>
      <c r="GP370" s="73"/>
      <c r="GQ370" s="73"/>
      <c r="GR370" s="73"/>
      <c r="GS370" s="73"/>
      <c r="GT370" s="73"/>
      <c r="GU370" s="73"/>
      <c r="GV370" s="73"/>
      <c r="GW370" s="73"/>
      <c r="GX370" s="73"/>
      <c r="GY370" s="73"/>
      <c r="GZ370" s="73"/>
      <c r="HA370" s="73"/>
      <c r="HB370" s="73"/>
      <c r="HC370" s="73"/>
      <c r="HD370" s="73"/>
      <c r="HE370" s="73"/>
      <c r="HF370" s="73"/>
      <c r="HG370" s="73"/>
      <c r="HH370" s="73"/>
      <c r="HI370" s="73"/>
      <c r="HJ370" s="73"/>
      <c r="HK370" s="73"/>
      <c r="HL370" s="73"/>
      <c r="HM370" s="73"/>
      <c r="HN370" s="73"/>
      <c r="HO370" s="73"/>
      <c r="HP370" s="73"/>
      <c r="HQ370" s="73"/>
      <c r="HR370" s="73"/>
      <c r="HS370" s="73"/>
      <c r="HT370" s="73"/>
      <c r="HU370" s="73"/>
      <c r="HV370" s="73"/>
      <c r="HW370" s="73"/>
      <c r="HX370" s="73"/>
      <c r="HY370" s="73"/>
      <c r="HZ370" s="73"/>
      <c r="IA370" s="73"/>
      <c r="IB370" s="73"/>
      <c r="IC370" s="73"/>
      <c r="ID370" s="73"/>
      <c r="IE370" s="73"/>
      <c r="IF370" s="73"/>
      <c r="IG370" s="73"/>
      <c r="IH370" s="73"/>
      <c r="II370" s="73"/>
      <c r="IJ370" s="73"/>
      <c r="IK370" s="73"/>
      <c r="IL370" s="73"/>
      <c r="IM370" s="73"/>
      <c r="IN370" s="73"/>
      <c r="IO370" s="73"/>
      <c r="IP370" s="73"/>
      <c r="IQ370" s="73"/>
      <c r="IR370" s="73"/>
      <c r="IS370" s="73"/>
      <c r="IT370" s="73"/>
      <c r="IU370" s="73"/>
      <c r="IV370" s="73"/>
      <c r="IW370" s="73"/>
      <c r="IX370" s="73"/>
      <c r="IY370" s="73"/>
      <c r="IZ370" s="73"/>
      <c r="JA370" s="73"/>
      <c r="JB370" s="73"/>
      <c r="JC370" s="73"/>
    </row>
    <row r="371" spans="2:263" s="72" customFormat="1">
      <c r="B371" s="73"/>
      <c r="C371" s="73"/>
      <c r="D371" s="73"/>
      <c r="E371" s="73"/>
      <c r="F371" s="73"/>
      <c r="G371" s="73"/>
      <c r="H371" s="73"/>
      <c r="I371" s="73"/>
      <c r="J371" s="73"/>
      <c r="K371" s="73"/>
      <c r="L371" s="73"/>
      <c r="M371" s="73"/>
      <c r="N371" s="73"/>
      <c r="O371" s="73"/>
      <c r="P371" s="73"/>
      <c r="Q371" s="73"/>
      <c r="R371" s="73"/>
      <c r="S371" s="73"/>
      <c r="T371" s="73"/>
      <c r="U371" s="73"/>
      <c r="V371" s="73"/>
      <c r="W371" s="73"/>
      <c r="GL371" s="73"/>
      <c r="GM371" s="73"/>
      <c r="GN371" s="73"/>
      <c r="GO371" s="73"/>
      <c r="GP371" s="73"/>
      <c r="GQ371" s="73"/>
      <c r="GR371" s="73"/>
      <c r="GS371" s="73"/>
      <c r="GT371" s="73"/>
      <c r="GU371" s="73"/>
      <c r="GV371" s="73"/>
      <c r="GW371" s="73"/>
      <c r="GX371" s="73"/>
      <c r="GY371" s="73"/>
      <c r="GZ371" s="73"/>
      <c r="HA371" s="73"/>
      <c r="HB371" s="73"/>
      <c r="HC371" s="73"/>
      <c r="HD371" s="73"/>
      <c r="HE371" s="73"/>
      <c r="HF371" s="73"/>
      <c r="HG371" s="73"/>
      <c r="HH371" s="73"/>
      <c r="HI371" s="73"/>
      <c r="HJ371" s="73"/>
      <c r="HK371" s="73"/>
      <c r="HL371" s="73"/>
      <c r="HM371" s="73"/>
      <c r="HN371" s="73"/>
      <c r="HO371" s="73"/>
      <c r="HP371" s="73"/>
      <c r="HQ371" s="73"/>
      <c r="HR371" s="73"/>
      <c r="HS371" s="73"/>
      <c r="HT371" s="73"/>
      <c r="HU371" s="73"/>
      <c r="HV371" s="73"/>
      <c r="HW371" s="73"/>
      <c r="HX371" s="73"/>
      <c r="HY371" s="73"/>
      <c r="HZ371" s="73"/>
      <c r="IA371" s="73"/>
      <c r="IB371" s="73"/>
      <c r="IC371" s="73"/>
      <c r="ID371" s="73"/>
      <c r="IE371" s="73"/>
      <c r="IF371" s="73"/>
      <c r="IG371" s="73"/>
      <c r="IH371" s="73"/>
      <c r="II371" s="73"/>
      <c r="IJ371" s="73"/>
      <c r="IK371" s="73"/>
      <c r="IL371" s="73"/>
      <c r="IM371" s="73"/>
      <c r="IN371" s="73"/>
      <c r="IO371" s="73"/>
      <c r="IP371" s="73"/>
      <c r="IQ371" s="73"/>
      <c r="IR371" s="73"/>
      <c r="IS371" s="73"/>
      <c r="IT371" s="73"/>
      <c r="IU371" s="73"/>
      <c r="IV371" s="73"/>
      <c r="IW371" s="73"/>
      <c r="IX371" s="73"/>
      <c r="IY371" s="73"/>
      <c r="IZ371" s="73"/>
      <c r="JA371" s="73"/>
      <c r="JB371" s="73"/>
      <c r="JC371" s="73"/>
    </row>
    <row r="372" spans="2:263" s="72" customFormat="1">
      <c r="B372" s="73"/>
      <c r="C372" s="73"/>
      <c r="D372" s="73"/>
      <c r="E372" s="73"/>
      <c r="F372" s="73"/>
      <c r="G372" s="73"/>
      <c r="H372" s="73"/>
      <c r="I372" s="73"/>
      <c r="J372" s="73"/>
      <c r="K372" s="73"/>
      <c r="L372" s="73"/>
      <c r="M372" s="73"/>
      <c r="N372" s="73"/>
      <c r="O372" s="73"/>
      <c r="P372" s="73"/>
      <c r="Q372" s="73"/>
      <c r="R372" s="73"/>
      <c r="S372" s="73"/>
      <c r="T372" s="73"/>
      <c r="U372" s="73"/>
      <c r="V372" s="73"/>
      <c r="W372" s="73"/>
      <c r="GL372" s="73"/>
      <c r="GM372" s="73"/>
      <c r="GN372" s="73"/>
      <c r="GO372" s="73"/>
      <c r="GP372" s="73"/>
      <c r="GQ372" s="73"/>
      <c r="GR372" s="73"/>
      <c r="GS372" s="73"/>
      <c r="GT372" s="73"/>
      <c r="GU372" s="73"/>
      <c r="GV372" s="73"/>
      <c r="GW372" s="73"/>
      <c r="GX372" s="73"/>
      <c r="GY372" s="73"/>
      <c r="GZ372" s="73"/>
      <c r="HA372" s="73"/>
      <c r="HB372" s="73"/>
      <c r="HC372" s="73"/>
      <c r="HD372" s="73"/>
      <c r="HE372" s="73"/>
      <c r="HF372" s="73"/>
      <c r="HG372" s="73"/>
      <c r="HH372" s="73"/>
      <c r="HI372" s="73"/>
      <c r="HJ372" s="73"/>
      <c r="HK372" s="73"/>
      <c r="HL372" s="73"/>
      <c r="HM372" s="73"/>
      <c r="HN372" s="73"/>
      <c r="HO372" s="73"/>
      <c r="HP372" s="73"/>
      <c r="HQ372" s="73"/>
      <c r="HR372" s="73"/>
      <c r="HS372" s="73"/>
      <c r="HT372" s="73"/>
      <c r="HU372" s="73"/>
      <c r="HV372" s="73"/>
      <c r="HW372" s="73"/>
      <c r="HX372" s="73"/>
      <c r="HY372" s="73"/>
      <c r="HZ372" s="73"/>
      <c r="IA372" s="73"/>
      <c r="IB372" s="73"/>
      <c r="IC372" s="73"/>
      <c r="ID372" s="73"/>
      <c r="IE372" s="73"/>
      <c r="IF372" s="73"/>
      <c r="IG372" s="73"/>
      <c r="IH372" s="73"/>
      <c r="II372" s="73"/>
      <c r="IJ372" s="73"/>
      <c r="IK372" s="73"/>
      <c r="IL372" s="73"/>
      <c r="IM372" s="73"/>
      <c r="IN372" s="73"/>
      <c r="IO372" s="73"/>
      <c r="IP372" s="73"/>
      <c r="IQ372" s="73"/>
      <c r="IR372" s="73"/>
      <c r="IS372" s="73"/>
      <c r="IT372" s="73"/>
      <c r="IU372" s="73"/>
      <c r="IV372" s="73"/>
      <c r="IW372" s="73"/>
      <c r="IX372" s="73"/>
      <c r="IY372" s="73"/>
      <c r="IZ372" s="73"/>
      <c r="JA372" s="73"/>
      <c r="JB372" s="73"/>
      <c r="JC372" s="73"/>
    </row>
    <row r="373" spans="2:263" s="72" customFormat="1">
      <c r="B373" s="73"/>
      <c r="C373" s="73"/>
      <c r="D373" s="73"/>
      <c r="E373" s="73"/>
      <c r="F373" s="73"/>
      <c r="G373" s="73"/>
      <c r="H373" s="73"/>
      <c r="I373" s="73"/>
      <c r="J373" s="73"/>
      <c r="K373" s="73"/>
      <c r="L373" s="73"/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GL373" s="73"/>
      <c r="GM373" s="73"/>
      <c r="GN373" s="73"/>
      <c r="GO373" s="73"/>
      <c r="GP373" s="73"/>
      <c r="GQ373" s="73"/>
      <c r="GR373" s="73"/>
      <c r="GS373" s="73"/>
      <c r="GT373" s="73"/>
      <c r="GU373" s="73"/>
      <c r="GV373" s="73"/>
      <c r="GW373" s="73"/>
      <c r="GX373" s="73"/>
      <c r="GY373" s="73"/>
      <c r="GZ373" s="73"/>
      <c r="HA373" s="73"/>
      <c r="HB373" s="73"/>
      <c r="HC373" s="73"/>
      <c r="HD373" s="73"/>
      <c r="HE373" s="73"/>
      <c r="HF373" s="73"/>
      <c r="HG373" s="73"/>
      <c r="HH373" s="73"/>
      <c r="HI373" s="73"/>
      <c r="HJ373" s="73"/>
      <c r="HK373" s="73"/>
      <c r="HL373" s="73"/>
      <c r="HM373" s="73"/>
      <c r="HN373" s="73"/>
      <c r="HO373" s="73"/>
      <c r="HP373" s="73"/>
      <c r="HQ373" s="73"/>
      <c r="HR373" s="73"/>
      <c r="HS373" s="73"/>
      <c r="HT373" s="73"/>
      <c r="HU373" s="73"/>
      <c r="HV373" s="73"/>
      <c r="HW373" s="73"/>
      <c r="HX373" s="73"/>
      <c r="HY373" s="73"/>
      <c r="HZ373" s="73"/>
      <c r="IA373" s="73"/>
      <c r="IB373" s="73"/>
      <c r="IC373" s="73"/>
      <c r="ID373" s="73"/>
      <c r="IE373" s="73"/>
      <c r="IF373" s="73"/>
      <c r="IG373" s="73"/>
      <c r="IH373" s="73"/>
      <c r="II373" s="73"/>
      <c r="IJ373" s="73"/>
      <c r="IK373" s="73"/>
      <c r="IL373" s="73"/>
      <c r="IM373" s="73"/>
      <c r="IN373" s="73"/>
      <c r="IO373" s="73"/>
      <c r="IP373" s="73"/>
      <c r="IQ373" s="73"/>
      <c r="IR373" s="73"/>
      <c r="IS373" s="73"/>
      <c r="IT373" s="73"/>
      <c r="IU373" s="73"/>
      <c r="IV373" s="73"/>
      <c r="IW373" s="73"/>
      <c r="IX373" s="73"/>
      <c r="IY373" s="73"/>
      <c r="IZ373" s="73"/>
      <c r="JA373" s="73"/>
      <c r="JB373" s="73"/>
      <c r="JC373" s="73"/>
    </row>
    <row r="374" spans="2:263" s="72" customFormat="1">
      <c r="B374" s="73"/>
      <c r="C374" s="73"/>
      <c r="D374" s="73"/>
      <c r="E374" s="73"/>
      <c r="F374" s="73"/>
      <c r="G374" s="73"/>
      <c r="H374" s="73"/>
      <c r="I374" s="73"/>
      <c r="J374" s="73"/>
      <c r="K374" s="73"/>
      <c r="L374" s="73"/>
      <c r="M374" s="73"/>
      <c r="N374" s="73"/>
      <c r="O374" s="73"/>
      <c r="P374" s="73"/>
      <c r="Q374" s="73"/>
      <c r="R374" s="73"/>
      <c r="S374" s="73"/>
      <c r="T374" s="73"/>
      <c r="U374" s="73"/>
      <c r="V374" s="73"/>
      <c r="W374" s="73"/>
      <c r="GL374" s="73"/>
      <c r="GM374" s="73"/>
      <c r="GN374" s="73"/>
      <c r="GO374" s="73"/>
      <c r="GP374" s="73"/>
      <c r="GQ374" s="73"/>
      <c r="GR374" s="73"/>
      <c r="GS374" s="73"/>
      <c r="GT374" s="73"/>
      <c r="GU374" s="73"/>
      <c r="GV374" s="73"/>
      <c r="GW374" s="73"/>
      <c r="GX374" s="73"/>
      <c r="GY374" s="73"/>
      <c r="GZ374" s="73"/>
      <c r="HA374" s="73"/>
      <c r="HB374" s="73"/>
      <c r="HC374" s="73"/>
      <c r="HD374" s="73"/>
      <c r="HE374" s="73"/>
      <c r="HF374" s="73"/>
      <c r="HG374" s="73"/>
      <c r="HH374" s="73"/>
      <c r="HI374" s="73"/>
      <c r="HJ374" s="73"/>
      <c r="HK374" s="73"/>
      <c r="HL374" s="73"/>
      <c r="HM374" s="73"/>
      <c r="HN374" s="73"/>
      <c r="HO374" s="73"/>
      <c r="HP374" s="73"/>
      <c r="HQ374" s="73"/>
      <c r="HR374" s="73"/>
      <c r="HS374" s="73"/>
      <c r="HT374" s="73"/>
      <c r="HU374" s="73"/>
      <c r="HV374" s="73"/>
      <c r="HW374" s="73"/>
      <c r="HX374" s="73"/>
      <c r="HY374" s="73"/>
      <c r="HZ374" s="73"/>
      <c r="IA374" s="73"/>
      <c r="IB374" s="73"/>
      <c r="IC374" s="73"/>
      <c r="ID374" s="73"/>
      <c r="IE374" s="73"/>
      <c r="IF374" s="73"/>
      <c r="IG374" s="73"/>
      <c r="IH374" s="73"/>
      <c r="II374" s="73"/>
      <c r="IJ374" s="73"/>
      <c r="IK374" s="73"/>
      <c r="IL374" s="73"/>
      <c r="IM374" s="73"/>
      <c r="IN374" s="73"/>
      <c r="IO374" s="73"/>
      <c r="IP374" s="73"/>
      <c r="IQ374" s="73"/>
      <c r="IR374" s="73"/>
      <c r="IS374" s="73"/>
      <c r="IT374" s="73"/>
      <c r="IU374" s="73"/>
      <c r="IV374" s="73"/>
      <c r="IW374" s="73"/>
      <c r="IX374" s="73"/>
      <c r="IY374" s="73"/>
      <c r="IZ374" s="73"/>
      <c r="JA374" s="73"/>
      <c r="JB374" s="73"/>
      <c r="JC374" s="73"/>
    </row>
    <row r="375" spans="2:263" s="72" customFormat="1">
      <c r="B375" s="73"/>
      <c r="C375" s="73"/>
      <c r="D375" s="73"/>
      <c r="E375" s="73"/>
      <c r="F375" s="73"/>
      <c r="G375" s="73"/>
      <c r="H375" s="73"/>
      <c r="I375" s="73"/>
      <c r="J375" s="73"/>
      <c r="K375" s="73"/>
      <c r="L375" s="73"/>
      <c r="M375" s="73"/>
      <c r="N375" s="73"/>
      <c r="O375" s="73"/>
      <c r="P375" s="73"/>
      <c r="Q375" s="73"/>
      <c r="R375" s="73"/>
      <c r="S375" s="73"/>
      <c r="T375" s="73"/>
      <c r="U375" s="73"/>
      <c r="V375" s="73"/>
      <c r="W375" s="73"/>
      <c r="GL375" s="73"/>
      <c r="GM375" s="73"/>
      <c r="GN375" s="73"/>
      <c r="GO375" s="73"/>
      <c r="GP375" s="73"/>
      <c r="GQ375" s="73"/>
      <c r="GR375" s="73"/>
      <c r="GS375" s="73"/>
      <c r="GT375" s="73"/>
      <c r="GU375" s="73"/>
      <c r="GV375" s="73"/>
      <c r="GW375" s="73"/>
      <c r="GX375" s="73"/>
      <c r="GY375" s="73"/>
      <c r="GZ375" s="73"/>
      <c r="HA375" s="73"/>
      <c r="HB375" s="73"/>
      <c r="HC375" s="73"/>
      <c r="HD375" s="73"/>
      <c r="HE375" s="73"/>
      <c r="HF375" s="73"/>
      <c r="HG375" s="73"/>
      <c r="HH375" s="73"/>
      <c r="HI375" s="73"/>
      <c r="HJ375" s="73"/>
      <c r="HK375" s="73"/>
      <c r="HL375" s="73"/>
      <c r="HM375" s="73"/>
      <c r="HN375" s="73"/>
      <c r="HO375" s="73"/>
      <c r="HP375" s="73"/>
      <c r="HQ375" s="73"/>
      <c r="HR375" s="73"/>
      <c r="HS375" s="73"/>
      <c r="HT375" s="73"/>
      <c r="HU375" s="73"/>
      <c r="HV375" s="73"/>
      <c r="HW375" s="73"/>
      <c r="HX375" s="73"/>
      <c r="HY375" s="73"/>
      <c r="HZ375" s="73"/>
      <c r="IA375" s="73"/>
      <c r="IB375" s="73"/>
      <c r="IC375" s="73"/>
      <c r="ID375" s="73"/>
      <c r="IE375" s="73"/>
      <c r="IF375" s="73"/>
      <c r="IG375" s="73"/>
      <c r="IH375" s="73"/>
      <c r="II375" s="73"/>
      <c r="IJ375" s="73"/>
      <c r="IK375" s="73"/>
      <c r="IL375" s="73"/>
      <c r="IM375" s="73"/>
      <c r="IN375" s="73"/>
      <c r="IO375" s="73"/>
      <c r="IP375" s="73"/>
      <c r="IQ375" s="73"/>
      <c r="IR375" s="73"/>
      <c r="IS375" s="73"/>
      <c r="IT375" s="73"/>
      <c r="IU375" s="73"/>
      <c r="IV375" s="73"/>
      <c r="IW375" s="73"/>
      <c r="IX375" s="73"/>
      <c r="IY375" s="73"/>
      <c r="IZ375" s="73"/>
      <c r="JA375" s="73"/>
      <c r="JB375" s="73"/>
      <c r="JC375" s="73"/>
    </row>
    <row r="376" spans="2:263" s="72" customFormat="1">
      <c r="B376" s="73"/>
      <c r="C376" s="73"/>
      <c r="D376" s="73"/>
      <c r="E376" s="73"/>
      <c r="F376" s="73"/>
      <c r="G376" s="73"/>
      <c r="H376" s="73"/>
      <c r="I376" s="73"/>
      <c r="J376" s="73"/>
      <c r="K376" s="73"/>
      <c r="L376" s="73"/>
      <c r="M376" s="73"/>
      <c r="N376" s="73"/>
      <c r="O376" s="73"/>
      <c r="P376" s="73"/>
      <c r="Q376" s="73"/>
      <c r="R376" s="73"/>
      <c r="S376" s="73"/>
      <c r="T376" s="73"/>
      <c r="U376" s="73"/>
      <c r="V376" s="73"/>
      <c r="W376" s="73"/>
      <c r="GL376" s="73"/>
      <c r="GM376" s="73"/>
      <c r="GN376" s="73"/>
      <c r="GO376" s="73"/>
      <c r="GP376" s="73"/>
      <c r="GQ376" s="73"/>
      <c r="GR376" s="73"/>
      <c r="GS376" s="73"/>
      <c r="GT376" s="73"/>
      <c r="GU376" s="73"/>
      <c r="GV376" s="73"/>
      <c r="GW376" s="73"/>
      <c r="GX376" s="73"/>
      <c r="GY376" s="73"/>
      <c r="GZ376" s="73"/>
      <c r="HA376" s="73"/>
      <c r="HB376" s="73"/>
      <c r="HC376" s="73"/>
      <c r="HD376" s="73"/>
      <c r="HE376" s="73"/>
      <c r="HF376" s="73"/>
      <c r="HG376" s="73"/>
      <c r="HH376" s="73"/>
      <c r="HI376" s="73"/>
      <c r="HJ376" s="73"/>
      <c r="HK376" s="73"/>
      <c r="HL376" s="73"/>
      <c r="HM376" s="73"/>
      <c r="HN376" s="73"/>
      <c r="HO376" s="73"/>
      <c r="HP376" s="73"/>
      <c r="HQ376" s="73"/>
      <c r="HR376" s="73"/>
      <c r="HS376" s="73"/>
      <c r="HT376" s="73"/>
      <c r="HU376" s="73"/>
      <c r="HV376" s="73"/>
      <c r="HW376" s="73"/>
      <c r="HX376" s="73"/>
      <c r="HY376" s="73"/>
      <c r="HZ376" s="73"/>
      <c r="IA376" s="73"/>
      <c r="IB376" s="73"/>
      <c r="IC376" s="73"/>
      <c r="ID376" s="73"/>
      <c r="IE376" s="73"/>
      <c r="IF376" s="73"/>
      <c r="IG376" s="73"/>
      <c r="IH376" s="73"/>
      <c r="II376" s="73"/>
      <c r="IJ376" s="73"/>
      <c r="IK376" s="73"/>
      <c r="IL376" s="73"/>
      <c r="IM376" s="73"/>
      <c r="IN376" s="73"/>
      <c r="IO376" s="73"/>
      <c r="IP376" s="73"/>
      <c r="IQ376" s="73"/>
      <c r="IR376" s="73"/>
      <c r="IS376" s="73"/>
      <c r="IT376" s="73"/>
      <c r="IU376" s="73"/>
      <c r="IV376" s="73"/>
      <c r="IW376" s="73"/>
      <c r="IX376" s="73"/>
      <c r="IY376" s="73"/>
      <c r="IZ376" s="73"/>
      <c r="JA376" s="73"/>
      <c r="JB376" s="73"/>
      <c r="JC376" s="73"/>
    </row>
    <row r="377" spans="2:263" s="72" customFormat="1">
      <c r="B377" s="73"/>
      <c r="C377" s="73"/>
      <c r="D377" s="73"/>
      <c r="E377" s="73"/>
      <c r="F377" s="73"/>
      <c r="G377" s="73"/>
      <c r="H377" s="73"/>
      <c r="I377" s="73"/>
      <c r="J377" s="73"/>
      <c r="K377" s="73"/>
      <c r="L377" s="73"/>
      <c r="M377" s="73"/>
      <c r="N377" s="73"/>
      <c r="O377" s="73"/>
      <c r="P377" s="73"/>
      <c r="Q377" s="73"/>
      <c r="R377" s="73"/>
      <c r="S377" s="73"/>
      <c r="T377" s="73"/>
      <c r="U377" s="73"/>
      <c r="V377" s="73"/>
      <c r="W377" s="73"/>
      <c r="GL377" s="73"/>
      <c r="GM377" s="73"/>
      <c r="GN377" s="73"/>
      <c r="GO377" s="73"/>
      <c r="GP377" s="73"/>
      <c r="GQ377" s="73"/>
      <c r="GR377" s="73"/>
      <c r="GS377" s="73"/>
      <c r="GT377" s="73"/>
      <c r="GU377" s="73"/>
      <c r="GV377" s="73"/>
      <c r="GW377" s="73"/>
      <c r="GX377" s="73"/>
      <c r="GY377" s="73"/>
      <c r="GZ377" s="73"/>
      <c r="HA377" s="73"/>
      <c r="HB377" s="73"/>
      <c r="HC377" s="73"/>
      <c r="HD377" s="73"/>
      <c r="HE377" s="73"/>
      <c r="HF377" s="73"/>
      <c r="HG377" s="73"/>
      <c r="HH377" s="73"/>
      <c r="HI377" s="73"/>
      <c r="HJ377" s="73"/>
      <c r="HK377" s="73"/>
      <c r="HL377" s="73"/>
      <c r="HM377" s="73"/>
      <c r="HN377" s="73"/>
      <c r="HO377" s="73"/>
      <c r="HP377" s="73"/>
      <c r="HQ377" s="73"/>
      <c r="HR377" s="73"/>
      <c r="HS377" s="73"/>
      <c r="HT377" s="73"/>
      <c r="HU377" s="73"/>
      <c r="HV377" s="73"/>
      <c r="HW377" s="73"/>
      <c r="HX377" s="73"/>
      <c r="HY377" s="73"/>
      <c r="HZ377" s="73"/>
      <c r="IA377" s="73"/>
      <c r="IB377" s="73"/>
      <c r="IC377" s="73"/>
      <c r="ID377" s="73"/>
      <c r="IE377" s="73"/>
      <c r="IF377" s="73"/>
      <c r="IG377" s="73"/>
      <c r="IH377" s="73"/>
      <c r="II377" s="73"/>
      <c r="IJ377" s="73"/>
      <c r="IK377" s="73"/>
      <c r="IL377" s="73"/>
      <c r="IM377" s="73"/>
      <c r="IN377" s="73"/>
      <c r="IO377" s="73"/>
      <c r="IP377" s="73"/>
      <c r="IQ377" s="73"/>
      <c r="IR377" s="73"/>
      <c r="IS377" s="73"/>
      <c r="IT377" s="73"/>
      <c r="IU377" s="73"/>
      <c r="IV377" s="73"/>
      <c r="IW377" s="73"/>
      <c r="IX377" s="73"/>
      <c r="IY377" s="73"/>
      <c r="IZ377" s="73"/>
      <c r="JA377" s="73"/>
      <c r="JB377" s="73"/>
      <c r="JC377" s="73"/>
    </row>
    <row r="378" spans="2:263" s="72" customFormat="1">
      <c r="B378" s="73"/>
      <c r="C378" s="73"/>
      <c r="D378" s="73"/>
      <c r="E378" s="73"/>
      <c r="F378" s="73"/>
      <c r="G378" s="73"/>
      <c r="H378" s="73"/>
      <c r="I378" s="73"/>
      <c r="J378" s="73"/>
      <c r="K378" s="73"/>
      <c r="L378" s="73"/>
      <c r="M378" s="73"/>
      <c r="N378" s="73"/>
      <c r="O378" s="73"/>
      <c r="P378" s="73"/>
      <c r="Q378" s="73"/>
      <c r="R378" s="73"/>
      <c r="S378" s="73"/>
      <c r="T378" s="73"/>
      <c r="U378" s="73"/>
      <c r="V378" s="73"/>
      <c r="W378" s="73"/>
      <c r="GL378" s="73"/>
      <c r="GM378" s="73"/>
      <c r="GN378" s="73"/>
      <c r="GO378" s="73"/>
      <c r="GP378" s="73"/>
      <c r="GQ378" s="73"/>
      <c r="GR378" s="73"/>
      <c r="GS378" s="73"/>
      <c r="GT378" s="73"/>
      <c r="GU378" s="73"/>
      <c r="GV378" s="73"/>
      <c r="GW378" s="73"/>
      <c r="GX378" s="73"/>
      <c r="GY378" s="73"/>
      <c r="GZ378" s="73"/>
      <c r="HA378" s="73"/>
      <c r="HB378" s="73"/>
      <c r="HC378" s="73"/>
      <c r="HD378" s="73"/>
      <c r="HE378" s="73"/>
      <c r="HF378" s="73"/>
      <c r="HG378" s="73"/>
      <c r="HH378" s="73"/>
      <c r="HI378" s="73"/>
      <c r="HJ378" s="73"/>
      <c r="HK378" s="73"/>
      <c r="HL378" s="73"/>
      <c r="HM378" s="73"/>
      <c r="HN378" s="73"/>
      <c r="HO378" s="73"/>
      <c r="HP378" s="73"/>
      <c r="HQ378" s="73"/>
      <c r="HR378" s="73"/>
      <c r="HS378" s="73"/>
      <c r="HT378" s="73"/>
      <c r="HU378" s="73"/>
      <c r="HV378" s="73"/>
      <c r="HW378" s="73"/>
      <c r="HX378" s="73"/>
      <c r="HY378" s="73"/>
      <c r="HZ378" s="73"/>
      <c r="IA378" s="73"/>
      <c r="IB378" s="73"/>
      <c r="IC378" s="73"/>
      <c r="ID378" s="73"/>
      <c r="IE378" s="73"/>
      <c r="IF378" s="73"/>
      <c r="IG378" s="73"/>
      <c r="IH378" s="73"/>
      <c r="II378" s="73"/>
      <c r="IJ378" s="73"/>
      <c r="IK378" s="73"/>
      <c r="IL378" s="73"/>
      <c r="IM378" s="73"/>
      <c r="IN378" s="73"/>
      <c r="IO378" s="73"/>
      <c r="IP378" s="73"/>
      <c r="IQ378" s="73"/>
      <c r="IR378" s="73"/>
      <c r="IS378" s="73"/>
      <c r="IT378" s="73"/>
      <c r="IU378" s="73"/>
      <c r="IV378" s="73"/>
      <c r="IW378" s="73"/>
      <c r="IX378" s="73"/>
      <c r="IY378" s="73"/>
      <c r="IZ378" s="73"/>
      <c r="JA378" s="73"/>
      <c r="JB378" s="73"/>
      <c r="JC378" s="73"/>
    </row>
    <row r="379" spans="2:263" s="72" customFormat="1">
      <c r="B379" s="73"/>
      <c r="C379" s="73"/>
      <c r="D379" s="73"/>
      <c r="E379" s="73"/>
      <c r="F379" s="73"/>
      <c r="G379" s="73"/>
      <c r="H379" s="73"/>
      <c r="I379" s="73"/>
      <c r="J379" s="73"/>
      <c r="K379" s="73"/>
      <c r="L379" s="73"/>
      <c r="M379" s="73"/>
      <c r="N379" s="73"/>
      <c r="O379" s="73"/>
      <c r="P379" s="73"/>
      <c r="Q379" s="73"/>
      <c r="R379" s="73"/>
      <c r="S379" s="73"/>
      <c r="T379" s="73"/>
      <c r="U379" s="73"/>
      <c r="V379" s="73"/>
      <c r="W379" s="73"/>
      <c r="GL379" s="73"/>
      <c r="GM379" s="73"/>
      <c r="GN379" s="73"/>
      <c r="GO379" s="73"/>
      <c r="GP379" s="73"/>
      <c r="GQ379" s="73"/>
      <c r="GR379" s="73"/>
      <c r="GS379" s="73"/>
      <c r="GT379" s="73"/>
      <c r="GU379" s="73"/>
      <c r="GV379" s="73"/>
      <c r="GW379" s="73"/>
      <c r="GX379" s="73"/>
      <c r="GY379" s="73"/>
      <c r="GZ379" s="73"/>
      <c r="HA379" s="73"/>
      <c r="HB379" s="73"/>
      <c r="HC379" s="73"/>
      <c r="HD379" s="73"/>
      <c r="HE379" s="73"/>
      <c r="HF379" s="73"/>
      <c r="HG379" s="73"/>
      <c r="HH379" s="73"/>
      <c r="HI379" s="73"/>
      <c r="HJ379" s="73"/>
      <c r="HK379" s="73"/>
      <c r="HL379" s="73"/>
      <c r="HM379" s="73"/>
      <c r="HN379" s="73"/>
      <c r="HO379" s="73"/>
      <c r="HP379" s="73"/>
      <c r="HQ379" s="73"/>
      <c r="HR379" s="73"/>
      <c r="HS379" s="73"/>
      <c r="HT379" s="73"/>
      <c r="HU379" s="73"/>
      <c r="HV379" s="73"/>
      <c r="HW379" s="73"/>
      <c r="HX379" s="73"/>
      <c r="HY379" s="73"/>
      <c r="HZ379" s="73"/>
      <c r="IA379" s="73"/>
      <c r="IB379" s="73"/>
      <c r="IC379" s="73"/>
      <c r="ID379" s="73"/>
      <c r="IE379" s="73"/>
      <c r="IF379" s="73"/>
      <c r="IG379" s="73"/>
      <c r="IH379" s="73"/>
      <c r="II379" s="73"/>
      <c r="IJ379" s="73"/>
      <c r="IK379" s="73"/>
      <c r="IL379" s="73"/>
      <c r="IM379" s="73"/>
      <c r="IN379" s="73"/>
      <c r="IO379" s="73"/>
      <c r="IP379" s="73"/>
      <c r="IQ379" s="73"/>
      <c r="IR379" s="73"/>
      <c r="IS379" s="73"/>
      <c r="IT379" s="73"/>
      <c r="IU379" s="73"/>
      <c r="IV379" s="73"/>
      <c r="IW379" s="73"/>
      <c r="IX379" s="73"/>
      <c r="IY379" s="73"/>
      <c r="IZ379" s="73"/>
      <c r="JA379" s="73"/>
      <c r="JB379" s="73"/>
      <c r="JC379" s="73"/>
    </row>
    <row r="380" spans="2:263" s="72" customFormat="1">
      <c r="B380" s="73"/>
      <c r="C380" s="73"/>
      <c r="D380" s="73"/>
      <c r="E380" s="73"/>
      <c r="F380" s="73"/>
      <c r="G380" s="73"/>
      <c r="H380" s="73"/>
      <c r="I380" s="73"/>
      <c r="J380" s="73"/>
      <c r="K380" s="73"/>
      <c r="L380" s="73"/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GL380" s="73"/>
      <c r="GM380" s="73"/>
      <c r="GN380" s="73"/>
      <c r="GO380" s="73"/>
      <c r="GP380" s="73"/>
      <c r="GQ380" s="73"/>
      <c r="GR380" s="73"/>
      <c r="GS380" s="73"/>
      <c r="GT380" s="73"/>
      <c r="GU380" s="73"/>
      <c r="GV380" s="73"/>
      <c r="GW380" s="73"/>
      <c r="GX380" s="73"/>
      <c r="GY380" s="73"/>
      <c r="GZ380" s="73"/>
      <c r="HA380" s="73"/>
      <c r="HB380" s="73"/>
      <c r="HC380" s="73"/>
      <c r="HD380" s="73"/>
      <c r="HE380" s="73"/>
      <c r="HF380" s="73"/>
      <c r="HG380" s="73"/>
      <c r="HH380" s="73"/>
      <c r="HI380" s="73"/>
      <c r="HJ380" s="73"/>
      <c r="HK380" s="73"/>
      <c r="HL380" s="73"/>
      <c r="HM380" s="73"/>
      <c r="HN380" s="73"/>
      <c r="HO380" s="73"/>
      <c r="HP380" s="73"/>
      <c r="HQ380" s="73"/>
      <c r="HR380" s="73"/>
      <c r="HS380" s="73"/>
      <c r="HT380" s="73"/>
      <c r="HU380" s="73"/>
      <c r="HV380" s="73"/>
      <c r="HW380" s="73"/>
      <c r="HX380" s="73"/>
      <c r="HY380" s="73"/>
      <c r="HZ380" s="73"/>
      <c r="IA380" s="73"/>
      <c r="IB380" s="73"/>
      <c r="IC380" s="73"/>
      <c r="ID380" s="73"/>
      <c r="IE380" s="73"/>
      <c r="IF380" s="73"/>
      <c r="IG380" s="73"/>
      <c r="IH380" s="73"/>
      <c r="II380" s="73"/>
      <c r="IJ380" s="73"/>
      <c r="IK380" s="73"/>
      <c r="IL380" s="73"/>
      <c r="IM380" s="73"/>
      <c r="IN380" s="73"/>
      <c r="IO380" s="73"/>
      <c r="IP380" s="73"/>
      <c r="IQ380" s="73"/>
      <c r="IR380" s="73"/>
      <c r="IS380" s="73"/>
      <c r="IT380" s="73"/>
      <c r="IU380" s="73"/>
      <c r="IV380" s="73"/>
      <c r="IW380" s="73"/>
      <c r="IX380" s="73"/>
      <c r="IY380" s="73"/>
      <c r="IZ380" s="73"/>
      <c r="JA380" s="73"/>
      <c r="JB380" s="73"/>
      <c r="JC380" s="73"/>
    </row>
    <row r="381" spans="2:263" s="72" customFormat="1">
      <c r="B381" s="73"/>
      <c r="C381" s="73"/>
      <c r="D381" s="73"/>
      <c r="E381" s="73"/>
      <c r="F381" s="73"/>
      <c r="G381" s="73"/>
      <c r="H381" s="73"/>
      <c r="I381" s="73"/>
      <c r="J381" s="73"/>
      <c r="K381" s="73"/>
      <c r="L381" s="73"/>
      <c r="M381" s="73"/>
      <c r="N381" s="73"/>
      <c r="O381" s="73"/>
      <c r="P381" s="73"/>
      <c r="Q381" s="73"/>
      <c r="R381" s="73"/>
      <c r="S381" s="73"/>
      <c r="T381" s="73"/>
      <c r="U381" s="73"/>
      <c r="V381" s="73"/>
      <c r="W381" s="73"/>
      <c r="GL381" s="73"/>
      <c r="GM381" s="73"/>
      <c r="GN381" s="73"/>
      <c r="GO381" s="73"/>
      <c r="GP381" s="73"/>
      <c r="GQ381" s="73"/>
      <c r="GR381" s="73"/>
      <c r="GS381" s="73"/>
      <c r="GT381" s="73"/>
      <c r="GU381" s="73"/>
      <c r="GV381" s="73"/>
      <c r="GW381" s="73"/>
      <c r="GX381" s="73"/>
      <c r="GY381" s="73"/>
      <c r="GZ381" s="73"/>
      <c r="HA381" s="73"/>
      <c r="HB381" s="73"/>
      <c r="HC381" s="73"/>
      <c r="HD381" s="73"/>
      <c r="HE381" s="73"/>
      <c r="HF381" s="73"/>
      <c r="HG381" s="73"/>
      <c r="HH381" s="73"/>
      <c r="HI381" s="73"/>
      <c r="HJ381" s="73"/>
      <c r="HK381" s="73"/>
      <c r="HL381" s="73"/>
      <c r="HM381" s="73"/>
      <c r="HN381" s="73"/>
      <c r="HO381" s="73"/>
      <c r="HP381" s="73"/>
      <c r="HQ381" s="73"/>
      <c r="HR381" s="73"/>
      <c r="HS381" s="73"/>
      <c r="HT381" s="73"/>
      <c r="HU381" s="73"/>
      <c r="HV381" s="73"/>
      <c r="HW381" s="73"/>
      <c r="HX381" s="73"/>
      <c r="HY381" s="73"/>
      <c r="HZ381" s="73"/>
      <c r="IA381" s="73"/>
      <c r="IB381" s="73"/>
      <c r="IC381" s="73"/>
      <c r="ID381" s="73"/>
      <c r="IE381" s="73"/>
      <c r="IF381" s="73"/>
      <c r="IG381" s="73"/>
      <c r="IH381" s="73"/>
      <c r="II381" s="73"/>
      <c r="IJ381" s="73"/>
      <c r="IK381" s="73"/>
      <c r="IL381" s="73"/>
      <c r="IM381" s="73"/>
      <c r="IN381" s="73"/>
      <c r="IO381" s="73"/>
      <c r="IP381" s="73"/>
      <c r="IQ381" s="73"/>
      <c r="IR381" s="73"/>
      <c r="IS381" s="73"/>
      <c r="IT381" s="73"/>
      <c r="IU381" s="73"/>
      <c r="IV381" s="73"/>
      <c r="IW381" s="73"/>
      <c r="IX381" s="73"/>
      <c r="IY381" s="73"/>
      <c r="IZ381" s="73"/>
      <c r="JA381" s="73"/>
      <c r="JB381" s="73"/>
      <c r="JC381" s="73"/>
    </row>
    <row r="382" spans="2:263" s="72" customFormat="1">
      <c r="B382" s="73"/>
      <c r="C382" s="73"/>
      <c r="D382" s="73"/>
      <c r="E382" s="73"/>
      <c r="F382" s="73"/>
      <c r="G382" s="73"/>
      <c r="H382" s="73"/>
      <c r="I382" s="73"/>
      <c r="J382" s="73"/>
      <c r="K382" s="73"/>
      <c r="L382" s="73"/>
      <c r="M382" s="73"/>
      <c r="N382" s="73"/>
      <c r="O382" s="73"/>
      <c r="P382" s="73"/>
      <c r="Q382" s="73"/>
      <c r="R382" s="73"/>
      <c r="S382" s="73"/>
      <c r="T382" s="73"/>
      <c r="U382" s="73"/>
      <c r="V382" s="73"/>
      <c r="W382" s="73"/>
      <c r="GL382" s="73"/>
      <c r="GM382" s="73"/>
      <c r="GN382" s="73"/>
      <c r="GO382" s="73"/>
      <c r="GP382" s="73"/>
      <c r="GQ382" s="73"/>
      <c r="GR382" s="73"/>
      <c r="GS382" s="73"/>
      <c r="GT382" s="73"/>
      <c r="GU382" s="73"/>
      <c r="GV382" s="73"/>
      <c r="GW382" s="73"/>
      <c r="GX382" s="73"/>
      <c r="GY382" s="73"/>
      <c r="GZ382" s="73"/>
      <c r="HA382" s="73"/>
      <c r="HB382" s="73"/>
      <c r="HC382" s="73"/>
      <c r="HD382" s="73"/>
      <c r="HE382" s="73"/>
      <c r="HF382" s="73"/>
      <c r="HG382" s="73"/>
      <c r="HH382" s="73"/>
      <c r="HI382" s="73"/>
      <c r="HJ382" s="73"/>
      <c r="HK382" s="73"/>
      <c r="HL382" s="73"/>
      <c r="HM382" s="73"/>
      <c r="HN382" s="73"/>
      <c r="HO382" s="73"/>
      <c r="HP382" s="73"/>
      <c r="HQ382" s="73"/>
      <c r="HR382" s="73"/>
      <c r="HS382" s="73"/>
      <c r="HT382" s="73"/>
      <c r="HU382" s="73"/>
      <c r="HV382" s="73"/>
      <c r="HW382" s="73"/>
      <c r="HX382" s="73"/>
      <c r="HY382" s="73"/>
      <c r="HZ382" s="73"/>
      <c r="IA382" s="73"/>
      <c r="IB382" s="73"/>
      <c r="IC382" s="73"/>
      <c r="ID382" s="73"/>
      <c r="IE382" s="73"/>
      <c r="IF382" s="73"/>
      <c r="IG382" s="73"/>
      <c r="IH382" s="73"/>
      <c r="II382" s="73"/>
      <c r="IJ382" s="73"/>
      <c r="IK382" s="73"/>
      <c r="IL382" s="73"/>
      <c r="IM382" s="73"/>
      <c r="IN382" s="73"/>
      <c r="IO382" s="73"/>
      <c r="IP382" s="73"/>
      <c r="IQ382" s="73"/>
      <c r="IR382" s="73"/>
      <c r="IS382" s="73"/>
      <c r="IT382" s="73"/>
      <c r="IU382" s="73"/>
      <c r="IV382" s="73"/>
      <c r="IW382" s="73"/>
      <c r="IX382" s="73"/>
      <c r="IY382" s="73"/>
      <c r="IZ382" s="73"/>
      <c r="JA382" s="73"/>
      <c r="JB382" s="73"/>
      <c r="JC382" s="73"/>
    </row>
    <row r="383" spans="2:263" s="72" customFormat="1">
      <c r="B383" s="73"/>
      <c r="C383" s="73"/>
      <c r="D383" s="73"/>
      <c r="E383" s="73"/>
      <c r="F383" s="73"/>
      <c r="G383" s="73"/>
      <c r="H383" s="73"/>
      <c r="I383" s="73"/>
      <c r="J383" s="73"/>
      <c r="K383" s="73"/>
      <c r="L383" s="73"/>
      <c r="M383" s="73"/>
      <c r="N383" s="73"/>
      <c r="O383" s="73"/>
      <c r="P383" s="73"/>
      <c r="Q383" s="73"/>
      <c r="R383" s="73"/>
      <c r="S383" s="73"/>
      <c r="T383" s="73"/>
      <c r="U383" s="73"/>
      <c r="V383" s="73"/>
      <c r="W383" s="73"/>
      <c r="GL383" s="73"/>
      <c r="GM383" s="73"/>
      <c r="GN383" s="73"/>
      <c r="GO383" s="73"/>
      <c r="GP383" s="73"/>
      <c r="GQ383" s="73"/>
      <c r="GR383" s="73"/>
      <c r="GS383" s="73"/>
      <c r="GT383" s="73"/>
      <c r="GU383" s="73"/>
      <c r="GV383" s="73"/>
      <c r="GW383" s="73"/>
      <c r="GX383" s="73"/>
      <c r="GY383" s="73"/>
      <c r="GZ383" s="73"/>
      <c r="HA383" s="73"/>
      <c r="HB383" s="73"/>
      <c r="HC383" s="73"/>
      <c r="HD383" s="73"/>
      <c r="HE383" s="73"/>
      <c r="HF383" s="73"/>
      <c r="HG383" s="73"/>
      <c r="HH383" s="73"/>
      <c r="HI383" s="73"/>
      <c r="HJ383" s="73"/>
      <c r="HK383" s="73"/>
      <c r="HL383" s="73"/>
      <c r="HM383" s="73"/>
      <c r="HN383" s="73"/>
      <c r="HO383" s="73"/>
      <c r="HP383" s="73"/>
      <c r="HQ383" s="73"/>
      <c r="HR383" s="73"/>
      <c r="HS383" s="73"/>
      <c r="HT383" s="73"/>
      <c r="HU383" s="73"/>
      <c r="HV383" s="73"/>
      <c r="HW383" s="73"/>
      <c r="HX383" s="73"/>
      <c r="HY383" s="73"/>
      <c r="HZ383" s="73"/>
      <c r="IA383" s="73"/>
      <c r="IB383" s="73"/>
      <c r="IC383" s="73"/>
      <c r="ID383" s="73"/>
      <c r="IE383" s="73"/>
      <c r="IF383" s="73"/>
      <c r="IG383" s="73"/>
      <c r="IH383" s="73"/>
      <c r="II383" s="73"/>
      <c r="IJ383" s="73"/>
      <c r="IK383" s="73"/>
      <c r="IL383" s="73"/>
      <c r="IM383" s="73"/>
      <c r="IN383" s="73"/>
      <c r="IO383" s="73"/>
      <c r="IP383" s="73"/>
      <c r="IQ383" s="73"/>
      <c r="IR383" s="73"/>
      <c r="IS383" s="73"/>
      <c r="IT383" s="73"/>
      <c r="IU383" s="73"/>
      <c r="IV383" s="73"/>
      <c r="IW383" s="73"/>
      <c r="IX383" s="73"/>
      <c r="IY383" s="73"/>
      <c r="IZ383" s="73"/>
      <c r="JA383" s="73"/>
      <c r="JB383" s="73"/>
      <c r="JC383" s="73"/>
    </row>
    <row r="384" spans="2:263" s="72" customFormat="1">
      <c r="B384" s="73"/>
      <c r="C384" s="73"/>
      <c r="D384" s="73"/>
      <c r="E384" s="73"/>
      <c r="F384" s="73"/>
      <c r="G384" s="73"/>
      <c r="H384" s="73"/>
      <c r="I384" s="73"/>
      <c r="J384" s="73"/>
      <c r="K384" s="73"/>
      <c r="L384" s="73"/>
      <c r="M384" s="73"/>
      <c r="N384" s="73"/>
      <c r="O384" s="73"/>
      <c r="P384" s="73"/>
      <c r="Q384" s="73"/>
      <c r="R384" s="73"/>
      <c r="S384" s="73"/>
      <c r="T384" s="73"/>
      <c r="U384" s="73"/>
      <c r="V384" s="73"/>
      <c r="W384" s="73"/>
      <c r="GL384" s="73"/>
      <c r="GM384" s="73"/>
      <c r="GN384" s="73"/>
      <c r="GO384" s="73"/>
      <c r="GP384" s="73"/>
      <c r="GQ384" s="73"/>
      <c r="GR384" s="73"/>
      <c r="GS384" s="73"/>
      <c r="GT384" s="73"/>
      <c r="GU384" s="73"/>
      <c r="GV384" s="73"/>
      <c r="GW384" s="73"/>
      <c r="GX384" s="73"/>
      <c r="GY384" s="73"/>
      <c r="GZ384" s="73"/>
      <c r="HA384" s="73"/>
      <c r="HB384" s="73"/>
      <c r="HC384" s="73"/>
      <c r="HD384" s="73"/>
      <c r="HE384" s="73"/>
      <c r="HF384" s="73"/>
      <c r="HG384" s="73"/>
      <c r="HH384" s="73"/>
      <c r="HI384" s="73"/>
      <c r="HJ384" s="73"/>
      <c r="HK384" s="73"/>
      <c r="HL384" s="73"/>
      <c r="HM384" s="73"/>
      <c r="HN384" s="73"/>
      <c r="HO384" s="73"/>
      <c r="HP384" s="73"/>
      <c r="HQ384" s="73"/>
      <c r="HR384" s="73"/>
      <c r="HS384" s="73"/>
      <c r="HT384" s="73"/>
      <c r="HU384" s="73"/>
      <c r="HV384" s="73"/>
      <c r="HW384" s="73"/>
      <c r="HX384" s="73"/>
      <c r="HY384" s="73"/>
      <c r="HZ384" s="73"/>
      <c r="IA384" s="73"/>
      <c r="IB384" s="73"/>
      <c r="IC384" s="73"/>
      <c r="ID384" s="73"/>
      <c r="IE384" s="73"/>
      <c r="IF384" s="73"/>
      <c r="IG384" s="73"/>
      <c r="IH384" s="73"/>
      <c r="II384" s="73"/>
      <c r="IJ384" s="73"/>
      <c r="IK384" s="73"/>
      <c r="IL384" s="73"/>
      <c r="IM384" s="73"/>
      <c r="IN384" s="73"/>
      <c r="IO384" s="73"/>
      <c r="IP384" s="73"/>
      <c r="IQ384" s="73"/>
      <c r="IR384" s="73"/>
      <c r="IS384" s="73"/>
      <c r="IT384" s="73"/>
      <c r="IU384" s="73"/>
      <c r="IV384" s="73"/>
      <c r="IW384" s="73"/>
      <c r="IX384" s="73"/>
      <c r="IY384" s="73"/>
      <c r="IZ384" s="73"/>
      <c r="JA384" s="73"/>
      <c r="JB384" s="73"/>
      <c r="JC384" s="73"/>
    </row>
    <row r="385" spans="2:263" s="72" customFormat="1">
      <c r="B385" s="73"/>
      <c r="C385" s="73"/>
      <c r="D385" s="73"/>
      <c r="E385" s="73"/>
      <c r="F385" s="73"/>
      <c r="G385" s="73"/>
      <c r="H385" s="73"/>
      <c r="I385" s="73"/>
      <c r="J385" s="73"/>
      <c r="K385" s="73"/>
      <c r="L385" s="73"/>
      <c r="M385" s="73"/>
      <c r="N385" s="73"/>
      <c r="O385" s="73"/>
      <c r="P385" s="73"/>
      <c r="Q385" s="73"/>
      <c r="R385" s="73"/>
      <c r="S385" s="73"/>
      <c r="T385" s="73"/>
      <c r="U385" s="73"/>
      <c r="V385" s="73"/>
      <c r="W385" s="73"/>
      <c r="GL385" s="73"/>
      <c r="GM385" s="73"/>
      <c r="GN385" s="73"/>
      <c r="GO385" s="73"/>
      <c r="GP385" s="73"/>
      <c r="GQ385" s="73"/>
      <c r="GR385" s="73"/>
      <c r="GS385" s="73"/>
      <c r="GT385" s="73"/>
      <c r="GU385" s="73"/>
      <c r="GV385" s="73"/>
      <c r="GW385" s="73"/>
      <c r="GX385" s="73"/>
      <c r="GY385" s="73"/>
      <c r="GZ385" s="73"/>
      <c r="HA385" s="73"/>
      <c r="HB385" s="73"/>
      <c r="HC385" s="73"/>
      <c r="HD385" s="73"/>
      <c r="HE385" s="73"/>
      <c r="HF385" s="73"/>
      <c r="HG385" s="73"/>
      <c r="HH385" s="73"/>
      <c r="HI385" s="73"/>
      <c r="HJ385" s="73"/>
      <c r="HK385" s="73"/>
      <c r="HL385" s="73"/>
      <c r="HM385" s="73"/>
      <c r="HN385" s="73"/>
      <c r="HO385" s="73"/>
      <c r="HP385" s="73"/>
      <c r="HQ385" s="73"/>
      <c r="HR385" s="73"/>
      <c r="HS385" s="73"/>
      <c r="HT385" s="73"/>
      <c r="HU385" s="73"/>
      <c r="HV385" s="73"/>
      <c r="HW385" s="73"/>
      <c r="HX385" s="73"/>
      <c r="HY385" s="73"/>
      <c r="HZ385" s="73"/>
      <c r="IA385" s="73"/>
      <c r="IB385" s="73"/>
      <c r="IC385" s="73"/>
      <c r="ID385" s="73"/>
      <c r="IE385" s="73"/>
      <c r="IF385" s="73"/>
      <c r="IG385" s="73"/>
      <c r="IH385" s="73"/>
      <c r="II385" s="73"/>
      <c r="IJ385" s="73"/>
      <c r="IK385" s="73"/>
      <c r="IL385" s="73"/>
      <c r="IM385" s="73"/>
      <c r="IN385" s="73"/>
      <c r="IO385" s="73"/>
      <c r="IP385" s="73"/>
      <c r="IQ385" s="73"/>
      <c r="IR385" s="73"/>
      <c r="IS385" s="73"/>
      <c r="IT385" s="73"/>
      <c r="IU385" s="73"/>
      <c r="IV385" s="73"/>
      <c r="IW385" s="73"/>
      <c r="IX385" s="73"/>
      <c r="IY385" s="73"/>
      <c r="IZ385" s="73"/>
      <c r="JA385" s="73"/>
      <c r="JB385" s="73"/>
      <c r="JC385" s="73"/>
    </row>
    <row r="386" spans="2:263" s="72" customFormat="1">
      <c r="B386" s="73"/>
      <c r="C386" s="73"/>
      <c r="D386" s="73"/>
      <c r="E386" s="73"/>
      <c r="F386" s="73"/>
      <c r="G386" s="73"/>
      <c r="H386" s="73"/>
      <c r="I386" s="73"/>
      <c r="J386" s="73"/>
      <c r="K386" s="73"/>
      <c r="L386" s="73"/>
      <c r="M386" s="73"/>
      <c r="N386" s="73"/>
      <c r="O386" s="73"/>
      <c r="P386" s="73"/>
      <c r="Q386" s="73"/>
      <c r="R386" s="73"/>
      <c r="S386" s="73"/>
      <c r="T386" s="73"/>
      <c r="U386" s="73"/>
      <c r="V386" s="73"/>
      <c r="W386" s="73"/>
      <c r="GL386" s="73"/>
      <c r="GM386" s="73"/>
      <c r="GN386" s="73"/>
      <c r="GO386" s="73"/>
      <c r="GP386" s="73"/>
      <c r="GQ386" s="73"/>
      <c r="GR386" s="73"/>
      <c r="GS386" s="73"/>
      <c r="GT386" s="73"/>
      <c r="GU386" s="73"/>
      <c r="GV386" s="73"/>
      <c r="GW386" s="73"/>
      <c r="GX386" s="73"/>
      <c r="GY386" s="73"/>
      <c r="GZ386" s="73"/>
      <c r="HA386" s="73"/>
      <c r="HB386" s="73"/>
      <c r="HC386" s="73"/>
      <c r="HD386" s="73"/>
      <c r="HE386" s="73"/>
      <c r="HF386" s="73"/>
      <c r="HG386" s="73"/>
      <c r="HH386" s="73"/>
      <c r="HI386" s="73"/>
      <c r="HJ386" s="73"/>
      <c r="HK386" s="73"/>
      <c r="HL386" s="73"/>
      <c r="HM386" s="73"/>
      <c r="HN386" s="73"/>
      <c r="HO386" s="73"/>
      <c r="HP386" s="73"/>
      <c r="HQ386" s="73"/>
      <c r="HR386" s="73"/>
      <c r="HS386" s="73"/>
      <c r="HT386" s="73"/>
      <c r="HU386" s="73"/>
      <c r="HV386" s="73"/>
      <c r="HW386" s="73"/>
      <c r="HX386" s="73"/>
      <c r="HY386" s="73"/>
      <c r="HZ386" s="73"/>
      <c r="IA386" s="73"/>
      <c r="IB386" s="73"/>
      <c r="IC386" s="73"/>
      <c r="ID386" s="73"/>
      <c r="IE386" s="73"/>
      <c r="IF386" s="73"/>
      <c r="IG386" s="73"/>
      <c r="IH386" s="73"/>
      <c r="II386" s="73"/>
      <c r="IJ386" s="73"/>
      <c r="IK386" s="73"/>
      <c r="IL386" s="73"/>
      <c r="IM386" s="73"/>
      <c r="IN386" s="73"/>
      <c r="IO386" s="73"/>
      <c r="IP386" s="73"/>
      <c r="IQ386" s="73"/>
      <c r="IR386" s="73"/>
      <c r="IS386" s="73"/>
      <c r="IT386" s="73"/>
      <c r="IU386" s="73"/>
      <c r="IV386" s="73"/>
      <c r="IW386" s="73"/>
      <c r="IX386" s="73"/>
      <c r="IY386" s="73"/>
      <c r="IZ386" s="73"/>
      <c r="JA386" s="73"/>
      <c r="JB386" s="73"/>
      <c r="JC386" s="73"/>
    </row>
    <row r="387" spans="2:263" s="72" customFormat="1">
      <c r="B387" s="73"/>
      <c r="C387" s="73"/>
      <c r="D387" s="73"/>
      <c r="E387" s="73"/>
      <c r="F387" s="73"/>
      <c r="G387" s="73"/>
      <c r="H387" s="73"/>
      <c r="I387" s="73"/>
      <c r="J387" s="73"/>
      <c r="K387" s="73"/>
      <c r="L387" s="73"/>
      <c r="M387" s="73"/>
      <c r="N387" s="73"/>
      <c r="O387" s="73"/>
      <c r="P387" s="73"/>
      <c r="Q387" s="73"/>
      <c r="R387" s="73"/>
      <c r="S387" s="73"/>
      <c r="T387" s="73"/>
      <c r="U387" s="73"/>
      <c r="V387" s="73"/>
      <c r="W387" s="73"/>
      <c r="GL387" s="73"/>
      <c r="GM387" s="73"/>
      <c r="GN387" s="73"/>
      <c r="GO387" s="73"/>
      <c r="GP387" s="73"/>
      <c r="GQ387" s="73"/>
      <c r="GR387" s="73"/>
      <c r="GS387" s="73"/>
      <c r="GT387" s="73"/>
      <c r="GU387" s="73"/>
      <c r="GV387" s="73"/>
      <c r="GW387" s="73"/>
      <c r="GX387" s="73"/>
      <c r="GY387" s="73"/>
      <c r="GZ387" s="73"/>
      <c r="HA387" s="73"/>
      <c r="HB387" s="73"/>
      <c r="HC387" s="73"/>
      <c r="HD387" s="73"/>
      <c r="HE387" s="73"/>
      <c r="HF387" s="73"/>
      <c r="HG387" s="73"/>
      <c r="HH387" s="73"/>
      <c r="HI387" s="73"/>
      <c r="HJ387" s="73"/>
      <c r="HK387" s="73"/>
      <c r="HL387" s="73"/>
      <c r="HM387" s="73"/>
      <c r="HN387" s="73"/>
      <c r="HO387" s="73"/>
      <c r="HP387" s="73"/>
      <c r="HQ387" s="73"/>
      <c r="HR387" s="73"/>
      <c r="HS387" s="73"/>
      <c r="HT387" s="73"/>
      <c r="HU387" s="73"/>
      <c r="HV387" s="73"/>
      <c r="HW387" s="73"/>
      <c r="HX387" s="73"/>
      <c r="HY387" s="73"/>
      <c r="HZ387" s="73"/>
      <c r="IA387" s="73"/>
      <c r="IB387" s="73"/>
      <c r="IC387" s="73"/>
      <c r="ID387" s="73"/>
      <c r="IE387" s="73"/>
      <c r="IF387" s="73"/>
      <c r="IG387" s="73"/>
      <c r="IH387" s="73"/>
      <c r="II387" s="73"/>
      <c r="IJ387" s="73"/>
      <c r="IK387" s="73"/>
      <c r="IL387" s="73"/>
      <c r="IM387" s="73"/>
      <c r="IN387" s="73"/>
      <c r="IO387" s="73"/>
      <c r="IP387" s="73"/>
      <c r="IQ387" s="73"/>
      <c r="IR387" s="73"/>
      <c r="IS387" s="73"/>
      <c r="IT387" s="73"/>
      <c r="IU387" s="73"/>
      <c r="IV387" s="73"/>
      <c r="IW387" s="73"/>
      <c r="IX387" s="73"/>
      <c r="IY387" s="73"/>
      <c r="IZ387" s="73"/>
      <c r="JA387" s="73"/>
      <c r="JB387" s="73"/>
      <c r="JC387" s="73"/>
    </row>
    <row r="388" spans="2:263" s="72" customFormat="1">
      <c r="B388" s="73"/>
      <c r="C388" s="73"/>
      <c r="D388" s="73"/>
      <c r="E388" s="73"/>
      <c r="F388" s="73"/>
      <c r="G388" s="73"/>
      <c r="H388" s="73"/>
      <c r="I388" s="73"/>
      <c r="J388" s="73"/>
      <c r="K388" s="73"/>
      <c r="L388" s="73"/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GL388" s="73"/>
      <c r="GM388" s="73"/>
      <c r="GN388" s="73"/>
      <c r="GO388" s="73"/>
      <c r="GP388" s="73"/>
      <c r="GQ388" s="73"/>
      <c r="GR388" s="73"/>
      <c r="GS388" s="73"/>
      <c r="GT388" s="73"/>
      <c r="GU388" s="73"/>
      <c r="GV388" s="73"/>
      <c r="GW388" s="73"/>
      <c r="GX388" s="73"/>
      <c r="GY388" s="73"/>
      <c r="GZ388" s="73"/>
      <c r="HA388" s="73"/>
      <c r="HB388" s="73"/>
      <c r="HC388" s="73"/>
      <c r="HD388" s="73"/>
      <c r="HE388" s="73"/>
      <c r="HF388" s="73"/>
      <c r="HG388" s="73"/>
      <c r="HH388" s="73"/>
      <c r="HI388" s="73"/>
      <c r="HJ388" s="73"/>
      <c r="HK388" s="73"/>
      <c r="HL388" s="73"/>
      <c r="HM388" s="73"/>
      <c r="HN388" s="73"/>
      <c r="HO388" s="73"/>
      <c r="HP388" s="73"/>
      <c r="HQ388" s="73"/>
      <c r="HR388" s="73"/>
      <c r="HS388" s="73"/>
      <c r="HT388" s="73"/>
      <c r="HU388" s="73"/>
      <c r="HV388" s="73"/>
      <c r="HW388" s="73"/>
      <c r="HX388" s="73"/>
      <c r="HY388" s="73"/>
      <c r="HZ388" s="73"/>
      <c r="IA388" s="73"/>
      <c r="IB388" s="73"/>
      <c r="IC388" s="73"/>
      <c r="ID388" s="73"/>
      <c r="IE388" s="73"/>
      <c r="IF388" s="73"/>
      <c r="IG388" s="73"/>
      <c r="IH388" s="73"/>
      <c r="II388" s="73"/>
      <c r="IJ388" s="73"/>
      <c r="IK388" s="73"/>
      <c r="IL388" s="73"/>
      <c r="IM388" s="73"/>
      <c r="IN388" s="73"/>
      <c r="IO388" s="73"/>
      <c r="IP388" s="73"/>
      <c r="IQ388" s="73"/>
      <c r="IR388" s="73"/>
      <c r="IS388" s="73"/>
      <c r="IT388" s="73"/>
      <c r="IU388" s="73"/>
      <c r="IV388" s="73"/>
      <c r="IW388" s="73"/>
      <c r="IX388" s="73"/>
      <c r="IY388" s="73"/>
      <c r="IZ388" s="73"/>
      <c r="JA388" s="73"/>
      <c r="JB388" s="73"/>
      <c r="JC388" s="73"/>
    </row>
    <row r="389" spans="2:263" s="72" customFormat="1">
      <c r="B389" s="73"/>
      <c r="C389" s="73"/>
      <c r="D389" s="73"/>
      <c r="E389" s="73"/>
      <c r="F389" s="73"/>
      <c r="G389" s="73"/>
      <c r="H389" s="73"/>
      <c r="I389" s="73"/>
      <c r="J389" s="73"/>
      <c r="K389" s="73"/>
      <c r="L389" s="73"/>
      <c r="M389" s="73"/>
      <c r="N389" s="73"/>
      <c r="O389" s="73"/>
      <c r="P389" s="73"/>
      <c r="Q389" s="73"/>
      <c r="R389" s="73"/>
      <c r="S389" s="73"/>
      <c r="T389" s="73"/>
      <c r="U389" s="73"/>
      <c r="V389" s="73"/>
      <c r="W389" s="73"/>
      <c r="GL389" s="73"/>
      <c r="GM389" s="73"/>
      <c r="GN389" s="73"/>
      <c r="GO389" s="73"/>
      <c r="GP389" s="73"/>
      <c r="GQ389" s="73"/>
      <c r="GR389" s="73"/>
      <c r="GS389" s="73"/>
      <c r="GT389" s="73"/>
      <c r="GU389" s="73"/>
      <c r="GV389" s="73"/>
      <c r="GW389" s="73"/>
      <c r="GX389" s="73"/>
      <c r="GY389" s="73"/>
      <c r="GZ389" s="73"/>
      <c r="HA389" s="73"/>
      <c r="HB389" s="73"/>
      <c r="HC389" s="73"/>
      <c r="HD389" s="73"/>
      <c r="HE389" s="73"/>
      <c r="HF389" s="73"/>
      <c r="HG389" s="73"/>
      <c r="HH389" s="73"/>
      <c r="HI389" s="73"/>
      <c r="HJ389" s="73"/>
      <c r="HK389" s="73"/>
      <c r="HL389" s="73"/>
      <c r="HM389" s="73"/>
      <c r="HN389" s="73"/>
      <c r="HO389" s="73"/>
      <c r="HP389" s="73"/>
      <c r="HQ389" s="73"/>
      <c r="HR389" s="73"/>
      <c r="HS389" s="73"/>
      <c r="HT389" s="73"/>
      <c r="HU389" s="73"/>
      <c r="HV389" s="73"/>
      <c r="HW389" s="73"/>
      <c r="HX389" s="73"/>
      <c r="HY389" s="73"/>
      <c r="HZ389" s="73"/>
      <c r="IA389" s="73"/>
      <c r="IB389" s="73"/>
      <c r="IC389" s="73"/>
      <c r="ID389" s="73"/>
      <c r="IE389" s="73"/>
      <c r="IF389" s="73"/>
      <c r="IG389" s="73"/>
      <c r="IH389" s="73"/>
      <c r="II389" s="73"/>
      <c r="IJ389" s="73"/>
      <c r="IK389" s="73"/>
      <c r="IL389" s="73"/>
      <c r="IM389" s="73"/>
      <c r="IN389" s="73"/>
      <c r="IO389" s="73"/>
      <c r="IP389" s="73"/>
      <c r="IQ389" s="73"/>
      <c r="IR389" s="73"/>
      <c r="IS389" s="73"/>
      <c r="IT389" s="73"/>
      <c r="IU389" s="73"/>
      <c r="IV389" s="73"/>
      <c r="IW389" s="73"/>
      <c r="IX389" s="73"/>
      <c r="IY389" s="73"/>
      <c r="IZ389" s="73"/>
      <c r="JA389" s="73"/>
      <c r="JB389" s="73"/>
      <c r="JC389" s="73"/>
    </row>
    <row r="390" spans="2:263" s="72" customFormat="1">
      <c r="B390" s="73"/>
      <c r="C390" s="73"/>
      <c r="D390" s="73"/>
      <c r="E390" s="73"/>
      <c r="F390" s="73"/>
      <c r="G390" s="73"/>
      <c r="H390" s="73"/>
      <c r="I390" s="73"/>
      <c r="J390" s="73"/>
      <c r="K390" s="73"/>
      <c r="L390" s="73"/>
      <c r="M390" s="73"/>
      <c r="N390" s="73"/>
      <c r="O390" s="73"/>
      <c r="P390" s="73"/>
      <c r="Q390" s="73"/>
      <c r="R390" s="73"/>
      <c r="S390" s="73"/>
      <c r="T390" s="73"/>
      <c r="U390" s="73"/>
      <c r="V390" s="73"/>
      <c r="W390" s="73"/>
      <c r="GL390" s="73"/>
      <c r="GM390" s="73"/>
      <c r="GN390" s="73"/>
      <c r="GO390" s="73"/>
      <c r="GP390" s="73"/>
      <c r="GQ390" s="73"/>
      <c r="GR390" s="73"/>
      <c r="GS390" s="73"/>
      <c r="GT390" s="73"/>
      <c r="GU390" s="73"/>
      <c r="GV390" s="73"/>
      <c r="GW390" s="73"/>
      <c r="GX390" s="73"/>
      <c r="GY390" s="73"/>
      <c r="GZ390" s="73"/>
      <c r="HA390" s="73"/>
      <c r="HB390" s="73"/>
      <c r="HC390" s="73"/>
      <c r="HD390" s="73"/>
      <c r="HE390" s="73"/>
      <c r="HF390" s="73"/>
      <c r="HG390" s="73"/>
      <c r="HH390" s="73"/>
      <c r="HI390" s="73"/>
      <c r="HJ390" s="73"/>
      <c r="HK390" s="73"/>
      <c r="HL390" s="73"/>
      <c r="HM390" s="73"/>
      <c r="HN390" s="73"/>
      <c r="HO390" s="73"/>
      <c r="HP390" s="73"/>
      <c r="HQ390" s="73"/>
      <c r="HR390" s="73"/>
      <c r="HS390" s="73"/>
      <c r="HT390" s="73"/>
      <c r="HU390" s="73"/>
      <c r="HV390" s="73"/>
      <c r="HW390" s="73"/>
      <c r="HX390" s="73"/>
      <c r="HY390" s="73"/>
      <c r="HZ390" s="73"/>
      <c r="IA390" s="73"/>
      <c r="IB390" s="73"/>
      <c r="IC390" s="73"/>
      <c r="ID390" s="73"/>
      <c r="IE390" s="73"/>
      <c r="IF390" s="73"/>
      <c r="IG390" s="73"/>
      <c r="IH390" s="73"/>
      <c r="II390" s="73"/>
      <c r="IJ390" s="73"/>
      <c r="IK390" s="73"/>
      <c r="IL390" s="73"/>
      <c r="IM390" s="73"/>
      <c r="IN390" s="73"/>
      <c r="IO390" s="73"/>
      <c r="IP390" s="73"/>
      <c r="IQ390" s="73"/>
      <c r="IR390" s="73"/>
      <c r="IS390" s="73"/>
      <c r="IT390" s="73"/>
      <c r="IU390" s="73"/>
      <c r="IV390" s="73"/>
      <c r="IW390" s="73"/>
      <c r="IX390" s="73"/>
      <c r="IY390" s="73"/>
      <c r="IZ390" s="73"/>
      <c r="JA390" s="73"/>
      <c r="JB390" s="73"/>
      <c r="JC390" s="73"/>
    </row>
    <row r="391" spans="2:263" s="72" customFormat="1">
      <c r="B391" s="73"/>
      <c r="C391" s="73"/>
      <c r="D391" s="73"/>
      <c r="E391" s="73"/>
      <c r="F391" s="73"/>
      <c r="G391" s="73"/>
      <c r="H391" s="73"/>
      <c r="I391" s="73"/>
      <c r="J391" s="73"/>
      <c r="K391" s="73"/>
      <c r="L391" s="73"/>
      <c r="M391" s="73"/>
      <c r="N391" s="73"/>
      <c r="O391" s="73"/>
      <c r="P391" s="73"/>
      <c r="Q391" s="73"/>
      <c r="R391" s="73"/>
      <c r="S391" s="73"/>
      <c r="T391" s="73"/>
      <c r="U391" s="73"/>
      <c r="V391" s="73"/>
      <c r="W391" s="73"/>
      <c r="GL391" s="73"/>
      <c r="GM391" s="73"/>
      <c r="GN391" s="73"/>
      <c r="GO391" s="73"/>
      <c r="GP391" s="73"/>
      <c r="GQ391" s="73"/>
      <c r="GR391" s="73"/>
      <c r="GS391" s="73"/>
      <c r="GT391" s="73"/>
      <c r="GU391" s="73"/>
      <c r="GV391" s="73"/>
      <c r="GW391" s="73"/>
      <c r="GX391" s="73"/>
      <c r="GY391" s="73"/>
      <c r="GZ391" s="73"/>
      <c r="HA391" s="73"/>
      <c r="HB391" s="73"/>
      <c r="HC391" s="73"/>
      <c r="HD391" s="73"/>
      <c r="HE391" s="73"/>
      <c r="HF391" s="73"/>
      <c r="HG391" s="73"/>
      <c r="HH391" s="73"/>
      <c r="HI391" s="73"/>
      <c r="HJ391" s="73"/>
      <c r="HK391" s="73"/>
      <c r="HL391" s="73"/>
      <c r="HM391" s="73"/>
      <c r="HN391" s="73"/>
      <c r="HO391" s="73"/>
      <c r="HP391" s="73"/>
      <c r="HQ391" s="73"/>
      <c r="HR391" s="73"/>
      <c r="HS391" s="73"/>
      <c r="HT391" s="73"/>
      <c r="HU391" s="73"/>
      <c r="HV391" s="73"/>
      <c r="HW391" s="73"/>
      <c r="HX391" s="73"/>
      <c r="HY391" s="73"/>
      <c r="HZ391" s="73"/>
      <c r="IA391" s="73"/>
      <c r="IB391" s="73"/>
      <c r="IC391" s="73"/>
      <c r="ID391" s="73"/>
      <c r="IE391" s="73"/>
      <c r="IF391" s="73"/>
      <c r="IG391" s="73"/>
      <c r="IH391" s="73"/>
      <c r="II391" s="73"/>
      <c r="IJ391" s="73"/>
      <c r="IK391" s="73"/>
      <c r="IL391" s="73"/>
      <c r="IM391" s="73"/>
      <c r="IN391" s="73"/>
      <c r="IO391" s="73"/>
      <c r="IP391" s="73"/>
      <c r="IQ391" s="73"/>
      <c r="IR391" s="73"/>
      <c r="IS391" s="73"/>
      <c r="IT391" s="73"/>
      <c r="IU391" s="73"/>
      <c r="IV391" s="73"/>
      <c r="IW391" s="73"/>
      <c r="IX391" s="73"/>
      <c r="IY391" s="73"/>
      <c r="IZ391" s="73"/>
      <c r="JA391" s="73"/>
      <c r="JB391" s="73"/>
      <c r="JC391" s="73"/>
    </row>
    <row r="392" spans="2:263" s="72" customFormat="1">
      <c r="B392" s="73"/>
      <c r="C392" s="73"/>
      <c r="D392" s="73"/>
      <c r="E392" s="73"/>
      <c r="F392" s="73"/>
      <c r="G392" s="73"/>
      <c r="H392" s="73"/>
      <c r="I392" s="73"/>
      <c r="J392" s="73"/>
      <c r="K392" s="73"/>
      <c r="L392" s="73"/>
      <c r="M392" s="73"/>
      <c r="N392" s="73"/>
      <c r="O392" s="73"/>
      <c r="P392" s="73"/>
      <c r="Q392" s="73"/>
      <c r="R392" s="73"/>
      <c r="S392" s="73"/>
      <c r="T392" s="73"/>
      <c r="U392" s="73"/>
      <c r="V392" s="73"/>
      <c r="W392" s="73"/>
      <c r="GL392" s="73"/>
      <c r="GM392" s="73"/>
      <c r="GN392" s="73"/>
      <c r="GO392" s="73"/>
      <c r="GP392" s="73"/>
      <c r="GQ392" s="73"/>
      <c r="GR392" s="73"/>
      <c r="GS392" s="73"/>
      <c r="GT392" s="73"/>
      <c r="GU392" s="73"/>
      <c r="GV392" s="73"/>
      <c r="GW392" s="73"/>
      <c r="GX392" s="73"/>
      <c r="GY392" s="73"/>
      <c r="GZ392" s="73"/>
      <c r="HA392" s="73"/>
      <c r="HB392" s="73"/>
      <c r="HC392" s="73"/>
      <c r="HD392" s="73"/>
      <c r="HE392" s="73"/>
      <c r="HF392" s="73"/>
      <c r="HG392" s="73"/>
      <c r="HH392" s="73"/>
      <c r="HI392" s="73"/>
      <c r="HJ392" s="73"/>
      <c r="HK392" s="73"/>
      <c r="HL392" s="73"/>
      <c r="HM392" s="73"/>
      <c r="HN392" s="73"/>
      <c r="HO392" s="73"/>
      <c r="HP392" s="73"/>
      <c r="HQ392" s="73"/>
      <c r="HR392" s="73"/>
      <c r="HS392" s="73"/>
      <c r="HT392" s="73"/>
      <c r="HU392" s="73"/>
      <c r="HV392" s="73"/>
      <c r="HW392" s="73"/>
      <c r="HX392" s="73"/>
      <c r="HY392" s="73"/>
      <c r="HZ392" s="73"/>
      <c r="IA392" s="73"/>
      <c r="IB392" s="73"/>
      <c r="IC392" s="73"/>
      <c r="ID392" s="73"/>
      <c r="IE392" s="73"/>
      <c r="IF392" s="73"/>
      <c r="IG392" s="73"/>
      <c r="IH392" s="73"/>
      <c r="II392" s="73"/>
      <c r="IJ392" s="73"/>
      <c r="IK392" s="73"/>
      <c r="IL392" s="73"/>
      <c r="IM392" s="73"/>
      <c r="IN392" s="73"/>
      <c r="IO392" s="73"/>
      <c r="IP392" s="73"/>
      <c r="IQ392" s="73"/>
      <c r="IR392" s="73"/>
      <c r="IS392" s="73"/>
      <c r="IT392" s="73"/>
      <c r="IU392" s="73"/>
      <c r="IV392" s="73"/>
      <c r="IW392" s="73"/>
      <c r="IX392" s="73"/>
      <c r="IY392" s="73"/>
      <c r="IZ392" s="73"/>
      <c r="JA392" s="73"/>
      <c r="JB392" s="73"/>
      <c r="JC392" s="73"/>
    </row>
    <row r="393" spans="2:263" s="72" customFormat="1">
      <c r="B393" s="73"/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  <c r="P393" s="73"/>
      <c r="Q393" s="73"/>
      <c r="R393" s="73"/>
      <c r="S393" s="73"/>
      <c r="T393" s="73"/>
      <c r="U393" s="73"/>
      <c r="V393" s="73"/>
      <c r="W393" s="73"/>
      <c r="GL393" s="73"/>
      <c r="GM393" s="73"/>
      <c r="GN393" s="73"/>
      <c r="GO393" s="73"/>
      <c r="GP393" s="73"/>
      <c r="GQ393" s="73"/>
      <c r="GR393" s="73"/>
      <c r="GS393" s="73"/>
      <c r="GT393" s="73"/>
      <c r="GU393" s="73"/>
      <c r="GV393" s="73"/>
      <c r="GW393" s="73"/>
      <c r="GX393" s="73"/>
      <c r="GY393" s="73"/>
      <c r="GZ393" s="73"/>
      <c r="HA393" s="73"/>
      <c r="HB393" s="73"/>
      <c r="HC393" s="73"/>
      <c r="HD393" s="73"/>
      <c r="HE393" s="73"/>
      <c r="HF393" s="73"/>
      <c r="HG393" s="73"/>
      <c r="HH393" s="73"/>
      <c r="HI393" s="73"/>
      <c r="HJ393" s="73"/>
      <c r="HK393" s="73"/>
      <c r="HL393" s="73"/>
      <c r="HM393" s="73"/>
      <c r="HN393" s="73"/>
      <c r="HO393" s="73"/>
      <c r="HP393" s="73"/>
      <c r="HQ393" s="73"/>
      <c r="HR393" s="73"/>
      <c r="HS393" s="73"/>
      <c r="HT393" s="73"/>
      <c r="HU393" s="73"/>
      <c r="HV393" s="73"/>
      <c r="HW393" s="73"/>
      <c r="HX393" s="73"/>
      <c r="HY393" s="73"/>
      <c r="HZ393" s="73"/>
      <c r="IA393" s="73"/>
      <c r="IB393" s="73"/>
      <c r="IC393" s="73"/>
      <c r="ID393" s="73"/>
      <c r="IE393" s="73"/>
      <c r="IF393" s="73"/>
      <c r="IG393" s="73"/>
      <c r="IH393" s="73"/>
      <c r="II393" s="73"/>
      <c r="IJ393" s="73"/>
      <c r="IK393" s="73"/>
      <c r="IL393" s="73"/>
      <c r="IM393" s="73"/>
      <c r="IN393" s="73"/>
      <c r="IO393" s="73"/>
      <c r="IP393" s="73"/>
      <c r="IQ393" s="73"/>
      <c r="IR393" s="73"/>
      <c r="IS393" s="73"/>
      <c r="IT393" s="73"/>
      <c r="IU393" s="73"/>
      <c r="IV393" s="73"/>
      <c r="IW393" s="73"/>
      <c r="IX393" s="73"/>
      <c r="IY393" s="73"/>
      <c r="IZ393" s="73"/>
      <c r="JA393" s="73"/>
      <c r="JB393" s="73"/>
      <c r="JC393" s="73"/>
    </row>
    <row r="394" spans="2:263" s="72" customFormat="1">
      <c r="B394" s="73"/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  <c r="P394" s="73"/>
      <c r="Q394" s="73"/>
      <c r="R394" s="73"/>
      <c r="S394" s="73"/>
      <c r="T394" s="73"/>
      <c r="U394" s="73"/>
      <c r="V394" s="73"/>
      <c r="W394" s="73"/>
      <c r="GL394" s="73"/>
      <c r="GM394" s="73"/>
      <c r="GN394" s="73"/>
      <c r="GO394" s="73"/>
      <c r="GP394" s="73"/>
      <c r="GQ394" s="73"/>
      <c r="GR394" s="73"/>
      <c r="GS394" s="73"/>
      <c r="GT394" s="73"/>
      <c r="GU394" s="73"/>
      <c r="GV394" s="73"/>
      <c r="GW394" s="73"/>
      <c r="GX394" s="73"/>
      <c r="GY394" s="73"/>
      <c r="GZ394" s="73"/>
      <c r="HA394" s="73"/>
      <c r="HB394" s="73"/>
      <c r="HC394" s="73"/>
      <c r="HD394" s="73"/>
      <c r="HE394" s="73"/>
      <c r="HF394" s="73"/>
      <c r="HG394" s="73"/>
      <c r="HH394" s="73"/>
      <c r="HI394" s="73"/>
      <c r="HJ394" s="73"/>
      <c r="HK394" s="73"/>
      <c r="HL394" s="73"/>
      <c r="HM394" s="73"/>
      <c r="HN394" s="73"/>
      <c r="HO394" s="73"/>
      <c r="HP394" s="73"/>
      <c r="HQ394" s="73"/>
      <c r="HR394" s="73"/>
      <c r="HS394" s="73"/>
      <c r="HT394" s="73"/>
      <c r="HU394" s="73"/>
      <c r="HV394" s="73"/>
      <c r="HW394" s="73"/>
      <c r="HX394" s="73"/>
      <c r="HY394" s="73"/>
      <c r="HZ394" s="73"/>
      <c r="IA394" s="73"/>
      <c r="IB394" s="73"/>
      <c r="IC394" s="73"/>
      <c r="ID394" s="73"/>
      <c r="IE394" s="73"/>
      <c r="IF394" s="73"/>
      <c r="IG394" s="73"/>
      <c r="IH394" s="73"/>
      <c r="II394" s="73"/>
      <c r="IJ394" s="73"/>
      <c r="IK394" s="73"/>
      <c r="IL394" s="73"/>
      <c r="IM394" s="73"/>
      <c r="IN394" s="73"/>
      <c r="IO394" s="73"/>
      <c r="IP394" s="73"/>
      <c r="IQ394" s="73"/>
      <c r="IR394" s="73"/>
      <c r="IS394" s="73"/>
      <c r="IT394" s="73"/>
      <c r="IU394" s="73"/>
      <c r="IV394" s="73"/>
      <c r="IW394" s="73"/>
      <c r="IX394" s="73"/>
      <c r="IY394" s="73"/>
      <c r="IZ394" s="73"/>
      <c r="JA394" s="73"/>
      <c r="JB394" s="73"/>
      <c r="JC394" s="73"/>
    </row>
    <row r="395" spans="2:263" s="72" customFormat="1">
      <c r="B395" s="73"/>
      <c r="C395" s="73"/>
      <c r="D395" s="73"/>
      <c r="E395" s="73"/>
      <c r="F395" s="73"/>
      <c r="G395" s="73"/>
      <c r="H395" s="73"/>
      <c r="I395" s="73"/>
      <c r="J395" s="73"/>
      <c r="K395" s="73"/>
      <c r="L395" s="73"/>
      <c r="M395" s="73"/>
      <c r="N395" s="73"/>
      <c r="O395" s="73"/>
      <c r="P395" s="73"/>
      <c r="Q395" s="73"/>
      <c r="R395" s="73"/>
      <c r="S395" s="73"/>
      <c r="T395" s="73"/>
      <c r="U395" s="73"/>
      <c r="V395" s="73"/>
      <c r="W395" s="73"/>
      <c r="GL395" s="73"/>
      <c r="GM395" s="73"/>
      <c r="GN395" s="73"/>
      <c r="GO395" s="73"/>
      <c r="GP395" s="73"/>
      <c r="GQ395" s="73"/>
      <c r="GR395" s="73"/>
      <c r="GS395" s="73"/>
      <c r="GT395" s="73"/>
      <c r="GU395" s="73"/>
      <c r="GV395" s="73"/>
      <c r="GW395" s="73"/>
      <c r="GX395" s="73"/>
      <c r="GY395" s="73"/>
      <c r="GZ395" s="73"/>
      <c r="HA395" s="73"/>
      <c r="HB395" s="73"/>
      <c r="HC395" s="73"/>
      <c r="HD395" s="73"/>
      <c r="HE395" s="73"/>
      <c r="HF395" s="73"/>
      <c r="HG395" s="73"/>
      <c r="HH395" s="73"/>
      <c r="HI395" s="73"/>
      <c r="HJ395" s="73"/>
      <c r="HK395" s="73"/>
      <c r="HL395" s="73"/>
      <c r="HM395" s="73"/>
      <c r="HN395" s="73"/>
      <c r="HO395" s="73"/>
      <c r="HP395" s="73"/>
      <c r="HQ395" s="73"/>
      <c r="HR395" s="73"/>
      <c r="HS395" s="73"/>
      <c r="HT395" s="73"/>
      <c r="HU395" s="73"/>
      <c r="HV395" s="73"/>
      <c r="HW395" s="73"/>
      <c r="HX395" s="73"/>
      <c r="HY395" s="73"/>
      <c r="HZ395" s="73"/>
      <c r="IA395" s="73"/>
      <c r="IB395" s="73"/>
      <c r="IC395" s="73"/>
      <c r="ID395" s="73"/>
      <c r="IE395" s="73"/>
      <c r="IF395" s="73"/>
      <c r="IG395" s="73"/>
      <c r="IH395" s="73"/>
      <c r="II395" s="73"/>
      <c r="IJ395" s="73"/>
      <c r="IK395" s="73"/>
      <c r="IL395" s="73"/>
      <c r="IM395" s="73"/>
      <c r="IN395" s="73"/>
      <c r="IO395" s="73"/>
      <c r="IP395" s="73"/>
      <c r="IQ395" s="73"/>
      <c r="IR395" s="73"/>
      <c r="IS395" s="73"/>
      <c r="IT395" s="73"/>
      <c r="IU395" s="73"/>
      <c r="IV395" s="73"/>
      <c r="IW395" s="73"/>
      <c r="IX395" s="73"/>
      <c r="IY395" s="73"/>
      <c r="IZ395" s="73"/>
      <c r="JA395" s="73"/>
      <c r="JB395" s="73"/>
      <c r="JC395" s="73"/>
    </row>
    <row r="396" spans="2:263" s="72" customFormat="1">
      <c r="B396" s="73"/>
      <c r="C396" s="73"/>
      <c r="D396" s="73"/>
      <c r="E396" s="73"/>
      <c r="F396" s="73"/>
      <c r="G396" s="73"/>
      <c r="H396" s="73"/>
      <c r="I396" s="73"/>
      <c r="J396" s="73"/>
      <c r="K396" s="73"/>
      <c r="L396" s="73"/>
      <c r="M396" s="73"/>
      <c r="N396" s="73"/>
      <c r="O396" s="73"/>
      <c r="P396" s="73"/>
      <c r="Q396" s="73"/>
      <c r="R396" s="73"/>
      <c r="S396" s="73"/>
      <c r="T396" s="73"/>
      <c r="U396" s="73"/>
      <c r="V396" s="73"/>
      <c r="W396" s="73"/>
      <c r="GL396" s="73"/>
      <c r="GM396" s="73"/>
      <c r="GN396" s="73"/>
      <c r="GO396" s="73"/>
      <c r="GP396" s="73"/>
      <c r="GQ396" s="73"/>
      <c r="GR396" s="73"/>
      <c r="GS396" s="73"/>
      <c r="GT396" s="73"/>
      <c r="GU396" s="73"/>
      <c r="GV396" s="73"/>
      <c r="GW396" s="73"/>
      <c r="GX396" s="73"/>
      <c r="GY396" s="73"/>
      <c r="GZ396" s="73"/>
      <c r="HA396" s="73"/>
      <c r="HB396" s="73"/>
      <c r="HC396" s="73"/>
      <c r="HD396" s="73"/>
      <c r="HE396" s="73"/>
      <c r="HF396" s="73"/>
      <c r="HG396" s="73"/>
      <c r="HH396" s="73"/>
      <c r="HI396" s="73"/>
      <c r="HJ396" s="73"/>
      <c r="HK396" s="73"/>
      <c r="HL396" s="73"/>
      <c r="HM396" s="73"/>
      <c r="HN396" s="73"/>
      <c r="HO396" s="73"/>
      <c r="HP396" s="73"/>
      <c r="HQ396" s="73"/>
      <c r="HR396" s="73"/>
      <c r="HS396" s="73"/>
      <c r="HT396" s="73"/>
      <c r="HU396" s="73"/>
      <c r="HV396" s="73"/>
      <c r="HW396" s="73"/>
      <c r="HX396" s="73"/>
      <c r="HY396" s="73"/>
      <c r="HZ396" s="73"/>
      <c r="IA396" s="73"/>
      <c r="IB396" s="73"/>
      <c r="IC396" s="73"/>
      <c r="ID396" s="73"/>
      <c r="IE396" s="73"/>
      <c r="IF396" s="73"/>
      <c r="IG396" s="73"/>
      <c r="IH396" s="73"/>
      <c r="II396" s="73"/>
      <c r="IJ396" s="73"/>
      <c r="IK396" s="73"/>
      <c r="IL396" s="73"/>
      <c r="IM396" s="73"/>
      <c r="IN396" s="73"/>
      <c r="IO396" s="73"/>
      <c r="IP396" s="73"/>
      <c r="IQ396" s="73"/>
      <c r="IR396" s="73"/>
      <c r="IS396" s="73"/>
      <c r="IT396" s="73"/>
      <c r="IU396" s="73"/>
      <c r="IV396" s="73"/>
      <c r="IW396" s="73"/>
      <c r="IX396" s="73"/>
      <c r="IY396" s="73"/>
      <c r="IZ396" s="73"/>
      <c r="JA396" s="73"/>
      <c r="JB396" s="73"/>
      <c r="JC396" s="73"/>
    </row>
    <row r="397" spans="2:263" s="72" customFormat="1">
      <c r="B397" s="73"/>
      <c r="C397" s="73"/>
      <c r="D397" s="73"/>
      <c r="E397" s="73"/>
      <c r="F397" s="73"/>
      <c r="G397" s="73"/>
      <c r="H397" s="73"/>
      <c r="I397" s="73"/>
      <c r="J397" s="73"/>
      <c r="K397" s="73"/>
      <c r="L397" s="73"/>
      <c r="M397" s="73"/>
      <c r="N397" s="73"/>
      <c r="O397" s="73"/>
      <c r="P397" s="73"/>
      <c r="Q397" s="73"/>
      <c r="R397" s="73"/>
      <c r="S397" s="73"/>
      <c r="T397" s="73"/>
      <c r="U397" s="73"/>
      <c r="V397" s="73"/>
      <c r="W397" s="73"/>
      <c r="GL397" s="73"/>
      <c r="GM397" s="73"/>
      <c r="GN397" s="73"/>
      <c r="GO397" s="73"/>
      <c r="GP397" s="73"/>
      <c r="GQ397" s="73"/>
      <c r="GR397" s="73"/>
      <c r="GS397" s="73"/>
      <c r="GT397" s="73"/>
      <c r="GU397" s="73"/>
      <c r="GV397" s="73"/>
      <c r="GW397" s="73"/>
      <c r="GX397" s="73"/>
      <c r="GY397" s="73"/>
      <c r="GZ397" s="73"/>
      <c r="HA397" s="73"/>
      <c r="HB397" s="73"/>
      <c r="HC397" s="73"/>
      <c r="HD397" s="73"/>
      <c r="HE397" s="73"/>
      <c r="HF397" s="73"/>
      <c r="HG397" s="73"/>
      <c r="HH397" s="73"/>
      <c r="HI397" s="73"/>
      <c r="HJ397" s="73"/>
      <c r="HK397" s="73"/>
      <c r="HL397" s="73"/>
      <c r="HM397" s="73"/>
      <c r="HN397" s="73"/>
      <c r="HO397" s="73"/>
      <c r="HP397" s="73"/>
      <c r="HQ397" s="73"/>
      <c r="HR397" s="73"/>
      <c r="HS397" s="73"/>
      <c r="HT397" s="73"/>
      <c r="HU397" s="73"/>
      <c r="HV397" s="73"/>
      <c r="HW397" s="73"/>
      <c r="HX397" s="73"/>
      <c r="HY397" s="73"/>
      <c r="HZ397" s="73"/>
      <c r="IA397" s="73"/>
      <c r="IB397" s="73"/>
      <c r="IC397" s="73"/>
      <c r="ID397" s="73"/>
      <c r="IE397" s="73"/>
      <c r="IF397" s="73"/>
      <c r="IG397" s="73"/>
      <c r="IH397" s="73"/>
      <c r="II397" s="73"/>
      <c r="IJ397" s="73"/>
      <c r="IK397" s="73"/>
      <c r="IL397" s="73"/>
      <c r="IM397" s="73"/>
      <c r="IN397" s="73"/>
      <c r="IO397" s="73"/>
      <c r="IP397" s="73"/>
      <c r="IQ397" s="73"/>
      <c r="IR397" s="73"/>
      <c r="IS397" s="73"/>
      <c r="IT397" s="73"/>
      <c r="IU397" s="73"/>
      <c r="IV397" s="73"/>
      <c r="IW397" s="73"/>
      <c r="IX397" s="73"/>
      <c r="IY397" s="73"/>
      <c r="IZ397" s="73"/>
      <c r="JA397" s="73"/>
      <c r="JB397" s="73"/>
      <c r="JC397" s="73"/>
    </row>
    <row r="398" spans="2:263" s="72" customFormat="1">
      <c r="B398" s="73"/>
      <c r="C398" s="73"/>
      <c r="D398" s="73"/>
      <c r="E398" s="73"/>
      <c r="F398" s="73"/>
      <c r="G398" s="73"/>
      <c r="H398" s="73"/>
      <c r="I398" s="73"/>
      <c r="J398" s="73"/>
      <c r="K398" s="73"/>
      <c r="L398" s="73"/>
      <c r="M398" s="73"/>
      <c r="N398" s="73"/>
      <c r="O398" s="73"/>
      <c r="P398" s="73"/>
      <c r="Q398" s="73"/>
      <c r="R398" s="73"/>
      <c r="S398" s="73"/>
      <c r="T398" s="73"/>
      <c r="U398" s="73"/>
      <c r="V398" s="73"/>
      <c r="W398" s="73"/>
      <c r="GL398" s="73"/>
      <c r="GM398" s="73"/>
      <c r="GN398" s="73"/>
      <c r="GO398" s="73"/>
      <c r="GP398" s="73"/>
      <c r="GQ398" s="73"/>
      <c r="GR398" s="73"/>
      <c r="GS398" s="73"/>
      <c r="GT398" s="73"/>
      <c r="GU398" s="73"/>
      <c r="GV398" s="73"/>
      <c r="GW398" s="73"/>
      <c r="GX398" s="73"/>
      <c r="GY398" s="73"/>
      <c r="GZ398" s="73"/>
      <c r="HA398" s="73"/>
      <c r="HB398" s="73"/>
      <c r="HC398" s="73"/>
      <c r="HD398" s="73"/>
      <c r="HE398" s="73"/>
      <c r="HF398" s="73"/>
      <c r="HG398" s="73"/>
      <c r="HH398" s="73"/>
      <c r="HI398" s="73"/>
      <c r="HJ398" s="73"/>
      <c r="HK398" s="73"/>
      <c r="HL398" s="73"/>
      <c r="HM398" s="73"/>
      <c r="HN398" s="73"/>
      <c r="HO398" s="73"/>
      <c r="HP398" s="73"/>
      <c r="HQ398" s="73"/>
      <c r="HR398" s="73"/>
      <c r="HS398" s="73"/>
      <c r="HT398" s="73"/>
      <c r="HU398" s="73"/>
      <c r="HV398" s="73"/>
      <c r="HW398" s="73"/>
      <c r="HX398" s="73"/>
      <c r="HY398" s="73"/>
      <c r="HZ398" s="73"/>
      <c r="IA398" s="73"/>
      <c r="IB398" s="73"/>
      <c r="IC398" s="73"/>
      <c r="ID398" s="73"/>
      <c r="IE398" s="73"/>
      <c r="IF398" s="73"/>
      <c r="IG398" s="73"/>
      <c r="IH398" s="73"/>
      <c r="II398" s="73"/>
      <c r="IJ398" s="73"/>
      <c r="IK398" s="73"/>
      <c r="IL398" s="73"/>
      <c r="IM398" s="73"/>
      <c r="IN398" s="73"/>
      <c r="IO398" s="73"/>
      <c r="IP398" s="73"/>
      <c r="IQ398" s="73"/>
      <c r="IR398" s="73"/>
      <c r="IS398" s="73"/>
      <c r="IT398" s="73"/>
      <c r="IU398" s="73"/>
      <c r="IV398" s="73"/>
      <c r="IW398" s="73"/>
      <c r="IX398" s="73"/>
      <c r="IY398" s="73"/>
      <c r="IZ398" s="73"/>
      <c r="JA398" s="73"/>
      <c r="JB398" s="73"/>
      <c r="JC398" s="73"/>
    </row>
    <row r="399" spans="2:263" s="72" customFormat="1">
      <c r="B399" s="73"/>
      <c r="C399" s="73"/>
      <c r="D399" s="73"/>
      <c r="E399" s="73"/>
      <c r="F399" s="73"/>
      <c r="G399" s="73"/>
      <c r="H399" s="73"/>
      <c r="I399" s="73"/>
      <c r="J399" s="73"/>
      <c r="K399" s="73"/>
      <c r="L399" s="73"/>
      <c r="M399" s="73"/>
      <c r="N399" s="73"/>
      <c r="O399" s="73"/>
      <c r="P399" s="73"/>
      <c r="Q399" s="73"/>
      <c r="R399" s="73"/>
      <c r="S399" s="73"/>
      <c r="T399" s="73"/>
      <c r="U399" s="73"/>
      <c r="V399" s="73"/>
      <c r="W399" s="73"/>
      <c r="GL399" s="73"/>
      <c r="GM399" s="73"/>
      <c r="GN399" s="73"/>
      <c r="GO399" s="73"/>
      <c r="GP399" s="73"/>
      <c r="GQ399" s="73"/>
      <c r="GR399" s="73"/>
      <c r="GS399" s="73"/>
      <c r="GT399" s="73"/>
      <c r="GU399" s="73"/>
      <c r="GV399" s="73"/>
      <c r="GW399" s="73"/>
      <c r="GX399" s="73"/>
      <c r="GY399" s="73"/>
      <c r="GZ399" s="73"/>
      <c r="HA399" s="73"/>
      <c r="HB399" s="73"/>
      <c r="HC399" s="73"/>
      <c r="HD399" s="73"/>
      <c r="HE399" s="73"/>
      <c r="HF399" s="73"/>
      <c r="HG399" s="73"/>
      <c r="HH399" s="73"/>
      <c r="HI399" s="73"/>
      <c r="HJ399" s="73"/>
      <c r="HK399" s="73"/>
      <c r="HL399" s="73"/>
      <c r="HM399" s="73"/>
      <c r="HN399" s="73"/>
      <c r="HO399" s="73"/>
      <c r="HP399" s="73"/>
      <c r="HQ399" s="73"/>
      <c r="HR399" s="73"/>
      <c r="HS399" s="73"/>
      <c r="HT399" s="73"/>
      <c r="HU399" s="73"/>
      <c r="HV399" s="73"/>
      <c r="HW399" s="73"/>
      <c r="HX399" s="73"/>
      <c r="HY399" s="73"/>
      <c r="HZ399" s="73"/>
      <c r="IA399" s="73"/>
      <c r="IB399" s="73"/>
      <c r="IC399" s="73"/>
      <c r="ID399" s="73"/>
      <c r="IE399" s="73"/>
      <c r="IF399" s="73"/>
      <c r="IG399" s="73"/>
      <c r="IH399" s="73"/>
      <c r="II399" s="73"/>
      <c r="IJ399" s="73"/>
      <c r="IK399" s="73"/>
      <c r="IL399" s="73"/>
      <c r="IM399" s="73"/>
      <c r="IN399" s="73"/>
      <c r="IO399" s="73"/>
      <c r="IP399" s="73"/>
      <c r="IQ399" s="73"/>
      <c r="IR399" s="73"/>
      <c r="IS399" s="73"/>
      <c r="IT399" s="73"/>
      <c r="IU399" s="73"/>
      <c r="IV399" s="73"/>
      <c r="IW399" s="73"/>
      <c r="IX399" s="73"/>
      <c r="IY399" s="73"/>
      <c r="IZ399" s="73"/>
      <c r="JA399" s="73"/>
      <c r="JB399" s="73"/>
      <c r="JC399" s="73"/>
    </row>
    <row r="400" spans="2:263" s="72" customFormat="1">
      <c r="B400" s="73"/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  <c r="P400" s="73"/>
      <c r="Q400" s="73"/>
      <c r="R400" s="73"/>
      <c r="S400" s="73"/>
      <c r="T400" s="73"/>
      <c r="U400" s="73"/>
      <c r="V400" s="73"/>
      <c r="W400" s="73"/>
      <c r="GL400" s="73"/>
      <c r="GM400" s="73"/>
      <c r="GN400" s="73"/>
      <c r="GO400" s="73"/>
      <c r="GP400" s="73"/>
      <c r="GQ400" s="73"/>
      <c r="GR400" s="73"/>
      <c r="GS400" s="73"/>
      <c r="GT400" s="73"/>
      <c r="GU400" s="73"/>
      <c r="GV400" s="73"/>
      <c r="GW400" s="73"/>
      <c r="GX400" s="73"/>
      <c r="GY400" s="73"/>
      <c r="GZ400" s="73"/>
      <c r="HA400" s="73"/>
      <c r="HB400" s="73"/>
      <c r="HC400" s="73"/>
      <c r="HD400" s="73"/>
      <c r="HE400" s="73"/>
      <c r="HF400" s="73"/>
      <c r="HG400" s="73"/>
      <c r="HH400" s="73"/>
      <c r="HI400" s="73"/>
      <c r="HJ400" s="73"/>
      <c r="HK400" s="73"/>
      <c r="HL400" s="73"/>
      <c r="HM400" s="73"/>
      <c r="HN400" s="73"/>
      <c r="HO400" s="73"/>
      <c r="HP400" s="73"/>
      <c r="HQ400" s="73"/>
      <c r="HR400" s="73"/>
      <c r="HS400" s="73"/>
      <c r="HT400" s="73"/>
      <c r="HU400" s="73"/>
      <c r="HV400" s="73"/>
      <c r="HW400" s="73"/>
      <c r="HX400" s="73"/>
      <c r="HY400" s="73"/>
      <c r="HZ400" s="73"/>
      <c r="IA400" s="73"/>
      <c r="IB400" s="73"/>
      <c r="IC400" s="73"/>
      <c r="ID400" s="73"/>
      <c r="IE400" s="73"/>
      <c r="IF400" s="73"/>
      <c r="IG400" s="73"/>
      <c r="IH400" s="73"/>
      <c r="II400" s="73"/>
      <c r="IJ400" s="73"/>
      <c r="IK400" s="73"/>
      <c r="IL400" s="73"/>
      <c r="IM400" s="73"/>
      <c r="IN400" s="73"/>
      <c r="IO400" s="73"/>
      <c r="IP400" s="73"/>
      <c r="IQ400" s="73"/>
      <c r="IR400" s="73"/>
      <c r="IS400" s="73"/>
      <c r="IT400" s="73"/>
      <c r="IU400" s="73"/>
      <c r="IV400" s="73"/>
      <c r="IW400" s="73"/>
      <c r="IX400" s="73"/>
      <c r="IY400" s="73"/>
      <c r="IZ400" s="73"/>
      <c r="JA400" s="73"/>
      <c r="JB400" s="73"/>
      <c r="JC400" s="73"/>
    </row>
    <row r="401" spans="2:263" s="72" customFormat="1">
      <c r="B401" s="73"/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  <c r="P401" s="73"/>
      <c r="Q401" s="73"/>
      <c r="R401" s="73"/>
      <c r="S401" s="73"/>
      <c r="T401" s="73"/>
      <c r="U401" s="73"/>
      <c r="V401" s="73"/>
      <c r="W401" s="73"/>
      <c r="GL401" s="73"/>
      <c r="GM401" s="73"/>
      <c r="GN401" s="73"/>
      <c r="GO401" s="73"/>
      <c r="GP401" s="73"/>
      <c r="GQ401" s="73"/>
      <c r="GR401" s="73"/>
      <c r="GS401" s="73"/>
      <c r="GT401" s="73"/>
      <c r="GU401" s="73"/>
      <c r="GV401" s="73"/>
      <c r="GW401" s="73"/>
      <c r="GX401" s="73"/>
      <c r="GY401" s="73"/>
      <c r="GZ401" s="73"/>
      <c r="HA401" s="73"/>
      <c r="HB401" s="73"/>
      <c r="HC401" s="73"/>
      <c r="HD401" s="73"/>
      <c r="HE401" s="73"/>
      <c r="HF401" s="73"/>
      <c r="HG401" s="73"/>
      <c r="HH401" s="73"/>
      <c r="HI401" s="73"/>
      <c r="HJ401" s="73"/>
      <c r="HK401" s="73"/>
      <c r="HL401" s="73"/>
      <c r="HM401" s="73"/>
      <c r="HN401" s="73"/>
      <c r="HO401" s="73"/>
      <c r="HP401" s="73"/>
      <c r="HQ401" s="73"/>
      <c r="HR401" s="73"/>
      <c r="HS401" s="73"/>
      <c r="HT401" s="73"/>
      <c r="HU401" s="73"/>
      <c r="HV401" s="73"/>
      <c r="HW401" s="73"/>
      <c r="HX401" s="73"/>
      <c r="HY401" s="73"/>
      <c r="HZ401" s="73"/>
      <c r="IA401" s="73"/>
      <c r="IB401" s="73"/>
      <c r="IC401" s="73"/>
      <c r="ID401" s="73"/>
      <c r="IE401" s="73"/>
      <c r="IF401" s="73"/>
      <c r="IG401" s="73"/>
      <c r="IH401" s="73"/>
      <c r="II401" s="73"/>
      <c r="IJ401" s="73"/>
      <c r="IK401" s="73"/>
      <c r="IL401" s="73"/>
      <c r="IM401" s="73"/>
      <c r="IN401" s="73"/>
      <c r="IO401" s="73"/>
      <c r="IP401" s="73"/>
      <c r="IQ401" s="73"/>
      <c r="IR401" s="73"/>
      <c r="IS401" s="73"/>
      <c r="IT401" s="73"/>
      <c r="IU401" s="73"/>
      <c r="IV401" s="73"/>
      <c r="IW401" s="73"/>
      <c r="IX401" s="73"/>
      <c r="IY401" s="73"/>
      <c r="IZ401" s="73"/>
      <c r="JA401" s="73"/>
      <c r="JB401" s="73"/>
      <c r="JC401" s="73"/>
    </row>
    <row r="402" spans="2:263" s="72" customFormat="1">
      <c r="B402" s="73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  <c r="P402" s="73"/>
      <c r="Q402" s="73"/>
      <c r="R402" s="73"/>
      <c r="S402" s="73"/>
      <c r="T402" s="73"/>
      <c r="U402" s="73"/>
      <c r="V402" s="73"/>
      <c r="W402" s="73"/>
      <c r="GL402" s="73"/>
      <c r="GM402" s="73"/>
      <c r="GN402" s="73"/>
      <c r="GO402" s="73"/>
      <c r="GP402" s="73"/>
      <c r="GQ402" s="73"/>
      <c r="GR402" s="73"/>
      <c r="GS402" s="73"/>
      <c r="GT402" s="73"/>
      <c r="GU402" s="73"/>
      <c r="GV402" s="73"/>
      <c r="GW402" s="73"/>
      <c r="GX402" s="73"/>
      <c r="GY402" s="73"/>
      <c r="GZ402" s="73"/>
      <c r="HA402" s="73"/>
      <c r="HB402" s="73"/>
      <c r="HC402" s="73"/>
      <c r="HD402" s="73"/>
      <c r="HE402" s="73"/>
      <c r="HF402" s="73"/>
      <c r="HG402" s="73"/>
      <c r="HH402" s="73"/>
      <c r="HI402" s="73"/>
      <c r="HJ402" s="73"/>
      <c r="HK402" s="73"/>
      <c r="HL402" s="73"/>
      <c r="HM402" s="73"/>
      <c r="HN402" s="73"/>
      <c r="HO402" s="73"/>
      <c r="HP402" s="73"/>
      <c r="HQ402" s="73"/>
      <c r="HR402" s="73"/>
      <c r="HS402" s="73"/>
      <c r="HT402" s="73"/>
      <c r="HU402" s="73"/>
      <c r="HV402" s="73"/>
      <c r="HW402" s="73"/>
      <c r="HX402" s="73"/>
      <c r="HY402" s="73"/>
      <c r="HZ402" s="73"/>
      <c r="IA402" s="73"/>
      <c r="IB402" s="73"/>
      <c r="IC402" s="73"/>
      <c r="ID402" s="73"/>
      <c r="IE402" s="73"/>
      <c r="IF402" s="73"/>
      <c r="IG402" s="73"/>
      <c r="IH402" s="73"/>
      <c r="II402" s="73"/>
      <c r="IJ402" s="73"/>
      <c r="IK402" s="73"/>
      <c r="IL402" s="73"/>
      <c r="IM402" s="73"/>
      <c r="IN402" s="73"/>
      <c r="IO402" s="73"/>
      <c r="IP402" s="73"/>
      <c r="IQ402" s="73"/>
      <c r="IR402" s="73"/>
      <c r="IS402" s="73"/>
      <c r="IT402" s="73"/>
      <c r="IU402" s="73"/>
      <c r="IV402" s="73"/>
      <c r="IW402" s="73"/>
      <c r="IX402" s="73"/>
      <c r="IY402" s="73"/>
      <c r="IZ402" s="73"/>
      <c r="JA402" s="73"/>
      <c r="JB402" s="73"/>
      <c r="JC402" s="73"/>
    </row>
    <row r="403" spans="2:263" s="72" customFormat="1">
      <c r="B403" s="73"/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  <c r="P403" s="73"/>
      <c r="Q403" s="73"/>
      <c r="R403" s="73"/>
      <c r="S403" s="73"/>
      <c r="T403" s="73"/>
      <c r="U403" s="73"/>
      <c r="V403" s="73"/>
      <c r="W403" s="73"/>
      <c r="GL403" s="73"/>
      <c r="GM403" s="73"/>
      <c r="GN403" s="73"/>
      <c r="GO403" s="73"/>
      <c r="GP403" s="73"/>
      <c r="GQ403" s="73"/>
      <c r="GR403" s="73"/>
      <c r="GS403" s="73"/>
      <c r="GT403" s="73"/>
      <c r="GU403" s="73"/>
      <c r="GV403" s="73"/>
      <c r="GW403" s="73"/>
      <c r="GX403" s="73"/>
      <c r="GY403" s="73"/>
      <c r="GZ403" s="73"/>
      <c r="HA403" s="73"/>
      <c r="HB403" s="73"/>
      <c r="HC403" s="73"/>
      <c r="HD403" s="73"/>
      <c r="HE403" s="73"/>
      <c r="HF403" s="73"/>
      <c r="HG403" s="73"/>
      <c r="HH403" s="73"/>
      <c r="HI403" s="73"/>
      <c r="HJ403" s="73"/>
      <c r="HK403" s="73"/>
      <c r="HL403" s="73"/>
      <c r="HM403" s="73"/>
      <c r="HN403" s="73"/>
      <c r="HO403" s="73"/>
      <c r="HP403" s="73"/>
      <c r="HQ403" s="73"/>
      <c r="HR403" s="73"/>
      <c r="HS403" s="73"/>
      <c r="HT403" s="73"/>
      <c r="HU403" s="73"/>
      <c r="HV403" s="73"/>
      <c r="HW403" s="73"/>
      <c r="HX403" s="73"/>
      <c r="HY403" s="73"/>
      <c r="HZ403" s="73"/>
      <c r="IA403" s="73"/>
      <c r="IB403" s="73"/>
      <c r="IC403" s="73"/>
      <c r="ID403" s="73"/>
      <c r="IE403" s="73"/>
      <c r="IF403" s="73"/>
      <c r="IG403" s="73"/>
      <c r="IH403" s="73"/>
      <c r="II403" s="73"/>
      <c r="IJ403" s="73"/>
      <c r="IK403" s="73"/>
      <c r="IL403" s="73"/>
      <c r="IM403" s="73"/>
      <c r="IN403" s="73"/>
      <c r="IO403" s="73"/>
      <c r="IP403" s="73"/>
      <c r="IQ403" s="73"/>
      <c r="IR403" s="73"/>
      <c r="IS403" s="73"/>
      <c r="IT403" s="73"/>
      <c r="IU403" s="73"/>
      <c r="IV403" s="73"/>
      <c r="IW403" s="73"/>
      <c r="IX403" s="73"/>
      <c r="IY403" s="73"/>
      <c r="IZ403" s="73"/>
      <c r="JA403" s="73"/>
      <c r="JB403" s="73"/>
      <c r="JC403" s="73"/>
    </row>
    <row r="404" spans="2:263" s="72" customFormat="1">
      <c r="B404" s="73"/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  <c r="P404" s="73"/>
      <c r="Q404" s="73"/>
      <c r="R404" s="73"/>
      <c r="S404" s="73"/>
      <c r="T404" s="73"/>
      <c r="U404" s="73"/>
      <c r="V404" s="73"/>
      <c r="W404" s="73"/>
      <c r="GL404" s="73"/>
      <c r="GM404" s="73"/>
      <c r="GN404" s="73"/>
      <c r="GO404" s="73"/>
      <c r="GP404" s="73"/>
      <c r="GQ404" s="73"/>
      <c r="GR404" s="73"/>
      <c r="GS404" s="73"/>
      <c r="GT404" s="73"/>
      <c r="GU404" s="73"/>
      <c r="GV404" s="73"/>
      <c r="GW404" s="73"/>
      <c r="GX404" s="73"/>
      <c r="GY404" s="73"/>
      <c r="GZ404" s="73"/>
      <c r="HA404" s="73"/>
      <c r="HB404" s="73"/>
      <c r="HC404" s="73"/>
      <c r="HD404" s="73"/>
      <c r="HE404" s="73"/>
      <c r="HF404" s="73"/>
      <c r="HG404" s="73"/>
      <c r="HH404" s="73"/>
      <c r="HI404" s="73"/>
      <c r="HJ404" s="73"/>
      <c r="HK404" s="73"/>
      <c r="HL404" s="73"/>
      <c r="HM404" s="73"/>
      <c r="HN404" s="73"/>
      <c r="HO404" s="73"/>
      <c r="HP404" s="73"/>
      <c r="HQ404" s="73"/>
      <c r="HR404" s="73"/>
      <c r="HS404" s="73"/>
      <c r="HT404" s="73"/>
      <c r="HU404" s="73"/>
      <c r="HV404" s="73"/>
      <c r="HW404" s="73"/>
      <c r="HX404" s="73"/>
      <c r="HY404" s="73"/>
      <c r="HZ404" s="73"/>
      <c r="IA404" s="73"/>
      <c r="IB404" s="73"/>
      <c r="IC404" s="73"/>
      <c r="ID404" s="73"/>
      <c r="IE404" s="73"/>
      <c r="IF404" s="73"/>
      <c r="IG404" s="73"/>
      <c r="IH404" s="73"/>
      <c r="II404" s="73"/>
      <c r="IJ404" s="73"/>
      <c r="IK404" s="73"/>
      <c r="IL404" s="73"/>
      <c r="IM404" s="73"/>
      <c r="IN404" s="73"/>
      <c r="IO404" s="73"/>
      <c r="IP404" s="73"/>
      <c r="IQ404" s="73"/>
      <c r="IR404" s="73"/>
      <c r="IS404" s="73"/>
      <c r="IT404" s="73"/>
      <c r="IU404" s="73"/>
      <c r="IV404" s="73"/>
      <c r="IW404" s="73"/>
      <c r="IX404" s="73"/>
      <c r="IY404" s="73"/>
      <c r="IZ404" s="73"/>
      <c r="JA404" s="73"/>
      <c r="JB404" s="73"/>
      <c r="JC404" s="73"/>
    </row>
    <row r="405" spans="2:263" s="72" customFormat="1">
      <c r="B405" s="73"/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  <c r="P405" s="73"/>
      <c r="Q405" s="73"/>
      <c r="R405" s="73"/>
      <c r="S405" s="73"/>
      <c r="T405" s="73"/>
      <c r="U405" s="73"/>
      <c r="V405" s="73"/>
      <c r="W405" s="73"/>
      <c r="GL405" s="73"/>
      <c r="GM405" s="73"/>
      <c r="GN405" s="73"/>
      <c r="GO405" s="73"/>
      <c r="GP405" s="73"/>
      <c r="GQ405" s="73"/>
      <c r="GR405" s="73"/>
      <c r="GS405" s="73"/>
      <c r="GT405" s="73"/>
      <c r="GU405" s="73"/>
      <c r="GV405" s="73"/>
      <c r="GW405" s="73"/>
      <c r="GX405" s="73"/>
      <c r="GY405" s="73"/>
      <c r="GZ405" s="73"/>
      <c r="HA405" s="73"/>
      <c r="HB405" s="73"/>
      <c r="HC405" s="73"/>
      <c r="HD405" s="73"/>
      <c r="HE405" s="73"/>
      <c r="HF405" s="73"/>
      <c r="HG405" s="73"/>
      <c r="HH405" s="73"/>
      <c r="HI405" s="73"/>
      <c r="HJ405" s="73"/>
      <c r="HK405" s="73"/>
      <c r="HL405" s="73"/>
      <c r="HM405" s="73"/>
      <c r="HN405" s="73"/>
      <c r="HO405" s="73"/>
      <c r="HP405" s="73"/>
      <c r="HQ405" s="73"/>
      <c r="HR405" s="73"/>
      <c r="HS405" s="73"/>
      <c r="HT405" s="73"/>
      <c r="HU405" s="73"/>
      <c r="HV405" s="73"/>
      <c r="HW405" s="73"/>
      <c r="HX405" s="73"/>
      <c r="HY405" s="73"/>
      <c r="HZ405" s="73"/>
      <c r="IA405" s="73"/>
      <c r="IB405" s="73"/>
      <c r="IC405" s="73"/>
      <c r="ID405" s="73"/>
      <c r="IE405" s="73"/>
      <c r="IF405" s="73"/>
      <c r="IG405" s="73"/>
      <c r="IH405" s="73"/>
      <c r="II405" s="73"/>
      <c r="IJ405" s="73"/>
      <c r="IK405" s="73"/>
      <c r="IL405" s="73"/>
      <c r="IM405" s="73"/>
      <c r="IN405" s="73"/>
      <c r="IO405" s="73"/>
      <c r="IP405" s="73"/>
      <c r="IQ405" s="73"/>
      <c r="IR405" s="73"/>
      <c r="IS405" s="73"/>
      <c r="IT405" s="73"/>
      <c r="IU405" s="73"/>
      <c r="IV405" s="73"/>
      <c r="IW405" s="73"/>
      <c r="IX405" s="73"/>
      <c r="IY405" s="73"/>
      <c r="IZ405" s="73"/>
      <c r="JA405" s="73"/>
      <c r="JB405" s="73"/>
      <c r="JC405" s="73"/>
    </row>
    <row r="406" spans="2:263" s="72" customFormat="1">
      <c r="B406" s="73"/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  <c r="Q406" s="73"/>
      <c r="R406" s="73"/>
      <c r="S406" s="73"/>
      <c r="T406" s="73"/>
      <c r="U406" s="73"/>
      <c r="V406" s="73"/>
      <c r="W406" s="73"/>
      <c r="GL406" s="73"/>
      <c r="GM406" s="73"/>
      <c r="GN406" s="73"/>
      <c r="GO406" s="73"/>
      <c r="GP406" s="73"/>
      <c r="GQ406" s="73"/>
      <c r="GR406" s="73"/>
      <c r="GS406" s="73"/>
      <c r="GT406" s="73"/>
      <c r="GU406" s="73"/>
      <c r="GV406" s="73"/>
      <c r="GW406" s="73"/>
      <c r="GX406" s="73"/>
      <c r="GY406" s="73"/>
      <c r="GZ406" s="73"/>
      <c r="HA406" s="73"/>
      <c r="HB406" s="73"/>
      <c r="HC406" s="73"/>
      <c r="HD406" s="73"/>
      <c r="HE406" s="73"/>
      <c r="HF406" s="73"/>
      <c r="HG406" s="73"/>
      <c r="HH406" s="73"/>
      <c r="HI406" s="73"/>
      <c r="HJ406" s="73"/>
      <c r="HK406" s="73"/>
      <c r="HL406" s="73"/>
      <c r="HM406" s="73"/>
      <c r="HN406" s="73"/>
      <c r="HO406" s="73"/>
      <c r="HP406" s="73"/>
      <c r="HQ406" s="73"/>
      <c r="HR406" s="73"/>
      <c r="HS406" s="73"/>
      <c r="HT406" s="73"/>
      <c r="HU406" s="73"/>
      <c r="HV406" s="73"/>
      <c r="HW406" s="73"/>
      <c r="HX406" s="73"/>
      <c r="HY406" s="73"/>
      <c r="HZ406" s="73"/>
      <c r="IA406" s="73"/>
      <c r="IB406" s="73"/>
      <c r="IC406" s="73"/>
      <c r="ID406" s="73"/>
      <c r="IE406" s="73"/>
      <c r="IF406" s="73"/>
      <c r="IG406" s="73"/>
      <c r="IH406" s="73"/>
      <c r="II406" s="73"/>
      <c r="IJ406" s="73"/>
      <c r="IK406" s="73"/>
      <c r="IL406" s="73"/>
      <c r="IM406" s="73"/>
      <c r="IN406" s="73"/>
      <c r="IO406" s="73"/>
      <c r="IP406" s="73"/>
      <c r="IQ406" s="73"/>
      <c r="IR406" s="73"/>
      <c r="IS406" s="73"/>
      <c r="IT406" s="73"/>
      <c r="IU406" s="73"/>
      <c r="IV406" s="73"/>
      <c r="IW406" s="73"/>
      <c r="IX406" s="73"/>
      <c r="IY406" s="73"/>
      <c r="IZ406" s="73"/>
      <c r="JA406" s="73"/>
      <c r="JB406" s="73"/>
      <c r="JC406" s="73"/>
    </row>
    <row r="407" spans="2:263" s="72" customFormat="1">
      <c r="B407" s="73"/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  <c r="P407" s="73"/>
      <c r="Q407" s="73"/>
      <c r="R407" s="73"/>
      <c r="S407" s="73"/>
      <c r="T407" s="73"/>
      <c r="U407" s="73"/>
      <c r="V407" s="73"/>
      <c r="W407" s="73"/>
      <c r="GL407" s="73"/>
      <c r="GM407" s="73"/>
      <c r="GN407" s="73"/>
      <c r="GO407" s="73"/>
      <c r="GP407" s="73"/>
      <c r="GQ407" s="73"/>
      <c r="GR407" s="73"/>
      <c r="GS407" s="73"/>
      <c r="GT407" s="73"/>
      <c r="GU407" s="73"/>
      <c r="GV407" s="73"/>
      <c r="GW407" s="73"/>
      <c r="GX407" s="73"/>
      <c r="GY407" s="73"/>
      <c r="GZ407" s="73"/>
      <c r="HA407" s="73"/>
      <c r="HB407" s="73"/>
      <c r="HC407" s="73"/>
      <c r="HD407" s="73"/>
      <c r="HE407" s="73"/>
      <c r="HF407" s="73"/>
      <c r="HG407" s="73"/>
      <c r="HH407" s="73"/>
      <c r="HI407" s="73"/>
      <c r="HJ407" s="73"/>
      <c r="HK407" s="73"/>
      <c r="HL407" s="73"/>
      <c r="HM407" s="73"/>
      <c r="HN407" s="73"/>
      <c r="HO407" s="73"/>
      <c r="HP407" s="73"/>
      <c r="HQ407" s="73"/>
      <c r="HR407" s="73"/>
      <c r="HS407" s="73"/>
      <c r="HT407" s="73"/>
      <c r="HU407" s="73"/>
      <c r="HV407" s="73"/>
      <c r="HW407" s="73"/>
      <c r="HX407" s="73"/>
      <c r="HY407" s="73"/>
      <c r="HZ407" s="73"/>
      <c r="IA407" s="73"/>
      <c r="IB407" s="73"/>
      <c r="IC407" s="73"/>
      <c r="ID407" s="73"/>
      <c r="IE407" s="73"/>
      <c r="IF407" s="73"/>
      <c r="IG407" s="73"/>
      <c r="IH407" s="73"/>
      <c r="II407" s="73"/>
      <c r="IJ407" s="73"/>
      <c r="IK407" s="73"/>
      <c r="IL407" s="73"/>
      <c r="IM407" s="73"/>
      <c r="IN407" s="73"/>
      <c r="IO407" s="73"/>
      <c r="IP407" s="73"/>
      <c r="IQ407" s="73"/>
      <c r="IR407" s="73"/>
      <c r="IS407" s="73"/>
      <c r="IT407" s="73"/>
      <c r="IU407" s="73"/>
      <c r="IV407" s="73"/>
      <c r="IW407" s="73"/>
      <c r="IX407" s="73"/>
      <c r="IY407" s="73"/>
      <c r="IZ407" s="73"/>
      <c r="JA407" s="73"/>
      <c r="JB407" s="73"/>
      <c r="JC407" s="73"/>
    </row>
    <row r="408" spans="2:263" s="72" customFormat="1">
      <c r="B408" s="73"/>
      <c r="C408" s="73"/>
      <c r="D408" s="73"/>
      <c r="E408" s="73"/>
      <c r="F408" s="73"/>
      <c r="G408" s="73"/>
      <c r="H408" s="73"/>
      <c r="I408" s="73"/>
      <c r="J408" s="73"/>
      <c r="K408" s="73"/>
      <c r="L408" s="73"/>
      <c r="M408" s="73"/>
      <c r="N408" s="73"/>
      <c r="O408" s="73"/>
      <c r="P408" s="73"/>
      <c r="Q408" s="73"/>
      <c r="R408" s="73"/>
      <c r="S408" s="73"/>
      <c r="T408" s="73"/>
      <c r="U408" s="73"/>
      <c r="V408" s="73"/>
      <c r="W408" s="73"/>
      <c r="GL408" s="73"/>
      <c r="GM408" s="73"/>
      <c r="GN408" s="73"/>
      <c r="GO408" s="73"/>
      <c r="GP408" s="73"/>
      <c r="GQ408" s="73"/>
      <c r="GR408" s="73"/>
      <c r="GS408" s="73"/>
      <c r="GT408" s="73"/>
      <c r="GU408" s="73"/>
      <c r="GV408" s="73"/>
      <c r="GW408" s="73"/>
      <c r="GX408" s="73"/>
      <c r="GY408" s="73"/>
      <c r="GZ408" s="73"/>
      <c r="HA408" s="73"/>
      <c r="HB408" s="73"/>
      <c r="HC408" s="73"/>
      <c r="HD408" s="73"/>
      <c r="HE408" s="73"/>
      <c r="HF408" s="73"/>
      <c r="HG408" s="73"/>
      <c r="HH408" s="73"/>
      <c r="HI408" s="73"/>
      <c r="HJ408" s="73"/>
      <c r="HK408" s="73"/>
      <c r="HL408" s="73"/>
      <c r="HM408" s="73"/>
      <c r="HN408" s="73"/>
      <c r="HO408" s="73"/>
      <c r="HP408" s="73"/>
      <c r="HQ408" s="73"/>
      <c r="HR408" s="73"/>
      <c r="HS408" s="73"/>
      <c r="HT408" s="73"/>
      <c r="HU408" s="73"/>
      <c r="HV408" s="73"/>
      <c r="HW408" s="73"/>
      <c r="HX408" s="73"/>
      <c r="HY408" s="73"/>
      <c r="HZ408" s="73"/>
      <c r="IA408" s="73"/>
      <c r="IB408" s="73"/>
      <c r="IC408" s="73"/>
      <c r="ID408" s="73"/>
      <c r="IE408" s="73"/>
      <c r="IF408" s="73"/>
      <c r="IG408" s="73"/>
      <c r="IH408" s="73"/>
      <c r="II408" s="73"/>
      <c r="IJ408" s="73"/>
      <c r="IK408" s="73"/>
      <c r="IL408" s="73"/>
      <c r="IM408" s="73"/>
      <c r="IN408" s="73"/>
      <c r="IO408" s="73"/>
      <c r="IP408" s="73"/>
      <c r="IQ408" s="73"/>
      <c r="IR408" s="73"/>
      <c r="IS408" s="73"/>
      <c r="IT408" s="73"/>
      <c r="IU408" s="73"/>
      <c r="IV408" s="73"/>
      <c r="IW408" s="73"/>
      <c r="IX408" s="73"/>
      <c r="IY408" s="73"/>
      <c r="IZ408" s="73"/>
      <c r="JA408" s="73"/>
      <c r="JB408" s="73"/>
      <c r="JC408" s="73"/>
    </row>
    <row r="409" spans="2:263" s="72" customFormat="1">
      <c r="B409" s="73"/>
      <c r="C409" s="73"/>
      <c r="D409" s="73"/>
      <c r="E409" s="73"/>
      <c r="F409" s="73"/>
      <c r="G409" s="73"/>
      <c r="H409" s="73"/>
      <c r="I409" s="73"/>
      <c r="J409" s="73"/>
      <c r="K409" s="73"/>
      <c r="L409" s="73"/>
      <c r="M409" s="73"/>
      <c r="N409" s="73"/>
      <c r="O409" s="73"/>
      <c r="P409" s="73"/>
      <c r="Q409" s="73"/>
      <c r="R409" s="73"/>
      <c r="S409" s="73"/>
      <c r="T409" s="73"/>
      <c r="U409" s="73"/>
      <c r="V409" s="73"/>
      <c r="W409" s="73"/>
      <c r="GL409" s="73"/>
      <c r="GM409" s="73"/>
      <c r="GN409" s="73"/>
      <c r="GO409" s="73"/>
      <c r="GP409" s="73"/>
      <c r="GQ409" s="73"/>
      <c r="GR409" s="73"/>
      <c r="GS409" s="73"/>
      <c r="GT409" s="73"/>
      <c r="GU409" s="73"/>
      <c r="GV409" s="73"/>
      <c r="GW409" s="73"/>
      <c r="GX409" s="73"/>
      <c r="GY409" s="73"/>
      <c r="GZ409" s="73"/>
      <c r="HA409" s="73"/>
      <c r="HB409" s="73"/>
      <c r="HC409" s="73"/>
      <c r="HD409" s="73"/>
      <c r="HE409" s="73"/>
      <c r="HF409" s="73"/>
      <c r="HG409" s="73"/>
      <c r="HH409" s="73"/>
      <c r="HI409" s="73"/>
      <c r="HJ409" s="73"/>
      <c r="HK409" s="73"/>
      <c r="HL409" s="73"/>
      <c r="HM409" s="73"/>
      <c r="HN409" s="73"/>
      <c r="HO409" s="73"/>
      <c r="HP409" s="73"/>
      <c r="HQ409" s="73"/>
      <c r="HR409" s="73"/>
      <c r="HS409" s="73"/>
      <c r="HT409" s="73"/>
      <c r="HU409" s="73"/>
      <c r="HV409" s="73"/>
      <c r="HW409" s="73"/>
      <c r="HX409" s="73"/>
      <c r="HY409" s="73"/>
      <c r="HZ409" s="73"/>
      <c r="IA409" s="73"/>
      <c r="IB409" s="73"/>
      <c r="IC409" s="73"/>
      <c r="ID409" s="73"/>
      <c r="IE409" s="73"/>
      <c r="IF409" s="73"/>
      <c r="IG409" s="73"/>
      <c r="IH409" s="73"/>
      <c r="II409" s="73"/>
      <c r="IJ409" s="73"/>
      <c r="IK409" s="73"/>
      <c r="IL409" s="73"/>
      <c r="IM409" s="73"/>
      <c r="IN409" s="73"/>
      <c r="IO409" s="73"/>
      <c r="IP409" s="73"/>
      <c r="IQ409" s="73"/>
      <c r="IR409" s="73"/>
      <c r="IS409" s="73"/>
      <c r="IT409" s="73"/>
      <c r="IU409" s="73"/>
      <c r="IV409" s="73"/>
      <c r="IW409" s="73"/>
      <c r="IX409" s="73"/>
      <c r="IY409" s="73"/>
      <c r="IZ409" s="73"/>
      <c r="JA409" s="73"/>
      <c r="JB409" s="73"/>
      <c r="JC409" s="73"/>
    </row>
    <row r="410" spans="2:263" s="72" customFormat="1">
      <c r="B410" s="73"/>
      <c r="C410" s="73"/>
      <c r="D410" s="73"/>
      <c r="E410" s="73"/>
      <c r="F410" s="73"/>
      <c r="G410" s="73"/>
      <c r="H410" s="73"/>
      <c r="I410" s="73"/>
      <c r="J410" s="73"/>
      <c r="K410" s="73"/>
      <c r="L410" s="73"/>
      <c r="M410" s="73"/>
      <c r="N410" s="73"/>
      <c r="O410" s="73"/>
      <c r="P410" s="73"/>
      <c r="Q410" s="73"/>
      <c r="R410" s="73"/>
      <c r="S410" s="73"/>
      <c r="T410" s="73"/>
      <c r="U410" s="73"/>
      <c r="V410" s="73"/>
      <c r="W410" s="73"/>
      <c r="GL410" s="73"/>
      <c r="GM410" s="73"/>
      <c r="GN410" s="73"/>
      <c r="GO410" s="73"/>
      <c r="GP410" s="73"/>
      <c r="GQ410" s="73"/>
      <c r="GR410" s="73"/>
      <c r="GS410" s="73"/>
      <c r="GT410" s="73"/>
      <c r="GU410" s="73"/>
      <c r="GV410" s="73"/>
      <c r="GW410" s="73"/>
      <c r="GX410" s="73"/>
      <c r="GY410" s="73"/>
      <c r="GZ410" s="73"/>
      <c r="HA410" s="73"/>
      <c r="HB410" s="73"/>
      <c r="HC410" s="73"/>
      <c r="HD410" s="73"/>
      <c r="HE410" s="73"/>
      <c r="HF410" s="73"/>
      <c r="HG410" s="73"/>
      <c r="HH410" s="73"/>
      <c r="HI410" s="73"/>
      <c r="HJ410" s="73"/>
      <c r="HK410" s="73"/>
      <c r="HL410" s="73"/>
      <c r="HM410" s="73"/>
      <c r="HN410" s="73"/>
      <c r="HO410" s="73"/>
      <c r="HP410" s="73"/>
      <c r="HQ410" s="73"/>
      <c r="HR410" s="73"/>
      <c r="HS410" s="73"/>
      <c r="HT410" s="73"/>
      <c r="HU410" s="73"/>
      <c r="HV410" s="73"/>
      <c r="HW410" s="73"/>
      <c r="HX410" s="73"/>
      <c r="HY410" s="73"/>
      <c r="HZ410" s="73"/>
      <c r="IA410" s="73"/>
      <c r="IB410" s="73"/>
      <c r="IC410" s="73"/>
      <c r="ID410" s="73"/>
      <c r="IE410" s="73"/>
      <c r="IF410" s="73"/>
      <c r="IG410" s="73"/>
      <c r="IH410" s="73"/>
      <c r="II410" s="73"/>
      <c r="IJ410" s="73"/>
      <c r="IK410" s="73"/>
      <c r="IL410" s="73"/>
      <c r="IM410" s="73"/>
      <c r="IN410" s="73"/>
      <c r="IO410" s="73"/>
      <c r="IP410" s="73"/>
      <c r="IQ410" s="73"/>
      <c r="IR410" s="73"/>
      <c r="IS410" s="73"/>
      <c r="IT410" s="73"/>
      <c r="IU410" s="73"/>
      <c r="IV410" s="73"/>
      <c r="IW410" s="73"/>
      <c r="IX410" s="73"/>
      <c r="IY410" s="73"/>
      <c r="IZ410" s="73"/>
      <c r="JA410" s="73"/>
      <c r="JB410" s="73"/>
      <c r="JC410" s="73"/>
    </row>
    <row r="411" spans="2:263" s="72" customFormat="1">
      <c r="B411" s="73"/>
      <c r="C411" s="73"/>
      <c r="D411" s="73"/>
      <c r="E411" s="73"/>
      <c r="F411" s="73"/>
      <c r="G411" s="73"/>
      <c r="H411" s="73"/>
      <c r="I411" s="73"/>
      <c r="J411" s="73"/>
      <c r="K411" s="73"/>
      <c r="L411" s="73"/>
      <c r="M411" s="73"/>
      <c r="N411" s="73"/>
      <c r="O411" s="73"/>
      <c r="P411" s="73"/>
      <c r="Q411" s="73"/>
      <c r="R411" s="73"/>
      <c r="S411" s="73"/>
      <c r="T411" s="73"/>
      <c r="U411" s="73"/>
      <c r="V411" s="73"/>
      <c r="W411" s="73"/>
      <c r="GL411" s="73"/>
      <c r="GM411" s="73"/>
      <c r="GN411" s="73"/>
      <c r="GO411" s="73"/>
      <c r="GP411" s="73"/>
      <c r="GQ411" s="73"/>
      <c r="GR411" s="73"/>
      <c r="GS411" s="73"/>
      <c r="GT411" s="73"/>
      <c r="GU411" s="73"/>
      <c r="GV411" s="73"/>
      <c r="GW411" s="73"/>
      <c r="GX411" s="73"/>
      <c r="GY411" s="73"/>
      <c r="GZ411" s="73"/>
      <c r="HA411" s="73"/>
      <c r="HB411" s="73"/>
      <c r="HC411" s="73"/>
      <c r="HD411" s="73"/>
      <c r="HE411" s="73"/>
      <c r="HF411" s="73"/>
      <c r="HG411" s="73"/>
      <c r="HH411" s="73"/>
      <c r="HI411" s="73"/>
      <c r="HJ411" s="73"/>
      <c r="HK411" s="73"/>
      <c r="HL411" s="73"/>
      <c r="HM411" s="73"/>
      <c r="HN411" s="73"/>
      <c r="HO411" s="73"/>
      <c r="HP411" s="73"/>
      <c r="HQ411" s="73"/>
      <c r="HR411" s="73"/>
      <c r="HS411" s="73"/>
      <c r="HT411" s="73"/>
      <c r="HU411" s="73"/>
      <c r="HV411" s="73"/>
      <c r="HW411" s="73"/>
      <c r="HX411" s="73"/>
      <c r="HY411" s="73"/>
      <c r="HZ411" s="73"/>
      <c r="IA411" s="73"/>
      <c r="IB411" s="73"/>
      <c r="IC411" s="73"/>
      <c r="ID411" s="73"/>
      <c r="IE411" s="73"/>
      <c r="IF411" s="73"/>
      <c r="IG411" s="73"/>
      <c r="IH411" s="73"/>
      <c r="II411" s="73"/>
      <c r="IJ411" s="73"/>
      <c r="IK411" s="73"/>
      <c r="IL411" s="73"/>
      <c r="IM411" s="73"/>
      <c r="IN411" s="73"/>
      <c r="IO411" s="73"/>
      <c r="IP411" s="73"/>
      <c r="IQ411" s="73"/>
      <c r="IR411" s="73"/>
      <c r="IS411" s="73"/>
      <c r="IT411" s="73"/>
      <c r="IU411" s="73"/>
      <c r="IV411" s="73"/>
      <c r="IW411" s="73"/>
      <c r="IX411" s="73"/>
      <c r="IY411" s="73"/>
      <c r="IZ411" s="73"/>
      <c r="JA411" s="73"/>
      <c r="JB411" s="73"/>
      <c r="JC411" s="73"/>
    </row>
    <row r="412" spans="2:263" s="72" customFormat="1">
      <c r="B412" s="73"/>
      <c r="C412" s="73"/>
      <c r="D412" s="73"/>
      <c r="E412" s="73"/>
      <c r="F412" s="73"/>
      <c r="G412" s="73"/>
      <c r="H412" s="73"/>
      <c r="I412" s="73"/>
      <c r="J412" s="73"/>
      <c r="K412" s="73"/>
      <c r="L412" s="73"/>
      <c r="M412" s="73"/>
      <c r="N412" s="73"/>
      <c r="O412" s="73"/>
      <c r="P412" s="73"/>
      <c r="Q412" s="73"/>
      <c r="R412" s="73"/>
      <c r="S412" s="73"/>
      <c r="T412" s="73"/>
      <c r="U412" s="73"/>
      <c r="V412" s="73"/>
      <c r="W412" s="73"/>
      <c r="GL412" s="73"/>
      <c r="GM412" s="73"/>
      <c r="GN412" s="73"/>
      <c r="GO412" s="73"/>
      <c r="GP412" s="73"/>
      <c r="GQ412" s="73"/>
      <c r="GR412" s="73"/>
      <c r="GS412" s="73"/>
      <c r="GT412" s="73"/>
      <c r="GU412" s="73"/>
      <c r="GV412" s="73"/>
      <c r="GW412" s="73"/>
      <c r="GX412" s="73"/>
      <c r="GY412" s="73"/>
      <c r="GZ412" s="73"/>
      <c r="HA412" s="73"/>
      <c r="HB412" s="73"/>
      <c r="HC412" s="73"/>
      <c r="HD412" s="73"/>
      <c r="HE412" s="73"/>
      <c r="HF412" s="73"/>
      <c r="HG412" s="73"/>
      <c r="HH412" s="73"/>
      <c r="HI412" s="73"/>
      <c r="HJ412" s="73"/>
      <c r="HK412" s="73"/>
      <c r="HL412" s="73"/>
      <c r="HM412" s="73"/>
      <c r="HN412" s="73"/>
      <c r="HO412" s="73"/>
      <c r="HP412" s="73"/>
      <c r="HQ412" s="73"/>
      <c r="HR412" s="73"/>
      <c r="HS412" s="73"/>
      <c r="HT412" s="73"/>
      <c r="HU412" s="73"/>
      <c r="HV412" s="73"/>
      <c r="HW412" s="73"/>
      <c r="HX412" s="73"/>
      <c r="HY412" s="73"/>
      <c r="HZ412" s="73"/>
      <c r="IA412" s="73"/>
      <c r="IB412" s="73"/>
      <c r="IC412" s="73"/>
      <c r="ID412" s="73"/>
      <c r="IE412" s="73"/>
      <c r="IF412" s="73"/>
      <c r="IG412" s="73"/>
      <c r="IH412" s="73"/>
      <c r="II412" s="73"/>
      <c r="IJ412" s="73"/>
      <c r="IK412" s="73"/>
      <c r="IL412" s="73"/>
      <c r="IM412" s="73"/>
      <c r="IN412" s="73"/>
      <c r="IO412" s="73"/>
      <c r="IP412" s="73"/>
      <c r="IQ412" s="73"/>
      <c r="IR412" s="73"/>
      <c r="IS412" s="73"/>
      <c r="IT412" s="73"/>
      <c r="IU412" s="73"/>
      <c r="IV412" s="73"/>
      <c r="IW412" s="73"/>
      <c r="IX412" s="73"/>
      <c r="IY412" s="73"/>
      <c r="IZ412" s="73"/>
      <c r="JA412" s="73"/>
      <c r="JB412" s="73"/>
      <c r="JC412" s="73"/>
    </row>
    <row r="413" spans="2:263" s="72" customFormat="1">
      <c r="B413" s="73"/>
      <c r="C413" s="73"/>
      <c r="D413" s="73"/>
      <c r="E413" s="73"/>
      <c r="F413" s="73"/>
      <c r="G413" s="73"/>
      <c r="H413" s="73"/>
      <c r="I413" s="73"/>
      <c r="J413" s="73"/>
      <c r="K413" s="73"/>
      <c r="L413" s="73"/>
      <c r="M413" s="73"/>
      <c r="N413" s="73"/>
      <c r="O413" s="73"/>
      <c r="P413" s="73"/>
      <c r="Q413" s="73"/>
      <c r="R413" s="73"/>
      <c r="S413" s="73"/>
      <c r="T413" s="73"/>
      <c r="U413" s="73"/>
      <c r="V413" s="73"/>
      <c r="W413" s="73"/>
      <c r="GL413" s="73"/>
      <c r="GM413" s="73"/>
      <c r="GN413" s="73"/>
      <c r="GO413" s="73"/>
      <c r="GP413" s="73"/>
      <c r="GQ413" s="73"/>
      <c r="GR413" s="73"/>
      <c r="GS413" s="73"/>
      <c r="GT413" s="73"/>
      <c r="GU413" s="73"/>
      <c r="GV413" s="73"/>
      <c r="GW413" s="73"/>
      <c r="GX413" s="73"/>
      <c r="GY413" s="73"/>
      <c r="GZ413" s="73"/>
      <c r="HA413" s="73"/>
      <c r="HB413" s="73"/>
      <c r="HC413" s="73"/>
      <c r="HD413" s="73"/>
      <c r="HE413" s="73"/>
      <c r="HF413" s="73"/>
      <c r="HG413" s="73"/>
      <c r="HH413" s="73"/>
      <c r="HI413" s="73"/>
      <c r="HJ413" s="73"/>
      <c r="HK413" s="73"/>
      <c r="HL413" s="73"/>
      <c r="HM413" s="73"/>
      <c r="HN413" s="73"/>
      <c r="HO413" s="73"/>
      <c r="HP413" s="73"/>
      <c r="HQ413" s="73"/>
      <c r="HR413" s="73"/>
      <c r="HS413" s="73"/>
      <c r="HT413" s="73"/>
      <c r="HU413" s="73"/>
      <c r="HV413" s="73"/>
      <c r="HW413" s="73"/>
      <c r="HX413" s="73"/>
      <c r="HY413" s="73"/>
      <c r="HZ413" s="73"/>
      <c r="IA413" s="73"/>
      <c r="IB413" s="73"/>
      <c r="IC413" s="73"/>
      <c r="ID413" s="73"/>
      <c r="IE413" s="73"/>
      <c r="IF413" s="73"/>
      <c r="IG413" s="73"/>
      <c r="IH413" s="73"/>
      <c r="II413" s="73"/>
      <c r="IJ413" s="73"/>
      <c r="IK413" s="73"/>
      <c r="IL413" s="73"/>
      <c r="IM413" s="73"/>
      <c r="IN413" s="73"/>
      <c r="IO413" s="73"/>
      <c r="IP413" s="73"/>
      <c r="IQ413" s="73"/>
      <c r="IR413" s="73"/>
      <c r="IS413" s="73"/>
      <c r="IT413" s="73"/>
      <c r="IU413" s="73"/>
      <c r="IV413" s="73"/>
      <c r="IW413" s="73"/>
      <c r="IX413" s="73"/>
      <c r="IY413" s="73"/>
      <c r="IZ413" s="73"/>
      <c r="JA413" s="73"/>
      <c r="JB413" s="73"/>
      <c r="JC413" s="73"/>
    </row>
    <row r="414" spans="2:263" s="72" customFormat="1">
      <c r="B414" s="73"/>
      <c r="C414" s="73"/>
      <c r="D414" s="73"/>
      <c r="E414" s="73"/>
      <c r="F414" s="73"/>
      <c r="G414" s="73"/>
      <c r="H414" s="73"/>
      <c r="I414" s="73"/>
      <c r="J414" s="73"/>
      <c r="K414" s="73"/>
      <c r="L414" s="73"/>
      <c r="M414" s="73"/>
      <c r="N414" s="73"/>
      <c r="O414" s="73"/>
      <c r="P414" s="73"/>
      <c r="Q414" s="73"/>
      <c r="R414" s="73"/>
      <c r="S414" s="73"/>
      <c r="T414" s="73"/>
      <c r="U414" s="73"/>
      <c r="V414" s="73"/>
      <c r="W414" s="73"/>
      <c r="GL414" s="73"/>
      <c r="GM414" s="73"/>
      <c r="GN414" s="73"/>
      <c r="GO414" s="73"/>
      <c r="GP414" s="73"/>
      <c r="GQ414" s="73"/>
      <c r="GR414" s="73"/>
      <c r="GS414" s="73"/>
      <c r="GT414" s="73"/>
      <c r="GU414" s="73"/>
      <c r="GV414" s="73"/>
      <c r="GW414" s="73"/>
      <c r="GX414" s="73"/>
      <c r="GY414" s="73"/>
      <c r="GZ414" s="73"/>
      <c r="HA414" s="73"/>
      <c r="HB414" s="73"/>
      <c r="HC414" s="73"/>
      <c r="HD414" s="73"/>
      <c r="HE414" s="73"/>
      <c r="HF414" s="73"/>
      <c r="HG414" s="73"/>
      <c r="HH414" s="73"/>
      <c r="HI414" s="73"/>
      <c r="HJ414" s="73"/>
      <c r="HK414" s="73"/>
      <c r="HL414" s="73"/>
      <c r="HM414" s="73"/>
      <c r="HN414" s="73"/>
      <c r="HO414" s="73"/>
      <c r="HP414" s="73"/>
      <c r="HQ414" s="73"/>
      <c r="HR414" s="73"/>
      <c r="HS414" s="73"/>
      <c r="HT414" s="73"/>
      <c r="HU414" s="73"/>
      <c r="HV414" s="73"/>
      <c r="HW414" s="73"/>
      <c r="HX414" s="73"/>
      <c r="HY414" s="73"/>
      <c r="HZ414" s="73"/>
      <c r="IA414" s="73"/>
      <c r="IB414" s="73"/>
      <c r="IC414" s="73"/>
      <c r="ID414" s="73"/>
      <c r="IE414" s="73"/>
      <c r="IF414" s="73"/>
      <c r="IG414" s="73"/>
      <c r="IH414" s="73"/>
      <c r="II414" s="73"/>
      <c r="IJ414" s="73"/>
      <c r="IK414" s="73"/>
      <c r="IL414" s="73"/>
      <c r="IM414" s="73"/>
      <c r="IN414" s="73"/>
      <c r="IO414" s="73"/>
      <c r="IP414" s="73"/>
      <c r="IQ414" s="73"/>
      <c r="IR414" s="73"/>
      <c r="IS414" s="73"/>
      <c r="IT414" s="73"/>
      <c r="IU414" s="73"/>
      <c r="IV414" s="73"/>
      <c r="IW414" s="73"/>
      <c r="IX414" s="73"/>
      <c r="IY414" s="73"/>
      <c r="IZ414" s="73"/>
      <c r="JA414" s="73"/>
      <c r="JB414" s="73"/>
      <c r="JC414" s="73"/>
    </row>
    <row r="415" spans="2:263" s="72" customFormat="1">
      <c r="B415" s="73"/>
      <c r="C415" s="73"/>
      <c r="D415" s="73"/>
      <c r="E415" s="73"/>
      <c r="F415" s="73"/>
      <c r="G415" s="73"/>
      <c r="H415" s="73"/>
      <c r="I415" s="73"/>
      <c r="J415" s="73"/>
      <c r="K415" s="73"/>
      <c r="L415" s="73"/>
      <c r="M415" s="73"/>
      <c r="N415" s="73"/>
      <c r="O415" s="73"/>
      <c r="P415" s="73"/>
      <c r="Q415" s="73"/>
      <c r="R415" s="73"/>
      <c r="S415" s="73"/>
      <c r="T415" s="73"/>
      <c r="U415" s="73"/>
      <c r="V415" s="73"/>
      <c r="W415" s="73"/>
      <c r="GL415" s="73"/>
      <c r="GM415" s="73"/>
      <c r="GN415" s="73"/>
      <c r="GO415" s="73"/>
      <c r="GP415" s="73"/>
      <c r="GQ415" s="73"/>
      <c r="GR415" s="73"/>
      <c r="GS415" s="73"/>
      <c r="GT415" s="73"/>
      <c r="GU415" s="73"/>
      <c r="GV415" s="73"/>
      <c r="GW415" s="73"/>
      <c r="GX415" s="73"/>
      <c r="GY415" s="73"/>
      <c r="GZ415" s="73"/>
      <c r="HA415" s="73"/>
      <c r="HB415" s="73"/>
      <c r="HC415" s="73"/>
      <c r="HD415" s="73"/>
      <c r="HE415" s="73"/>
      <c r="HF415" s="73"/>
      <c r="HG415" s="73"/>
      <c r="HH415" s="73"/>
      <c r="HI415" s="73"/>
      <c r="HJ415" s="73"/>
      <c r="HK415" s="73"/>
      <c r="HL415" s="73"/>
      <c r="HM415" s="73"/>
      <c r="HN415" s="73"/>
      <c r="HO415" s="73"/>
      <c r="HP415" s="73"/>
      <c r="HQ415" s="73"/>
      <c r="HR415" s="73"/>
      <c r="HS415" s="73"/>
      <c r="HT415" s="73"/>
      <c r="HU415" s="73"/>
      <c r="HV415" s="73"/>
      <c r="HW415" s="73"/>
      <c r="HX415" s="73"/>
      <c r="HY415" s="73"/>
      <c r="HZ415" s="73"/>
      <c r="IA415" s="73"/>
      <c r="IB415" s="73"/>
      <c r="IC415" s="73"/>
      <c r="ID415" s="73"/>
      <c r="IE415" s="73"/>
      <c r="IF415" s="73"/>
      <c r="IG415" s="73"/>
      <c r="IH415" s="73"/>
      <c r="II415" s="73"/>
      <c r="IJ415" s="73"/>
      <c r="IK415" s="73"/>
      <c r="IL415" s="73"/>
      <c r="IM415" s="73"/>
      <c r="IN415" s="73"/>
      <c r="IO415" s="73"/>
      <c r="IP415" s="73"/>
      <c r="IQ415" s="73"/>
      <c r="IR415" s="73"/>
      <c r="IS415" s="73"/>
      <c r="IT415" s="73"/>
      <c r="IU415" s="73"/>
      <c r="IV415" s="73"/>
      <c r="IW415" s="73"/>
      <c r="IX415" s="73"/>
      <c r="IY415" s="73"/>
      <c r="IZ415" s="73"/>
      <c r="JA415" s="73"/>
      <c r="JB415" s="73"/>
      <c r="JC415" s="73"/>
    </row>
    <row r="416" spans="2:263" s="72" customFormat="1">
      <c r="B416" s="73"/>
      <c r="C416" s="73"/>
      <c r="D416" s="73"/>
      <c r="E416" s="73"/>
      <c r="F416" s="73"/>
      <c r="G416" s="73"/>
      <c r="H416" s="73"/>
      <c r="I416" s="73"/>
      <c r="J416" s="73"/>
      <c r="K416" s="73"/>
      <c r="L416" s="73"/>
      <c r="M416" s="73"/>
      <c r="N416" s="73"/>
      <c r="O416" s="73"/>
      <c r="P416" s="73"/>
      <c r="Q416" s="73"/>
      <c r="R416" s="73"/>
      <c r="S416" s="73"/>
      <c r="T416" s="73"/>
      <c r="U416" s="73"/>
      <c r="V416" s="73"/>
      <c r="W416" s="73"/>
      <c r="GL416" s="73"/>
      <c r="GM416" s="73"/>
      <c r="GN416" s="73"/>
      <c r="GO416" s="73"/>
      <c r="GP416" s="73"/>
      <c r="GQ416" s="73"/>
      <c r="GR416" s="73"/>
      <c r="GS416" s="73"/>
      <c r="GT416" s="73"/>
      <c r="GU416" s="73"/>
      <c r="GV416" s="73"/>
      <c r="GW416" s="73"/>
      <c r="GX416" s="73"/>
      <c r="GY416" s="73"/>
      <c r="GZ416" s="73"/>
      <c r="HA416" s="73"/>
      <c r="HB416" s="73"/>
      <c r="HC416" s="73"/>
      <c r="HD416" s="73"/>
      <c r="HE416" s="73"/>
      <c r="HF416" s="73"/>
      <c r="HG416" s="73"/>
      <c r="HH416" s="73"/>
      <c r="HI416" s="73"/>
      <c r="HJ416" s="73"/>
      <c r="HK416" s="73"/>
      <c r="HL416" s="73"/>
      <c r="HM416" s="73"/>
      <c r="HN416" s="73"/>
      <c r="HO416" s="73"/>
      <c r="HP416" s="73"/>
      <c r="HQ416" s="73"/>
      <c r="HR416" s="73"/>
      <c r="HS416" s="73"/>
      <c r="HT416" s="73"/>
      <c r="HU416" s="73"/>
      <c r="HV416" s="73"/>
      <c r="HW416" s="73"/>
      <c r="HX416" s="73"/>
      <c r="HY416" s="73"/>
      <c r="HZ416" s="73"/>
      <c r="IA416" s="73"/>
      <c r="IB416" s="73"/>
      <c r="IC416" s="73"/>
      <c r="ID416" s="73"/>
      <c r="IE416" s="73"/>
      <c r="IF416" s="73"/>
      <c r="IG416" s="73"/>
      <c r="IH416" s="73"/>
      <c r="II416" s="73"/>
      <c r="IJ416" s="73"/>
      <c r="IK416" s="73"/>
      <c r="IL416" s="73"/>
      <c r="IM416" s="73"/>
      <c r="IN416" s="73"/>
      <c r="IO416" s="73"/>
      <c r="IP416" s="73"/>
      <c r="IQ416" s="73"/>
      <c r="IR416" s="73"/>
      <c r="IS416" s="73"/>
      <c r="IT416" s="73"/>
      <c r="IU416" s="73"/>
      <c r="IV416" s="73"/>
      <c r="IW416" s="73"/>
      <c r="IX416" s="73"/>
      <c r="IY416" s="73"/>
      <c r="IZ416" s="73"/>
      <c r="JA416" s="73"/>
      <c r="JB416" s="73"/>
      <c r="JC416" s="73"/>
    </row>
    <row r="417" spans="2:263" s="72" customFormat="1">
      <c r="B417" s="73"/>
      <c r="C417" s="73"/>
      <c r="D417" s="73"/>
      <c r="E417" s="73"/>
      <c r="F417" s="73"/>
      <c r="G417" s="73"/>
      <c r="H417" s="73"/>
      <c r="I417" s="73"/>
      <c r="J417" s="73"/>
      <c r="K417" s="73"/>
      <c r="L417" s="73"/>
      <c r="M417" s="73"/>
      <c r="N417" s="73"/>
      <c r="O417" s="73"/>
      <c r="P417" s="73"/>
      <c r="Q417" s="73"/>
      <c r="R417" s="73"/>
      <c r="S417" s="73"/>
      <c r="T417" s="73"/>
      <c r="U417" s="73"/>
      <c r="V417" s="73"/>
      <c r="W417" s="73"/>
      <c r="GL417" s="73"/>
      <c r="GM417" s="73"/>
      <c r="GN417" s="73"/>
      <c r="GO417" s="73"/>
      <c r="GP417" s="73"/>
      <c r="GQ417" s="73"/>
      <c r="GR417" s="73"/>
      <c r="GS417" s="73"/>
      <c r="GT417" s="73"/>
      <c r="GU417" s="73"/>
      <c r="GV417" s="73"/>
      <c r="GW417" s="73"/>
      <c r="GX417" s="73"/>
      <c r="GY417" s="73"/>
      <c r="GZ417" s="73"/>
      <c r="HA417" s="73"/>
      <c r="HB417" s="73"/>
      <c r="HC417" s="73"/>
      <c r="HD417" s="73"/>
      <c r="HE417" s="73"/>
      <c r="HF417" s="73"/>
      <c r="HG417" s="73"/>
      <c r="HH417" s="73"/>
      <c r="HI417" s="73"/>
      <c r="HJ417" s="73"/>
      <c r="HK417" s="73"/>
      <c r="HL417" s="73"/>
      <c r="HM417" s="73"/>
      <c r="HN417" s="73"/>
      <c r="HO417" s="73"/>
      <c r="HP417" s="73"/>
      <c r="HQ417" s="73"/>
      <c r="HR417" s="73"/>
      <c r="HS417" s="73"/>
      <c r="HT417" s="73"/>
      <c r="HU417" s="73"/>
      <c r="HV417" s="73"/>
      <c r="HW417" s="73"/>
      <c r="HX417" s="73"/>
      <c r="HY417" s="73"/>
      <c r="HZ417" s="73"/>
      <c r="IA417" s="73"/>
      <c r="IB417" s="73"/>
      <c r="IC417" s="73"/>
      <c r="ID417" s="73"/>
      <c r="IE417" s="73"/>
      <c r="IF417" s="73"/>
      <c r="IG417" s="73"/>
      <c r="IH417" s="73"/>
      <c r="II417" s="73"/>
      <c r="IJ417" s="73"/>
      <c r="IK417" s="73"/>
      <c r="IL417" s="73"/>
      <c r="IM417" s="73"/>
      <c r="IN417" s="73"/>
      <c r="IO417" s="73"/>
      <c r="IP417" s="73"/>
      <c r="IQ417" s="73"/>
      <c r="IR417" s="73"/>
      <c r="IS417" s="73"/>
      <c r="IT417" s="73"/>
      <c r="IU417" s="73"/>
      <c r="IV417" s="73"/>
      <c r="IW417" s="73"/>
      <c r="IX417" s="73"/>
      <c r="IY417" s="73"/>
      <c r="IZ417" s="73"/>
      <c r="JA417" s="73"/>
      <c r="JB417" s="73"/>
      <c r="JC417" s="73"/>
    </row>
    <row r="418" spans="2:263" s="72" customFormat="1">
      <c r="B418" s="73"/>
      <c r="C418" s="73"/>
      <c r="D418" s="73"/>
      <c r="E418" s="73"/>
      <c r="F418" s="73"/>
      <c r="G418" s="73"/>
      <c r="H418" s="73"/>
      <c r="I418" s="73"/>
      <c r="J418" s="73"/>
      <c r="K418" s="73"/>
      <c r="L418" s="73"/>
      <c r="M418" s="73"/>
      <c r="N418" s="73"/>
      <c r="O418" s="73"/>
      <c r="P418" s="73"/>
      <c r="Q418" s="73"/>
      <c r="R418" s="73"/>
      <c r="S418" s="73"/>
      <c r="T418" s="73"/>
      <c r="U418" s="73"/>
      <c r="V418" s="73"/>
      <c r="W418" s="73"/>
      <c r="GL418" s="73"/>
      <c r="GM418" s="73"/>
      <c r="GN418" s="73"/>
      <c r="GO418" s="73"/>
      <c r="GP418" s="73"/>
      <c r="GQ418" s="73"/>
      <c r="GR418" s="73"/>
      <c r="GS418" s="73"/>
      <c r="GT418" s="73"/>
      <c r="GU418" s="73"/>
      <c r="GV418" s="73"/>
      <c r="GW418" s="73"/>
      <c r="GX418" s="73"/>
      <c r="GY418" s="73"/>
      <c r="GZ418" s="73"/>
      <c r="HA418" s="73"/>
      <c r="HB418" s="73"/>
      <c r="HC418" s="73"/>
      <c r="HD418" s="73"/>
      <c r="HE418" s="73"/>
      <c r="HF418" s="73"/>
      <c r="HG418" s="73"/>
      <c r="HH418" s="73"/>
      <c r="HI418" s="73"/>
      <c r="HJ418" s="73"/>
      <c r="HK418" s="73"/>
      <c r="HL418" s="73"/>
      <c r="HM418" s="73"/>
      <c r="HN418" s="73"/>
      <c r="HO418" s="73"/>
      <c r="HP418" s="73"/>
      <c r="HQ418" s="73"/>
      <c r="HR418" s="73"/>
      <c r="HS418" s="73"/>
      <c r="HT418" s="73"/>
      <c r="HU418" s="73"/>
      <c r="HV418" s="73"/>
      <c r="HW418" s="73"/>
      <c r="HX418" s="73"/>
      <c r="HY418" s="73"/>
      <c r="HZ418" s="73"/>
      <c r="IA418" s="73"/>
      <c r="IB418" s="73"/>
      <c r="IC418" s="73"/>
      <c r="ID418" s="73"/>
      <c r="IE418" s="73"/>
      <c r="IF418" s="73"/>
      <c r="IG418" s="73"/>
      <c r="IH418" s="73"/>
      <c r="II418" s="73"/>
      <c r="IJ418" s="73"/>
      <c r="IK418" s="73"/>
      <c r="IL418" s="73"/>
      <c r="IM418" s="73"/>
      <c r="IN418" s="73"/>
      <c r="IO418" s="73"/>
      <c r="IP418" s="73"/>
      <c r="IQ418" s="73"/>
      <c r="IR418" s="73"/>
      <c r="IS418" s="73"/>
      <c r="IT418" s="73"/>
      <c r="IU418" s="73"/>
      <c r="IV418" s="73"/>
      <c r="IW418" s="73"/>
      <c r="IX418" s="73"/>
      <c r="IY418" s="73"/>
      <c r="IZ418" s="73"/>
      <c r="JA418" s="73"/>
      <c r="JB418" s="73"/>
      <c r="JC418" s="73"/>
    </row>
    <row r="419" spans="2:263" s="72" customFormat="1">
      <c r="B419" s="73"/>
      <c r="C419" s="73"/>
      <c r="D419" s="73"/>
      <c r="E419" s="73"/>
      <c r="F419" s="73"/>
      <c r="G419" s="73"/>
      <c r="H419" s="73"/>
      <c r="I419" s="73"/>
      <c r="J419" s="73"/>
      <c r="K419" s="73"/>
      <c r="L419" s="73"/>
      <c r="M419" s="73"/>
      <c r="N419" s="73"/>
      <c r="O419" s="73"/>
      <c r="P419" s="73"/>
      <c r="Q419" s="73"/>
      <c r="R419" s="73"/>
      <c r="S419" s="73"/>
      <c r="T419" s="73"/>
      <c r="U419" s="73"/>
      <c r="V419" s="73"/>
      <c r="W419" s="73"/>
      <c r="GL419" s="73"/>
      <c r="GM419" s="73"/>
      <c r="GN419" s="73"/>
      <c r="GO419" s="73"/>
      <c r="GP419" s="73"/>
      <c r="GQ419" s="73"/>
      <c r="GR419" s="73"/>
      <c r="GS419" s="73"/>
      <c r="GT419" s="73"/>
      <c r="GU419" s="73"/>
      <c r="GV419" s="73"/>
      <c r="GW419" s="73"/>
      <c r="GX419" s="73"/>
      <c r="GY419" s="73"/>
      <c r="GZ419" s="73"/>
      <c r="HA419" s="73"/>
      <c r="HB419" s="73"/>
      <c r="HC419" s="73"/>
      <c r="HD419" s="73"/>
      <c r="HE419" s="73"/>
      <c r="HF419" s="73"/>
      <c r="HG419" s="73"/>
      <c r="HH419" s="73"/>
      <c r="HI419" s="73"/>
      <c r="HJ419" s="73"/>
      <c r="HK419" s="73"/>
      <c r="HL419" s="73"/>
      <c r="HM419" s="73"/>
      <c r="HN419" s="73"/>
      <c r="HO419" s="73"/>
      <c r="HP419" s="73"/>
      <c r="HQ419" s="73"/>
      <c r="HR419" s="73"/>
      <c r="HS419" s="73"/>
      <c r="HT419" s="73"/>
      <c r="HU419" s="73"/>
      <c r="HV419" s="73"/>
      <c r="HW419" s="73"/>
      <c r="HX419" s="73"/>
      <c r="HY419" s="73"/>
      <c r="HZ419" s="73"/>
      <c r="IA419" s="73"/>
      <c r="IB419" s="73"/>
      <c r="IC419" s="73"/>
      <c r="ID419" s="73"/>
      <c r="IE419" s="73"/>
      <c r="IF419" s="73"/>
      <c r="IG419" s="73"/>
      <c r="IH419" s="73"/>
      <c r="II419" s="73"/>
      <c r="IJ419" s="73"/>
      <c r="IK419" s="73"/>
      <c r="IL419" s="73"/>
      <c r="IM419" s="73"/>
      <c r="IN419" s="73"/>
      <c r="IO419" s="73"/>
      <c r="IP419" s="73"/>
      <c r="IQ419" s="73"/>
      <c r="IR419" s="73"/>
      <c r="IS419" s="73"/>
      <c r="IT419" s="73"/>
      <c r="IU419" s="73"/>
      <c r="IV419" s="73"/>
      <c r="IW419" s="73"/>
      <c r="IX419" s="73"/>
      <c r="IY419" s="73"/>
      <c r="IZ419" s="73"/>
      <c r="JA419" s="73"/>
      <c r="JB419" s="73"/>
      <c r="JC419" s="73"/>
    </row>
    <row r="420" spans="2:263" s="72" customFormat="1">
      <c r="B420" s="73"/>
      <c r="C420" s="73"/>
      <c r="D420" s="73"/>
      <c r="E420" s="73"/>
      <c r="F420" s="73"/>
      <c r="G420" s="73"/>
      <c r="H420" s="73"/>
      <c r="I420" s="73"/>
      <c r="J420" s="73"/>
      <c r="K420" s="73"/>
      <c r="L420" s="73"/>
      <c r="M420" s="73"/>
      <c r="N420" s="73"/>
      <c r="O420" s="73"/>
      <c r="P420" s="73"/>
      <c r="Q420" s="73"/>
      <c r="R420" s="73"/>
      <c r="S420" s="73"/>
      <c r="T420" s="73"/>
      <c r="U420" s="73"/>
      <c r="V420" s="73"/>
      <c r="W420" s="73"/>
      <c r="GL420" s="73"/>
      <c r="GM420" s="73"/>
      <c r="GN420" s="73"/>
      <c r="GO420" s="73"/>
      <c r="GP420" s="73"/>
      <c r="GQ420" s="73"/>
      <c r="GR420" s="73"/>
      <c r="GS420" s="73"/>
      <c r="GT420" s="73"/>
      <c r="GU420" s="73"/>
      <c r="GV420" s="73"/>
      <c r="GW420" s="73"/>
      <c r="GX420" s="73"/>
      <c r="GY420" s="73"/>
      <c r="GZ420" s="73"/>
      <c r="HA420" s="73"/>
      <c r="HB420" s="73"/>
      <c r="HC420" s="73"/>
      <c r="HD420" s="73"/>
      <c r="HE420" s="73"/>
      <c r="HF420" s="73"/>
      <c r="HG420" s="73"/>
      <c r="HH420" s="73"/>
      <c r="HI420" s="73"/>
      <c r="HJ420" s="73"/>
      <c r="HK420" s="73"/>
      <c r="HL420" s="73"/>
      <c r="HM420" s="73"/>
      <c r="HN420" s="73"/>
      <c r="HO420" s="73"/>
      <c r="HP420" s="73"/>
      <c r="HQ420" s="73"/>
      <c r="HR420" s="73"/>
      <c r="HS420" s="73"/>
      <c r="HT420" s="73"/>
      <c r="HU420" s="73"/>
      <c r="HV420" s="73"/>
      <c r="HW420" s="73"/>
      <c r="HX420" s="73"/>
      <c r="HY420" s="73"/>
      <c r="HZ420" s="73"/>
      <c r="IA420" s="73"/>
      <c r="IB420" s="73"/>
      <c r="IC420" s="73"/>
      <c r="ID420" s="73"/>
      <c r="IE420" s="73"/>
      <c r="IF420" s="73"/>
      <c r="IG420" s="73"/>
      <c r="IH420" s="73"/>
      <c r="II420" s="73"/>
      <c r="IJ420" s="73"/>
      <c r="IK420" s="73"/>
      <c r="IL420" s="73"/>
      <c r="IM420" s="73"/>
      <c r="IN420" s="73"/>
      <c r="IO420" s="73"/>
      <c r="IP420" s="73"/>
      <c r="IQ420" s="73"/>
      <c r="IR420" s="73"/>
      <c r="IS420" s="73"/>
      <c r="IT420" s="73"/>
      <c r="IU420" s="73"/>
      <c r="IV420" s="73"/>
      <c r="IW420" s="73"/>
      <c r="IX420" s="73"/>
      <c r="IY420" s="73"/>
      <c r="IZ420" s="73"/>
      <c r="JA420" s="73"/>
      <c r="JB420" s="73"/>
      <c r="JC420" s="73"/>
    </row>
    <row r="421" spans="2:263" s="72" customFormat="1">
      <c r="B421" s="73"/>
      <c r="C421" s="73"/>
      <c r="D421" s="73"/>
      <c r="E421" s="73"/>
      <c r="F421" s="73"/>
      <c r="G421" s="73"/>
      <c r="H421" s="73"/>
      <c r="I421" s="73"/>
      <c r="J421" s="73"/>
      <c r="K421" s="73"/>
      <c r="L421" s="73"/>
      <c r="M421" s="73"/>
      <c r="N421" s="73"/>
      <c r="O421" s="73"/>
      <c r="P421" s="73"/>
      <c r="Q421" s="73"/>
      <c r="R421" s="73"/>
      <c r="S421" s="73"/>
      <c r="T421" s="73"/>
      <c r="U421" s="73"/>
      <c r="V421" s="73"/>
      <c r="W421" s="73"/>
      <c r="GL421" s="73"/>
      <c r="GM421" s="73"/>
      <c r="GN421" s="73"/>
      <c r="GO421" s="73"/>
      <c r="GP421" s="73"/>
      <c r="GQ421" s="73"/>
      <c r="GR421" s="73"/>
      <c r="GS421" s="73"/>
      <c r="GT421" s="73"/>
      <c r="GU421" s="73"/>
      <c r="GV421" s="73"/>
      <c r="GW421" s="73"/>
      <c r="GX421" s="73"/>
      <c r="GY421" s="73"/>
      <c r="GZ421" s="73"/>
      <c r="HA421" s="73"/>
      <c r="HB421" s="73"/>
      <c r="HC421" s="73"/>
      <c r="HD421" s="73"/>
      <c r="HE421" s="73"/>
      <c r="HF421" s="73"/>
      <c r="HG421" s="73"/>
      <c r="HH421" s="73"/>
      <c r="HI421" s="73"/>
      <c r="HJ421" s="73"/>
      <c r="HK421" s="73"/>
      <c r="HL421" s="73"/>
      <c r="HM421" s="73"/>
      <c r="HN421" s="73"/>
      <c r="HO421" s="73"/>
      <c r="HP421" s="73"/>
      <c r="HQ421" s="73"/>
      <c r="HR421" s="73"/>
      <c r="HS421" s="73"/>
      <c r="HT421" s="73"/>
      <c r="HU421" s="73"/>
      <c r="HV421" s="73"/>
      <c r="HW421" s="73"/>
      <c r="HX421" s="73"/>
      <c r="HY421" s="73"/>
      <c r="HZ421" s="73"/>
      <c r="IA421" s="73"/>
      <c r="IB421" s="73"/>
      <c r="IC421" s="73"/>
      <c r="ID421" s="73"/>
      <c r="IE421" s="73"/>
      <c r="IF421" s="73"/>
      <c r="IG421" s="73"/>
      <c r="IH421" s="73"/>
      <c r="II421" s="73"/>
      <c r="IJ421" s="73"/>
      <c r="IK421" s="73"/>
      <c r="IL421" s="73"/>
      <c r="IM421" s="73"/>
      <c r="IN421" s="73"/>
      <c r="IO421" s="73"/>
      <c r="IP421" s="73"/>
      <c r="IQ421" s="73"/>
      <c r="IR421" s="73"/>
      <c r="IS421" s="73"/>
      <c r="IT421" s="73"/>
      <c r="IU421" s="73"/>
      <c r="IV421" s="73"/>
      <c r="IW421" s="73"/>
      <c r="IX421" s="73"/>
      <c r="IY421" s="73"/>
      <c r="IZ421" s="73"/>
      <c r="JA421" s="73"/>
      <c r="JB421" s="73"/>
      <c r="JC421" s="73"/>
    </row>
    <row r="422" spans="2:263" s="72" customFormat="1">
      <c r="B422" s="73"/>
      <c r="C422" s="73"/>
      <c r="D422" s="73"/>
      <c r="E422" s="73"/>
      <c r="F422" s="73"/>
      <c r="G422" s="73"/>
      <c r="H422" s="73"/>
      <c r="I422" s="73"/>
      <c r="J422" s="73"/>
      <c r="K422" s="73"/>
      <c r="L422" s="73"/>
      <c r="M422" s="73"/>
      <c r="N422" s="73"/>
      <c r="O422" s="73"/>
      <c r="P422" s="73"/>
      <c r="Q422" s="73"/>
      <c r="R422" s="73"/>
      <c r="S422" s="73"/>
      <c r="T422" s="73"/>
      <c r="U422" s="73"/>
      <c r="V422" s="73"/>
      <c r="W422" s="73"/>
      <c r="GL422" s="73"/>
      <c r="GM422" s="73"/>
      <c r="GN422" s="73"/>
      <c r="GO422" s="73"/>
      <c r="GP422" s="73"/>
      <c r="GQ422" s="73"/>
      <c r="GR422" s="73"/>
      <c r="GS422" s="73"/>
      <c r="GT422" s="73"/>
      <c r="GU422" s="73"/>
      <c r="GV422" s="73"/>
      <c r="GW422" s="73"/>
      <c r="GX422" s="73"/>
      <c r="GY422" s="73"/>
      <c r="GZ422" s="73"/>
      <c r="HA422" s="73"/>
      <c r="HB422" s="73"/>
      <c r="HC422" s="73"/>
      <c r="HD422" s="73"/>
      <c r="HE422" s="73"/>
      <c r="HF422" s="73"/>
      <c r="HG422" s="73"/>
      <c r="HH422" s="73"/>
      <c r="HI422" s="73"/>
      <c r="HJ422" s="73"/>
      <c r="HK422" s="73"/>
      <c r="HL422" s="73"/>
      <c r="HM422" s="73"/>
      <c r="HN422" s="73"/>
      <c r="HO422" s="73"/>
      <c r="HP422" s="73"/>
      <c r="HQ422" s="73"/>
      <c r="HR422" s="73"/>
      <c r="HS422" s="73"/>
      <c r="HT422" s="73"/>
      <c r="HU422" s="73"/>
      <c r="HV422" s="73"/>
      <c r="HW422" s="73"/>
      <c r="HX422" s="73"/>
      <c r="HY422" s="73"/>
      <c r="HZ422" s="73"/>
      <c r="IA422" s="73"/>
      <c r="IB422" s="73"/>
      <c r="IC422" s="73"/>
      <c r="ID422" s="73"/>
      <c r="IE422" s="73"/>
      <c r="IF422" s="73"/>
      <c r="IG422" s="73"/>
      <c r="IH422" s="73"/>
      <c r="II422" s="73"/>
      <c r="IJ422" s="73"/>
      <c r="IK422" s="73"/>
      <c r="IL422" s="73"/>
      <c r="IM422" s="73"/>
      <c r="IN422" s="73"/>
      <c r="IO422" s="73"/>
      <c r="IP422" s="73"/>
      <c r="IQ422" s="73"/>
      <c r="IR422" s="73"/>
      <c r="IS422" s="73"/>
      <c r="IT422" s="73"/>
      <c r="IU422" s="73"/>
      <c r="IV422" s="73"/>
      <c r="IW422" s="73"/>
      <c r="IX422" s="73"/>
      <c r="IY422" s="73"/>
      <c r="IZ422" s="73"/>
      <c r="JA422" s="73"/>
      <c r="JB422" s="73"/>
      <c r="JC422" s="73"/>
    </row>
    <row r="423" spans="2:263" s="72" customFormat="1">
      <c r="B423" s="73"/>
      <c r="C423" s="73"/>
      <c r="D423" s="73"/>
      <c r="E423" s="73"/>
      <c r="F423" s="73"/>
      <c r="G423" s="73"/>
      <c r="H423" s="73"/>
      <c r="I423" s="73"/>
      <c r="J423" s="73"/>
      <c r="K423" s="73"/>
      <c r="L423" s="73"/>
      <c r="M423" s="73"/>
      <c r="N423" s="73"/>
      <c r="O423" s="73"/>
      <c r="P423" s="73"/>
      <c r="Q423" s="73"/>
      <c r="R423" s="73"/>
      <c r="S423" s="73"/>
      <c r="T423" s="73"/>
      <c r="U423" s="73"/>
      <c r="V423" s="73"/>
      <c r="W423" s="73"/>
      <c r="GL423" s="73"/>
      <c r="GM423" s="73"/>
      <c r="GN423" s="73"/>
      <c r="GO423" s="73"/>
      <c r="GP423" s="73"/>
      <c r="GQ423" s="73"/>
      <c r="GR423" s="73"/>
      <c r="GS423" s="73"/>
      <c r="GT423" s="73"/>
      <c r="GU423" s="73"/>
      <c r="GV423" s="73"/>
      <c r="GW423" s="73"/>
      <c r="GX423" s="73"/>
      <c r="GY423" s="73"/>
      <c r="GZ423" s="73"/>
      <c r="HA423" s="73"/>
      <c r="HB423" s="73"/>
      <c r="HC423" s="73"/>
      <c r="HD423" s="73"/>
      <c r="HE423" s="73"/>
      <c r="HF423" s="73"/>
      <c r="HG423" s="73"/>
      <c r="HH423" s="73"/>
      <c r="HI423" s="73"/>
      <c r="HJ423" s="73"/>
      <c r="HK423" s="73"/>
      <c r="HL423" s="73"/>
      <c r="HM423" s="73"/>
      <c r="HN423" s="73"/>
      <c r="HO423" s="73"/>
      <c r="HP423" s="73"/>
      <c r="HQ423" s="73"/>
      <c r="HR423" s="73"/>
      <c r="HS423" s="73"/>
      <c r="HT423" s="73"/>
      <c r="HU423" s="73"/>
      <c r="HV423" s="73"/>
      <c r="HW423" s="73"/>
      <c r="HX423" s="73"/>
      <c r="HY423" s="73"/>
      <c r="HZ423" s="73"/>
      <c r="IA423" s="73"/>
      <c r="IB423" s="73"/>
      <c r="IC423" s="73"/>
      <c r="ID423" s="73"/>
      <c r="IE423" s="73"/>
      <c r="IF423" s="73"/>
      <c r="IG423" s="73"/>
      <c r="IH423" s="73"/>
      <c r="II423" s="73"/>
      <c r="IJ423" s="73"/>
      <c r="IK423" s="73"/>
      <c r="IL423" s="73"/>
      <c r="IM423" s="73"/>
      <c r="IN423" s="73"/>
      <c r="IO423" s="73"/>
      <c r="IP423" s="73"/>
      <c r="IQ423" s="73"/>
      <c r="IR423" s="73"/>
      <c r="IS423" s="73"/>
      <c r="IT423" s="73"/>
      <c r="IU423" s="73"/>
      <c r="IV423" s="73"/>
      <c r="IW423" s="73"/>
      <c r="IX423" s="73"/>
      <c r="IY423" s="73"/>
      <c r="IZ423" s="73"/>
      <c r="JA423" s="73"/>
      <c r="JB423" s="73"/>
      <c r="JC423" s="73"/>
    </row>
    <row r="424" spans="2:263" s="72" customFormat="1">
      <c r="B424" s="73"/>
      <c r="C424" s="73"/>
      <c r="D424" s="73"/>
      <c r="E424" s="73"/>
      <c r="F424" s="73"/>
      <c r="G424" s="73"/>
      <c r="H424" s="73"/>
      <c r="I424" s="73"/>
      <c r="J424" s="73"/>
      <c r="K424" s="73"/>
      <c r="L424" s="73"/>
      <c r="M424" s="73"/>
      <c r="N424" s="73"/>
      <c r="O424" s="73"/>
      <c r="P424" s="73"/>
      <c r="Q424" s="73"/>
      <c r="R424" s="73"/>
      <c r="S424" s="73"/>
      <c r="T424" s="73"/>
      <c r="U424" s="73"/>
      <c r="V424" s="73"/>
      <c r="W424" s="73"/>
      <c r="GL424" s="73"/>
      <c r="GM424" s="73"/>
      <c r="GN424" s="73"/>
      <c r="GO424" s="73"/>
      <c r="GP424" s="73"/>
      <c r="GQ424" s="73"/>
      <c r="GR424" s="73"/>
      <c r="GS424" s="73"/>
      <c r="GT424" s="73"/>
      <c r="GU424" s="73"/>
      <c r="GV424" s="73"/>
      <c r="GW424" s="73"/>
      <c r="GX424" s="73"/>
      <c r="GY424" s="73"/>
      <c r="GZ424" s="73"/>
      <c r="HA424" s="73"/>
      <c r="HB424" s="73"/>
      <c r="HC424" s="73"/>
      <c r="HD424" s="73"/>
      <c r="HE424" s="73"/>
      <c r="HF424" s="73"/>
      <c r="HG424" s="73"/>
      <c r="HH424" s="73"/>
      <c r="HI424" s="73"/>
      <c r="HJ424" s="73"/>
      <c r="HK424" s="73"/>
      <c r="HL424" s="73"/>
      <c r="HM424" s="73"/>
      <c r="HN424" s="73"/>
      <c r="HO424" s="73"/>
      <c r="HP424" s="73"/>
      <c r="HQ424" s="73"/>
      <c r="HR424" s="73"/>
      <c r="HS424" s="73"/>
      <c r="HT424" s="73"/>
      <c r="HU424" s="73"/>
      <c r="HV424" s="73"/>
      <c r="HW424" s="73"/>
      <c r="HX424" s="73"/>
      <c r="HY424" s="73"/>
      <c r="HZ424" s="73"/>
      <c r="IA424" s="73"/>
      <c r="IB424" s="73"/>
      <c r="IC424" s="73"/>
      <c r="ID424" s="73"/>
      <c r="IE424" s="73"/>
      <c r="IF424" s="73"/>
      <c r="IG424" s="73"/>
      <c r="IH424" s="73"/>
      <c r="II424" s="73"/>
      <c r="IJ424" s="73"/>
      <c r="IK424" s="73"/>
      <c r="IL424" s="73"/>
      <c r="IM424" s="73"/>
      <c r="IN424" s="73"/>
      <c r="IO424" s="73"/>
      <c r="IP424" s="73"/>
      <c r="IQ424" s="73"/>
      <c r="IR424" s="73"/>
      <c r="IS424" s="73"/>
      <c r="IT424" s="73"/>
      <c r="IU424" s="73"/>
      <c r="IV424" s="73"/>
      <c r="IW424" s="73"/>
      <c r="IX424" s="73"/>
      <c r="IY424" s="73"/>
      <c r="IZ424" s="73"/>
      <c r="JA424" s="73"/>
      <c r="JB424" s="73"/>
      <c r="JC424" s="73"/>
    </row>
    <row r="425" spans="2:263" s="72" customFormat="1">
      <c r="B425" s="73"/>
      <c r="C425" s="73"/>
      <c r="D425" s="73"/>
      <c r="E425" s="73"/>
      <c r="F425" s="73"/>
      <c r="G425" s="73"/>
      <c r="H425" s="73"/>
      <c r="I425" s="73"/>
      <c r="J425" s="73"/>
      <c r="K425" s="73"/>
      <c r="L425" s="73"/>
      <c r="M425" s="73"/>
      <c r="N425" s="73"/>
      <c r="O425" s="73"/>
      <c r="P425" s="73"/>
      <c r="Q425" s="73"/>
      <c r="R425" s="73"/>
      <c r="S425" s="73"/>
      <c r="T425" s="73"/>
      <c r="U425" s="73"/>
      <c r="V425" s="73"/>
      <c r="W425" s="73"/>
      <c r="GL425" s="73"/>
      <c r="GM425" s="73"/>
      <c r="GN425" s="73"/>
      <c r="GO425" s="73"/>
      <c r="GP425" s="73"/>
      <c r="GQ425" s="73"/>
      <c r="GR425" s="73"/>
      <c r="GS425" s="73"/>
      <c r="GT425" s="73"/>
      <c r="GU425" s="73"/>
      <c r="GV425" s="73"/>
      <c r="GW425" s="73"/>
      <c r="GX425" s="73"/>
      <c r="GY425" s="73"/>
      <c r="GZ425" s="73"/>
      <c r="HA425" s="73"/>
      <c r="HB425" s="73"/>
      <c r="HC425" s="73"/>
      <c r="HD425" s="73"/>
      <c r="HE425" s="73"/>
      <c r="HF425" s="73"/>
      <c r="HG425" s="73"/>
      <c r="HH425" s="73"/>
      <c r="HI425" s="73"/>
      <c r="HJ425" s="73"/>
      <c r="HK425" s="73"/>
      <c r="HL425" s="73"/>
      <c r="HM425" s="73"/>
      <c r="HN425" s="73"/>
      <c r="HO425" s="73"/>
      <c r="HP425" s="73"/>
      <c r="HQ425" s="73"/>
      <c r="HR425" s="73"/>
      <c r="HS425" s="73"/>
      <c r="HT425" s="73"/>
      <c r="HU425" s="73"/>
      <c r="HV425" s="73"/>
      <c r="HW425" s="73"/>
      <c r="HX425" s="73"/>
      <c r="HY425" s="73"/>
      <c r="HZ425" s="73"/>
      <c r="IA425" s="73"/>
      <c r="IB425" s="73"/>
      <c r="IC425" s="73"/>
      <c r="ID425" s="73"/>
      <c r="IE425" s="73"/>
      <c r="IF425" s="73"/>
      <c r="IG425" s="73"/>
      <c r="IH425" s="73"/>
      <c r="II425" s="73"/>
      <c r="IJ425" s="73"/>
      <c r="IK425" s="73"/>
      <c r="IL425" s="73"/>
      <c r="IM425" s="73"/>
      <c r="IN425" s="73"/>
      <c r="IO425" s="73"/>
      <c r="IP425" s="73"/>
      <c r="IQ425" s="73"/>
      <c r="IR425" s="73"/>
      <c r="IS425" s="73"/>
      <c r="IT425" s="73"/>
      <c r="IU425" s="73"/>
      <c r="IV425" s="73"/>
      <c r="IW425" s="73"/>
      <c r="IX425" s="73"/>
      <c r="IY425" s="73"/>
      <c r="IZ425" s="73"/>
      <c r="JA425" s="73"/>
      <c r="JB425" s="73"/>
      <c r="JC425" s="73"/>
    </row>
    <row r="426" spans="2:263" s="72" customFormat="1">
      <c r="B426" s="73"/>
      <c r="C426" s="73"/>
      <c r="D426" s="73"/>
      <c r="E426" s="73"/>
      <c r="F426" s="73"/>
      <c r="G426" s="73"/>
      <c r="H426" s="73"/>
      <c r="I426" s="73"/>
      <c r="J426" s="73"/>
      <c r="K426" s="73"/>
      <c r="L426" s="73"/>
      <c r="M426" s="73"/>
      <c r="N426" s="73"/>
      <c r="O426" s="73"/>
      <c r="P426" s="73"/>
      <c r="Q426" s="73"/>
      <c r="R426" s="73"/>
      <c r="S426" s="73"/>
      <c r="T426" s="73"/>
      <c r="U426" s="73"/>
      <c r="V426" s="73"/>
      <c r="W426" s="73"/>
      <c r="GL426" s="73"/>
      <c r="GM426" s="73"/>
      <c r="GN426" s="73"/>
      <c r="GO426" s="73"/>
      <c r="GP426" s="73"/>
      <c r="GQ426" s="73"/>
      <c r="GR426" s="73"/>
      <c r="GS426" s="73"/>
      <c r="GT426" s="73"/>
      <c r="GU426" s="73"/>
      <c r="GV426" s="73"/>
      <c r="GW426" s="73"/>
      <c r="GX426" s="73"/>
      <c r="GY426" s="73"/>
      <c r="GZ426" s="73"/>
      <c r="HA426" s="73"/>
      <c r="HB426" s="73"/>
      <c r="HC426" s="73"/>
      <c r="HD426" s="73"/>
      <c r="HE426" s="73"/>
      <c r="HF426" s="73"/>
      <c r="HG426" s="73"/>
      <c r="HH426" s="73"/>
      <c r="HI426" s="73"/>
      <c r="HJ426" s="73"/>
      <c r="HK426" s="73"/>
      <c r="HL426" s="73"/>
      <c r="HM426" s="73"/>
      <c r="HN426" s="73"/>
      <c r="HO426" s="73"/>
      <c r="HP426" s="73"/>
      <c r="HQ426" s="73"/>
      <c r="HR426" s="73"/>
      <c r="HS426" s="73"/>
      <c r="HT426" s="73"/>
      <c r="HU426" s="73"/>
      <c r="HV426" s="73"/>
      <c r="HW426" s="73"/>
      <c r="HX426" s="73"/>
      <c r="HY426" s="73"/>
      <c r="HZ426" s="73"/>
      <c r="IA426" s="73"/>
      <c r="IB426" s="73"/>
      <c r="IC426" s="73"/>
      <c r="ID426" s="73"/>
      <c r="IE426" s="73"/>
      <c r="IF426" s="73"/>
      <c r="IG426" s="73"/>
      <c r="IH426" s="73"/>
      <c r="II426" s="73"/>
      <c r="IJ426" s="73"/>
      <c r="IK426" s="73"/>
      <c r="IL426" s="73"/>
      <c r="IM426" s="73"/>
      <c r="IN426" s="73"/>
      <c r="IO426" s="73"/>
      <c r="IP426" s="73"/>
      <c r="IQ426" s="73"/>
      <c r="IR426" s="73"/>
      <c r="IS426" s="73"/>
      <c r="IT426" s="73"/>
      <c r="IU426" s="73"/>
      <c r="IV426" s="73"/>
      <c r="IW426" s="73"/>
      <c r="IX426" s="73"/>
      <c r="IY426" s="73"/>
      <c r="IZ426" s="73"/>
      <c r="JA426" s="73"/>
      <c r="JB426" s="73"/>
      <c r="JC426" s="73"/>
    </row>
    <row r="427" spans="2:263" s="72" customFormat="1">
      <c r="B427" s="73"/>
      <c r="C427" s="73"/>
      <c r="D427" s="73"/>
      <c r="E427" s="73"/>
      <c r="F427" s="73"/>
      <c r="G427" s="73"/>
      <c r="H427" s="73"/>
      <c r="I427" s="73"/>
      <c r="J427" s="73"/>
      <c r="K427" s="73"/>
      <c r="L427" s="73"/>
      <c r="M427" s="73"/>
      <c r="N427" s="73"/>
      <c r="O427" s="73"/>
      <c r="P427" s="73"/>
      <c r="Q427" s="73"/>
      <c r="R427" s="73"/>
      <c r="S427" s="73"/>
      <c r="T427" s="73"/>
      <c r="U427" s="73"/>
      <c r="V427" s="73"/>
      <c r="W427" s="73"/>
      <c r="GL427" s="73"/>
      <c r="GM427" s="73"/>
      <c r="GN427" s="73"/>
      <c r="GO427" s="73"/>
      <c r="GP427" s="73"/>
      <c r="GQ427" s="73"/>
      <c r="GR427" s="73"/>
      <c r="GS427" s="73"/>
      <c r="GT427" s="73"/>
      <c r="GU427" s="73"/>
      <c r="GV427" s="73"/>
      <c r="GW427" s="73"/>
      <c r="GX427" s="73"/>
      <c r="GY427" s="73"/>
      <c r="GZ427" s="73"/>
      <c r="HA427" s="73"/>
      <c r="HB427" s="73"/>
      <c r="HC427" s="73"/>
      <c r="HD427" s="73"/>
      <c r="HE427" s="73"/>
      <c r="HF427" s="73"/>
      <c r="HG427" s="73"/>
      <c r="HH427" s="73"/>
      <c r="HI427" s="73"/>
      <c r="HJ427" s="73"/>
      <c r="HK427" s="73"/>
      <c r="HL427" s="73"/>
      <c r="HM427" s="73"/>
      <c r="HN427" s="73"/>
      <c r="HO427" s="73"/>
      <c r="HP427" s="73"/>
      <c r="HQ427" s="73"/>
      <c r="HR427" s="73"/>
      <c r="HS427" s="73"/>
      <c r="HT427" s="73"/>
      <c r="HU427" s="73"/>
      <c r="HV427" s="73"/>
      <c r="HW427" s="73"/>
      <c r="HX427" s="73"/>
      <c r="HY427" s="73"/>
      <c r="HZ427" s="73"/>
      <c r="IA427" s="73"/>
      <c r="IB427" s="73"/>
      <c r="IC427" s="73"/>
      <c r="ID427" s="73"/>
      <c r="IE427" s="73"/>
      <c r="IF427" s="73"/>
      <c r="IG427" s="73"/>
      <c r="IH427" s="73"/>
      <c r="II427" s="73"/>
      <c r="IJ427" s="73"/>
      <c r="IK427" s="73"/>
      <c r="IL427" s="73"/>
      <c r="IM427" s="73"/>
      <c r="IN427" s="73"/>
      <c r="IO427" s="73"/>
      <c r="IP427" s="73"/>
      <c r="IQ427" s="73"/>
      <c r="IR427" s="73"/>
      <c r="IS427" s="73"/>
      <c r="IT427" s="73"/>
      <c r="IU427" s="73"/>
      <c r="IV427" s="73"/>
      <c r="IW427" s="73"/>
      <c r="IX427" s="73"/>
      <c r="IY427" s="73"/>
      <c r="IZ427" s="73"/>
      <c r="JA427" s="73"/>
      <c r="JB427" s="73"/>
      <c r="JC427" s="73"/>
    </row>
    <row r="428" spans="2:263" s="72" customFormat="1">
      <c r="B428" s="73"/>
      <c r="C428" s="73"/>
      <c r="D428" s="73"/>
      <c r="E428" s="73"/>
      <c r="F428" s="73"/>
      <c r="G428" s="73"/>
      <c r="H428" s="73"/>
      <c r="I428" s="73"/>
      <c r="J428" s="73"/>
      <c r="K428" s="73"/>
      <c r="L428" s="73"/>
      <c r="M428" s="73"/>
      <c r="N428" s="73"/>
      <c r="O428" s="73"/>
      <c r="P428" s="73"/>
      <c r="Q428" s="73"/>
      <c r="R428" s="73"/>
      <c r="S428" s="73"/>
      <c r="T428" s="73"/>
      <c r="U428" s="73"/>
      <c r="V428" s="73"/>
      <c r="W428" s="73"/>
      <c r="GL428" s="73"/>
      <c r="GM428" s="73"/>
      <c r="GN428" s="73"/>
      <c r="GO428" s="73"/>
      <c r="GP428" s="73"/>
      <c r="GQ428" s="73"/>
      <c r="GR428" s="73"/>
      <c r="GS428" s="73"/>
      <c r="GT428" s="73"/>
      <c r="GU428" s="73"/>
      <c r="GV428" s="73"/>
      <c r="GW428" s="73"/>
      <c r="GX428" s="73"/>
      <c r="GY428" s="73"/>
      <c r="GZ428" s="73"/>
      <c r="HA428" s="73"/>
      <c r="HB428" s="73"/>
      <c r="HC428" s="73"/>
      <c r="HD428" s="73"/>
      <c r="HE428" s="73"/>
      <c r="HF428" s="73"/>
      <c r="HG428" s="73"/>
      <c r="HH428" s="73"/>
      <c r="HI428" s="73"/>
      <c r="HJ428" s="73"/>
      <c r="HK428" s="73"/>
      <c r="HL428" s="73"/>
      <c r="HM428" s="73"/>
      <c r="HN428" s="73"/>
      <c r="HO428" s="73"/>
      <c r="HP428" s="73"/>
      <c r="HQ428" s="73"/>
      <c r="HR428" s="73"/>
      <c r="HS428" s="73"/>
      <c r="HT428" s="73"/>
      <c r="HU428" s="73"/>
      <c r="HV428" s="73"/>
      <c r="HW428" s="73"/>
      <c r="HX428" s="73"/>
      <c r="HY428" s="73"/>
      <c r="HZ428" s="73"/>
      <c r="IA428" s="73"/>
      <c r="IB428" s="73"/>
      <c r="IC428" s="73"/>
      <c r="ID428" s="73"/>
      <c r="IE428" s="73"/>
      <c r="IF428" s="73"/>
      <c r="IG428" s="73"/>
      <c r="IH428" s="73"/>
      <c r="II428" s="73"/>
      <c r="IJ428" s="73"/>
      <c r="IK428" s="73"/>
      <c r="IL428" s="73"/>
      <c r="IM428" s="73"/>
      <c r="IN428" s="73"/>
      <c r="IO428" s="73"/>
      <c r="IP428" s="73"/>
      <c r="IQ428" s="73"/>
      <c r="IR428" s="73"/>
      <c r="IS428" s="73"/>
      <c r="IT428" s="73"/>
      <c r="IU428" s="73"/>
      <c r="IV428" s="73"/>
      <c r="IW428" s="73"/>
      <c r="IX428" s="73"/>
      <c r="IY428" s="73"/>
      <c r="IZ428" s="73"/>
      <c r="JA428" s="73"/>
      <c r="JB428" s="73"/>
      <c r="JC428" s="73"/>
    </row>
    <row r="429" spans="2:263" s="72" customFormat="1">
      <c r="B429" s="73"/>
      <c r="C429" s="73"/>
      <c r="D429" s="73"/>
      <c r="E429" s="73"/>
      <c r="F429" s="73"/>
      <c r="G429" s="73"/>
      <c r="H429" s="73"/>
      <c r="I429" s="73"/>
      <c r="J429" s="73"/>
      <c r="K429" s="73"/>
      <c r="L429" s="73"/>
      <c r="M429" s="73"/>
      <c r="N429" s="73"/>
      <c r="O429" s="73"/>
      <c r="P429" s="73"/>
      <c r="Q429" s="73"/>
      <c r="R429" s="73"/>
      <c r="S429" s="73"/>
      <c r="T429" s="73"/>
      <c r="U429" s="73"/>
      <c r="V429" s="73"/>
      <c r="W429" s="73"/>
      <c r="GL429" s="73"/>
      <c r="GM429" s="73"/>
      <c r="GN429" s="73"/>
      <c r="GO429" s="73"/>
      <c r="GP429" s="73"/>
      <c r="GQ429" s="73"/>
      <c r="GR429" s="73"/>
      <c r="GS429" s="73"/>
      <c r="GT429" s="73"/>
      <c r="GU429" s="73"/>
      <c r="GV429" s="73"/>
      <c r="GW429" s="73"/>
      <c r="GX429" s="73"/>
      <c r="GY429" s="73"/>
      <c r="GZ429" s="73"/>
      <c r="HA429" s="73"/>
      <c r="HB429" s="73"/>
      <c r="HC429" s="73"/>
      <c r="HD429" s="73"/>
      <c r="HE429" s="73"/>
      <c r="HF429" s="73"/>
      <c r="HG429" s="73"/>
      <c r="HH429" s="73"/>
      <c r="HI429" s="73"/>
      <c r="HJ429" s="73"/>
      <c r="HK429" s="73"/>
      <c r="HL429" s="73"/>
      <c r="HM429" s="73"/>
      <c r="HN429" s="73"/>
      <c r="HO429" s="73"/>
      <c r="HP429" s="73"/>
      <c r="HQ429" s="73"/>
      <c r="HR429" s="73"/>
      <c r="HS429" s="73"/>
      <c r="HT429" s="73"/>
      <c r="HU429" s="73"/>
      <c r="HV429" s="73"/>
      <c r="HW429" s="73"/>
      <c r="HX429" s="73"/>
      <c r="HY429" s="73"/>
      <c r="HZ429" s="73"/>
      <c r="IA429" s="73"/>
      <c r="IB429" s="73"/>
      <c r="IC429" s="73"/>
      <c r="ID429" s="73"/>
      <c r="IE429" s="73"/>
      <c r="IF429" s="73"/>
      <c r="IG429" s="73"/>
      <c r="IH429" s="73"/>
      <c r="II429" s="73"/>
      <c r="IJ429" s="73"/>
      <c r="IK429" s="73"/>
      <c r="IL429" s="73"/>
      <c r="IM429" s="73"/>
      <c r="IN429" s="73"/>
      <c r="IO429" s="73"/>
      <c r="IP429" s="73"/>
      <c r="IQ429" s="73"/>
      <c r="IR429" s="73"/>
      <c r="IS429" s="73"/>
      <c r="IT429" s="73"/>
      <c r="IU429" s="73"/>
      <c r="IV429" s="73"/>
      <c r="IW429" s="73"/>
      <c r="IX429" s="73"/>
      <c r="IY429" s="73"/>
      <c r="IZ429" s="73"/>
      <c r="JA429" s="73"/>
      <c r="JB429" s="73"/>
      <c r="JC429" s="73"/>
    </row>
    <row r="430" spans="2:263" s="72" customFormat="1">
      <c r="B430" s="73"/>
      <c r="C430" s="73"/>
      <c r="D430" s="73"/>
      <c r="E430" s="73"/>
      <c r="F430" s="73"/>
      <c r="G430" s="73"/>
      <c r="H430" s="73"/>
      <c r="I430" s="73"/>
      <c r="J430" s="73"/>
      <c r="K430" s="73"/>
      <c r="L430" s="73"/>
      <c r="M430" s="73"/>
      <c r="N430" s="73"/>
      <c r="O430" s="73"/>
      <c r="P430" s="73"/>
      <c r="Q430" s="73"/>
      <c r="R430" s="73"/>
      <c r="S430" s="73"/>
      <c r="T430" s="73"/>
      <c r="U430" s="73"/>
      <c r="V430" s="73"/>
      <c r="W430" s="73"/>
      <c r="GL430" s="73"/>
      <c r="GM430" s="73"/>
      <c r="GN430" s="73"/>
      <c r="GO430" s="73"/>
      <c r="GP430" s="73"/>
      <c r="GQ430" s="73"/>
      <c r="GR430" s="73"/>
      <c r="GS430" s="73"/>
      <c r="GT430" s="73"/>
      <c r="GU430" s="73"/>
      <c r="GV430" s="73"/>
      <c r="GW430" s="73"/>
      <c r="GX430" s="73"/>
      <c r="GY430" s="73"/>
      <c r="GZ430" s="73"/>
      <c r="HA430" s="73"/>
      <c r="HB430" s="73"/>
      <c r="HC430" s="73"/>
      <c r="HD430" s="73"/>
      <c r="HE430" s="73"/>
      <c r="HF430" s="73"/>
      <c r="HG430" s="73"/>
      <c r="HH430" s="73"/>
      <c r="HI430" s="73"/>
      <c r="HJ430" s="73"/>
      <c r="HK430" s="73"/>
      <c r="HL430" s="73"/>
      <c r="HM430" s="73"/>
      <c r="HN430" s="73"/>
      <c r="HO430" s="73"/>
      <c r="HP430" s="73"/>
      <c r="HQ430" s="73"/>
      <c r="HR430" s="73"/>
      <c r="HS430" s="73"/>
      <c r="HT430" s="73"/>
      <c r="HU430" s="73"/>
      <c r="HV430" s="73"/>
      <c r="HW430" s="73"/>
      <c r="HX430" s="73"/>
      <c r="HY430" s="73"/>
      <c r="HZ430" s="73"/>
      <c r="IA430" s="73"/>
      <c r="IB430" s="73"/>
      <c r="IC430" s="73"/>
      <c r="ID430" s="73"/>
      <c r="IE430" s="73"/>
      <c r="IF430" s="73"/>
      <c r="IG430" s="73"/>
      <c r="IH430" s="73"/>
      <c r="II430" s="73"/>
      <c r="IJ430" s="73"/>
      <c r="IK430" s="73"/>
      <c r="IL430" s="73"/>
      <c r="IM430" s="73"/>
      <c r="IN430" s="73"/>
      <c r="IO430" s="73"/>
      <c r="IP430" s="73"/>
      <c r="IQ430" s="73"/>
      <c r="IR430" s="73"/>
      <c r="IS430" s="73"/>
      <c r="IT430" s="73"/>
      <c r="IU430" s="73"/>
      <c r="IV430" s="73"/>
      <c r="IW430" s="73"/>
      <c r="IX430" s="73"/>
      <c r="IY430" s="73"/>
      <c r="IZ430" s="73"/>
      <c r="JA430" s="73"/>
      <c r="JB430" s="73"/>
      <c r="JC430" s="73"/>
    </row>
    <row r="431" spans="2:263" s="72" customFormat="1">
      <c r="B431" s="73"/>
      <c r="C431" s="73"/>
      <c r="D431" s="73"/>
      <c r="E431" s="73"/>
      <c r="F431" s="73"/>
      <c r="G431" s="73"/>
      <c r="H431" s="73"/>
      <c r="I431" s="73"/>
      <c r="J431" s="73"/>
      <c r="K431" s="73"/>
      <c r="L431" s="73"/>
      <c r="M431" s="73"/>
      <c r="N431" s="73"/>
      <c r="O431" s="73"/>
      <c r="P431" s="73"/>
      <c r="Q431" s="73"/>
      <c r="R431" s="73"/>
      <c r="S431" s="73"/>
      <c r="T431" s="73"/>
      <c r="U431" s="73"/>
      <c r="V431" s="73"/>
      <c r="W431" s="73"/>
      <c r="GL431" s="73"/>
      <c r="GM431" s="73"/>
      <c r="GN431" s="73"/>
      <c r="GO431" s="73"/>
      <c r="GP431" s="73"/>
      <c r="GQ431" s="73"/>
      <c r="GR431" s="73"/>
      <c r="GS431" s="73"/>
      <c r="GT431" s="73"/>
      <c r="GU431" s="73"/>
      <c r="GV431" s="73"/>
      <c r="GW431" s="73"/>
      <c r="GX431" s="73"/>
      <c r="GY431" s="73"/>
      <c r="GZ431" s="73"/>
      <c r="HA431" s="73"/>
      <c r="HB431" s="73"/>
      <c r="HC431" s="73"/>
      <c r="HD431" s="73"/>
      <c r="HE431" s="73"/>
      <c r="HF431" s="73"/>
      <c r="HG431" s="73"/>
      <c r="HH431" s="73"/>
      <c r="HI431" s="73"/>
      <c r="HJ431" s="73"/>
      <c r="HK431" s="73"/>
      <c r="HL431" s="73"/>
      <c r="HM431" s="73"/>
      <c r="HN431" s="73"/>
      <c r="HO431" s="73"/>
      <c r="HP431" s="73"/>
      <c r="HQ431" s="73"/>
      <c r="HR431" s="73"/>
      <c r="HS431" s="73"/>
      <c r="HT431" s="73"/>
      <c r="HU431" s="73"/>
      <c r="HV431" s="73"/>
      <c r="HW431" s="73"/>
      <c r="HX431" s="73"/>
      <c r="HY431" s="73"/>
      <c r="HZ431" s="73"/>
      <c r="IA431" s="73"/>
      <c r="IB431" s="73"/>
      <c r="IC431" s="73"/>
      <c r="ID431" s="73"/>
      <c r="IE431" s="73"/>
      <c r="IF431" s="73"/>
      <c r="IG431" s="73"/>
      <c r="IH431" s="73"/>
      <c r="II431" s="73"/>
      <c r="IJ431" s="73"/>
      <c r="IK431" s="73"/>
      <c r="IL431" s="73"/>
      <c r="IM431" s="73"/>
      <c r="IN431" s="73"/>
      <c r="IO431" s="73"/>
      <c r="IP431" s="73"/>
      <c r="IQ431" s="73"/>
      <c r="IR431" s="73"/>
      <c r="IS431" s="73"/>
      <c r="IT431" s="73"/>
      <c r="IU431" s="73"/>
      <c r="IV431" s="73"/>
      <c r="IW431" s="73"/>
      <c r="IX431" s="73"/>
      <c r="IY431" s="73"/>
      <c r="IZ431" s="73"/>
      <c r="JA431" s="73"/>
      <c r="JB431" s="73"/>
      <c r="JC431" s="73"/>
    </row>
    <row r="432" spans="2:263" s="72" customFormat="1">
      <c r="B432" s="73"/>
      <c r="C432" s="73"/>
      <c r="D432" s="73"/>
      <c r="E432" s="73"/>
      <c r="F432" s="73"/>
      <c r="G432" s="73"/>
      <c r="H432" s="73"/>
      <c r="I432" s="73"/>
      <c r="J432" s="73"/>
      <c r="K432" s="73"/>
      <c r="L432" s="73"/>
      <c r="M432" s="73"/>
      <c r="N432" s="73"/>
      <c r="O432" s="73"/>
      <c r="P432" s="73"/>
      <c r="Q432" s="73"/>
      <c r="R432" s="73"/>
      <c r="S432" s="73"/>
      <c r="T432" s="73"/>
      <c r="U432" s="73"/>
      <c r="V432" s="73"/>
      <c r="W432" s="73"/>
      <c r="GL432" s="73"/>
      <c r="GM432" s="73"/>
      <c r="GN432" s="73"/>
      <c r="GO432" s="73"/>
      <c r="GP432" s="73"/>
      <c r="GQ432" s="73"/>
      <c r="GR432" s="73"/>
      <c r="GS432" s="73"/>
      <c r="GT432" s="73"/>
      <c r="GU432" s="73"/>
      <c r="GV432" s="73"/>
      <c r="GW432" s="73"/>
      <c r="GX432" s="73"/>
      <c r="GY432" s="73"/>
      <c r="GZ432" s="73"/>
      <c r="HA432" s="73"/>
      <c r="HB432" s="73"/>
      <c r="HC432" s="73"/>
      <c r="HD432" s="73"/>
      <c r="HE432" s="73"/>
      <c r="HF432" s="73"/>
      <c r="HG432" s="73"/>
      <c r="HH432" s="73"/>
      <c r="HI432" s="73"/>
      <c r="HJ432" s="73"/>
      <c r="HK432" s="73"/>
      <c r="HL432" s="73"/>
      <c r="HM432" s="73"/>
      <c r="HN432" s="73"/>
      <c r="HO432" s="73"/>
      <c r="HP432" s="73"/>
      <c r="HQ432" s="73"/>
      <c r="HR432" s="73"/>
      <c r="HS432" s="73"/>
      <c r="HT432" s="73"/>
      <c r="HU432" s="73"/>
      <c r="HV432" s="73"/>
      <c r="HW432" s="73"/>
      <c r="HX432" s="73"/>
      <c r="HY432" s="73"/>
      <c r="HZ432" s="73"/>
      <c r="IA432" s="73"/>
      <c r="IB432" s="73"/>
      <c r="IC432" s="73"/>
      <c r="ID432" s="73"/>
      <c r="IE432" s="73"/>
      <c r="IF432" s="73"/>
      <c r="IG432" s="73"/>
      <c r="IH432" s="73"/>
      <c r="II432" s="73"/>
      <c r="IJ432" s="73"/>
      <c r="IK432" s="73"/>
      <c r="IL432" s="73"/>
      <c r="IM432" s="73"/>
      <c r="IN432" s="73"/>
      <c r="IO432" s="73"/>
      <c r="IP432" s="73"/>
      <c r="IQ432" s="73"/>
      <c r="IR432" s="73"/>
      <c r="IS432" s="73"/>
      <c r="IT432" s="73"/>
      <c r="IU432" s="73"/>
      <c r="IV432" s="73"/>
      <c r="IW432" s="73"/>
      <c r="IX432" s="73"/>
      <c r="IY432" s="73"/>
      <c r="IZ432" s="73"/>
      <c r="JA432" s="73"/>
      <c r="JB432" s="73"/>
      <c r="JC432" s="73"/>
    </row>
    <row r="433" spans="2:263" s="72" customFormat="1">
      <c r="B433" s="73"/>
      <c r="C433" s="73"/>
      <c r="D433" s="73"/>
      <c r="E433" s="73"/>
      <c r="F433" s="73"/>
      <c r="G433" s="73"/>
      <c r="H433" s="73"/>
      <c r="I433" s="73"/>
      <c r="J433" s="73"/>
      <c r="K433" s="73"/>
      <c r="L433" s="73"/>
      <c r="M433" s="73"/>
      <c r="N433" s="73"/>
      <c r="O433" s="73"/>
      <c r="P433" s="73"/>
      <c r="Q433" s="73"/>
      <c r="R433" s="73"/>
      <c r="S433" s="73"/>
      <c r="T433" s="73"/>
      <c r="U433" s="73"/>
      <c r="V433" s="73"/>
      <c r="W433" s="73"/>
      <c r="GL433" s="73"/>
      <c r="GM433" s="73"/>
      <c r="GN433" s="73"/>
      <c r="GO433" s="73"/>
      <c r="GP433" s="73"/>
      <c r="GQ433" s="73"/>
      <c r="GR433" s="73"/>
      <c r="GS433" s="73"/>
      <c r="GT433" s="73"/>
      <c r="GU433" s="73"/>
      <c r="GV433" s="73"/>
      <c r="GW433" s="73"/>
      <c r="GX433" s="73"/>
      <c r="GY433" s="73"/>
      <c r="GZ433" s="73"/>
      <c r="HA433" s="73"/>
      <c r="HB433" s="73"/>
      <c r="HC433" s="73"/>
      <c r="HD433" s="73"/>
      <c r="HE433" s="73"/>
      <c r="HF433" s="73"/>
      <c r="HG433" s="73"/>
      <c r="HH433" s="73"/>
      <c r="HI433" s="73"/>
      <c r="HJ433" s="73"/>
      <c r="HK433" s="73"/>
      <c r="HL433" s="73"/>
      <c r="HM433" s="73"/>
      <c r="HN433" s="73"/>
      <c r="HO433" s="73"/>
      <c r="HP433" s="73"/>
      <c r="HQ433" s="73"/>
      <c r="HR433" s="73"/>
      <c r="HS433" s="73"/>
      <c r="HT433" s="73"/>
      <c r="HU433" s="73"/>
      <c r="HV433" s="73"/>
      <c r="HW433" s="73"/>
      <c r="HX433" s="73"/>
      <c r="HY433" s="73"/>
      <c r="HZ433" s="73"/>
      <c r="IA433" s="73"/>
      <c r="IB433" s="73"/>
      <c r="IC433" s="73"/>
      <c r="ID433" s="73"/>
      <c r="IE433" s="73"/>
      <c r="IF433" s="73"/>
      <c r="IG433" s="73"/>
      <c r="IH433" s="73"/>
      <c r="II433" s="73"/>
      <c r="IJ433" s="73"/>
      <c r="IK433" s="73"/>
      <c r="IL433" s="73"/>
      <c r="IM433" s="73"/>
      <c r="IN433" s="73"/>
      <c r="IO433" s="73"/>
      <c r="IP433" s="73"/>
      <c r="IQ433" s="73"/>
      <c r="IR433" s="73"/>
      <c r="IS433" s="73"/>
      <c r="IT433" s="73"/>
      <c r="IU433" s="73"/>
      <c r="IV433" s="73"/>
      <c r="IW433" s="73"/>
      <c r="IX433" s="73"/>
      <c r="IY433" s="73"/>
      <c r="IZ433" s="73"/>
      <c r="JA433" s="73"/>
      <c r="JB433" s="73"/>
      <c r="JC433" s="73"/>
    </row>
    <row r="434" spans="2:263" s="72" customFormat="1">
      <c r="B434" s="73"/>
      <c r="C434" s="73"/>
      <c r="D434" s="73"/>
      <c r="E434" s="73"/>
      <c r="F434" s="73"/>
      <c r="G434" s="73"/>
      <c r="H434" s="73"/>
      <c r="I434" s="73"/>
      <c r="J434" s="73"/>
      <c r="K434" s="73"/>
      <c r="L434" s="73"/>
      <c r="M434" s="73"/>
      <c r="N434" s="73"/>
      <c r="O434" s="73"/>
      <c r="P434" s="73"/>
      <c r="Q434" s="73"/>
      <c r="R434" s="73"/>
      <c r="S434" s="73"/>
      <c r="T434" s="73"/>
      <c r="U434" s="73"/>
      <c r="V434" s="73"/>
      <c r="W434" s="73"/>
      <c r="GL434" s="73"/>
      <c r="GM434" s="73"/>
      <c r="GN434" s="73"/>
      <c r="GO434" s="73"/>
      <c r="GP434" s="73"/>
      <c r="GQ434" s="73"/>
      <c r="GR434" s="73"/>
      <c r="GS434" s="73"/>
      <c r="GT434" s="73"/>
      <c r="GU434" s="73"/>
      <c r="GV434" s="73"/>
      <c r="GW434" s="73"/>
      <c r="GX434" s="73"/>
      <c r="GY434" s="73"/>
      <c r="GZ434" s="73"/>
      <c r="HA434" s="73"/>
      <c r="HB434" s="73"/>
      <c r="HC434" s="73"/>
      <c r="HD434" s="73"/>
      <c r="HE434" s="73"/>
      <c r="HF434" s="73"/>
      <c r="HG434" s="73"/>
      <c r="HH434" s="73"/>
      <c r="HI434" s="73"/>
      <c r="HJ434" s="73"/>
      <c r="HK434" s="73"/>
      <c r="HL434" s="73"/>
      <c r="HM434" s="73"/>
      <c r="HN434" s="73"/>
      <c r="HO434" s="73"/>
      <c r="HP434" s="73"/>
      <c r="HQ434" s="73"/>
      <c r="HR434" s="73"/>
      <c r="HS434" s="73"/>
      <c r="HT434" s="73"/>
      <c r="HU434" s="73"/>
      <c r="HV434" s="73"/>
      <c r="HW434" s="73"/>
      <c r="HX434" s="73"/>
      <c r="HY434" s="73"/>
      <c r="HZ434" s="73"/>
      <c r="IA434" s="73"/>
      <c r="IB434" s="73"/>
      <c r="IC434" s="73"/>
      <c r="ID434" s="73"/>
      <c r="IE434" s="73"/>
      <c r="IF434" s="73"/>
      <c r="IG434" s="73"/>
      <c r="IH434" s="73"/>
      <c r="II434" s="73"/>
      <c r="IJ434" s="73"/>
      <c r="IK434" s="73"/>
      <c r="IL434" s="73"/>
      <c r="IM434" s="73"/>
      <c r="IN434" s="73"/>
      <c r="IO434" s="73"/>
      <c r="IP434" s="73"/>
      <c r="IQ434" s="73"/>
      <c r="IR434" s="73"/>
      <c r="IS434" s="73"/>
      <c r="IT434" s="73"/>
      <c r="IU434" s="73"/>
      <c r="IV434" s="73"/>
      <c r="IW434" s="73"/>
      <c r="IX434" s="73"/>
      <c r="IY434" s="73"/>
      <c r="IZ434" s="73"/>
      <c r="JA434" s="73"/>
      <c r="JB434" s="73"/>
      <c r="JC434" s="73"/>
    </row>
    <row r="435" spans="2:263" s="72" customFormat="1">
      <c r="B435" s="73"/>
      <c r="C435" s="73"/>
      <c r="D435" s="73"/>
      <c r="E435" s="73"/>
      <c r="F435" s="73"/>
      <c r="G435" s="73"/>
      <c r="H435" s="73"/>
      <c r="I435" s="73"/>
      <c r="J435" s="73"/>
      <c r="K435" s="73"/>
      <c r="L435" s="73"/>
      <c r="M435" s="73"/>
      <c r="N435" s="73"/>
      <c r="O435" s="73"/>
      <c r="P435" s="73"/>
      <c r="Q435" s="73"/>
      <c r="R435" s="73"/>
      <c r="S435" s="73"/>
      <c r="T435" s="73"/>
      <c r="U435" s="73"/>
      <c r="V435" s="73"/>
      <c r="W435" s="73"/>
      <c r="GL435" s="73"/>
      <c r="GM435" s="73"/>
      <c r="GN435" s="73"/>
      <c r="GO435" s="73"/>
      <c r="GP435" s="73"/>
      <c r="GQ435" s="73"/>
      <c r="GR435" s="73"/>
      <c r="GS435" s="73"/>
      <c r="GT435" s="73"/>
      <c r="GU435" s="73"/>
      <c r="GV435" s="73"/>
      <c r="GW435" s="73"/>
      <c r="GX435" s="73"/>
      <c r="GY435" s="73"/>
      <c r="GZ435" s="73"/>
      <c r="HA435" s="73"/>
      <c r="HB435" s="73"/>
      <c r="HC435" s="73"/>
      <c r="HD435" s="73"/>
      <c r="HE435" s="73"/>
      <c r="HF435" s="73"/>
      <c r="HG435" s="73"/>
      <c r="HH435" s="73"/>
      <c r="HI435" s="73"/>
      <c r="HJ435" s="73"/>
      <c r="HK435" s="73"/>
      <c r="HL435" s="73"/>
      <c r="HM435" s="73"/>
      <c r="HN435" s="73"/>
      <c r="HO435" s="73"/>
      <c r="HP435" s="73"/>
      <c r="HQ435" s="73"/>
      <c r="HR435" s="73"/>
      <c r="HS435" s="73"/>
      <c r="HT435" s="73"/>
      <c r="HU435" s="73"/>
      <c r="HV435" s="73"/>
      <c r="HW435" s="73"/>
      <c r="HX435" s="73"/>
      <c r="HY435" s="73"/>
      <c r="HZ435" s="73"/>
      <c r="IA435" s="73"/>
      <c r="IB435" s="73"/>
      <c r="IC435" s="73"/>
      <c r="ID435" s="73"/>
      <c r="IE435" s="73"/>
      <c r="IF435" s="73"/>
      <c r="IG435" s="73"/>
      <c r="IH435" s="73"/>
      <c r="II435" s="73"/>
      <c r="IJ435" s="73"/>
      <c r="IK435" s="73"/>
      <c r="IL435" s="73"/>
      <c r="IM435" s="73"/>
      <c r="IN435" s="73"/>
      <c r="IO435" s="73"/>
      <c r="IP435" s="73"/>
      <c r="IQ435" s="73"/>
      <c r="IR435" s="73"/>
      <c r="IS435" s="73"/>
      <c r="IT435" s="73"/>
      <c r="IU435" s="73"/>
      <c r="IV435" s="73"/>
      <c r="IW435" s="73"/>
      <c r="IX435" s="73"/>
      <c r="IY435" s="73"/>
      <c r="IZ435" s="73"/>
      <c r="JA435" s="73"/>
      <c r="JB435" s="73"/>
      <c r="JC435" s="73"/>
    </row>
    <row r="436" spans="2:263" s="72" customFormat="1">
      <c r="B436" s="73"/>
      <c r="C436" s="73"/>
      <c r="D436" s="73"/>
      <c r="E436" s="73"/>
      <c r="F436" s="73"/>
      <c r="G436" s="73"/>
      <c r="H436" s="73"/>
      <c r="I436" s="73"/>
      <c r="J436" s="73"/>
      <c r="K436" s="73"/>
      <c r="L436" s="73"/>
      <c r="M436" s="73"/>
      <c r="N436" s="73"/>
      <c r="O436" s="73"/>
      <c r="P436" s="73"/>
      <c r="Q436" s="73"/>
      <c r="R436" s="73"/>
      <c r="S436" s="73"/>
      <c r="T436" s="73"/>
      <c r="U436" s="73"/>
      <c r="V436" s="73"/>
      <c r="W436" s="73"/>
      <c r="GL436" s="73"/>
      <c r="GM436" s="73"/>
      <c r="GN436" s="73"/>
      <c r="GO436" s="73"/>
      <c r="GP436" s="73"/>
      <c r="GQ436" s="73"/>
      <c r="GR436" s="73"/>
      <c r="GS436" s="73"/>
      <c r="GT436" s="73"/>
      <c r="GU436" s="73"/>
      <c r="GV436" s="73"/>
      <c r="GW436" s="73"/>
      <c r="GX436" s="73"/>
      <c r="GY436" s="73"/>
      <c r="GZ436" s="73"/>
      <c r="HA436" s="73"/>
      <c r="HB436" s="73"/>
      <c r="HC436" s="73"/>
      <c r="HD436" s="73"/>
      <c r="HE436" s="73"/>
      <c r="HF436" s="73"/>
      <c r="HG436" s="73"/>
      <c r="HH436" s="73"/>
      <c r="HI436" s="73"/>
      <c r="HJ436" s="73"/>
      <c r="HK436" s="73"/>
      <c r="HL436" s="73"/>
      <c r="HM436" s="73"/>
      <c r="HN436" s="73"/>
      <c r="HO436" s="73"/>
      <c r="HP436" s="73"/>
      <c r="HQ436" s="73"/>
      <c r="HR436" s="73"/>
      <c r="HS436" s="73"/>
      <c r="HT436" s="73"/>
      <c r="HU436" s="73"/>
      <c r="HV436" s="73"/>
      <c r="HW436" s="73"/>
      <c r="HX436" s="73"/>
      <c r="HY436" s="73"/>
      <c r="HZ436" s="73"/>
      <c r="IA436" s="73"/>
      <c r="IB436" s="73"/>
      <c r="IC436" s="73"/>
      <c r="ID436" s="73"/>
      <c r="IE436" s="73"/>
      <c r="IF436" s="73"/>
      <c r="IG436" s="73"/>
      <c r="IH436" s="73"/>
      <c r="II436" s="73"/>
      <c r="IJ436" s="73"/>
      <c r="IK436" s="73"/>
      <c r="IL436" s="73"/>
      <c r="IM436" s="73"/>
      <c r="IN436" s="73"/>
      <c r="IO436" s="73"/>
      <c r="IP436" s="73"/>
      <c r="IQ436" s="73"/>
      <c r="IR436" s="73"/>
      <c r="IS436" s="73"/>
      <c r="IT436" s="73"/>
      <c r="IU436" s="73"/>
      <c r="IV436" s="73"/>
      <c r="IW436" s="73"/>
      <c r="IX436" s="73"/>
      <c r="IY436" s="73"/>
      <c r="IZ436" s="73"/>
      <c r="JA436" s="73"/>
      <c r="JB436" s="73"/>
      <c r="JC436" s="73"/>
    </row>
    <row r="437" spans="2:263" s="72" customFormat="1">
      <c r="B437" s="73"/>
      <c r="C437" s="73"/>
      <c r="D437" s="73"/>
      <c r="E437" s="73"/>
      <c r="F437" s="73"/>
      <c r="G437" s="73"/>
      <c r="H437" s="73"/>
      <c r="I437" s="73"/>
      <c r="J437" s="73"/>
      <c r="K437" s="73"/>
      <c r="L437" s="73"/>
      <c r="M437" s="73"/>
      <c r="N437" s="73"/>
      <c r="O437" s="73"/>
      <c r="P437" s="73"/>
      <c r="Q437" s="73"/>
      <c r="R437" s="73"/>
      <c r="S437" s="73"/>
      <c r="T437" s="73"/>
      <c r="U437" s="73"/>
      <c r="V437" s="73"/>
      <c r="W437" s="73"/>
      <c r="GL437" s="73"/>
      <c r="GM437" s="73"/>
      <c r="GN437" s="73"/>
      <c r="GO437" s="73"/>
      <c r="GP437" s="73"/>
      <c r="GQ437" s="73"/>
      <c r="GR437" s="73"/>
      <c r="GS437" s="73"/>
      <c r="GT437" s="73"/>
      <c r="GU437" s="73"/>
      <c r="GV437" s="73"/>
      <c r="GW437" s="73"/>
      <c r="GX437" s="73"/>
      <c r="GY437" s="73"/>
      <c r="GZ437" s="73"/>
      <c r="HA437" s="73"/>
      <c r="HB437" s="73"/>
      <c r="HC437" s="73"/>
      <c r="HD437" s="73"/>
      <c r="HE437" s="73"/>
      <c r="HF437" s="73"/>
      <c r="HG437" s="73"/>
      <c r="HH437" s="73"/>
      <c r="HI437" s="73"/>
      <c r="HJ437" s="73"/>
      <c r="HK437" s="73"/>
      <c r="HL437" s="73"/>
      <c r="HM437" s="73"/>
      <c r="HN437" s="73"/>
      <c r="HO437" s="73"/>
      <c r="HP437" s="73"/>
      <c r="HQ437" s="73"/>
      <c r="HR437" s="73"/>
      <c r="HS437" s="73"/>
      <c r="HT437" s="73"/>
      <c r="HU437" s="73"/>
      <c r="HV437" s="73"/>
      <c r="HW437" s="73"/>
      <c r="HX437" s="73"/>
      <c r="HY437" s="73"/>
      <c r="HZ437" s="73"/>
      <c r="IA437" s="73"/>
      <c r="IB437" s="73"/>
      <c r="IC437" s="73"/>
      <c r="ID437" s="73"/>
      <c r="IE437" s="73"/>
      <c r="IF437" s="73"/>
      <c r="IG437" s="73"/>
      <c r="IH437" s="73"/>
      <c r="II437" s="73"/>
      <c r="IJ437" s="73"/>
      <c r="IK437" s="73"/>
      <c r="IL437" s="73"/>
      <c r="IM437" s="73"/>
      <c r="IN437" s="73"/>
      <c r="IO437" s="73"/>
      <c r="IP437" s="73"/>
      <c r="IQ437" s="73"/>
      <c r="IR437" s="73"/>
      <c r="IS437" s="73"/>
      <c r="IT437" s="73"/>
      <c r="IU437" s="73"/>
      <c r="IV437" s="73"/>
      <c r="IW437" s="73"/>
      <c r="IX437" s="73"/>
      <c r="IY437" s="73"/>
      <c r="IZ437" s="73"/>
      <c r="JA437" s="73"/>
      <c r="JB437" s="73"/>
      <c r="JC437" s="73"/>
    </row>
    <row r="438" spans="2:263" s="72" customFormat="1">
      <c r="B438" s="73"/>
      <c r="C438" s="73"/>
      <c r="D438" s="73"/>
      <c r="E438" s="73"/>
      <c r="F438" s="73"/>
      <c r="G438" s="73"/>
      <c r="H438" s="73"/>
      <c r="I438" s="73"/>
      <c r="J438" s="73"/>
      <c r="K438" s="73"/>
      <c r="L438" s="73"/>
      <c r="M438" s="73"/>
      <c r="N438" s="73"/>
      <c r="O438" s="73"/>
      <c r="P438" s="73"/>
      <c r="Q438" s="73"/>
      <c r="R438" s="73"/>
      <c r="S438" s="73"/>
      <c r="T438" s="73"/>
      <c r="U438" s="73"/>
      <c r="V438" s="73"/>
      <c r="W438" s="73"/>
      <c r="GL438" s="73"/>
      <c r="GM438" s="73"/>
      <c r="GN438" s="73"/>
      <c r="GO438" s="73"/>
      <c r="GP438" s="73"/>
      <c r="GQ438" s="73"/>
      <c r="GR438" s="73"/>
      <c r="GS438" s="73"/>
      <c r="GT438" s="73"/>
      <c r="GU438" s="73"/>
      <c r="GV438" s="73"/>
      <c r="GW438" s="73"/>
      <c r="GX438" s="73"/>
      <c r="GY438" s="73"/>
      <c r="GZ438" s="73"/>
      <c r="HA438" s="73"/>
      <c r="HB438" s="73"/>
      <c r="HC438" s="73"/>
      <c r="HD438" s="73"/>
      <c r="HE438" s="73"/>
      <c r="HF438" s="73"/>
      <c r="HG438" s="73"/>
      <c r="HH438" s="73"/>
      <c r="HI438" s="73"/>
      <c r="HJ438" s="73"/>
      <c r="HK438" s="73"/>
      <c r="HL438" s="73"/>
      <c r="HM438" s="73"/>
      <c r="HN438" s="73"/>
      <c r="HO438" s="73"/>
      <c r="HP438" s="73"/>
      <c r="HQ438" s="73"/>
      <c r="HR438" s="73"/>
      <c r="HS438" s="73"/>
      <c r="HT438" s="73"/>
      <c r="HU438" s="73"/>
      <c r="HV438" s="73"/>
      <c r="HW438" s="73"/>
      <c r="HX438" s="73"/>
      <c r="HY438" s="73"/>
      <c r="HZ438" s="73"/>
      <c r="IA438" s="73"/>
      <c r="IB438" s="73"/>
      <c r="IC438" s="73"/>
      <c r="ID438" s="73"/>
      <c r="IE438" s="73"/>
      <c r="IF438" s="73"/>
      <c r="IG438" s="73"/>
      <c r="IH438" s="73"/>
      <c r="II438" s="73"/>
      <c r="IJ438" s="73"/>
      <c r="IK438" s="73"/>
      <c r="IL438" s="73"/>
      <c r="IM438" s="73"/>
      <c r="IN438" s="73"/>
      <c r="IO438" s="73"/>
      <c r="IP438" s="73"/>
      <c r="IQ438" s="73"/>
      <c r="IR438" s="73"/>
      <c r="IS438" s="73"/>
      <c r="IT438" s="73"/>
      <c r="IU438" s="73"/>
      <c r="IV438" s="73"/>
      <c r="IW438" s="73"/>
      <c r="IX438" s="73"/>
      <c r="IY438" s="73"/>
      <c r="IZ438" s="73"/>
      <c r="JA438" s="73"/>
      <c r="JB438" s="73"/>
      <c r="JC438" s="73"/>
    </row>
    <row r="439" spans="2:263" s="72" customFormat="1">
      <c r="B439" s="73"/>
      <c r="C439" s="73"/>
      <c r="D439" s="73"/>
      <c r="E439" s="73"/>
      <c r="F439" s="73"/>
      <c r="G439" s="73"/>
      <c r="H439" s="73"/>
      <c r="I439" s="73"/>
      <c r="J439" s="73"/>
      <c r="K439" s="73"/>
      <c r="L439" s="73"/>
      <c r="M439" s="73"/>
      <c r="N439" s="73"/>
      <c r="O439" s="73"/>
      <c r="P439" s="73"/>
      <c r="Q439" s="73"/>
      <c r="R439" s="73"/>
      <c r="S439" s="73"/>
      <c r="T439" s="73"/>
      <c r="U439" s="73"/>
      <c r="V439" s="73"/>
      <c r="W439" s="73"/>
      <c r="GL439" s="73"/>
      <c r="GM439" s="73"/>
      <c r="GN439" s="73"/>
      <c r="GO439" s="73"/>
      <c r="GP439" s="73"/>
      <c r="GQ439" s="73"/>
      <c r="GR439" s="73"/>
      <c r="GS439" s="73"/>
      <c r="GT439" s="73"/>
      <c r="GU439" s="73"/>
      <c r="GV439" s="73"/>
      <c r="GW439" s="73"/>
      <c r="GX439" s="73"/>
      <c r="GY439" s="73"/>
      <c r="GZ439" s="73"/>
      <c r="HA439" s="73"/>
      <c r="HB439" s="73"/>
      <c r="HC439" s="73"/>
      <c r="HD439" s="73"/>
      <c r="HE439" s="73"/>
      <c r="HF439" s="73"/>
      <c r="HG439" s="73"/>
      <c r="HH439" s="73"/>
      <c r="HI439" s="73"/>
      <c r="HJ439" s="73"/>
      <c r="HK439" s="73"/>
      <c r="HL439" s="73"/>
      <c r="HM439" s="73"/>
      <c r="HN439" s="73"/>
      <c r="HO439" s="73"/>
      <c r="HP439" s="73"/>
      <c r="HQ439" s="73"/>
      <c r="HR439" s="73"/>
      <c r="HS439" s="73"/>
      <c r="HT439" s="73"/>
      <c r="HU439" s="73"/>
      <c r="HV439" s="73"/>
      <c r="HW439" s="73"/>
      <c r="HX439" s="73"/>
      <c r="HY439" s="73"/>
      <c r="HZ439" s="73"/>
      <c r="IA439" s="73"/>
      <c r="IB439" s="73"/>
      <c r="IC439" s="73"/>
      <c r="ID439" s="73"/>
      <c r="IE439" s="73"/>
      <c r="IF439" s="73"/>
      <c r="IG439" s="73"/>
      <c r="IH439" s="73"/>
      <c r="II439" s="73"/>
      <c r="IJ439" s="73"/>
      <c r="IK439" s="73"/>
      <c r="IL439" s="73"/>
      <c r="IM439" s="73"/>
      <c r="IN439" s="73"/>
      <c r="IO439" s="73"/>
      <c r="IP439" s="73"/>
      <c r="IQ439" s="73"/>
      <c r="IR439" s="73"/>
      <c r="IS439" s="73"/>
      <c r="IT439" s="73"/>
      <c r="IU439" s="73"/>
      <c r="IV439" s="73"/>
      <c r="IW439" s="73"/>
      <c r="IX439" s="73"/>
      <c r="IY439" s="73"/>
      <c r="IZ439" s="73"/>
      <c r="JA439" s="73"/>
      <c r="JB439" s="73"/>
      <c r="JC439" s="73"/>
    </row>
    <row r="440" spans="2:263" s="72" customFormat="1">
      <c r="B440" s="73"/>
      <c r="C440" s="73"/>
      <c r="D440" s="73"/>
      <c r="E440" s="73"/>
      <c r="F440" s="73"/>
      <c r="G440" s="73"/>
      <c r="H440" s="73"/>
      <c r="I440" s="73"/>
      <c r="J440" s="73"/>
      <c r="K440" s="73"/>
      <c r="L440" s="73"/>
      <c r="M440" s="73"/>
      <c r="N440" s="73"/>
      <c r="O440" s="73"/>
      <c r="P440" s="73"/>
      <c r="Q440" s="73"/>
      <c r="R440" s="73"/>
      <c r="S440" s="73"/>
      <c r="T440" s="73"/>
      <c r="U440" s="73"/>
      <c r="V440" s="73"/>
      <c r="W440" s="73"/>
      <c r="GL440" s="73"/>
      <c r="GM440" s="73"/>
      <c r="GN440" s="73"/>
      <c r="GO440" s="73"/>
      <c r="GP440" s="73"/>
      <c r="GQ440" s="73"/>
      <c r="GR440" s="73"/>
      <c r="GS440" s="73"/>
      <c r="GT440" s="73"/>
      <c r="GU440" s="73"/>
      <c r="GV440" s="73"/>
      <c r="GW440" s="73"/>
      <c r="GX440" s="73"/>
      <c r="GY440" s="73"/>
      <c r="GZ440" s="73"/>
      <c r="HA440" s="73"/>
      <c r="HB440" s="73"/>
      <c r="HC440" s="73"/>
      <c r="HD440" s="73"/>
      <c r="HE440" s="73"/>
      <c r="HF440" s="73"/>
      <c r="HG440" s="73"/>
      <c r="HH440" s="73"/>
      <c r="HI440" s="73"/>
      <c r="HJ440" s="73"/>
      <c r="HK440" s="73"/>
      <c r="HL440" s="73"/>
      <c r="HM440" s="73"/>
      <c r="HN440" s="73"/>
      <c r="HO440" s="73"/>
      <c r="HP440" s="73"/>
      <c r="HQ440" s="73"/>
      <c r="HR440" s="73"/>
      <c r="HS440" s="73"/>
      <c r="HT440" s="73"/>
      <c r="HU440" s="73"/>
      <c r="HV440" s="73"/>
      <c r="HW440" s="73"/>
      <c r="HX440" s="73"/>
      <c r="HY440" s="73"/>
      <c r="HZ440" s="73"/>
      <c r="IA440" s="73"/>
      <c r="IB440" s="73"/>
      <c r="IC440" s="73"/>
      <c r="ID440" s="73"/>
      <c r="IE440" s="73"/>
      <c r="IF440" s="73"/>
      <c r="IG440" s="73"/>
      <c r="IH440" s="73"/>
      <c r="II440" s="73"/>
      <c r="IJ440" s="73"/>
      <c r="IK440" s="73"/>
      <c r="IL440" s="73"/>
      <c r="IM440" s="73"/>
      <c r="IN440" s="73"/>
      <c r="IO440" s="73"/>
      <c r="IP440" s="73"/>
      <c r="IQ440" s="73"/>
      <c r="IR440" s="73"/>
      <c r="IS440" s="73"/>
      <c r="IT440" s="73"/>
      <c r="IU440" s="73"/>
      <c r="IV440" s="73"/>
      <c r="IW440" s="73"/>
      <c r="IX440" s="73"/>
      <c r="IY440" s="73"/>
      <c r="IZ440" s="73"/>
      <c r="JA440" s="73"/>
      <c r="JB440" s="73"/>
      <c r="JC440" s="73"/>
    </row>
    <row r="441" spans="2:263" s="72" customFormat="1">
      <c r="B441" s="73"/>
      <c r="C441" s="73"/>
      <c r="D441" s="73"/>
      <c r="E441" s="73"/>
      <c r="F441" s="73"/>
      <c r="G441" s="73"/>
      <c r="H441" s="73"/>
      <c r="I441" s="73"/>
      <c r="J441" s="73"/>
      <c r="K441" s="73"/>
      <c r="L441" s="73"/>
      <c r="M441" s="73"/>
      <c r="N441" s="73"/>
      <c r="O441" s="73"/>
      <c r="P441" s="73"/>
      <c r="Q441" s="73"/>
      <c r="R441" s="73"/>
      <c r="S441" s="73"/>
      <c r="T441" s="73"/>
      <c r="U441" s="73"/>
      <c r="V441" s="73"/>
      <c r="W441" s="73"/>
      <c r="GL441" s="73"/>
      <c r="GM441" s="73"/>
      <c r="GN441" s="73"/>
      <c r="GO441" s="73"/>
      <c r="GP441" s="73"/>
      <c r="GQ441" s="73"/>
      <c r="GR441" s="73"/>
      <c r="GS441" s="73"/>
      <c r="GT441" s="73"/>
      <c r="GU441" s="73"/>
      <c r="GV441" s="73"/>
      <c r="GW441" s="73"/>
      <c r="GX441" s="73"/>
      <c r="GY441" s="73"/>
      <c r="GZ441" s="73"/>
      <c r="HA441" s="73"/>
      <c r="HB441" s="73"/>
      <c r="HC441" s="73"/>
      <c r="HD441" s="73"/>
      <c r="HE441" s="73"/>
      <c r="HF441" s="73"/>
      <c r="HG441" s="73"/>
      <c r="HH441" s="73"/>
      <c r="HI441" s="73"/>
      <c r="HJ441" s="73"/>
      <c r="HK441" s="73"/>
      <c r="HL441" s="73"/>
      <c r="HM441" s="73"/>
      <c r="HN441" s="73"/>
      <c r="HO441" s="73"/>
      <c r="HP441" s="73"/>
      <c r="HQ441" s="73"/>
      <c r="HR441" s="73"/>
      <c r="HS441" s="73"/>
      <c r="HT441" s="73"/>
      <c r="HU441" s="73"/>
      <c r="HV441" s="73"/>
      <c r="HW441" s="73"/>
      <c r="HX441" s="73"/>
      <c r="HY441" s="73"/>
      <c r="HZ441" s="73"/>
      <c r="IA441" s="73"/>
      <c r="IB441" s="73"/>
      <c r="IC441" s="73"/>
      <c r="ID441" s="73"/>
      <c r="IE441" s="73"/>
      <c r="IF441" s="73"/>
      <c r="IG441" s="73"/>
      <c r="IH441" s="73"/>
      <c r="II441" s="73"/>
      <c r="IJ441" s="73"/>
      <c r="IK441" s="73"/>
      <c r="IL441" s="73"/>
      <c r="IM441" s="73"/>
      <c r="IN441" s="73"/>
      <c r="IO441" s="73"/>
      <c r="IP441" s="73"/>
      <c r="IQ441" s="73"/>
      <c r="IR441" s="73"/>
      <c r="IS441" s="73"/>
      <c r="IT441" s="73"/>
      <c r="IU441" s="73"/>
      <c r="IV441" s="73"/>
      <c r="IW441" s="73"/>
      <c r="IX441" s="73"/>
      <c r="IY441" s="73"/>
      <c r="IZ441" s="73"/>
      <c r="JA441" s="73"/>
      <c r="JB441" s="73"/>
      <c r="JC441" s="73"/>
    </row>
    <row r="442" spans="2:263" s="72" customFormat="1">
      <c r="B442" s="73"/>
      <c r="C442" s="73"/>
      <c r="D442" s="73"/>
      <c r="E442" s="73"/>
      <c r="F442" s="73"/>
      <c r="G442" s="73"/>
      <c r="H442" s="73"/>
      <c r="I442" s="73"/>
      <c r="J442" s="73"/>
      <c r="K442" s="73"/>
      <c r="L442" s="73"/>
      <c r="M442" s="73"/>
      <c r="N442" s="73"/>
      <c r="O442" s="73"/>
      <c r="P442" s="73"/>
      <c r="Q442" s="73"/>
      <c r="R442" s="73"/>
      <c r="S442" s="73"/>
      <c r="T442" s="73"/>
      <c r="U442" s="73"/>
      <c r="V442" s="73"/>
      <c r="W442" s="73"/>
      <c r="GL442" s="73"/>
      <c r="GM442" s="73"/>
      <c r="GN442" s="73"/>
      <c r="GO442" s="73"/>
      <c r="GP442" s="73"/>
      <c r="GQ442" s="73"/>
      <c r="GR442" s="73"/>
      <c r="GS442" s="73"/>
      <c r="GT442" s="73"/>
      <c r="GU442" s="73"/>
      <c r="GV442" s="73"/>
      <c r="GW442" s="73"/>
      <c r="GX442" s="73"/>
      <c r="GY442" s="73"/>
      <c r="GZ442" s="73"/>
      <c r="HA442" s="73"/>
      <c r="HB442" s="73"/>
      <c r="HC442" s="73"/>
      <c r="HD442" s="73"/>
      <c r="HE442" s="73"/>
      <c r="HF442" s="73"/>
      <c r="HG442" s="73"/>
      <c r="HH442" s="73"/>
      <c r="HI442" s="73"/>
      <c r="HJ442" s="73"/>
      <c r="HK442" s="73"/>
      <c r="HL442" s="73"/>
      <c r="HM442" s="73"/>
      <c r="HN442" s="73"/>
      <c r="HO442" s="73"/>
      <c r="HP442" s="73"/>
      <c r="HQ442" s="73"/>
      <c r="HR442" s="73"/>
      <c r="HS442" s="73"/>
      <c r="HT442" s="73"/>
      <c r="HU442" s="73"/>
      <c r="HV442" s="73"/>
      <c r="HW442" s="73"/>
      <c r="HX442" s="73"/>
      <c r="HY442" s="73"/>
      <c r="HZ442" s="73"/>
      <c r="IA442" s="73"/>
      <c r="IB442" s="73"/>
      <c r="IC442" s="73"/>
      <c r="ID442" s="73"/>
      <c r="IE442" s="73"/>
      <c r="IF442" s="73"/>
      <c r="IG442" s="73"/>
      <c r="IH442" s="73"/>
      <c r="II442" s="73"/>
      <c r="IJ442" s="73"/>
      <c r="IK442" s="73"/>
      <c r="IL442" s="73"/>
      <c r="IM442" s="73"/>
      <c r="IN442" s="73"/>
      <c r="IO442" s="73"/>
      <c r="IP442" s="73"/>
      <c r="IQ442" s="73"/>
      <c r="IR442" s="73"/>
      <c r="IS442" s="73"/>
      <c r="IT442" s="73"/>
      <c r="IU442" s="73"/>
      <c r="IV442" s="73"/>
      <c r="IW442" s="73"/>
      <c r="IX442" s="73"/>
      <c r="IY442" s="73"/>
      <c r="IZ442" s="73"/>
      <c r="JA442" s="73"/>
      <c r="JB442" s="73"/>
      <c r="JC442" s="73"/>
    </row>
    <row r="443" spans="2:263" s="72" customFormat="1">
      <c r="B443" s="73"/>
      <c r="C443" s="73"/>
      <c r="D443" s="73"/>
      <c r="E443" s="73"/>
      <c r="F443" s="73"/>
      <c r="G443" s="73"/>
      <c r="H443" s="73"/>
      <c r="I443" s="73"/>
      <c r="J443" s="73"/>
      <c r="K443" s="73"/>
      <c r="L443" s="73"/>
      <c r="M443" s="73"/>
      <c r="N443" s="73"/>
      <c r="O443" s="73"/>
      <c r="P443" s="73"/>
      <c r="Q443" s="73"/>
      <c r="R443" s="73"/>
      <c r="S443" s="73"/>
      <c r="T443" s="73"/>
      <c r="U443" s="73"/>
      <c r="V443" s="73"/>
      <c r="W443" s="73"/>
      <c r="GL443" s="73"/>
      <c r="GM443" s="73"/>
      <c r="GN443" s="73"/>
      <c r="GO443" s="73"/>
      <c r="GP443" s="73"/>
      <c r="GQ443" s="73"/>
      <c r="GR443" s="73"/>
      <c r="GS443" s="73"/>
      <c r="GT443" s="73"/>
      <c r="GU443" s="73"/>
      <c r="GV443" s="73"/>
      <c r="GW443" s="73"/>
      <c r="GX443" s="73"/>
      <c r="GY443" s="73"/>
      <c r="GZ443" s="73"/>
      <c r="HA443" s="73"/>
      <c r="HB443" s="73"/>
      <c r="HC443" s="73"/>
      <c r="HD443" s="73"/>
      <c r="HE443" s="73"/>
      <c r="HF443" s="73"/>
      <c r="HG443" s="73"/>
      <c r="HH443" s="73"/>
      <c r="HI443" s="73"/>
      <c r="HJ443" s="73"/>
      <c r="HK443" s="73"/>
      <c r="HL443" s="73"/>
      <c r="HM443" s="73"/>
      <c r="HN443" s="73"/>
      <c r="HO443" s="73"/>
      <c r="HP443" s="73"/>
      <c r="HQ443" s="73"/>
      <c r="HR443" s="73"/>
      <c r="HS443" s="73"/>
      <c r="HT443" s="73"/>
      <c r="HU443" s="73"/>
      <c r="HV443" s="73"/>
      <c r="HW443" s="73"/>
      <c r="HX443" s="73"/>
      <c r="HY443" s="73"/>
      <c r="HZ443" s="73"/>
      <c r="IA443" s="73"/>
      <c r="IB443" s="73"/>
      <c r="IC443" s="73"/>
      <c r="ID443" s="73"/>
      <c r="IE443" s="73"/>
      <c r="IF443" s="73"/>
      <c r="IG443" s="73"/>
      <c r="IH443" s="73"/>
      <c r="II443" s="73"/>
      <c r="IJ443" s="73"/>
      <c r="IK443" s="73"/>
      <c r="IL443" s="73"/>
      <c r="IM443" s="73"/>
      <c r="IN443" s="73"/>
      <c r="IO443" s="73"/>
      <c r="IP443" s="73"/>
      <c r="IQ443" s="73"/>
      <c r="IR443" s="73"/>
      <c r="IS443" s="73"/>
      <c r="IT443" s="73"/>
      <c r="IU443" s="73"/>
      <c r="IV443" s="73"/>
      <c r="IW443" s="73"/>
      <c r="IX443" s="73"/>
      <c r="IY443" s="73"/>
      <c r="IZ443" s="73"/>
      <c r="JA443" s="73"/>
      <c r="JB443" s="73"/>
      <c r="JC443" s="73"/>
    </row>
    <row r="444" spans="2:263" s="72" customFormat="1">
      <c r="B444" s="73"/>
      <c r="C444" s="73"/>
      <c r="D444" s="73"/>
      <c r="E444" s="73"/>
      <c r="F444" s="73"/>
      <c r="G444" s="73"/>
      <c r="H444" s="73"/>
      <c r="I444" s="73"/>
      <c r="J444" s="73"/>
      <c r="K444" s="73"/>
      <c r="L444" s="73"/>
      <c r="M444" s="73"/>
      <c r="N444" s="73"/>
      <c r="O444" s="73"/>
      <c r="P444" s="73"/>
      <c r="Q444" s="73"/>
      <c r="R444" s="73"/>
      <c r="S444" s="73"/>
      <c r="T444" s="73"/>
      <c r="U444" s="73"/>
      <c r="V444" s="73"/>
      <c r="W444" s="73"/>
      <c r="GL444" s="73"/>
      <c r="GM444" s="73"/>
      <c r="GN444" s="73"/>
      <c r="GO444" s="73"/>
      <c r="GP444" s="73"/>
      <c r="GQ444" s="73"/>
      <c r="GR444" s="73"/>
      <c r="GS444" s="73"/>
      <c r="GT444" s="73"/>
      <c r="GU444" s="73"/>
      <c r="GV444" s="73"/>
      <c r="GW444" s="73"/>
      <c r="GX444" s="73"/>
      <c r="GY444" s="73"/>
      <c r="GZ444" s="73"/>
      <c r="HA444" s="73"/>
      <c r="HB444" s="73"/>
      <c r="HC444" s="73"/>
      <c r="HD444" s="73"/>
      <c r="HE444" s="73"/>
      <c r="HF444" s="73"/>
      <c r="HG444" s="73"/>
      <c r="HH444" s="73"/>
      <c r="HI444" s="73"/>
      <c r="HJ444" s="73"/>
      <c r="HK444" s="73"/>
      <c r="HL444" s="73"/>
      <c r="HM444" s="73"/>
      <c r="HN444" s="73"/>
      <c r="HO444" s="73"/>
      <c r="HP444" s="73"/>
      <c r="HQ444" s="73"/>
      <c r="HR444" s="73"/>
      <c r="HS444" s="73"/>
      <c r="HT444" s="73"/>
      <c r="HU444" s="73"/>
      <c r="HV444" s="73"/>
      <c r="HW444" s="73"/>
      <c r="HX444" s="73"/>
      <c r="HY444" s="73"/>
      <c r="HZ444" s="73"/>
      <c r="IA444" s="73"/>
      <c r="IB444" s="73"/>
      <c r="IC444" s="73"/>
      <c r="ID444" s="73"/>
      <c r="IE444" s="73"/>
      <c r="IF444" s="73"/>
      <c r="IG444" s="73"/>
      <c r="IH444" s="73"/>
      <c r="II444" s="73"/>
      <c r="IJ444" s="73"/>
      <c r="IK444" s="73"/>
      <c r="IL444" s="73"/>
      <c r="IM444" s="73"/>
      <c r="IN444" s="73"/>
      <c r="IO444" s="73"/>
      <c r="IP444" s="73"/>
      <c r="IQ444" s="73"/>
      <c r="IR444" s="73"/>
      <c r="IS444" s="73"/>
      <c r="IT444" s="73"/>
      <c r="IU444" s="73"/>
      <c r="IV444" s="73"/>
      <c r="IW444" s="73"/>
      <c r="IX444" s="73"/>
      <c r="IY444" s="73"/>
      <c r="IZ444" s="73"/>
      <c r="JA444" s="73"/>
      <c r="JB444" s="73"/>
      <c r="JC444" s="73"/>
    </row>
    <row r="445" spans="2:263" s="72" customFormat="1">
      <c r="B445" s="73"/>
      <c r="C445" s="73"/>
      <c r="D445" s="73"/>
      <c r="E445" s="73"/>
      <c r="F445" s="73"/>
      <c r="G445" s="73"/>
      <c r="H445" s="73"/>
      <c r="I445" s="73"/>
      <c r="J445" s="73"/>
      <c r="K445" s="73"/>
      <c r="L445" s="73"/>
      <c r="M445" s="73"/>
      <c r="N445" s="73"/>
      <c r="O445" s="73"/>
      <c r="P445" s="73"/>
      <c r="Q445" s="73"/>
      <c r="R445" s="73"/>
      <c r="S445" s="73"/>
      <c r="T445" s="73"/>
      <c r="U445" s="73"/>
      <c r="V445" s="73"/>
      <c r="W445" s="73"/>
      <c r="GL445" s="73"/>
      <c r="GM445" s="73"/>
      <c r="GN445" s="73"/>
      <c r="GO445" s="73"/>
      <c r="GP445" s="73"/>
      <c r="GQ445" s="73"/>
      <c r="GR445" s="73"/>
      <c r="GS445" s="73"/>
      <c r="GT445" s="73"/>
      <c r="GU445" s="73"/>
      <c r="GV445" s="73"/>
      <c r="GW445" s="73"/>
      <c r="GX445" s="73"/>
      <c r="GY445" s="73"/>
      <c r="GZ445" s="73"/>
      <c r="HA445" s="73"/>
      <c r="HB445" s="73"/>
      <c r="HC445" s="73"/>
      <c r="HD445" s="73"/>
      <c r="HE445" s="73"/>
      <c r="HF445" s="73"/>
      <c r="HG445" s="73"/>
      <c r="HH445" s="73"/>
      <c r="HI445" s="73"/>
      <c r="HJ445" s="73"/>
      <c r="HK445" s="73"/>
      <c r="HL445" s="73"/>
      <c r="HM445" s="73"/>
      <c r="HN445" s="73"/>
      <c r="HO445" s="73"/>
      <c r="HP445" s="73"/>
      <c r="HQ445" s="73"/>
      <c r="HR445" s="73"/>
      <c r="HS445" s="73"/>
      <c r="HT445" s="73"/>
      <c r="HU445" s="73"/>
      <c r="HV445" s="73"/>
      <c r="HW445" s="73"/>
      <c r="HX445" s="73"/>
      <c r="HY445" s="73"/>
      <c r="HZ445" s="73"/>
      <c r="IA445" s="73"/>
      <c r="IB445" s="73"/>
      <c r="IC445" s="73"/>
      <c r="ID445" s="73"/>
      <c r="IE445" s="73"/>
      <c r="IF445" s="73"/>
      <c r="IG445" s="73"/>
      <c r="IH445" s="73"/>
      <c r="II445" s="73"/>
      <c r="IJ445" s="73"/>
      <c r="IK445" s="73"/>
      <c r="IL445" s="73"/>
      <c r="IM445" s="73"/>
      <c r="IN445" s="73"/>
      <c r="IO445" s="73"/>
      <c r="IP445" s="73"/>
      <c r="IQ445" s="73"/>
      <c r="IR445" s="73"/>
      <c r="IS445" s="73"/>
      <c r="IT445" s="73"/>
      <c r="IU445" s="73"/>
      <c r="IV445" s="73"/>
      <c r="IW445" s="73"/>
      <c r="IX445" s="73"/>
      <c r="IY445" s="73"/>
      <c r="IZ445" s="73"/>
      <c r="JA445" s="73"/>
      <c r="JB445" s="73"/>
      <c r="JC445" s="73"/>
    </row>
    <row r="446" spans="2:263" s="72" customFormat="1">
      <c r="B446" s="73"/>
      <c r="C446" s="73"/>
      <c r="D446" s="73"/>
      <c r="E446" s="73"/>
      <c r="F446" s="73"/>
      <c r="G446" s="73"/>
      <c r="H446" s="73"/>
      <c r="I446" s="73"/>
      <c r="J446" s="73"/>
      <c r="K446" s="73"/>
      <c r="L446" s="73"/>
      <c r="M446" s="73"/>
      <c r="N446" s="73"/>
      <c r="O446" s="73"/>
      <c r="P446" s="73"/>
      <c r="Q446" s="73"/>
      <c r="R446" s="73"/>
      <c r="S446" s="73"/>
      <c r="T446" s="73"/>
      <c r="U446" s="73"/>
      <c r="V446" s="73"/>
      <c r="W446" s="73"/>
      <c r="GL446" s="73"/>
      <c r="GM446" s="73"/>
      <c r="GN446" s="73"/>
      <c r="GO446" s="73"/>
      <c r="GP446" s="73"/>
      <c r="GQ446" s="73"/>
      <c r="GR446" s="73"/>
      <c r="GS446" s="73"/>
      <c r="GT446" s="73"/>
      <c r="GU446" s="73"/>
      <c r="GV446" s="73"/>
      <c r="GW446" s="73"/>
      <c r="GX446" s="73"/>
      <c r="GY446" s="73"/>
      <c r="GZ446" s="73"/>
      <c r="HA446" s="73"/>
      <c r="HB446" s="73"/>
      <c r="HC446" s="73"/>
      <c r="HD446" s="73"/>
      <c r="HE446" s="73"/>
      <c r="HF446" s="73"/>
      <c r="HG446" s="73"/>
      <c r="HH446" s="73"/>
      <c r="HI446" s="73"/>
      <c r="HJ446" s="73"/>
      <c r="HK446" s="73"/>
      <c r="HL446" s="73"/>
      <c r="HM446" s="73"/>
      <c r="HN446" s="73"/>
      <c r="HO446" s="73"/>
      <c r="HP446" s="73"/>
      <c r="HQ446" s="73"/>
      <c r="HR446" s="73"/>
      <c r="HS446" s="73"/>
      <c r="HT446" s="73"/>
      <c r="HU446" s="73"/>
      <c r="HV446" s="73"/>
      <c r="HW446" s="73"/>
      <c r="HX446" s="73"/>
      <c r="HY446" s="73"/>
      <c r="HZ446" s="73"/>
      <c r="IA446" s="73"/>
      <c r="IB446" s="73"/>
      <c r="IC446" s="73"/>
      <c r="ID446" s="73"/>
      <c r="IE446" s="73"/>
      <c r="IF446" s="73"/>
      <c r="IG446" s="73"/>
      <c r="IH446" s="73"/>
      <c r="II446" s="73"/>
      <c r="IJ446" s="73"/>
      <c r="IK446" s="73"/>
      <c r="IL446" s="73"/>
      <c r="IM446" s="73"/>
      <c r="IN446" s="73"/>
      <c r="IO446" s="73"/>
      <c r="IP446" s="73"/>
      <c r="IQ446" s="73"/>
      <c r="IR446" s="73"/>
      <c r="IS446" s="73"/>
      <c r="IT446" s="73"/>
      <c r="IU446" s="73"/>
      <c r="IV446" s="73"/>
      <c r="IW446" s="73"/>
      <c r="IX446" s="73"/>
      <c r="IY446" s="73"/>
      <c r="IZ446" s="73"/>
      <c r="JA446" s="73"/>
      <c r="JB446" s="73"/>
      <c r="JC446" s="73"/>
    </row>
    <row r="447" spans="2:263" s="72" customFormat="1">
      <c r="B447" s="73"/>
      <c r="C447" s="73"/>
      <c r="D447" s="73"/>
      <c r="E447" s="73"/>
      <c r="F447" s="73"/>
      <c r="G447" s="73"/>
      <c r="H447" s="73"/>
      <c r="I447" s="73"/>
      <c r="J447" s="73"/>
      <c r="K447" s="73"/>
      <c r="L447" s="73"/>
      <c r="M447" s="73"/>
      <c r="N447" s="73"/>
      <c r="O447" s="73"/>
      <c r="P447" s="73"/>
      <c r="Q447" s="73"/>
      <c r="R447" s="73"/>
      <c r="S447" s="73"/>
      <c r="T447" s="73"/>
      <c r="U447" s="73"/>
      <c r="V447" s="73"/>
      <c r="W447" s="73"/>
      <c r="GL447" s="73"/>
      <c r="GM447" s="73"/>
      <c r="GN447" s="73"/>
      <c r="GO447" s="73"/>
      <c r="GP447" s="73"/>
      <c r="GQ447" s="73"/>
      <c r="GR447" s="73"/>
      <c r="GS447" s="73"/>
      <c r="GT447" s="73"/>
      <c r="GU447" s="73"/>
      <c r="GV447" s="73"/>
      <c r="GW447" s="73"/>
      <c r="GX447" s="73"/>
      <c r="GY447" s="73"/>
      <c r="GZ447" s="73"/>
      <c r="HA447" s="73"/>
      <c r="HB447" s="73"/>
      <c r="HC447" s="73"/>
      <c r="HD447" s="73"/>
      <c r="HE447" s="73"/>
      <c r="HF447" s="73"/>
      <c r="HG447" s="73"/>
      <c r="HH447" s="73"/>
      <c r="HI447" s="73"/>
      <c r="HJ447" s="73"/>
      <c r="HK447" s="73"/>
      <c r="HL447" s="73"/>
      <c r="HM447" s="73"/>
      <c r="HN447" s="73"/>
      <c r="HO447" s="73"/>
      <c r="HP447" s="73"/>
      <c r="HQ447" s="73"/>
      <c r="HR447" s="73"/>
      <c r="HS447" s="73"/>
      <c r="HT447" s="73"/>
      <c r="HU447" s="73"/>
      <c r="HV447" s="73"/>
      <c r="HW447" s="73"/>
      <c r="HX447" s="73"/>
      <c r="HY447" s="73"/>
      <c r="HZ447" s="73"/>
      <c r="IA447" s="73"/>
      <c r="IB447" s="73"/>
      <c r="IC447" s="73"/>
      <c r="ID447" s="73"/>
      <c r="IE447" s="73"/>
      <c r="IF447" s="73"/>
      <c r="IG447" s="73"/>
      <c r="IH447" s="73"/>
      <c r="II447" s="73"/>
      <c r="IJ447" s="73"/>
      <c r="IK447" s="73"/>
      <c r="IL447" s="73"/>
      <c r="IM447" s="73"/>
      <c r="IN447" s="73"/>
      <c r="IO447" s="73"/>
      <c r="IP447" s="73"/>
      <c r="IQ447" s="73"/>
      <c r="IR447" s="73"/>
      <c r="IS447" s="73"/>
      <c r="IT447" s="73"/>
      <c r="IU447" s="73"/>
      <c r="IV447" s="73"/>
      <c r="IW447" s="73"/>
      <c r="IX447" s="73"/>
      <c r="IY447" s="73"/>
      <c r="IZ447" s="73"/>
      <c r="JA447" s="73"/>
      <c r="JB447" s="73"/>
      <c r="JC447" s="73"/>
    </row>
    <row r="448" spans="2:263" s="72" customFormat="1">
      <c r="B448" s="73"/>
      <c r="C448" s="73"/>
      <c r="D448" s="73"/>
      <c r="E448" s="73"/>
      <c r="F448" s="73"/>
      <c r="G448" s="73"/>
      <c r="H448" s="73"/>
      <c r="I448" s="73"/>
      <c r="J448" s="73"/>
      <c r="K448" s="73"/>
      <c r="L448" s="73"/>
      <c r="M448" s="73"/>
      <c r="N448" s="73"/>
      <c r="O448" s="73"/>
      <c r="P448" s="73"/>
      <c r="Q448" s="73"/>
      <c r="R448" s="73"/>
      <c r="S448" s="73"/>
      <c r="T448" s="73"/>
      <c r="U448" s="73"/>
      <c r="V448" s="73"/>
      <c r="W448" s="73"/>
      <c r="GL448" s="73"/>
      <c r="GM448" s="73"/>
      <c r="GN448" s="73"/>
      <c r="GO448" s="73"/>
      <c r="GP448" s="73"/>
      <c r="GQ448" s="73"/>
      <c r="GR448" s="73"/>
      <c r="GS448" s="73"/>
      <c r="GT448" s="73"/>
      <c r="GU448" s="73"/>
      <c r="GV448" s="73"/>
      <c r="GW448" s="73"/>
      <c r="GX448" s="73"/>
      <c r="GY448" s="73"/>
      <c r="GZ448" s="73"/>
      <c r="HA448" s="73"/>
      <c r="HB448" s="73"/>
      <c r="HC448" s="73"/>
      <c r="HD448" s="73"/>
      <c r="HE448" s="73"/>
      <c r="HF448" s="73"/>
      <c r="HG448" s="73"/>
      <c r="HH448" s="73"/>
      <c r="HI448" s="73"/>
      <c r="HJ448" s="73"/>
      <c r="HK448" s="73"/>
      <c r="HL448" s="73"/>
      <c r="HM448" s="73"/>
      <c r="HN448" s="73"/>
      <c r="HO448" s="73"/>
      <c r="HP448" s="73"/>
      <c r="HQ448" s="73"/>
      <c r="HR448" s="73"/>
      <c r="HS448" s="73"/>
      <c r="HT448" s="73"/>
      <c r="HU448" s="73"/>
      <c r="HV448" s="73"/>
      <c r="HW448" s="73"/>
      <c r="HX448" s="73"/>
      <c r="HY448" s="73"/>
      <c r="HZ448" s="73"/>
      <c r="IA448" s="73"/>
      <c r="IB448" s="73"/>
      <c r="IC448" s="73"/>
      <c r="ID448" s="73"/>
      <c r="IE448" s="73"/>
      <c r="IF448" s="73"/>
      <c r="IG448" s="73"/>
      <c r="IH448" s="73"/>
      <c r="II448" s="73"/>
      <c r="IJ448" s="73"/>
      <c r="IK448" s="73"/>
      <c r="IL448" s="73"/>
      <c r="IM448" s="73"/>
      <c r="IN448" s="73"/>
      <c r="IO448" s="73"/>
      <c r="IP448" s="73"/>
      <c r="IQ448" s="73"/>
      <c r="IR448" s="73"/>
      <c r="IS448" s="73"/>
      <c r="IT448" s="73"/>
      <c r="IU448" s="73"/>
      <c r="IV448" s="73"/>
      <c r="IW448" s="73"/>
      <c r="IX448" s="73"/>
      <c r="IY448" s="73"/>
      <c r="IZ448" s="73"/>
      <c r="JA448" s="73"/>
      <c r="JB448" s="73"/>
      <c r="JC448" s="73"/>
    </row>
    <row r="449" spans="2:263" s="72" customFormat="1">
      <c r="B449" s="73"/>
      <c r="C449" s="73"/>
      <c r="D449" s="73"/>
      <c r="E449" s="73"/>
      <c r="F449" s="73"/>
      <c r="G449" s="73"/>
      <c r="H449" s="73"/>
      <c r="I449" s="73"/>
      <c r="J449" s="73"/>
      <c r="K449" s="73"/>
      <c r="L449" s="73"/>
      <c r="M449" s="73"/>
      <c r="N449" s="73"/>
      <c r="O449" s="73"/>
      <c r="P449" s="73"/>
      <c r="Q449" s="73"/>
      <c r="R449" s="73"/>
      <c r="S449" s="73"/>
      <c r="T449" s="73"/>
      <c r="U449" s="73"/>
      <c r="V449" s="73"/>
      <c r="W449" s="73"/>
      <c r="GL449" s="73"/>
      <c r="GM449" s="73"/>
      <c r="GN449" s="73"/>
      <c r="GO449" s="73"/>
      <c r="GP449" s="73"/>
      <c r="GQ449" s="73"/>
      <c r="GR449" s="73"/>
      <c r="GS449" s="73"/>
      <c r="GT449" s="73"/>
      <c r="GU449" s="73"/>
      <c r="GV449" s="73"/>
      <c r="GW449" s="73"/>
      <c r="GX449" s="73"/>
      <c r="GY449" s="73"/>
      <c r="GZ449" s="73"/>
      <c r="HA449" s="73"/>
      <c r="HB449" s="73"/>
      <c r="HC449" s="73"/>
      <c r="HD449" s="73"/>
      <c r="HE449" s="73"/>
      <c r="HF449" s="73"/>
      <c r="HG449" s="73"/>
      <c r="HH449" s="73"/>
      <c r="HI449" s="73"/>
      <c r="HJ449" s="73"/>
      <c r="HK449" s="73"/>
      <c r="HL449" s="73"/>
      <c r="HM449" s="73"/>
      <c r="HN449" s="73"/>
      <c r="HO449" s="73"/>
      <c r="HP449" s="73"/>
      <c r="HQ449" s="73"/>
      <c r="HR449" s="73"/>
      <c r="HS449" s="73"/>
      <c r="HT449" s="73"/>
      <c r="HU449" s="73"/>
      <c r="HV449" s="73"/>
      <c r="HW449" s="73"/>
      <c r="HX449" s="73"/>
      <c r="HY449" s="73"/>
      <c r="HZ449" s="73"/>
      <c r="IA449" s="73"/>
      <c r="IB449" s="73"/>
      <c r="IC449" s="73"/>
      <c r="ID449" s="73"/>
      <c r="IE449" s="73"/>
      <c r="IF449" s="73"/>
      <c r="IG449" s="73"/>
      <c r="IH449" s="73"/>
      <c r="II449" s="73"/>
      <c r="IJ449" s="73"/>
      <c r="IK449" s="73"/>
      <c r="IL449" s="73"/>
      <c r="IM449" s="73"/>
      <c r="IN449" s="73"/>
      <c r="IO449" s="73"/>
      <c r="IP449" s="73"/>
      <c r="IQ449" s="73"/>
      <c r="IR449" s="73"/>
      <c r="IS449" s="73"/>
      <c r="IT449" s="73"/>
      <c r="IU449" s="73"/>
      <c r="IV449" s="73"/>
      <c r="IW449" s="73"/>
      <c r="IX449" s="73"/>
      <c r="IY449" s="73"/>
      <c r="IZ449" s="73"/>
      <c r="JA449" s="73"/>
      <c r="JB449" s="73"/>
      <c r="JC449" s="73"/>
    </row>
    <row r="450" spans="2:263" s="72" customFormat="1">
      <c r="B450" s="73"/>
      <c r="C450" s="73"/>
      <c r="D450" s="73"/>
      <c r="E450" s="73"/>
      <c r="F450" s="73"/>
      <c r="G450" s="73"/>
      <c r="H450" s="73"/>
      <c r="I450" s="73"/>
      <c r="J450" s="73"/>
      <c r="K450" s="73"/>
      <c r="L450" s="73"/>
      <c r="M450" s="73"/>
      <c r="N450" s="73"/>
      <c r="O450" s="73"/>
      <c r="P450" s="73"/>
      <c r="Q450" s="73"/>
      <c r="R450" s="73"/>
      <c r="S450" s="73"/>
      <c r="T450" s="73"/>
      <c r="U450" s="73"/>
      <c r="V450" s="73"/>
      <c r="W450" s="73"/>
      <c r="GL450" s="73"/>
      <c r="GM450" s="73"/>
      <c r="GN450" s="73"/>
      <c r="GO450" s="73"/>
      <c r="GP450" s="73"/>
      <c r="GQ450" s="73"/>
      <c r="GR450" s="73"/>
      <c r="GS450" s="73"/>
      <c r="GT450" s="73"/>
      <c r="GU450" s="73"/>
      <c r="GV450" s="73"/>
      <c r="GW450" s="73"/>
      <c r="GX450" s="73"/>
      <c r="GY450" s="73"/>
      <c r="GZ450" s="73"/>
      <c r="HA450" s="73"/>
      <c r="HB450" s="73"/>
      <c r="HC450" s="73"/>
      <c r="HD450" s="73"/>
      <c r="HE450" s="73"/>
      <c r="HF450" s="73"/>
      <c r="HG450" s="73"/>
      <c r="HH450" s="73"/>
      <c r="HI450" s="73"/>
      <c r="HJ450" s="73"/>
      <c r="HK450" s="73"/>
      <c r="HL450" s="73"/>
      <c r="HM450" s="73"/>
      <c r="HN450" s="73"/>
      <c r="HO450" s="73"/>
      <c r="HP450" s="73"/>
      <c r="HQ450" s="73"/>
      <c r="HR450" s="73"/>
      <c r="HS450" s="73"/>
      <c r="HT450" s="73"/>
      <c r="HU450" s="73"/>
      <c r="HV450" s="73"/>
      <c r="HW450" s="73"/>
      <c r="HX450" s="73"/>
      <c r="HY450" s="73"/>
      <c r="HZ450" s="73"/>
      <c r="IA450" s="73"/>
      <c r="IB450" s="73"/>
      <c r="IC450" s="73"/>
      <c r="ID450" s="73"/>
      <c r="IE450" s="73"/>
      <c r="IF450" s="73"/>
      <c r="IG450" s="73"/>
      <c r="IH450" s="73"/>
      <c r="II450" s="73"/>
      <c r="IJ450" s="73"/>
      <c r="IK450" s="73"/>
      <c r="IL450" s="73"/>
      <c r="IM450" s="73"/>
      <c r="IN450" s="73"/>
      <c r="IO450" s="73"/>
      <c r="IP450" s="73"/>
      <c r="IQ450" s="73"/>
      <c r="IR450" s="73"/>
      <c r="IS450" s="73"/>
      <c r="IT450" s="73"/>
      <c r="IU450" s="73"/>
      <c r="IV450" s="73"/>
      <c r="IW450" s="73"/>
      <c r="IX450" s="73"/>
      <c r="IY450" s="73"/>
      <c r="IZ450" s="73"/>
      <c r="JA450" s="73"/>
      <c r="JB450" s="73"/>
      <c r="JC450" s="73"/>
    </row>
    <row r="451" spans="2:263" s="72" customFormat="1">
      <c r="B451" s="73"/>
      <c r="C451" s="73"/>
      <c r="D451" s="73"/>
      <c r="E451" s="73"/>
      <c r="F451" s="73"/>
      <c r="G451" s="73"/>
      <c r="H451" s="73"/>
      <c r="I451" s="73"/>
      <c r="J451" s="73"/>
      <c r="K451" s="73"/>
      <c r="L451" s="73"/>
      <c r="M451" s="73"/>
      <c r="N451" s="73"/>
      <c r="O451" s="73"/>
      <c r="P451" s="73"/>
      <c r="Q451" s="73"/>
      <c r="R451" s="73"/>
      <c r="S451" s="73"/>
      <c r="T451" s="73"/>
      <c r="U451" s="73"/>
      <c r="V451" s="73"/>
      <c r="W451" s="73"/>
      <c r="GL451" s="73"/>
      <c r="GM451" s="73"/>
      <c r="GN451" s="73"/>
      <c r="GO451" s="73"/>
      <c r="GP451" s="73"/>
      <c r="GQ451" s="73"/>
      <c r="GR451" s="73"/>
      <c r="GS451" s="73"/>
      <c r="GT451" s="73"/>
      <c r="GU451" s="73"/>
      <c r="GV451" s="73"/>
      <c r="GW451" s="73"/>
      <c r="GX451" s="73"/>
      <c r="GY451" s="73"/>
      <c r="GZ451" s="73"/>
      <c r="HA451" s="73"/>
      <c r="HB451" s="73"/>
      <c r="HC451" s="73"/>
      <c r="HD451" s="73"/>
      <c r="HE451" s="73"/>
      <c r="HF451" s="73"/>
      <c r="HG451" s="73"/>
      <c r="HH451" s="73"/>
      <c r="HI451" s="73"/>
      <c r="HJ451" s="73"/>
      <c r="HK451" s="73"/>
      <c r="HL451" s="73"/>
      <c r="HM451" s="73"/>
      <c r="HN451" s="73"/>
      <c r="HO451" s="73"/>
      <c r="HP451" s="73"/>
      <c r="HQ451" s="73"/>
      <c r="HR451" s="73"/>
      <c r="HS451" s="73"/>
      <c r="HT451" s="73"/>
      <c r="HU451" s="73"/>
      <c r="HV451" s="73"/>
      <c r="HW451" s="73"/>
      <c r="HX451" s="73"/>
      <c r="HY451" s="73"/>
      <c r="HZ451" s="73"/>
      <c r="IA451" s="73"/>
      <c r="IB451" s="73"/>
      <c r="IC451" s="73"/>
      <c r="ID451" s="73"/>
      <c r="IE451" s="73"/>
      <c r="IF451" s="73"/>
      <c r="IG451" s="73"/>
      <c r="IH451" s="73"/>
      <c r="II451" s="73"/>
      <c r="IJ451" s="73"/>
      <c r="IK451" s="73"/>
      <c r="IL451" s="73"/>
      <c r="IM451" s="73"/>
      <c r="IN451" s="73"/>
      <c r="IO451" s="73"/>
      <c r="IP451" s="73"/>
      <c r="IQ451" s="73"/>
      <c r="IR451" s="73"/>
      <c r="IS451" s="73"/>
      <c r="IT451" s="73"/>
      <c r="IU451" s="73"/>
      <c r="IV451" s="73"/>
      <c r="IW451" s="73"/>
      <c r="IX451" s="73"/>
      <c r="IY451" s="73"/>
      <c r="IZ451" s="73"/>
      <c r="JA451" s="73"/>
      <c r="JB451" s="73"/>
      <c r="JC451" s="73"/>
    </row>
    <row r="452" spans="2:263" s="72" customFormat="1">
      <c r="B452" s="73"/>
      <c r="C452" s="73"/>
      <c r="D452" s="73"/>
      <c r="E452" s="73"/>
      <c r="F452" s="73"/>
      <c r="G452" s="73"/>
      <c r="H452" s="73"/>
      <c r="I452" s="73"/>
      <c r="J452" s="73"/>
      <c r="K452" s="73"/>
      <c r="L452" s="73"/>
      <c r="M452" s="73"/>
      <c r="N452" s="73"/>
      <c r="O452" s="73"/>
      <c r="P452" s="73"/>
      <c r="Q452" s="73"/>
      <c r="R452" s="73"/>
      <c r="S452" s="73"/>
      <c r="T452" s="73"/>
      <c r="U452" s="73"/>
      <c r="V452" s="73"/>
      <c r="W452" s="73"/>
      <c r="GL452" s="73"/>
      <c r="GM452" s="73"/>
      <c r="GN452" s="73"/>
      <c r="GO452" s="73"/>
      <c r="GP452" s="73"/>
      <c r="GQ452" s="73"/>
      <c r="GR452" s="73"/>
      <c r="GS452" s="73"/>
      <c r="GT452" s="73"/>
      <c r="GU452" s="73"/>
      <c r="GV452" s="73"/>
      <c r="GW452" s="73"/>
      <c r="GX452" s="73"/>
      <c r="GY452" s="73"/>
      <c r="GZ452" s="73"/>
      <c r="HA452" s="73"/>
      <c r="HB452" s="73"/>
      <c r="HC452" s="73"/>
      <c r="HD452" s="73"/>
      <c r="HE452" s="73"/>
      <c r="HF452" s="73"/>
      <c r="HG452" s="73"/>
      <c r="HH452" s="73"/>
      <c r="HI452" s="73"/>
      <c r="HJ452" s="73"/>
      <c r="HK452" s="73"/>
      <c r="HL452" s="73"/>
      <c r="HM452" s="73"/>
      <c r="HN452" s="73"/>
      <c r="HO452" s="73"/>
      <c r="HP452" s="73"/>
      <c r="HQ452" s="73"/>
      <c r="HR452" s="73"/>
      <c r="HS452" s="73"/>
      <c r="HT452" s="73"/>
      <c r="HU452" s="73"/>
      <c r="HV452" s="73"/>
      <c r="HW452" s="73"/>
      <c r="HX452" s="73"/>
      <c r="HY452" s="73"/>
      <c r="HZ452" s="73"/>
      <c r="IA452" s="73"/>
      <c r="IB452" s="73"/>
      <c r="IC452" s="73"/>
      <c r="ID452" s="73"/>
      <c r="IE452" s="73"/>
      <c r="IF452" s="73"/>
      <c r="IG452" s="73"/>
      <c r="IH452" s="73"/>
      <c r="II452" s="73"/>
      <c r="IJ452" s="73"/>
      <c r="IK452" s="73"/>
      <c r="IL452" s="73"/>
      <c r="IM452" s="73"/>
      <c r="IN452" s="73"/>
      <c r="IO452" s="73"/>
      <c r="IP452" s="73"/>
      <c r="IQ452" s="73"/>
      <c r="IR452" s="73"/>
      <c r="IS452" s="73"/>
      <c r="IT452" s="73"/>
      <c r="IU452" s="73"/>
      <c r="IV452" s="73"/>
      <c r="IW452" s="73"/>
      <c r="IX452" s="73"/>
      <c r="IY452" s="73"/>
      <c r="IZ452" s="73"/>
      <c r="JA452" s="73"/>
      <c r="JB452" s="73"/>
      <c r="JC452" s="73"/>
    </row>
    <row r="453" spans="2:263" s="72" customFormat="1">
      <c r="B453" s="73"/>
      <c r="C453" s="73"/>
      <c r="D453" s="73"/>
      <c r="E453" s="73"/>
      <c r="F453" s="73"/>
      <c r="G453" s="73"/>
      <c r="H453" s="73"/>
      <c r="I453" s="73"/>
      <c r="J453" s="73"/>
      <c r="K453" s="73"/>
      <c r="L453" s="73"/>
      <c r="M453" s="73"/>
      <c r="N453" s="73"/>
      <c r="O453" s="73"/>
      <c r="P453" s="73"/>
      <c r="Q453" s="73"/>
      <c r="R453" s="73"/>
      <c r="S453" s="73"/>
      <c r="T453" s="73"/>
      <c r="U453" s="73"/>
      <c r="V453" s="73"/>
      <c r="W453" s="73"/>
      <c r="GL453" s="73"/>
      <c r="GM453" s="73"/>
      <c r="GN453" s="73"/>
      <c r="GO453" s="73"/>
      <c r="GP453" s="73"/>
      <c r="GQ453" s="73"/>
      <c r="GR453" s="73"/>
      <c r="GS453" s="73"/>
      <c r="GT453" s="73"/>
      <c r="GU453" s="73"/>
      <c r="GV453" s="73"/>
      <c r="GW453" s="73"/>
      <c r="GX453" s="73"/>
      <c r="GY453" s="73"/>
      <c r="GZ453" s="73"/>
      <c r="HA453" s="73"/>
      <c r="HB453" s="73"/>
      <c r="HC453" s="73"/>
      <c r="HD453" s="73"/>
      <c r="HE453" s="73"/>
      <c r="HF453" s="73"/>
      <c r="HG453" s="73"/>
      <c r="HH453" s="73"/>
      <c r="HI453" s="73"/>
      <c r="HJ453" s="73"/>
      <c r="HK453" s="73"/>
      <c r="HL453" s="73"/>
      <c r="HM453" s="73"/>
      <c r="HN453" s="73"/>
      <c r="HO453" s="73"/>
      <c r="HP453" s="73"/>
      <c r="HQ453" s="73"/>
      <c r="HR453" s="73"/>
      <c r="HS453" s="73"/>
      <c r="HT453" s="73"/>
      <c r="HU453" s="73"/>
      <c r="HV453" s="73"/>
      <c r="HW453" s="73"/>
      <c r="HX453" s="73"/>
      <c r="HY453" s="73"/>
      <c r="HZ453" s="73"/>
      <c r="IA453" s="73"/>
      <c r="IB453" s="73"/>
      <c r="IC453" s="73"/>
      <c r="ID453" s="73"/>
      <c r="IE453" s="73"/>
      <c r="IF453" s="73"/>
      <c r="IG453" s="73"/>
      <c r="IH453" s="73"/>
      <c r="II453" s="73"/>
      <c r="IJ453" s="73"/>
      <c r="IK453" s="73"/>
      <c r="IL453" s="73"/>
      <c r="IM453" s="73"/>
      <c r="IN453" s="73"/>
      <c r="IO453" s="73"/>
      <c r="IP453" s="73"/>
      <c r="IQ453" s="73"/>
      <c r="IR453" s="73"/>
      <c r="IS453" s="73"/>
      <c r="IT453" s="73"/>
      <c r="IU453" s="73"/>
      <c r="IV453" s="73"/>
      <c r="IW453" s="73"/>
      <c r="IX453" s="73"/>
      <c r="IY453" s="73"/>
      <c r="IZ453" s="73"/>
      <c r="JA453" s="73"/>
      <c r="JB453" s="73"/>
      <c r="JC453" s="73"/>
    </row>
    <row r="454" spans="2:263" s="72" customFormat="1">
      <c r="B454" s="73"/>
      <c r="C454" s="73"/>
      <c r="D454" s="73"/>
      <c r="E454" s="73"/>
      <c r="F454" s="73"/>
      <c r="G454" s="73"/>
      <c r="H454" s="73"/>
      <c r="I454" s="73"/>
      <c r="J454" s="73"/>
      <c r="K454" s="73"/>
      <c r="L454" s="73"/>
      <c r="M454" s="73"/>
      <c r="N454" s="73"/>
      <c r="O454" s="73"/>
      <c r="P454" s="73"/>
      <c r="Q454" s="73"/>
      <c r="R454" s="73"/>
      <c r="S454" s="73"/>
      <c r="T454" s="73"/>
      <c r="U454" s="73"/>
      <c r="V454" s="73"/>
      <c r="W454" s="73"/>
      <c r="GL454" s="73"/>
      <c r="GM454" s="73"/>
      <c r="GN454" s="73"/>
      <c r="GO454" s="73"/>
      <c r="GP454" s="73"/>
      <c r="GQ454" s="73"/>
      <c r="GR454" s="73"/>
      <c r="GS454" s="73"/>
      <c r="GT454" s="73"/>
      <c r="GU454" s="73"/>
      <c r="GV454" s="73"/>
      <c r="GW454" s="73"/>
      <c r="GX454" s="73"/>
      <c r="GY454" s="73"/>
      <c r="GZ454" s="73"/>
      <c r="HA454" s="73"/>
      <c r="HB454" s="73"/>
      <c r="HC454" s="73"/>
      <c r="HD454" s="73"/>
      <c r="HE454" s="73"/>
      <c r="HF454" s="73"/>
      <c r="HG454" s="73"/>
      <c r="HH454" s="73"/>
      <c r="HI454" s="73"/>
      <c r="HJ454" s="73"/>
      <c r="HK454" s="73"/>
      <c r="HL454" s="73"/>
      <c r="HM454" s="73"/>
      <c r="HN454" s="73"/>
      <c r="HO454" s="73"/>
      <c r="HP454" s="73"/>
      <c r="HQ454" s="73"/>
      <c r="HR454" s="73"/>
      <c r="HS454" s="73"/>
      <c r="HT454" s="73"/>
      <c r="HU454" s="73"/>
      <c r="HV454" s="73"/>
      <c r="HW454" s="73"/>
      <c r="HX454" s="73"/>
      <c r="HY454" s="73"/>
      <c r="HZ454" s="73"/>
      <c r="IA454" s="73"/>
      <c r="IB454" s="73"/>
      <c r="IC454" s="73"/>
      <c r="ID454" s="73"/>
      <c r="IE454" s="73"/>
      <c r="IF454" s="73"/>
      <c r="IG454" s="73"/>
      <c r="IH454" s="73"/>
      <c r="II454" s="73"/>
      <c r="IJ454" s="73"/>
      <c r="IK454" s="73"/>
      <c r="IL454" s="73"/>
      <c r="IM454" s="73"/>
      <c r="IN454" s="73"/>
      <c r="IO454" s="73"/>
      <c r="IP454" s="73"/>
      <c r="IQ454" s="73"/>
      <c r="IR454" s="73"/>
      <c r="IS454" s="73"/>
      <c r="IT454" s="73"/>
      <c r="IU454" s="73"/>
      <c r="IV454" s="73"/>
      <c r="IW454" s="73"/>
      <c r="IX454" s="73"/>
      <c r="IY454" s="73"/>
      <c r="IZ454" s="73"/>
      <c r="JA454" s="73"/>
      <c r="JB454" s="73"/>
      <c r="JC454" s="73"/>
    </row>
    <row r="455" spans="2:263" s="72" customFormat="1">
      <c r="B455" s="73"/>
      <c r="C455" s="73"/>
      <c r="D455" s="73"/>
      <c r="E455" s="73"/>
      <c r="F455" s="73"/>
      <c r="G455" s="73"/>
      <c r="H455" s="73"/>
      <c r="I455" s="73"/>
      <c r="J455" s="73"/>
      <c r="K455" s="73"/>
      <c r="L455" s="73"/>
      <c r="M455" s="73"/>
      <c r="N455" s="73"/>
      <c r="O455" s="73"/>
      <c r="P455" s="73"/>
      <c r="Q455" s="73"/>
      <c r="R455" s="73"/>
      <c r="S455" s="73"/>
      <c r="T455" s="73"/>
      <c r="U455" s="73"/>
      <c r="V455" s="73"/>
      <c r="W455" s="73"/>
      <c r="GL455" s="73"/>
      <c r="GM455" s="73"/>
      <c r="GN455" s="73"/>
      <c r="GO455" s="73"/>
      <c r="GP455" s="73"/>
      <c r="GQ455" s="73"/>
      <c r="GR455" s="73"/>
      <c r="GS455" s="73"/>
      <c r="GT455" s="73"/>
      <c r="GU455" s="73"/>
      <c r="GV455" s="73"/>
      <c r="GW455" s="73"/>
      <c r="GX455" s="73"/>
      <c r="GY455" s="73"/>
      <c r="GZ455" s="73"/>
      <c r="HA455" s="73"/>
      <c r="HB455" s="73"/>
      <c r="HC455" s="73"/>
      <c r="HD455" s="73"/>
      <c r="HE455" s="73"/>
      <c r="HF455" s="73"/>
      <c r="HG455" s="73"/>
      <c r="HH455" s="73"/>
      <c r="HI455" s="73"/>
      <c r="HJ455" s="73"/>
      <c r="HK455" s="73"/>
      <c r="HL455" s="73"/>
      <c r="HM455" s="73"/>
      <c r="HN455" s="73"/>
      <c r="HO455" s="73"/>
      <c r="HP455" s="73"/>
      <c r="HQ455" s="73"/>
      <c r="HR455" s="73"/>
      <c r="HS455" s="73"/>
      <c r="HT455" s="73"/>
      <c r="HU455" s="73"/>
      <c r="HV455" s="73"/>
      <c r="HW455" s="73"/>
      <c r="HX455" s="73"/>
      <c r="HY455" s="73"/>
      <c r="HZ455" s="73"/>
      <c r="IA455" s="73"/>
      <c r="IB455" s="73"/>
      <c r="IC455" s="73"/>
      <c r="ID455" s="73"/>
      <c r="IE455" s="73"/>
      <c r="IF455" s="73"/>
      <c r="IG455" s="73"/>
      <c r="IH455" s="73"/>
      <c r="II455" s="73"/>
      <c r="IJ455" s="73"/>
      <c r="IK455" s="73"/>
      <c r="IL455" s="73"/>
      <c r="IM455" s="73"/>
      <c r="IN455" s="73"/>
      <c r="IO455" s="73"/>
      <c r="IP455" s="73"/>
      <c r="IQ455" s="73"/>
      <c r="IR455" s="73"/>
      <c r="IS455" s="73"/>
      <c r="IT455" s="73"/>
      <c r="IU455" s="73"/>
      <c r="IV455" s="73"/>
      <c r="IW455" s="73"/>
      <c r="IX455" s="73"/>
      <c r="IY455" s="73"/>
      <c r="IZ455" s="73"/>
      <c r="JA455" s="73"/>
      <c r="JB455" s="73"/>
      <c r="JC455" s="73"/>
    </row>
    <row r="456" spans="2:263" s="72" customFormat="1">
      <c r="B456" s="73"/>
      <c r="C456" s="73"/>
      <c r="D456" s="73"/>
      <c r="E456" s="73"/>
      <c r="F456" s="73"/>
      <c r="G456" s="73"/>
      <c r="H456" s="73"/>
      <c r="I456" s="73"/>
      <c r="J456" s="73"/>
      <c r="K456" s="73"/>
      <c r="L456" s="73"/>
      <c r="M456" s="73"/>
      <c r="N456" s="73"/>
      <c r="O456" s="73"/>
      <c r="P456" s="73"/>
      <c r="Q456" s="73"/>
      <c r="R456" s="73"/>
      <c r="S456" s="73"/>
      <c r="T456" s="73"/>
      <c r="U456" s="73"/>
      <c r="V456" s="73"/>
      <c r="W456" s="73"/>
      <c r="GL456" s="73"/>
      <c r="GM456" s="73"/>
      <c r="GN456" s="73"/>
      <c r="GO456" s="73"/>
      <c r="GP456" s="73"/>
      <c r="GQ456" s="73"/>
      <c r="GR456" s="73"/>
      <c r="GS456" s="73"/>
      <c r="GT456" s="73"/>
      <c r="GU456" s="73"/>
      <c r="GV456" s="73"/>
      <c r="GW456" s="73"/>
      <c r="GX456" s="73"/>
      <c r="GY456" s="73"/>
      <c r="GZ456" s="73"/>
      <c r="HA456" s="73"/>
      <c r="HB456" s="73"/>
      <c r="HC456" s="73"/>
      <c r="HD456" s="73"/>
      <c r="HE456" s="73"/>
      <c r="HF456" s="73"/>
      <c r="HG456" s="73"/>
      <c r="HH456" s="73"/>
      <c r="HI456" s="73"/>
      <c r="HJ456" s="73"/>
      <c r="HK456" s="73"/>
      <c r="HL456" s="73"/>
      <c r="HM456" s="73"/>
      <c r="HN456" s="73"/>
      <c r="HO456" s="73"/>
      <c r="HP456" s="73"/>
      <c r="HQ456" s="73"/>
      <c r="HR456" s="73"/>
      <c r="HS456" s="73"/>
      <c r="HT456" s="73"/>
      <c r="HU456" s="73"/>
      <c r="HV456" s="73"/>
      <c r="HW456" s="73"/>
      <c r="HX456" s="73"/>
      <c r="HY456" s="73"/>
      <c r="HZ456" s="73"/>
      <c r="IA456" s="73"/>
      <c r="IB456" s="73"/>
      <c r="IC456" s="73"/>
      <c r="ID456" s="73"/>
      <c r="IE456" s="73"/>
      <c r="IF456" s="73"/>
      <c r="IG456" s="73"/>
      <c r="IH456" s="73"/>
      <c r="II456" s="73"/>
      <c r="IJ456" s="73"/>
      <c r="IK456" s="73"/>
      <c r="IL456" s="73"/>
      <c r="IM456" s="73"/>
      <c r="IN456" s="73"/>
      <c r="IO456" s="73"/>
      <c r="IP456" s="73"/>
      <c r="IQ456" s="73"/>
      <c r="IR456" s="73"/>
      <c r="IS456" s="73"/>
      <c r="IT456" s="73"/>
      <c r="IU456" s="73"/>
      <c r="IV456" s="73"/>
      <c r="IW456" s="73"/>
      <c r="IX456" s="73"/>
      <c r="IY456" s="73"/>
      <c r="IZ456" s="73"/>
      <c r="JA456" s="73"/>
      <c r="JB456" s="73"/>
      <c r="JC456" s="73"/>
    </row>
    <row r="457" spans="2:263" s="72" customFormat="1">
      <c r="B457" s="73"/>
      <c r="C457" s="73"/>
      <c r="D457" s="73"/>
      <c r="E457" s="73"/>
      <c r="F457" s="73"/>
      <c r="G457" s="73"/>
      <c r="H457" s="73"/>
      <c r="I457" s="73"/>
      <c r="J457" s="73"/>
      <c r="K457" s="73"/>
      <c r="L457" s="73"/>
      <c r="M457" s="73"/>
      <c r="N457" s="73"/>
      <c r="O457" s="73"/>
      <c r="P457" s="73"/>
      <c r="Q457" s="73"/>
      <c r="R457" s="73"/>
      <c r="S457" s="73"/>
      <c r="T457" s="73"/>
      <c r="U457" s="73"/>
      <c r="V457" s="73"/>
      <c r="W457" s="73"/>
      <c r="GL457" s="73"/>
      <c r="GM457" s="73"/>
      <c r="GN457" s="73"/>
      <c r="GO457" s="73"/>
      <c r="GP457" s="73"/>
      <c r="GQ457" s="73"/>
      <c r="GR457" s="73"/>
      <c r="GS457" s="73"/>
      <c r="GT457" s="73"/>
      <c r="GU457" s="73"/>
      <c r="GV457" s="73"/>
      <c r="GW457" s="73"/>
      <c r="GX457" s="73"/>
      <c r="GY457" s="73"/>
      <c r="GZ457" s="73"/>
      <c r="HA457" s="73"/>
      <c r="HB457" s="73"/>
      <c r="HC457" s="73"/>
      <c r="HD457" s="73"/>
      <c r="HE457" s="73"/>
      <c r="HF457" s="73"/>
      <c r="HG457" s="73"/>
      <c r="HH457" s="73"/>
      <c r="HI457" s="73"/>
      <c r="HJ457" s="73"/>
      <c r="HK457" s="73"/>
      <c r="HL457" s="73"/>
      <c r="HM457" s="73"/>
      <c r="HN457" s="73"/>
      <c r="HO457" s="73"/>
      <c r="HP457" s="73"/>
      <c r="HQ457" s="73"/>
      <c r="HR457" s="73"/>
      <c r="HS457" s="73"/>
      <c r="HT457" s="73"/>
      <c r="HU457" s="73"/>
      <c r="HV457" s="73"/>
      <c r="HW457" s="73"/>
      <c r="HX457" s="73"/>
      <c r="HY457" s="73"/>
      <c r="HZ457" s="73"/>
      <c r="IA457" s="73"/>
      <c r="IB457" s="73"/>
      <c r="IC457" s="73"/>
      <c r="ID457" s="73"/>
      <c r="IE457" s="73"/>
      <c r="IF457" s="73"/>
      <c r="IG457" s="73"/>
      <c r="IH457" s="73"/>
      <c r="II457" s="73"/>
      <c r="IJ457" s="73"/>
      <c r="IK457" s="73"/>
      <c r="IL457" s="73"/>
      <c r="IM457" s="73"/>
      <c r="IN457" s="73"/>
      <c r="IO457" s="73"/>
      <c r="IP457" s="73"/>
      <c r="IQ457" s="73"/>
      <c r="IR457" s="73"/>
      <c r="IS457" s="73"/>
      <c r="IT457" s="73"/>
      <c r="IU457" s="73"/>
      <c r="IV457" s="73"/>
      <c r="IW457" s="73"/>
      <c r="IX457" s="73"/>
      <c r="IY457" s="73"/>
      <c r="IZ457" s="73"/>
      <c r="JA457" s="73"/>
      <c r="JB457" s="73"/>
      <c r="JC457" s="73"/>
    </row>
    <row r="458" spans="2:263" s="72" customFormat="1">
      <c r="B458" s="73"/>
      <c r="C458" s="73"/>
      <c r="D458" s="73"/>
      <c r="E458" s="73"/>
      <c r="F458" s="73"/>
      <c r="G458" s="73"/>
      <c r="H458" s="73"/>
      <c r="I458" s="73"/>
      <c r="J458" s="73"/>
      <c r="K458" s="73"/>
      <c r="L458" s="73"/>
      <c r="M458" s="73"/>
      <c r="N458" s="73"/>
      <c r="O458" s="73"/>
      <c r="P458" s="73"/>
      <c r="Q458" s="73"/>
      <c r="R458" s="73"/>
      <c r="S458" s="73"/>
      <c r="T458" s="73"/>
      <c r="U458" s="73"/>
      <c r="V458" s="73"/>
      <c r="W458" s="73"/>
      <c r="GL458" s="73"/>
      <c r="GM458" s="73"/>
      <c r="GN458" s="73"/>
      <c r="GO458" s="73"/>
      <c r="GP458" s="73"/>
      <c r="GQ458" s="73"/>
      <c r="GR458" s="73"/>
      <c r="GS458" s="73"/>
      <c r="GT458" s="73"/>
      <c r="GU458" s="73"/>
      <c r="GV458" s="73"/>
      <c r="GW458" s="73"/>
      <c r="GX458" s="73"/>
      <c r="GY458" s="73"/>
      <c r="GZ458" s="73"/>
      <c r="HA458" s="73"/>
      <c r="HB458" s="73"/>
      <c r="HC458" s="73"/>
      <c r="HD458" s="73"/>
      <c r="HE458" s="73"/>
      <c r="HF458" s="73"/>
      <c r="HG458" s="73"/>
      <c r="HH458" s="73"/>
      <c r="HI458" s="73"/>
      <c r="HJ458" s="73"/>
      <c r="HK458" s="73"/>
      <c r="HL458" s="73"/>
      <c r="HM458" s="73"/>
      <c r="HN458" s="73"/>
      <c r="HO458" s="73"/>
      <c r="HP458" s="73"/>
      <c r="HQ458" s="73"/>
      <c r="HR458" s="73"/>
      <c r="HS458" s="73"/>
      <c r="HT458" s="73"/>
      <c r="HU458" s="73"/>
      <c r="HV458" s="73"/>
      <c r="HW458" s="73"/>
      <c r="HX458" s="73"/>
      <c r="HY458" s="73"/>
      <c r="HZ458" s="73"/>
      <c r="IA458" s="73"/>
      <c r="IB458" s="73"/>
      <c r="IC458" s="73"/>
      <c r="ID458" s="73"/>
      <c r="IE458" s="73"/>
      <c r="IF458" s="73"/>
      <c r="IG458" s="73"/>
      <c r="IH458" s="73"/>
      <c r="II458" s="73"/>
      <c r="IJ458" s="73"/>
      <c r="IK458" s="73"/>
      <c r="IL458" s="73"/>
      <c r="IM458" s="73"/>
      <c r="IN458" s="73"/>
      <c r="IO458" s="73"/>
      <c r="IP458" s="73"/>
      <c r="IQ458" s="73"/>
      <c r="IR458" s="73"/>
      <c r="IS458" s="73"/>
      <c r="IT458" s="73"/>
      <c r="IU458" s="73"/>
      <c r="IV458" s="73"/>
      <c r="IW458" s="73"/>
      <c r="IX458" s="73"/>
      <c r="IY458" s="73"/>
      <c r="IZ458" s="73"/>
      <c r="JA458" s="73"/>
      <c r="JB458" s="73"/>
      <c r="JC458" s="73"/>
    </row>
    <row r="459" spans="2:263" s="72" customFormat="1">
      <c r="B459" s="73"/>
      <c r="C459" s="73"/>
      <c r="D459" s="73"/>
      <c r="E459" s="73"/>
      <c r="F459" s="73"/>
      <c r="G459" s="73"/>
      <c r="H459" s="73"/>
      <c r="I459" s="73"/>
      <c r="J459" s="73"/>
      <c r="K459" s="73"/>
      <c r="L459" s="73"/>
      <c r="M459" s="73"/>
      <c r="N459" s="73"/>
      <c r="O459" s="73"/>
      <c r="P459" s="73"/>
      <c r="Q459" s="73"/>
      <c r="R459" s="73"/>
      <c r="S459" s="73"/>
      <c r="T459" s="73"/>
      <c r="U459" s="73"/>
      <c r="V459" s="73"/>
      <c r="W459" s="73"/>
      <c r="GL459" s="73"/>
      <c r="GM459" s="73"/>
      <c r="GN459" s="73"/>
      <c r="GO459" s="73"/>
      <c r="GP459" s="73"/>
      <c r="GQ459" s="73"/>
      <c r="GR459" s="73"/>
      <c r="GS459" s="73"/>
      <c r="GT459" s="73"/>
      <c r="GU459" s="73"/>
      <c r="GV459" s="73"/>
      <c r="GW459" s="73"/>
      <c r="GX459" s="73"/>
      <c r="GY459" s="73"/>
      <c r="GZ459" s="73"/>
      <c r="HA459" s="73"/>
      <c r="HB459" s="73"/>
      <c r="HC459" s="73"/>
      <c r="HD459" s="73"/>
      <c r="HE459" s="73"/>
      <c r="HF459" s="73"/>
      <c r="HG459" s="73"/>
      <c r="HH459" s="73"/>
      <c r="HI459" s="73"/>
      <c r="HJ459" s="73"/>
      <c r="HK459" s="73"/>
      <c r="HL459" s="73"/>
      <c r="HM459" s="73"/>
      <c r="HN459" s="73"/>
      <c r="HO459" s="73"/>
      <c r="HP459" s="73"/>
      <c r="HQ459" s="73"/>
      <c r="HR459" s="73"/>
      <c r="HS459" s="73"/>
      <c r="HT459" s="73"/>
      <c r="HU459" s="73"/>
      <c r="HV459" s="73"/>
      <c r="HW459" s="73"/>
      <c r="HX459" s="73"/>
      <c r="HY459" s="73"/>
      <c r="HZ459" s="73"/>
      <c r="IA459" s="73"/>
      <c r="IB459" s="73"/>
      <c r="IC459" s="73"/>
      <c r="ID459" s="73"/>
      <c r="IE459" s="73"/>
      <c r="IF459" s="73"/>
      <c r="IG459" s="73"/>
      <c r="IH459" s="73"/>
      <c r="II459" s="73"/>
      <c r="IJ459" s="73"/>
      <c r="IK459" s="73"/>
      <c r="IL459" s="73"/>
      <c r="IM459" s="73"/>
      <c r="IN459" s="73"/>
      <c r="IO459" s="73"/>
      <c r="IP459" s="73"/>
      <c r="IQ459" s="73"/>
      <c r="IR459" s="73"/>
      <c r="IS459" s="73"/>
      <c r="IT459" s="73"/>
      <c r="IU459" s="73"/>
      <c r="IV459" s="73"/>
      <c r="IW459" s="73"/>
      <c r="IX459" s="73"/>
      <c r="IY459" s="73"/>
      <c r="IZ459" s="73"/>
      <c r="JA459" s="73"/>
      <c r="JB459" s="73"/>
      <c r="JC459" s="73"/>
    </row>
    <row r="460" spans="2:263" s="72" customFormat="1">
      <c r="B460" s="73"/>
      <c r="C460" s="73"/>
      <c r="D460" s="73"/>
      <c r="E460" s="73"/>
      <c r="F460" s="73"/>
      <c r="G460" s="73"/>
      <c r="H460" s="73"/>
      <c r="I460" s="73"/>
      <c r="J460" s="73"/>
      <c r="K460" s="73"/>
      <c r="L460" s="73"/>
      <c r="M460" s="73"/>
      <c r="N460" s="73"/>
      <c r="O460" s="73"/>
      <c r="P460" s="73"/>
      <c r="Q460" s="73"/>
      <c r="R460" s="73"/>
      <c r="S460" s="73"/>
      <c r="T460" s="73"/>
      <c r="U460" s="73"/>
      <c r="V460" s="73"/>
      <c r="W460" s="73"/>
      <c r="GL460" s="73"/>
      <c r="GM460" s="73"/>
      <c r="GN460" s="73"/>
      <c r="GO460" s="73"/>
      <c r="GP460" s="73"/>
      <c r="GQ460" s="73"/>
      <c r="GR460" s="73"/>
      <c r="GS460" s="73"/>
      <c r="GT460" s="73"/>
      <c r="GU460" s="73"/>
      <c r="GV460" s="73"/>
      <c r="GW460" s="73"/>
      <c r="GX460" s="73"/>
      <c r="GY460" s="73"/>
      <c r="GZ460" s="73"/>
      <c r="HA460" s="73"/>
      <c r="HB460" s="73"/>
      <c r="HC460" s="73"/>
      <c r="HD460" s="73"/>
      <c r="HE460" s="73"/>
      <c r="HF460" s="73"/>
      <c r="HG460" s="73"/>
      <c r="HH460" s="73"/>
      <c r="HI460" s="73"/>
      <c r="HJ460" s="73"/>
      <c r="HK460" s="73"/>
      <c r="HL460" s="73"/>
      <c r="HM460" s="73"/>
      <c r="HN460" s="73"/>
      <c r="HO460" s="73"/>
      <c r="HP460" s="73"/>
      <c r="HQ460" s="73"/>
      <c r="HR460" s="73"/>
      <c r="HS460" s="73"/>
      <c r="HT460" s="73"/>
      <c r="HU460" s="73"/>
      <c r="HV460" s="73"/>
      <c r="HW460" s="73"/>
      <c r="HX460" s="73"/>
      <c r="HY460" s="73"/>
      <c r="HZ460" s="73"/>
      <c r="IA460" s="73"/>
      <c r="IB460" s="73"/>
      <c r="IC460" s="73"/>
      <c r="ID460" s="73"/>
      <c r="IE460" s="73"/>
      <c r="IF460" s="73"/>
      <c r="IG460" s="73"/>
      <c r="IH460" s="73"/>
      <c r="II460" s="73"/>
      <c r="IJ460" s="73"/>
      <c r="IK460" s="73"/>
      <c r="IL460" s="73"/>
      <c r="IM460" s="73"/>
      <c r="IN460" s="73"/>
      <c r="IO460" s="73"/>
      <c r="IP460" s="73"/>
      <c r="IQ460" s="73"/>
      <c r="IR460" s="73"/>
      <c r="IS460" s="73"/>
      <c r="IT460" s="73"/>
      <c r="IU460" s="73"/>
      <c r="IV460" s="73"/>
      <c r="IW460" s="73"/>
      <c r="IX460" s="73"/>
      <c r="IY460" s="73"/>
      <c r="IZ460" s="73"/>
      <c r="JA460" s="73"/>
      <c r="JB460" s="73"/>
      <c r="JC460" s="73"/>
    </row>
    <row r="461" spans="2:263" s="72" customFormat="1">
      <c r="B461" s="73"/>
      <c r="C461" s="73"/>
      <c r="D461" s="73"/>
      <c r="E461" s="73"/>
      <c r="F461" s="73"/>
      <c r="G461" s="73"/>
      <c r="H461" s="73"/>
      <c r="I461" s="73"/>
      <c r="J461" s="73"/>
      <c r="K461" s="73"/>
      <c r="L461" s="73"/>
      <c r="M461" s="73"/>
      <c r="N461" s="73"/>
      <c r="O461" s="73"/>
      <c r="P461" s="73"/>
      <c r="Q461" s="73"/>
      <c r="R461" s="73"/>
      <c r="S461" s="73"/>
      <c r="T461" s="73"/>
      <c r="U461" s="73"/>
      <c r="V461" s="73"/>
      <c r="W461" s="73"/>
      <c r="GL461" s="73"/>
      <c r="GM461" s="73"/>
      <c r="GN461" s="73"/>
      <c r="GO461" s="73"/>
      <c r="GP461" s="73"/>
      <c r="GQ461" s="73"/>
      <c r="GR461" s="73"/>
      <c r="GS461" s="73"/>
      <c r="GT461" s="73"/>
      <c r="GU461" s="73"/>
      <c r="GV461" s="73"/>
      <c r="GW461" s="73"/>
      <c r="GX461" s="73"/>
      <c r="GY461" s="73"/>
      <c r="GZ461" s="73"/>
      <c r="HA461" s="73"/>
      <c r="HB461" s="73"/>
      <c r="HC461" s="73"/>
      <c r="HD461" s="73"/>
      <c r="HE461" s="73"/>
      <c r="HF461" s="73"/>
      <c r="HG461" s="73"/>
      <c r="HH461" s="73"/>
      <c r="HI461" s="73"/>
      <c r="HJ461" s="73"/>
      <c r="HK461" s="73"/>
      <c r="HL461" s="73"/>
      <c r="HM461" s="73"/>
      <c r="HN461" s="73"/>
      <c r="HO461" s="73"/>
      <c r="HP461" s="73"/>
      <c r="HQ461" s="73"/>
      <c r="HR461" s="73"/>
      <c r="HS461" s="73"/>
      <c r="HT461" s="73"/>
      <c r="HU461" s="73"/>
      <c r="HV461" s="73"/>
      <c r="HW461" s="73"/>
      <c r="HX461" s="73"/>
      <c r="HY461" s="73"/>
      <c r="HZ461" s="73"/>
      <c r="IA461" s="73"/>
      <c r="IB461" s="73"/>
      <c r="IC461" s="73"/>
      <c r="ID461" s="73"/>
      <c r="IE461" s="73"/>
      <c r="IF461" s="73"/>
      <c r="IG461" s="73"/>
      <c r="IH461" s="73"/>
      <c r="II461" s="73"/>
      <c r="IJ461" s="73"/>
      <c r="IK461" s="73"/>
      <c r="IL461" s="73"/>
      <c r="IM461" s="73"/>
      <c r="IN461" s="73"/>
      <c r="IO461" s="73"/>
      <c r="IP461" s="73"/>
      <c r="IQ461" s="73"/>
      <c r="IR461" s="73"/>
      <c r="IS461" s="73"/>
      <c r="IT461" s="73"/>
      <c r="IU461" s="73"/>
      <c r="IV461" s="73"/>
      <c r="IW461" s="73"/>
      <c r="IX461" s="73"/>
      <c r="IY461" s="73"/>
      <c r="IZ461" s="73"/>
      <c r="JA461" s="73"/>
      <c r="JB461" s="73"/>
      <c r="JC461" s="73"/>
    </row>
    <row r="462" spans="2:263" s="72" customFormat="1">
      <c r="B462" s="73"/>
      <c r="C462" s="73"/>
      <c r="D462" s="73"/>
      <c r="E462" s="73"/>
      <c r="F462" s="73"/>
      <c r="G462" s="73"/>
      <c r="H462" s="73"/>
      <c r="I462" s="73"/>
      <c r="J462" s="73"/>
      <c r="K462" s="73"/>
      <c r="L462" s="73"/>
      <c r="M462" s="73"/>
      <c r="N462" s="73"/>
      <c r="O462" s="73"/>
      <c r="P462" s="73"/>
      <c r="Q462" s="73"/>
      <c r="R462" s="73"/>
      <c r="S462" s="73"/>
      <c r="T462" s="73"/>
      <c r="U462" s="73"/>
      <c r="V462" s="73"/>
      <c r="W462" s="73"/>
      <c r="GL462" s="73"/>
      <c r="GM462" s="73"/>
      <c r="GN462" s="73"/>
      <c r="GO462" s="73"/>
      <c r="GP462" s="73"/>
      <c r="GQ462" s="73"/>
      <c r="GR462" s="73"/>
      <c r="GS462" s="73"/>
      <c r="GT462" s="73"/>
      <c r="GU462" s="73"/>
      <c r="GV462" s="73"/>
      <c r="GW462" s="73"/>
      <c r="GX462" s="73"/>
      <c r="GY462" s="73"/>
      <c r="GZ462" s="73"/>
      <c r="HA462" s="73"/>
      <c r="HB462" s="73"/>
      <c r="HC462" s="73"/>
      <c r="HD462" s="73"/>
      <c r="HE462" s="73"/>
      <c r="HF462" s="73"/>
      <c r="HG462" s="73"/>
      <c r="HH462" s="73"/>
      <c r="HI462" s="73"/>
      <c r="HJ462" s="73"/>
      <c r="HK462" s="73"/>
      <c r="HL462" s="73"/>
      <c r="HM462" s="73"/>
      <c r="HN462" s="73"/>
      <c r="HO462" s="73"/>
      <c r="HP462" s="73"/>
      <c r="HQ462" s="73"/>
      <c r="HR462" s="73"/>
      <c r="HS462" s="73"/>
      <c r="HT462" s="73"/>
      <c r="HU462" s="73"/>
      <c r="HV462" s="73"/>
      <c r="HW462" s="73"/>
      <c r="HX462" s="73"/>
      <c r="HY462" s="73"/>
      <c r="HZ462" s="73"/>
      <c r="IA462" s="73"/>
      <c r="IB462" s="73"/>
      <c r="IC462" s="73"/>
      <c r="ID462" s="73"/>
      <c r="IE462" s="73"/>
      <c r="IF462" s="73"/>
      <c r="IG462" s="73"/>
      <c r="IH462" s="73"/>
      <c r="II462" s="73"/>
      <c r="IJ462" s="73"/>
      <c r="IK462" s="73"/>
      <c r="IL462" s="73"/>
      <c r="IM462" s="73"/>
      <c r="IN462" s="73"/>
      <c r="IO462" s="73"/>
      <c r="IP462" s="73"/>
      <c r="IQ462" s="73"/>
      <c r="IR462" s="73"/>
      <c r="IS462" s="73"/>
      <c r="IT462" s="73"/>
      <c r="IU462" s="73"/>
      <c r="IV462" s="73"/>
      <c r="IW462" s="73"/>
      <c r="IX462" s="73"/>
      <c r="IY462" s="73"/>
      <c r="IZ462" s="73"/>
      <c r="JA462" s="73"/>
      <c r="JB462" s="73"/>
      <c r="JC462" s="73"/>
    </row>
    <row r="463" spans="2:263" s="72" customFormat="1">
      <c r="B463" s="73"/>
      <c r="C463" s="73"/>
      <c r="D463" s="73"/>
      <c r="E463" s="73"/>
      <c r="F463" s="73"/>
      <c r="G463" s="73"/>
      <c r="H463" s="73"/>
      <c r="I463" s="73"/>
      <c r="J463" s="73"/>
      <c r="K463" s="73"/>
      <c r="L463" s="73"/>
      <c r="M463" s="73"/>
      <c r="N463" s="73"/>
      <c r="O463" s="73"/>
      <c r="P463" s="73"/>
      <c r="Q463" s="73"/>
      <c r="R463" s="73"/>
      <c r="S463" s="73"/>
      <c r="T463" s="73"/>
      <c r="U463" s="73"/>
      <c r="V463" s="73"/>
      <c r="W463" s="73"/>
      <c r="GL463" s="73"/>
      <c r="GM463" s="73"/>
      <c r="GN463" s="73"/>
      <c r="GO463" s="73"/>
      <c r="GP463" s="73"/>
      <c r="GQ463" s="73"/>
      <c r="GR463" s="73"/>
      <c r="GS463" s="73"/>
      <c r="GT463" s="73"/>
      <c r="GU463" s="73"/>
      <c r="GV463" s="73"/>
      <c r="GW463" s="73"/>
      <c r="GX463" s="73"/>
      <c r="GY463" s="73"/>
      <c r="GZ463" s="73"/>
      <c r="HA463" s="73"/>
      <c r="HB463" s="73"/>
      <c r="HC463" s="73"/>
      <c r="HD463" s="73"/>
      <c r="HE463" s="73"/>
      <c r="HF463" s="73"/>
      <c r="HG463" s="73"/>
      <c r="HH463" s="73"/>
      <c r="HI463" s="73"/>
      <c r="HJ463" s="73"/>
      <c r="HK463" s="73"/>
      <c r="HL463" s="73"/>
      <c r="HM463" s="73"/>
      <c r="HN463" s="73"/>
      <c r="HO463" s="73"/>
      <c r="HP463" s="73"/>
      <c r="HQ463" s="73"/>
      <c r="HR463" s="73"/>
      <c r="HS463" s="73"/>
      <c r="HT463" s="73"/>
      <c r="HU463" s="73"/>
      <c r="HV463" s="73"/>
      <c r="HW463" s="73"/>
      <c r="HX463" s="73"/>
      <c r="HY463" s="73"/>
      <c r="HZ463" s="73"/>
      <c r="IA463" s="73"/>
      <c r="IB463" s="73"/>
      <c r="IC463" s="73"/>
      <c r="ID463" s="73"/>
      <c r="IE463" s="73"/>
      <c r="IF463" s="73"/>
      <c r="IG463" s="73"/>
      <c r="IH463" s="73"/>
      <c r="II463" s="73"/>
      <c r="IJ463" s="73"/>
      <c r="IK463" s="73"/>
      <c r="IL463" s="73"/>
      <c r="IM463" s="73"/>
      <c r="IN463" s="73"/>
      <c r="IO463" s="73"/>
      <c r="IP463" s="73"/>
      <c r="IQ463" s="73"/>
      <c r="IR463" s="73"/>
      <c r="IS463" s="73"/>
      <c r="IT463" s="73"/>
      <c r="IU463" s="73"/>
      <c r="IV463" s="73"/>
      <c r="IW463" s="73"/>
      <c r="IX463" s="73"/>
      <c r="IY463" s="73"/>
      <c r="IZ463" s="73"/>
      <c r="JA463" s="73"/>
      <c r="JB463" s="73"/>
      <c r="JC463" s="73"/>
    </row>
    <row r="464" spans="2:263" s="72" customFormat="1">
      <c r="B464" s="73"/>
      <c r="C464" s="73"/>
      <c r="D464" s="73"/>
      <c r="E464" s="73"/>
      <c r="F464" s="73"/>
      <c r="G464" s="73"/>
      <c r="H464" s="73"/>
      <c r="I464" s="73"/>
      <c r="J464" s="73"/>
      <c r="K464" s="73"/>
      <c r="L464" s="73"/>
      <c r="M464" s="73"/>
      <c r="N464" s="73"/>
      <c r="O464" s="73"/>
      <c r="P464" s="73"/>
      <c r="Q464" s="73"/>
      <c r="R464" s="73"/>
      <c r="S464" s="73"/>
      <c r="T464" s="73"/>
      <c r="U464" s="73"/>
      <c r="V464" s="73"/>
      <c r="W464" s="73"/>
      <c r="GL464" s="73"/>
      <c r="GM464" s="73"/>
      <c r="GN464" s="73"/>
      <c r="GO464" s="73"/>
      <c r="GP464" s="73"/>
      <c r="GQ464" s="73"/>
      <c r="GR464" s="73"/>
      <c r="GS464" s="73"/>
      <c r="GT464" s="73"/>
      <c r="GU464" s="73"/>
      <c r="GV464" s="73"/>
      <c r="GW464" s="73"/>
      <c r="GX464" s="73"/>
      <c r="GY464" s="73"/>
      <c r="GZ464" s="73"/>
      <c r="HA464" s="73"/>
      <c r="HB464" s="73"/>
      <c r="HC464" s="73"/>
      <c r="HD464" s="73"/>
      <c r="HE464" s="73"/>
      <c r="HF464" s="73"/>
      <c r="HG464" s="73"/>
      <c r="HH464" s="73"/>
      <c r="HI464" s="73"/>
      <c r="HJ464" s="73"/>
      <c r="HK464" s="73"/>
      <c r="HL464" s="73"/>
      <c r="HM464" s="73"/>
      <c r="HN464" s="73"/>
      <c r="HO464" s="73"/>
      <c r="HP464" s="73"/>
      <c r="HQ464" s="73"/>
      <c r="HR464" s="73"/>
      <c r="HS464" s="73"/>
      <c r="HT464" s="73"/>
      <c r="HU464" s="73"/>
      <c r="HV464" s="73"/>
      <c r="HW464" s="73"/>
      <c r="HX464" s="73"/>
      <c r="HY464" s="73"/>
      <c r="HZ464" s="73"/>
      <c r="IA464" s="73"/>
      <c r="IB464" s="73"/>
      <c r="IC464" s="73"/>
      <c r="ID464" s="73"/>
      <c r="IE464" s="73"/>
      <c r="IF464" s="73"/>
      <c r="IG464" s="73"/>
      <c r="IH464" s="73"/>
      <c r="II464" s="73"/>
      <c r="IJ464" s="73"/>
      <c r="IK464" s="73"/>
      <c r="IL464" s="73"/>
      <c r="IM464" s="73"/>
      <c r="IN464" s="73"/>
      <c r="IO464" s="73"/>
      <c r="IP464" s="73"/>
      <c r="IQ464" s="73"/>
      <c r="IR464" s="73"/>
      <c r="IS464" s="73"/>
      <c r="IT464" s="73"/>
      <c r="IU464" s="73"/>
      <c r="IV464" s="73"/>
      <c r="IW464" s="73"/>
      <c r="IX464" s="73"/>
      <c r="IY464" s="73"/>
      <c r="IZ464" s="73"/>
      <c r="JA464" s="73"/>
      <c r="JB464" s="73"/>
      <c r="JC464" s="73"/>
    </row>
    <row r="465" spans="2:263" s="72" customFormat="1">
      <c r="B465" s="73"/>
      <c r="C465" s="73"/>
      <c r="D465" s="73"/>
      <c r="E465" s="73"/>
      <c r="F465" s="73"/>
      <c r="G465" s="73"/>
      <c r="H465" s="73"/>
      <c r="I465" s="73"/>
      <c r="J465" s="73"/>
      <c r="K465" s="73"/>
      <c r="L465" s="73"/>
      <c r="M465" s="73"/>
      <c r="N465" s="73"/>
      <c r="O465" s="73"/>
      <c r="P465" s="73"/>
      <c r="Q465" s="73"/>
      <c r="R465" s="73"/>
      <c r="S465" s="73"/>
      <c r="T465" s="73"/>
      <c r="U465" s="73"/>
      <c r="V465" s="73"/>
      <c r="W465" s="73"/>
      <c r="GL465" s="73"/>
      <c r="GM465" s="73"/>
      <c r="GN465" s="73"/>
      <c r="GO465" s="73"/>
      <c r="GP465" s="73"/>
      <c r="GQ465" s="73"/>
      <c r="GR465" s="73"/>
      <c r="GS465" s="73"/>
      <c r="GT465" s="73"/>
      <c r="GU465" s="73"/>
      <c r="GV465" s="73"/>
      <c r="GW465" s="73"/>
      <c r="GX465" s="73"/>
      <c r="GY465" s="73"/>
      <c r="GZ465" s="73"/>
      <c r="HA465" s="73"/>
      <c r="HB465" s="73"/>
      <c r="HC465" s="73"/>
      <c r="HD465" s="73"/>
      <c r="HE465" s="73"/>
      <c r="HF465" s="73"/>
      <c r="HG465" s="73"/>
      <c r="HH465" s="73"/>
      <c r="HI465" s="73"/>
      <c r="HJ465" s="73"/>
      <c r="HK465" s="73"/>
      <c r="HL465" s="73"/>
      <c r="HM465" s="73"/>
      <c r="HN465" s="73"/>
      <c r="HO465" s="73"/>
      <c r="HP465" s="73"/>
      <c r="HQ465" s="73"/>
      <c r="HR465" s="73"/>
      <c r="HS465" s="73"/>
      <c r="HT465" s="73"/>
      <c r="HU465" s="73"/>
      <c r="HV465" s="73"/>
      <c r="HW465" s="73"/>
      <c r="HX465" s="73"/>
      <c r="HY465" s="73"/>
      <c r="HZ465" s="73"/>
      <c r="IA465" s="73"/>
      <c r="IB465" s="73"/>
      <c r="IC465" s="73"/>
      <c r="ID465" s="73"/>
      <c r="IE465" s="73"/>
      <c r="IF465" s="73"/>
      <c r="IG465" s="73"/>
      <c r="IH465" s="73"/>
      <c r="II465" s="73"/>
      <c r="IJ465" s="73"/>
      <c r="IK465" s="73"/>
      <c r="IL465" s="73"/>
      <c r="IM465" s="73"/>
      <c r="IN465" s="73"/>
      <c r="IO465" s="73"/>
      <c r="IP465" s="73"/>
      <c r="IQ465" s="73"/>
      <c r="IR465" s="73"/>
      <c r="IS465" s="73"/>
      <c r="IT465" s="73"/>
      <c r="IU465" s="73"/>
      <c r="IV465" s="73"/>
      <c r="IW465" s="73"/>
      <c r="IX465" s="73"/>
      <c r="IY465" s="73"/>
      <c r="IZ465" s="73"/>
      <c r="JA465" s="73"/>
      <c r="JB465" s="73"/>
      <c r="JC465" s="73"/>
    </row>
    <row r="466" spans="2:263" s="72" customFormat="1">
      <c r="B466" s="73"/>
      <c r="C466" s="73"/>
      <c r="D466" s="73"/>
      <c r="E466" s="73"/>
      <c r="F466" s="73"/>
      <c r="G466" s="73"/>
      <c r="H466" s="73"/>
      <c r="I466" s="73"/>
      <c r="J466" s="73"/>
      <c r="K466" s="73"/>
      <c r="L466" s="73"/>
      <c r="M466" s="73"/>
      <c r="N466" s="73"/>
      <c r="O466" s="73"/>
      <c r="P466" s="73"/>
      <c r="Q466" s="73"/>
      <c r="R466" s="73"/>
      <c r="S466" s="73"/>
      <c r="T466" s="73"/>
      <c r="U466" s="73"/>
      <c r="V466" s="73"/>
      <c r="W466" s="73"/>
      <c r="GL466" s="73"/>
      <c r="GM466" s="73"/>
      <c r="GN466" s="73"/>
      <c r="GO466" s="73"/>
      <c r="GP466" s="73"/>
      <c r="GQ466" s="73"/>
      <c r="GR466" s="73"/>
      <c r="GS466" s="73"/>
      <c r="GT466" s="73"/>
      <c r="GU466" s="73"/>
      <c r="GV466" s="73"/>
      <c r="GW466" s="73"/>
      <c r="GX466" s="73"/>
      <c r="GY466" s="73"/>
      <c r="GZ466" s="73"/>
      <c r="HA466" s="73"/>
      <c r="HB466" s="73"/>
      <c r="HC466" s="73"/>
      <c r="HD466" s="73"/>
      <c r="HE466" s="73"/>
      <c r="HF466" s="73"/>
      <c r="HG466" s="73"/>
      <c r="HH466" s="73"/>
      <c r="HI466" s="73"/>
      <c r="HJ466" s="73"/>
      <c r="HK466" s="73"/>
      <c r="HL466" s="73"/>
      <c r="HM466" s="73"/>
      <c r="HN466" s="73"/>
      <c r="HO466" s="73"/>
      <c r="HP466" s="73"/>
      <c r="HQ466" s="73"/>
      <c r="HR466" s="73"/>
      <c r="HS466" s="73"/>
      <c r="HT466" s="73"/>
      <c r="HU466" s="73"/>
      <c r="HV466" s="73"/>
      <c r="HW466" s="73"/>
      <c r="HX466" s="73"/>
      <c r="HY466" s="73"/>
      <c r="HZ466" s="73"/>
      <c r="IA466" s="73"/>
      <c r="IB466" s="73"/>
      <c r="IC466" s="73"/>
      <c r="ID466" s="73"/>
      <c r="IE466" s="73"/>
      <c r="IF466" s="73"/>
      <c r="IG466" s="73"/>
      <c r="IH466" s="73"/>
      <c r="II466" s="73"/>
      <c r="IJ466" s="73"/>
      <c r="IK466" s="73"/>
      <c r="IL466" s="73"/>
      <c r="IM466" s="73"/>
      <c r="IN466" s="73"/>
      <c r="IO466" s="73"/>
      <c r="IP466" s="73"/>
      <c r="IQ466" s="73"/>
      <c r="IR466" s="73"/>
      <c r="IS466" s="73"/>
      <c r="IT466" s="73"/>
      <c r="IU466" s="73"/>
      <c r="IV466" s="73"/>
      <c r="IW466" s="73"/>
      <c r="IX466" s="73"/>
      <c r="IY466" s="73"/>
      <c r="IZ466" s="73"/>
      <c r="JA466" s="73"/>
      <c r="JB466" s="73"/>
      <c r="JC466" s="73"/>
    </row>
    <row r="467" spans="2:263" s="72" customFormat="1">
      <c r="B467" s="73"/>
      <c r="C467" s="73"/>
      <c r="D467" s="73"/>
      <c r="E467" s="73"/>
      <c r="F467" s="73"/>
      <c r="G467" s="73"/>
      <c r="H467" s="73"/>
      <c r="I467" s="73"/>
      <c r="J467" s="73"/>
      <c r="K467" s="73"/>
      <c r="L467" s="73"/>
      <c r="M467" s="73"/>
      <c r="N467" s="73"/>
      <c r="O467" s="73"/>
      <c r="P467" s="73"/>
      <c r="Q467" s="73"/>
      <c r="R467" s="73"/>
      <c r="S467" s="73"/>
      <c r="T467" s="73"/>
      <c r="U467" s="73"/>
      <c r="V467" s="73"/>
      <c r="W467" s="73"/>
      <c r="GL467" s="73"/>
      <c r="GM467" s="73"/>
      <c r="GN467" s="73"/>
      <c r="GO467" s="73"/>
      <c r="GP467" s="73"/>
      <c r="GQ467" s="73"/>
      <c r="GR467" s="73"/>
      <c r="GS467" s="73"/>
      <c r="GT467" s="73"/>
      <c r="GU467" s="73"/>
      <c r="GV467" s="73"/>
      <c r="GW467" s="73"/>
      <c r="GX467" s="73"/>
      <c r="GY467" s="73"/>
      <c r="GZ467" s="73"/>
      <c r="HA467" s="73"/>
      <c r="HB467" s="73"/>
      <c r="HC467" s="73"/>
      <c r="HD467" s="73"/>
      <c r="HE467" s="73"/>
      <c r="HF467" s="73"/>
      <c r="HG467" s="73"/>
      <c r="HH467" s="73"/>
      <c r="HI467" s="73"/>
      <c r="HJ467" s="73"/>
      <c r="HK467" s="73"/>
      <c r="HL467" s="73"/>
      <c r="HM467" s="73"/>
      <c r="HN467" s="73"/>
      <c r="HO467" s="73"/>
      <c r="HP467" s="73"/>
      <c r="HQ467" s="73"/>
      <c r="HR467" s="73"/>
      <c r="HS467" s="73"/>
      <c r="HT467" s="73"/>
      <c r="HU467" s="73"/>
      <c r="HV467" s="73"/>
      <c r="HW467" s="73"/>
      <c r="HX467" s="73"/>
      <c r="HY467" s="73"/>
      <c r="HZ467" s="73"/>
      <c r="IA467" s="73"/>
      <c r="IB467" s="73"/>
      <c r="IC467" s="73"/>
      <c r="ID467" s="73"/>
      <c r="IE467" s="73"/>
      <c r="IF467" s="73"/>
      <c r="IG467" s="73"/>
      <c r="IH467" s="73"/>
      <c r="II467" s="73"/>
      <c r="IJ467" s="73"/>
      <c r="IK467" s="73"/>
      <c r="IL467" s="73"/>
      <c r="IM467" s="73"/>
      <c r="IN467" s="73"/>
      <c r="IO467" s="73"/>
      <c r="IP467" s="73"/>
      <c r="IQ467" s="73"/>
      <c r="IR467" s="73"/>
      <c r="IS467" s="73"/>
      <c r="IT467" s="73"/>
      <c r="IU467" s="73"/>
      <c r="IV467" s="73"/>
      <c r="IW467" s="73"/>
      <c r="IX467" s="73"/>
      <c r="IY467" s="73"/>
      <c r="IZ467" s="73"/>
      <c r="JA467" s="73"/>
      <c r="JB467" s="73"/>
      <c r="JC467" s="73"/>
    </row>
    <row r="468" spans="2:263" s="72" customFormat="1">
      <c r="B468" s="73"/>
      <c r="C468" s="73"/>
      <c r="D468" s="73"/>
      <c r="E468" s="73"/>
      <c r="F468" s="73"/>
      <c r="G468" s="73"/>
      <c r="H468" s="73"/>
      <c r="I468" s="73"/>
      <c r="J468" s="73"/>
      <c r="K468" s="73"/>
      <c r="L468" s="73"/>
      <c r="M468" s="73"/>
      <c r="N468" s="73"/>
      <c r="O468" s="73"/>
      <c r="P468" s="73"/>
      <c r="Q468" s="73"/>
      <c r="R468" s="73"/>
      <c r="S468" s="73"/>
      <c r="T468" s="73"/>
      <c r="U468" s="73"/>
      <c r="V468" s="73"/>
      <c r="W468" s="73"/>
      <c r="GL468" s="73"/>
      <c r="GM468" s="73"/>
      <c r="GN468" s="73"/>
      <c r="GO468" s="73"/>
      <c r="GP468" s="73"/>
      <c r="GQ468" s="73"/>
      <c r="GR468" s="73"/>
      <c r="GS468" s="73"/>
      <c r="GT468" s="73"/>
      <c r="GU468" s="73"/>
      <c r="GV468" s="73"/>
      <c r="GW468" s="73"/>
      <c r="GX468" s="73"/>
      <c r="GY468" s="73"/>
      <c r="GZ468" s="73"/>
      <c r="HA468" s="73"/>
      <c r="HB468" s="73"/>
      <c r="HC468" s="73"/>
      <c r="HD468" s="73"/>
      <c r="HE468" s="73"/>
      <c r="HF468" s="73"/>
      <c r="HG468" s="73"/>
      <c r="HH468" s="73"/>
      <c r="HI468" s="73"/>
      <c r="HJ468" s="73"/>
      <c r="HK468" s="73"/>
      <c r="HL468" s="73"/>
      <c r="HM468" s="73"/>
      <c r="HN468" s="73"/>
      <c r="HO468" s="73"/>
      <c r="HP468" s="73"/>
      <c r="HQ468" s="73"/>
      <c r="HR468" s="73"/>
      <c r="HS468" s="73"/>
      <c r="HT468" s="73"/>
      <c r="HU468" s="73"/>
      <c r="HV468" s="73"/>
      <c r="HW468" s="73"/>
      <c r="HX468" s="73"/>
      <c r="HY468" s="73"/>
      <c r="HZ468" s="73"/>
      <c r="IA468" s="73"/>
      <c r="IB468" s="73"/>
      <c r="IC468" s="73"/>
      <c r="ID468" s="73"/>
      <c r="IE468" s="73"/>
      <c r="IF468" s="73"/>
      <c r="IG468" s="73"/>
      <c r="IH468" s="73"/>
      <c r="II468" s="73"/>
      <c r="IJ468" s="73"/>
      <c r="IK468" s="73"/>
      <c r="IL468" s="73"/>
      <c r="IM468" s="73"/>
      <c r="IN468" s="73"/>
      <c r="IO468" s="73"/>
      <c r="IP468" s="73"/>
      <c r="IQ468" s="73"/>
      <c r="IR468" s="73"/>
      <c r="IS468" s="73"/>
      <c r="IT468" s="73"/>
      <c r="IU468" s="73"/>
      <c r="IV468" s="73"/>
      <c r="IW468" s="73"/>
      <c r="IX468" s="73"/>
      <c r="IY468" s="73"/>
      <c r="IZ468" s="73"/>
      <c r="JA468" s="73"/>
      <c r="JB468" s="73"/>
      <c r="JC468" s="73"/>
    </row>
    <row r="469" spans="2:263" s="72" customFormat="1">
      <c r="B469" s="73"/>
      <c r="C469" s="73"/>
      <c r="D469" s="73"/>
      <c r="E469" s="73"/>
      <c r="F469" s="73"/>
      <c r="G469" s="73"/>
      <c r="H469" s="73"/>
      <c r="I469" s="73"/>
      <c r="J469" s="73"/>
      <c r="K469" s="73"/>
      <c r="L469" s="73"/>
      <c r="M469" s="73"/>
      <c r="N469" s="73"/>
      <c r="O469" s="73"/>
      <c r="P469" s="73"/>
      <c r="Q469" s="73"/>
      <c r="R469" s="73"/>
      <c r="S469" s="73"/>
      <c r="T469" s="73"/>
      <c r="U469" s="73"/>
      <c r="V469" s="73"/>
      <c r="W469" s="73"/>
      <c r="GL469" s="73"/>
      <c r="GM469" s="73"/>
      <c r="GN469" s="73"/>
      <c r="GO469" s="73"/>
      <c r="GP469" s="73"/>
      <c r="GQ469" s="73"/>
      <c r="GR469" s="73"/>
      <c r="GS469" s="73"/>
      <c r="GT469" s="73"/>
      <c r="GU469" s="73"/>
      <c r="GV469" s="73"/>
      <c r="GW469" s="73"/>
      <c r="GX469" s="73"/>
      <c r="GY469" s="73"/>
      <c r="GZ469" s="73"/>
      <c r="HA469" s="73"/>
      <c r="HB469" s="73"/>
      <c r="HC469" s="73"/>
      <c r="HD469" s="73"/>
      <c r="HE469" s="73"/>
      <c r="HF469" s="73"/>
      <c r="HG469" s="73"/>
      <c r="HH469" s="73"/>
      <c r="HI469" s="73"/>
      <c r="HJ469" s="73"/>
      <c r="HK469" s="73"/>
      <c r="HL469" s="73"/>
      <c r="HM469" s="73"/>
      <c r="HN469" s="73"/>
      <c r="HO469" s="73"/>
      <c r="HP469" s="73"/>
      <c r="HQ469" s="73"/>
      <c r="HR469" s="73"/>
      <c r="HS469" s="73"/>
      <c r="HT469" s="73"/>
      <c r="HU469" s="73"/>
      <c r="HV469" s="73"/>
      <c r="HW469" s="73"/>
      <c r="HX469" s="73"/>
      <c r="HY469" s="73"/>
      <c r="HZ469" s="73"/>
      <c r="IA469" s="73"/>
      <c r="IB469" s="73"/>
      <c r="IC469" s="73"/>
      <c r="ID469" s="73"/>
      <c r="IE469" s="73"/>
      <c r="IF469" s="73"/>
      <c r="IG469" s="73"/>
      <c r="IH469" s="73"/>
      <c r="II469" s="73"/>
      <c r="IJ469" s="73"/>
      <c r="IK469" s="73"/>
      <c r="IL469" s="73"/>
      <c r="IM469" s="73"/>
      <c r="IN469" s="73"/>
      <c r="IO469" s="73"/>
      <c r="IP469" s="73"/>
      <c r="IQ469" s="73"/>
      <c r="IR469" s="73"/>
      <c r="IS469" s="73"/>
      <c r="IT469" s="73"/>
      <c r="IU469" s="73"/>
      <c r="IV469" s="73"/>
      <c r="IW469" s="73"/>
      <c r="IX469" s="73"/>
      <c r="IY469" s="73"/>
      <c r="IZ469" s="73"/>
      <c r="JA469" s="73"/>
      <c r="JB469" s="73"/>
      <c r="JC469" s="73"/>
    </row>
    <row r="470" spans="2:263" s="72" customFormat="1">
      <c r="B470" s="73"/>
      <c r="C470" s="73"/>
      <c r="D470" s="73"/>
      <c r="E470" s="73"/>
      <c r="F470" s="73"/>
      <c r="G470" s="73"/>
      <c r="H470" s="73"/>
      <c r="I470" s="73"/>
      <c r="J470" s="73"/>
      <c r="K470" s="73"/>
      <c r="L470" s="73"/>
      <c r="M470" s="73"/>
      <c r="N470" s="73"/>
      <c r="O470" s="73"/>
      <c r="P470" s="73"/>
      <c r="Q470" s="73"/>
      <c r="R470" s="73"/>
      <c r="S470" s="73"/>
      <c r="T470" s="73"/>
      <c r="U470" s="73"/>
      <c r="V470" s="73"/>
      <c r="W470" s="73"/>
      <c r="GL470" s="73"/>
      <c r="GM470" s="73"/>
      <c r="GN470" s="73"/>
      <c r="GO470" s="73"/>
      <c r="GP470" s="73"/>
      <c r="GQ470" s="73"/>
      <c r="GR470" s="73"/>
      <c r="GS470" s="73"/>
      <c r="GT470" s="73"/>
      <c r="GU470" s="73"/>
      <c r="GV470" s="73"/>
      <c r="GW470" s="73"/>
      <c r="GX470" s="73"/>
      <c r="GY470" s="73"/>
      <c r="GZ470" s="73"/>
      <c r="HA470" s="73"/>
      <c r="HB470" s="73"/>
      <c r="HC470" s="73"/>
      <c r="HD470" s="73"/>
      <c r="HE470" s="73"/>
      <c r="HF470" s="73"/>
      <c r="HG470" s="73"/>
      <c r="HH470" s="73"/>
      <c r="HI470" s="73"/>
      <c r="HJ470" s="73"/>
      <c r="HK470" s="73"/>
      <c r="HL470" s="73"/>
      <c r="HM470" s="73"/>
      <c r="HN470" s="73"/>
      <c r="HO470" s="73"/>
      <c r="HP470" s="73"/>
      <c r="HQ470" s="73"/>
      <c r="HR470" s="73"/>
      <c r="HS470" s="73"/>
      <c r="HT470" s="73"/>
      <c r="HU470" s="73"/>
      <c r="HV470" s="73"/>
      <c r="HW470" s="73"/>
      <c r="HX470" s="73"/>
      <c r="HY470" s="73"/>
      <c r="HZ470" s="73"/>
      <c r="IA470" s="73"/>
      <c r="IB470" s="73"/>
      <c r="IC470" s="73"/>
      <c r="ID470" s="73"/>
      <c r="IE470" s="73"/>
      <c r="IF470" s="73"/>
      <c r="IG470" s="73"/>
      <c r="IH470" s="73"/>
      <c r="II470" s="73"/>
      <c r="IJ470" s="73"/>
      <c r="IK470" s="73"/>
      <c r="IL470" s="73"/>
      <c r="IM470" s="73"/>
      <c r="IN470" s="73"/>
      <c r="IO470" s="73"/>
      <c r="IP470" s="73"/>
      <c r="IQ470" s="73"/>
      <c r="IR470" s="73"/>
      <c r="IS470" s="73"/>
      <c r="IT470" s="73"/>
      <c r="IU470" s="73"/>
      <c r="IV470" s="73"/>
      <c r="IW470" s="73"/>
      <c r="IX470" s="73"/>
      <c r="IY470" s="73"/>
      <c r="IZ470" s="73"/>
      <c r="JA470" s="73"/>
      <c r="JB470" s="73"/>
      <c r="JC470" s="73"/>
    </row>
    <row r="471" spans="2:263" s="72" customFormat="1">
      <c r="B471" s="73"/>
      <c r="C471" s="73"/>
      <c r="D471" s="73"/>
      <c r="E471" s="73"/>
      <c r="F471" s="73"/>
      <c r="G471" s="73"/>
      <c r="H471" s="73"/>
      <c r="I471" s="73"/>
      <c r="J471" s="73"/>
      <c r="K471" s="73"/>
      <c r="L471" s="73"/>
      <c r="M471" s="73"/>
      <c r="N471" s="73"/>
      <c r="O471" s="73"/>
      <c r="P471" s="73"/>
      <c r="Q471" s="73"/>
      <c r="R471" s="73"/>
      <c r="S471" s="73"/>
      <c r="T471" s="73"/>
      <c r="U471" s="73"/>
      <c r="V471" s="73"/>
      <c r="W471" s="73"/>
      <c r="GL471" s="73"/>
      <c r="GM471" s="73"/>
      <c r="GN471" s="73"/>
      <c r="GO471" s="73"/>
      <c r="GP471" s="73"/>
      <c r="GQ471" s="73"/>
      <c r="GR471" s="73"/>
      <c r="GS471" s="73"/>
      <c r="GT471" s="73"/>
      <c r="GU471" s="73"/>
      <c r="GV471" s="73"/>
      <c r="GW471" s="73"/>
      <c r="GX471" s="73"/>
      <c r="GY471" s="73"/>
      <c r="GZ471" s="73"/>
      <c r="HA471" s="73"/>
      <c r="HB471" s="73"/>
      <c r="HC471" s="73"/>
      <c r="HD471" s="73"/>
      <c r="HE471" s="73"/>
      <c r="HF471" s="73"/>
      <c r="HG471" s="73"/>
      <c r="HH471" s="73"/>
      <c r="HI471" s="73"/>
      <c r="HJ471" s="73"/>
      <c r="HK471" s="73"/>
      <c r="HL471" s="73"/>
      <c r="HM471" s="73"/>
      <c r="HN471" s="73"/>
      <c r="HO471" s="73"/>
      <c r="HP471" s="73"/>
      <c r="HQ471" s="73"/>
      <c r="HR471" s="73"/>
      <c r="HS471" s="73"/>
      <c r="HT471" s="73"/>
      <c r="HU471" s="73"/>
      <c r="HV471" s="73"/>
      <c r="HW471" s="73"/>
      <c r="HX471" s="73"/>
      <c r="HY471" s="73"/>
      <c r="HZ471" s="73"/>
      <c r="IA471" s="73"/>
      <c r="IB471" s="73"/>
      <c r="IC471" s="73"/>
      <c r="ID471" s="73"/>
      <c r="IE471" s="73"/>
      <c r="IF471" s="73"/>
      <c r="IG471" s="73"/>
      <c r="IH471" s="73"/>
      <c r="II471" s="73"/>
      <c r="IJ471" s="73"/>
      <c r="IK471" s="73"/>
      <c r="IL471" s="73"/>
      <c r="IM471" s="73"/>
      <c r="IN471" s="73"/>
      <c r="IO471" s="73"/>
      <c r="IP471" s="73"/>
      <c r="IQ471" s="73"/>
      <c r="IR471" s="73"/>
      <c r="IS471" s="73"/>
      <c r="IT471" s="73"/>
      <c r="IU471" s="73"/>
      <c r="IV471" s="73"/>
      <c r="IW471" s="73"/>
      <c r="IX471" s="73"/>
      <c r="IY471" s="73"/>
      <c r="IZ471" s="73"/>
      <c r="JA471" s="73"/>
      <c r="JB471" s="73"/>
      <c r="JC471" s="73"/>
    </row>
    <row r="472" spans="2:263" s="72" customFormat="1">
      <c r="B472" s="73"/>
      <c r="C472" s="73"/>
      <c r="D472" s="73"/>
      <c r="E472" s="73"/>
      <c r="F472" s="73"/>
      <c r="G472" s="73"/>
      <c r="H472" s="73"/>
      <c r="I472" s="73"/>
      <c r="J472" s="73"/>
      <c r="K472" s="73"/>
      <c r="L472" s="73"/>
      <c r="M472" s="73"/>
      <c r="N472" s="73"/>
      <c r="O472" s="73"/>
      <c r="P472" s="73"/>
      <c r="Q472" s="73"/>
      <c r="R472" s="73"/>
      <c r="S472" s="73"/>
      <c r="T472" s="73"/>
      <c r="U472" s="73"/>
      <c r="V472" s="73"/>
      <c r="W472" s="73"/>
      <c r="GL472" s="73"/>
      <c r="GM472" s="73"/>
      <c r="GN472" s="73"/>
      <c r="GO472" s="73"/>
      <c r="GP472" s="73"/>
      <c r="GQ472" s="73"/>
      <c r="GR472" s="73"/>
      <c r="GS472" s="73"/>
      <c r="GT472" s="73"/>
      <c r="GU472" s="73"/>
      <c r="GV472" s="73"/>
      <c r="GW472" s="73"/>
      <c r="GX472" s="73"/>
      <c r="GY472" s="73"/>
      <c r="GZ472" s="73"/>
      <c r="HA472" s="73"/>
      <c r="HB472" s="73"/>
      <c r="HC472" s="73"/>
      <c r="HD472" s="73"/>
      <c r="HE472" s="73"/>
      <c r="HF472" s="73"/>
      <c r="HG472" s="73"/>
      <c r="HH472" s="73"/>
      <c r="HI472" s="73"/>
      <c r="HJ472" s="73"/>
      <c r="HK472" s="73"/>
      <c r="HL472" s="73"/>
      <c r="HM472" s="73"/>
      <c r="HN472" s="73"/>
      <c r="HO472" s="73"/>
      <c r="HP472" s="73"/>
      <c r="HQ472" s="73"/>
      <c r="HR472" s="73"/>
      <c r="HS472" s="73"/>
      <c r="HT472" s="73"/>
      <c r="HU472" s="73"/>
      <c r="HV472" s="73"/>
      <c r="HW472" s="73"/>
      <c r="HX472" s="73"/>
      <c r="HY472" s="73"/>
      <c r="HZ472" s="73"/>
      <c r="IA472" s="73"/>
      <c r="IB472" s="73"/>
      <c r="IC472" s="73"/>
      <c r="ID472" s="73"/>
      <c r="IE472" s="73"/>
      <c r="IF472" s="73"/>
      <c r="IG472" s="73"/>
      <c r="IH472" s="73"/>
      <c r="II472" s="73"/>
      <c r="IJ472" s="73"/>
      <c r="IK472" s="73"/>
      <c r="IL472" s="73"/>
      <c r="IM472" s="73"/>
      <c r="IN472" s="73"/>
      <c r="IO472" s="73"/>
      <c r="IP472" s="73"/>
      <c r="IQ472" s="73"/>
      <c r="IR472" s="73"/>
      <c r="IS472" s="73"/>
      <c r="IT472" s="73"/>
      <c r="IU472" s="73"/>
      <c r="IV472" s="73"/>
      <c r="IW472" s="73"/>
      <c r="IX472" s="73"/>
      <c r="IY472" s="73"/>
      <c r="IZ472" s="73"/>
      <c r="JA472" s="73"/>
      <c r="JB472" s="73"/>
      <c r="JC472" s="73"/>
    </row>
    <row r="473" spans="2:263" s="72" customFormat="1">
      <c r="B473" s="73"/>
      <c r="C473" s="73"/>
      <c r="D473" s="73"/>
      <c r="E473" s="73"/>
      <c r="F473" s="73"/>
      <c r="G473" s="73"/>
      <c r="H473" s="73"/>
      <c r="I473" s="73"/>
      <c r="J473" s="73"/>
      <c r="K473" s="73"/>
      <c r="L473" s="73"/>
      <c r="M473" s="73"/>
      <c r="N473" s="73"/>
      <c r="O473" s="73"/>
      <c r="P473" s="73"/>
      <c r="Q473" s="73"/>
      <c r="R473" s="73"/>
      <c r="S473" s="73"/>
      <c r="T473" s="73"/>
      <c r="U473" s="73"/>
      <c r="V473" s="73"/>
      <c r="W473" s="73"/>
      <c r="GL473" s="73"/>
      <c r="GM473" s="73"/>
      <c r="GN473" s="73"/>
      <c r="GO473" s="73"/>
      <c r="GP473" s="73"/>
      <c r="GQ473" s="73"/>
      <c r="GR473" s="73"/>
      <c r="GS473" s="73"/>
      <c r="GT473" s="73"/>
      <c r="GU473" s="73"/>
      <c r="GV473" s="73"/>
      <c r="GW473" s="73"/>
      <c r="GX473" s="73"/>
      <c r="GY473" s="73"/>
      <c r="GZ473" s="73"/>
      <c r="HA473" s="73"/>
      <c r="HB473" s="73"/>
      <c r="HC473" s="73"/>
      <c r="HD473" s="73"/>
      <c r="HE473" s="73"/>
      <c r="HF473" s="73"/>
      <c r="HG473" s="73"/>
      <c r="HH473" s="73"/>
      <c r="HI473" s="73"/>
      <c r="HJ473" s="73"/>
      <c r="HK473" s="73"/>
      <c r="HL473" s="73"/>
      <c r="HM473" s="73"/>
      <c r="HN473" s="73"/>
      <c r="HO473" s="73"/>
      <c r="HP473" s="73"/>
      <c r="HQ473" s="73"/>
      <c r="HR473" s="73"/>
      <c r="HS473" s="73"/>
      <c r="HT473" s="73"/>
      <c r="HU473" s="73"/>
      <c r="HV473" s="73"/>
      <c r="HW473" s="73"/>
      <c r="HX473" s="73"/>
      <c r="HY473" s="73"/>
      <c r="HZ473" s="73"/>
      <c r="IA473" s="73"/>
      <c r="IB473" s="73"/>
      <c r="IC473" s="73"/>
      <c r="ID473" s="73"/>
      <c r="IE473" s="73"/>
      <c r="IF473" s="73"/>
      <c r="IG473" s="73"/>
      <c r="IH473" s="73"/>
      <c r="II473" s="73"/>
      <c r="IJ473" s="73"/>
      <c r="IK473" s="73"/>
      <c r="IL473" s="73"/>
      <c r="IM473" s="73"/>
      <c r="IN473" s="73"/>
      <c r="IO473" s="73"/>
      <c r="IP473" s="73"/>
      <c r="IQ473" s="73"/>
      <c r="IR473" s="73"/>
      <c r="IS473" s="73"/>
      <c r="IT473" s="73"/>
      <c r="IU473" s="73"/>
      <c r="IV473" s="73"/>
      <c r="IW473" s="73"/>
      <c r="IX473" s="73"/>
      <c r="IY473" s="73"/>
      <c r="IZ473" s="73"/>
      <c r="JA473" s="73"/>
      <c r="JB473" s="73"/>
      <c r="JC473" s="73"/>
    </row>
    <row r="474" spans="2:263" s="72" customFormat="1">
      <c r="B474" s="73"/>
      <c r="C474" s="73"/>
      <c r="D474" s="73"/>
      <c r="E474" s="73"/>
      <c r="F474" s="73"/>
      <c r="G474" s="73"/>
      <c r="H474" s="73"/>
      <c r="I474" s="73"/>
      <c r="J474" s="73"/>
      <c r="K474" s="73"/>
      <c r="L474" s="73"/>
      <c r="M474" s="73"/>
      <c r="N474" s="73"/>
      <c r="O474" s="73"/>
      <c r="P474" s="73"/>
      <c r="Q474" s="73"/>
      <c r="R474" s="73"/>
      <c r="S474" s="73"/>
      <c r="T474" s="73"/>
      <c r="U474" s="73"/>
      <c r="V474" s="73"/>
      <c r="W474" s="73"/>
      <c r="GL474" s="73"/>
      <c r="GM474" s="73"/>
      <c r="GN474" s="73"/>
      <c r="GO474" s="73"/>
      <c r="GP474" s="73"/>
      <c r="GQ474" s="73"/>
      <c r="GR474" s="73"/>
      <c r="GS474" s="73"/>
      <c r="GT474" s="73"/>
      <c r="GU474" s="73"/>
      <c r="GV474" s="73"/>
      <c r="GW474" s="73"/>
      <c r="GX474" s="73"/>
      <c r="GY474" s="73"/>
      <c r="GZ474" s="73"/>
      <c r="HA474" s="73"/>
      <c r="HB474" s="73"/>
      <c r="HC474" s="73"/>
      <c r="HD474" s="73"/>
      <c r="HE474" s="73"/>
      <c r="HF474" s="73"/>
      <c r="HG474" s="73"/>
      <c r="HH474" s="73"/>
      <c r="HI474" s="73"/>
      <c r="HJ474" s="73"/>
      <c r="HK474" s="73"/>
      <c r="HL474" s="73"/>
      <c r="HM474" s="73"/>
      <c r="HN474" s="73"/>
      <c r="HO474" s="73"/>
      <c r="HP474" s="73"/>
      <c r="HQ474" s="73"/>
      <c r="HR474" s="73"/>
      <c r="HS474" s="73"/>
      <c r="HT474" s="73"/>
      <c r="HU474" s="73"/>
      <c r="HV474" s="73"/>
      <c r="HW474" s="73"/>
      <c r="HX474" s="73"/>
      <c r="HY474" s="73"/>
      <c r="HZ474" s="73"/>
      <c r="IA474" s="73"/>
      <c r="IB474" s="73"/>
      <c r="IC474" s="73"/>
      <c r="ID474" s="73"/>
      <c r="IE474" s="73"/>
      <c r="IF474" s="73"/>
      <c r="IG474" s="73"/>
      <c r="IH474" s="73"/>
      <c r="II474" s="73"/>
      <c r="IJ474" s="73"/>
      <c r="IK474" s="73"/>
      <c r="IL474" s="73"/>
      <c r="IM474" s="73"/>
      <c r="IN474" s="73"/>
      <c r="IO474" s="73"/>
      <c r="IP474" s="73"/>
      <c r="IQ474" s="73"/>
      <c r="IR474" s="73"/>
      <c r="IS474" s="73"/>
      <c r="IT474" s="73"/>
      <c r="IU474" s="73"/>
      <c r="IV474" s="73"/>
      <c r="IW474" s="73"/>
      <c r="IX474" s="73"/>
      <c r="IY474" s="73"/>
      <c r="IZ474" s="73"/>
      <c r="JA474" s="73"/>
      <c r="JB474" s="73"/>
      <c r="JC474" s="73"/>
    </row>
    <row r="475" spans="2:263" s="72" customFormat="1">
      <c r="B475" s="73"/>
      <c r="C475" s="73"/>
      <c r="D475" s="73"/>
      <c r="E475" s="73"/>
      <c r="F475" s="73"/>
      <c r="G475" s="73"/>
      <c r="H475" s="73"/>
      <c r="I475" s="73"/>
      <c r="J475" s="73"/>
      <c r="K475" s="73"/>
      <c r="L475" s="73"/>
      <c r="M475" s="73"/>
      <c r="N475" s="73"/>
      <c r="O475" s="73"/>
      <c r="P475" s="73"/>
      <c r="Q475" s="73"/>
      <c r="R475" s="73"/>
      <c r="S475" s="73"/>
      <c r="T475" s="73"/>
      <c r="U475" s="73"/>
      <c r="V475" s="73"/>
      <c r="W475" s="73"/>
      <c r="GL475" s="73"/>
      <c r="GM475" s="73"/>
      <c r="GN475" s="73"/>
      <c r="GO475" s="73"/>
      <c r="GP475" s="73"/>
      <c r="GQ475" s="73"/>
      <c r="GR475" s="73"/>
      <c r="GS475" s="73"/>
      <c r="GT475" s="73"/>
      <c r="GU475" s="73"/>
      <c r="GV475" s="73"/>
      <c r="GW475" s="73"/>
      <c r="GX475" s="73"/>
      <c r="GY475" s="73"/>
      <c r="GZ475" s="73"/>
      <c r="HA475" s="73"/>
      <c r="HB475" s="73"/>
      <c r="HC475" s="73"/>
      <c r="HD475" s="73"/>
      <c r="HE475" s="73"/>
      <c r="HF475" s="73"/>
      <c r="HG475" s="73"/>
      <c r="HH475" s="73"/>
      <c r="HI475" s="73"/>
      <c r="HJ475" s="73"/>
      <c r="HK475" s="73"/>
      <c r="HL475" s="73"/>
      <c r="HM475" s="73"/>
      <c r="HN475" s="73"/>
      <c r="HO475" s="73"/>
      <c r="HP475" s="73"/>
      <c r="HQ475" s="73"/>
      <c r="HR475" s="73"/>
      <c r="HS475" s="73"/>
      <c r="HT475" s="73"/>
      <c r="HU475" s="73"/>
      <c r="HV475" s="73"/>
      <c r="HW475" s="73"/>
      <c r="HX475" s="73"/>
      <c r="HY475" s="73"/>
      <c r="HZ475" s="73"/>
      <c r="IA475" s="73"/>
      <c r="IB475" s="73"/>
      <c r="IC475" s="73"/>
      <c r="ID475" s="73"/>
      <c r="IE475" s="73"/>
      <c r="IF475" s="73"/>
      <c r="IG475" s="73"/>
      <c r="IH475" s="73"/>
      <c r="II475" s="73"/>
      <c r="IJ475" s="73"/>
      <c r="IK475" s="73"/>
      <c r="IL475" s="73"/>
      <c r="IM475" s="73"/>
      <c r="IN475" s="73"/>
      <c r="IO475" s="73"/>
      <c r="IP475" s="73"/>
      <c r="IQ475" s="73"/>
      <c r="IR475" s="73"/>
      <c r="IS475" s="73"/>
      <c r="IT475" s="73"/>
      <c r="IU475" s="73"/>
      <c r="IV475" s="73"/>
      <c r="IW475" s="73"/>
      <c r="IX475" s="73"/>
      <c r="IY475" s="73"/>
      <c r="IZ475" s="73"/>
      <c r="JA475" s="73"/>
      <c r="JB475" s="73"/>
      <c r="JC475" s="73"/>
    </row>
    <row r="476" spans="2:263" s="72" customFormat="1">
      <c r="B476" s="73"/>
      <c r="C476" s="73"/>
      <c r="D476" s="73"/>
      <c r="E476" s="73"/>
      <c r="F476" s="73"/>
      <c r="G476" s="73"/>
      <c r="H476" s="73"/>
      <c r="I476" s="73"/>
      <c r="J476" s="73"/>
      <c r="K476" s="73"/>
      <c r="L476" s="73"/>
      <c r="M476" s="73"/>
      <c r="N476" s="73"/>
      <c r="O476" s="73"/>
      <c r="P476" s="73"/>
      <c r="Q476" s="73"/>
      <c r="R476" s="73"/>
      <c r="S476" s="73"/>
      <c r="T476" s="73"/>
      <c r="U476" s="73"/>
      <c r="V476" s="73"/>
      <c r="W476" s="73"/>
      <c r="GL476" s="73"/>
      <c r="GM476" s="73"/>
      <c r="GN476" s="73"/>
      <c r="GO476" s="73"/>
      <c r="GP476" s="73"/>
      <c r="GQ476" s="73"/>
      <c r="GR476" s="73"/>
      <c r="GS476" s="73"/>
      <c r="GT476" s="73"/>
      <c r="GU476" s="73"/>
      <c r="GV476" s="73"/>
      <c r="GW476" s="73"/>
      <c r="GX476" s="73"/>
      <c r="GY476" s="73"/>
      <c r="GZ476" s="73"/>
      <c r="HA476" s="73"/>
      <c r="HB476" s="73"/>
      <c r="HC476" s="73"/>
      <c r="HD476" s="73"/>
      <c r="HE476" s="73"/>
      <c r="HF476" s="73"/>
      <c r="HG476" s="73"/>
      <c r="HH476" s="73"/>
      <c r="HI476" s="73"/>
      <c r="HJ476" s="73"/>
      <c r="HK476" s="73"/>
      <c r="HL476" s="73"/>
      <c r="HM476" s="73"/>
      <c r="HN476" s="73"/>
      <c r="HO476" s="73"/>
      <c r="HP476" s="73"/>
      <c r="HQ476" s="73"/>
      <c r="HR476" s="73"/>
      <c r="HS476" s="73"/>
      <c r="HT476" s="73"/>
      <c r="HU476" s="73"/>
      <c r="HV476" s="73"/>
      <c r="HW476" s="73"/>
      <c r="HX476" s="73"/>
      <c r="HY476" s="73"/>
      <c r="HZ476" s="73"/>
      <c r="IA476" s="73"/>
      <c r="IB476" s="73"/>
      <c r="IC476" s="73"/>
      <c r="ID476" s="73"/>
      <c r="IE476" s="73"/>
      <c r="IF476" s="73"/>
      <c r="IG476" s="73"/>
      <c r="IH476" s="73"/>
      <c r="II476" s="73"/>
      <c r="IJ476" s="73"/>
      <c r="IK476" s="73"/>
      <c r="IL476" s="73"/>
      <c r="IM476" s="73"/>
      <c r="IN476" s="73"/>
      <c r="IO476" s="73"/>
      <c r="IP476" s="73"/>
      <c r="IQ476" s="73"/>
      <c r="IR476" s="73"/>
      <c r="IS476" s="73"/>
      <c r="IT476" s="73"/>
      <c r="IU476" s="73"/>
      <c r="IV476" s="73"/>
      <c r="IW476" s="73"/>
      <c r="IX476" s="73"/>
      <c r="IY476" s="73"/>
      <c r="IZ476" s="73"/>
      <c r="JA476" s="73"/>
      <c r="JB476" s="73"/>
      <c r="JC476" s="73"/>
    </row>
    <row r="477" spans="2:263" s="72" customFormat="1">
      <c r="B477" s="73"/>
      <c r="C477" s="73"/>
      <c r="D477" s="73"/>
      <c r="E477" s="73"/>
      <c r="F477" s="73"/>
      <c r="G477" s="73"/>
      <c r="H477" s="73"/>
      <c r="I477" s="73"/>
      <c r="J477" s="73"/>
      <c r="K477" s="73"/>
      <c r="L477" s="73"/>
      <c r="M477" s="73"/>
      <c r="N477" s="73"/>
      <c r="O477" s="73"/>
      <c r="P477" s="73"/>
      <c r="Q477" s="73"/>
      <c r="R477" s="73"/>
      <c r="S477" s="73"/>
      <c r="T477" s="73"/>
      <c r="U477" s="73"/>
      <c r="V477" s="73"/>
      <c r="W477" s="73"/>
      <c r="GL477" s="73"/>
      <c r="GM477" s="73"/>
      <c r="GN477" s="73"/>
      <c r="GO477" s="73"/>
      <c r="GP477" s="73"/>
      <c r="GQ477" s="73"/>
      <c r="GR477" s="73"/>
      <c r="GS477" s="73"/>
      <c r="GT477" s="73"/>
      <c r="GU477" s="73"/>
      <c r="GV477" s="73"/>
      <c r="GW477" s="73"/>
      <c r="GX477" s="73"/>
      <c r="GY477" s="73"/>
      <c r="GZ477" s="73"/>
      <c r="HA477" s="73"/>
      <c r="HB477" s="73"/>
      <c r="HC477" s="73"/>
      <c r="HD477" s="73"/>
      <c r="HE477" s="73"/>
      <c r="HF477" s="73"/>
      <c r="HG477" s="73"/>
      <c r="HH477" s="73"/>
      <c r="HI477" s="73"/>
      <c r="HJ477" s="73"/>
      <c r="HK477" s="73"/>
      <c r="HL477" s="73"/>
      <c r="HM477" s="73"/>
      <c r="HN477" s="73"/>
      <c r="HO477" s="73"/>
      <c r="HP477" s="73"/>
      <c r="HQ477" s="73"/>
      <c r="HR477" s="73"/>
      <c r="HS477" s="73"/>
      <c r="HT477" s="73"/>
      <c r="HU477" s="73"/>
      <c r="HV477" s="73"/>
      <c r="HW477" s="73"/>
      <c r="HX477" s="73"/>
      <c r="HY477" s="73"/>
      <c r="HZ477" s="73"/>
      <c r="IA477" s="73"/>
      <c r="IB477" s="73"/>
      <c r="IC477" s="73"/>
      <c r="ID477" s="73"/>
      <c r="IE477" s="73"/>
      <c r="IF477" s="73"/>
      <c r="IG477" s="73"/>
      <c r="IH477" s="73"/>
      <c r="II477" s="73"/>
      <c r="IJ477" s="73"/>
      <c r="IK477" s="73"/>
      <c r="IL477" s="73"/>
      <c r="IM477" s="73"/>
      <c r="IN477" s="73"/>
      <c r="IO477" s="73"/>
      <c r="IP477" s="73"/>
      <c r="IQ477" s="73"/>
      <c r="IR477" s="73"/>
      <c r="IS477" s="73"/>
      <c r="IT477" s="73"/>
      <c r="IU477" s="73"/>
      <c r="IV477" s="73"/>
      <c r="IW477" s="73"/>
      <c r="IX477" s="73"/>
      <c r="IY477" s="73"/>
      <c r="IZ477" s="73"/>
      <c r="JA477" s="73"/>
      <c r="JB477" s="73"/>
      <c r="JC477" s="73"/>
    </row>
    <row r="478" spans="2:263" s="72" customFormat="1">
      <c r="B478" s="73"/>
      <c r="C478" s="73"/>
      <c r="D478" s="73"/>
      <c r="E478" s="73"/>
      <c r="F478" s="73"/>
      <c r="G478" s="73"/>
      <c r="H478" s="73"/>
      <c r="I478" s="73"/>
      <c r="J478" s="73"/>
      <c r="K478" s="73"/>
      <c r="L478" s="73"/>
      <c r="M478" s="73"/>
      <c r="N478" s="73"/>
      <c r="O478" s="73"/>
      <c r="P478" s="73"/>
      <c r="Q478" s="73"/>
      <c r="R478" s="73"/>
      <c r="S478" s="73"/>
      <c r="T478" s="73"/>
      <c r="U478" s="73"/>
      <c r="V478" s="73"/>
      <c r="W478" s="73"/>
      <c r="GL478" s="73"/>
      <c r="GM478" s="73"/>
      <c r="GN478" s="73"/>
      <c r="GO478" s="73"/>
      <c r="GP478" s="73"/>
      <c r="GQ478" s="73"/>
      <c r="GR478" s="73"/>
      <c r="GS478" s="73"/>
      <c r="GT478" s="73"/>
      <c r="GU478" s="73"/>
      <c r="GV478" s="73"/>
      <c r="GW478" s="73"/>
      <c r="GX478" s="73"/>
      <c r="GY478" s="73"/>
      <c r="GZ478" s="73"/>
      <c r="HA478" s="73"/>
      <c r="HB478" s="73"/>
      <c r="HC478" s="73"/>
      <c r="HD478" s="73"/>
      <c r="HE478" s="73"/>
      <c r="HF478" s="73"/>
      <c r="HG478" s="73"/>
      <c r="HH478" s="73"/>
      <c r="HI478" s="73"/>
      <c r="HJ478" s="73"/>
      <c r="HK478" s="73"/>
      <c r="HL478" s="73"/>
      <c r="HM478" s="73"/>
      <c r="HN478" s="73"/>
      <c r="HO478" s="73"/>
      <c r="HP478" s="73"/>
      <c r="HQ478" s="73"/>
      <c r="HR478" s="73"/>
      <c r="HS478" s="73"/>
      <c r="HT478" s="73"/>
      <c r="HU478" s="73"/>
      <c r="HV478" s="73"/>
      <c r="HW478" s="73"/>
      <c r="HX478" s="73"/>
      <c r="HY478" s="73"/>
      <c r="HZ478" s="73"/>
      <c r="IA478" s="73"/>
      <c r="IB478" s="73"/>
      <c r="IC478" s="73"/>
      <c r="ID478" s="73"/>
      <c r="IE478" s="73"/>
      <c r="IF478" s="73"/>
      <c r="IG478" s="73"/>
      <c r="IH478" s="73"/>
      <c r="II478" s="73"/>
      <c r="IJ478" s="73"/>
      <c r="IK478" s="73"/>
      <c r="IL478" s="73"/>
      <c r="IM478" s="73"/>
      <c r="IN478" s="73"/>
      <c r="IO478" s="73"/>
      <c r="IP478" s="73"/>
      <c r="IQ478" s="73"/>
      <c r="IR478" s="73"/>
      <c r="IS478" s="73"/>
      <c r="IT478" s="73"/>
      <c r="IU478" s="73"/>
      <c r="IV478" s="73"/>
      <c r="IW478" s="73"/>
      <c r="IX478" s="73"/>
      <c r="IY478" s="73"/>
      <c r="IZ478" s="73"/>
      <c r="JA478" s="73"/>
      <c r="JB478" s="73"/>
      <c r="JC478" s="73"/>
    </row>
    <row r="479" spans="2:263" s="72" customFormat="1">
      <c r="B479" s="73"/>
      <c r="C479" s="73"/>
      <c r="D479" s="73"/>
      <c r="E479" s="73"/>
      <c r="F479" s="73"/>
      <c r="G479" s="73"/>
      <c r="H479" s="73"/>
      <c r="I479" s="73"/>
      <c r="J479" s="73"/>
      <c r="K479" s="73"/>
      <c r="L479" s="73"/>
      <c r="M479" s="73"/>
      <c r="N479" s="73"/>
      <c r="O479" s="73"/>
      <c r="P479" s="73"/>
      <c r="Q479" s="73"/>
      <c r="R479" s="73"/>
      <c r="S479" s="73"/>
      <c r="T479" s="73"/>
      <c r="U479" s="73"/>
      <c r="V479" s="73"/>
      <c r="W479" s="73"/>
      <c r="GL479" s="73"/>
      <c r="GM479" s="73"/>
      <c r="GN479" s="73"/>
      <c r="GO479" s="73"/>
      <c r="GP479" s="73"/>
      <c r="GQ479" s="73"/>
      <c r="GR479" s="73"/>
      <c r="GS479" s="73"/>
      <c r="GT479" s="73"/>
      <c r="GU479" s="73"/>
      <c r="GV479" s="73"/>
      <c r="GW479" s="73"/>
      <c r="GX479" s="73"/>
      <c r="GY479" s="73"/>
      <c r="GZ479" s="73"/>
      <c r="HA479" s="73"/>
      <c r="HB479" s="73"/>
      <c r="HC479" s="73"/>
      <c r="HD479" s="73"/>
      <c r="HE479" s="73"/>
      <c r="HF479" s="73"/>
      <c r="HG479" s="73"/>
      <c r="HH479" s="73"/>
      <c r="HI479" s="73"/>
      <c r="HJ479" s="73"/>
      <c r="HK479" s="73"/>
      <c r="HL479" s="73"/>
      <c r="HM479" s="73"/>
      <c r="HN479" s="73"/>
      <c r="HO479" s="73"/>
      <c r="HP479" s="73"/>
      <c r="HQ479" s="73"/>
      <c r="HR479" s="73"/>
      <c r="HS479" s="73"/>
      <c r="HT479" s="73"/>
      <c r="HU479" s="73"/>
      <c r="HV479" s="73"/>
      <c r="HW479" s="73"/>
      <c r="HX479" s="73"/>
      <c r="HY479" s="73"/>
      <c r="HZ479" s="73"/>
      <c r="IA479" s="73"/>
      <c r="IB479" s="73"/>
      <c r="IC479" s="73"/>
      <c r="ID479" s="73"/>
      <c r="IE479" s="73"/>
      <c r="IF479" s="73"/>
      <c r="IG479" s="73"/>
      <c r="IH479" s="73"/>
      <c r="II479" s="73"/>
      <c r="IJ479" s="73"/>
      <c r="IK479" s="73"/>
      <c r="IL479" s="73"/>
      <c r="IM479" s="73"/>
      <c r="IN479" s="73"/>
      <c r="IO479" s="73"/>
      <c r="IP479" s="73"/>
      <c r="IQ479" s="73"/>
      <c r="IR479" s="73"/>
      <c r="IS479" s="73"/>
      <c r="IT479" s="73"/>
      <c r="IU479" s="73"/>
      <c r="IV479" s="73"/>
      <c r="IW479" s="73"/>
      <c r="IX479" s="73"/>
      <c r="IY479" s="73"/>
      <c r="IZ479" s="73"/>
      <c r="JA479" s="73"/>
      <c r="JB479" s="73"/>
      <c r="JC479" s="73"/>
    </row>
    <row r="480" spans="2:263" s="72" customFormat="1">
      <c r="B480" s="73"/>
      <c r="C480" s="73"/>
      <c r="D480" s="73"/>
      <c r="E480" s="73"/>
      <c r="F480" s="73"/>
      <c r="G480" s="73"/>
      <c r="H480" s="73"/>
      <c r="I480" s="73"/>
      <c r="J480" s="73"/>
      <c r="K480" s="73"/>
      <c r="L480" s="73"/>
      <c r="M480" s="73"/>
      <c r="N480" s="73"/>
      <c r="O480" s="73"/>
      <c r="P480" s="73"/>
      <c r="Q480" s="73"/>
      <c r="R480" s="73"/>
      <c r="S480" s="73"/>
      <c r="T480" s="73"/>
      <c r="U480" s="73"/>
      <c r="V480" s="73"/>
      <c r="W480" s="73"/>
      <c r="GL480" s="73"/>
      <c r="GM480" s="73"/>
      <c r="GN480" s="73"/>
      <c r="GO480" s="73"/>
      <c r="GP480" s="73"/>
      <c r="GQ480" s="73"/>
      <c r="GR480" s="73"/>
      <c r="GS480" s="73"/>
      <c r="GT480" s="73"/>
      <c r="GU480" s="73"/>
      <c r="GV480" s="73"/>
      <c r="GW480" s="73"/>
      <c r="GX480" s="73"/>
      <c r="GY480" s="73"/>
      <c r="GZ480" s="73"/>
      <c r="HA480" s="73"/>
      <c r="HB480" s="73"/>
      <c r="HC480" s="73"/>
      <c r="HD480" s="73"/>
      <c r="HE480" s="73"/>
      <c r="HF480" s="73"/>
      <c r="HG480" s="73"/>
      <c r="HH480" s="73"/>
      <c r="HI480" s="73"/>
      <c r="HJ480" s="73"/>
      <c r="HK480" s="73"/>
      <c r="HL480" s="73"/>
      <c r="HM480" s="73"/>
      <c r="HN480" s="73"/>
      <c r="HO480" s="73"/>
      <c r="HP480" s="73"/>
      <c r="HQ480" s="73"/>
      <c r="HR480" s="73"/>
      <c r="HS480" s="73"/>
      <c r="HT480" s="73"/>
      <c r="HU480" s="73"/>
      <c r="HV480" s="73"/>
      <c r="HW480" s="73"/>
      <c r="HX480" s="73"/>
      <c r="HY480" s="73"/>
      <c r="HZ480" s="73"/>
      <c r="IA480" s="73"/>
      <c r="IB480" s="73"/>
      <c r="IC480" s="73"/>
      <c r="ID480" s="73"/>
      <c r="IE480" s="73"/>
      <c r="IF480" s="73"/>
      <c r="IG480" s="73"/>
      <c r="IH480" s="73"/>
      <c r="II480" s="73"/>
      <c r="IJ480" s="73"/>
      <c r="IK480" s="73"/>
      <c r="IL480" s="73"/>
      <c r="IM480" s="73"/>
      <c r="IN480" s="73"/>
      <c r="IO480" s="73"/>
      <c r="IP480" s="73"/>
      <c r="IQ480" s="73"/>
      <c r="IR480" s="73"/>
      <c r="IS480" s="73"/>
      <c r="IT480" s="73"/>
      <c r="IU480" s="73"/>
      <c r="IV480" s="73"/>
      <c r="IW480" s="73"/>
      <c r="IX480" s="73"/>
      <c r="IY480" s="73"/>
      <c r="IZ480" s="73"/>
      <c r="JA480" s="73"/>
      <c r="JB480" s="73"/>
      <c r="JC480" s="73"/>
    </row>
    <row r="481" spans="2:263" s="72" customFormat="1">
      <c r="B481" s="73"/>
      <c r="C481" s="73"/>
      <c r="D481" s="73"/>
      <c r="E481" s="73"/>
      <c r="F481" s="73"/>
      <c r="G481" s="73"/>
      <c r="H481" s="73"/>
      <c r="I481" s="73"/>
      <c r="J481" s="73"/>
      <c r="K481" s="73"/>
      <c r="L481" s="73"/>
      <c r="M481" s="73"/>
      <c r="N481" s="73"/>
      <c r="O481" s="73"/>
      <c r="P481" s="73"/>
      <c r="Q481" s="73"/>
      <c r="R481" s="73"/>
      <c r="S481" s="73"/>
      <c r="T481" s="73"/>
      <c r="U481" s="73"/>
      <c r="V481" s="73"/>
      <c r="W481" s="73"/>
      <c r="GL481" s="73"/>
      <c r="GM481" s="73"/>
      <c r="GN481" s="73"/>
      <c r="GO481" s="73"/>
      <c r="GP481" s="73"/>
      <c r="GQ481" s="73"/>
      <c r="GR481" s="73"/>
      <c r="GS481" s="73"/>
      <c r="GT481" s="73"/>
      <c r="GU481" s="73"/>
      <c r="GV481" s="73"/>
      <c r="GW481" s="73"/>
      <c r="GX481" s="73"/>
      <c r="GY481" s="73"/>
      <c r="GZ481" s="73"/>
      <c r="HA481" s="73"/>
      <c r="HB481" s="73"/>
      <c r="HC481" s="73"/>
      <c r="HD481" s="73"/>
      <c r="HE481" s="73"/>
      <c r="HF481" s="73"/>
      <c r="HG481" s="73"/>
      <c r="HH481" s="73"/>
      <c r="HI481" s="73"/>
      <c r="HJ481" s="73"/>
      <c r="HK481" s="73"/>
      <c r="HL481" s="73"/>
      <c r="HM481" s="73"/>
      <c r="HN481" s="73"/>
      <c r="HO481" s="73"/>
      <c r="HP481" s="73"/>
      <c r="HQ481" s="73"/>
      <c r="HR481" s="73"/>
      <c r="HS481" s="73"/>
      <c r="HT481" s="73"/>
      <c r="HU481" s="73"/>
      <c r="HV481" s="73"/>
      <c r="HW481" s="73"/>
      <c r="HX481" s="73"/>
      <c r="HY481" s="73"/>
      <c r="HZ481" s="73"/>
      <c r="IA481" s="73"/>
      <c r="IB481" s="73"/>
      <c r="IC481" s="73"/>
      <c r="ID481" s="73"/>
      <c r="IE481" s="73"/>
      <c r="IF481" s="73"/>
      <c r="IG481" s="73"/>
      <c r="IH481" s="73"/>
      <c r="II481" s="73"/>
      <c r="IJ481" s="73"/>
      <c r="IK481" s="73"/>
      <c r="IL481" s="73"/>
      <c r="IM481" s="73"/>
      <c r="IN481" s="73"/>
      <c r="IO481" s="73"/>
      <c r="IP481" s="73"/>
      <c r="IQ481" s="73"/>
      <c r="IR481" s="73"/>
      <c r="IS481" s="73"/>
      <c r="IT481" s="73"/>
      <c r="IU481" s="73"/>
      <c r="IV481" s="73"/>
      <c r="IW481" s="73"/>
      <c r="IX481" s="73"/>
      <c r="IY481" s="73"/>
      <c r="IZ481" s="73"/>
      <c r="JA481" s="73"/>
      <c r="JB481" s="73"/>
      <c r="JC481" s="73"/>
    </row>
    <row r="482" spans="2:263" s="72" customFormat="1">
      <c r="B482" s="73"/>
      <c r="C482" s="73"/>
      <c r="D482" s="73"/>
      <c r="E482" s="73"/>
      <c r="F482" s="73"/>
      <c r="G482" s="73"/>
      <c r="H482" s="73"/>
      <c r="I482" s="73"/>
      <c r="J482" s="73"/>
      <c r="K482" s="73"/>
      <c r="L482" s="73"/>
      <c r="M482" s="73"/>
      <c r="N482" s="73"/>
      <c r="O482" s="73"/>
      <c r="P482" s="73"/>
      <c r="Q482" s="73"/>
      <c r="R482" s="73"/>
      <c r="S482" s="73"/>
      <c r="T482" s="73"/>
      <c r="U482" s="73"/>
      <c r="V482" s="73"/>
      <c r="W482" s="73"/>
      <c r="GL482" s="73"/>
      <c r="GM482" s="73"/>
      <c r="GN482" s="73"/>
      <c r="GO482" s="73"/>
      <c r="GP482" s="73"/>
      <c r="GQ482" s="73"/>
      <c r="GR482" s="73"/>
      <c r="GS482" s="73"/>
      <c r="GT482" s="73"/>
      <c r="GU482" s="73"/>
      <c r="GV482" s="73"/>
      <c r="GW482" s="73"/>
      <c r="GX482" s="73"/>
      <c r="GY482" s="73"/>
      <c r="GZ482" s="73"/>
      <c r="HA482" s="73"/>
      <c r="HB482" s="73"/>
      <c r="HC482" s="73"/>
      <c r="HD482" s="73"/>
      <c r="HE482" s="73"/>
      <c r="HF482" s="73"/>
      <c r="HG482" s="73"/>
      <c r="HH482" s="73"/>
      <c r="HI482" s="73"/>
      <c r="HJ482" s="73"/>
      <c r="HK482" s="73"/>
      <c r="HL482" s="73"/>
      <c r="HM482" s="73"/>
      <c r="HN482" s="73"/>
      <c r="HO482" s="73"/>
      <c r="HP482" s="73"/>
      <c r="HQ482" s="73"/>
      <c r="HR482" s="73"/>
      <c r="HS482" s="73"/>
      <c r="HT482" s="73"/>
      <c r="HU482" s="73"/>
      <c r="HV482" s="73"/>
      <c r="HW482" s="73"/>
      <c r="HX482" s="73"/>
      <c r="HY482" s="73"/>
      <c r="HZ482" s="73"/>
      <c r="IA482" s="73"/>
      <c r="IB482" s="73"/>
      <c r="IC482" s="73"/>
      <c r="ID482" s="73"/>
      <c r="IE482" s="73"/>
      <c r="IF482" s="73"/>
      <c r="IG482" s="73"/>
      <c r="IH482" s="73"/>
      <c r="II482" s="73"/>
      <c r="IJ482" s="73"/>
      <c r="IK482" s="73"/>
      <c r="IL482" s="73"/>
      <c r="IM482" s="73"/>
      <c r="IN482" s="73"/>
      <c r="IO482" s="73"/>
      <c r="IP482" s="73"/>
      <c r="IQ482" s="73"/>
      <c r="IR482" s="73"/>
      <c r="IS482" s="73"/>
      <c r="IT482" s="73"/>
      <c r="IU482" s="73"/>
      <c r="IV482" s="73"/>
      <c r="IW482" s="73"/>
      <c r="IX482" s="73"/>
      <c r="IY482" s="73"/>
      <c r="IZ482" s="73"/>
      <c r="JA482" s="73"/>
      <c r="JB482" s="73"/>
      <c r="JC482" s="73"/>
    </row>
    <row r="483" spans="2:263" s="72" customFormat="1">
      <c r="B483" s="73"/>
      <c r="C483" s="73"/>
      <c r="D483" s="73"/>
      <c r="E483" s="73"/>
      <c r="F483" s="73"/>
      <c r="G483" s="73"/>
      <c r="H483" s="73"/>
      <c r="I483" s="73"/>
      <c r="J483" s="73"/>
      <c r="K483" s="73"/>
      <c r="L483" s="73"/>
      <c r="M483" s="73"/>
      <c r="N483" s="73"/>
      <c r="O483" s="73"/>
      <c r="P483" s="73"/>
      <c r="Q483" s="73"/>
      <c r="R483" s="73"/>
      <c r="S483" s="73"/>
      <c r="T483" s="73"/>
      <c r="U483" s="73"/>
      <c r="V483" s="73"/>
      <c r="W483" s="73"/>
      <c r="GL483" s="73"/>
      <c r="GM483" s="73"/>
      <c r="GN483" s="73"/>
      <c r="GO483" s="73"/>
      <c r="GP483" s="73"/>
      <c r="GQ483" s="73"/>
      <c r="GR483" s="73"/>
      <c r="GS483" s="73"/>
      <c r="GT483" s="73"/>
      <c r="GU483" s="73"/>
      <c r="GV483" s="73"/>
      <c r="GW483" s="73"/>
      <c r="GX483" s="73"/>
      <c r="GY483" s="73"/>
      <c r="GZ483" s="73"/>
      <c r="HA483" s="73"/>
      <c r="HB483" s="73"/>
      <c r="HC483" s="73"/>
      <c r="HD483" s="73"/>
      <c r="HE483" s="73"/>
      <c r="HF483" s="73"/>
      <c r="HG483" s="73"/>
      <c r="HH483" s="73"/>
      <c r="HI483" s="73"/>
      <c r="HJ483" s="73"/>
      <c r="HK483" s="73"/>
      <c r="HL483" s="73"/>
      <c r="HM483" s="73"/>
      <c r="HN483" s="73"/>
      <c r="HO483" s="73"/>
      <c r="HP483" s="73"/>
      <c r="HQ483" s="73"/>
      <c r="HR483" s="73"/>
      <c r="HS483" s="73"/>
      <c r="HT483" s="73"/>
      <c r="HU483" s="73"/>
      <c r="HV483" s="73"/>
      <c r="HW483" s="73"/>
      <c r="HX483" s="73"/>
      <c r="HY483" s="73"/>
      <c r="HZ483" s="73"/>
      <c r="IA483" s="73"/>
      <c r="IB483" s="73"/>
      <c r="IC483" s="73"/>
      <c r="ID483" s="73"/>
      <c r="IE483" s="73"/>
      <c r="IF483" s="73"/>
      <c r="IG483" s="73"/>
      <c r="IH483" s="73"/>
      <c r="II483" s="73"/>
      <c r="IJ483" s="73"/>
      <c r="IK483" s="73"/>
      <c r="IL483" s="73"/>
      <c r="IM483" s="73"/>
      <c r="IN483" s="73"/>
      <c r="IO483" s="73"/>
      <c r="IP483" s="73"/>
      <c r="IQ483" s="73"/>
      <c r="IR483" s="73"/>
      <c r="IS483" s="73"/>
      <c r="IT483" s="73"/>
      <c r="IU483" s="73"/>
      <c r="IV483" s="73"/>
      <c r="IW483" s="73"/>
      <c r="IX483" s="73"/>
      <c r="IY483" s="73"/>
      <c r="IZ483" s="73"/>
      <c r="JA483" s="73"/>
      <c r="JB483" s="73"/>
      <c r="JC483" s="73"/>
    </row>
    <row r="484" spans="2:263" s="72" customFormat="1">
      <c r="B484" s="73"/>
      <c r="C484" s="73"/>
      <c r="D484" s="73"/>
      <c r="E484" s="73"/>
      <c r="F484" s="73"/>
      <c r="G484" s="73"/>
      <c r="H484" s="73"/>
      <c r="I484" s="73"/>
      <c r="J484" s="73"/>
      <c r="K484" s="73"/>
      <c r="L484" s="73"/>
      <c r="M484" s="73"/>
      <c r="N484" s="73"/>
      <c r="O484" s="73"/>
      <c r="P484" s="73"/>
      <c r="Q484" s="73"/>
      <c r="R484" s="73"/>
      <c r="S484" s="73"/>
      <c r="T484" s="73"/>
      <c r="U484" s="73"/>
      <c r="V484" s="73"/>
      <c r="W484" s="73"/>
      <c r="GL484" s="73"/>
      <c r="GM484" s="73"/>
      <c r="GN484" s="73"/>
      <c r="GO484" s="73"/>
      <c r="GP484" s="73"/>
      <c r="GQ484" s="73"/>
      <c r="GR484" s="73"/>
      <c r="GS484" s="73"/>
      <c r="GT484" s="73"/>
      <c r="GU484" s="73"/>
      <c r="GV484" s="73"/>
      <c r="GW484" s="73"/>
      <c r="GX484" s="73"/>
      <c r="GY484" s="73"/>
      <c r="GZ484" s="73"/>
      <c r="HA484" s="73"/>
      <c r="HB484" s="73"/>
      <c r="HC484" s="73"/>
      <c r="HD484" s="73"/>
      <c r="HE484" s="73"/>
      <c r="HF484" s="73"/>
      <c r="HG484" s="73"/>
      <c r="HH484" s="73"/>
      <c r="HI484" s="73"/>
      <c r="HJ484" s="73"/>
      <c r="HK484" s="73"/>
      <c r="HL484" s="73"/>
      <c r="HM484" s="73"/>
      <c r="HN484" s="73"/>
      <c r="HO484" s="73"/>
      <c r="HP484" s="73"/>
      <c r="HQ484" s="73"/>
      <c r="HR484" s="73"/>
      <c r="HS484" s="73"/>
      <c r="HT484" s="73"/>
      <c r="HU484" s="73"/>
      <c r="HV484" s="73"/>
      <c r="HW484" s="73"/>
      <c r="HX484" s="73"/>
      <c r="HY484" s="73"/>
      <c r="HZ484" s="73"/>
      <c r="IA484" s="73"/>
      <c r="IB484" s="73"/>
      <c r="IC484" s="73"/>
      <c r="ID484" s="73"/>
      <c r="IE484" s="73"/>
      <c r="IF484" s="73"/>
      <c r="IG484" s="73"/>
      <c r="IH484" s="73"/>
      <c r="II484" s="73"/>
      <c r="IJ484" s="73"/>
      <c r="IK484" s="73"/>
      <c r="IL484" s="73"/>
      <c r="IM484" s="73"/>
      <c r="IN484" s="73"/>
      <c r="IO484" s="73"/>
      <c r="IP484" s="73"/>
      <c r="IQ484" s="73"/>
      <c r="IR484" s="73"/>
      <c r="IS484" s="73"/>
      <c r="IT484" s="73"/>
      <c r="IU484" s="73"/>
      <c r="IV484" s="73"/>
      <c r="IW484" s="73"/>
      <c r="IX484" s="73"/>
      <c r="IY484" s="73"/>
      <c r="IZ484" s="73"/>
      <c r="JA484" s="73"/>
      <c r="JB484" s="73"/>
      <c r="JC484" s="73"/>
    </row>
    <row r="485" spans="2:263" s="72" customFormat="1">
      <c r="B485" s="73"/>
      <c r="C485" s="73"/>
      <c r="D485" s="73"/>
      <c r="E485" s="73"/>
      <c r="F485" s="73"/>
      <c r="G485" s="73"/>
      <c r="H485" s="73"/>
      <c r="I485" s="73"/>
      <c r="J485" s="73"/>
      <c r="K485" s="73"/>
      <c r="L485" s="73"/>
      <c r="M485" s="73"/>
      <c r="N485" s="73"/>
      <c r="O485" s="73"/>
      <c r="P485" s="73"/>
      <c r="Q485" s="73"/>
      <c r="R485" s="73"/>
      <c r="S485" s="73"/>
      <c r="T485" s="73"/>
      <c r="U485" s="73"/>
      <c r="V485" s="73"/>
      <c r="W485" s="73"/>
      <c r="GL485" s="73"/>
      <c r="GM485" s="73"/>
      <c r="GN485" s="73"/>
      <c r="GO485" s="73"/>
      <c r="GP485" s="73"/>
      <c r="GQ485" s="73"/>
      <c r="GR485" s="73"/>
      <c r="GS485" s="73"/>
      <c r="GT485" s="73"/>
      <c r="GU485" s="73"/>
      <c r="GV485" s="73"/>
      <c r="GW485" s="73"/>
      <c r="GX485" s="73"/>
      <c r="GY485" s="73"/>
      <c r="GZ485" s="73"/>
      <c r="HA485" s="73"/>
      <c r="HB485" s="73"/>
      <c r="HC485" s="73"/>
      <c r="HD485" s="73"/>
      <c r="HE485" s="73"/>
      <c r="HF485" s="73"/>
      <c r="HG485" s="73"/>
      <c r="HH485" s="73"/>
      <c r="HI485" s="73"/>
      <c r="HJ485" s="73"/>
      <c r="HK485" s="73"/>
      <c r="HL485" s="73"/>
      <c r="HM485" s="73"/>
      <c r="HN485" s="73"/>
      <c r="HO485" s="73"/>
      <c r="HP485" s="73"/>
      <c r="HQ485" s="73"/>
      <c r="HR485" s="73"/>
      <c r="HS485" s="73"/>
      <c r="HT485" s="73"/>
      <c r="HU485" s="73"/>
      <c r="HV485" s="73"/>
      <c r="HW485" s="73"/>
      <c r="HX485" s="73"/>
      <c r="HY485" s="73"/>
      <c r="HZ485" s="73"/>
      <c r="IA485" s="73"/>
      <c r="IB485" s="73"/>
      <c r="IC485" s="73"/>
      <c r="ID485" s="73"/>
      <c r="IE485" s="73"/>
      <c r="IF485" s="73"/>
      <c r="IG485" s="73"/>
      <c r="IH485" s="73"/>
      <c r="II485" s="73"/>
      <c r="IJ485" s="73"/>
      <c r="IK485" s="73"/>
      <c r="IL485" s="73"/>
      <c r="IM485" s="73"/>
      <c r="IN485" s="73"/>
      <c r="IO485" s="73"/>
      <c r="IP485" s="73"/>
      <c r="IQ485" s="73"/>
      <c r="IR485" s="73"/>
      <c r="IS485" s="73"/>
      <c r="IT485" s="73"/>
      <c r="IU485" s="73"/>
      <c r="IV485" s="73"/>
      <c r="IW485" s="73"/>
      <c r="IX485" s="73"/>
      <c r="IY485" s="73"/>
      <c r="IZ485" s="73"/>
      <c r="JA485" s="73"/>
      <c r="JB485" s="73"/>
      <c r="JC485" s="73"/>
    </row>
    <row r="486" spans="2:263" s="72" customFormat="1">
      <c r="B486" s="73"/>
      <c r="C486" s="73"/>
      <c r="D486" s="73"/>
      <c r="E486" s="73"/>
      <c r="F486" s="73"/>
      <c r="G486" s="73"/>
      <c r="H486" s="73"/>
      <c r="I486" s="73"/>
      <c r="J486" s="73"/>
      <c r="K486" s="73"/>
      <c r="L486" s="73"/>
      <c r="M486" s="73"/>
      <c r="N486" s="73"/>
      <c r="O486" s="73"/>
      <c r="P486" s="73"/>
      <c r="Q486" s="73"/>
      <c r="R486" s="73"/>
      <c r="S486" s="73"/>
      <c r="T486" s="73"/>
      <c r="U486" s="73"/>
      <c r="V486" s="73"/>
      <c r="W486" s="73"/>
      <c r="GL486" s="73"/>
      <c r="GM486" s="73"/>
      <c r="GN486" s="73"/>
      <c r="GO486" s="73"/>
      <c r="GP486" s="73"/>
      <c r="GQ486" s="73"/>
      <c r="GR486" s="73"/>
      <c r="GS486" s="73"/>
      <c r="GT486" s="73"/>
      <c r="GU486" s="73"/>
      <c r="GV486" s="73"/>
      <c r="GW486" s="73"/>
      <c r="GX486" s="73"/>
      <c r="GY486" s="73"/>
      <c r="GZ486" s="73"/>
      <c r="HA486" s="73"/>
      <c r="HB486" s="73"/>
      <c r="HC486" s="73"/>
      <c r="HD486" s="73"/>
      <c r="HE486" s="73"/>
      <c r="HF486" s="73"/>
      <c r="HG486" s="73"/>
      <c r="HH486" s="73"/>
      <c r="HI486" s="73"/>
      <c r="HJ486" s="73"/>
      <c r="HK486" s="73"/>
      <c r="HL486" s="73"/>
      <c r="HM486" s="73"/>
      <c r="HN486" s="73"/>
      <c r="HO486" s="73"/>
      <c r="HP486" s="73"/>
      <c r="HQ486" s="73"/>
      <c r="HR486" s="73"/>
      <c r="HS486" s="73"/>
      <c r="HT486" s="73"/>
      <c r="HU486" s="73"/>
      <c r="HV486" s="73"/>
      <c r="HW486" s="73"/>
      <c r="HX486" s="73"/>
      <c r="HY486" s="73"/>
      <c r="HZ486" s="73"/>
      <c r="IA486" s="73"/>
      <c r="IB486" s="73"/>
      <c r="IC486" s="73"/>
      <c r="ID486" s="73"/>
      <c r="IE486" s="73"/>
      <c r="IF486" s="73"/>
      <c r="IG486" s="73"/>
      <c r="IH486" s="73"/>
      <c r="II486" s="73"/>
      <c r="IJ486" s="73"/>
      <c r="IK486" s="73"/>
      <c r="IL486" s="73"/>
      <c r="IM486" s="73"/>
      <c r="IN486" s="73"/>
      <c r="IO486" s="73"/>
      <c r="IP486" s="73"/>
      <c r="IQ486" s="73"/>
      <c r="IR486" s="73"/>
      <c r="IS486" s="73"/>
      <c r="IT486" s="73"/>
      <c r="IU486" s="73"/>
      <c r="IV486" s="73"/>
      <c r="IW486" s="73"/>
      <c r="IX486" s="73"/>
      <c r="IY486" s="73"/>
      <c r="IZ486" s="73"/>
      <c r="JA486" s="73"/>
      <c r="JB486" s="73"/>
      <c r="JC486" s="73"/>
    </row>
    <row r="487" spans="2:263" s="72" customFormat="1">
      <c r="B487" s="73"/>
      <c r="C487" s="73"/>
      <c r="D487" s="73"/>
      <c r="E487" s="73"/>
      <c r="F487" s="73"/>
      <c r="G487" s="73"/>
      <c r="H487" s="73"/>
      <c r="I487" s="73"/>
      <c r="J487" s="73"/>
      <c r="K487" s="73"/>
      <c r="L487" s="73"/>
      <c r="M487" s="73"/>
      <c r="N487" s="73"/>
      <c r="O487" s="73"/>
      <c r="P487" s="73"/>
      <c r="Q487" s="73"/>
      <c r="R487" s="73"/>
      <c r="S487" s="73"/>
      <c r="T487" s="73"/>
      <c r="U487" s="73"/>
      <c r="V487" s="73"/>
      <c r="W487" s="73"/>
      <c r="GL487" s="73"/>
      <c r="GM487" s="73"/>
      <c r="GN487" s="73"/>
      <c r="GO487" s="73"/>
      <c r="GP487" s="73"/>
      <c r="GQ487" s="73"/>
      <c r="GR487" s="73"/>
      <c r="GS487" s="73"/>
      <c r="GT487" s="73"/>
      <c r="GU487" s="73"/>
      <c r="GV487" s="73"/>
      <c r="GW487" s="73"/>
      <c r="GX487" s="73"/>
      <c r="GY487" s="73"/>
      <c r="GZ487" s="73"/>
      <c r="HA487" s="73"/>
      <c r="HB487" s="73"/>
      <c r="HC487" s="73"/>
      <c r="HD487" s="73"/>
      <c r="HE487" s="73"/>
      <c r="HF487" s="73"/>
      <c r="HG487" s="73"/>
      <c r="HH487" s="73"/>
      <c r="HI487" s="73"/>
      <c r="HJ487" s="73"/>
      <c r="HK487" s="73"/>
      <c r="HL487" s="73"/>
      <c r="HM487" s="73"/>
      <c r="HN487" s="73"/>
      <c r="HO487" s="73"/>
      <c r="HP487" s="73"/>
      <c r="HQ487" s="73"/>
      <c r="HR487" s="73"/>
      <c r="HS487" s="73"/>
      <c r="HT487" s="73"/>
      <c r="HU487" s="73"/>
      <c r="HV487" s="73"/>
      <c r="HW487" s="73"/>
      <c r="HX487" s="73"/>
      <c r="HY487" s="73"/>
      <c r="HZ487" s="73"/>
      <c r="IA487" s="73"/>
      <c r="IB487" s="73"/>
      <c r="IC487" s="73"/>
      <c r="ID487" s="73"/>
      <c r="IE487" s="73"/>
      <c r="IF487" s="73"/>
      <c r="IG487" s="73"/>
      <c r="IH487" s="73"/>
      <c r="II487" s="73"/>
      <c r="IJ487" s="73"/>
      <c r="IK487" s="73"/>
      <c r="IL487" s="73"/>
      <c r="IM487" s="73"/>
      <c r="IN487" s="73"/>
      <c r="IO487" s="73"/>
      <c r="IP487" s="73"/>
      <c r="IQ487" s="73"/>
      <c r="IR487" s="73"/>
      <c r="IS487" s="73"/>
      <c r="IT487" s="73"/>
      <c r="IU487" s="73"/>
      <c r="IV487" s="73"/>
      <c r="IW487" s="73"/>
      <c r="IX487" s="73"/>
      <c r="IY487" s="73"/>
      <c r="IZ487" s="73"/>
      <c r="JA487" s="73"/>
      <c r="JB487" s="73"/>
      <c r="JC487" s="73"/>
    </row>
    <row r="488" spans="2:263" s="72" customFormat="1">
      <c r="B488" s="73"/>
      <c r="C488" s="73"/>
      <c r="D488" s="73"/>
      <c r="E488" s="73"/>
      <c r="F488" s="73"/>
      <c r="G488" s="73"/>
      <c r="H488" s="73"/>
      <c r="I488" s="73"/>
      <c r="J488" s="73"/>
      <c r="K488" s="73"/>
      <c r="L488" s="73"/>
      <c r="M488" s="73"/>
      <c r="N488" s="73"/>
      <c r="O488" s="73"/>
      <c r="P488" s="73"/>
      <c r="Q488" s="73"/>
      <c r="R488" s="73"/>
      <c r="S488" s="73"/>
      <c r="T488" s="73"/>
      <c r="U488" s="73"/>
      <c r="V488" s="73"/>
      <c r="W488" s="73"/>
      <c r="GL488" s="73"/>
      <c r="GM488" s="73"/>
      <c r="GN488" s="73"/>
      <c r="GO488" s="73"/>
      <c r="GP488" s="73"/>
      <c r="GQ488" s="73"/>
      <c r="GR488" s="73"/>
      <c r="GS488" s="73"/>
      <c r="GT488" s="73"/>
      <c r="GU488" s="73"/>
      <c r="GV488" s="73"/>
      <c r="GW488" s="73"/>
      <c r="GX488" s="73"/>
      <c r="GY488" s="73"/>
      <c r="GZ488" s="73"/>
      <c r="HA488" s="73"/>
      <c r="HB488" s="73"/>
      <c r="HC488" s="73"/>
      <c r="HD488" s="73"/>
      <c r="HE488" s="73"/>
      <c r="HF488" s="73"/>
      <c r="HG488" s="73"/>
      <c r="HH488" s="73"/>
      <c r="HI488" s="73"/>
      <c r="HJ488" s="73"/>
      <c r="HK488" s="73"/>
      <c r="HL488" s="73"/>
      <c r="HM488" s="73"/>
      <c r="HN488" s="73"/>
      <c r="HO488" s="73"/>
      <c r="HP488" s="73"/>
      <c r="HQ488" s="73"/>
      <c r="HR488" s="73"/>
      <c r="HS488" s="73"/>
      <c r="HT488" s="73"/>
      <c r="HU488" s="73"/>
      <c r="HV488" s="73"/>
      <c r="HW488" s="73"/>
      <c r="HX488" s="73"/>
      <c r="HY488" s="73"/>
      <c r="HZ488" s="73"/>
      <c r="IA488" s="73"/>
      <c r="IB488" s="73"/>
      <c r="IC488" s="73"/>
      <c r="ID488" s="73"/>
      <c r="IE488" s="73"/>
      <c r="IF488" s="73"/>
      <c r="IG488" s="73"/>
      <c r="IH488" s="73"/>
      <c r="II488" s="73"/>
      <c r="IJ488" s="73"/>
      <c r="IK488" s="73"/>
      <c r="IL488" s="73"/>
      <c r="IM488" s="73"/>
      <c r="IN488" s="73"/>
      <c r="IO488" s="73"/>
      <c r="IP488" s="73"/>
      <c r="IQ488" s="73"/>
      <c r="IR488" s="73"/>
      <c r="IS488" s="73"/>
      <c r="IT488" s="73"/>
      <c r="IU488" s="73"/>
      <c r="IV488" s="73"/>
      <c r="IW488" s="73"/>
      <c r="IX488" s="73"/>
      <c r="IY488" s="73"/>
      <c r="IZ488" s="73"/>
      <c r="JA488" s="73"/>
      <c r="JB488" s="73"/>
      <c r="JC488" s="73"/>
    </row>
    <row r="489" spans="2:263" s="72" customFormat="1">
      <c r="B489" s="73"/>
      <c r="C489" s="73"/>
      <c r="D489" s="73"/>
      <c r="E489" s="73"/>
      <c r="F489" s="73"/>
      <c r="G489" s="73"/>
      <c r="H489" s="73"/>
      <c r="I489" s="73"/>
      <c r="J489" s="73"/>
      <c r="K489" s="73"/>
      <c r="L489" s="73"/>
      <c r="M489" s="73"/>
      <c r="N489" s="73"/>
      <c r="O489" s="73"/>
      <c r="P489" s="73"/>
      <c r="Q489" s="73"/>
      <c r="R489" s="73"/>
      <c r="S489" s="73"/>
      <c r="T489" s="73"/>
      <c r="U489" s="73"/>
      <c r="V489" s="73"/>
      <c r="W489" s="73"/>
      <c r="GL489" s="73"/>
      <c r="GM489" s="73"/>
      <c r="GN489" s="73"/>
      <c r="GO489" s="73"/>
      <c r="GP489" s="73"/>
      <c r="GQ489" s="73"/>
      <c r="GR489" s="73"/>
      <c r="GS489" s="73"/>
      <c r="GT489" s="73"/>
      <c r="GU489" s="73"/>
      <c r="GV489" s="73"/>
      <c r="GW489" s="73"/>
      <c r="GX489" s="73"/>
      <c r="GY489" s="73"/>
      <c r="GZ489" s="73"/>
      <c r="HA489" s="73"/>
      <c r="HB489" s="73"/>
      <c r="HC489" s="73"/>
      <c r="HD489" s="73"/>
      <c r="HE489" s="73"/>
      <c r="HF489" s="73"/>
      <c r="HG489" s="73"/>
      <c r="HH489" s="73"/>
      <c r="HI489" s="73"/>
      <c r="HJ489" s="73"/>
      <c r="HK489" s="73"/>
      <c r="HL489" s="73"/>
      <c r="HM489" s="73"/>
      <c r="HN489" s="73"/>
      <c r="HO489" s="73"/>
      <c r="HP489" s="73"/>
      <c r="HQ489" s="73"/>
      <c r="HR489" s="73"/>
      <c r="HS489" s="73"/>
      <c r="HT489" s="73"/>
      <c r="HU489" s="73"/>
      <c r="HV489" s="73"/>
      <c r="HW489" s="73"/>
      <c r="HX489" s="73"/>
      <c r="HY489" s="73"/>
      <c r="HZ489" s="73"/>
      <c r="IA489" s="73"/>
      <c r="IB489" s="73"/>
      <c r="IC489" s="73"/>
      <c r="ID489" s="73"/>
      <c r="IE489" s="73"/>
      <c r="IF489" s="73"/>
      <c r="IG489" s="73"/>
      <c r="IH489" s="73"/>
      <c r="II489" s="73"/>
      <c r="IJ489" s="73"/>
      <c r="IK489" s="73"/>
      <c r="IL489" s="73"/>
      <c r="IM489" s="73"/>
      <c r="IN489" s="73"/>
      <c r="IO489" s="73"/>
      <c r="IP489" s="73"/>
      <c r="IQ489" s="73"/>
      <c r="IR489" s="73"/>
      <c r="IS489" s="73"/>
      <c r="IT489" s="73"/>
      <c r="IU489" s="73"/>
      <c r="IV489" s="73"/>
      <c r="IW489" s="73"/>
      <c r="IX489" s="73"/>
      <c r="IY489" s="73"/>
      <c r="IZ489" s="73"/>
      <c r="JA489" s="73"/>
      <c r="JB489" s="73"/>
      <c r="JC489" s="73"/>
    </row>
    <row r="490" spans="2:263" s="72" customFormat="1">
      <c r="B490" s="73"/>
      <c r="C490" s="73"/>
      <c r="D490" s="73"/>
      <c r="E490" s="73"/>
      <c r="F490" s="73"/>
      <c r="G490" s="73"/>
      <c r="H490" s="73"/>
      <c r="I490" s="73"/>
      <c r="J490" s="73"/>
      <c r="K490" s="73"/>
      <c r="L490" s="73"/>
      <c r="M490" s="73"/>
      <c r="N490" s="73"/>
      <c r="O490" s="73"/>
      <c r="P490" s="73"/>
      <c r="Q490" s="73"/>
      <c r="R490" s="73"/>
      <c r="S490" s="73"/>
      <c r="T490" s="73"/>
      <c r="U490" s="73"/>
      <c r="V490" s="73"/>
      <c r="W490" s="73"/>
      <c r="GL490" s="73"/>
      <c r="GM490" s="73"/>
      <c r="GN490" s="73"/>
      <c r="GO490" s="73"/>
      <c r="GP490" s="73"/>
      <c r="GQ490" s="73"/>
      <c r="GR490" s="73"/>
      <c r="GS490" s="73"/>
      <c r="GT490" s="73"/>
      <c r="GU490" s="73"/>
      <c r="GV490" s="73"/>
      <c r="GW490" s="73"/>
      <c r="GX490" s="73"/>
      <c r="GY490" s="73"/>
      <c r="GZ490" s="73"/>
      <c r="HA490" s="73"/>
      <c r="HB490" s="73"/>
      <c r="HC490" s="73"/>
      <c r="HD490" s="73"/>
      <c r="HE490" s="73"/>
      <c r="HF490" s="73"/>
      <c r="HG490" s="73"/>
      <c r="HH490" s="73"/>
      <c r="HI490" s="73"/>
      <c r="HJ490" s="73"/>
      <c r="HK490" s="73"/>
      <c r="HL490" s="73"/>
      <c r="HM490" s="73"/>
      <c r="HN490" s="73"/>
      <c r="HO490" s="73"/>
      <c r="HP490" s="73"/>
      <c r="HQ490" s="73"/>
      <c r="HR490" s="73"/>
      <c r="HS490" s="73"/>
      <c r="HT490" s="73"/>
      <c r="HU490" s="73"/>
      <c r="HV490" s="73"/>
      <c r="HW490" s="73"/>
      <c r="HX490" s="73"/>
      <c r="HY490" s="73"/>
      <c r="HZ490" s="73"/>
      <c r="IA490" s="73"/>
      <c r="IB490" s="73"/>
      <c r="IC490" s="73"/>
      <c r="ID490" s="73"/>
      <c r="IE490" s="73"/>
      <c r="IF490" s="73"/>
      <c r="IG490" s="73"/>
      <c r="IH490" s="73"/>
      <c r="II490" s="73"/>
      <c r="IJ490" s="73"/>
      <c r="IK490" s="73"/>
      <c r="IL490" s="73"/>
      <c r="IM490" s="73"/>
      <c r="IN490" s="73"/>
      <c r="IO490" s="73"/>
      <c r="IP490" s="73"/>
      <c r="IQ490" s="73"/>
      <c r="IR490" s="73"/>
      <c r="IS490" s="73"/>
      <c r="IT490" s="73"/>
      <c r="IU490" s="73"/>
      <c r="IV490" s="73"/>
      <c r="IW490" s="73"/>
      <c r="IX490" s="73"/>
      <c r="IY490" s="73"/>
      <c r="IZ490" s="73"/>
      <c r="JA490" s="73"/>
      <c r="JB490" s="73"/>
      <c r="JC490" s="73"/>
    </row>
    <row r="491" spans="2:263" s="72" customFormat="1">
      <c r="B491" s="73"/>
      <c r="C491" s="73"/>
      <c r="D491" s="73"/>
      <c r="E491" s="73"/>
      <c r="F491" s="73"/>
      <c r="G491" s="73"/>
      <c r="H491" s="73"/>
      <c r="I491" s="73"/>
      <c r="J491" s="73"/>
      <c r="K491" s="73"/>
      <c r="L491" s="73"/>
      <c r="M491" s="73"/>
      <c r="N491" s="73"/>
      <c r="O491" s="73"/>
      <c r="P491" s="73"/>
      <c r="Q491" s="73"/>
      <c r="R491" s="73"/>
      <c r="S491" s="73"/>
      <c r="T491" s="73"/>
      <c r="U491" s="73"/>
      <c r="V491" s="73"/>
      <c r="W491" s="73"/>
      <c r="GL491" s="73"/>
      <c r="GM491" s="73"/>
      <c r="GN491" s="73"/>
      <c r="GO491" s="73"/>
      <c r="GP491" s="73"/>
      <c r="GQ491" s="73"/>
      <c r="GR491" s="73"/>
      <c r="GS491" s="73"/>
      <c r="GT491" s="73"/>
      <c r="GU491" s="73"/>
      <c r="GV491" s="73"/>
      <c r="GW491" s="73"/>
      <c r="GX491" s="73"/>
      <c r="GY491" s="73"/>
      <c r="GZ491" s="73"/>
      <c r="HA491" s="73"/>
      <c r="HB491" s="73"/>
      <c r="HC491" s="73"/>
      <c r="HD491" s="73"/>
      <c r="HE491" s="73"/>
      <c r="HF491" s="73"/>
      <c r="HG491" s="73"/>
      <c r="HH491" s="73"/>
      <c r="HI491" s="73"/>
      <c r="HJ491" s="73"/>
      <c r="HK491" s="73"/>
      <c r="HL491" s="73"/>
      <c r="HM491" s="73"/>
      <c r="HN491" s="73"/>
      <c r="HO491" s="73"/>
      <c r="HP491" s="73"/>
      <c r="HQ491" s="73"/>
      <c r="HR491" s="73"/>
      <c r="HS491" s="73"/>
      <c r="HT491" s="73"/>
      <c r="HU491" s="73"/>
      <c r="HV491" s="73"/>
      <c r="HW491" s="73"/>
      <c r="HX491" s="73"/>
      <c r="HY491" s="73"/>
      <c r="HZ491" s="73"/>
      <c r="IA491" s="73"/>
      <c r="IB491" s="73"/>
      <c r="IC491" s="73"/>
      <c r="ID491" s="73"/>
      <c r="IE491" s="73"/>
      <c r="IF491" s="73"/>
      <c r="IG491" s="73"/>
      <c r="IH491" s="73"/>
      <c r="II491" s="73"/>
      <c r="IJ491" s="73"/>
      <c r="IK491" s="73"/>
      <c r="IL491" s="73"/>
      <c r="IM491" s="73"/>
      <c r="IN491" s="73"/>
      <c r="IO491" s="73"/>
      <c r="IP491" s="73"/>
      <c r="IQ491" s="73"/>
      <c r="IR491" s="73"/>
      <c r="IS491" s="73"/>
      <c r="IT491" s="73"/>
      <c r="IU491" s="73"/>
      <c r="IV491" s="73"/>
      <c r="IW491" s="73"/>
      <c r="IX491" s="73"/>
      <c r="IY491" s="73"/>
      <c r="IZ491" s="73"/>
      <c r="JA491" s="73"/>
      <c r="JB491" s="73"/>
      <c r="JC491" s="73"/>
    </row>
    <row r="492" spans="2:263" s="72" customFormat="1">
      <c r="B492" s="73"/>
      <c r="C492" s="73"/>
      <c r="D492" s="73"/>
      <c r="E492" s="73"/>
      <c r="F492" s="73"/>
      <c r="G492" s="73"/>
      <c r="H492" s="73"/>
      <c r="I492" s="73"/>
      <c r="J492" s="73"/>
      <c r="K492" s="73"/>
      <c r="L492" s="73"/>
      <c r="M492" s="73"/>
      <c r="N492" s="73"/>
      <c r="O492" s="73"/>
      <c r="P492" s="73"/>
      <c r="Q492" s="73"/>
      <c r="R492" s="73"/>
      <c r="S492" s="73"/>
      <c r="T492" s="73"/>
      <c r="U492" s="73"/>
      <c r="V492" s="73"/>
      <c r="W492" s="73"/>
      <c r="GL492" s="73"/>
      <c r="GM492" s="73"/>
      <c r="GN492" s="73"/>
      <c r="GO492" s="73"/>
      <c r="GP492" s="73"/>
      <c r="GQ492" s="73"/>
      <c r="GR492" s="73"/>
      <c r="GS492" s="73"/>
      <c r="GT492" s="73"/>
      <c r="GU492" s="73"/>
      <c r="GV492" s="73"/>
      <c r="GW492" s="73"/>
      <c r="GX492" s="73"/>
      <c r="GY492" s="73"/>
      <c r="GZ492" s="73"/>
      <c r="HA492" s="73"/>
      <c r="HB492" s="73"/>
      <c r="HC492" s="73"/>
      <c r="HD492" s="73"/>
      <c r="HE492" s="73"/>
      <c r="HF492" s="73"/>
      <c r="HG492" s="73"/>
      <c r="HH492" s="73"/>
      <c r="HI492" s="73"/>
      <c r="HJ492" s="73"/>
      <c r="HK492" s="73"/>
      <c r="HL492" s="73"/>
      <c r="HM492" s="73"/>
      <c r="HN492" s="73"/>
      <c r="HO492" s="73"/>
      <c r="HP492" s="73"/>
      <c r="HQ492" s="73"/>
      <c r="HR492" s="73"/>
      <c r="HS492" s="73"/>
      <c r="HT492" s="73"/>
      <c r="HU492" s="73"/>
      <c r="HV492" s="73"/>
      <c r="HW492" s="73"/>
      <c r="HX492" s="73"/>
      <c r="HY492" s="73"/>
      <c r="HZ492" s="73"/>
      <c r="IA492" s="73"/>
      <c r="IB492" s="73"/>
      <c r="IC492" s="73"/>
      <c r="ID492" s="73"/>
      <c r="IE492" s="73"/>
      <c r="IF492" s="73"/>
      <c r="IG492" s="73"/>
      <c r="IH492" s="73"/>
      <c r="II492" s="73"/>
      <c r="IJ492" s="73"/>
      <c r="IK492" s="73"/>
      <c r="IL492" s="73"/>
      <c r="IM492" s="73"/>
      <c r="IN492" s="73"/>
      <c r="IO492" s="73"/>
      <c r="IP492" s="73"/>
      <c r="IQ492" s="73"/>
      <c r="IR492" s="73"/>
      <c r="IS492" s="73"/>
      <c r="IT492" s="73"/>
      <c r="IU492" s="73"/>
      <c r="IV492" s="73"/>
      <c r="IW492" s="73"/>
      <c r="IX492" s="73"/>
      <c r="IY492" s="73"/>
      <c r="IZ492" s="73"/>
      <c r="JA492" s="73"/>
      <c r="JB492" s="73"/>
      <c r="JC492" s="73"/>
    </row>
    <row r="493" spans="2:263" s="72" customFormat="1">
      <c r="B493" s="73"/>
      <c r="C493" s="73"/>
      <c r="D493" s="73"/>
      <c r="E493" s="73"/>
      <c r="F493" s="73"/>
      <c r="G493" s="73"/>
      <c r="H493" s="73"/>
      <c r="I493" s="73"/>
      <c r="J493" s="73"/>
      <c r="K493" s="73"/>
      <c r="L493" s="73"/>
      <c r="M493" s="73"/>
      <c r="N493" s="73"/>
      <c r="O493" s="73"/>
      <c r="P493" s="73"/>
      <c r="Q493" s="73"/>
      <c r="R493" s="73"/>
      <c r="S493" s="73"/>
      <c r="T493" s="73"/>
      <c r="U493" s="73"/>
      <c r="V493" s="73"/>
      <c r="W493" s="73"/>
      <c r="GL493" s="73"/>
      <c r="GM493" s="73"/>
      <c r="GN493" s="73"/>
      <c r="GO493" s="73"/>
      <c r="GP493" s="73"/>
      <c r="GQ493" s="73"/>
      <c r="GR493" s="73"/>
      <c r="GS493" s="73"/>
      <c r="GT493" s="73"/>
      <c r="GU493" s="73"/>
      <c r="GV493" s="73"/>
      <c r="GW493" s="73"/>
      <c r="GX493" s="73"/>
      <c r="GY493" s="73"/>
      <c r="GZ493" s="73"/>
      <c r="HA493" s="73"/>
      <c r="HB493" s="73"/>
      <c r="HC493" s="73"/>
      <c r="HD493" s="73"/>
      <c r="HE493" s="73"/>
      <c r="HF493" s="73"/>
      <c r="HG493" s="73"/>
      <c r="HH493" s="73"/>
      <c r="HI493" s="73"/>
      <c r="HJ493" s="73"/>
      <c r="HK493" s="73"/>
      <c r="HL493" s="73"/>
      <c r="HM493" s="73"/>
      <c r="HN493" s="73"/>
      <c r="HO493" s="73"/>
      <c r="HP493" s="73"/>
      <c r="HQ493" s="73"/>
      <c r="HR493" s="73"/>
      <c r="HS493" s="73"/>
      <c r="HT493" s="73"/>
      <c r="HU493" s="73"/>
      <c r="HV493" s="73"/>
      <c r="HW493" s="73"/>
      <c r="HX493" s="73"/>
      <c r="HY493" s="73"/>
      <c r="HZ493" s="73"/>
      <c r="IA493" s="73"/>
      <c r="IB493" s="73"/>
      <c r="IC493" s="73"/>
      <c r="ID493" s="73"/>
      <c r="IE493" s="73"/>
      <c r="IF493" s="73"/>
      <c r="IG493" s="73"/>
      <c r="IH493" s="73"/>
      <c r="II493" s="73"/>
      <c r="IJ493" s="73"/>
      <c r="IK493" s="73"/>
      <c r="IL493" s="73"/>
      <c r="IM493" s="73"/>
      <c r="IN493" s="73"/>
      <c r="IO493" s="73"/>
      <c r="IP493" s="73"/>
      <c r="IQ493" s="73"/>
      <c r="IR493" s="73"/>
      <c r="IS493" s="73"/>
      <c r="IT493" s="73"/>
      <c r="IU493" s="73"/>
      <c r="IV493" s="73"/>
      <c r="IW493" s="73"/>
      <c r="IX493" s="73"/>
      <c r="IY493" s="73"/>
      <c r="IZ493" s="73"/>
      <c r="JA493" s="73"/>
      <c r="JB493" s="73"/>
      <c r="JC493" s="73"/>
    </row>
    <row r="494" spans="2:263" s="72" customFormat="1">
      <c r="B494" s="73"/>
      <c r="C494" s="73"/>
      <c r="D494" s="73"/>
      <c r="E494" s="73"/>
      <c r="F494" s="73"/>
      <c r="G494" s="73"/>
      <c r="H494" s="73"/>
      <c r="I494" s="73"/>
      <c r="J494" s="73"/>
      <c r="K494" s="73"/>
      <c r="L494" s="73"/>
      <c r="M494" s="73"/>
      <c r="N494" s="73"/>
      <c r="O494" s="73"/>
      <c r="P494" s="73"/>
      <c r="Q494" s="73"/>
      <c r="R494" s="73"/>
      <c r="S494" s="73"/>
      <c r="T494" s="73"/>
      <c r="U494" s="73"/>
      <c r="V494" s="73"/>
      <c r="W494" s="73"/>
      <c r="GL494" s="73"/>
      <c r="GM494" s="73"/>
      <c r="GN494" s="73"/>
      <c r="GO494" s="73"/>
      <c r="GP494" s="73"/>
      <c r="GQ494" s="73"/>
      <c r="GR494" s="73"/>
      <c r="GS494" s="73"/>
      <c r="GT494" s="73"/>
      <c r="GU494" s="73"/>
      <c r="GV494" s="73"/>
      <c r="GW494" s="73"/>
      <c r="GX494" s="73"/>
      <c r="GY494" s="73"/>
      <c r="GZ494" s="73"/>
      <c r="HA494" s="73"/>
      <c r="HB494" s="73"/>
      <c r="HC494" s="73"/>
      <c r="HD494" s="73"/>
      <c r="HE494" s="73"/>
      <c r="HF494" s="73"/>
      <c r="HG494" s="73"/>
      <c r="HH494" s="73"/>
      <c r="HI494" s="73"/>
      <c r="HJ494" s="73"/>
      <c r="HK494" s="73"/>
      <c r="HL494" s="73"/>
      <c r="HM494" s="73"/>
      <c r="HN494" s="73"/>
      <c r="HO494" s="73"/>
      <c r="HP494" s="73"/>
      <c r="HQ494" s="73"/>
      <c r="HR494" s="73"/>
      <c r="HS494" s="73"/>
      <c r="HT494" s="73"/>
      <c r="HU494" s="73"/>
      <c r="HV494" s="73"/>
      <c r="HW494" s="73"/>
      <c r="HX494" s="73"/>
      <c r="HY494" s="73"/>
      <c r="HZ494" s="73"/>
      <c r="IA494" s="73"/>
      <c r="IB494" s="73"/>
      <c r="IC494" s="73"/>
      <c r="ID494" s="73"/>
      <c r="IE494" s="73"/>
      <c r="IF494" s="73"/>
      <c r="IG494" s="73"/>
      <c r="IH494" s="73"/>
      <c r="II494" s="73"/>
      <c r="IJ494" s="73"/>
      <c r="IK494" s="73"/>
      <c r="IL494" s="73"/>
      <c r="IM494" s="73"/>
      <c r="IN494" s="73"/>
      <c r="IO494" s="73"/>
      <c r="IP494" s="73"/>
      <c r="IQ494" s="73"/>
      <c r="IR494" s="73"/>
      <c r="IS494" s="73"/>
      <c r="IT494" s="73"/>
      <c r="IU494" s="73"/>
      <c r="IV494" s="73"/>
      <c r="IW494" s="73"/>
      <c r="IX494" s="73"/>
      <c r="IY494" s="73"/>
      <c r="IZ494" s="73"/>
      <c r="JA494" s="73"/>
      <c r="JB494" s="73"/>
      <c r="JC494" s="73"/>
    </row>
    <row r="495" spans="2:263" s="72" customFormat="1">
      <c r="B495" s="73"/>
      <c r="C495" s="73"/>
      <c r="D495" s="73"/>
      <c r="E495" s="73"/>
      <c r="F495" s="73"/>
      <c r="G495" s="73"/>
      <c r="H495" s="73"/>
      <c r="I495" s="73"/>
      <c r="J495" s="73"/>
      <c r="K495" s="73"/>
      <c r="L495" s="73"/>
      <c r="M495" s="73"/>
      <c r="N495" s="73"/>
      <c r="O495" s="73"/>
      <c r="P495" s="73"/>
      <c r="Q495" s="73"/>
      <c r="R495" s="73"/>
      <c r="S495" s="73"/>
      <c r="T495" s="73"/>
      <c r="U495" s="73"/>
      <c r="V495" s="73"/>
      <c r="W495" s="73"/>
      <c r="GL495" s="73"/>
      <c r="GM495" s="73"/>
      <c r="GN495" s="73"/>
      <c r="GO495" s="73"/>
      <c r="GP495" s="73"/>
      <c r="GQ495" s="73"/>
      <c r="GR495" s="73"/>
      <c r="GS495" s="73"/>
      <c r="GT495" s="73"/>
      <c r="GU495" s="73"/>
      <c r="GV495" s="73"/>
      <c r="GW495" s="73"/>
      <c r="GX495" s="73"/>
      <c r="GY495" s="73"/>
      <c r="GZ495" s="73"/>
      <c r="HA495" s="73"/>
      <c r="HB495" s="73"/>
      <c r="HC495" s="73"/>
      <c r="HD495" s="73"/>
      <c r="HE495" s="73"/>
      <c r="HF495" s="73"/>
      <c r="HG495" s="73"/>
      <c r="HH495" s="73"/>
      <c r="HI495" s="73"/>
      <c r="HJ495" s="73"/>
      <c r="HK495" s="73"/>
      <c r="HL495" s="73"/>
      <c r="HM495" s="73"/>
      <c r="HN495" s="73"/>
      <c r="HO495" s="73"/>
      <c r="HP495" s="73"/>
      <c r="HQ495" s="73"/>
      <c r="HR495" s="73"/>
      <c r="HS495" s="73"/>
      <c r="HT495" s="73"/>
      <c r="HU495" s="73"/>
      <c r="HV495" s="73"/>
      <c r="HW495" s="73"/>
      <c r="HX495" s="73"/>
      <c r="HY495" s="73"/>
      <c r="HZ495" s="73"/>
      <c r="IA495" s="73"/>
      <c r="IB495" s="73"/>
      <c r="IC495" s="73"/>
      <c r="ID495" s="73"/>
      <c r="IE495" s="73"/>
      <c r="IF495" s="73"/>
      <c r="IG495" s="73"/>
      <c r="IH495" s="73"/>
      <c r="II495" s="73"/>
      <c r="IJ495" s="73"/>
      <c r="IK495" s="73"/>
      <c r="IL495" s="73"/>
      <c r="IM495" s="73"/>
      <c r="IN495" s="73"/>
      <c r="IO495" s="73"/>
      <c r="IP495" s="73"/>
      <c r="IQ495" s="73"/>
      <c r="IR495" s="73"/>
      <c r="IS495" s="73"/>
      <c r="IT495" s="73"/>
      <c r="IU495" s="73"/>
      <c r="IV495" s="73"/>
      <c r="IW495" s="73"/>
      <c r="IX495" s="73"/>
      <c r="IY495" s="73"/>
      <c r="IZ495" s="73"/>
      <c r="JA495" s="73"/>
      <c r="JB495" s="73"/>
      <c r="JC495" s="73"/>
    </row>
    <row r="496" spans="2:263" s="72" customFormat="1">
      <c r="B496" s="73"/>
      <c r="C496" s="73"/>
      <c r="D496" s="73"/>
      <c r="E496" s="73"/>
      <c r="F496" s="73"/>
      <c r="G496" s="73"/>
      <c r="H496" s="73"/>
      <c r="I496" s="73"/>
      <c r="J496" s="73"/>
      <c r="K496" s="73"/>
      <c r="L496" s="73"/>
      <c r="M496" s="73"/>
      <c r="N496" s="73"/>
      <c r="O496" s="73"/>
      <c r="P496" s="73"/>
      <c r="Q496" s="73"/>
      <c r="R496" s="73"/>
      <c r="S496" s="73"/>
      <c r="T496" s="73"/>
      <c r="U496" s="73"/>
      <c r="V496" s="73"/>
      <c r="W496" s="73"/>
      <c r="GL496" s="73"/>
      <c r="GM496" s="73"/>
      <c r="GN496" s="73"/>
      <c r="GO496" s="73"/>
      <c r="GP496" s="73"/>
      <c r="GQ496" s="73"/>
      <c r="GR496" s="73"/>
      <c r="GS496" s="73"/>
      <c r="GT496" s="73"/>
      <c r="GU496" s="73"/>
      <c r="GV496" s="73"/>
      <c r="GW496" s="73"/>
      <c r="GX496" s="73"/>
      <c r="GY496" s="73"/>
      <c r="GZ496" s="73"/>
      <c r="HA496" s="73"/>
      <c r="HB496" s="73"/>
      <c r="HC496" s="73"/>
      <c r="HD496" s="73"/>
      <c r="HE496" s="73"/>
      <c r="HF496" s="73"/>
      <c r="HG496" s="73"/>
      <c r="HH496" s="73"/>
      <c r="HI496" s="73"/>
      <c r="HJ496" s="73"/>
      <c r="HK496" s="73"/>
      <c r="HL496" s="73"/>
      <c r="HM496" s="73"/>
      <c r="HN496" s="73"/>
      <c r="HO496" s="73"/>
      <c r="HP496" s="73"/>
      <c r="HQ496" s="73"/>
      <c r="HR496" s="73"/>
      <c r="HS496" s="73"/>
      <c r="HT496" s="73"/>
      <c r="HU496" s="73"/>
      <c r="HV496" s="73"/>
      <c r="HW496" s="73"/>
      <c r="HX496" s="73"/>
      <c r="HY496" s="73"/>
      <c r="HZ496" s="73"/>
      <c r="IA496" s="73"/>
      <c r="IB496" s="73"/>
      <c r="IC496" s="73"/>
      <c r="ID496" s="73"/>
      <c r="IE496" s="73"/>
      <c r="IF496" s="73"/>
      <c r="IG496" s="73"/>
      <c r="IH496" s="73"/>
      <c r="II496" s="73"/>
      <c r="IJ496" s="73"/>
      <c r="IK496" s="73"/>
      <c r="IL496" s="73"/>
      <c r="IM496" s="73"/>
      <c r="IN496" s="73"/>
      <c r="IO496" s="73"/>
      <c r="IP496" s="73"/>
      <c r="IQ496" s="73"/>
      <c r="IR496" s="73"/>
      <c r="IS496" s="73"/>
      <c r="IT496" s="73"/>
      <c r="IU496" s="73"/>
      <c r="IV496" s="73"/>
      <c r="IW496" s="73"/>
      <c r="IX496" s="73"/>
      <c r="IY496" s="73"/>
      <c r="IZ496" s="73"/>
      <c r="JA496" s="73"/>
      <c r="JB496" s="73"/>
      <c r="JC496" s="73"/>
    </row>
    <row r="497" spans="2:263" s="72" customFormat="1">
      <c r="B497" s="73"/>
      <c r="C497" s="73"/>
      <c r="D497" s="73"/>
      <c r="E497" s="73"/>
      <c r="F497" s="73"/>
      <c r="G497" s="73"/>
      <c r="H497" s="73"/>
      <c r="I497" s="73"/>
      <c r="J497" s="73"/>
      <c r="K497" s="73"/>
      <c r="L497" s="73"/>
      <c r="M497" s="73"/>
      <c r="N497" s="73"/>
      <c r="O497" s="73"/>
      <c r="P497" s="73"/>
      <c r="Q497" s="73"/>
      <c r="R497" s="73"/>
      <c r="S497" s="73"/>
      <c r="T497" s="73"/>
      <c r="U497" s="73"/>
      <c r="V497" s="73"/>
      <c r="W497" s="73"/>
      <c r="GL497" s="73"/>
      <c r="GM497" s="73"/>
      <c r="GN497" s="73"/>
      <c r="GO497" s="73"/>
      <c r="GP497" s="73"/>
      <c r="GQ497" s="73"/>
      <c r="GR497" s="73"/>
      <c r="GS497" s="73"/>
      <c r="GT497" s="73"/>
      <c r="GU497" s="73"/>
      <c r="GV497" s="73"/>
      <c r="GW497" s="73"/>
      <c r="GX497" s="73"/>
      <c r="GY497" s="73"/>
      <c r="GZ497" s="73"/>
      <c r="HA497" s="73"/>
      <c r="HB497" s="73"/>
      <c r="HC497" s="73"/>
      <c r="HD497" s="73"/>
      <c r="HE497" s="73"/>
      <c r="HF497" s="73"/>
      <c r="HG497" s="73"/>
      <c r="HH497" s="73"/>
      <c r="HI497" s="73"/>
      <c r="HJ497" s="73"/>
      <c r="HK497" s="73"/>
      <c r="HL497" s="73"/>
      <c r="HM497" s="73"/>
      <c r="HN497" s="73"/>
      <c r="HO497" s="73"/>
      <c r="HP497" s="73"/>
      <c r="HQ497" s="73"/>
      <c r="HR497" s="73"/>
      <c r="HS497" s="73"/>
      <c r="HT497" s="73"/>
      <c r="HU497" s="73"/>
      <c r="HV497" s="73"/>
      <c r="HW497" s="73"/>
      <c r="HX497" s="73"/>
      <c r="HY497" s="73"/>
      <c r="HZ497" s="73"/>
      <c r="IA497" s="73"/>
      <c r="IB497" s="73"/>
      <c r="IC497" s="73"/>
      <c r="ID497" s="73"/>
      <c r="IE497" s="73"/>
      <c r="IF497" s="73"/>
      <c r="IG497" s="73"/>
      <c r="IH497" s="73"/>
      <c r="II497" s="73"/>
      <c r="IJ497" s="73"/>
      <c r="IK497" s="73"/>
      <c r="IL497" s="73"/>
      <c r="IM497" s="73"/>
      <c r="IN497" s="73"/>
      <c r="IO497" s="73"/>
      <c r="IP497" s="73"/>
      <c r="IQ497" s="73"/>
      <c r="IR497" s="73"/>
      <c r="IS497" s="73"/>
      <c r="IT497" s="73"/>
      <c r="IU497" s="73"/>
      <c r="IV497" s="73"/>
      <c r="IW497" s="73"/>
      <c r="IX497" s="73"/>
      <c r="IY497" s="73"/>
      <c r="IZ497" s="73"/>
      <c r="JA497" s="73"/>
      <c r="JB497" s="73"/>
      <c r="JC497" s="73"/>
    </row>
    <row r="498" spans="2:263" s="72" customFormat="1">
      <c r="B498" s="73"/>
      <c r="C498" s="73"/>
      <c r="D498" s="73"/>
      <c r="E498" s="73"/>
      <c r="F498" s="73"/>
      <c r="G498" s="73"/>
      <c r="H498" s="73"/>
      <c r="I498" s="73"/>
      <c r="J498" s="73"/>
      <c r="K498" s="73"/>
      <c r="L498" s="73"/>
      <c r="M498" s="73"/>
      <c r="N498" s="73"/>
      <c r="O498" s="73"/>
      <c r="P498" s="73"/>
      <c r="Q498" s="73"/>
      <c r="R498" s="73"/>
      <c r="S498" s="73"/>
      <c r="T498" s="73"/>
      <c r="U498" s="73"/>
      <c r="V498" s="73"/>
      <c r="W498" s="73"/>
      <c r="GL498" s="73"/>
      <c r="GM498" s="73"/>
      <c r="GN498" s="73"/>
      <c r="GO498" s="73"/>
      <c r="GP498" s="73"/>
      <c r="GQ498" s="73"/>
      <c r="GR498" s="73"/>
      <c r="GS498" s="73"/>
      <c r="GT498" s="73"/>
      <c r="GU498" s="73"/>
      <c r="GV498" s="73"/>
      <c r="GW498" s="73"/>
      <c r="GX498" s="73"/>
      <c r="GY498" s="73"/>
      <c r="GZ498" s="73"/>
      <c r="HA498" s="73"/>
      <c r="HB498" s="73"/>
      <c r="HC498" s="73"/>
      <c r="HD498" s="73"/>
      <c r="HE498" s="73"/>
      <c r="HF498" s="73"/>
      <c r="HG498" s="73"/>
      <c r="HH498" s="73"/>
      <c r="HI498" s="73"/>
      <c r="HJ498" s="73"/>
      <c r="HK498" s="73"/>
      <c r="HL498" s="73"/>
      <c r="HM498" s="73"/>
      <c r="HN498" s="73"/>
      <c r="HO498" s="73"/>
      <c r="HP498" s="73"/>
      <c r="HQ498" s="73"/>
      <c r="HR498" s="73"/>
      <c r="HS498" s="73"/>
      <c r="HT498" s="73"/>
      <c r="HU498" s="73"/>
      <c r="HV498" s="73"/>
      <c r="HW498" s="73"/>
      <c r="HX498" s="73"/>
      <c r="HY498" s="73"/>
      <c r="HZ498" s="73"/>
      <c r="IA498" s="73"/>
      <c r="IB498" s="73"/>
      <c r="IC498" s="73"/>
      <c r="ID498" s="73"/>
      <c r="IE498" s="73"/>
      <c r="IF498" s="73"/>
      <c r="IG498" s="73"/>
      <c r="IH498" s="73"/>
      <c r="II498" s="73"/>
      <c r="IJ498" s="73"/>
      <c r="IK498" s="73"/>
      <c r="IL498" s="73"/>
      <c r="IM498" s="73"/>
      <c r="IN498" s="73"/>
      <c r="IO498" s="73"/>
      <c r="IP498" s="73"/>
      <c r="IQ498" s="73"/>
      <c r="IR498" s="73"/>
      <c r="IS498" s="73"/>
      <c r="IT498" s="73"/>
      <c r="IU498" s="73"/>
      <c r="IV498" s="73"/>
      <c r="IW498" s="73"/>
      <c r="IX498" s="73"/>
      <c r="IY498" s="73"/>
      <c r="IZ498" s="73"/>
      <c r="JA498" s="73"/>
      <c r="JB498" s="73"/>
      <c r="JC498" s="73"/>
    </row>
    <row r="499" spans="2:263" s="72" customFormat="1">
      <c r="B499" s="73"/>
      <c r="C499" s="73"/>
      <c r="D499" s="73"/>
      <c r="E499" s="73"/>
      <c r="F499" s="73"/>
      <c r="G499" s="73"/>
      <c r="H499" s="73"/>
      <c r="I499" s="73"/>
      <c r="J499" s="73"/>
      <c r="K499" s="73"/>
      <c r="L499" s="73"/>
      <c r="M499" s="73"/>
      <c r="N499" s="73"/>
      <c r="O499" s="73"/>
      <c r="P499" s="73"/>
      <c r="Q499" s="73"/>
      <c r="R499" s="73"/>
      <c r="S499" s="73"/>
      <c r="T499" s="73"/>
      <c r="U499" s="73"/>
      <c r="V499" s="73"/>
      <c r="W499" s="73"/>
      <c r="GL499" s="73"/>
      <c r="GM499" s="73"/>
      <c r="GN499" s="73"/>
      <c r="GO499" s="73"/>
      <c r="GP499" s="73"/>
      <c r="GQ499" s="73"/>
      <c r="GR499" s="73"/>
      <c r="GS499" s="73"/>
      <c r="GT499" s="73"/>
      <c r="GU499" s="73"/>
      <c r="GV499" s="73"/>
      <c r="GW499" s="73"/>
      <c r="GX499" s="73"/>
      <c r="GY499" s="73"/>
      <c r="GZ499" s="73"/>
      <c r="HA499" s="73"/>
      <c r="HB499" s="73"/>
      <c r="HC499" s="73"/>
      <c r="HD499" s="73"/>
      <c r="HE499" s="73"/>
      <c r="HF499" s="73"/>
      <c r="HG499" s="73"/>
      <c r="HH499" s="73"/>
      <c r="HI499" s="73"/>
      <c r="HJ499" s="73"/>
      <c r="HK499" s="73"/>
      <c r="HL499" s="73"/>
      <c r="HM499" s="73"/>
      <c r="HN499" s="73"/>
      <c r="HO499" s="73"/>
      <c r="HP499" s="73"/>
      <c r="HQ499" s="73"/>
      <c r="HR499" s="73"/>
      <c r="HS499" s="73"/>
      <c r="HT499" s="73"/>
      <c r="HU499" s="73"/>
      <c r="HV499" s="73"/>
      <c r="HW499" s="73"/>
      <c r="HX499" s="73"/>
      <c r="HY499" s="73"/>
      <c r="HZ499" s="73"/>
      <c r="IA499" s="73"/>
      <c r="IB499" s="73"/>
      <c r="IC499" s="73"/>
      <c r="ID499" s="73"/>
      <c r="IE499" s="73"/>
      <c r="IF499" s="73"/>
      <c r="IG499" s="73"/>
      <c r="IH499" s="73"/>
      <c r="II499" s="73"/>
      <c r="IJ499" s="73"/>
      <c r="IK499" s="73"/>
      <c r="IL499" s="73"/>
      <c r="IM499" s="73"/>
      <c r="IN499" s="73"/>
      <c r="IO499" s="73"/>
      <c r="IP499" s="73"/>
      <c r="IQ499" s="73"/>
      <c r="IR499" s="73"/>
      <c r="IS499" s="73"/>
      <c r="IT499" s="73"/>
      <c r="IU499" s="73"/>
      <c r="IV499" s="73"/>
      <c r="IW499" s="73"/>
      <c r="IX499" s="73"/>
      <c r="IY499" s="73"/>
      <c r="IZ499" s="73"/>
      <c r="JA499" s="73"/>
      <c r="JB499" s="73"/>
      <c r="JC499" s="73"/>
    </row>
    <row r="500" spans="2:263" s="72" customFormat="1">
      <c r="B500" s="73"/>
      <c r="C500" s="73"/>
      <c r="D500" s="73"/>
      <c r="E500" s="73"/>
      <c r="F500" s="73"/>
      <c r="G500" s="73"/>
      <c r="H500" s="73"/>
      <c r="I500" s="73"/>
      <c r="J500" s="73"/>
      <c r="K500" s="73"/>
      <c r="L500" s="73"/>
      <c r="M500" s="73"/>
      <c r="N500" s="73"/>
      <c r="O500" s="73"/>
      <c r="P500" s="73"/>
      <c r="Q500" s="73"/>
      <c r="R500" s="73"/>
      <c r="S500" s="73"/>
      <c r="T500" s="73"/>
      <c r="U500" s="73"/>
      <c r="V500" s="73"/>
      <c r="W500" s="73"/>
      <c r="GL500" s="73"/>
      <c r="GM500" s="73"/>
      <c r="GN500" s="73"/>
      <c r="GO500" s="73"/>
      <c r="GP500" s="73"/>
      <c r="GQ500" s="73"/>
      <c r="GR500" s="73"/>
      <c r="GS500" s="73"/>
      <c r="GT500" s="73"/>
      <c r="GU500" s="73"/>
      <c r="GV500" s="73"/>
      <c r="GW500" s="73"/>
      <c r="GX500" s="73"/>
      <c r="GY500" s="73"/>
      <c r="GZ500" s="73"/>
      <c r="HA500" s="73"/>
      <c r="HB500" s="73"/>
      <c r="HC500" s="73"/>
      <c r="HD500" s="73"/>
      <c r="HE500" s="73"/>
      <c r="HF500" s="73"/>
      <c r="HG500" s="73"/>
      <c r="HH500" s="73"/>
      <c r="HI500" s="73"/>
      <c r="HJ500" s="73"/>
      <c r="HK500" s="73"/>
      <c r="HL500" s="73"/>
      <c r="HM500" s="73"/>
      <c r="HN500" s="73"/>
      <c r="HO500" s="73"/>
      <c r="HP500" s="73"/>
      <c r="HQ500" s="73"/>
      <c r="HR500" s="73"/>
      <c r="HS500" s="73"/>
      <c r="HT500" s="73"/>
      <c r="HU500" s="73"/>
      <c r="HV500" s="73"/>
      <c r="HW500" s="73"/>
      <c r="HX500" s="73"/>
      <c r="HY500" s="73"/>
      <c r="HZ500" s="73"/>
      <c r="IA500" s="73"/>
      <c r="IB500" s="73"/>
      <c r="IC500" s="73"/>
      <c r="ID500" s="73"/>
      <c r="IE500" s="73"/>
      <c r="IF500" s="73"/>
      <c r="IG500" s="73"/>
      <c r="IH500" s="73"/>
      <c r="II500" s="73"/>
      <c r="IJ500" s="73"/>
      <c r="IK500" s="73"/>
      <c r="IL500" s="73"/>
      <c r="IM500" s="73"/>
      <c r="IN500" s="73"/>
      <c r="IO500" s="73"/>
      <c r="IP500" s="73"/>
      <c r="IQ500" s="73"/>
      <c r="IR500" s="73"/>
      <c r="IS500" s="73"/>
      <c r="IT500" s="73"/>
      <c r="IU500" s="73"/>
      <c r="IV500" s="73"/>
      <c r="IW500" s="73"/>
      <c r="IX500" s="73"/>
      <c r="IY500" s="73"/>
      <c r="IZ500" s="73"/>
      <c r="JA500" s="73"/>
      <c r="JB500" s="73"/>
      <c r="JC500" s="73"/>
    </row>
    <row r="501" spans="2:263" s="72" customFormat="1">
      <c r="B501" s="73"/>
      <c r="C501" s="73"/>
      <c r="D501" s="73"/>
      <c r="E501" s="73"/>
      <c r="F501" s="73"/>
      <c r="G501" s="73"/>
      <c r="H501" s="73"/>
      <c r="I501" s="73"/>
      <c r="J501" s="73"/>
      <c r="K501" s="73"/>
      <c r="L501" s="73"/>
      <c r="M501" s="73"/>
      <c r="N501" s="73"/>
      <c r="O501" s="73"/>
      <c r="P501" s="73"/>
      <c r="Q501" s="73"/>
      <c r="R501" s="73"/>
      <c r="S501" s="73"/>
      <c r="T501" s="73"/>
      <c r="U501" s="73"/>
      <c r="V501" s="73"/>
      <c r="W501" s="73"/>
      <c r="GL501" s="73"/>
      <c r="GM501" s="73"/>
      <c r="GN501" s="73"/>
      <c r="GO501" s="73"/>
      <c r="GP501" s="73"/>
      <c r="GQ501" s="73"/>
      <c r="GR501" s="73"/>
      <c r="GS501" s="73"/>
      <c r="GT501" s="73"/>
      <c r="GU501" s="73"/>
      <c r="GV501" s="73"/>
      <c r="GW501" s="73"/>
      <c r="GX501" s="73"/>
      <c r="GY501" s="73"/>
      <c r="GZ501" s="73"/>
      <c r="HA501" s="73"/>
      <c r="HB501" s="73"/>
      <c r="HC501" s="73"/>
      <c r="HD501" s="73"/>
      <c r="HE501" s="73"/>
      <c r="HF501" s="73"/>
      <c r="HG501" s="73"/>
      <c r="HH501" s="73"/>
      <c r="HI501" s="73"/>
      <c r="HJ501" s="73"/>
      <c r="HK501" s="73"/>
      <c r="HL501" s="73"/>
      <c r="HM501" s="73"/>
      <c r="HN501" s="73"/>
      <c r="HO501" s="73"/>
      <c r="HP501" s="73"/>
      <c r="HQ501" s="73"/>
      <c r="HR501" s="73"/>
      <c r="HS501" s="73"/>
      <c r="HT501" s="73"/>
      <c r="HU501" s="73"/>
      <c r="HV501" s="73"/>
      <c r="HW501" s="73"/>
      <c r="HX501" s="73"/>
      <c r="HY501" s="73"/>
      <c r="HZ501" s="73"/>
      <c r="IA501" s="73"/>
      <c r="IB501" s="73"/>
      <c r="IC501" s="73"/>
      <c r="ID501" s="73"/>
      <c r="IE501" s="73"/>
      <c r="IF501" s="73"/>
      <c r="IG501" s="73"/>
      <c r="IH501" s="73"/>
      <c r="II501" s="73"/>
      <c r="IJ501" s="73"/>
      <c r="IK501" s="73"/>
      <c r="IL501" s="73"/>
      <c r="IM501" s="73"/>
      <c r="IN501" s="73"/>
      <c r="IO501" s="73"/>
      <c r="IP501" s="73"/>
      <c r="IQ501" s="73"/>
      <c r="IR501" s="73"/>
      <c r="IS501" s="73"/>
      <c r="IT501" s="73"/>
      <c r="IU501" s="73"/>
      <c r="IV501" s="73"/>
      <c r="IW501" s="73"/>
      <c r="IX501" s="73"/>
      <c r="IY501" s="73"/>
      <c r="IZ501" s="73"/>
      <c r="JA501" s="73"/>
      <c r="JB501" s="73"/>
      <c r="JC501" s="73"/>
    </row>
    <row r="502" spans="2:263" s="72" customFormat="1">
      <c r="B502" s="73"/>
      <c r="C502" s="73"/>
      <c r="D502" s="73"/>
      <c r="E502" s="73"/>
      <c r="F502" s="73"/>
      <c r="G502" s="73"/>
      <c r="H502" s="73"/>
      <c r="I502" s="73"/>
      <c r="J502" s="73"/>
      <c r="K502" s="73"/>
      <c r="L502" s="73"/>
      <c r="M502" s="73"/>
      <c r="N502" s="73"/>
      <c r="O502" s="73"/>
      <c r="P502" s="73"/>
      <c r="Q502" s="73"/>
      <c r="R502" s="73"/>
      <c r="S502" s="73"/>
      <c r="T502" s="73"/>
      <c r="U502" s="73"/>
      <c r="V502" s="73"/>
      <c r="W502" s="73"/>
      <c r="GL502" s="73"/>
      <c r="GM502" s="73"/>
      <c r="GN502" s="73"/>
      <c r="GO502" s="73"/>
      <c r="GP502" s="73"/>
      <c r="GQ502" s="73"/>
      <c r="GR502" s="73"/>
      <c r="GS502" s="73"/>
      <c r="GT502" s="73"/>
      <c r="GU502" s="73"/>
      <c r="GV502" s="73"/>
      <c r="GW502" s="73"/>
      <c r="GX502" s="73"/>
      <c r="GY502" s="73"/>
      <c r="GZ502" s="73"/>
      <c r="HA502" s="73"/>
      <c r="HB502" s="73"/>
      <c r="HC502" s="73"/>
      <c r="HD502" s="73"/>
      <c r="HE502" s="73"/>
      <c r="HF502" s="73"/>
      <c r="HG502" s="73"/>
      <c r="HH502" s="73"/>
      <c r="HI502" s="73"/>
      <c r="HJ502" s="73"/>
      <c r="HK502" s="73"/>
      <c r="HL502" s="73"/>
      <c r="HM502" s="73"/>
      <c r="HN502" s="73"/>
      <c r="HO502" s="73"/>
      <c r="HP502" s="73"/>
      <c r="HQ502" s="73"/>
      <c r="HR502" s="73"/>
      <c r="HS502" s="73"/>
      <c r="HT502" s="73"/>
      <c r="HU502" s="73"/>
      <c r="HV502" s="73"/>
      <c r="HW502" s="73"/>
      <c r="HX502" s="73"/>
      <c r="HY502" s="73"/>
      <c r="HZ502" s="73"/>
      <c r="IA502" s="73"/>
      <c r="IB502" s="73"/>
      <c r="IC502" s="73"/>
      <c r="ID502" s="73"/>
      <c r="IE502" s="73"/>
      <c r="IF502" s="73"/>
      <c r="IG502" s="73"/>
      <c r="IH502" s="73"/>
      <c r="II502" s="73"/>
      <c r="IJ502" s="73"/>
      <c r="IK502" s="73"/>
      <c r="IL502" s="73"/>
      <c r="IM502" s="73"/>
      <c r="IN502" s="73"/>
      <c r="IO502" s="73"/>
      <c r="IP502" s="73"/>
      <c r="IQ502" s="73"/>
      <c r="IR502" s="73"/>
      <c r="IS502" s="73"/>
      <c r="IT502" s="73"/>
      <c r="IU502" s="73"/>
      <c r="IV502" s="73"/>
      <c r="IW502" s="73"/>
      <c r="IX502" s="73"/>
      <c r="IY502" s="73"/>
      <c r="IZ502" s="73"/>
      <c r="JA502" s="73"/>
      <c r="JB502" s="73"/>
      <c r="JC502" s="73"/>
    </row>
    <row r="503" spans="2:263" s="72" customFormat="1">
      <c r="B503" s="73"/>
      <c r="C503" s="73"/>
      <c r="D503" s="73"/>
      <c r="E503" s="73"/>
      <c r="F503" s="73"/>
      <c r="G503" s="73"/>
      <c r="H503" s="73"/>
      <c r="I503" s="73"/>
      <c r="J503" s="73"/>
      <c r="K503" s="73"/>
      <c r="L503" s="73"/>
      <c r="M503" s="73"/>
      <c r="N503" s="73"/>
      <c r="O503" s="73"/>
      <c r="P503" s="73"/>
      <c r="Q503" s="73"/>
      <c r="R503" s="73"/>
      <c r="S503" s="73"/>
      <c r="T503" s="73"/>
      <c r="U503" s="73"/>
      <c r="V503" s="73"/>
      <c r="W503" s="73"/>
      <c r="GL503" s="73"/>
      <c r="GM503" s="73"/>
      <c r="GN503" s="73"/>
      <c r="GO503" s="73"/>
      <c r="GP503" s="73"/>
      <c r="GQ503" s="73"/>
      <c r="GR503" s="73"/>
      <c r="GS503" s="73"/>
      <c r="GT503" s="73"/>
      <c r="GU503" s="73"/>
      <c r="GV503" s="73"/>
      <c r="GW503" s="73"/>
      <c r="GX503" s="73"/>
      <c r="GY503" s="73"/>
      <c r="GZ503" s="73"/>
      <c r="HA503" s="73"/>
      <c r="HB503" s="73"/>
      <c r="HC503" s="73"/>
      <c r="HD503" s="73"/>
      <c r="HE503" s="73"/>
      <c r="HF503" s="73"/>
      <c r="HG503" s="73"/>
      <c r="HH503" s="73"/>
      <c r="HI503" s="73"/>
      <c r="HJ503" s="73"/>
      <c r="HK503" s="73"/>
      <c r="HL503" s="73"/>
      <c r="HM503" s="73"/>
      <c r="HN503" s="73"/>
      <c r="HO503" s="73"/>
      <c r="HP503" s="73"/>
      <c r="HQ503" s="73"/>
      <c r="HR503" s="73"/>
      <c r="HS503" s="73"/>
      <c r="HT503" s="73"/>
      <c r="HU503" s="73"/>
      <c r="HV503" s="73"/>
      <c r="HW503" s="73"/>
      <c r="HX503" s="73"/>
      <c r="HY503" s="73"/>
      <c r="HZ503" s="73"/>
      <c r="IA503" s="73"/>
      <c r="IB503" s="73"/>
      <c r="IC503" s="73"/>
      <c r="ID503" s="73"/>
      <c r="IE503" s="73"/>
      <c r="IF503" s="73"/>
      <c r="IG503" s="73"/>
      <c r="IH503" s="73"/>
      <c r="II503" s="73"/>
      <c r="IJ503" s="73"/>
      <c r="IK503" s="73"/>
      <c r="IL503" s="73"/>
      <c r="IM503" s="73"/>
      <c r="IN503" s="73"/>
      <c r="IO503" s="73"/>
      <c r="IP503" s="73"/>
      <c r="IQ503" s="73"/>
      <c r="IR503" s="73"/>
      <c r="IS503" s="73"/>
      <c r="IT503" s="73"/>
      <c r="IU503" s="73"/>
      <c r="IV503" s="73"/>
      <c r="IW503" s="73"/>
      <c r="IX503" s="73"/>
      <c r="IY503" s="73"/>
      <c r="IZ503" s="73"/>
      <c r="JA503" s="73"/>
      <c r="JB503" s="73"/>
      <c r="JC503" s="73"/>
    </row>
    <row r="504" spans="2:263" s="72" customFormat="1">
      <c r="B504" s="73"/>
      <c r="C504" s="73"/>
      <c r="D504" s="73"/>
      <c r="E504" s="73"/>
      <c r="F504" s="73"/>
      <c r="G504" s="73"/>
      <c r="H504" s="73"/>
      <c r="I504" s="73"/>
      <c r="J504" s="73"/>
      <c r="K504" s="73"/>
      <c r="L504" s="73"/>
      <c r="M504" s="73"/>
      <c r="N504" s="73"/>
      <c r="O504" s="73"/>
      <c r="P504" s="73"/>
      <c r="Q504" s="73"/>
      <c r="R504" s="73"/>
      <c r="S504" s="73"/>
      <c r="T504" s="73"/>
      <c r="U504" s="73"/>
      <c r="V504" s="73"/>
      <c r="W504" s="73"/>
      <c r="GL504" s="73"/>
      <c r="GM504" s="73"/>
      <c r="GN504" s="73"/>
      <c r="GO504" s="73"/>
      <c r="GP504" s="73"/>
      <c r="GQ504" s="73"/>
      <c r="GR504" s="73"/>
      <c r="GS504" s="73"/>
      <c r="GT504" s="73"/>
      <c r="GU504" s="73"/>
      <c r="GV504" s="73"/>
      <c r="GW504" s="73"/>
      <c r="GX504" s="73"/>
      <c r="GY504" s="73"/>
      <c r="GZ504" s="73"/>
      <c r="HA504" s="73"/>
      <c r="HB504" s="73"/>
      <c r="HC504" s="73"/>
      <c r="HD504" s="73"/>
      <c r="HE504" s="73"/>
      <c r="HF504" s="73"/>
      <c r="HG504" s="73"/>
      <c r="HH504" s="73"/>
      <c r="HI504" s="73"/>
      <c r="HJ504" s="73"/>
      <c r="HK504" s="73"/>
      <c r="HL504" s="73"/>
      <c r="HM504" s="73"/>
      <c r="HN504" s="73"/>
      <c r="HO504" s="73"/>
      <c r="HP504" s="73"/>
      <c r="HQ504" s="73"/>
      <c r="HR504" s="73"/>
      <c r="HS504" s="73"/>
      <c r="HT504" s="73"/>
      <c r="HU504" s="73"/>
      <c r="HV504" s="73"/>
      <c r="HW504" s="73"/>
      <c r="HX504" s="73"/>
      <c r="HY504" s="73"/>
      <c r="HZ504" s="73"/>
      <c r="IA504" s="73"/>
      <c r="IB504" s="73"/>
      <c r="IC504" s="73"/>
      <c r="ID504" s="73"/>
      <c r="IE504" s="73"/>
      <c r="IF504" s="73"/>
      <c r="IG504" s="73"/>
      <c r="IH504" s="73"/>
      <c r="II504" s="73"/>
      <c r="IJ504" s="73"/>
      <c r="IK504" s="73"/>
      <c r="IL504" s="73"/>
      <c r="IM504" s="73"/>
      <c r="IN504" s="73"/>
      <c r="IO504" s="73"/>
      <c r="IP504" s="73"/>
      <c r="IQ504" s="73"/>
      <c r="IR504" s="73"/>
      <c r="IS504" s="73"/>
      <c r="IT504" s="73"/>
      <c r="IU504" s="73"/>
      <c r="IV504" s="73"/>
      <c r="IW504" s="73"/>
      <c r="IX504" s="73"/>
      <c r="IY504" s="73"/>
      <c r="IZ504" s="73"/>
      <c r="JA504" s="73"/>
      <c r="JB504" s="73"/>
      <c r="JC504" s="73"/>
    </row>
    <row r="505" spans="2:263" s="72" customFormat="1">
      <c r="B505" s="73"/>
      <c r="C505" s="73"/>
      <c r="D505" s="73"/>
      <c r="E505" s="73"/>
      <c r="F505" s="73"/>
      <c r="G505" s="73"/>
      <c r="H505" s="73"/>
      <c r="I505" s="73"/>
      <c r="J505" s="73"/>
      <c r="K505" s="73"/>
      <c r="L505" s="73"/>
      <c r="M505" s="73"/>
      <c r="N505" s="73"/>
      <c r="O505" s="73"/>
      <c r="P505" s="73"/>
      <c r="Q505" s="73"/>
      <c r="R505" s="73"/>
      <c r="S505" s="73"/>
      <c r="T505" s="73"/>
      <c r="U505" s="73"/>
      <c r="V505" s="73"/>
      <c r="W505" s="73"/>
      <c r="GL505" s="73"/>
      <c r="GM505" s="73"/>
      <c r="GN505" s="73"/>
      <c r="GO505" s="73"/>
      <c r="GP505" s="73"/>
      <c r="GQ505" s="73"/>
      <c r="GR505" s="73"/>
      <c r="GS505" s="73"/>
      <c r="GT505" s="73"/>
      <c r="GU505" s="73"/>
      <c r="GV505" s="73"/>
      <c r="GW505" s="73"/>
      <c r="GX505" s="73"/>
      <c r="GY505" s="73"/>
      <c r="GZ505" s="73"/>
      <c r="HA505" s="73"/>
      <c r="HB505" s="73"/>
      <c r="HC505" s="73"/>
      <c r="HD505" s="73"/>
      <c r="HE505" s="73"/>
      <c r="HF505" s="73"/>
      <c r="HG505" s="73"/>
      <c r="HH505" s="73"/>
      <c r="HI505" s="73"/>
      <c r="HJ505" s="73"/>
      <c r="HK505" s="73"/>
      <c r="HL505" s="73"/>
      <c r="HM505" s="73"/>
      <c r="HN505" s="73"/>
      <c r="HO505" s="73"/>
      <c r="HP505" s="73"/>
      <c r="HQ505" s="73"/>
      <c r="HR505" s="73"/>
      <c r="HS505" s="73"/>
      <c r="HT505" s="73"/>
      <c r="HU505" s="73"/>
      <c r="HV505" s="73"/>
      <c r="HW505" s="73"/>
      <c r="HX505" s="73"/>
      <c r="HY505" s="73"/>
      <c r="HZ505" s="73"/>
      <c r="IA505" s="73"/>
      <c r="IB505" s="73"/>
      <c r="IC505" s="73"/>
      <c r="ID505" s="73"/>
      <c r="IE505" s="73"/>
      <c r="IF505" s="73"/>
      <c r="IG505" s="73"/>
      <c r="IH505" s="73"/>
      <c r="II505" s="73"/>
      <c r="IJ505" s="73"/>
      <c r="IK505" s="73"/>
      <c r="IL505" s="73"/>
      <c r="IM505" s="73"/>
      <c r="IN505" s="73"/>
      <c r="IO505" s="73"/>
      <c r="IP505" s="73"/>
      <c r="IQ505" s="73"/>
      <c r="IR505" s="73"/>
      <c r="IS505" s="73"/>
      <c r="IT505" s="73"/>
      <c r="IU505" s="73"/>
      <c r="IV505" s="73"/>
      <c r="IW505" s="73"/>
      <c r="IX505" s="73"/>
      <c r="IY505" s="73"/>
      <c r="IZ505" s="73"/>
      <c r="JA505" s="73"/>
      <c r="JB505" s="73"/>
      <c r="JC505" s="73"/>
    </row>
    <row r="506" spans="2:263" s="72" customFormat="1">
      <c r="B506" s="73"/>
      <c r="C506" s="73"/>
      <c r="D506" s="73"/>
      <c r="E506" s="73"/>
      <c r="F506" s="73"/>
      <c r="G506" s="73"/>
      <c r="H506" s="73"/>
      <c r="I506" s="73"/>
      <c r="J506" s="73"/>
      <c r="K506" s="73"/>
      <c r="L506" s="73"/>
      <c r="M506" s="73"/>
      <c r="N506" s="73"/>
      <c r="O506" s="73"/>
      <c r="P506" s="73"/>
      <c r="Q506" s="73"/>
      <c r="R506" s="73"/>
      <c r="S506" s="73"/>
      <c r="T506" s="73"/>
      <c r="U506" s="73"/>
      <c r="V506" s="73"/>
      <c r="W506" s="73"/>
      <c r="GL506" s="73"/>
      <c r="GM506" s="73"/>
      <c r="GN506" s="73"/>
      <c r="GO506" s="73"/>
      <c r="GP506" s="73"/>
      <c r="GQ506" s="73"/>
      <c r="GR506" s="73"/>
      <c r="GS506" s="73"/>
      <c r="GT506" s="73"/>
      <c r="GU506" s="73"/>
      <c r="GV506" s="73"/>
      <c r="GW506" s="73"/>
      <c r="GX506" s="73"/>
      <c r="GY506" s="73"/>
      <c r="GZ506" s="73"/>
      <c r="HA506" s="73"/>
      <c r="HB506" s="73"/>
      <c r="HC506" s="73"/>
      <c r="HD506" s="73"/>
      <c r="HE506" s="73"/>
      <c r="HF506" s="73"/>
      <c r="HG506" s="73"/>
      <c r="HH506" s="73"/>
      <c r="HI506" s="73"/>
      <c r="HJ506" s="73"/>
      <c r="HK506" s="73"/>
      <c r="HL506" s="73"/>
      <c r="HM506" s="73"/>
      <c r="HN506" s="73"/>
      <c r="HO506" s="73"/>
      <c r="HP506" s="73"/>
      <c r="HQ506" s="73"/>
      <c r="HR506" s="73"/>
      <c r="HS506" s="73"/>
      <c r="HT506" s="73"/>
      <c r="HU506" s="73"/>
      <c r="HV506" s="73"/>
      <c r="HW506" s="73"/>
      <c r="HX506" s="73"/>
      <c r="HY506" s="73"/>
      <c r="HZ506" s="73"/>
      <c r="IA506" s="73"/>
      <c r="IB506" s="73"/>
      <c r="IC506" s="73"/>
      <c r="ID506" s="73"/>
      <c r="IE506" s="73"/>
      <c r="IF506" s="73"/>
      <c r="IG506" s="73"/>
      <c r="IH506" s="73"/>
      <c r="II506" s="73"/>
      <c r="IJ506" s="73"/>
      <c r="IK506" s="73"/>
      <c r="IL506" s="73"/>
      <c r="IM506" s="73"/>
      <c r="IN506" s="73"/>
      <c r="IO506" s="73"/>
      <c r="IP506" s="73"/>
      <c r="IQ506" s="73"/>
      <c r="IR506" s="73"/>
      <c r="IS506" s="73"/>
      <c r="IT506" s="73"/>
      <c r="IU506" s="73"/>
      <c r="IV506" s="73"/>
      <c r="IW506" s="73"/>
      <c r="IX506" s="73"/>
      <c r="IY506" s="73"/>
      <c r="IZ506" s="73"/>
      <c r="JA506" s="73"/>
      <c r="JB506" s="73"/>
      <c r="JC506" s="73"/>
    </row>
    <row r="507" spans="2:263" s="72" customFormat="1">
      <c r="B507" s="73"/>
      <c r="C507" s="73"/>
      <c r="D507" s="73"/>
      <c r="E507" s="73"/>
      <c r="F507" s="73"/>
      <c r="G507" s="73"/>
      <c r="H507" s="73"/>
      <c r="I507" s="73"/>
      <c r="J507" s="73"/>
      <c r="K507" s="73"/>
      <c r="L507" s="73"/>
      <c r="M507" s="73"/>
      <c r="N507" s="73"/>
      <c r="O507" s="73"/>
      <c r="P507" s="73"/>
      <c r="Q507" s="73"/>
      <c r="R507" s="73"/>
      <c r="S507" s="73"/>
      <c r="T507" s="73"/>
      <c r="U507" s="73"/>
      <c r="V507" s="73"/>
      <c r="W507" s="73"/>
      <c r="GL507" s="73"/>
      <c r="GM507" s="73"/>
      <c r="GN507" s="73"/>
      <c r="GO507" s="73"/>
      <c r="GP507" s="73"/>
      <c r="GQ507" s="73"/>
      <c r="GR507" s="73"/>
      <c r="GS507" s="73"/>
      <c r="GT507" s="73"/>
      <c r="GU507" s="73"/>
      <c r="GV507" s="73"/>
      <c r="GW507" s="73"/>
      <c r="GX507" s="73"/>
      <c r="GY507" s="73"/>
      <c r="GZ507" s="73"/>
      <c r="HA507" s="73"/>
      <c r="HB507" s="73"/>
      <c r="HC507" s="73"/>
      <c r="HD507" s="73"/>
      <c r="HE507" s="73"/>
      <c r="HF507" s="73"/>
      <c r="HG507" s="73"/>
      <c r="HH507" s="73"/>
      <c r="HI507" s="73"/>
      <c r="HJ507" s="73"/>
      <c r="HK507" s="73"/>
      <c r="HL507" s="73"/>
      <c r="HM507" s="73"/>
      <c r="HN507" s="73"/>
      <c r="HO507" s="73"/>
      <c r="HP507" s="73"/>
      <c r="HQ507" s="73"/>
      <c r="HR507" s="73"/>
      <c r="HS507" s="73"/>
      <c r="HT507" s="73"/>
      <c r="HU507" s="73"/>
      <c r="HV507" s="73"/>
      <c r="HW507" s="73"/>
      <c r="HX507" s="73"/>
      <c r="HY507" s="73"/>
      <c r="HZ507" s="73"/>
      <c r="IA507" s="73"/>
      <c r="IB507" s="73"/>
      <c r="IC507" s="73"/>
      <c r="ID507" s="73"/>
      <c r="IE507" s="73"/>
      <c r="IF507" s="73"/>
      <c r="IG507" s="73"/>
      <c r="IH507" s="73"/>
      <c r="II507" s="73"/>
      <c r="IJ507" s="73"/>
      <c r="IK507" s="73"/>
      <c r="IL507" s="73"/>
      <c r="IM507" s="73"/>
      <c r="IN507" s="73"/>
      <c r="IO507" s="73"/>
      <c r="IP507" s="73"/>
      <c r="IQ507" s="73"/>
      <c r="IR507" s="73"/>
      <c r="IS507" s="73"/>
      <c r="IT507" s="73"/>
      <c r="IU507" s="73"/>
      <c r="IV507" s="73"/>
      <c r="IW507" s="73"/>
      <c r="IX507" s="73"/>
      <c r="IY507" s="73"/>
      <c r="IZ507" s="73"/>
      <c r="JA507" s="73"/>
      <c r="JB507" s="73"/>
      <c r="JC507" s="73"/>
    </row>
    <row r="508" spans="2:263" s="72" customFormat="1">
      <c r="B508" s="73"/>
      <c r="C508" s="73"/>
      <c r="D508" s="73"/>
      <c r="E508" s="73"/>
      <c r="F508" s="73"/>
      <c r="G508" s="73"/>
      <c r="H508" s="73"/>
      <c r="I508" s="73"/>
      <c r="J508" s="73"/>
      <c r="K508" s="73"/>
      <c r="L508" s="73"/>
      <c r="M508" s="73"/>
      <c r="N508" s="73"/>
      <c r="O508" s="73"/>
      <c r="P508" s="73"/>
      <c r="Q508" s="73"/>
      <c r="R508" s="73"/>
      <c r="S508" s="73"/>
      <c r="T508" s="73"/>
      <c r="U508" s="73"/>
      <c r="V508" s="73"/>
      <c r="W508" s="73"/>
      <c r="GL508" s="73"/>
      <c r="GM508" s="73"/>
      <c r="GN508" s="73"/>
      <c r="GO508" s="73"/>
      <c r="GP508" s="73"/>
      <c r="GQ508" s="73"/>
      <c r="GR508" s="73"/>
      <c r="GS508" s="73"/>
      <c r="GT508" s="73"/>
      <c r="GU508" s="73"/>
      <c r="GV508" s="73"/>
      <c r="GW508" s="73"/>
      <c r="GX508" s="73"/>
      <c r="GY508" s="73"/>
      <c r="GZ508" s="73"/>
      <c r="HA508" s="73"/>
      <c r="HB508" s="73"/>
      <c r="HC508" s="73"/>
      <c r="HD508" s="73"/>
      <c r="HE508" s="73"/>
      <c r="HF508" s="73"/>
      <c r="HG508" s="73"/>
      <c r="HH508" s="73"/>
      <c r="HI508" s="73"/>
      <c r="HJ508" s="73"/>
      <c r="HK508" s="73"/>
      <c r="HL508" s="73"/>
      <c r="HM508" s="73"/>
      <c r="HN508" s="73"/>
      <c r="HO508" s="73"/>
      <c r="HP508" s="73"/>
      <c r="HQ508" s="73"/>
      <c r="HR508" s="73"/>
      <c r="HS508" s="73"/>
      <c r="HT508" s="73"/>
      <c r="HU508" s="73"/>
      <c r="HV508" s="73"/>
      <c r="HW508" s="73"/>
      <c r="HX508" s="73"/>
      <c r="HY508" s="73"/>
      <c r="HZ508" s="73"/>
      <c r="IA508" s="73"/>
      <c r="IB508" s="73"/>
      <c r="IC508" s="73"/>
      <c r="ID508" s="73"/>
      <c r="IE508" s="73"/>
      <c r="IF508" s="73"/>
      <c r="IG508" s="73"/>
      <c r="IH508" s="73"/>
      <c r="II508" s="73"/>
      <c r="IJ508" s="73"/>
      <c r="IK508" s="73"/>
      <c r="IL508" s="73"/>
      <c r="IM508" s="73"/>
      <c r="IN508" s="73"/>
      <c r="IO508" s="73"/>
      <c r="IP508" s="73"/>
      <c r="IQ508" s="73"/>
      <c r="IR508" s="73"/>
      <c r="IS508" s="73"/>
      <c r="IT508" s="73"/>
      <c r="IU508" s="73"/>
      <c r="IV508" s="73"/>
      <c r="IW508" s="73"/>
      <c r="IX508" s="73"/>
      <c r="IY508" s="73"/>
      <c r="IZ508" s="73"/>
      <c r="JA508" s="73"/>
      <c r="JB508" s="73"/>
      <c r="JC508" s="73"/>
    </row>
    <row r="509" spans="2:263" s="72" customFormat="1">
      <c r="B509" s="73"/>
      <c r="C509" s="73"/>
      <c r="D509" s="73"/>
      <c r="E509" s="73"/>
      <c r="F509" s="73"/>
      <c r="G509" s="73"/>
      <c r="H509" s="73"/>
      <c r="I509" s="73"/>
      <c r="J509" s="73"/>
      <c r="K509" s="73"/>
      <c r="L509" s="73"/>
      <c r="M509" s="73"/>
      <c r="N509" s="73"/>
      <c r="O509" s="73"/>
      <c r="P509" s="73"/>
      <c r="Q509" s="73"/>
      <c r="R509" s="73"/>
      <c r="S509" s="73"/>
      <c r="T509" s="73"/>
      <c r="U509" s="73"/>
      <c r="V509" s="73"/>
      <c r="W509" s="73"/>
      <c r="GL509" s="73"/>
      <c r="GM509" s="73"/>
      <c r="GN509" s="73"/>
      <c r="GO509" s="73"/>
      <c r="GP509" s="73"/>
      <c r="GQ509" s="73"/>
      <c r="GR509" s="73"/>
      <c r="GS509" s="73"/>
      <c r="GT509" s="73"/>
      <c r="GU509" s="73"/>
      <c r="GV509" s="73"/>
      <c r="GW509" s="73"/>
      <c r="GX509" s="73"/>
      <c r="GY509" s="73"/>
      <c r="GZ509" s="73"/>
      <c r="HA509" s="73"/>
      <c r="HB509" s="73"/>
      <c r="HC509" s="73"/>
      <c r="HD509" s="73"/>
      <c r="HE509" s="73"/>
      <c r="HF509" s="73"/>
      <c r="HG509" s="73"/>
      <c r="HH509" s="73"/>
      <c r="HI509" s="73"/>
      <c r="HJ509" s="73"/>
      <c r="HK509" s="73"/>
      <c r="HL509" s="73"/>
      <c r="HM509" s="73"/>
      <c r="HN509" s="73"/>
      <c r="HO509" s="73"/>
      <c r="HP509" s="73"/>
      <c r="HQ509" s="73"/>
      <c r="HR509" s="73"/>
      <c r="HS509" s="73"/>
      <c r="HT509" s="73"/>
      <c r="HU509" s="73"/>
      <c r="HV509" s="73"/>
      <c r="HW509" s="73"/>
      <c r="HX509" s="73"/>
      <c r="HY509" s="73"/>
      <c r="HZ509" s="73"/>
      <c r="IA509" s="73"/>
      <c r="IB509" s="73"/>
      <c r="IC509" s="73"/>
      <c r="ID509" s="73"/>
      <c r="IE509" s="73"/>
      <c r="IF509" s="73"/>
      <c r="IG509" s="73"/>
      <c r="IH509" s="73"/>
      <c r="II509" s="73"/>
      <c r="IJ509" s="73"/>
      <c r="IK509" s="73"/>
      <c r="IL509" s="73"/>
      <c r="IM509" s="73"/>
      <c r="IN509" s="73"/>
      <c r="IO509" s="73"/>
      <c r="IP509" s="73"/>
      <c r="IQ509" s="73"/>
      <c r="IR509" s="73"/>
      <c r="IS509" s="73"/>
      <c r="IT509" s="73"/>
      <c r="IU509" s="73"/>
      <c r="IV509" s="73"/>
      <c r="IW509" s="73"/>
      <c r="IX509" s="73"/>
      <c r="IY509" s="73"/>
      <c r="IZ509" s="73"/>
      <c r="JA509" s="73"/>
      <c r="JB509" s="73"/>
      <c r="JC509" s="73"/>
    </row>
    <row r="510" spans="2:263" s="72" customFormat="1">
      <c r="B510" s="73"/>
      <c r="C510" s="73"/>
      <c r="D510" s="73"/>
      <c r="E510" s="73"/>
      <c r="F510" s="73"/>
      <c r="G510" s="73"/>
      <c r="H510" s="73"/>
      <c r="I510" s="73"/>
      <c r="J510" s="73"/>
      <c r="K510" s="73"/>
      <c r="L510" s="73"/>
      <c r="M510" s="73"/>
      <c r="N510" s="73"/>
      <c r="O510" s="73"/>
      <c r="P510" s="73"/>
      <c r="Q510" s="73"/>
      <c r="R510" s="73"/>
      <c r="S510" s="73"/>
      <c r="T510" s="73"/>
      <c r="U510" s="73"/>
      <c r="V510" s="73"/>
      <c r="W510" s="73"/>
      <c r="GL510" s="73"/>
      <c r="GM510" s="73"/>
      <c r="GN510" s="73"/>
      <c r="GO510" s="73"/>
      <c r="GP510" s="73"/>
      <c r="GQ510" s="73"/>
      <c r="GR510" s="73"/>
      <c r="GS510" s="73"/>
      <c r="GT510" s="73"/>
      <c r="GU510" s="73"/>
      <c r="GV510" s="73"/>
      <c r="GW510" s="73"/>
      <c r="GX510" s="73"/>
      <c r="GY510" s="73"/>
      <c r="GZ510" s="73"/>
      <c r="HA510" s="73"/>
      <c r="HB510" s="73"/>
      <c r="HC510" s="73"/>
      <c r="HD510" s="73"/>
      <c r="HE510" s="73"/>
      <c r="HF510" s="73"/>
      <c r="HG510" s="73"/>
      <c r="HH510" s="73"/>
      <c r="HI510" s="73"/>
      <c r="HJ510" s="73"/>
      <c r="HK510" s="73"/>
      <c r="HL510" s="73"/>
      <c r="HM510" s="73"/>
      <c r="HN510" s="73"/>
      <c r="HO510" s="73"/>
      <c r="HP510" s="73"/>
      <c r="HQ510" s="73"/>
      <c r="HR510" s="73"/>
      <c r="HS510" s="73"/>
      <c r="HT510" s="73"/>
      <c r="HU510" s="73"/>
      <c r="HV510" s="73"/>
      <c r="HW510" s="73"/>
      <c r="HX510" s="73"/>
      <c r="HY510" s="73"/>
      <c r="HZ510" s="73"/>
      <c r="IA510" s="73"/>
      <c r="IB510" s="73"/>
      <c r="IC510" s="73"/>
      <c r="ID510" s="73"/>
      <c r="IE510" s="73"/>
      <c r="IF510" s="73"/>
      <c r="IG510" s="73"/>
      <c r="IH510" s="73"/>
      <c r="II510" s="73"/>
      <c r="IJ510" s="73"/>
      <c r="IK510" s="73"/>
      <c r="IL510" s="73"/>
      <c r="IM510" s="73"/>
      <c r="IN510" s="73"/>
      <c r="IO510" s="73"/>
      <c r="IP510" s="73"/>
      <c r="IQ510" s="73"/>
      <c r="IR510" s="73"/>
      <c r="IS510" s="73"/>
      <c r="IT510" s="73"/>
      <c r="IU510" s="73"/>
      <c r="IV510" s="73"/>
      <c r="IW510" s="73"/>
      <c r="IX510" s="73"/>
      <c r="IY510" s="73"/>
      <c r="IZ510" s="73"/>
      <c r="JA510" s="73"/>
      <c r="JB510" s="73"/>
      <c r="JC510" s="73"/>
    </row>
    <row r="511" spans="2:263" s="72" customFormat="1">
      <c r="B511" s="73"/>
      <c r="C511" s="73"/>
      <c r="D511" s="73"/>
      <c r="E511" s="73"/>
      <c r="F511" s="73"/>
      <c r="G511" s="73"/>
      <c r="H511" s="73"/>
      <c r="I511" s="73"/>
      <c r="J511" s="73"/>
      <c r="K511" s="73"/>
      <c r="L511" s="73"/>
      <c r="M511" s="73"/>
      <c r="N511" s="73"/>
      <c r="O511" s="73"/>
      <c r="P511" s="73"/>
      <c r="Q511" s="73"/>
      <c r="R511" s="73"/>
      <c r="S511" s="73"/>
      <c r="T511" s="73"/>
      <c r="U511" s="73"/>
      <c r="V511" s="73"/>
      <c r="W511" s="73"/>
      <c r="GL511" s="73"/>
      <c r="GM511" s="73"/>
      <c r="GN511" s="73"/>
      <c r="GO511" s="73"/>
      <c r="GP511" s="73"/>
      <c r="GQ511" s="73"/>
      <c r="GR511" s="73"/>
      <c r="GS511" s="73"/>
      <c r="GT511" s="73"/>
      <c r="GU511" s="73"/>
      <c r="GV511" s="73"/>
      <c r="GW511" s="73"/>
      <c r="GX511" s="73"/>
      <c r="GY511" s="73"/>
      <c r="GZ511" s="73"/>
      <c r="HA511" s="73"/>
      <c r="HB511" s="73"/>
      <c r="HC511" s="73"/>
      <c r="HD511" s="73"/>
      <c r="HE511" s="73"/>
      <c r="HF511" s="73"/>
      <c r="HG511" s="73"/>
      <c r="HH511" s="73"/>
      <c r="HI511" s="73"/>
      <c r="HJ511" s="73"/>
      <c r="HK511" s="73"/>
      <c r="HL511" s="73"/>
      <c r="HM511" s="73"/>
      <c r="HN511" s="73"/>
      <c r="HO511" s="73"/>
      <c r="HP511" s="73"/>
      <c r="HQ511" s="73"/>
      <c r="HR511" s="73"/>
      <c r="HS511" s="73"/>
      <c r="HT511" s="73"/>
      <c r="HU511" s="73"/>
      <c r="HV511" s="73"/>
      <c r="HW511" s="73"/>
      <c r="HX511" s="73"/>
      <c r="HY511" s="73"/>
      <c r="HZ511" s="73"/>
      <c r="IA511" s="73"/>
      <c r="IB511" s="73"/>
      <c r="IC511" s="73"/>
      <c r="ID511" s="73"/>
      <c r="IE511" s="73"/>
      <c r="IF511" s="73"/>
      <c r="IG511" s="73"/>
      <c r="IH511" s="73"/>
      <c r="II511" s="73"/>
      <c r="IJ511" s="73"/>
      <c r="IK511" s="73"/>
      <c r="IL511" s="73"/>
      <c r="IM511" s="73"/>
      <c r="IN511" s="73"/>
      <c r="IO511" s="73"/>
      <c r="IP511" s="73"/>
      <c r="IQ511" s="73"/>
      <c r="IR511" s="73"/>
      <c r="IS511" s="73"/>
      <c r="IT511" s="73"/>
      <c r="IU511" s="73"/>
      <c r="IV511" s="73"/>
      <c r="IW511" s="73"/>
      <c r="IX511" s="73"/>
      <c r="IY511" s="73"/>
      <c r="IZ511" s="73"/>
      <c r="JA511" s="73"/>
      <c r="JB511" s="73"/>
      <c r="JC511" s="73"/>
    </row>
    <row r="512" spans="2:263" s="72" customFormat="1">
      <c r="B512" s="73"/>
      <c r="C512" s="73"/>
      <c r="D512" s="73"/>
      <c r="E512" s="73"/>
      <c r="F512" s="73"/>
      <c r="G512" s="73"/>
      <c r="H512" s="73"/>
      <c r="I512" s="73"/>
      <c r="J512" s="73"/>
      <c r="K512" s="73"/>
      <c r="L512" s="73"/>
      <c r="M512" s="73"/>
      <c r="N512" s="73"/>
      <c r="O512" s="73"/>
      <c r="P512" s="73"/>
      <c r="Q512" s="73"/>
      <c r="R512" s="73"/>
      <c r="S512" s="73"/>
      <c r="T512" s="73"/>
      <c r="U512" s="73"/>
      <c r="V512" s="73"/>
      <c r="W512" s="73"/>
      <c r="GL512" s="73"/>
      <c r="GM512" s="73"/>
      <c r="GN512" s="73"/>
      <c r="GO512" s="73"/>
      <c r="GP512" s="73"/>
      <c r="GQ512" s="73"/>
      <c r="GR512" s="73"/>
      <c r="GS512" s="73"/>
      <c r="GT512" s="73"/>
      <c r="GU512" s="73"/>
      <c r="GV512" s="73"/>
      <c r="GW512" s="73"/>
      <c r="GX512" s="73"/>
      <c r="GY512" s="73"/>
      <c r="GZ512" s="73"/>
      <c r="HA512" s="73"/>
      <c r="HB512" s="73"/>
      <c r="HC512" s="73"/>
      <c r="HD512" s="73"/>
      <c r="HE512" s="73"/>
      <c r="HF512" s="73"/>
      <c r="HG512" s="73"/>
      <c r="HH512" s="73"/>
      <c r="HI512" s="73"/>
      <c r="HJ512" s="73"/>
      <c r="HK512" s="73"/>
      <c r="HL512" s="73"/>
      <c r="HM512" s="73"/>
      <c r="HN512" s="73"/>
      <c r="HO512" s="73"/>
      <c r="HP512" s="73"/>
      <c r="HQ512" s="73"/>
      <c r="HR512" s="73"/>
      <c r="HS512" s="73"/>
      <c r="HT512" s="73"/>
      <c r="HU512" s="73"/>
      <c r="HV512" s="73"/>
      <c r="HW512" s="73"/>
      <c r="HX512" s="73"/>
      <c r="HY512" s="73"/>
      <c r="HZ512" s="73"/>
      <c r="IA512" s="73"/>
      <c r="IB512" s="73"/>
      <c r="IC512" s="73"/>
      <c r="ID512" s="73"/>
      <c r="IE512" s="73"/>
      <c r="IF512" s="73"/>
      <c r="IG512" s="73"/>
      <c r="IH512" s="73"/>
      <c r="II512" s="73"/>
      <c r="IJ512" s="73"/>
      <c r="IK512" s="73"/>
      <c r="IL512" s="73"/>
      <c r="IM512" s="73"/>
      <c r="IN512" s="73"/>
      <c r="IO512" s="73"/>
      <c r="IP512" s="73"/>
      <c r="IQ512" s="73"/>
      <c r="IR512" s="73"/>
      <c r="IS512" s="73"/>
      <c r="IT512" s="73"/>
      <c r="IU512" s="73"/>
      <c r="IV512" s="73"/>
      <c r="IW512" s="73"/>
      <c r="IX512" s="73"/>
      <c r="IY512" s="73"/>
      <c r="IZ512" s="73"/>
      <c r="JA512" s="73"/>
      <c r="JB512" s="73"/>
      <c r="JC512" s="73"/>
    </row>
    <row r="513" spans="2:263" s="72" customFormat="1">
      <c r="B513" s="73"/>
      <c r="C513" s="73"/>
      <c r="D513" s="73"/>
      <c r="E513" s="73"/>
      <c r="F513" s="73"/>
      <c r="G513" s="73"/>
      <c r="H513" s="73"/>
      <c r="I513" s="73"/>
      <c r="J513" s="73"/>
      <c r="K513" s="73"/>
      <c r="L513" s="73"/>
      <c r="M513" s="73"/>
      <c r="N513" s="73"/>
      <c r="O513" s="73"/>
      <c r="P513" s="73"/>
      <c r="Q513" s="73"/>
      <c r="R513" s="73"/>
      <c r="S513" s="73"/>
      <c r="T513" s="73"/>
      <c r="U513" s="73"/>
      <c r="V513" s="73"/>
      <c r="W513" s="73"/>
      <c r="GL513" s="73"/>
      <c r="GM513" s="73"/>
      <c r="GN513" s="73"/>
      <c r="GO513" s="73"/>
      <c r="GP513" s="73"/>
      <c r="GQ513" s="73"/>
      <c r="GR513" s="73"/>
      <c r="GS513" s="73"/>
      <c r="GT513" s="73"/>
      <c r="GU513" s="73"/>
      <c r="GV513" s="73"/>
      <c r="GW513" s="73"/>
      <c r="GX513" s="73"/>
      <c r="GY513" s="73"/>
      <c r="GZ513" s="73"/>
      <c r="HA513" s="73"/>
      <c r="HB513" s="73"/>
      <c r="HC513" s="73"/>
      <c r="HD513" s="73"/>
      <c r="HE513" s="73"/>
      <c r="HF513" s="73"/>
      <c r="HG513" s="73"/>
      <c r="HH513" s="73"/>
      <c r="HI513" s="73"/>
      <c r="HJ513" s="73"/>
      <c r="HK513" s="73"/>
      <c r="HL513" s="73"/>
      <c r="HM513" s="73"/>
      <c r="HN513" s="73"/>
      <c r="HO513" s="73"/>
      <c r="HP513" s="73"/>
      <c r="HQ513" s="73"/>
      <c r="HR513" s="73"/>
      <c r="HS513" s="73"/>
      <c r="HT513" s="73"/>
      <c r="HU513" s="73"/>
      <c r="HV513" s="73"/>
      <c r="HW513" s="73"/>
      <c r="HX513" s="73"/>
      <c r="HY513" s="73"/>
      <c r="HZ513" s="73"/>
      <c r="IA513" s="73"/>
      <c r="IB513" s="73"/>
      <c r="IC513" s="73"/>
      <c r="ID513" s="73"/>
      <c r="IE513" s="73"/>
      <c r="IF513" s="73"/>
      <c r="IG513" s="73"/>
      <c r="IH513" s="73"/>
      <c r="II513" s="73"/>
      <c r="IJ513" s="73"/>
      <c r="IK513" s="73"/>
      <c r="IL513" s="73"/>
      <c r="IM513" s="73"/>
      <c r="IN513" s="73"/>
      <c r="IO513" s="73"/>
      <c r="IP513" s="73"/>
      <c r="IQ513" s="73"/>
      <c r="IR513" s="73"/>
      <c r="IS513" s="73"/>
      <c r="IT513" s="73"/>
      <c r="IU513" s="73"/>
      <c r="IV513" s="73"/>
      <c r="IW513" s="73"/>
      <c r="IX513" s="73"/>
      <c r="IY513" s="73"/>
      <c r="IZ513" s="73"/>
      <c r="JA513" s="73"/>
      <c r="JB513" s="73"/>
      <c r="JC513" s="73"/>
    </row>
    <row r="514" spans="2:263" s="72" customFormat="1">
      <c r="B514" s="73"/>
      <c r="C514" s="73"/>
      <c r="D514" s="73"/>
      <c r="E514" s="73"/>
      <c r="F514" s="73"/>
      <c r="G514" s="73"/>
      <c r="H514" s="73"/>
      <c r="I514" s="73"/>
      <c r="J514" s="73"/>
      <c r="K514" s="73"/>
      <c r="L514" s="73"/>
      <c r="M514" s="73"/>
      <c r="N514" s="73"/>
      <c r="O514" s="73"/>
      <c r="P514" s="73"/>
      <c r="Q514" s="73"/>
      <c r="R514" s="73"/>
      <c r="S514" s="73"/>
      <c r="T514" s="73"/>
      <c r="U514" s="73"/>
      <c r="V514" s="73"/>
      <c r="W514" s="73"/>
      <c r="GL514" s="73"/>
      <c r="GM514" s="73"/>
      <c r="GN514" s="73"/>
      <c r="GO514" s="73"/>
      <c r="GP514" s="73"/>
      <c r="GQ514" s="73"/>
      <c r="GR514" s="73"/>
      <c r="GS514" s="73"/>
      <c r="GT514" s="73"/>
      <c r="GU514" s="73"/>
      <c r="GV514" s="73"/>
      <c r="GW514" s="73"/>
      <c r="GX514" s="73"/>
      <c r="GY514" s="73"/>
      <c r="GZ514" s="73"/>
      <c r="HA514" s="73"/>
      <c r="HB514" s="73"/>
      <c r="HC514" s="73"/>
      <c r="HD514" s="73"/>
      <c r="HE514" s="73"/>
      <c r="HF514" s="73"/>
      <c r="HG514" s="73"/>
      <c r="HH514" s="73"/>
      <c r="HI514" s="73"/>
      <c r="HJ514" s="73"/>
      <c r="HK514" s="73"/>
      <c r="HL514" s="73"/>
      <c r="HM514" s="73"/>
      <c r="HN514" s="73"/>
      <c r="HO514" s="73"/>
      <c r="HP514" s="73"/>
      <c r="HQ514" s="73"/>
      <c r="HR514" s="73"/>
      <c r="HS514" s="73"/>
      <c r="HT514" s="73"/>
      <c r="HU514" s="73"/>
      <c r="HV514" s="73"/>
      <c r="HW514" s="73"/>
      <c r="HX514" s="73"/>
      <c r="HY514" s="73"/>
      <c r="HZ514" s="73"/>
      <c r="IA514" s="73"/>
      <c r="IB514" s="73"/>
      <c r="IC514" s="73"/>
      <c r="ID514" s="73"/>
      <c r="IE514" s="73"/>
      <c r="IF514" s="73"/>
      <c r="IG514" s="73"/>
      <c r="IH514" s="73"/>
      <c r="II514" s="73"/>
      <c r="IJ514" s="73"/>
      <c r="IK514" s="73"/>
      <c r="IL514" s="73"/>
      <c r="IM514" s="73"/>
      <c r="IN514" s="73"/>
      <c r="IO514" s="73"/>
      <c r="IP514" s="73"/>
      <c r="IQ514" s="73"/>
      <c r="IR514" s="73"/>
      <c r="IS514" s="73"/>
      <c r="IT514" s="73"/>
      <c r="IU514" s="73"/>
      <c r="IV514" s="73"/>
      <c r="IW514" s="73"/>
      <c r="IX514" s="73"/>
      <c r="IY514" s="73"/>
      <c r="IZ514" s="73"/>
      <c r="JA514" s="73"/>
      <c r="JB514" s="73"/>
      <c r="JC514" s="73"/>
    </row>
    <row r="515" spans="2:263" s="72" customFormat="1">
      <c r="B515" s="73"/>
      <c r="C515" s="73"/>
      <c r="D515" s="73"/>
      <c r="E515" s="73"/>
      <c r="F515" s="73"/>
      <c r="G515" s="73"/>
      <c r="H515" s="73"/>
      <c r="I515" s="73"/>
      <c r="J515" s="73"/>
      <c r="K515" s="73"/>
      <c r="L515" s="73"/>
      <c r="M515" s="73"/>
      <c r="N515" s="73"/>
      <c r="O515" s="73"/>
      <c r="P515" s="73"/>
      <c r="Q515" s="73"/>
      <c r="R515" s="73"/>
      <c r="S515" s="73"/>
      <c r="T515" s="73"/>
      <c r="U515" s="73"/>
      <c r="V515" s="73"/>
      <c r="W515" s="73"/>
      <c r="GL515" s="73"/>
      <c r="GM515" s="73"/>
      <c r="GN515" s="73"/>
      <c r="GO515" s="73"/>
      <c r="GP515" s="73"/>
      <c r="GQ515" s="73"/>
      <c r="GR515" s="73"/>
      <c r="GS515" s="73"/>
      <c r="GT515" s="73"/>
      <c r="GU515" s="73"/>
      <c r="GV515" s="73"/>
      <c r="GW515" s="73"/>
      <c r="GX515" s="73"/>
      <c r="GY515" s="73"/>
      <c r="GZ515" s="73"/>
      <c r="HA515" s="73"/>
      <c r="HB515" s="73"/>
      <c r="HC515" s="73"/>
      <c r="HD515" s="73"/>
      <c r="HE515" s="73"/>
      <c r="HF515" s="73"/>
      <c r="HG515" s="73"/>
      <c r="HH515" s="73"/>
      <c r="HI515" s="73"/>
      <c r="HJ515" s="73"/>
      <c r="HK515" s="73"/>
      <c r="HL515" s="73"/>
      <c r="HM515" s="73"/>
      <c r="HN515" s="73"/>
      <c r="HO515" s="73"/>
      <c r="HP515" s="73"/>
      <c r="HQ515" s="73"/>
      <c r="HR515" s="73"/>
      <c r="HS515" s="73"/>
      <c r="HT515" s="73"/>
      <c r="HU515" s="73"/>
      <c r="HV515" s="73"/>
      <c r="HW515" s="73"/>
      <c r="HX515" s="73"/>
      <c r="HY515" s="73"/>
      <c r="HZ515" s="73"/>
      <c r="IA515" s="73"/>
      <c r="IB515" s="73"/>
      <c r="IC515" s="73"/>
      <c r="ID515" s="73"/>
      <c r="IE515" s="73"/>
      <c r="IF515" s="73"/>
      <c r="IG515" s="73"/>
      <c r="IH515" s="73"/>
      <c r="II515" s="73"/>
      <c r="IJ515" s="73"/>
      <c r="IK515" s="73"/>
      <c r="IL515" s="73"/>
      <c r="IM515" s="73"/>
      <c r="IN515" s="73"/>
      <c r="IO515" s="73"/>
      <c r="IP515" s="73"/>
      <c r="IQ515" s="73"/>
      <c r="IR515" s="73"/>
      <c r="IS515" s="73"/>
      <c r="IT515" s="73"/>
      <c r="IU515" s="73"/>
      <c r="IV515" s="73"/>
      <c r="IW515" s="73"/>
      <c r="IX515" s="73"/>
      <c r="IY515" s="73"/>
      <c r="IZ515" s="73"/>
      <c r="JA515" s="73"/>
      <c r="JB515" s="73"/>
      <c r="JC515" s="73"/>
    </row>
    <row r="516" spans="2:263" s="72" customFormat="1">
      <c r="B516" s="73"/>
      <c r="C516" s="73"/>
      <c r="D516" s="73"/>
      <c r="E516" s="73"/>
      <c r="F516" s="73"/>
      <c r="G516" s="73"/>
      <c r="H516" s="73"/>
      <c r="I516" s="73"/>
      <c r="J516" s="73"/>
      <c r="K516" s="73"/>
      <c r="L516" s="73"/>
      <c r="M516" s="73"/>
      <c r="N516" s="73"/>
      <c r="O516" s="73"/>
      <c r="P516" s="73"/>
      <c r="Q516" s="73"/>
      <c r="R516" s="73"/>
      <c r="S516" s="73"/>
      <c r="T516" s="73"/>
      <c r="U516" s="73"/>
      <c r="V516" s="73"/>
      <c r="W516" s="73"/>
      <c r="GL516" s="73"/>
      <c r="GM516" s="73"/>
      <c r="GN516" s="73"/>
      <c r="GO516" s="73"/>
      <c r="GP516" s="73"/>
      <c r="GQ516" s="73"/>
      <c r="GR516" s="73"/>
      <c r="GS516" s="73"/>
      <c r="GT516" s="73"/>
      <c r="GU516" s="73"/>
      <c r="GV516" s="73"/>
      <c r="GW516" s="73"/>
      <c r="GX516" s="73"/>
      <c r="GY516" s="73"/>
      <c r="GZ516" s="73"/>
      <c r="HA516" s="73"/>
      <c r="HB516" s="73"/>
      <c r="HC516" s="73"/>
      <c r="HD516" s="73"/>
      <c r="HE516" s="73"/>
      <c r="HF516" s="73"/>
      <c r="HG516" s="73"/>
      <c r="HH516" s="73"/>
      <c r="HI516" s="73"/>
      <c r="HJ516" s="73"/>
      <c r="HK516" s="73"/>
      <c r="HL516" s="73"/>
      <c r="HM516" s="73"/>
      <c r="HN516" s="73"/>
      <c r="HO516" s="73"/>
      <c r="HP516" s="73"/>
      <c r="HQ516" s="73"/>
      <c r="HR516" s="73"/>
      <c r="HS516" s="73"/>
      <c r="HT516" s="73"/>
      <c r="HU516" s="73"/>
      <c r="HV516" s="73"/>
      <c r="HW516" s="73"/>
      <c r="HX516" s="73"/>
      <c r="HY516" s="73"/>
      <c r="HZ516" s="73"/>
      <c r="IA516" s="73"/>
      <c r="IB516" s="73"/>
      <c r="IC516" s="73"/>
      <c r="ID516" s="73"/>
      <c r="IE516" s="73"/>
      <c r="IF516" s="73"/>
      <c r="IG516" s="73"/>
      <c r="IH516" s="73"/>
      <c r="II516" s="73"/>
      <c r="IJ516" s="73"/>
      <c r="IK516" s="73"/>
      <c r="IL516" s="73"/>
      <c r="IM516" s="73"/>
      <c r="IN516" s="73"/>
      <c r="IO516" s="73"/>
      <c r="IP516" s="73"/>
      <c r="IQ516" s="73"/>
      <c r="IR516" s="73"/>
      <c r="IS516" s="73"/>
      <c r="IT516" s="73"/>
      <c r="IU516" s="73"/>
      <c r="IV516" s="73"/>
      <c r="IW516" s="73"/>
      <c r="IX516" s="73"/>
      <c r="IY516" s="73"/>
      <c r="IZ516" s="73"/>
      <c r="JA516" s="73"/>
      <c r="JB516" s="73"/>
      <c r="JC516" s="73"/>
    </row>
    <row r="517" spans="2:263" s="72" customFormat="1"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  <c r="T517" s="73"/>
      <c r="U517" s="73"/>
      <c r="V517" s="73"/>
      <c r="W517" s="73"/>
      <c r="GL517" s="73"/>
      <c r="GM517" s="73"/>
      <c r="GN517" s="73"/>
      <c r="GO517" s="73"/>
      <c r="GP517" s="73"/>
      <c r="GQ517" s="73"/>
      <c r="GR517" s="73"/>
      <c r="GS517" s="73"/>
      <c r="GT517" s="73"/>
      <c r="GU517" s="73"/>
      <c r="GV517" s="73"/>
      <c r="GW517" s="73"/>
      <c r="GX517" s="73"/>
      <c r="GY517" s="73"/>
      <c r="GZ517" s="73"/>
      <c r="HA517" s="73"/>
      <c r="HB517" s="73"/>
      <c r="HC517" s="73"/>
      <c r="HD517" s="73"/>
      <c r="HE517" s="73"/>
      <c r="HF517" s="73"/>
      <c r="HG517" s="73"/>
      <c r="HH517" s="73"/>
      <c r="HI517" s="73"/>
      <c r="HJ517" s="73"/>
      <c r="HK517" s="73"/>
      <c r="HL517" s="73"/>
      <c r="HM517" s="73"/>
      <c r="HN517" s="73"/>
      <c r="HO517" s="73"/>
      <c r="HP517" s="73"/>
      <c r="HQ517" s="73"/>
      <c r="HR517" s="73"/>
      <c r="HS517" s="73"/>
      <c r="HT517" s="73"/>
      <c r="HU517" s="73"/>
      <c r="HV517" s="73"/>
      <c r="HW517" s="73"/>
      <c r="HX517" s="73"/>
      <c r="HY517" s="73"/>
      <c r="HZ517" s="73"/>
      <c r="IA517" s="73"/>
      <c r="IB517" s="73"/>
      <c r="IC517" s="73"/>
      <c r="ID517" s="73"/>
      <c r="IE517" s="73"/>
      <c r="IF517" s="73"/>
      <c r="IG517" s="73"/>
      <c r="IH517" s="73"/>
      <c r="II517" s="73"/>
      <c r="IJ517" s="73"/>
      <c r="IK517" s="73"/>
      <c r="IL517" s="73"/>
      <c r="IM517" s="73"/>
      <c r="IN517" s="73"/>
      <c r="IO517" s="73"/>
      <c r="IP517" s="73"/>
      <c r="IQ517" s="73"/>
      <c r="IR517" s="73"/>
      <c r="IS517" s="73"/>
      <c r="IT517" s="73"/>
      <c r="IU517" s="73"/>
      <c r="IV517" s="73"/>
      <c r="IW517" s="73"/>
      <c r="IX517" s="73"/>
      <c r="IY517" s="73"/>
      <c r="IZ517" s="73"/>
      <c r="JA517" s="73"/>
      <c r="JB517" s="73"/>
      <c r="JC517" s="73"/>
    </row>
    <row r="518" spans="2:263" s="72" customFormat="1">
      <c r="B518" s="73"/>
      <c r="C518" s="73"/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3"/>
      <c r="O518" s="73"/>
      <c r="P518" s="73"/>
      <c r="Q518" s="73"/>
      <c r="R518" s="73"/>
      <c r="S518" s="73"/>
      <c r="T518" s="73"/>
      <c r="U518" s="73"/>
      <c r="V518" s="73"/>
      <c r="W518" s="73"/>
      <c r="GL518" s="73"/>
      <c r="GM518" s="73"/>
      <c r="GN518" s="73"/>
      <c r="GO518" s="73"/>
      <c r="GP518" s="73"/>
      <c r="GQ518" s="73"/>
      <c r="GR518" s="73"/>
      <c r="GS518" s="73"/>
      <c r="GT518" s="73"/>
      <c r="GU518" s="73"/>
      <c r="GV518" s="73"/>
      <c r="GW518" s="73"/>
      <c r="GX518" s="73"/>
      <c r="GY518" s="73"/>
      <c r="GZ518" s="73"/>
      <c r="HA518" s="73"/>
      <c r="HB518" s="73"/>
      <c r="HC518" s="73"/>
      <c r="HD518" s="73"/>
      <c r="HE518" s="73"/>
      <c r="HF518" s="73"/>
      <c r="HG518" s="73"/>
      <c r="HH518" s="73"/>
      <c r="HI518" s="73"/>
      <c r="HJ518" s="73"/>
      <c r="HK518" s="73"/>
      <c r="HL518" s="73"/>
      <c r="HM518" s="73"/>
      <c r="HN518" s="73"/>
      <c r="HO518" s="73"/>
      <c r="HP518" s="73"/>
      <c r="HQ518" s="73"/>
      <c r="HR518" s="73"/>
      <c r="HS518" s="73"/>
      <c r="HT518" s="73"/>
      <c r="HU518" s="73"/>
      <c r="HV518" s="73"/>
      <c r="HW518" s="73"/>
      <c r="HX518" s="73"/>
      <c r="HY518" s="73"/>
      <c r="HZ518" s="73"/>
      <c r="IA518" s="73"/>
      <c r="IB518" s="73"/>
      <c r="IC518" s="73"/>
      <c r="ID518" s="73"/>
      <c r="IE518" s="73"/>
      <c r="IF518" s="73"/>
      <c r="IG518" s="73"/>
      <c r="IH518" s="73"/>
      <c r="II518" s="73"/>
      <c r="IJ518" s="73"/>
      <c r="IK518" s="73"/>
      <c r="IL518" s="73"/>
      <c r="IM518" s="73"/>
      <c r="IN518" s="73"/>
      <c r="IO518" s="73"/>
      <c r="IP518" s="73"/>
      <c r="IQ518" s="73"/>
      <c r="IR518" s="73"/>
      <c r="IS518" s="73"/>
      <c r="IT518" s="73"/>
      <c r="IU518" s="73"/>
      <c r="IV518" s="73"/>
      <c r="IW518" s="73"/>
      <c r="IX518" s="73"/>
      <c r="IY518" s="73"/>
      <c r="IZ518" s="73"/>
      <c r="JA518" s="73"/>
      <c r="JB518" s="73"/>
      <c r="JC518" s="73"/>
    </row>
    <row r="519" spans="2:263" s="72" customFormat="1">
      <c r="B519" s="73"/>
      <c r="C519" s="73"/>
      <c r="D519" s="73"/>
      <c r="E519" s="73"/>
      <c r="F519" s="73"/>
      <c r="G519" s="73"/>
      <c r="H519" s="73"/>
      <c r="I519" s="73"/>
      <c r="J519" s="73"/>
      <c r="K519" s="73"/>
      <c r="L519" s="73"/>
      <c r="M519" s="73"/>
      <c r="N519" s="73"/>
      <c r="O519" s="73"/>
      <c r="P519" s="73"/>
      <c r="Q519" s="73"/>
      <c r="R519" s="73"/>
      <c r="S519" s="73"/>
      <c r="T519" s="73"/>
      <c r="U519" s="73"/>
      <c r="V519" s="73"/>
      <c r="W519" s="73"/>
      <c r="GL519" s="73"/>
      <c r="GM519" s="73"/>
      <c r="GN519" s="73"/>
      <c r="GO519" s="73"/>
      <c r="GP519" s="73"/>
      <c r="GQ519" s="73"/>
      <c r="GR519" s="73"/>
      <c r="GS519" s="73"/>
      <c r="GT519" s="73"/>
      <c r="GU519" s="73"/>
      <c r="GV519" s="73"/>
      <c r="GW519" s="73"/>
      <c r="GX519" s="73"/>
      <c r="GY519" s="73"/>
      <c r="GZ519" s="73"/>
      <c r="HA519" s="73"/>
      <c r="HB519" s="73"/>
      <c r="HC519" s="73"/>
      <c r="HD519" s="73"/>
      <c r="HE519" s="73"/>
      <c r="HF519" s="73"/>
      <c r="HG519" s="73"/>
      <c r="HH519" s="73"/>
      <c r="HI519" s="73"/>
      <c r="HJ519" s="73"/>
      <c r="HK519" s="73"/>
      <c r="HL519" s="73"/>
      <c r="HM519" s="73"/>
      <c r="HN519" s="73"/>
      <c r="HO519" s="73"/>
      <c r="HP519" s="73"/>
      <c r="HQ519" s="73"/>
      <c r="HR519" s="73"/>
      <c r="HS519" s="73"/>
      <c r="HT519" s="73"/>
      <c r="HU519" s="73"/>
      <c r="HV519" s="73"/>
      <c r="HW519" s="73"/>
      <c r="HX519" s="73"/>
      <c r="HY519" s="73"/>
      <c r="HZ519" s="73"/>
      <c r="IA519" s="73"/>
      <c r="IB519" s="73"/>
      <c r="IC519" s="73"/>
      <c r="ID519" s="73"/>
      <c r="IE519" s="73"/>
      <c r="IF519" s="73"/>
      <c r="IG519" s="73"/>
      <c r="IH519" s="73"/>
      <c r="II519" s="73"/>
      <c r="IJ519" s="73"/>
      <c r="IK519" s="73"/>
      <c r="IL519" s="73"/>
      <c r="IM519" s="73"/>
      <c r="IN519" s="73"/>
      <c r="IO519" s="73"/>
      <c r="IP519" s="73"/>
      <c r="IQ519" s="73"/>
      <c r="IR519" s="73"/>
      <c r="IS519" s="73"/>
      <c r="IT519" s="73"/>
      <c r="IU519" s="73"/>
      <c r="IV519" s="73"/>
      <c r="IW519" s="73"/>
      <c r="IX519" s="73"/>
      <c r="IY519" s="73"/>
      <c r="IZ519" s="73"/>
      <c r="JA519" s="73"/>
      <c r="JB519" s="73"/>
      <c r="JC519" s="73"/>
    </row>
    <row r="520" spans="2:263" s="72" customFormat="1">
      <c r="B520" s="73"/>
      <c r="C520" s="73"/>
      <c r="D520" s="73"/>
      <c r="E520" s="73"/>
      <c r="F520" s="73"/>
      <c r="G520" s="73"/>
      <c r="H520" s="73"/>
      <c r="I520" s="73"/>
      <c r="J520" s="73"/>
      <c r="K520" s="73"/>
      <c r="L520" s="73"/>
      <c r="M520" s="73"/>
      <c r="N520" s="73"/>
      <c r="O520" s="73"/>
      <c r="P520" s="73"/>
      <c r="Q520" s="73"/>
      <c r="R520" s="73"/>
      <c r="S520" s="73"/>
      <c r="T520" s="73"/>
      <c r="U520" s="73"/>
      <c r="V520" s="73"/>
      <c r="W520" s="73"/>
      <c r="GL520" s="73"/>
      <c r="GM520" s="73"/>
      <c r="GN520" s="73"/>
      <c r="GO520" s="73"/>
      <c r="GP520" s="73"/>
      <c r="GQ520" s="73"/>
      <c r="GR520" s="73"/>
      <c r="GS520" s="73"/>
      <c r="GT520" s="73"/>
      <c r="GU520" s="73"/>
      <c r="GV520" s="73"/>
      <c r="GW520" s="73"/>
      <c r="GX520" s="73"/>
      <c r="GY520" s="73"/>
      <c r="GZ520" s="73"/>
      <c r="HA520" s="73"/>
      <c r="HB520" s="73"/>
      <c r="HC520" s="73"/>
      <c r="HD520" s="73"/>
      <c r="HE520" s="73"/>
      <c r="HF520" s="73"/>
      <c r="HG520" s="73"/>
      <c r="HH520" s="73"/>
      <c r="HI520" s="73"/>
      <c r="HJ520" s="73"/>
      <c r="HK520" s="73"/>
      <c r="HL520" s="73"/>
      <c r="HM520" s="73"/>
      <c r="HN520" s="73"/>
      <c r="HO520" s="73"/>
      <c r="HP520" s="73"/>
      <c r="HQ520" s="73"/>
      <c r="HR520" s="73"/>
      <c r="HS520" s="73"/>
      <c r="HT520" s="73"/>
      <c r="HU520" s="73"/>
      <c r="HV520" s="73"/>
      <c r="HW520" s="73"/>
      <c r="HX520" s="73"/>
      <c r="HY520" s="73"/>
      <c r="HZ520" s="73"/>
      <c r="IA520" s="73"/>
      <c r="IB520" s="73"/>
      <c r="IC520" s="73"/>
      <c r="ID520" s="73"/>
      <c r="IE520" s="73"/>
      <c r="IF520" s="73"/>
      <c r="IG520" s="73"/>
      <c r="IH520" s="73"/>
      <c r="II520" s="73"/>
      <c r="IJ520" s="73"/>
      <c r="IK520" s="73"/>
      <c r="IL520" s="73"/>
      <c r="IM520" s="73"/>
      <c r="IN520" s="73"/>
      <c r="IO520" s="73"/>
      <c r="IP520" s="73"/>
      <c r="IQ520" s="73"/>
      <c r="IR520" s="73"/>
      <c r="IS520" s="73"/>
      <c r="IT520" s="73"/>
      <c r="IU520" s="73"/>
      <c r="IV520" s="73"/>
      <c r="IW520" s="73"/>
      <c r="IX520" s="73"/>
      <c r="IY520" s="73"/>
      <c r="IZ520" s="73"/>
      <c r="JA520" s="73"/>
      <c r="JB520" s="73"/>
      <c r="JC520" s="73"/>
    </row>
    <row r="521" spans="2:263" s="72" customFormat="1">
      <c r="B521" s="73"/>
      <c r="C521" s="73"/>
      <c r="D521" s="73"/>
      <c r="E521" s="73"/>
      <c r="F521" s="73"/>
      <c r="G521" s="73"/>
      <c r="H521" s="73"/>
      <c r="I521" s="73"/>
      <c r="J521" s="73"/>
      <c r="K521" s="73"/>
      <c r="L521" s="73"/>
      <c r="M521" s="73"/>
      <c r="N521" s="73"/>
      <c r="O521" s="73"/>
      <c r="P521" s="73"/>
      <c r="Q521" s="73"/>
      <c r="R521" s="73"/>
      <c r="S521" s="73"/>
      <c r="T521" s="73"/>
      <c r="U521" s="73"/>
      <c r="V521" s="73"/>
      <c r="W521" s="73"/>
      <c r="GL521" s="73"/>
      <c r="GM521" s="73"/>
      <c r="GN521" s="73"/>
      <c r="GO521" s="73"/>
      <c r="GP521" s="73"/>
      <c r="GQ521" s="73"/>
      <c r="GR521" s="73"/>
      <c r="GS521" s="73"/>
      <c r="GT521" s="73"/>
      <c r="GU521" s="73"/>
      <c r="GV521" s="73"/>
      <c r="GW521" s="73"/>
      <c r="GX521" s="73"/>
      <c r="GY521" s="73"/>
      <c r="GZ521" s="73"/>
      <c r="HA521" s="73"/>
      <c r="HB521" s="73"/>
      <c r="HC521" s="73"/>
      <c r="HD521" s="73"/>
      <c r="HE521" s="73"/>
      <c r="HF521" s="73"/>
      <c r="HG521" s="73"/>
      <c r="HH521" s="73"/>
      <c r="HI521" s="73"/>
      <c r="HJ521" s="73"/>
      <c r="HK521" s="73"/>
      <c r="HL521" s="73"/>
      <c r="HM521" s="73"/>
      <c r="HN521" s="73"/>
      <c r="HO521" s="73"/>
      <c r="HP521" s="73"/>
      <c r="HQ521" s="73"/>
      <c r="HR521" s="73"/>
      <c r="HS521" s="73"/>
      <c r="HT521" s="73"/>
      <c r="HU521" s="73"/>
      <c r="HV521" s="73"/>
      <c r="HW521" s="73"/>
      <c r="HX521" s="73"/>
      <c r="HY521" s="73"/>
      <c r="HZ521" s="73"/>
      <c r="IA521" s="73"/>
      <c r="IB521" s="73"/>
      <c r="IC521" s="73"/>
      <c r="ID521" s="73"/>
      <c r="IE521" s="73"/>
      <c r="IF521" s="73"/>
      <c r="IG521" s="73"/>
      <c r="IH521" s="73"/>
      <c r="II521" s="73"/>
      <c r="IJ521" s="73"/>
      <c r="IK521" s="73"/>
      <c r="IL521" s="73"/>
      <c r="IM521" s="73"/>
      <c r="IN521" s="73"/>
      <c r="IO521" s="73"/>
      <c r="IP521" s="73"/>
      <c r="IQ521" s="73"/>
      <c r="IR521" s="73"/>
      <c r="IS521" s="73"/>
      <c r="IT521" s="73"/>
      <c r="IU521" s="73"/>
      <c r="IV521" s="73"/>
      <c r="IW521" s="73"/>
      <c r="IX521" s="73"/>
      <c r="IY521" s="73"/>
      <c r="IZ521" s="73"/>
      <c r="JA521" s="73"/>
      <c r="JB521" s="73"/>
      <c r="JC521" s="73"/>
    </row>
    <row r="522" spans="2:263" s="72" customFormat="1">
      <c r="B522" s="73"/>
      <c r="C522" s="73"/>
      <c r="D522" s="73"/>
      <c r="E522" s="73"/>
      <c r="F522" s="73"/>
      <c r="G522" s="73"/>
      <c r="H522" s="73"/>
      <c r="I522" s="73"/>
      <c r="J522" s="73"/>
      <c r="K522" s="73"/>
      <c r="L522" s="73"/>
      <c r="M522" s="73"/>
      <c r="N522" s="73"/>
      <c r="O522" s="73"/>
      <c r="P522" s="73"/>
      <c r="Q522" s="73"/>
      <c r="R522" s="73"/>
      <c r="S522" s="73"/>
      <c r="T522" s="73"/>
      <c r="U522" s="73"/>
      <c r="V522" s="73"/>
      <c r="W522" s="73"/>
      <c r="GL522" s="73"/>
      <c r="GM522" s="73"/>
      <c r="GN522" s="73"/>
      <c r="GO522" s="73"/>
      <c r="GP522" s="73"/>
      <c r="GQ522" s="73"/>
      <c r="GR522" s="73"/>
      <c r="GS522" s="73"/>
      <c r="GT522" s="73"/>
      <c r="GU522" s="73"/>
      <c r="GV522" s="73"/>
      <c r="GW522" s="73"/>
      <c r="GX522" s="73"/>
      <c r="GY522" s="73"/>
      <c r="GZ522" s="73"/>
      <c r="HA522" s="73"/>
      <c r="HB522" s="73"/>
      <c r="HC522" s="73"/>
      <c r="HD522" s="73"/>
      <c r="HE522" s="73"/>
      <c r="HF522" s="73"/>
      <c r="HG522" s="73"/>
      <c r="HH522" s="73"/>
      <c r="HI522" s="73"/>
      <c r="HJ522" s="73"/>
      <c r="HK522" s="73"/>
      <c r="HL522" s="73"/>
      <c r="HM522" s="73"/>
      <c r="HN522" s="73"/>
      <c r="HO522" s="73"/>
      <c r="HP522" s="73"/>
      <c r="HQ522" s="73"/>
      <c r="HR522" s="73"/>
      <c r="HS522" s="73"/>
      <c r="HT522" s="73"/>
      <c r="HU522" s="73"/>
      <c r="HV522" s="73"/>
      <c r="HW522" s="73"/>
      <c r="HX522" s="73"/>
      <c r="HY522" s="73"/>
      <c r="HZ522" s="73"/>
      <c r="IA522" s="73"/>
      <c r="IB522" s="73"/>
      <c r="IC522" s="73"/>
      <c r="ID522" s="73"/>
      <c r="IE522" s="73"/>
      <c r="IF522" s="73"/>
      <c r="IG522" s="73"/>
      <c r="IH522" s="73"/>
      <c r="II522" s="73"/>
      <c r="IJ522" s="73"/>
      <c r="IK522" s="73"/>
      <c r="IL522" s="73"/>
      <c r="IM522" s="73"/>
      <c r="IN522" s="73"/>
      <c r="IO522" s="73"/>
      <c r="IP522" s="73"/>
      <c r="IQ522" s="73"/>
      <c r="IR522" s="73"/>
      <c r="IS522" s="73"/>
      <c r="IT522" s="73"/>
      <c r="IU522" s="73"/>
      <c r="IV522" s="73"/>
      <c r="IW522" s="73"/>
      <c r="IX522" s="73"/>
      <c r="IY522" s="73"/>
      <c r="IZ522" s="73"/>
      <c r="JA522" s="73"/>
      <c r="JB522" s="73"/>
      <c r="JC522" s="73"/>
    </row>
    <row r="523" spans="2:263" s="72" customFormat="1">
      <c r="B523" s="73"/>
      <c r="C523" s="73"/>
      <c r="D523" s="73"/>
      <c r="E523" s="73"/>
      <c r="F523" s="73"/>
      <c r="G523" s="73"/>
      <c r="H523" s="73"/>
      <c r="I523" s="73"/>
      <c r="J523" s="73"/>
      <c r="K523" s="73"/>
      <c r="L523" s="73"/>
      <c r="M523" s="73"/>
      <c r="N523" s="73"/>
      <c r="O523" s="73"/>
      <c r="P523" s="73"/>
      <c r="Q523" s="73"/>
      <c r="R523" s="73"/>
      <c r="S523" s="73"/>
      <c r="T523" s="73"/>
      <c r="U523" s="73"/>
      <c r="V523" s="73"/>
      <c r="W523" s="73"/>
      <c r="GL523" s="73"/>
      <c r="GM523" s="73"/>
      <c r="GN523" s="73"/>
      <c r="GO523" s="73"/>
      <c r="GP523" s="73"/>
      <c r="GQ523" s="73"/>
      <c r="GR523" s="73"/>
      <c r="GS523" s="73"/>
      <c r="GT523" s="73"/>
      <c r="GU523" s="73"/>
      <c r="GV523" s="73"/>
      <c r="GW523" s="73"/>
      <c r="GX523" s="73"/>
      <c r="GY523" s="73"/>
      <c r="GZ523" s="73"/>
      <c r="HA523" s="73"/>
      <c r="HB523" s="73"/>
      <c r="HC523" s="73"/>
      <c r="HD523" s="73"/>
      <c r="HE523" s="73"/>
      <c r="HF523" s="73"/>
      <c r="HG523" s="73"/>
      <c r="HH523" s="73"/>
      <c r="HI523" s="73"/>
      <c r="HJ523" s="73"/>
      <c r="HK523" s="73"/>
      <c r="HL523" s="73"/>
      <c r="HM523" s="73"/>
      <c r="HN523" s="73"/>
      <c r="HO523" s="73"/>
      <c r="HP523" s="73"/>
      <c r="HQ523" s="73"/>
      <c r="HR523" s="73"/>
      <c r="HS523" s="73"/>
      <c r="HT523" s="73"/>
      <c r="HU523" s="73"/>
      <c r="HV523" s="73"/>
      <c r="HW523" s="73"/>
      <c r="HX523" s="73"/>
      <c r="HY523" s="73"/>
      <c r="HZ523" s="73"/>
      <c r="IA523" s="73"/>
      <c r="IB523" s="73"/>
      <c r="IC523" s="73"/>
      <c r="ID523" s="73"/>
      <c r="IE523" s="73"/>
      <c r="IF523" s="73"/>
      <c r="IG523" s="73"/>
      <c r="IH523" s="73"/>
      <c r="II523" s="73"/>
      <c r="IJ523" s="73"/>
      <c r="IK523" s="73"/>
      <c r="IL523" s="73"/>
      <c r="IM523" s="73"/>
      <c r="IN523" s="73"/>
      <c r="IO523" s="73"/>
      <c r="IP523" s="73"/>
      <c r="IQ523" s="73"/>
      <c r="IR523" s="73"/>
      <c r="IS523" s="73"/>
      <c r="IT523" s="73"/>
      <c r="IU523" s="73"/>
      <c r="IV523" s="73"/>
      <c r="IW523" s="73"/>
      <c r="IX523" s="73"/>
      <c r="IY523" s="73"/>
      <c r="IZ523" s="73"/>
      <c r="JA523" s="73"/>
      <c r="JB523" s="73"/>
      <c r="JC523" s="73"/>
    </row>
    <row r="524" spans="2:263" s="72" customFormat="1">
      <c r="B524" s="73"/>
      <c r="C524" s="73"/>
      <c r="D524" s="73"/>
      <c r="E524" s="73"/>
      <c r="F524" s="73"/>
      <c r="G524" s="73"/>
      <c r="H524" s="73"/>
      <c r="I524" s="73"/>
      <c r="J524" s="73"/>
      <c r="K524" s="73"/>
      <c r="L524" s="73"/>
      <c r="M524" s="73"/>
      <c r="N524" s="73"/>
      <c r="O524" s="73"/>
      <c r="P524" s="73"/>
      <c r="Q524" s="73"/>
      <c r="R524" s="73"/>
      <c r="S524" s="73"/>
      <c r="T524" s="73"/>
      <c r="U524" s="73"/>
      <c r="V524" s="73"/>
      <c r="W524" s="73"/>
      <c r="GL524" s="73"/>
      <c r="GM524" s="73"/>
      <c r="GN524" s="73"/>
      <c r="GO524" s="73"/>
      <c r="GP524" s="73"/>
      <c r="GQ524" s="73"/>
      <c r="GR524" s="73"/>
      <c r="GS524" s="73"/>
      <c r="GT524" s="73"/>
      <c r="GU524" s="73"/>
      <c r="GV524" s="73"/>
      <c r="GW524" s="73"/>
      <c r="GX524" s="73"/>
      <c r="GY524" s="73"/>
      <c r="GZ524" s="73"/>
      <c r="HA524" s="73"/>
      <c r="HB524" s="73"/>
      <c r="HC524" s="73"/>
      <c r="HD524" s="73"/>
      <c r="HE524" s="73"/>
      <c r="HF524" s="73"/>
      <c r="HG524" s="73"/>
      <c r="HH524" s="73"/>
      <c r="HI524" s="73"/>
      <c r="HJ524" s="73"/>
      <c r="HK524" s="73"/>
      <c r="HL524" s="73"/>
      <c r="HM524" s="73"/>
      <c r="HN524" s="73"/>
      <c r="HO524" s="73"/>
      <c r="HP524" s="73"/>
      <c r="HQ524" s="73"/>
      <c r="HR524" s="73"/>
      <c r="HS524" s="73"/>
      <c r="HT524" s="73"/>
      <c r="HU524" s="73"/>
      <c r="HV524" s="73"/>
      <c r="HW524" s="73"/>
      <c r="HX524" s="73"/>
      <c r="HY524" s="73"/>
      <c r="HZ524" s="73"/>
      <c r="IA524" s="73"/>
      <c r="IB524" s="73"/>
      <c r="IC524" s="73"/>
      <c r="ID524" s="73"/>
      <c r="IE524" s="73"/>
      <c r="IF524" s="73"/>
      <c r="IG524" s="73"/>
      <c r="IH524" s="73"/>
      <c r="II524" s="73"/>
      <c r="IJ524" s="73"/>
      <c r="IK524" s="73"/>
      <c r="IL524" s="73"/>
      <c r="IM524" s="73"/>
      <c r="IN524" s="73"/>
      <c r="IO524" s="73"/>
      <c r="IP524" s="73"/>
      <c r="IQ524" s="73"/>
      <c r="IR524" s="73"/>
      <c r="IS524" s="73"/>
      <c r="IT524" s="73"/>
      <c r="IU524" s="73"/>
      <c r="IV524" s="73"/>
      <c r="IW524" s="73"/>
      <c r="IX524" s="73"/>
      <c r="IY524" s="73"/>
      <c r="IZ524" s="73"/>
      <c r="JA524" s="73"/>
      <c r="JB524" s="73"/>
      <c r="JC524" s="73"/>
    </row>
    <row r="525" spans="2:263" s="72" customFormat="1">
      <c r="B525" s="73"/>
      <c r="C525" s="73"/>
      <c r="D525" s="73"/>
      <c r="E525" s="73"/>
      <c r="F525" s="73"/>
      <c r="G525" s="73"/>
      <c r="H525" s="73"/>
      <c r="I525" s="73"/>
      <c r="J525" s="73"/>
      <c r="K525" s="73"/>
      <c r="L525" s="73"/>
      <c r="M525" s="73"/>
      <c r="N525" s="73"/>
      <c r="O525" s="73"/>
      <c r="P525" s="73"/>
      <c r="Q525" s="73"/>
      <c r="R525" s="73"/>
      <c r="S525" s="73"/>
      <c r="T525" s="73"/>
      <c r="U525" s="73"/>
      <c r="V525" s="73"/>
      <c r="W525" s="73"/>
      <c r="GL525" s="73"/>
      <c r="GM525" s="73"/>
      <c r="GN525" s="73"/>
      <c r="GO525" s="73"/>
      <c r="GP525" s="73"/>
      <c r="GQ525" s="73"/>
      <c r="GR525" s="73"/>
      <c r="GS525" s="73"/>
      <c r="GT525" s="73"/>
      <c r="GU525" s="73"/>
      <c r="GV525" s="73"/>
      <c r="GW525" s="73"/>
      <c r="GX525" s="73"/>
      <c r="GY525" s="73"/>
      <c r="GZ525" s="73"/>
      <c r="HA525" s="73"/>
      <c r="HB525" s="73"/>
      <c r="HC525" s="73"/>
      <c r="HD525" s="73"/>
      <c r="HE525" s="73"/>
      <c r="HF525" s="73"/>
      <c r="HG525" s="73"/>
      <c r="HH525" s="73"/>
      <c r="HI525" s="73"/>
      <c r="HJ525" s="73"/>
      <c r="HK525" s="73"/>
      <c r="HL525" s="73"/>
      <c r="HM525" s="73"/>
      <c r="HN525" s="73"/>
      <c r="HO525" s="73"/>
      <c r="HP525" s="73"/>
      <c r="HQ525" s="73"/>
      <c r="HR525" s="73"/>
      <c r="HS525" s="73"/>
      <c r="HT525" s="73"/>
      <c r="HU525" s="73"/>
      <c r="HV525" s="73"/>
      <c r="HW525" s="73"/>
      <c r="HX525" s="73"/>
      <c r="HY525" s="73"/>
      <c r="HZ525" s="73"/>
      <c r="IA525" s="73"/>
      <c r="IB525" s="73"/>
      <c r="IC525" s="73"/>
      <c r="ID525" s="73"/>
      <c r="IE525" s="73"/>
      <c r="IF525" s="73"/>
      <c r="IG525" s="73"/>
      <c r="IH525" s="73"/>
      <c r="II525" s="73"/>
      <c r="IJ525" s="73"/>
      <c r="IK525" s="73"/>
      <c r="IL525" s="73"/>
      <c r="IM525" s="73"/>
      <c r="IN525" s="73"/>
      <c r="IO525" s="73"/>
      <c r="IP525" s="73"/>
      <c r="IQ525" s="73"/>
      <c r="IR525" s="73"/>
      <c r="IS525" s="73"/>
      <c r="IT525" s="73"/>
      <c r="IU525" s="73"/>
      <c r="IV525" s="73"/>
      <c r="IW525" s="73"/>
      <c r="IX525" s="73"/>
      <c r="IY525" s="73"/>
      <c r="IZ525" s="73"/>
      <c r="JA525" s="73"/>
      <c r="JB525" s="73"/>
      <c r="JC525" s="73"/>
    </row>
    <row r="526" spans="2:263" s="72" customFormat="1">
      <c r="B526" s="73"/>
      <c r="C526" s="73"/>
      <c r="D526" s="73"/>
      <c r="E526" s="73"/>
      <c r="F526" s="73"/>
      <c r="G526" s="73"/>
      <c r="H526" s="73"/>
      <c r="I526" s="73"/>
      <c r="J526" s="73"/>
      <c r="K526" s="73"/>
      <c r="L526" s="73"/>
      <c r="M526" s="73"/>
      <c r="N526" s="73"/>
      <c r="O526" s="73"/>
      <c r="P526" s="73"/>
      <c r="Q526" s="73"/>
      <c r="R526" s="73"/>
      <c r="S526" s="73"/>
      <c r="T526" s="73"/>
      <c r="U526" s="73"/>
      <c r="V526" s="73"/>
      <c r="W526" s="73"/>
      <c r="GL526" s="73"/>
      <c r="GM526" s="73"/>
      <c r="GN526" s="73"/>
      <c r="GO526" s="73"/>
      <c r="GP526" s="73"/>
      <c r="GQ526" s="73"/>
      <c r="GR526" s="73"/>
      <c r="GS526" s="73"/>
      <c r="GT526" s="73"/>
      <c r="GU526" s="73"/>
      <c r="GV526" s="73"/>
      <c r="GW526" s="73"/>
      <c r="GX526" s="73"/>
      <c r="GY526" s="73"/>
      <c r="GZ526" s="73"/>
      <c r="HA526" s="73"/>
      <c r="HB526" s="73"/>
      <c r="HC526" s="73"/>
      <c r="HD526" s="73"/>
      <c r="HE526" s="73"/>
      <c r="HF526" s="73"/>
      <c r="HG526" s="73"/>
      <c r="HH526" s="73"/>
      <c r="HI526" s="73"/>
      <c r="HJ526" s="73"/>
      <c r="HK526" s="73"/>
      <c r="HL526" s="73"/>
      <c r="HM526" s="73"/>
      <c r="HN526" s="73"/>
      <c r="HO526" s="73"/>
      <c r="HP526" s="73"/>
      <c r="HQ526" s="73"/>
      <c r="HR526" s="73"/>
      <c r="HS526" s="73"/>
      <c r="HT526" s="73"/>
      <c r="HU526" s="73"/>
      <c r="HV526" s="73"/>
      <c r="HW526" s="73"/>
      <c r="HX526" s="73"/>
      <c r="HY526" s="73"/>
      <c r="HZ526" s="73"/>
      <c r="IA526" s="73"/>
      <c r="IB526" s="73"/>
      <c r="IC526" s="73"/>
      <c r="ID526" s="73"/>
      <c r="IE526" s="73"/>
      <c r="IF526" s="73"/>
      <c r="IG526" s="73"/>
      <c r="IH526" s="73"/>
      <c r="II526" s="73"/>
      <c r="IJ526" s="73"/>
      <c r="IK526" s="73"/>
      <c r="IL526" s="73"/>
      <c r="IM526" s="73"/>
      <c r="IN526" s="73"/>
      <c r="IO526" s="73"/>
      <c r="IP526" s="73"/>
      <c r="IQ526" s="73"/>
      <c r="IR526" s="73"/>
      <c r="IS526" s="73"/>
      <c r="IT526" s="73"/>
      <c r="IU526" s="73"/>
      <c r="IV526" s="73"/>
      <c r="IW526" s="73"/>
      <c r="IX526" s="73"/>
      <c r="IY526" s="73"/>
      <c r="IZ526" s="73"/>
      <c r="JA526" s="73"/>
      <c r="JB526" s="73"/>
      <c r="JC526" s="73"/>
    </row>
    <row r="527" spans="2:263" s="72" customFormat="1">
      <c r="B527" s="73"/>
      <c r="C527" s="73"/>
      <c r="D527" s="73"/>
      <c r="E527" s="73"/>
      <c r="F527" s="73"/>
      <c r="G527" s="73"/>
      <c r="H527" s="73"/>
      <c r="I527" s="73"/>
      <c r="J527" s="73"/>
      <c r="K527" s="73"/>
      <c r="L527" s="73"/>
      <c r="M527" s="73"/>
      <c r="N527" s="73"/>
      <c r="O527" s="73"/>
      <c r="P527" s="73"/>
      <c r="Q527" s="73"/>
      <c r="R527" s="73"/>
      <c r="S527" s="73"/>
      <c r="T527" s="73"/>
      <c r="U527" s="73"/>
      <c r="V527" s="73"/>
      <c r="W527" s="73"/>
      <c r="GL527" s="73"/>
      <c r="GM527" s="73"/>
      <c r="GN527" s="73"/>
      <c r="GO527" s="73"/>
      <c r="GP527" s="73"/>
      <c r="GQ527" s="73"/>
      <c r="GR527" s="73"/>
      <c r="GS527" s="73"/>
      <c r="GT527" s="73"/>
      <c r="GU527" s="73"/>
      <c r="GV527" s="73"/>
      <c r="GW527" s="73"/>
      <c r="GX527" s="73"/>
      <c r="GY527" s="73"/>
      <c r="GZ527" s="73"/>
      <c r="HA527" s="73"/>
      <c r="HB527" s="73"/>
      <c r="HC527" s="73"/>
      <c r="HD527" s="73"/>
      <c r="HE527" s="73"/>
      <c r="HF527" s="73"/>
      <c r="HG527" s="73"/>
      <c r="HH527" s="73"/>
      <c r="HI527" s="73"/>
      <c r="HJ527" s="73"/>
      <c r="HK527" s="73"/>
      <c r="HL527" s="73"/>
      <c r="HM527" s="73"/>
      <c r="HN527" s="73"/>
      <c r="HO527" s="73"/>
      <c r="HP527" s="73"/>
      <c r="HQ527" s="73"/>
      <c r="HR527" s="73"/>
      <c r="HS527" s="73"/>
      <c r="HT527" s="73"/>
      <c r="HU527" s="73"/>
      <c r="HV527" s="73"/>
      <c r="HW527" s="73"/>
      <c r="HX527" s="73"/>
      <c r="HY527" s="73"/>
      <c r="HZ527" s="73"/>
      <c r="IA527" s="73"/>
      <c r="IB527" s="73"/>
      <c r="IC527" s="73"/>
      <c r="ID527" s="73"/>
      <c r="IE527" s="73"/>
      <c r="IF527" s="73"/>
      <c r="IG527" s="73"/>
      <c r="IH527" s="73"/>
      <c r="II527" s="73"/>
      <c r="IJ527" s="73"/>
      <c r="IK527" s="73"/>
      <c r="IL527" s="73"/>
      <c r="IM527" s="73"/>
      <c r="IN527" s="73"/>
      <c r="IO527" s="73"/>
      <c r="IP527" s="73"/>
      <c r="IQ527" s="73"/>
      <c r="IR527" s="73"/>
      <c r="IS527" s="73"/>
      <c r="IT527" s="73"/>
      <c r="IU527" s="73"/>
      <c r="IV527" s="73"/>
      <c r="IW527" s="73"/>
      <c r="IX527" s="73"/>
      <c r="IY527" s="73"/>
      <c r="IZ527" s="73"/>
      <c r="JA527" s="73"/>
      <c r="JB527" s="73"/>
      <c r="JC527" s="73"/>
    </row>
    <row r="528" spans="2:263" s="72" customFormat="1">
      <c r="B528" s="73"/>
      <c r="C528" s="73"/>
      <c r="D528" s="73"/>
      <c r="E528" s="73"/>
      <c r="F528" s="73"/>
      <c r="G528" s="73"/>
      <c r="H528" s="73"/>
      <c r="I528" s="73"/>
      <c r="J528" s="73"/>
      <c r="K528" s="73"/>
      <c r="L528" s="73"/>
      <c r="M528" s="73"/>
      <c r="N528" s="73"/>
      <c r="O528" s="73"/>
      <c r="P528" s="73"/>
      <c r="Q528" s="73"/>
      <c r="R528" s="73"/>
      <c r="S528" s="73"/>
      <c r="T528" s="73"/>
      <c r="U528" s="73"/>
      <c r="V528" s="73"/>
      <c r="W528" s="73"/>
      <c r="GL528" s="73"/>
      <c r="GM528" s="73"/>
      <c r="GN528" s="73"/>
      <c r="GO528" s="73"/>
      <c r="GP528" s="73"/>
      <c r="GQ528" s="73"/>
      <c r="GR528" s="73"/>
      <c r="GS528" s="73"/>
      <c r="GT528" s="73"/>
      <c r="GU528" s="73"/>
      <c r="GV528" s="73"/>
      <c r="GW528" s="73"/>
      <c r="GX528" s="73"/>
      <c r="GY528" s="73"/>
      <c r="GZ528" s="73"/>
      <c r="HA528" s="73"/>
      <c r="HB528" s="73"/>
      <c r="HC528" s="73"/>
      <c r="HD528" s="73"/>
      <c r="HE528" s="73"/>
      <c r="HF528" s="73"/>
      <c r="HG528" s="73"/>
      <c r="HH528" s="73"/>
      <c r="HI528" s="73"/>
      <c r="HJ528" s="73"/>
      <c r="HK528" s="73"/>
      <c r="HL528" s="73"/>
      <c r="HM528" s="73"/>
      <c r="HN528" s="73"/>
      <c r="HO528" s="73"/>
      <c r="HP528" s="73"/>
      <c r="HQ528" s="73"/>
      <c r="HR528" s="73"/>
      <c r="HS528" s="73"/>
      <c r="HT528" s="73"/>
      <c r="HU528" s="73"/>
      <c r="HV528" s="73"/>
      <c r="HW528" s="73"/>
      <c r="HX528" s="73"/>
      <c r="HY528" s="73"/>
      <c r="HZ528" s="73"/>
      <c r="IA528" s="73"/>
      <c r="IB528" s="73"/>
      <c r="IC528" s="73"/>
      <c r="ID528" s="73"/>
      <c r="IE528" s="73"/>
      <c r="IF528" s="73"/>
      <c r="IG528" s="73"/>
      <c r="IH528" s="73"/>
      <c r="II528" s="73"/>
      <c r="IJ528" s="73"/>
      <c r="IK528" s="73"/>
      <c r="IL528" s="73"/>
      <c r="IM528" s="73"/>
      <c r="IN528" s="73"/>
      <c r="IO528" s="73"/>
      <c r="IP528" s="73"/>
      <c r="IQ528" s="73"/>
      <c r="IR528" s="73"/>
      <c r="IS528" s="73"/>
      <c r="IT528" s="73"/>
      <c r="IU528" s="73"/>
      <c r="IV528" s="73"/>
      <c r="IW528" s="73"/>
      <c r="IX528" s="73"/>
      <c r="IY528" s="73"/>
      <c r="IZ528" s="73"/>
      <c r="JA528" s="73"/>
      <c r="JB528" s="73"/>
      <c r="JC528" s="73"/>
    </row>
    <row r="529" spans="2:263" s="72" customFormat="1">
      <c r="B529" s="73"/>
      <c r="C529" s="73"/>
      <c r="D529" s="73"/>
      <c r="E529" s="73"/>
      <c r="F529" s="73"/>
      <c r="G529" s="73"/>
      <c r="H529" s="73"/>
      <c r="I529" s="73"/>
      <c r="J529" s="73"/>
      <c r="K529" s="73"/>
      <c r="L529" s="73"/>
      <c r="M529" s="73"/>
      <c r="N529" s="73"/>
      <c r="O529" s="73"/>
      <c r="P529" s="73"/>
      <c r="Q529" s="73"/>
      <c r="R529" s="73"/>
      <c r="S529" s="73"/>
      <c r="T529" s="73"/>
      <c r="U529" s="73"/>
      <c r="V529" s="73"/>
      <c r="W529" s="73"/>
      <c r="GL529" s="73"/>
      <c r="GM529" s="73"/>
      <c r="GN529" s="73"/>
      <c r="GO529" s="73"/>
      <c r="GP529" s="73"/>
      <c r="GQ529" s="73"/>
      <c r="GR529" s="73"/>
      <c r="GS529" s="73"/>
      <c r="GT529" s="73"/>
      <c r="GU529" s="73"/>
      <c r="GV529" s="73"/>
      <c r="GW529" s="73"/>
      <c r="GX529" s="73"/>
      <c r="GY529" s="73"/>
      <c r="GZ529" s="73"/>
      <c r="HA529" s="73"/>
      <c r="HB529" s="73"/>
      <c r="HC529" s="73"/>
      <c r="HD529" s="73"/>
      <c r="HE529" s="73"/>
      <c r="HF529" s="73"/>
      <c r="HG529" s="73"/>
      <c r="HH529" s="73"/>
      <c r="HI529" s="73"/>
      <c r="HJ529" s="73"/>
      <c r="HK529" s="73"/>
      <c r="HL529" s="73"/>
      <c r="HM529" s="73"/>
      <c r="HN529" s="73"/>
      <c r="HO529" s="73"/>
      <c r="HP529" s="73"/>
      <c r="HQ529" s="73"/>
      <c r="HR529" s="73"/>
      <c r="HS529" s="73"/>
      <c r="HT529" s="73"/>
      <c r="HU529" s="73"/>
      <c r="HV529" s="73"/>
      <c r="HW529" s="73"/>
      <c r="HX529" s="73"/>
      <c r="HY529" s="73"/>
      <c r="HZ529" s="73"/>
      <c r="IA529" s="73"/>
      <c r="IB529" s="73"/>
      <c r="IC529" s="73"/>
      <c r="ID529" s="73"/>
      <c r="IE529" s="73"/>
      <c r="IF529" s="73"/>
      <c r="IG529" s="73"/>
      <c r="IH529" s="73"/>
      <c r="II529" s="73"/>
      <c r="IJ529" s="73"/>
      <c r="IK529" s="73"/>
      <c r="IL529" s="73"/>
      <c r="IM529" s="73"/>
      <c r="IN529" s="73"/>
      <c r="IO529" s="73"/>
      <c r="IP529" s="73"/>
      <c r="IQ529" s="73"/>
      <c r="IR529" s="73"/>
      <c r="IS529" s="73"/>
      <c r="IT529" s="73"/>
      <c r="IU529" s="73"/>
      <c r="IV529" s="73"/>
      <c r="IW529" s="73"/>
      <c r="IX529" s="73"/>
      <c r="IY529" s="73"/>
      <c r="IZ529" s="73"/>
      <c r="JA529" s="73"/>
      <c r="JB529" s="73"/>
      <c r="JC529" s="73"/>
    </row>
    <row r="530" spans="2:263" s="72" customFormat="1"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  <c r="T530" s="73"/>
      <c r="U530" s="73"/>
      <c r="V530" s="73"/>
      <c r="W530" s="73"/>
      <c r="GL530" s="73"/>
      <c r="GM530" s="73"/>
      <c r="GN530" s="73"/>
      <c r="GO530" s="73"/>
      <c r="GP530" s="73"/>
      <c r="GQ530" s="73"/>
      <c r="GR530" s="73"/>
      <c r="GS530" s="73"/>
      <c r="GT530" s="73"/>
      <c r="GU530" s="73"/>
      <c r="GV530" s="73"/>
      <c r="GW530" s="73"/>
      <c r="GX530" s="73"/>
      <c r="GY530" s="73"/>
      <c r="GZ530" s="73"/>
      <c r="HA530" s="73"/>
      <c r="HB530" s="73"/>
      <c r="HC530" s="73"/>
      <c r="HD530" s="73"/>
      <c r="HE530" s="73"/>
      <c r="HF530" s="73"/>
      <c r="HG530" s="73"/>
      <c r="HH530" s="73"/>
      <c r="HI530" s="73"/>
      <c r="HJ530" s="73"/>
      <c r="HK530" s="73"/>
      <c r="HL530" s="73"/>
      <c r="HM530" s="73"/>
      <c r="HN530" s="73"/>
      <c r="HO530" s="73"/>
      <c r="HP530" s="73"/>
      <c r="HQ530" s="73"/>
      <c r="HR530" s="73"/>
      <c r="HS530" s="73"/>
      <c r="HT530" s="73"/>
      <c r="HU530" s="73"/>
      <c r="HV530" s="73"/>
      <c r="HW530" s="73"/>
      <c r="HX530" s="73"/>
      <c r="HY530" s="73"/>
      <c r="HZ530" s="73"/>
      <c r="IA530" s="73"/>
      <c r="IB530" s="73"/>
      <c r="IC530" s="73"/>
      <c r="ID530" s="73"/>
      <c r="IE530" s="73"/>
      <c r="IF530" s="73"/>
      <c r="IG530" s="73"/>
      <c r="IH530" s="73"/>
      <c r="II530" s="73"/>
      <c r="IJ530" s="73"/>
      <c r="IK530" s="73"/>
      <c r="IL530" s="73"/>
      <c r="IM530" s="73"/>
      <c r="IN530" s="73"/>
      <c r="IO530" s="73"/>
      <c r="IP530" s="73"/>
      <c r="IQ530" s="73"/>
      <c r="IR530" s="73"/>
      <c r="IS530" s="73"/>
      <c r="IT530" s="73"/>
      <c r="IU530" s="73"/>
      <c r="IV530" s="73"/>
      <c r="IW530" s="73"/>
      <c r="IX530" s="73"/>
      <c r="IY530" s="73"/>
      <c r="IZ530" s="73"/>
      <c r="JA530" s="73"/>
      <c r="JB530" s="73"/>
      <c r="JC530" s="73"/>
    </row>
    <row r="531" spans="2:263" s="72" customFormat="1">
      <c r="B531" s="73"/>
      <c r="C531" s="73"/>
      <c r="D531" s="73"/>
      <c r="E531" s="73"/>
      <c r="F531" s="73"/>
      <c r="G531" s="73"/>
      <c r="H531" s="73"/>
      <c r="I531" s="73"/>
      <c r="J531" s="73"/>
      <c r="K531" s="73"/>
      <c r="L531" s="73"/>
      <c r="M531" s="73"/>
      <c r="N531" s="73"/>
      <c r="O531" s="73"/>
      <c r="P531" s="73"/>
      <c r="Q531" s="73"/>
      <c r="R531" s="73"/>
      <c r="S531" s="73"/>
      <c r="T531" s="73"/>
      <c r="U531" s="73"/>
      <c r="V531" s="73"/>
      <c r="W531" s="73"/>
      <c r="GL531" s="73"/>
      <c r="GM531" s="73"/>
      <c r="GN531" s="73"/>
      <c r="GO531" s="73"/>
      <c r="GP531" s="73"/>
      <c r="GQ531" s="73"/>
      <c r="GR531" s="73"/>
      <c r="GS531" s="73"/>
      <c r="GT531" s="73"/>
      <c r="GU531" s="73"/>
      <c r="GV531" s="73"/>
      <c r="GW531" s="73"/>
      <c r="GX531" s="73"/>
      <c r="GY531" s="73"/>
      <c r="GZ531" s="73"/>
      <c r="HA531" s="73"/>
      <c r="HB531" s="73"/>
      <c r="HC531" s="73"/>
      <c r="HD531" s="73"/>
      <c r="HE531" s="73"/>
      <c r="HF531" s="73"/>
      <c r="HG531" s="73"/>
      <c r="HH531" s="73"/>
      <c r="HI531" s="73"/>
      <c r="HJ531" s="73"/>
      <c r="HK531" s="73"/>
      <c r="HL531" s="73"/>
      <c r="HM531" s="73"/>
      <c r="HN531" s="73"/>
      <c r="HO531" s="73"/>
      <c r="HP531" s="73"/>
      <c r="HQ531" s="73"/>
      <c r="HR531" s="73"/>
      <c r="HS531" s="73"/>
      <c r="HT531" s="73"/>
      <c r="HU531" s="73"/>
      <c r="HV531" s="73"/>
      <c r="HW531" s="73"/>
      <c r="HX531" s="73"/>
      <c r="HY531" s="73"/>
      <c r="HZ531" s="73"/>
      <c r="IA531" s="73"/>
      <c r="IB531" s="73"/>
      <c r="IC531" s="73"/>
      <c r="ID531" s="73"/>
      <c r="IE531" s="73"/>
      <c r="IF531" s="73"/>
      <c r="IG531" s="73"/>
      <c r="IH531" s="73"/>
      <c r="II531" s="73"/>
      <c r="IJ531" s="73"/>
      <c r="IK531" s="73"/>
      <c r="IL531" s="73"/>
      <c r="IM531" s="73"/>
      <c r="IN531" s="73"/>
      <c r="IO531" s="73"/>
      <c r="IP531" s="73"/>
      <c r="IQ531" s="73"/>
      <c r="IR531" s="73"/>
      <c r="IS531" s="73"/>
      <c r="IT531" s="73"/>
      <c r="IU531" s="73"/>
      <c r="IV531" s="73"/>
      <c r="IW531" s="73"/>
      <c r="IX531" s="73"/>
      <c r="IY531" s="73"/>
      <c r="IZ531" s="73"/>
      <c r="JA531" s="73"/>
      <c r="JB531" s="73"/>
      <c r="JC531" s="73"/>
    </row>
    <row r="532" spans="2:263" s="72" customFormat="1">
      <c r="B532" s="73"/>
      <c r="C532" s="73"/>
      <c r="D532" s="73"/>
      <c r="E532" s="73"/>
      <c r="F532" s="73"/>
      <c r="G532" s="73"/>
      <c r="H532" s="73"/>
      <c r="I532" s="73"/>
      <c r="J532" s="73"/>
      <c r="K532" s="73"/>
      <c r="L532" s="73"/>
      <c r="M532" s="73"/>
      <c r="N532" s="73"/>
      <c r="O532" s="73"/>
      <c r="P532" s="73"/>
      <c r="Q532" s="73"/>
      <c r="R532" s="73"/>
      <c r="S532" s="73"/>
      <c r="T532" s="73"/>
      <c r="U532" s="73"/>
      <c r="V532" s="73"/>
      <c r="W532" s="73"/>
      <c r="GL532" s="73"/>
      <c r="GM532" s="73"/>
      <c r="GN532" s="73"/>
      <c r="GO532" s="73"/>
      <c r="GP532" s="73"/>
      <c r="GQ532" s="73"/>
      <c r="GR532" s="73"/>
      <c r="GS532" s="73"/>
      <c r="GT532" s="73"/>
      <c r="GU532" s="73"/>
      <c r="GV532" s="73"/>
      <c r="GW532" s="73"/>
      <c r="GX532" s="73"/>
      <c r="GY532" s="73"/>
      <c r="GZ532" s="73"/>
      <c r="HA532" s="73"/>
      <c r="HB532" s="73"/>
      <c r="HC532" s="73"/>
      <c r="HD532" s="73"/>
      <c r="HE532" s="73"/>
      <c r="HF532" s="73"/>
      <c r="HG532" s="73"/>
      <c r="HH532" s="73"/>
      <c r="HI532" s="73"/>
      <c r="HJ532" s="73"/>
      <c r="HK532" s="73"/>
      <c r="HL532" s="73"/>
      <c r="HM532" s="73"/>
      <c r="HN532" s="73"/>
      <c r="HO532" s="73"/>
      <c r="HP532" s="73"/>
      <c r="HQ532" s="73"/>
      <c r="HR532" s="73"/>
      <c r="HS532" s="73"/>
      <c r="HT532" s="73"/>
      <c r="HU532" s="73"/>
      <c r="HV532" s="73"/>
      <c r="HW532" s="73"/>
      <c r="HX532" s="73"/>
      <c r="HY532" s="73"/>
      <c r="HZ532" s="73"/>
      <c r="IA532" s="73"/>
      <c r="IB532" s="73"/>
      <c r="IC532" s="73"/>
      <c r="ID532" s="73"/>
      <c r="IE532" s="73"/>
      <c r="IF532" s="73"/>
      <c r="IG532" s="73"/>
      <c r="IH532" s="73"/>
      <c r="II532" s="73"/>
      <c r="IJ532" s="73"/>
      <c r="IK532" s="73"/>
      <c r="IL532" s="73"/>
      <c r="IM532" s="73"/>
      <c r="IN532" s="73"/>
      <c r="IO532" s="73"/>
      <c r="IP532" s="73"/>
      <c r="IQ532" s="73"/>
      <c r="IR532" s="73"/>
      <c r="IS532" s="73"/>
      <c r="IT532" s="73"/>
      <c r="IU532" s="73"/>
      <c r="IV532" s="73"/>
      <c r="IW532" s="73"/>
      <c r="IX532" s="73"/>
      <c r="IY532" s="73"/>
      <c r="IZ532" s="73"/>
      <c r="JA532" s="73"/>
      <c r="JB532" s="73"/>
      <c r="JC532" s="73"/>
    </row>
    <row r="533" spans="2:263" s="72" customFormat="1">
      <c r="B533" s="73"/>
      <c r="C533" s="73"/>
      <c r="D533" s="73"/>
      <c r="E533" s="73"/>
      <c r="F533" s="73"/>
      <c r="G533" s="73"/>
      <c r="H533" s="73"/>
      <c r="I533" s="73"/>
      <c r="J533" s="73"/>
      <c r="K533" s="73"/>
      <c r="L533" s="73"/>
      <c r="M533" s="73"/>
      <c r="N533" s="73"/>
      <c r="O533" s="73"/>
      <c r="P533" s="73"/>
      <c r="Q533" s="73"/>
      <c r="R533" s="73"/>
      <c r="S533" s="73"/>
      <c r="T533" s="73"/>
      <c r="U533" s="73"/>
      <c r="V533" s="73"/>
      <c r="W533" s="73"/>
      <c r="GL533" s="73"/>
      <c r="GM533" s="73"/>
      <c r="GN533" s="73"/>
      <c r="GO533" s="73"/>
      <c r="GP533" s="73"/>
      <c r="GQ533" s="73"/>
      <c r="GR533" s="73"/>
      <c r="GS533" s="73"/>
      <c r="GT533" s="73"/>
      <c r="GU533" s="73"/>
      <c r="GV533" s="73"/>
      <c r="GW533" s="73"/>
      <c r="GX533" s="73"/>
      <c r="GY533" s="73"/>
      <c r="GZ533" s="73"/>
      <c r="HA533" s="73"/>
      <c r="HB533" s="73"/>
      <c r="HC533" s="73"/>
      <c r="HD533" s="73"/>
      <c r="HE533" s="73"/>
      <c r="HF533" s="73"/>
      <c r="HG533" s="73"/>
      <c r="HH533" s="73"/>
      <c r="HI533" s="73"/>
      <c r="HJ533" s="73"/>
      <c r="HK533" s="73"/>
      <c r="HL533" s="73"/>
      <c r="HM533" s="73"/>
      <c r="HN533" s="73"/>
      <c r="HO533" s="73"/>
      <c r="HP533" s="73"/>
      <c r="HQ533" s="73"/>
      <c r="HR533" s="73"/>
      <c r="HS533" s="73"/>
      <c r="HT533" s="73"/>
      <c r="HU533" s="73"/>
      <c r="HV533" s="73"/>
      <c r="HW533" s="73"/>
      <c r="HX533" s="73"/>
      <c r="HY533" s="73"/>
      <c r="HZ533" s="73"/>
      <c r="IA533" s="73"/>
      <c r="IB533" s="73"/>
      <c r="IC533" s="73"/>
      <c r="ID533" s="73"/>
      <c r="IE533" s="73"/>
      <c r="IF533" s="73"/>
      <c r="IG533" s="73"/>
      <c r="IH533" s="73"/>
      <c r="II533" s="73"/>
      <c r="IJ533" s="73"/>
      <c r="IK533" s="73"/>
      <c r="IL533" s="73"/>
      <c r="IM533" s="73"/>
      <c r="IN533" s="73"/>
      <c r="IO533" s="73"/>
      <c r="IP533" s="73"/>
      <c r="IQ533" s="73"/>
      <c r="IR533" s="73"/>
      <c r="IS533" s="73"/>
      <c r="IT533" s="73"/>
      <c r="IU533" s="73"/>
      <c r="IV533" s="73"/>
      <c r="IW533" s="73"/>
      <c r="IX533" s="73"/>
      <c r="IY533" s="73"/>
      <c r="IZ533" s="73"/>
      <c r="JA533" s="73"/>
      <c r="JB533" s="73"/>
      <c r="JC533" s="73"/>
    </row>
    <row r="534" spans="2:263" s="72" customFormat="1">
      <c r="B534" s="73"/>
      <c r="C534" s="73"/>
      <c r="D534" s="73"/>
      <c r="E534" s="73"/>
      <c r="F534" s="73"/>
      <c r="G534" s="73"/>
      <c r="H534" s="73"/>
      <c r="I534" s="73"/>
      <c r="J534" s="73"/>
      <c r="K534" s="73"/>
      <c r="L534" s="73"/>
      <c r="M534" s="73"/>
      <c r="N534" s="73"/>
      <c r="O534" s="73"/>
      <c r="P534" s="73"/>
      <c r="Q534" s="73"/>
      <c r="R534" s="73"/>
      <c r="S534" s="73"/>
      <c r="T534" s="73"/>
      <c r="U534" s="73"/>
      <c r="V534" s="73"/>
      <c r="W534" s="73"/>
      <c r="GL534" s="73"/>
      <c r="GM534" s="73"/>
      <c r="GN534" s="73"/>
      <c r="GO534" s="73"/>
      <c r="GP534" s="73"/>
      <c r="GQ534" s="73"/>
      <c r="GR534" s="73"/>
      <c r="GS534" s="73"/>
      <c r="GT534" s="73"/>
      <c r="GU534" s="73"/>
      <c r="GV534" s="73"/>
      <c r="GW534" s="73"/>
      <c r="GX534" s="73"/>
      <c r="GY534" s="73"/>
      <c r="GZ534" s="73"/>
      <c r="HA534" s="73"/>
      <c r="HB534" s="73"/>
      <c r="HC534" s="73"/>
      <c r="HD534" s="73"/>
      <c r="HE534" s="73"/>
      <c r="HF534" s="73"/>
      <c r="HG534" s="73"/>
      <c r="HH534" s="73"/>
      <c r="HI534" s="73"/>
      <c r="HJ534" s="73"/>
      <c r="HK534" s="73"/>
      <c r="HL534" s="73"/>
      <c r="HM534" s="73"/>
      <c r="HN534" s="73"/>
      <c r="HO534" s="73"/>
      <c r="HP534" s="73"/>
      <c r="HQ534" s="73"/>
      <c r="HR534" s="73"/>
      <c r="HS534" s="73"/>
      <c r="HT534" s="73"/>
      <c r="HU534" s="73"/>
      <c r="HV534" s="73"/>
      <c r="HW534" s="73"/>
      <c r="HX534" s="73"/>
      <c r="HY534" s="73"/>
      <c r="HZ534" s="73"/>
      <c r="IA534" s="73"/>
      <c r="IB534" s="73"/>
      <c r="IC534" s="73"/>
      <c r="ID534" s="73"/>
      <c r="IE534" s="73"/>
      <c r="IF534" s="73"/>
      <c r="IG534" s="73"/>
      <c r="IH534" s="73"/>
      <c r="II534" s="73"/>
      <c r="IJ534" s="73"/>
      <c r="IK534" s="73"/>
      <c r="IL534" s="73"/>
      <c r="IM534" s="73"/>
      <c r="IN534" s="73"/>
      <c r="IO534" s="73"/>
      <c r="IP534" s="73"/>
      <c r="IQ534" s="73"/>
      <c r="IR534" s="73"/>
      <c r="IS534" s="73"/>
      <c r="IT534" s="73"/>
      <c r="IU534" s="73"/>
      <c r="IV534" s="73"/>
      <c r="IW534" s="73"/>
      <c r="IX534" s="73"/>
      <c r="IY534" s="73"/>
      <c r="IZ534" s="73"/>
      <c r="JA534" s="73"/>
      <c r="JB534" s="73"/>
      <c r="JC534" s="73"/>
    </row>
    <row r="535" spans="2:263" s="72" customFormat="1">
      <c r="B535" s="73"/>
      <c r="C535" s="73"/>
      <c r="D535" s="73"/>
      <c r="E535" s="73"/>
      <c r="F535" s="73"/>
      <c r="G535" s="73"/>
      <c r="H535" s="73"/>
      <c r="I535" s="73"/>
      <c r="J535" s="73"/>
      <c r="K535" s="73"/>
      <c r="L535" s="73"/>
      <c r="M535" s="73"/>
      <c r="N535" s="73"/>
      <c r="O535" s="73"/>
      <c r="P535" s="73"/>
      <c r="Q535" s="73"/>
      <c r="R535" s="73"/>
      <c r="S535" s="73"/>
      <c r="T535" s="73"/>
      <c r="U535" s="73"/>
      <c r="V535" s="73"/>
      <c r="W535" s="73"/>
      <c r="GL535" s="73"/>
      <c r="GM535" s="73"/>
      <c r="GN535" s="73"/>
      <c r="GO535" s="73"/>
      <c r="GP535" s="73"/>
      <c r="GQ535" s="73"/>
      <c r="GR535" s="73"/>
      <c r="GS535" s="73"/>
      <c r="GT535" s="73"/>
      <c r="GU535" s="73"/>
      <c r="GV535" s="73"/>
      <c r="GW535" s="73"/>
      <c r="GX535" s="73"/>
      <c r="GY535" s="73"/>
      <c r="GZ535" s="73"/>
      <c r="HA535" s="73"/>
      <c r="HB535" s="73"/>
      <c r="HC535" s="73"/>
      <c r="HD535" s="73"/>
      <c r="HE535" s="73"/>
      <c r="HF535" s="73"/>
      <c r="HG535" s="73"/>
      <c r="HH535" s="73"/>
      <c r="HI535" s="73"/>
      <c r="HJ535" s="73"/>
      <c r="HK535" s="73"/>
      <c r="HL535" s="73"/>
      <c r="HM535" s="73"/>
      <c r="HN535" s="73"/>
      <c r="HO535" s="73"/>
      <c r="HP535" s="73"/>
      <c r="HQ535" s="73"/>
      <c r="HR535" s="73"/>
      <c r="HS535" s="73"/>
      <c r="HT535" s="73"/>
      <c r="HU535" s="73"/>
      <c r="HV535" s="73"/>
      <c r="HW535" s="73"/>
      <c r="HX535" s="73"/>
      <c r="HY535" s="73"/>
      <c r="HZ535" s="73"/>
      <c r="IA535" s="73"/>
      <c r="IB535" s="73"/>
      <c r="IC535" s="73"/>
      <c r="ID535" s="73"/>
      <c r="IE535" s="73"/>
      <c r="IF535" s="73"/>
      <c r="IG535" s="73"/>
      <c r="IH535" s="73"/>
      <c r="II535" s="73"/>
      <c r="IJ535" s="73"/>
      <c r="IK535" s="73"/>
      <c r="IL535" s="73"/>
      <c r="IM535" s="73"/>
      <c r="IN535" s="73"/>
      <c r="IO535" s="73"/>
      <c r="IP535" s="73"/>
      <c r="IQ535" s="73"/>
      <c r="IR535" s="73"/>
      <c r="IS535" s="73"/>
      <c r="IT535" s="73"/>
      <c r="IU535" s="73"/>
      <c r="IV535" s="73"/>
      <c r="IW535" s="73"/>
      <c r="IX535" s="73"/>
      <c r="IY535" s="73"/>
      <c r="IZ535" s="73"/>
      <c r="JA535" s="73"/>
      <c r="JB535" s="73"/>
      <c r="JC535" s="73"/>
    </row>
    <row r="536" spans="2:263" s="72" customFormat="1">
      <c r="B536" s="73"/>
      <c r="C536" s="73"/>
      <c r="D536" s="73"/>
      <c r="E536" s="73"/>
      <c r="F536" s="73"/>
      <c r="G536" s="73"/>
      <c r="H536" s="73"/>
      <c r="I536" s="73"/>
      <c r="J536" s="73"/>
      <c r="K536" s="73"/>
      <c r="L536" s="73"/>
      <c r="M536" s="73"/>
      <c r="N536" s="73"/>
      <c r="O536" s="73"/>
      <c r="P536" s="73"/>
      <c r="Q536" s="73"/>
      <c r="R536" s="73"/>
      <c r="S536" s="73"/>
      <c r="T536" s="73"/>
      <c r="U536" s="73"/>
      <c r="V536" s="73"/>
      <c r="W536" s="73"/>
      <c r="GL536" s="73"/>
      <c r="GM536" s="73"/>
      <c r="GN536" s="73"/>
      <c r="GO536" s="73"/>
      <c r="GP536" s="73"/>
      <c r="GQ536" s="73"/>
      <c r="GR536" s="73"/>
      <c r="GS536" s="73"/>
      <c r="GT536" s="73"/>
      <c r="GU536" s="73"/>
      <c r="GV536" s="73"/>
      <c r="GW536" s="73"/>
      <c r="GX536" s="73"/>
      <c r="GY536" s="73"/>
      <c r="GZ536" s="73"/>
      <c r="HA536" s="73"/>
      <c r="HB536" s="73"/>
      <c r="HC536" s="73"/>
      <c r="HD536" s="73"/>
      <c r="HE536" s="73"/>
      <c r="HF536" s="73"/>
      <c r="HG536" s="73"/>
      <c r="HH536" s="73"/>
      <c r="HI536" s="73"/>
      <c r="HJ536" s="73"/>
      <c r="HK536" s="73"/>
      <c r="HL536" s="73"/>
      <c r="HM536" s="73"/>
      <c r="HN536" s="73"/>
      <c r="HO536" s="73"/>
      <c r="HP536" s="73"/>
      <c r="HQ536" s="73"/>
      <c r="HR536" s="73"/>
      <c r="HS536" s="73"/>
      <c r="HT536" s="73"/>
      <c r="HU536" s="73"/>
      <c r="HV536" s="73"/>
      <c r="HW536" s="73"/>
      <c r="HX536" s="73"/>
      <c r="HY536" s="73"/>
      <c r="HZ536" s="73"/>
      <c r="IA536" s="73"/>
      <c r="IB536" s="73"/>
      <c r="IC536" s="73"/>
      <c r="ID536" s="73"/>
      <c r="IE536" s="73"/>
      <c r="IF536" s="73"/>
      <c r="IG536" s="73"/>
      <c r="IH536" s="73"/>
      <c r="II536" s="73"/>
      <c r="IJ536" s="73"/>
      <c r="IK536" s="73"/>
      <c r="IL536" s="73"/>
      <c r="IM536" s="73"/>
      <c r="IN536" s="73"/>
      <c r="IO536" s="73"/>
      <c r="IP536" s="73"/>
      <c r="IQ536" s="73"/>
      <c r="IR536" s="73"/>
      <c r="IS536" s="73"/>
      <c r="IT536" s="73"/>
      <c r="IU536" s="73"/>
      <c r="IV536" s="73"/>
      <c r="IW536" s="73"/>
      <c r="IX536" s="73"/>
      <c r="IY536" s="73"/>
      <c r="IZ536" s="73"/>
      <c r="JA536" s="73"/>
      <c r="JB536" s="73"/>
      <c r="JC536" s="73"/>
    </row>
    <row r="537" spans="2:263" s="72" customFormat="1">
      <c r="B537" s="73"/>
      <c r="C537" s="73"/>
      <c r="D537" s="73"/>
      <c r="E537" s="73"/>
      <c r="F537" s="73"/>
      <c r="G537" s="73"/>
      <c r="H537" s="73"/>
      <c r="I537" s="73"/>
      <c r="J537" s="73"/>
      <c r="K537" s="73"/>
      <c r="L537" s="73"/>
      <c r="M537" s="73"/>
      <c r="N537" s="73"/>
      <c r="O537" s="73"/>
      <c r="P537" s="73"/>
      <c r="Q537" s="73"/>
      <c r="R537" s="73"/>
      <c r="S537" s="73"/>
      <c r="T537" s="73"/>
      <c r="U537" s="73"/>
      <c r="V537" s="73"/>
      <c r="W537" s="73"/>
      <c r="GL537" s="73"/>
      <c r="GM537" s="73"/>
      <c r="GN537" s="73"/>
      <c r="GO537" s="73"/>
      <c r="GP537" s="73"/>
      <c r="GQ537" s="73"/>
      <c r="GR537" s="73"/>
      <c r="GS537" s="73"/>
      <c r="GT537" s="73"/>
      <c r="GU537" s="73"/>
      <c r="GV537" s="73"/>
      <c r="GW537" s="73"/>
      <c r="GX537" s="73"/>
      <c r="GY537" s="73"/>
      <c r="GZ537" s="73"/>
      <c r="HA537" s="73"/>
      <c r="HB537" s="73"/>
      <c r="HC537" s="73"/>
      <c r="HD537" s="73"/>
      <c r="HE537" s="73"/>
      <c r="HF537" s="73"/>
      <c r="HG537" s="73"/>
      <c r="HH537" s="73"/>
      <c r="HI537" s="73"/>
      <c r="HJ537" s="73"/>
      <c r="HK537" s="73"/>
      <c r="HL537" s="73"/>
      <c r="HM537" s="73"/>
      <c r="HN537" s="73"/>
      <c r="HO537" s="73"/>
      <c r="HP537" s="73"/>
      <c r="HQ537" s="73"/>
      <c r="HR537" s="73"/>
      <c r="HS537" s="73"/>
      <c r="HT537" s="73"/>
      <c r="HU537" s="73"/>
      <c r="HV537" s="73"/>
      <c r="HW537" s="73"/>
      <c r="HX537" s="73"/>
      <c r="HY537" s="73"/>
      <c r="HZ537" s="73"/>
      <c r="IA537" s="73"/>
      <c r="IB537" s="73"/>
      <c r="IC537" s="73"/>
      <c r="ID537" s="73"/>
      <c r="IE537" s="73"/>
      <c r="IF537" s="73"/>
      <c r="IG537" s="73"/>
      <c r="IH537" s="73"/>
      <c r="II537" s="73"/>
      <c r="IJ537" s="73"/>
      <c r="IK537" s="73"/>
      <c r="IL537" s="73"/>
      <c r="IM537" s="73"/>
      <c r="IN537" s="73"/>
      <c r="IO537" s="73"/>
      <c r="IP537" s="73"/>
      <c r="IQ537" s="73"/>
      <c r="IR537" s="73"/>
      <c r="IS537" s="73"/>
      <c r="IT537" s="73"/>
      <c r="IU537" s="73"/>
      <c r="IV537" s="73"/>
      <c r="IW537" s="73"/>
      <c r="IX537" s="73"/>
      <c r="IY537" s="73"/>
      <c r="IZ537" s="73"/>
      <c r="JA537" s="73"/>
      <c r="JB537" s="73"/>
      <c r="JC537" s="73"/>
    </row>
    <row r="538" spans="2:263" s="72" customFormat="1">
      <c r="B538" s="73"/>
      <c r="C538" s="73"/>
      <c r="D538" s="73"/>
      <c r="E538" s="73"/>
      <c r="F538" s="73"/>
      <c r="G538" s="73"/>
      <c r="H538" s="73"/>
      <c r="I538" s="73"/>
      <c r="J538" s="73"/>
      <c r="K538" s="73"/>
      <c r="L538" s="73"/>
      <c r="M538" s="73"/>
      <c r="N538" s="73"/>
      <c r="O538" s="73"/>
      <c r="P538" s="73"/>
      <c r="Q538" s="73"/>
      <c r="R538" s="73"/>
      <c r="S538" s="73"/>
      <c r="T538" s="73"/>
      <c r="U538" s="73"/>
      <c r="V538" s="73"/>
      <c r="W538" s="73"/>
      <c r="GL538" s="73"/>
      <c r="GM538" s="73"/>
      <c r="GN538" s="73"/>
      <c r="GO538" s="73"/>
      <c r="GP538" s="73"/>
      <c r="GQ538" s="73"/>
      <c r="GR538" s="73"/>
      <c r="GS538" s="73"/>
      <c r="GT538" s="73"/>
      <c r="GU538" s="73"/>
      <c r="GV538" s="73"/>
      <c r="GW538" s="73"/>
      <c r="GX538" s="73"/>
      <c r="GY538" s="73"/>
      <c r="GZ538" s="73"/>
      <c r="HA538" s="73"/>
      <c r="HB538" s="73"/>
      <c r="HC538" s="73"/>
      <c r="HD538" s="73"/>
      <c r="HE538" s="73"/>
      <c r="HF538" s="73"/>
      <c r="HG538" s="73"/>
      <c r="HH538" s="73"/>
      <c r="HI538" s="73"/>
      <c r="HJ538" s="73"/>
      <c r="HK538" s="73"/>
      <c r="HL538" s="73"/>
      <c r="HM538" s="73"/>
      <c r="HN538" s="73"/>
      <c r="HO538" s="73"/>
      <c r="HP538" s="73"/>
      <c r="HQ538" s="73"/>
      <c r="HR538" s="73"/>
      <c r="HS538" s="73"/>
      <c r="HT538" s="73"/>
      <c r="HU538" s="73"/>
      <c r="HV538" s="73"/>
      <c r="HW538" s="73"/>
      <c r="HX538" s="73"/>
      <c r="HY538" s="73"/>
      <c r="HZ538" s="73"/>
      <c r="IA538" s="73"/>
      <c r="IB538" s="73"/>
      <c r="IC538" s="73"/>
      <c r="ID538" s="73"/>
      <c r="IE538" s="73"/>
      <c r="IF538" s="73"/>
      <c r="IG538" s="73"/>
      <c r="IH538" s="73"/>
      <c r="II538" s="73"/>
      <c r="IJ538" s="73"/>
      <c r="IK538" s="73"/>
      <c r="IL538" s="73"/>
      <c r="IM538" s="73"/>
      <c r="IN538" s="73"/>
      <c r="IO538" s="73"/>
      <c r="IP538" s="73"/>
      <c r="IQ538" s="73"/>
      <c r="IR538" s="73"/>
      <c r="IS538" s="73"/>
      <c r="IT538" s="73"/>
      <c r="IU538" s="73"/>
      <c r="IV538" s="73"/>
      <c r="IW538" s="73"/>
      <c r="IX538" s="73"/>
      <c r="IY538" s="73"/>
      <c r="IZ538" s="73"/>
      <c r="JA538" s="73"/>
      <c r="JB538" s="73"/>
      <c r="JC538" s="73"/>
    </row>
    <row r="539" spans="2:263" s="72" customFormat="1">
      <c r="B539" s="73"/>
      <c r="C539" s="73"/>
      <c r="D539" s="73"/>
      <c r="E539" s="73"/>
      <c r="F539" s="73"/>
      <c r="G539" s="73"/>
      <c r="H539" s="73"/>
      <c r="I539" s="73"/>
      <c r="J539" s="73"/>
      <c r="K539" s="73"/>
      <c r="L539" s="73"/>
      <c r="M539" s="73"/>
      <c r="N539" s="73"/>
      <c r="O539" s="73"/>
      <c r="P539" s="73"/>
      <c r="Q539" s="73"/>
      <c r="R539" s="73"/>
      <c r="S539" s="73"/>
      <c r="T539" s="73"/>
      <c r="U539" s="73"/>
      <c r="V539" s="73"/>
      <c r="W539" s="73"/>
      <c r="GL539" s="73"/>
      <c r="GM539" s="73"/>
      <c r="GN539" s="73"/>
      <c r="GO539" s="73"/>
      <c r="GP539" s="73"/>
      <c r="GQ539" s="73"/>
      <c r="GR539" s="73"/>
      <c r="GS539" s="73"/>
      <c r="GT539" s="73"/>
      <c r="GU539" s="73"/>
      <c r="GV539" s="73"/>
      <c r="GW539" s="73"/>
      <c r="GX539" s="73"/>
      <c r="GY539" s="73"/>
      <c r="GZ539" s="73"/>
      <c r="HA539" s="73"/>
      <c r="HB539" s="73"/>
      <c r="HC539" s="73"/>
      <c r="HD539" s="73"/>
      <c r="HE539" s="73"/>
      <c r="HF539" s="73"/>
      <c r="HG539" s="73"/>
      <c r="HH539" s="73"/>
      <c r="HI539" s="73"/>
      <c r="HJ539" s="73"/>
      <c r="HK539" s="73"/>
      <c r="HL539" s="73"/>
      <c r="HM539" s="73"/>
      <c r="HN539" s="73"/>
      <c r="HO539" s="73"/>
      <c r="HP539" s="73"/>
      <c r="HQ539" s="73"/>
      <c r="HR539" s="73"/>
      <c r="HS539" s="73"/>
      <c r="HT539" s="73"/>
      <c r="HU539" s="73"/>
      <c r="HV539" s="73"/>
      <c r="HW539" s="73"/>
      <c r="HX539" s="73"/>
      <c r="HY539" s="73"/>
      <c r="HZ539" s="73"/>
      <c r="IA539" s="73"/>
      <c r="IB539" s="73"/>
      <c r="IC539" s="73"/>
      <c r="ID539" s="73"/>
      <c r="IE539" s="73"/>
      <c r="IF539" s="73"/>
      <c r="IG539" s="73"/>
      <c r="IH539" s="73"/>
      <c r="II539" s="73"/>
      <c r="IJ539" s="73"/>
      <c r="IK539" s="73"/>
      <c r="IL539" s="73"/>
      <c r="IM539" s="73"/>
      <c r="IN539" s="73"/>
      <c r="IO539" s="73"/>
      <c r="IP539" s="73"/>
      <c r="IQ539" s="73"/>
      <c r="IR539" s="73"/>
      <c r="IS539" s="73"/>
      <c r="IT539" s="73"/>
      <c r="IU539" s="73"/>
      <c r="IV539" s="73"/>
      <c r="IW539" s="73"/>
      <c r="IX539" s="73"/>
      <c r="IY539" s="73"/>
      <c r="IZ539" s="73"/>
      <c r="JA539" s="73"/>
      <c r="JB539" s="73"/>
      <c r="JC539" s="73"/>
    </row>
    <row r="540" spans="2:263" s="72" customFormat="1">
      <c r="B540" s="73"/>
      <c r="C540" s="73"/>
      <c r="D540" s="73"/>
      <c r="E540" s="73"/>
      <c r="F540" s="73"/>
      <c r="G540" s="73"/>
      <c r="H540" s="73"/>
      <c r="I540" s="73"/>
      <c r="J540" s="73"/>
      <c r="K540" s="73"/>
      <c r="L540" s="73"/>
      <c r="M540" s="73"/>
      <c r="N540" s="73"/>
      <c r="O540" s="73"/>
      <c r="P540" s="73"/>
      <c r="Q540" s="73"/>
      <c r="R540" s="73"/>
      <c r="S540" s="73"/>
      <c r="T540" s="73"/>
      <c r="U540" s="73"/>
      <c r="V540" s="73"/>
      <c r="W540" s="73"/>
      <c r="GL540" s="73"/>
      <c r="GM540" s="73"/>
      <c r="GN540" s="73"/>
      <c r="GO540" s="73"/>
      <c r="GP540" s="73"/>
      <c r="GQ540" s="73"/>
      <c r="GR540" s="73"/>
      <c r="GS540" s="73"/>
      <c r="GT540" s="73"/>
      <c r="GU540" s="73"/>
      <c r="GV540" s="73"/>
      <c r="GW540" s="73"/>
      <c r="GX540" s="73"/>
      <c r="GY540" s="73"/>
      <c r="GZ540" s="73"/>
      <c r="HA540" s="73"/>
      <c r="HB540" s="73"/>
      <c r="HC540" s="73"/>
      <c r="HD540" s="73"/>
      <c r="HE540" s="73"/>
      <c r="HF540" s="73"/>
      <c r="HG540" s="73"/>
      <c r="HH540" s="73"/>
      <c r="HI540" s="73"/>
      <c r="HJ540" s="73"/>
      <c r="HK540" s="73"/>
      <c r="HL540" s="73"/>
      <c r="HM540" s="73"/>
      <c r="HN540" s="73"/>
      <c r="HO540" s="73"/>
      <c r="HP540" s="73"/>
      <c r="HQ540" s="73"/>
      <c r="HR540" s="73"/>
      <c r="HS540" s="73"/>
      <c r="HT540" s="73"/>
      <c r="HU540" s="73"/>
      <c r="HV540" s="73"/>
      <c r="HW540" s="73"/>
      <c r="HX540" s="73"/>
      <c r="HY540" s="73"/>
      <c r="HZ540" s="73"/>
      <c r="IA540" s="73"/>
      <c r="IB540" s="73"/>
      <c r="IC540" s="73"/>
      <c r="ID540" s="73"/>
      <c r="IE540" s="73"/>
      <c r="IF540" s="73"/>
      <c r="IG540" s="73"/>
      <c r="IH540" s="73"/>
      <c r="II540" s="73"/>
      <c r="IJ540" s="73"/>
      <c r="IK540" s="73"/>
      <c r="IL540" s="73"/>
      <c r="IM540" s="73"/>
      <c r="IN540" s="73"/>
      <c r="IO540" s="73"/>
      <c r="IP540" s="73"/>
      <c r="IQ540" s="73"/>
      <c r="IR540" s="73"/>
      <c r="IS540" s="73"/>
      <c r="IT540" s="73"/>
      <c r="IU540" s="73"/>
      <c r="IV540" s="73"/>
      <c r="IW540" s="73"/>
      <c r="IX540" s="73"/>
      <c r="IY540" s="73"/>
      <c r="IZ540" s="73"/>
      <c r="JA540" s="73"/>
      <c r="JB540" s="73"/>
      <c r="JC540" s="73"/>
    </row>
    <row r="541" spans="2:263" s="72" customFormat="1">
      <c r="B541" s="73"/>
      <c r="C541" s="73"/>
      <c r="D541" s="73"/>
      <c r="E541" s="73"/>
      <c r="F541" s="73"/>
      <c r="G541" s="73"/>
      <c r="H541" s="73"/>
      <c r="I541" s="73"/>
      <c r="J541" s="73"/>
      <c r="K541" s="73"/>
      <c r="L541" s="73"/>
      <c r="M541" s="73"/>
      <c r="N541" s="73"/>
      <c r="O541" s="73"/>
      <c r="P541" s="73"/>
      <c r="Q541" s="73"/>
      <c r="R541" s="73"/>
      <c r="S541" s="73"/>
      <c r="T541" s="73"/>
      <c r="U541" s="73"/>
      <c r="V541" s="73"/>
      <c r="W541" s="73"/>
      <c r="GL541" s="73"/>
      <c r="GM541" s="73"/>
      <c r="GN541" s="73"/>
      <c r="GO541" s="73"/>
      <c r="GP541" s="73"/>
      <c r="GQ541" s="73"/>
      <c r="GR541" s="73"/>
      <c r="GS541" s="73"/>
      <c r="GT541" s="73"/>
      <c r="GU541" s="73"/>
      <c r="GV541" s="73"/>
      <c r="GW541" s="73"/>
      <c r="GX541" s="73"/>
      <c r="GY541" s="73"/>
      <c r="GZ541" s="73"/>
      <c r="HA541" s="73"/>
      <c r="HB541" s="73"/>
      <c r="HC541" s="73"/>
      <c r="HD541" s="73"/>
      <c r="HE541" s="73"/>
      <c r="HF541" s="73"/>
      <c r="HG541" s="73"/>
      <c r="HH541" s="73"/>
      <c r="HI541" s="73"/>
      <c r="HJ541" s="73"/>
      <c r="HK541" s="73"/>
      <c r="HL541" s="73"/>
      <c r="HM541" s="73"/>
      <c r="HN541" s="73"/>
      <c r="HO541" s="73"/>
      <c r="HP541" s="73"/>
      <c r="HQ541" s="73"/>
      <c r="HR541" s="73"/>
      <c r="HS541" s="73"/>
      <c r="HT541" s="73"/>
      <c r="HU541" s="73"/>
      <c r="HV541" s="73"/>
      <c r="HW541" s="73"/>
      <c r="HX541" s="73"/>
      <c r="HY541" s="73"/>
      <c r="HZ541" s="73"/>
      <c r="IA541" s="73"/>
      <c r="IB541" s="73"/>
      <c r="IC541" s="73"/>
      <c r="ID541" s="73"/>
      <c r="IE541" s="73"/>
      <c r="IF541" s="73"/>
      <c r="IG541" s="73"/>
      <c r="IH541" s="73"/>
      <c r="II541" s="73"/>
      <c r="IJ541" s="73"/>
      <c r="IK541" s="73"/>
      <c r="IL541" s="73"/>
      <c r="IM541" s="73"/>
      <c r="IN541" s="73"/>
      <c r="IO541" s="73"/>
      <c r="IP541" s="73"/>
      <c r="IQ541" s="73"/>
      <c r="IR541" s="73"/>
      <c r="IS541" s="73"/>
      <c r="IT541" s="73"/>
      <c r="IU541" s="73"/>
      <c r="IV541" s="73"/>
      <c r="IW541" s="73"/>
      <c r="IX541" s="73"/>
      <c r="IY541" s="73"/>
      <c r="IZ541" s="73"/>
      <c r="JA541" s="73"/>
      <c r="JB541" s="73"/>
      <c r="JC541" s="73"/>
    </row>
    <row r="542" spans="2:263" s="72" customFormat="1">
      <c r="B542" s="73"/>
      <c r="C542" s="73"/>
      <c r="D542" s="73"/>
      <c r="E542" s="73"/>
      <c r="F542" s="73"/>
      <c r="G542" s="73"/>
      <c r="H542" s="73"/>
      <c r="I542" s="73"/>
      <c r="J542" s="73"/>
      <c r="K542" s="73"/>
      <c r="L542" s="73"/>
      <c r="M542" s="73"/>
      <c r="N542" s="73"/>
      <c r="O542" s="73"/>
      <c r="P542" s="73"/>
      <c r="Q542" s="73"/>
      <c r="R542" s="73"/>
      <c r="S542" s="73"/>
      <c r="T542" s="73"/>
      <c r="U542" s="73"/>
      <c r="V542" s="73"/>
      <c r="W542" s="73"/>
      <c r="GL542" s="73"/>
      <c r="GM542" s="73"/>
      <c r="GN542" s="73"/>
      <c r="GO542" s="73"/>
      <c r="GP542" s="73"/>
      <c r="GQ542" s="73"/>
      <c r="GR542" s="73"/>
      <c r="GS542" s="73"/>
      <c r="GT542" s="73"/>
      <c r="GU542" s="73"/>
      <c r="GV542" s="73"/>
      <c r="GW542" s="73"/>
      <c r="GX542" s="73"/>
      <c r="GY542" s="73"/>
      <c r="GZ542" s="73"/>
      <c r="HA542" s="73"/>
      <c r="HB542" s="73"/>
      <c r="HC542" s="73"/>
      <c r="HD542" s="73"/>
      <c r="HE542" s="73"/>
      <c r="HF542" s="73"/>
      <c r="HG542" s="73"/>
      <c r="HH542" s="73"/>
      <c r="HI542" s="73"/>
      <c r="HJ542" s="73"/>
      <c r="HK542" s="73"/>
      <c r="HL542" s="73"/>
      <c r="HM542" s="73"/>
      <c r="HN542" s="73"/>
      <c r="HO542" s="73"/>
      <c r="HP542" s="73"/>
      <c r="HQ542" s="73"/>
      <c r="HR542" s="73"/>
      <c r="HS542" s="73"/>
      <c r="HT542" s="73"/>
      <c r="HU542" s="73"/>
      <c r="HV542" s="73"/>
      <c r="HW542" s="73"/>
      <c r="HX542" s="73"/>
      <c r="HY542" s="73"/>
      <c r="HZ542" s="73"/>
      <c r="IA542" s="73"/>
      <c r="IB542" s="73"/>
      <c r="IC542" s="73"/>
      <c r="ID542" s="73"/>
      <c r="IE542" s="73"/>
      <c r="IF542" s="73"/>
      <c r="IG542" s="73"/>
      <c r="IH542" s="73"/>
      <c r="II542" s="73"/>
      <c r="IJ542" s="73"/>
      <c r="IK542" s="73"/>
      <c r="IL542" s="73"/>
      <c r="IM542" s="73"/>
      <c r="IN542" s="73"/>
      <c r="IO542" s="73"/>
      <c r="IP542" s="73"/>
      <c r="IQ542" s="73"/>
      <c r="IR542" s="73"/>
      <c r="IS542" s="73"/>
      <c r="IT542" s="73"/>
      <c r="IU542" s="73"/>
      <c r="IV542" s="73"/>
      <c r="IW542" s="73"/>
      <c r="IX542" s="73"/>
      <c r="IY542" s="73"/>
      <c r="IZ542" s="73"/>
      <c r="JA542" s="73"/>
      <c r="JB542" s="73"/>
      <c r="JC542" s="73"/>
    </row>
    <row r="543" spans="2:263" s="72" customFormat="1">
      <c r="B543" s="73"/>
      <c r="C543" s="73"/>
      <c r="D543" s="73"/>
      <c r="E543" s="73"/>
      <c r="F543" s="73"/>
      <c r="G543" s="73"/>
      <c r="H543" s="73"/>
      <c r="I543" s="73"/>
      <c r="J543" s="73"/>
      <c r="K543" s="73"/>
      <c r="L543" s="73"/>
      <c r="M543" s="73"/>
      <c r="N543" s="73"/>
      <c r="O543" s="73"/>
      <c r="P543" s="73"/>
      <c r="Q543" s="73"/>
      <c r="R543" s="73"/>
      <c r="S543" s="73"/>
      <c r="T543" s="73"/>
      <c r="U543" s="73"/>
      <c r="V543" s="73"/>
      <c r="W543" s="73"/>
      <c r="GL543" s="73"/>
      <c r="GM543" s="73"/>
      <c r="GN543" s="73"/>
      <c r="GO543" s="73"/>
      <c r="GP543" s="73"/>
      <c r="GQ543" s="73"/>
      <c r="GR543" s="73"/>
      <c r="GS543" s="73"/>
      <c r="GT543" s="73"/>
      <c r="GU543" s="73"/>
      <c r="GV543" s="73"/>
      <c r="GW543" s="73"/>
      <c r="GX543" s="73"/>
      <c r="GY543" s="73"/>
      <c r="GZ543" s="73"/>
      <c r="HA543" s="73"/>
      <c r="HB543" s="73"/>
      <c r="HC543" s="73"/>
      <c r="HD543" s="73"/>
      <c r="HE543" s="73"/>
      <c r="HF543" s="73"/>
      <c r="HG543" s="73"/>
      <c r="HH543" s="73"/>
      <c r="HI543" s="73"/>
      <c r="HJ543" s="73"/>
      <c r="HK543" s="73"/>
      <c r="HL543" s="73"/>
      <c r="HM543" s="73"/>
      <c r="HN543" s="73"/>
      <c r="HO543" s="73"/>
      <c r="HP543" s="73"/>
      <c r="HQ543" s="73"/>
      <c r="HR543" s="73"/>
      <c r="HS543" s="73"/>
      <c r="HT543" s="73"/>
      <c r="HU543" s="73"/>
      <c r="HV543" s="73"/>
      <c r="HW543" s="73"/>
      <c r="HX543" s="73"/>
      <c r="HY543" s="73"/>
      <c r="HZ543" s="73"/>
      <c r="IA543" s="73"/>
      <c r="IB543" s="73"/>
      <c r="IC543" s="73"/>
      <c r="ID543" s="73"/>
      <c r="IE543" s="73"/>
      <c r="IF543" s="73"/>
      <c r="IG543" s="73"/>
      <c r="IH543" s="73"/>
      <c r="II543" s="73"/>
      <c r="IJ543" s="73"/>
      <c r="IK543" s="73"/>
      <c r="IL543" s="73"/>
      <c r="IM543" s="73"/>
      <c r="IN543" s="73"/>
      <c r="IO543" s="73"/>
      <c r="IP543" s="73"/>
      <c r="IQ543" s="73"/>
      <c r="IR543" s="73"/>
      <c r="IS543" s="73"/>
      <c r="IT543" s="73"/>
      <c r="IU543" s="73"/>
      <c r="IV543" s="73"/>
      <c r="IW543" s="73"/>
      <c r="IX543" s="73"/>
      <c r="IY543" s="73"/>
      <c r="IZ543" s="73"/>
      <c r="JA543" s="73"/>
      <c r="JB543" s="73"/>
      <c r="JC543" s="73"/>
    </row>
    <row r="544" spans="2:263" s="72" customFormat="1">
      <c r="B544" s="73"/>
      <c r="C544" s="73"/>
      <c r="D544" s="73"/>
      <c r="E544" s="73"/>
      <c r="F544" s="73"/>
      <c r="G544" s="73"/>
      <c r="H544" s="73"/>
      <c r="I544" s="73"/>
      <c r="J544" s="73"/>
      <c r="K544" s="73"/>
      <c r="L544" s="73"/>
      <c r="M544" s="73"/>
      <c r="N544" s="73"/>
      <c r="O544" s="73"/>
      <c r="P544" s="73"/>
      <c r="Q544" s="73"/>
      <c r="R544" s="73"/>
      <c r="S544" s="73"/>
      <c r="T544" s="73"/>
      <c r="U544" s="73"/>
      <c r="V544" s="73"/>
      <c r="W544" s="73"/>
      <c r="GL544" s="73"/>
      <c r="GM544" s="73"/>
      <c r="GN544" s="73"/>
      <c r="GO544" s="73"/>
      <c r="GP544" s="73"/>
      <c r="GQ544" s="73"/>
      <c r="GR544" s="73"/>
      <c r="GS544" s="73"/>
      <c r="GT544" s="73"/>
      <c r="GU544" s="73"/>
      <c r="GV544" s="73"/>
      <c r="GW544" s="73"/>
      <c r="GX544" s="73"/>
      <c r="GY544" s="73"/>
      <c r="GZ544" s="73"/>
      <c r="HA544" s="73"/>
      <c r="HB544" s="73"/>
      <c r="HC544" s="73"/>
      <c r="HD544" s="73"/>
      <c r="HE544" s="73"/>
      <c r="HF544" s="73"/>
      <c r="HG544" s="73"/>
      <c r="HH544" s="73"/>
      <c r="HI544" s="73"/>
      <c r="HJ544" s="73"/>
      <c r="HK544" s="73"/>
      <c r="HL544" s="73"/>
      <c r="HM544" s="73"/>
      <c r="HN544" s="73"/>
      <c r="HO544" s="73"/>
      <c r="HP544" s="73"/>
      <c r="HQ544" s="73"/>
      <c r="HR544" s="73"/>
      <c r="HS544" s="73"/>
      <c r="HT544" s="73"/>
      <c r="HU544" s="73"/>
      <c r="HV544" s="73"/>
      <c r="HW544" s="73"/>
      <c r="HX544" s="73"/>
      <c r="HY544" s="73"/>
      <c r="HZ544" s="73"/>
      <c r="IA544" s="73"/>
      <c r="IB544" s="73"/>
      <c r="IC544" s="73"/>
      <c r="ID544" s="73"/>
      <c r="IE544" s="73"/>
      <c r="IF544" s="73"/>
      <c r="IG544" s="73"/>
      <c r="IH544" s="73"/>
      <c r="II544" s="73"/>
      <c r="IJ544" s="73"/>
      <c r="IK544" s="73"/>
      <c r="IL544" s="73"/>
      <c r="IM544" s="73"/>
      <c r="IN544" s="73"/>
      <c r="IO544" s="73"/>
      <c r="IP544" s="73"/>
      <c r="IQ544" s="73"/>
      <c r="IR544" s="73"/>
      <c r="IS544" s="73"/>
      <c r="IT544" s="73"/>
      <c r="IU544" s="73"/>
      <c r="IV544" s="73"/>
      <c r="IW544" s="73"/>
      <c r="IX544" s="73"/>
      <c r="IY544" s="73"/>
      <c r="IZ544" s="73"/>
      <c r="JA544" s="73"/>
      <c r="JB544" s="73"/>
      <c r="JC544" s="73"/>
    </row>
    <row r="545" spans="2:263" s="72" customFormat="1">
      <c r="B545" s="73"/>
      <c r="C545" s="73"/>
      <c r="D545" s="73"/>
      <c r="E545" s="73"/>
      <c r="F545" s="73"/>
      <c r="G545" s="73"/>
      <c r="H545" s="73"/>
      <c r="I545" s="73"/>
      <c r="J545" s="73"/>
      <c r="K545" s="73"/>
      <c r="L545" s="73"/>
      <c r="M545" s="73"/>
      <c r="N545" s="73"/>
      <c r="O545" s="73"/>
      <c r="P545" s="73"/>
      <c r="Q545" s="73"/>
      <c r="R545" s="73"/>
      <c r="S545" s="73"/>
      <c r="T545" s="73"/>
      <c r="U545" s="73"/>
      <c r="V545" s="73"/>
      <c r="W545" s="73"/>
      <c r="GL545" s="73"/>
      <c r="GM545" s="73"/>
      <c r="GN545" s="73"/>
      <c r="GO545" s="73"/>
      <c r="GP545" s="73"/>
      <c r="GQ545" s="73"/>
      <c r="GR545" s="73"/>
      <c r="GS545" s="73"/>
      <c r="GT545" s="73"/>
      <c r="GU545" s="73"/>
      <c r="GV545" s="73"/>
      <c r="GW545" s="73"/>
      <c r="GX545" s="73"/>
      <c r="GY545" s="73"/>
      <c r="GZ545" s="73"/>
      <c r="HA545" s="73"/>
      <c r="HB545" s="73"/>
      <c r="HC545" s="73"/>
      <c r="HD545" s="73"/>
      <c r="HE545" s="73"/>
      <c r="HF545" s="73"/>
      <c r="HG545" s="73"/>
      <c r="HH545" s="73"/>
      <c r="HI545" s="73"/>
      <c r="HJ545" s="73"/>
      <c r="HK545" s="73"/>
      <c r="HL545" s="73"/>
      <c r="HM545" s="73"/>
      <c r="HN545" s="73"/>
      <c r="HO545" s="73"/>
      <c r="HP545" s="73"/>
      <c r="HQ545" s="73"/>
      <c r="HR545" s="73"/>
      <c r="HS545" s="73"/>
      <c r="HT545" s="73"/>
      <c r="HU545" s="73"/>
      <c r="HV545" s="73"/>
      <c r="HW545" s="73"/>
      <c r="HX545" s="73"/>
      <c r="HY545" s="73"/>
      <c r="HZ545" s="73"/>
      <c r="IA545" s="73"/>
      <c r="IB545" s="73"/>
      <c r="IC545" s="73"/>
      <c r="ID545" s="73"/>
      <c r="IE545" s="73"/>
      <c r="IF545" s="73"/>
      <c r="IG545" s="73"/>
      <c r="IH545" s="73"/>
      <c r="II545" s="73"/>
      <c r="IJ545" s="73"/>
      <c r="IK545" s="73"/>
      <c r="IL545" s="73"/>
      <c r="IM545" s="73"/>
      <c r="IN545" s="73"/>
      <c r="IO545" s="73"/>
      <c r="IP545" s="73"/>
      <c r="IQ545" s="73"/>
      <c r="IR545" s="73"/>
      <c r="IS545" s="73"/>
      <c r="IT545" s="73"/>
      <c r="IU545" s="73"/>
      <c r="IV545" s="73"/>
      <c r="IW545" s="73"/>
      <c r="IX545" s="73"/>
      <c r="IY545" s="73"/>
      <c r="IZ545" s="73"/>
      <c r="JA545" s="73"/>
      <c r="JB545" s="73"/>
      <c r="JC545" s="73"/>
    </row>
    <row r="546" spans="2:263" s="72" customFormat="1">
      <c r="B546" s="73"/>
      <c r="C546" s="73"/>
      <c r="D546" s="73"/>
      <c r="E546" s="73"/>
      <c r="F546" s="73"/>
      <c r="G546" s="73"/>
      <c r="H546" s="73"/>
      <c r="I546" s="73"/>
      <c r="J546" s="73"/>
      <c r="K546" s="73"/>
      <c r="L546" s="73"/>
      <c r="M546" s="73"/>
      <c r="N546" s="73"/>
      <c r="O546" s="73"/>
      <c r="P546" s="73"/>
      <c r="Q546" s="73"/>
      <c r="R546" s="73"/>
      <c r="S546" s="73"/>
      <c r="T546" s="73"/>
      <c r="U546" s="73"/>
      <c r="V546" s="73"/>
      <c r="W546" s="73"/>
      <c r="GL546" s="73"/>
      <c r="GM546" s="73"/>
      <c r="GN546" s="73"/>
      <c r="GO546" s="73"/>
      <c r="GP546" s="73"/>
      <c r="GQ546" s="73"/>
      <c r="GR546" s="73"/>
      <c r="GS546" s="73"/>
      <c r="GT546" s="73"/>
      <c r="GU546" s="73"/>
      <c r="GV546" s="73"/>
      <c r="GW546" s="73"/>
      <c r="GX546" s="73"/>
      <c r="GY546" s="73"/>
      <c r="GZ546" s="73"/>
      <c r="HA546" s="73"/>
      <c r="HB546" s="73"/>
      <c r="HC546" s="73"/>
      <c r="HD546" s="73"/>
      <c r="HE546" s="73"/>
      <c r="HF546" s="73"/>
      <c r="HG546" s="73"/>
      <c r="HH546" s="73"/>
      <c r="HI546" s="73"/>
      <c r="HJ546" s="73"/>
      <c r="HK546" s="73"/>
      <c r="HL546" s="73"/>
      <c r="HM546" s="73"/>
      <c r="HN546" s="73"/>
      <c r="HO546" s="73"/>
      <c r="HP546" s="73"/>
      <c r="HQ546" s="73"/>
      <c r="HR546" s="73"/>
      <c r="HS546" s="73"/>
      <c r="HT546" s="73"/>
      <c r="HU546" s="73"/>
      <c r="HV546" s="73"/>
      <c r="HW546" s="73"/>
      <c r="HX546" s="73"/>
      <c r="HY546" s="73"/>
      <c r="HZ546" s="73"/>
      <c r="IA546" s="73"/>
      <c r="IB546" s="73"/>
      <c r="IC546" s="73"/>
      <c r="ID546" s="73"/>
      <c r="IE546" s="73"/>
      <c r="IF546" s="73"/>
      <c r="IG546" s="73"/>
      <c r="IH546" s="73"/>
      <c r="II546" s="73"/>
      <c r="IJ546" s="73"/>
      <c r="IK546" s="73"/>
      <c r="IL546" s="73"/>
      <c r="IM546" s="73"/>
      <c r="IN546" s="73"/>
      <c r="IO546" s="73"/>
      <c r="IP546" s="73"/>
      <c r="IQ546" s="73"/>
      <c r="IR546" s="73"/>
      <c r="IS546" s="73"/>
      <c r="IT546" s="73"/>
      <c r="IU546" s="73"/>
      <c r="IV546" s="73"/>
      <c r="IW546" s="73"/>
      <c r="IX546" s="73"/>
      <c r="IY546" s="73"/>
      <c r="IZ546" s="73"/>
      <c r="JA546" s="73"/>
      <c r="JB546" s="73"/>
      <c r="JC546" s="73"/>
    </row>
    <row r="547" spans="2:263" s="72" customFormat="1">
      <c r="B547" s="73"/>
      <c r="C547" s="73"/>
      <c r="D547" s="73"/>
      <c r="E547" s="73"/>
      <c r="F547" s="73"/>
      <c r="G547" s="73"/>
      <c r="H547" s="73"/>
      <c r="I547" s="73"/>
      <c r="J547" s="73"/>
      <c r="K547" s="73"/>
      <c r="L547" s="73"/>
      <c r="M547" s="73"/>
      <c r="N547" s="73"/>
      <c r="O547" s="73"/>
      <c r="P547" s="73"/>
      <c r="Q547" s="73"/>
      <c r="R547" s="73"/>
      <c r="S547" s="73"/>
      <c r="T547" s="73"/>
      <c r="U547" s="73"/>
      <c r="V547" s="73"/>
      <c r="W547" s="73"/>
      <c r="GL547" s="73"/>
      <c r="GM547" s="73"/>
      <c r="GN547" s="73"/>
      <c r="GO547" s="73"/>
      <c r="GP547" s="73"/>
      <c r="GQ547" s="73"/>
      <c r="GR547" s="73"/>
      <c r="GS547" s="73"/>
      <c r="GT547" s="73"/>
      <c r="GU547" s="73"/>
      <c r="GV547" s="73"/>
      <c r="GW547" s="73"/>
      <c r="GX547" s="73"/>
      <c r="GY547" s="73"/>
      <c r="GZ547" s="73"/>
      <c r="HA547" s="73"/>
      <c r="HB547" s="73"/>
      <c r="HC547" s="73"/>
      <c r="HD547" s="73"/>
      <c r="HE547" s="73"/>
      <c r="HF547" s="73"/>
      <c r="HG547" s="73"/>
      <c r="HH547" s="73"/>
      <c r="HI547" s="73"/>
      <c r="HJ547" s="73"/>
      <c r="HK547" s="73"/>
      <c r="HL547" s="73"/>
      <c r="HM547" s="73"/>
      <c r="HN547" s="73"/>
      <c r="HO547" s="73"/>
      <c r="HP547" s="73"/>
      <c r="HQ547" s="73"/>
      <c r="HR547" s="73"/>
      <c r="HS547" s="73"/>
      <c r="HT547" s="73"/>
      <c r="HU547" s="73"/>
      <c r="HV547" s="73"/>
      <c r="HW547" s="73"/>
      <c r="HX547" s="73"/>
      <c r="HY547" s="73"/>
      <c r="HZ547" s="73"/>
      <c r="IA547" s="73"/>
      <c r="IB547" s="73"/>
      <c r="IC547" s="73"/>
      <c r="ID547" s="73"/>
      <c r="IE547" s="73"/>
      <c r="IF547" s="73"/>
      <c r="IG547" s="73"/>
      <c r="IH547" s="73"/>
      <c r="II547" s="73"/>
      <c r="IJ547" s="73"/>
      <c r="IK547" s="73"/>
      <c r="IL547" s="73"/>
      <c r="IM547" s="73"/>
      <c r="IN547" s="73"/>
      <c r="IO547" s="73"/>
      <c r="IP547" s="73"/>
      <c r="IQ547" s="73"/>
      <c r="IR547" s="73"/>
      <c r="IS547" s="73"/>
      <c r="IT547" s="73"/>
      <c r="IU547" s="73"/>
      <c r="IV547" s="73"/>
      <c r="IW547" s="73"/>
      <c r="IX547" s="73"/>
      <c r="IY547" s="73"/>
      <c r="IZ547" s="73"/>
      <c r="JA547" s="73"/>
      <c r="JB547" s="73"/>
      <c r="JC547" s="73"/>
    </row>
    <row r="548" spans="2:263" s="72" customFormat="1">
      <c r="B548" s="73"/>
      <c r="C548" s="73"/>
      <c r="D548" s="73"/>
      <c r="E548" s="73"/>
      <c r="F548" s="73"/>
      <c r="G548" s="73"/>
      <c r="H548" s="73"/>
      <c r="I548" s="73"/>
      <c r="J548" s="73"/>
      <c r="K548" s="73"/>
      <c r="L548" s="73"/>
      <c r="M548" s="73"/>
      <c r="N548" s="73"/>
      <c r="O548" s="73"/>
      <c r="P548" s="73"/>
      <c r="Q548" s="73"/>
      <c r="R548" s="73"/>
      <c r="S548" s="73"/>
      <c r="T548" s="73"/>
      <c r="U548" s="73"/>
      <c r="V548" s="73"/>
      <c r="W548" s="73"/>
      <c r="GL548" s="73"/>
      <c r="GM548" s="73"/>
      <c r="GN548" s="73"/>
      <c r="GO548" s="73"/>
      <c r="GP548" s="73"/>
      <c r="GQ548" s="73"/>
      <c r="GR548" s="73"/>
      <c r="GS548" s="73"/>
      <c r="GT548" s="73"/>
      <c r="GU548" s="73"/>
      <c r="GV548" s="73"/>
      <c r="GW548" s="73"/>
      <c r="GX548" s="73"/>
      <c r="GY548" s="73"/>
      <c r="GZ548" s="73"/>
      <c r="HA548" s="73"/>
      <c r="HB548" s="73"/>
      <c r="HC548" s="73"/>
      <c r="HD548" s="73"/>
      <c r="HE548" s="73"/>
      <c r="HF548" s="73"/>
      <c r="HG548" s="73"/>
      <c r="HH548" s="73"/>
      <c r="HI548" s="73"/>
      <c r="HJ548" s="73"/>
      <c r="HK548" s="73"/>
      <c r="HL548" s="73"/>
      <c r="HM548" s="73"/>
      <c r="HN548" s="73"/>
      <c r="HO548" s="73"/>
      <c r="HP548" s="73"/>
      <c r="HQ548" s="73"/>
      <c r="HR548" s="73"/>
      <c r="HS548" s="73"/>
      <c r="HT548" s="73"/>
      <c r="HU548" s="73"/>
      <c r="HV548" s="73"/>
      <c r="HW548" s="73"/>
      <c r="HX548" s="73"/>
      <c r="HY548" s="73"/>
      <c r="HZ548" s="73"/>
      <c r="IA548" s="73"/>
      <c r="IB548" s="73"/>
      <c r="IC548" s="73"/>
      <c r="ID548" s="73"/>
      <c r="IE548" s="73"/>
      <c r="IF548" s="73"/>
      <c r="IG548" s="73"/>
      <c r="IH548" s="73"/>
      <c r="II548" s="73"/>
      <c r="IJ548" s="73"/>
      <c r="IK548" s="73"/>
      <c r="IL548" s="73"/>
      <c r="IM548" s="73"/>
      <c r="IN548" s="73"/>
      <c r="IO548" s="73"/>
      <c r="IP548" s="73"/>
      <c r="IQ548" s="73"/>
      <c r="IR548" s="73"/>
      <c r="IS548" s="73"/>
      <c r="IT548" s="73"/>
      <c r="IU548" s="73"/>
      <c r="IV548" s="73"/>
      <c r="IW548" s="73"/>
      <c r="IX548" s="73"/>
      <c r="IY548" s="73"/>
      <c r="IZ548" s="73"/>
      <c r="JA548" s="73"/>
      <c r="JB548" s="73"/>
      <c r="JC548" s="73"/>
    </row>
    <row r="549" spans="2:263" s="72" customFormat="1">
      <c r="B549" s="73"/>
      <c r="C549" s="73"/>
      <c r="D549" s="73"/>
      <c r="E549" s="73"/>
      <c r="F549" s="73"/>
      <c r="G549" s="73"/>
      <c r="H549" s="73"/>
      <c r="I549" s="73"/>
      <c r="J549" s="73"/>
      <c r="K549" s="73"/>
      <c r="L549" s="73"/>
      <c r="M549" s="73"/>
      <c r="N549" s="73"/>
      <c r="O549" s="73"/>
      <c r="P549" s="73"/>
      <c r="Q549" s="73"/>
      <c r="R549" s="73"/>
      <c r="S549" s="73"/>
      <c r="T549" s="73"/>
      <c r="U549" s="73"/>
      <c r="V549" s="73"/>
      <c r="W549" s="73"/>
      <c r="GL549" s="73"/>
      <c r="GM549" s="73"/>
      <c r="GN549" s="73"/>
      <c r="GO549" s="73"/>
      <c r="GP549" s="73"/>
      <c r="GQ549" s="73"/>
      <c r="GR549" s="73"/>
      <c r="GS549" s="73"/>
      <c r="GT549" s="73"/>
      <c r="GU549" s="73"/>
      <c r="GV549" s="73"/>
      <c r="GW549" s="73"/>
      <c r="GX549" s="73"/>
      <c r="GY549" s="73"/>
      <c r="GZ549" s="73"/>
      <c r="HA549" s="73"/>
      <c r="HB549" s="73"/>
      <c r="HC549" s="73"/>
      <c r="HD549" s="73"/>
      <c r="HE549" s="73"/>
      <c r="HF549" s="73"/>
      <c r="HG549" s="73"/>
      <c r="HH549" s="73"/>
      <c r="HI549" s="73"/>
      <c r="HJ549" s="73"/>
      <c r="HK549" s="73"/>
      <c r="HL549" s="73"/>
      <c r="HM549" s="73"/>
      <c r="HN549" s="73"/>
      <c r="HO549" s="73"/>
      <c r="HP549" s="73"/>
      <c r="HQ549" s="73"/>
      <c r="HR549" s="73"/>
      <c r="HS549" s="73"/>
      <c r="HT549" s="73"/>
      <c r="HU549" s="73"/>
      <c r="HV549" s="73"/>
      <c r="HW549" s="73"/>
      <c r="HX549" s="73"/>
      <c r="HY549" s="73"/>
      <c r="HZ549" s="73"/>
      <c r="IA549" s="73"/>
      <c r="IB549" s="73"/>
      <c r="IC549" s="73"/>
      <c r="ID549" s="73"/>
      <c r="IE549" s="73"/>
      <c r="IF549" s="73"/>
      <c r="IG549" s="73"/>
      <c r="IH549" s="73"/>
      <c r="II549" s="73"/>
      <c r="IJ549" s="73"/>
      <c r="IK549" s="73"/>
      <c r="IL549" s="73"/>
      <c r="IM549" s="73"/>
      <c r="IN549" s="73"/>
      <c r="IO549" s="73"/>
      <c r="IP549" s="73"/>
      <c r="IQ549" s="73"/>
      <c r="IR549" s="73"/>
      <c r="IS549" s="73"/>
      <c r="IT549" s="73"/>
      <c r="IU549" s="73"/>
      <c r="IV549" s="73"/>
      <c r="IW549" s="73"/>
      <c r="IX549" s="73"/>
      <c r="IY549" s="73"/>
      <c r="IZ549" s="73"/>
      <c r="JA549" s="73"/>
      <c r="JB549" s="73"/>
      <c r="JC549" s="73"/>
    </row>
    <row r="550" spans="2:263" s="72" customFormat="1">
      <c r="B550" s="73"/>
      <c r="C550" s="73"/>
      <c r="D550" s="73"/>
      <c r="E550" s="73"/>
      <c r="F550" s="73"/>
      <c r="G550" s="73"/>
      <c r="H550" s="73"/>
      <c r="I550" s="73"/>
      <c r="J550" s="73"/>
      <c r="K550" s="73"/>
      <c r="L550" s="73"/>
      <c r="M550" s="73"/>
      <c r="N550" s="73"/>
      <c r="O550" s="73"/>
      <c r="P550" s="73"/>
      <c r="Q550" s="73"/>
      <c r="R550" s="73"/>
      <c r="S550" s="73"/>
      <c r="T550" s="73"/>
      <c r="U550" s="73"/>
      <c r="V550" s="73"/>
      <c r="W550" s="73"/>
      <c r="GL550" s="73"/>
      <c r="GM550" s="73"/>
      <c r="GN550" s="73"/>
      <c r="GO550" s="73"/>
      <c r="GP550" s="73"/>
      <c r="GQ550" s="73"/>
      <c r="GR550" s="73"/>
      <c r="GS550" s="73"/>
      <c r="GT550" s="73"/>
      <c r="GU550" s="73"/>
      <c r="GV550" s="73"/>
      <c r="GW550" s="73"/>
      <c r="GX550" s="73"/>
      <c r="GY550" s="73"/>
      <c r="GZ550" s="73"/>
      <c r="HA550" s="73"/>
      <c r="HB550" s="73"/>
      <c r="HC550" s="73"/>
      <c r="HD550" s="73"/>
      <c r="HE550" s="73"/>
      <c r="HF550" s="73"/>
      <c r="HG550" s="73"/>
      <c r="HH550" s="73"/>
      <c r="HI550" s="73"/>
      <c r="HJ550" s="73"/>
      <c r="HK550" s="73"/>
      <c r="HL550" s="73"/>
      <c r="HM550" s="73"/>
      <c r="HN550" s="73"/>
      <c r="HO550" s="73"/>
      <c r="HP550" s="73"/>
      <c r="HQ550" s="73"/>
      <c r="HR550" s="73"/>
      <c r="HS550" s="73"/>
      <c r="HT550" s="73"/>
      <c r="HU550" s="73"/>
      <c r="HV550" s="73"/>
      <c r="HW550" s="73"/>
      <c r="HX550" s="73"/>
      <c r="HY550" s="73"/>
      <c r="HZ550" s="73"/>
      <c r="IA550" s="73"/>
      <c r="IB550" s="73"/>
      <c r="IC550" s="73"/>
      <c r="ID550" s="73"/>
      <c r="IE550" s="73"/>
      <c r="IF550" s="73"/>
      <c r="IG550" s="73"/>
      <c r="IH550" s="73"/>
      <c r="II550" s="73"/>
      <c r="IJ550" s="73"/>
      <c r="IK550" s="73"/>
      <c r="IL550" s="73"/>
      <c r="IM550" s="73"/>
      <c r="IN550" s="73"/>
      <c r="IO550" s="73"/>
      <c r="IP550" s="73"/>
      <c r="IQ550" s="73"/>
      <c r="IR550" s="73"/>
      <c r="IS550" s="73"/>
      <c r="IT550" s="73"/>
      <c r="IU550" s="73"/>
      <c r="IV550" s="73"/>
      <c r="IW550" s="73"/>
      <c r="IX550" s="73"/>
      <c r="IY550" s="73"/>
      <c r="IZ550" s="73"/>
      <c r="JA550" s="73"/>
      <c r="JB550" s="73"/>
      <c r="JC550" s="73"/>
    </row>
    <row r="551" spans="2:263" s="72" customFormat="1">
      <c r="B551" s="73"/>
      <c r="C551" s="73"/>
      <c r="D551" s="73"/>
      <c r="E551" s="73"/>
      <c r="F551" s="73"/>
      <c r="G551" s="73"/>
      <c r="H551" s="73"/>
      <c r="I551" s="73"/>
      <c r="J551" s="73"/>
      <c r="K551" s="73"/>
      <c r="L551" s="73"/>
      <c r="M551" s="73"/>
      <c r="N551" s="73"/>
      <c r="O551" s="73"/>
      <c r="P551" s="73"/>
      <c r="Q551" s="73"/>
      <c r="R551" s="73"/>
      <c r="S551" s="73"/>
      <c r="T551" s="73"/>
      <c r="U551" s="73"/>
      <c r="V551" s="73"/>
      <c r="W551" s="73"/>
      <c r="GL551" s="73"/>
      <c r="GM551" s="73"/>
      <c r="GN551" s="73"/>
      <c r="GO551" s="73"/>
      <c r="GP551" s="73"/>
      <c r="GQ551" s="73"/>
      <c r="GR551" s="73"/>
      <c r="GS551" s="73"/>
      <c r="GT551" s="73"/>
      <c r="GU551" s="73"/>
      <c r="GV551" s="73"/>
      <c r="GW551" s="73"/>
      <c r="GX551" s="73"/>
      <c r="GY551" s="73"/>
      <c r="GZ551" s="73"/>
      <c r="HA551" s="73"/>
      <c r="HB551" s="73"/>
      <c r="HC551" s="73"/>
      <c r="HD551" s="73"/>
      <c r="HE551" s="73"/>
      <c r="HF551" s="73"/>
      <c r="HG551" s="73"/>
      <c r="HH551" s="73"/>
      <c r="HI551" s="73"/>
      <c r="HJ551" s="73"/>
      <c r="HK551" s="73"/>
      <c r="HL551" s="73"/>
      <c r="HM551" s="73"/>
      <c r="HN551" s="73"/>
      <c r="HO551" s="73"/>
      <c r="HP551" s="73"/>
      <c r="HQ551" s="73"/>
      <c r="HR551" s="73"/>
      <c r="HS551" s="73"/>
      <c r="HT551" s="73"/>
      <c r="HU551" s="73"/>
      <c r="HV551" s="73"/>
      <c r="HW551" s="73"/>
      <c r="HX551" s="73"/>
      <c r="HY551" s="73"/>
      <c r="HZ551" s="73"/>
      <c r="IA551" s="73"/>
      <c r="IB551" s="73"/>
      <c r="IC551" s="73"/>
      <c r="ID551" s="73"/>
      <c r="IE551" s="73"/>
      <c r="IF551" s="73"/>
      <c r="IG551" s="73"/>
      <c r="IH551" s="73"/>
      <c r="II551" s="73"/>
      <c r="IJ551" s="73"/>
      <c r="IK551" s="73"/>
      <c r="IL551" s="73"/>
      <c r="IM551" s="73"/>
      <c r="IN551" s="73"/>
      <c r="IO551" s="73"/>
      <c r="IP551" s="73"/>
      <c r="IQ551" s="73"/>
      <c r="IR551" s="73"/>
      <c r="IS551" s="73"/>
      <c r="IT551" s="73"/>
      <c r="IU551" s="73"/>
      <c r="IV551" s="73"/>
      <c r="IW551" s="73"/>
      <c r="IX551" s="73"/>
      <c r="IY551" s="73"/>
      <c r="IZ551" s="73"/>
      <c r="JA551" s="73"/>
      <c r="JB551" s="73"/>
      <c r="JC551" s="73"/>
    </row>
    <row r="552" spans="2:263" s="72" customFormat="1">
      <c r="B552" s="73"/>
      <c r="C552" s="73"/>
      <c r="D552" s="73"/>
      <c r="E552" s="73"/>
      <c r="F552" s="73"/>
      <c r="G552" s="73"/>
      <c r="H552" s="73"/>
      <c r="I552" s="73"/>
      <c r="J552" s="73"/>
      <c r="K552" s="73"/>
      <c r="L552" s="73"/>
      <c r="M552" s="73"/>
      <c r="N552" s="73"/>
      <c r="O552" s="73"/>
      <c r="P552" s="73"/>
      <c r="Q552" s="73"/>
      <c r="R552" s="73"/>
      <c r="S552" s="73"/>
      <c r="T552" s="73"/>
      <c r="U552" s="73"/>
      <c r="V552" s="73"/>
      <c r="W552" s="73"/>
      <c r="GL552" s="73"/>
      <c r="GM552" s="73"/>
      <c r="GN552" s="73"/>
      <c r="GO552" s="73"/>
      <c r="GP552" s="73"/>
      <c r="GQ552" s="73"/>
      <c r="GR552" s="73"/>
      <c r="GS552" s="73"/>
      <c r="GT552" s="73"/>
      <c r="GU552" s="73"/>
      <c r="GV552" s="73"/>
      <c r="GW552" s="73"/>
      <c r="GX552" s="73"/>
      <c r="GY552" s="73"/>
      <c r="GZ552" s="73"/>
      <c r="HA552" s="73"/>
      <c r="HB552" s="73"/>
      <c r="HC552" s="73"/>
      <c r="HD552" s="73"/>
      <c r="HE552" s="73"/>
      <c r="HF552" s="73"/>
      <c r="HG552" s="73"/>
      <c r="HH552" s="73"/>
      <c r="HI552" s="73"/>
      <c r="HJ552" s="73"/>
      <c r="HK552" s="73"/>
      <c r="HL552" s="73"/>
      <c r="HM552" s="73"/>
      <c r="HN552" s="73"/>
      <c r="HO552" s="73"/>
      <c r="HP552" s="73"/>
      <c r="HQ552" s="73"/>
      <c r="HR552" s="73"/>
      <c r="HS552" s="73"/>
      <c r="HT552" s="73"/>
      <c r="HU552" s="73"/>
      <c r="HV552" s="73"/>
      <c r="HW552" s="73"/>
      <c r="HX552" s="73"/>
      <c r="HY552" s="73"/>
      <c r="HZ552" s="73"/>
      <c r="IA552" s="73"/>
      <c r="IB552" s="73"/>
      <c r="IC552" s="73"/>
      <c r="ID552" s="73"/>
      <c r="IE552" s="73"/>
      <c r="IF552" s="73"/>
      <c r="IG552" s="73"/>
      <c r="IH552" s="73"/>
      <c r="II552" s="73"/>
      <c r="IJ552" s="73"/>
      <c r="IK552" s="73"/>
      <c r="IL552" s="73"/>
      <c r="IM552" s="73"/>
      <c r="IN552" s="73"/>
      <c r="IO552" s="73"/>
      <c r="IP552" s="73"/>
      <c r="IQ552" s="73"/>
      <c r="IR552" s="73"/>
      <c r="IS552" s="73"/>
      <c r="IT552" s="73"/>
      <c r="IU552" s="73"/>
      <c r="IV552" s="73"/>
      <c r="IW552" s="73"/>
      <c r="IX552" s="73"/>
      <c r="IY552" s="73"/>
      <c r="IZ552" s="73"/>
      <c r="JA552" s="73"/>
      <c r="JB552" s="73"/>
      <c r="JC552" s="73"/>
    </row>
    <row r="553" spans="2:263" s="72" customFormat="1">
      <c r="B553" s="73"/>
      <c r="C553" s="73"/>
      <c r="D553" s="73"/>
      <c r="E553" s="73"/>
      <c r="F553" s="73"/>
      <c r="G553" s="73"/>
      <c r="H553" s="73"/>
      <c r="I553" s="73"/>
      <c r="J553" s="73"/>
      <c r="K553" s="73"/>
      <c r="L553" s="73"/>
      <c r="M553" s="73"/>
      <c r="N553" s="73"/>
      <c r="O553" s="73"/>
      <c r="P553" s="73"/>
      <c r="Q553" s="73"/>
      <c r="R553" s="73"/>
      <c r="S553" s="73"/>
      <c r="T553" s="73"/>
      <c r="U553" s="73"/>
      <c r="V553" s="73"/>
      <c r="W553" s="73"/>
      <c r="GL553" s="73"/>
      <c r="GM553" s="73"/>
      <c r="GN553" s="73"/>
      <c r="GO553" s="73"/>
      <c r="GP553" s="73"/>
      <c r="GQ553" s="73"/>
      <c r="GR553" s="73"/>
      <c r="GS553" s="73"/>
      <c r="GT553" s="73"/>
      <c r="GU553" s="73"/>
      <c r="GV553" s="73"/>
      <c r="GW553" s="73"/>
      <c r="GX553" s="73"/>
      <c r="GY553" s="73"/>
      <c r="GZ553" s="73"/>
      <c r="HA553" s="73"/>
      <c r="HB553" s="73"/>
      <c r="HC553" s="73"/>
      <c r="HD553" s="73"/>
      <c r="HE553" s="73"/>
      <c r="HF553" s="73"/>
      <c r="HG553" s="73"/>
      <c r="HH553" s="73"/>
      <c r="HI553" s="73"/>
      <c r="HJ553" s="73"/>
      <c r="HK553" s="73"/>
      <c r="HL553" s="73"/>
      <c r="HM553" s="73"/>
      <c r="HN553" s="73"/>
      <c r="HO553" s="73"/>
      <c r="HP553" s="73"/>
      <c r="HQ553" s="73"/>
      <c r="HR553" s="73"/>
      <c r="HS553" s="73"/>
      <c r="HT553" s="73"/>
      <c r="HU553" s="73"/>
      <c r="HV553" s="73"/>
      <c r="HW553" s="73"/>
      <c r="HX553" s="73"/>
      <c r="HY553" s="73"/>
      <c r="HZ553" s="73"/>
      <c r="IA553" s="73"/>
      <c r="IB553" s="73"/>
      <c r="IC553" s="73"/>
      <c r="ID553" s="73"/>
      <c r="IE553" s="73"/>
      <c r="IF553" s="73"/>
      <c r="IG553" s="73"/>
      <c r="IH553" s="73"/>
      <c r="II553" s="73"/>
      <c r="IJ553" s="73"/>
      <c r="IK553" s="73"/>
      <c r="IL553" s="73"/>
      <c r="IM553" s="73"/>
      <c r="IN553" s="73"/>
      <c r="IO553" s="73"/>
      <c r="IP553" s="73"/>
      <c r="IQ553" s="73"/>
      <c r="IR553" s="73"/>
      <c r="IS553" s="73"/>
      <c r="IT553" s="73"/>
      <c r="IU553" s="73"/>
      <c r="IV553" s="73"/>
      <c r="IW553" s="73"/>
      <c r="IX553" s="73"/>
      <c r="IY553" s="73"/>
      <c r="IZ553" s="73"/>
      <c r="JA553" s="73"/>
      <c r="JB553" s="73"/>
      <c r="JC553" s="73"/>
    </row>
    <row r="554" spans="2:263" s="72" customFormat="1">
      <c r="B554" s="73"/>
      <c r="C554" s="73"/>
      <c r="D554" s="73"/>
      <c r="E554" s="73"/>
      <c r="F554" s="73"/>
      <c r="G554" s="73"/>
      <c r="H554" s="73"/>
      <c r="I554" s="73"/>
      <c r="J554" s="73"/>
      <c r="K554" s="73"/>
      <c r="L554" s="73"/>
      <c r="M554" s="73"/>
      <c r="N554" s="73"/>
      <c r="O554" s="73"/>
      <c r="P554" s="73"/>
      <c r="Q554" s="73"/>
      <c r="R554" s="73"/>
      <c r="S554" s="73"/>
      <c r="T554" s="73"/>
      <c r="U554" s="73"/>
      <c r="V554" s="73"/>
      <c r="W554" s="73"/>
      <c r="GL554" s="73"/>
      <c r="GM554" s="73"/>
      <c r="GN554" s="73"/>
      <c r="GO554" s="73"/>
      <c r="GP554" s="73"/>
      <c r="GQ554" s="73"/>
      <c r="GR554" s="73"/>
      <c r="GS554" s="73"/>
      <c r="GT554" s="73"/>
      <c r="GU554" s="73"/>
      <c r="GV554" s="73"/>
      <c r="GW554" s="73"/>
      <c r="GX554" s="73"/>
      <c r="GY554" s="73"/>
      <c r="GZ554" s="73"/>
      <c r="HA554" s="73"/>
      <c r="HB554" s="73"/>
      <c r="HC554" s="73"/>
      <c r="HD554" s="73"/>
      <c r="HE554" s="73"/>
      <c r="HF554" s="73"/>
      <c r="HG554" s="73"/>
      <c r="HH554" s="73"/>
      <c r="HI554" s="73"/>
      <c r="HJ554" s="73"/>
      <c r="HK554" s="73"/>
      <c r="HL554" s="73"/>
      <c r="HM554" s="73"/>
      <c r="HN554" s="73"/>
      <c r="HO554" s="73"/>
      <c r="HP554" s="73"/>
      <c r="HQ554" s="73"/>
      <c r="HR554" s="73"/>
      <c r="HS554" s="73"/>
      <c r="HT554" s="73"/>
      <c r="HU554" s="73"/>
      <c r="HV554" s="73"/>
      <c r="HW554" s="73"/>
      <c r="HX554" s="73"/>
      <c r="HY554" s="73"/>
      <c r="HZ554" s="73"/>
      <c r="IA554" s="73"/>
      <c r="IB554" s="73"/>
      <c r="IC554" s="73"/>
      <c r="ID554" s="73"/>
      <c r="IE554" s="73"/>
      <c r="IF554" s="73"/>
      <c r="IG554" s="73"/>
      <c r="IH554" s="73"/>
      <c r="II554" s="73"/>
      <c r="IJ554" s="73"/>
      <c r="IK554" s="73"/>
      <c r="IL554" s="73"/>
      <c r="IM554" s="73"/>
      <c r="IN554" s="73"/>
      <c r="IO554" s="73"/>
      <c r="IP554" s="73"/>
      <c r="IQ554" s="73"/>
      <c r="IR554" s="73"/>
      <c r="IS554" s="73"/>
      <c r="IT554" s="73"/>
      <c r="IU554" s="73"/>
      <c r="IV554" s="73"/>
      <c r="IW554" s="73"/>
      <c r="IX554" s="73"/>
      <c r="IY554" s="73"/>
      <c r="IZ554" s="73"/>
      <c r="JA554" s="73"/>
      <c r="JB554" s="73"/>
      <c r="JC554" s="73"/>
    </row>
    <row r="555" spans="2:263" s="72" customFormat="1">
      <c r="B555" s="73"/>
      <c r="C555" s="73"/>
      <c r="D555" s="73"/>
      <c r="E555" s="73"/>
      <c r="F555" s="73"/>
      <c r="G555" s="73"/>
      <c r="H555" s="73"/>
      <c r="I555" s="73"/>
      <c r="J555" s="73"/>
      <c r="K555" s="73"/>
      <c r="L555" s="73"/>
      <c r="M555" s="73"/>
      <c r="N555" s="73"/>
      <c r="O555" s="73"/>
      <c r="P555" s="73"/>
      <c r="Q555" s="73"/>
      <c r="R555" s="73"/>
      <c r="S555" s="73"/>
      <c r="T555" s="73"/>
      <c r="U555" s="73"/>
      <c r="V555" s="73"/>
      <c r="W555" s="73"/>
      <c r="GL555" s="73"/>
      <c r="GM555" s="73"/>
      <c r="GN555" s="73"/>
      <c r="GO555" s="73"/>
      <c r="GP555" s="73"/>
      <c r="GQ555" s="73"/>
      <c r="GR555" s="73"/>
      <c r="GS555" s="73"/>
      <c r="GT555" s="73"/>
      <c r="GU555" s="73"/>
      <c r="GV555" s="73"/>
      <c r="GW555" s="73"/>
      <c r="GX555" s="73"/>
      <c r="GY555" s="73"/>
      <c r="GZ555" s="73"/>
      <c r="HA555" s="73"/>
      <c r="HB555" s="73"/>
      <c r="HC555" s="73"/>
      <c r="HD555" s="73"/>
      <c r="HE555" s="73"/>
      <c r="HF555" s="73"/>
      <c r="HG555" s="73"/>
      <c r="HH555" s="73"/>
      <c r="HI555" s="73"/>
      <c r="HJ555" s="73"/>
      <c r="HK555" s="73"/>
      <c r="HL555" s="73"/>
      <c r="HM555" s="73"/>
      <c r="HN555" s="73"/>
      <c r="HO555" s="73"/>
      <c r="HP555" s="73"/>
      <c r="HQ555" s="73"/>
      <c r="HR555" s="73"/>
      <c r="HS555" s="73"/>
      <c r="HT555" s="73"/>
      <c r="HU555" s="73"/>
      <c r="HV555" s="73"/>
      <c r="HW555" s="73"/>
      <c r="HX555" s="73"/>
      <c r="HY555" s="73"/>
      <c r="HZ555" s="73"/>
      <c r="IA555" s="73"/>
      <c r="IB555" s="73"/>
      <c r="IC555" s="73"/>
      <c r="ID555" s="73"/>
      <c r="IE555" s="73"/>
      <c r="IF555" s="73"/>
      <c r="IG555" s="73"/>
      <c r="IH555" s="73"/>
      <c r="II555" s="73"/>
      <c r="IJ555" s="73"/>
      <c r="IK555" s="73"/>
      <c r="IL555" s="73"/>
      <c r="IM555" s="73"/>
      <c r="IN555" s="73"/>
      <c r="IO555" s="73"/>
      <c r="IP555" s="73"/>
      <c r="IQ555" s="73"/>
      <c r="IR555" s="73"/>
      <c r="IS555" s="73"/>
      <c r="IT555" s="73"/>
      <c r="IU555" s="73"/>
      <c r="IV555" s="73"/>
      <c r="IW555" s="73"/>
      <c r="IX555" s="73"/>
      <c r="IY555" s="73"/>
      <c r="IZ555" s="73"/>
      <c r="JA555" s="73"/>
      <c r="JB555" s="73"/>
      <c r="JC555" s="73"/>
    </row>
    <row r="556" spans="2:263" s="72" customFormat="1">
      <c r="B556" s="73"/>
      <c r="C556" s="73"/>
      <c r="D556" s="73"/>
      <c r="E556" s="73"/>
      <c r="F556" s="73"/>
      <c r="G556" s="73"/>
      <c r="H556" s="73"/>
      <c r="I556" s="73"/>
      <c r="J556" s="73"/>
      <c r="K556" s="73"/>
      <c r="L556" s="73"/>
      <c r="M556" s="73"/>
      <c r="N556" s="73"/>
      <c r="O556" s="73"/>
      <c r="P556" s="73"/>
      <c r="Q556" s="73"/>
      <c r="R556" s="73"/>
      <c r="S556" s="73"/>
      <c r="T556" s="73"/>
      <c r="U556" s="73"/>
      <c r="V556" s="73"/>
      <c r="W556" s="73"/>
      <c r="GL556" s="73"/>
      <c r="GM556" s="73"/>
      <c r="GN556" s="73"/>
      <c r="GO556" s="73"/>
      <c r="GP556" s="73"/>
      <c r="GQ556" s="73"/>
      <c r="GR556" s="73"/>
      <c r="GS556" s="73"/>
      <c r="GT556" s="73"/>
      <c r="GU556" s="73"/>
      <c r="GV556" s="73"/>
      <c r="GW556" s="73"/>
      <c r="GX556" s="73"/>
      <c r="GY556" s="73"/>
      <c r="GZ556" s="73"/>
      <c r="HA556" s="73"/>
      <c r="HB556" s="73"/>
      <c r="HC556" s="73"/>
      <c r="HD556" s="73"/>
      <c r="HE556" s="73"/>
      <c r="HF556" s="73"/>
      <c r="HG556" s="73"/>
      <c r="HH556" s="73"/>
      <c r="HI556" s="73"/>
      <c r="HJ556" s="73"/>
      <c r="HK556" s="73"/>
      <c r="HL556" s="73"/>
      <c r="HM556" s="73"/>
      <c r="HN556" s="73"/>
      <c r="HO556" s="73"/>
      <c r="HP556" s="73"/>
      <c r="HQ556" s="73"/>
      <c r="HR556" s="73"/>
      <c r="HS556" s="73"/>
      <c r="HT556" s="73"/>
      <c r="HU556" s="73"/>
      <c r="HV556" s="73"/>
      <c r="HW556" s="73"/>
      <c r="HX556" s="73"/>
      <c r="HY556" s="73"/>
      <c r="HZ556" s="73"/>
      <c r="IA556" s="73"/>
      <c r="IB556" s="73"/>
      <c r="IC556" s="73"/>
      <c r="ID556" s="73"/>
      <c r="IE556" s="73"/>
      <c r="IF556" s="73"/>
      <c r="IG556" s="73"/>
      <c r="IH556" s="73"/>
      <c r="II556" s="73"/>
      <c r="IJ556" s="73"/>
      <c r="IK556" s="73"/>
      <c r="IL556" s="73"/>
      <c r="IM556" s="73"/>
      <c r="IN556" s="73"/>
      <c r="IO556" s="73"/>
      <c r="IP556" s="73"/>
      <c r="IQ556" s="73"/>
      <c r="IR556" s="73"/>
      <c r="IS556" s="73"/>
      <c r="IT556" s="73"/>
      <c r="IU556" s="73"/>
      <c r="IV556" s="73"/>
      <c r="IW556" s="73"/>
      <c r="IX556" s="73"/>
      <c r="IY556" s="73"/>
      <c r="IZ556" s="73"/>
      <c r="JA556" s="73"/>
      <c r="JB556" s="73"/>
      <c r="JC556" s="73"/>
    </row>
    <row r="557" spans="2:263" s="72" customFormat="1">
      <c r="B557" s="73"/>
      <c r="C557" s="73"/>
      <c r="D557" s="73"/>
      <c r="E557" s="73"/>
      <c r="F557" s="73"/>
      <c r="G557" s="73"/>
      <c r="H557" s="73"/>
      <c r="I557" s="73"/>
      <c r="J557" s="73"/>
      <c r="K557" s="73"/>
      <c r="L557" s="73"/>
      <c r="M557" s="73"/>
      <c r="N557" s="73"/>
      <c r="O557" s="73"/>
      <c r="P557" s="73"/>
      <c r="Q557" s="73"/>
      <c r="R557" s="73"/>
      <c r="S557" s="73"/>
      <c r="T557" s="73"/>
      <c r="U557" s="73"/>
      <c r="V557" s="73"/>
      <c r="W557" s="73"/>
      <c r="GL557" s="73"/>
      <c r="GM557" s="73"/>
      <c r="GN557" s="73"/>
      <c r="GO557" s="73"/>
      <c r="GP557" s="73"/>
      <c r="GQ557" s="73"/>
      <c r="GR557" s="73"/>
      <c r="GS557" s="73"/>
      <c r="GT557" s="73"/>
      <c r="GU557" s="73"/>
      <c r="GV557" s="73"/>
      <c r="GW557" s="73"/>
      <c r="GX557" s="73"/>
      <c r="GY557" s="73"/>
      <c r="GZ557" s="73"/>
      <c r="HA557" s="73"/>
      <c r="HB557" s="73"/>
      <c r="HC557" s="73"/>
      <c r="HD557" s="73"/>
      <c r="HE557" s="73"/>
      <c r="HF557" s="73"/>
      <c r="HG557" s="73"/>
      <c r="HH557" s="73"/>
      <c r="HI557" s="73"/>
      <c r="HJ557" s="73"/>
      <c r="HK557" s="73"/>
      <c r="HL557" s="73"/>
      <c r="HM557" s="73"/>
      <c r="HN557" s="73"/>
      <c r="HO557" s="73"/>
      <c r="HP557" s="73"/>
      <c r="HQ557" s="73"/>
      <c r="HR557" s="73"/>
      <c r="HS557" s="73"/>
      <c r="HT557" s="73"/>
      <c r="HU557" s="73"/>
      <c r="HV557" s="73"/>
      <c r="HW557" s="73"/>
      <c r="HX557" s="73"/>
      <c r="HY557" s="73"/>
      <c r="HZ557" s="73"/>
      <c r="IA557" s="73"/>
      <c r="IB557" s="73"/>
      <c r="IC557" s="73"/>
      <c r="ID557" s="73"/>
      <c r="IE557" s="73"/>
      <c r="IF557" s="73"/>
      <c r="IG557" s="73"/>
      <c r="IH557" s="73"/>
      <c r="II557" s="73"/>
      <c r="IJ557" s="73"/>
      <c r="IK557" s="73"/>
      <c r="IL557" s="73"/>
      <c r="IM557" s="73"/>
      <c r="IN557" s="73"/>
      <c r="IO557" s="73"/>
      <c r="IP557" s="73"/>
      <c r="IQ557" s="73"/>
      <c r="IR557" s="73"/>
      <c r="IS557" s="73"/>
      <c r="IT557" s="73"/>
      <c r="IU557" s="73"/>
      <c r="IV557" s="73"/>
      <c r="IW557" s="73"/>
      <c r="IX557" s="73"/>
      <c r="IY557" s="73"/>
      <c r="IZ557" s="73"/>
      <c r="JA557" s="73"/>
      <c r="JB557" s="73"/>
      <c r="JC557" s="73"/>
    </row>
    <row r="558" spans="2:263" s="72" customFormat="1">
      <c r="B558" s="73"/>
      <c r="C558" s="73"/>
      <c r="D558" s="73"/>
      <c r="E558" s="73"/>
      <c r="F558" s="73"/>
      <c r="G558" s="73"/>
      <c r="H558" s="73"/>
      <c r="I558" s="73"/>
      <c r="J558" s="73"/>
      <c r="K558" s="73"/>
      <c r="L558" s="73"/>
      <c r="M558" s="73"/>
      <c r="N558" s="73"/>
      <c r="O558" s="73"/>
      <c r="P558" s="73"/>
      <c r="Q558" s="73"/>
      <c r="R558" s="73"/>
      <c r="S558" s="73"/>
      <c r="T558" s="73"/>
      <c r="U558" s="73"/>
      <c r="V558" s="73"/>
      <c r="W558" s="73"/>
      <c r="GL558" s="73"/>
      <c r="GM558" s="73"/>
      <c r="GN558" s="73"/>
      <c r="GO558" s="73"/>
      <c r="GP558" s="73"/>
      <c r="GQ558" s="73"/>
      <c r="GR558" s="73"/>
      <c r="GS558" s="73"/>
      <c r="GT558" s="73"/>
      <c r="GU558" s="73"/>
      <c r="GV558" s="73"/>
      <c r="GW558" s="73"/>
      <c r="GX558" s="73"/>
      <c r="GY558" s="73"/>
      <c r="GZ558" s="73"/>
      <c r="HA558" s="73"/>
      <c r="HB558" s="73"/>
      <c r="HC558" s="73"/>
      <c r="HD558" s="73"/>
      <c r="HE558" s="73"/>
      <c r="HF558" s="73"/>
      <c r="HG558" s="73"/>
      <c r="HH558" s="73"/>
      <c r="HI558" s="73"/>
      <c r="HJ558" s="73"/>
      <c r="HK558" s="73"/>
      <c r="HL558" s="73"/>
      <c r="HM558" s="73"/>
      <c r="HN558" s="73"/>
      <c r="HO558" s="73"/>
      <c r="HP558" s="73"/>
      <c r="HQ558" s="73"/>
      <c r="HR558" s="73"/>
      <c r="HS558" s="73"/>
      <c r="HT558" s="73"/>
      <c r="HU558" s="73"/>
      <c r="HV558" s="73"/>
      <c r="HW558" s="73"/>
      <c r="HX558" s="73"/>
      <c r="HY558" s="73"/>
      <c r="HZ558" s="73"/>
      <c r="IA558" s="73"/>
      <c r="IB558" s="73"/>
      <c r="IC558" s="73"/>
      <c r="ID558" s="73"/>
      <c r="IE558" s="73"/>
      <c r="IF558" s="73"/>
      <c r="IG558" s="73"/>
      <c r="IH558" s="73"/>
      <c r="II558" s="73"/>
      <c r="IJ558" s="73"/>
      <c r="IK558" s="73"/>
      <c r="IL558" s="73"/>
      <c r="IM558" s="73"/>
      <c r="IN558" s="73"/>
      <c r="IO558" s="73"/>
      <c r="IP558" s="73"/>
      <c r="IQ558" s="73"/>
      <c r="IR558" s="73"/>
      <c r="IS558" s="73"/>
      <c r="IT558" s="73"/>
      <c r="IU558" s="73"/>
      <c r="IV558" s="73"/>
      <c r="IW558" s="73"/>
      <c r="IX558" s="73"/>
      <c r="IY558" s="73"/>
      <c r="IZ558" s="73"/>
      <c r="JA558" s="73"/>
      <c r="JB558" s="73"/>
      <c r="JC558" s="73"/>
    </row>
    <row r="559" spans="2:263" s="72" customFormat="1">
      <c r="B559" s="73"/>
      <c r="C559" s="73"/>
      <c r="D559" s="73"/>
      <c r="E559" s="73"/>
      <c r="F559" s="73"/>
      <c r="G559" s="73"/>
      <c r="H559" s="73"/>
      <c r="I559" s="73"/>
      <c r="J559" s="73"/>
      <c r="K559" s="73"/>
      <c r="L559" s="73"/>
      <c r="M559" s="73"/>
      <c r="N559" s="73"/>
      <c r="O559" s="73"/>
      <c r="P559" s="73"/>
      <c r="Q559" s="73"/>
      <c r="R559" s="73"/>
      <c r="S559" s="73"/>
      <c r="T559" s="73"/>
      <c r="U559" s="73"/>
      <c r="V559" s="73"/>
      <c r="W559" s="73"/>
      <c r="GL559" s="73"/>
      <c r="GM559" s="73"/>
      <c r="GN559" s="73"/>
      <c r="GO559" s="73"/>
      <c r="GP559" s="73"/>
      <c r="GQ559" s="73"/>
      <c r="GR559" s="73"/>
      <c r="GS559" s="73"/>
      <c r="GT559" s="73"/>
      <c r="GU559" s="73"/>
      <c r="GV559" s="73"/>
      <c r="GW559" s="73"/>
      <c r="GX559" s="73"/>
      <c r="GY559" s="73"/>
      <c r="GZ559" s="73"/>
      <c r="HA559" s="73"/>
      <c r="HB559" s="73"/>
      <c r="HC559" s="73"/>
      <c r="HD559" s="73"/>
      <c r="HE559" s="73"/>
      <c r="HF559" s="73"/>
      <c r="HG559" s="73"/>
      <c r="HH559" s="73"/>
      <c r="HI559" s="73"/>
      <c r="HJ559" s="73"/>
      <c r="HK559" s="73"/>
      <c r="HL559" s="73"/>
      <c r="HM559" s="73"/>
      <c r="HN559" s="73"/>
      <c r="HO559" s="73"/>
      <c r="HP559" s="73"/>
      <c r="HQ559" s="73"/>
      <c r="HR559" s="73"/>
      <c r="HS559" s="73"/>
      <c r="HT559" s="73"/>
      <c r="HU559" s="73"/>
      <c r="HV559" s="73"/>
      <c r="HW559" s="73"/>
      <c r="HX559" s="73"/>
      <c r="HY559" s="73"/>
      <c r="HZ559" s="73"/>
      <c r="IA559" s="73"/>
      <c r="IB559" s="73"/>
      <c r="IC559" s="73"/>
      <c r="ID559" s="73"/>
      <c r="IE559" s="73"/>
      <c r="IF559" s="73"/>
      <c r="IG559" s="73"/>
      <c r="IH559" s="73"/>
      <c r="II559" s="73"/>
      <c r="IJ559" s="73"/>
      <c r="IK559" s="73"/>
      <c r="IL559" s="73"/>
      <c r="IM559" s="73"/>
      <c r="IN559" s="73"/>
      <c r="IO559" s="73"/>
      <c r="IP559" s="73"/>
      <c r="IQ559" s="73"/>
      <c r="IR559" s="73"/>
      <c r="IS559" s="73"/>
      <c r="IT559" s="73"/>
      <c r="IU559" s="73"/>
      <c r="IV559" s="73"/>
      <c r="IW559" s="73"/>
      <c r="IX559" s="73"/>
      <c r="IY559" s="73"/>
      <c r="IZ559" s="73"/>
      <c r="JA559" s="73"/>
      <c r="JB559" s="73"/>
      <c r="JC559" s="73"/>
    </row>
    <row r="560" spans="2:263" s="72" customFormat="1">
      <c r="B560" s="73"/>
      <c r="C560" s="73"/>
      <c r="D560" s="73"/>
      <c r="E560" s="73"/>
      <c r="F560" s="73"/>
      <c r="G560" s="73"/>
      <c r="H560" s="73"/>
      <c r="I560" s="73"/>
      <c r="J560" s="73"/>
      <c r="K560" s="73"/>
      <c r="L560" s="73"/>
      <c r="M560" s="73"/>
      <c r="N560" s="73"/>
      <c r="O560" s="73"/>
      <c r="P560" s="73"/>
      <c r="Q560" s="73"/>
      <c r="R560" s="73"/>
      <c r="S560" s="73"/>
      <c r="T560" s="73"/>
      <c r="U560" s="73"/>
      <c r="V560" s="73"/>
      <c r="W560" s="73"/>
      <c r="GL560" s="73"/>
      <c r="GM560" s="73"/>
      <c r="GN560" s="73"/>
      <c r="GO560" s="73"/>
      <c r="GP560" s="73"/>
      <c r="GQ560" s="73"/>
      <c r="GR560" s="73"/>
      <c r="GS560" s="73"/>
      <c r="GT560" s="73"/>
      <c r="GU560" s="73"/>
      <c r="GV560" s="73"/>
      <c r="GW560" s="73"/>
      <c r="GX560" s="73"/>
      <c r="GY560" s="73"/>
      <c r="GZ560" s="73"/>
      <c r="HA560" s="73"/>
      <c r="HB560" s="73"/>
      <c r="HC560" s="73"/>
      <c r="HD560" s="73"/>
      <c r="HE560" s="73"/>
      <c r="HF560" s="73"/>
      <c r="HG560" s="73"/>
      <c r="HH560" s="73"/>
      <c r="HI560" s="73"/>
      <c r="HJ560" s="73"/>
      <c r="HK560" s="73"/>
      <c r="HL560" s="73"/>
      <c r="HM560" s="73"/>
      <c r="HN560" s="73"/>
      <c r="HO560" s="73"/>
      <c r="HP560" s="73"/>
      <c r="HQ560" s="73"/>
      <c r="HR560" s="73"/>
      <c r="HS560" s="73"/>
      <c r="HT560" s="73"/>
      <c r="HU560" s="73"/>
      <c r="HV560" s="73"/>
      <c r="HW560" s="73"/>
      <c r="HX560" s="73"/>
      <c r="HY560" s="73"/>
      <c r="HZ560" s="73"/>
      <c r="IA560" s="73"/>
      <c r="IB560" s="73"/>
      <c r="IC560" s="73"/>
      <c r="ID560" s="73"/>
      <c r="IE560" s="73"/>
      <c r="IF560" s="73"/>
      <c r="IG560" s="73"/>
      <c r="IH560" s="73"/>
      <c r="II560" s="73"/>
      <c r="IJ560" s="73"/>
      <c r="IK560" s="73"/>
      <c r="IL560" s="73"/>
      <c r="IM560" s="73"/>
      <c r="IN560" s="73"/>
      <c r="IO560" s="73"/>
      <c r="IP560" s="73"/>
      <c r="IQ560" s="73"/>
      <c r="IR560" s="73"/>
      <c r="IS560" s="73"/>
      <c r="IT560" s="73"/>
      <c r="IU560" s="73"/>
      <c r="IV560" s="73"/>
      <c r="IW560" s="73"/>
      <c r="IX560" s="73"/>
      <c r="IY560" s="73"/>
      <c r="IZ560" s="73"/>
      <c r="JA560" s="73"/>
      <c r="JB560" s="73"/>
      <c r="JC560" s="73"/>
    </row>
    <row r="561" spans="2:263" s="72" customFormat="1">
      <c r="B561" s="73"/>
      <c r="C561" s="73"/>
      <c r="D561" s="73"/>
      <c r="E561" s="73"/>
      <c r="F561" s="73"/>
      <c r="G561" s="73"/>
      <c r="H561" s="73"/>
      <c r="I561" s="73"/>
      <c r="J561" s="73"/>
      <c r="K561" s="73"/>
      <c r="L561" s="73"/>
      <c r="M561" s="73"/>
      <c r="N561" s="73"/>
      <c r="O561" s="73"/>
      <c r="P561" s="73"/>
      <c r="Q561" s="73"/>
      <c r="R561" s="73"/>
      <c r="S561" s="73"/>
      <c r="T561" s="73"/>
      <c r="U561" s="73"/>
      <c r="V561" s="73"/>
      <c r="W561" s="73"/>
      <c r="GL561" s="73"/>
      <c r="GM561" s="73"/>
      <c r="GN561" s="73"/>
      <c r="GO561" s="73"/>
      <c r="GP561" s="73"/>
      <c r="GQ561" s="73"/>
      <c r="GR561" s="73"/>
      <c r="GS561" s="73"/>
      <c r="GT561" s="73"/>
      <c r="GU561" s="73"/>
      <c r="GV561" s="73"/>
      <c r="GW561" s="73"/>
      <c r="GX561" s="73"/>
      <c r="GY561" s="73"/>
      <c r="GZ561" s="73"/>
      <c r="HA561" s="73"/>
      <c r="HB561" s="73"/>
      <c r="HC561" s="73"/>
      <c r="HD561" s="73"/>
      <c r="HE561" s="73"/>
      <c r="HF561" s="73"/>
      <c r="HG561" s="73"/>
      <c r="HH561" s="73"/>
      <c r="HI561" s="73"/>
      <c r="HJ561" s="73"/>
      <c r="HK561" s="73"/>
      <c r="HL561" s="73"/>
      <c r="HM561" s="73"/>
      <c r="HN561" s="73"/>
      <c r="HO561" s="73"/>
      <c r="HP561" s="73"/>
      <c r="HQ561" s="73"/>
      <c r="HR561" s="73"/>
      <c r="HS561" s="73"/>
      <c r="HT561" s="73"/>
      <c r="HU561" s="73"/>
      <c r="HV561" s="73"/>
      <c r="HW561" s="73"/>
      <c r="HX561" s="73"/>
      <c r="HY561" s="73"/>
      <c r="HZ561" s="73"/>
      <c r="IA561" s="73"/>
      <c r="IB561" s="73"/>
      <c r="IC561" s="73"/>
      <c r="ID561" s="73"/>
      <c r="IE561" s="73"/>
      <c r="IF561" s="73"/>
      <c r="IG561" s="73"/>
      <c r="IH561" s="73"/>
      <c r="II561" s="73"/>
      <c r="IJ561" s="73"/>
      <c r="IK561" s="73"/>
      <c r="IL561" s="73"/>
      <c r="IM561" s="73"/>
      <c r="IN561" s="73"/>
      <c r="IO561" s="73"/>
      <c r="IP561" s="73"/>
      <c r="IQ561" s="73"/>
      <c r="IR561" s="73"/>
      <c r="IS561" s="73"/>
      <c r="IT561" s="73"/>
      <c r="IU561" s="73"/>
      <c r="IV561" s="73"/>
      <c r="IW561" s="73"/>
      <c r="IX561" s="73"/>
      <c r="IY561" s="73"/>
      <c r="IZ561" s="73"/>
      <c r="JA561" s="73"/>
      <c r="JB561" s="73"/>
      <c r="JC561" s="73"/>
    </row>
    <row r="562" spans="2:263" s="72" customFormat="1">
      <c r="B562" s="73"/>
      <c r="C562" s="73"/>
      <c r="D562" s="73"/>
      <c r="E562" s="73"/>
      <c r="F562" s="73"/>
      <c r="G562" s="73"/>
      <c r="H562" s="73"/>
      <c r="I562" s="73"/>
      <c r="J562" s="73"/>
      <c r="K562" s="73"/>
      <c r="L562" s="73"/>
      <c r="M562" s="73"/>
      <c r="N562" s="73"/>
      <c r="O562" s="73"/>
      <c r="P562" s="73"/>
      <c r="Q562" s="73"/>
      <c r="R562" s="73"/>
      <c r="S562" s="73"/>
      <c r="T562" s="73"/>
      <c r="U562" s="73"/>
      <c r="V562" s="73"/>
      <c r="W562" s="73"/>
      <c r="GL562" s="73"/>
      <c r="GM562" s="73"/>
      <c r="GN562" s="73"/>
      <c r="GO562" s="73"/>
      <c r="GP562" s="73"/>
      <c r="GQ562" s="73"/>
      <c r="GR562" s="73"/>
      <c r="GS562" s="73"/>
      <c r="GT562" s="73"/>
      <c r="GU562" s="73"/>
      <c r="GV562" s="73"/>
      <c r="GW562" s="73"/>
      <c r="GX562" s="73"/>
      <c r="GY562" s="73"/>
      <c r="GZ562" s="73"/>
      <c r="HA562" s="73"/>
      <c r="HB562" s="73"/>
      <c r="HC562" s="73"/>
      <c r="HD562" s="73"/>
      <c r="HE562" s="73"/>
      <c r="HF562" s="73"/>
      <c r="HG562" s="73"/>
      <c r="HH562" s="73"/>
      <c r="HI562" s="73"/>
      <c r="HJ562" s="73"/>
      <c r="HK562" s="73"/>
      <c r="HL562" s="73"/>
      <c r="HM562" s="73"/>
      <c r="HN562" s="73"/>
      <c r="HO562" s="73"/>
      <c r="HP562" s="73"/>
      <c r="HQ562" s="73"/>
      <c r="HR562" s="73"/>
      <c r="HS562" s="73"/>
      <c r="HT562" s="73"/>
      <c r="HU562" s="73"/>
      <c r="HV562" s="73"/>
      <c r="HW562" s="73"/>
      <c r="HX562" s="73"/>
      <c r="HY562" s="73"/>
      <c r="HZ562" s="73"/>
      <c r="IA562" s="73"/>
      <c r="IB562" s="73"/>
      <c r="IC562" s="73"/>
      <c r="ID562" s="73"/>
      <c r="IE562" s="73"/>
      <c r="IF562" s="73"/>
      <c r="IG562" s="73"/>
      <c r="IH562" s="73"/>
      <c r="II562" s="73"/>
      <c r="IJ562" s="73"/>
      <c r="IK562" s="73"/>
      <c r="IL562" s="73"/>
      <c r="IM562" s="73"/>
      <c r="IN562" s="73"/>
      <c r="IO562" s="73"/>
      <c r="IP562" s="73"/>
      <c r="IQ562" s="73"/>
      <c r="IR562" s="73"/>
      <c r="IS562" s="73"/>
      <c r="IT562" s="73"/>
      <c r="IU562" s="73"/>
      <c r="IV562" s="73"/>
      <c r="IW562" s="73"/>
      <c r="IX562" s="73"/>
      <c r="IY562" s="73"/>
      <c r="IZ562" s="73"/>
      <c r="JA562" s="73"/>
      <c r="JB562" s="73"/>
      <c r="JC562" s="73"/>
    </row>
    <row r="563" spans="2:263" s="72" customFormat="1">
      <c r="B563" s="73"/>
      <c r="C563" s="73"/>
      <c r="D563" s="73"/>
      <c r="E563" s="73"/>
      <c r="F563" s="73"/>
      <c r="G563" s="73"/>
      <c r="H563" s="73"/>
      <c r="I563" s="73"/>
      <c r="J563" s="73"/>
      <c r="K563" s="73"/>
      <c r="L563" s="73"/>
      <c r="M563" s="73"/>
      <c r="N563" s="73"/>
      <c r="O563" s="73"/>
      <c r="P563" s="73"/>
      <c r="Q563" s="73"/>
      <c r="R563" s="73"/>
      <c r="S563" s="73"/>
      <c r="T563" s="73"/>
      <c r="U563" s="73"/>
      <c r="V563" s="73"/>
      <c r="W563" s="73"/>
      <c r="GL563" s="73"/>
      <c r="GM563" s="73"/>
      <c r="GN563" s="73"/>
      <c r="GO563" s="73"/>
      <c r="GP563" s="73"/>
      <c r="GQ563" s="73"/>
      <c r="GR563" s="73"/>
      <c r="GS563" s="73"/>
      <c r="GT563" s="73"/>
      <c r="GU563" s="73"/>
      <c r="GV563" s="73"/>
      <c r="GW563" s="73"/>
      <c r="GX563" s="73"/>
      <c r="GY563" s="73"/>
      <c r="GZ563" s="73"/>
      <c r="HA563" s="73"/>
      <c r="HB563" s="73"/>
      <c r="HC563" s="73"/>
      <c r="HD563" s="73"/>
      <c r="HE563" s="73"/>
      <c r="HF563" s="73"/>
      <c r="HG563" s="73"/>
      <c r="HH563" s="73"/>
      <c r="HI563" s="73"/>
      <c r="HJ563" s="73"/>
      <c r="HK563" s="73"/>
      <c r="HL563" s="73"/>
      <c r="HM563" s="73"/>
      <c r="HN563" s="73"/>
      <c r="HO563" s="73"/>
      <c r="HP563" s="73"/>
      <c r="HQ563" s="73"/>
      <c r="HR563" s="73"/>
      <c r="HS563" s="73"/>
      <c r="HT563" s="73"/>
      <c r="HU563" s="73"/>
      <c r="HV563" s="73"/>
      <c r="HW563" s="73"/>
      <c r="HX563" s="73"/>
      <c r="HY563" s="73"/>
      <c r="HZ563" s="73"/>
      <c r="IA563" s="73"/>
      <c r="IB563" s="73"/>
      <c r="IC563" s="73"/>
      <c r="ID563" s="73"/>
      <c r="IE563" s="73"/>
      <c r="IF563" s="73"/>
      <c r="IG563" s="73"/>
      <c r="IH563" s="73"/>
      <c r="II563" s="73"/>
      <c r="IJ563" s="73"/>
      <c r="IK563" s="73"/>
      <c r="IL563" s="73"/>
      <c r="IM563" s="73"/>
      <c r="IN563" s="73"/>
      <c r="IO563" s="73"/>
      <c r="IP563" s="73"/>
      <c r="IQ563" s="73"/>
      <c r="IR563" s="73"/>
      <c r="IS563" s="73"/>
      <c r="IT563" s="73"/>
      <c r="IU563" s="73"/>
      <c r="IV563" s="73"/>
      <c r="IW563" s="73"/>
      <c r="IX563" s="73"/>
      <c r="IY563" s="73"/>
      <c r="IZ563" s="73"/>
      <c r="JA563" s="73"/>
      <c r="JB563" s="73"/>
      <c r="JC563" s="73"/>
    </row>
    <row r="564" spans="2:263" s="72" customFormat="1">
      <c r="B564" s="73"/>
      <c r="C564" s="73"/>
      <c r="D564" s="73"/>
      <c r="E564" s="73"/>
      <c r="F564" s="73"/>
      <c r="G564" s="73"/>
      <c r="H564" s="73"/>
      <c r="I564" s="73"/>
      <c r="J564" s="73"/>
      <c r="K564" s="73"/>
      <c r="L564" s="73"/>
      <c r="M564" s="73"/>
      <c r="N564" s="73"/>
      <c r="O564" s="73"/>
      <c r="P564" s="73"/>
      <c r="Q564" s="73"/>
      <c r="R564" s="73"/>
      <c r="S564" s="73"/>
      <c r="T564" s="73"/>
      <c r="U564" s="73"/>
      <c r="V564" s="73"/>
      <c r="W564" s="73"/>
      <c r="GL564" s="73"/>
      <c r="GM564" s="73"/>
      <c r="GN564" s="73"/>
      <c r="GO564" s="73"/>
      <c r="GP564" s="73"/>
      <c r="GQ564" s="73"/>
      <c r="GR564" s="73"/>
      <c r="GS564" s="73"/>
      <c r="GT564" s="73"/>
      <c r="GU564" s="73"/>
      <c r="GV564" s="73"/>
      <c r="GW564" s="73"/>
      <c r="GX564" s="73"/>
      <c r="GY564" s="73"/>
      <c r="GZ564" s="73"/>
      <c r="HA564" s="73"/>
      <c r="HB564" s="73"/>
      <c r="HC564" s="73"/>
      <c r="HD564" s="73"/>
      <c r="HE564" s="73"/>
      <c r="HF564" s="73"/>
      <c r="HG564" s="73"/>
      <c r="HH564" s="73"/>
      <c r="HI564" s="73"/>
      <c r="HJ564" s="73"/>
      <c r="HK564" s="73"/>
      <c r="HL564" s="73"/>
      <c r="HM564" s="73"/>
      <c r="HN564" s="73"/>
      <c r="HO564" s="73"/>
      <c r="HP564" s="73"/>
      <c r="HQ564" s="73"/>
      <c r="HR564" s="73"/>
      <c r="HS564" s="73"/>
      <c r="HT564" s="73"/>
      <c r="HU564" s="73"/>
      <c r="HV564" s="73"/>
      <c r="HW564" s="73"/>
      <c r="HX564" s="73"/>
      <c r="HY564" s="73"/>
      <c r="HZ564" s="73"/>
      <c r="IA564" s="73"/>
      <c r="IB564" s="73"/>
      <c r="IC564" s="73"/>
      <c r="ID564" s="73"/>
      <c r="IE564" s="73"/>
      <c r="IF564" s="73"/>
      <c r="IG564" s="73"/>
      <c r="IH564" s="73"/>
      <c r="II564" s="73"/>
      <c r="IJ564" s="73"/>
      <c r="IK564" s="73"/>
      <c r="IL564" s="73"/>
      <c r="IM564" s="73"/>
      <c r="IN564" s="73"/>
      <c r="IO564" s="73"/>
      <c r="IP564" s="73"/>
      <c r="IQ564" s="73"/>
      <c r="IR564" s="73"/>
      <c r="IS564" s="73"/>
      <c r="IT564" s="73"/>
      <c r="IU564" s="73"/>
      <c r="IV564" s="73"/>
      <c r="IW564" s="73"/>
      <c r="IX564" s="73"/>
      <c r="IY564" s="73"/>
      <c r="IZ564" s="73"/>
      <c r="JA564" s="73"/>
      <c r="JB564" s="73"/>
      <c r="JC564" s="73"/>
    </row>
    <row r="565" spans="2:263" s="72" customFormat="1">
      <c r="B565" s="73"/>
      <c r="C565" s="73"/>
      <c r="D565" s="73"/>
      <c r="E565" s="73"/>
      <c r="F565" s="73"/>
      <c r="G565" s="73"/>
      <c r="H565" s="73"/>
      <c r="I565" s="73"/>
      <c r="J565" s="73"/>
      <c r="K565" s="73"/>
      <c r="L565" s="73"/>
      <c r="M565" s="73"/>
      <c r="N565" s="73"/>
      <c r="O565" s="73"/>
      <c r="P565" s="73"/>
      <c r="Q565" s="73"/>
      <c r="R565" s="73"/>
      <c r="S565" s="73"/>
      <c r="T565" s="73"/>
      <c r="U565" s="73"/>
      <c r="V565" s="73"/>
      <c r="W565" s="73"/>
      <c r="GL565" s="73"/>
      <c r="GM565" s="73"/>
      <c r="GN565" s="73"/>
      <c r="GO565" s="73"/>
      <c r="GP565" s="73"/>
      <c r="GQ565" s="73"/>
      <c r="GR565" s="73"/>
      <c r="GS565" s="73"/>
      <c r="GT565" s="73"/>
      <c r="GU565" s="73"/>
      <c r="GV565" s="73"/>
      <c r="GW565" s="73"/>
      <c r="GX565" s="73"/>
      <c r="GY565" s="73"/>
      <c r="GZ565" s="73"/>
      <c r="HA565" s="73"/>
      <c r="HB565" s="73"/>
      <c r="HC565" s="73"/>
      <c r="HD565" s="73"/>
      <c r="HE565" s="73"/>
      <c r="HF565" s="73"/>
      <c r="HG565" s="73"/>
      <c r="HH565" s="73"/>
      <c r="HI565" s="73"/>
      <c r="HJ565" s="73"/>
      <c r="HK565" s="73"/>
      <c r="HL565" s="73"/>
      <c r="HM565" s="73"/>
      <c r="HN565" s="73"/>
      <c r="HO565" s="73"/>
      <c r="HP565" s="73"/>
      <c r="HQ565" s="73"/>
      <c r="HR565" s="73"/>
      <c r="HS565" s="73"/>
      <c r="HT565" s="73"/>
      <c r="HU565" s="73"/>
      <c r="HV565" s="73"/>
      <c r="HW565" s="73"/>
      <c r="HX565" s="73"/>
      <c r="HY565" s="73"/>
      <c r="HZ565" s="73"/>
      <c r="IA565" s="73"/>
      <c r="IB565" s="73"/>
      <c r="IC565" s="73"/>
      <c r="ID565" s="73"/>
      <c r="IE565" s="73"/>
      <c r="IF565" s="73"/>
      <c r="IG565" s="73"/>
      <c r="IH565" s="73"/>
      <c r="II565" s="73"/>
      <c r="IJ565" s="73"/>
      <c r="IK565" s="73"/>
      <c r="IL565" s="73"/>
      <c r="IM565" s="73"/>
      <c r="IN565" s="73"/>
      <c r="IO565" s="73"/>
      <c r="IP565" s="73"/>
      <c r="IQ565" s="73"/>
      <c r="IR565" s="73"/>
      <c r="IS565" s="73"/>
      <c r="IT565" s="73"/>
      <c r="IU565" s="73"/>
      <c r="IV565" s="73"/>
      <c r="IW565" s="73"/>
      <c r="IX565" s="73"/>
      <c r="IY565" s="73"/>
      <c r="IZ565" s="73"/>
      <c r="JA565" s="73"/>
      <c r="JB565" s="73"/>
      <c r="JC565" s="73"/>
    </row>
    <row r="566" spans="2:263" s="72" customFormat="1">
      <c r="B566" s="73"/>
      <c r="C566" s="73"/>
      <c r="D566" s="73"/>
      <c r="E566" s="73"/>
      <c r="F566" s="73"/>
      <c r="G566" s="73"/>
      <c r="H566" s="73"/>
      <c r="I566" s="73"/>
      <c r="J566" s="73"/>
      <c r="K566" s="73"/>
      <c r="L566" s="73"/>
      <c r="M566" s="73"/>
      <c r="N566" s="73"/>
      <c r="O566" s="73"/>
      <c r="P566" s="73"/>
      <c r="Q566" s="73"/>
      <c r="R566" s="73"/>
      <c r="S566" s="73"/>
      <c r="T566" s="73"/>
      <c r="U566" s="73"/>
      <c r="V566" s="73"/>
      <c r="W566" s="73"/>
      <c r="GL566" s="73"/>
      <c r="GM566" s="73"/>
      <c r="GN566" s="73"/>
      <c r="GO566" s="73"/>
      <c r="GP566" s="73"/>
      <c r="GQ566" s="73"/>
      <c r="GR566" s="73"/>
      <c r="GS566" s="73"/>
      <c r="GT566" s="73"/>
      <c r="GU566" s="73"/>
      <c r="GV566" s="73"/>
      <c r="GW566" s="73"/>
      <c r="GX566" s="73"/>
      <c r="GY566" s="73"/>
      <c r="GZ566" s="73"/>
      <c r="HA566" s="73"/>
      <c r="HB566" s="73"/>
      <c r="HC566" s="73"/>
      <c r="HD566" s="73"/>
      <c r="HE566" s="73"/>
      <c r="HF566" s="73"/>
      <c r="HG566" s="73"/>
      <c r="HH566" s="73"/>
      <c r="HI566" s="73"/>
      <c r="HJ566" s="73"/>
      <c r="HK566" s="73"/>
      <c r="HL566" s="73"/>
      <c r="HM566" s="73"/>
      <c r="HN566" s="73"/>
      <c r="HO566" s="73"/>
      <c r="HP566" s="73"/>
      <c r="HQ566" s="73"/>
      <c r="HR566" s="73"/>
      <c r="HS566" s="73"/>
      <c r="HT566" s="73"/>
      <c r="HU566" s="73"/>
      <c r="HV566" s="73"/>
      <c r="HW566" s="73"/>
      <c r="HX566" s="73"/>
      <c r="HY566" s="73"/>
      <c r="HZ566" s="73"/>
      <c r="IA566" s="73"/>
      <c r="IB566" s="73"/>
      <c r="IC566" s="73"/>
      <c r="ID566" s="73"/>
      <c r="IE566" s="73"/>
      <c r="IF566" s="73"/>
      <c r="IG566" s="73"/>
      <c r="IH566" s="73"/>
      <c r="II566" s="73"/>
      <c r="IJ566" s="73"/>
      <c r="IK566" s="73"/>
      <c r="IL566" s="73"/>
      <c r="IM566" s="73"/>
      <c r="IN566" s="73"/>
      <c r="IO566" s="73"/>
      <c r="IP566" s="73"/>
      <c r="IQ566" s="73"/>
      <c r="IR566" s="73"/>
      <c r="IS566" s="73"/>
      <c r="IT566" s="73"/>
      <c r="IU566" s="73"/>
      <c r="IV566" s="73"/>
      <c r="IW566" s="73"/>
      <c r="IX566" s="73"/>
      <c r="IY566" s="73"/>
      <c r="IZ566" s="73"/>
      <c r="JA566" s="73"/>
      <c r="JB566" s="73"/>
      <c r="JC566" s="73"/>
    </row>
    <row r="567" spans="2:263" s="72" customFormat="1">
      <c r="B567" s="73"/>
      <c r="C567" s="73"/>
      <c r="D567" s="73"/>
      <c r="E567" s="73"/>
      <c r="F567" s="73"/>
      <c r="G567" s="73"/>
      <c r="H567" s="73"/>
      <c r="I567" s="73"/>
      <c r="J567" s="73"/>
      <c r="K567" s="73"/>
      <c r="L567" s="73"/>
      <c r="M567" s="73"/>
      <c r="N567" s="73"/>
      <c r="O567" s="73"/>
      <c r="P567" s="73"/>
      <c r="Q567" s="73"/>
      <c r="R567" s="73"/>
      <c r="S567" s="73"/>
      <c r="T567" s="73"/>
      <c r="U567" s="73"/>
      <c r="V567" s="73"/>
      <c r="W567" s="73"/>
      <c r="GL567" s="73"/>
      <c r="GM567" s="73"/>
      <c r="GN567" s="73"/>
      <c r="GO567" s="73"/>
      <c r="GP567" s="73"/>
      <c r="GQ567" s="73"/>
      <c r="GR567" s="73"/>
      <c r="GS567" s="73"/>
      <c r="GT567" s="73"/>
      <c r="GU567" s="73"/>
      <c r="GV567" s="73"/>
      <c r="GW567" s="73"/>
      <c r="GX567" s="73"/>
      <c r="GY567" s="73"/>
      <c r="GZ567" s="73"/>
      <c r="HA567" s="73"/>
      <c r="HB567" s="73"/>
      <c r="HC567" s="73"/>
      <c r="HD567" s="73"/>
      <c r="HE567" s="73"/>
      <c r="HF567" s="73"/>
      <c r="HG567" s="73"/>
      <c r="HH567" s="73"/>
      <c r="HI567" s="73"/>
      <c r="HJ567" s="73"/>
      <c r="HK567" s="73"/>
      <c r="HL567" s="73"/>
      <c r="HM567" s="73"/>
      <c r="HN567" s="73"/>
      <c r="HO567" s="73"/>
      <c r="HP567" s="73"/>
      <c r="HQ567" s="73"/>
      <c r="HR567" s="73"/>
      <c r="HS567" s="73"/>
      <c r="HT567" s="73"/>
      <c r="HU567" s="73"/>
      <c r="HV567" s="73"/>
      <c r="HW567" s="73"/>
      <c r="HX567" s="73"/>
      <c r="HY567" s="73"/>
      <c r="HZ567" s="73"/>
      <c r="IA567" s="73"/>
      <c r="IB567" s="73"/>
      <c r="IC567" s="73"/>
      <c r="ID567" s="73"/>
      <c r="IE567" s="73"/>
      <c r="IF567" s="73"/>
      <c r="IG567" s="73"/>
      <c r="IH567" s="73"/>
      <c r="II567" s="73"/>
      <c r="IJ567" s="73"/>
      <c r="IK567" s="73"/>
      <c r="IL567" s="73"/>
      <c r="IM567" s="73"/>
      <c r="IN567" s="73"/>
      <c r="IO567" s="73"/>
      <c r="IP567" s="73"/>
      <c r="IQ567" s="73"/>
      <c r="IR567" s="73"/>
      <c r="IS567" s="73"/>
      <c r="IT567" s="73"/>
      <c r="IU567" s="73"/>
      <c r="IV567" s="73"/>
      <c r="IW567" s="73"/>
      <c r="IX567" s="73"/>
      <c r="IY567" s="73"/>
      <c r="IZ567" s="73"/>
      <c r="JA567" s="73"/>
      <c r="JB567" s="73"/>
      <c r="JC567" s="73"/>
    </row>
    <row r="568" spans="2:263" s="72" customFormat="1">
      <c r="B568" s="73"/>
      <c r="C568" s="73"/>
      <c r="D568" s="73"/>
      <c r="E568" s="73"/>
      <c r="F568" s="73"/>
      <c r="G568" s="73"/>
      <c r="H568" s="73"/>
      <c r="I568" s="73"/>
      <c r="J568" s="73"/>
      <c r="K568" s="73"/>
      <c r="L568" s="73"/>
      <c r="M568" s="73"/>
      <c r="N568" s="73"/>
      <c r="O568" s="73"/>
      <c r="P568" s="73"/>
      <c r="Q568" s="73"/>
      <c r="R568" s="73"/>
      <c r="S568" s="73"/>
      <c r="T568" s="73"/>
      <c r="U568" s="73"/>
      <c r="V568" s="73"/>
      <c r="W568" s="73"/>
      <c r="GL568" s="73"/>
      <c r="GM568" s="73"/>
      <c r="GN568" s="73"/>
      <c r="GO568" s="73"/>
      <c r="GP568" s="73"/>
      <c r="GQ568" s="73"/>
      <c r="GR568" s="73"/>
      <c r="GS568" s="73"/>
      <c r="GT568" s="73"/>
      <c r="GU568" s="73"/>
      <c r="GV568" s="73"/>
      <c r="GW568" s="73"/>
      <c r="GX568" s="73"/>
      <c r="GY568" s="73"/>
      <c r="GZ568" s="73"/>
      <c r="HA568" s="73"/>
      <c r="HB568" s="73"/>
      <c r="HC568" s="73"/>
      <c r="HD568" s="73"/>
      <c r="HE568" s="73"/>
      <c r="HF568" s="73"/>
      <c r="HG568" s="73"/>
      <c r="HH568" s="73"/>
      <c r="HI568" s="73"/>
      <c r="HJ568" s="73"/>
      <c r="HK568" s="73"/>
      <c r="HL568" s="73"/>
      <c r="HM568" s="73"/>
      <c r="HN568" s="73"/>
      <c r="HO568" s="73"/>
      <c r="HP568" s="73"/>
      <c r="HQ568" s="73"/>
      <c r="HR568" s="73"/>
      <c r="HS568" s="73"/>
      <c r="HT568" s="73"/>
      <c r="HU568" s="73"/>
      <c r="HV568" s="73"/>
      <c r="HW568" s="73"/>
      <c r="HX568" s="73"/>
      <c r="HY568" s="73"/>
      <c r="HZ568" s="73"/>
      <c r="IA568" s="73"/>
      <c r="IB568" s="73"/>
      <c r="IC568" s="73"/>
      <c r="ID568" s="73"/>
      <c r="IE568" s="73"/>
      <c r="IF568" s="73"/>
      <c r="IG568" s="73"/>
      <c r="IH568" s="73"/>
      <c r="II568" s="73"/>
      <c r="IJ568" s="73"/>
      <c r="IK568" s="73"/>
      <c r="IL568" s="73"/>
      <c r="IM568" s="73"/>
      <c r="IN568" s="73"/>
      <c r="IO568" s="73"/>
      <c r="IP568" s="73"/>
      <c r="IQ568" s="73"/>
      <c r="IR568" s="73"/>
      <c r="IS568" s="73"/>
      <c r="IT568" s="73"/>
      <c r="IU568" s="73"/>
      <c r="IV568" s="73"/>
      <c r="IW568" s="73"/>
      <c r="IX568" s="73"/>
      <c r="IY568" s="73"/>
      <c r="IZ568" s="73"/>
      <c r="JA568" s="73"/>
      <c r="JB568" s="73"/>
      <c r="JC568" s="73"/>
    </row>
    <row r="569" spans="2:263" s="72" customFormat="1">
      <c r="B569" s="73"/>
      <c r="C569" s="73"/>
      <c r="D569" s="73"/>
      <c r="E569" s="73"/>
      <c r="F569" s="73"/>
      <c r="G569" s="73"/>
      <c r="H569" s="73"/>
      <c r="I569" s="73"/>
      <c r="J569" s="73"/>
      <c r="K569" s="73"/>
      <c r="L569" s="73"/>
      <c r="M569" s="73"/>
      <c r="N569" s="73"/>
      <c r="O569" s="73"/>
      <c r="P569" s="73"/>
      <c r="Q569" s="73"/>
      <c r="R569" s="73"/>
      <c r="S569" s="73"/>
      <c r="T569" s="73"/>
      <c r="U569" s="73"/>
      <c r="V569" s="73"/>
      <c r="W569" s="73"/>
      <c r="GL569" s="73"/>
      <c r="GM569" s="73"/>
      <c r="GN569" s="73"/>
      <c r="GO569" s="73"/>
      <c r="GP569" s="73"/>
      <c r="GQ569" s="73"/>
      <c r="GR569" s="73"/>
      <c r="GS569" s="73"/>
      <c r="GT569" s="73"/>
      <c r="GU569" s="73"/>
      <c r="GV569" s="73"/>
      <c r="GW569" s="73"/>
      <c r="GX569" s="73"/>
      <c r="GY569" s="73"/>
      <c r="GZ569" s="73"/>
      <c r="HA569" s="73"/>
      <c r="HB569" s="73"/>
      <c r="HC569" s="73"/>
      <c r="HD569" s="73"/>
      <c r="HE569" s="73"/>
      <c r="HF569" s="73"/>
      <c r="HG569" s="73"/>
      <c r="HH569" s="73"/>
      <c r="HI569" s="73"/>
      <c r="HJ569" s="73"/>
      <c r="HK569" s="73"/>
      <c r="HL569" s="73"/>
      <c r="HM569" s="73"/>
      <c r="HN569" s="73"/>
      <c r="HO569" s="73"/>
      <c r="HP569" s="73"/>
      <c r="HQ569" s="73"/>
      <c r="HR569" s="73"/>
      <c r="HS569" s="73"/>
      <c r="HT569" s="73"/>
      <c r="HU569" s="73"/>
      <c r="HV569" s="73"/>
      <c r="HW569" s="73"/>
      <c r="HX569" s="73"/>
      <c r="HY569" s="73"/>
      <c r="HZ569" s="73"/>
      <c r="IA569" s="73"/>
      <c r="IB569" s="73"/>
      <c r="IC569" s="73"/>
      <c r="ID569" s="73"/>
      <c r="IE569" s="73"/>
      <c r="IF569" s="73"/>
      <c r="IG569" s="73"/>
      <c r="IH569" s="73"/>
      <c r="II569" s="73"/>
      <c r="IJ569" s="73"/>
      <c r="IK569" s="73"/>
      <c r="IL569" s="73"/>
      <c r="IM569" s="73"/>
      <c r="IN569" s="73"/>
      <c r="IO569" s="73"/>
      <c r="IP569" s="73"/>
      <c r="IQ569" s="73"/>
      <c r="IR569" s="73"/>
      <c r="IS569" s="73"/>
      <c r="IT569" s="73"/>
      <c r="IU569" s="73"/>
      <c r="IV569" s="73"/>
      <c r="IW569" s="73"/>
      <c r="IX569" s="73"/>
      <c r="IY569" s="73"/>
      <c r="IZ569" s="73"/>
      <c r="JA569" s="73"/>
      <c r="JB569" s="73"/>
      <c r="JC569" s="73"/>
    </row>
    <row r="570" spans="2:263" s="72" customFormat="1">
      <c r="B570" s="73"/>
      <c r="C570" s="73"/>
      <c r="D570" s="73"/>
      <c r="E570" s="73"/>
      <c r="F570" s="73"/>
      <c r="G570" s="73"/>
      <c r="H570" s="73"/>
      <c r="I570" s="73"/>
      <c r="J570" s="73"/>
      <c r="K570" s="73"/>
      <c r="L570" s="73"/>
      <c r="M570" s="73"/>
      <c r="N570" s="73"/>
      <c r="O570" s="73"/>
      <c r="P570" s="73"/>
      <c r="Q570" s="73"/>
      <c r="R570" s="73"/>
      <c r="S570" s="73"/>
      <c r="T570" s="73"/>
      <c r="U570" s="73"/>
      <c r="V570" s="73"/>
      <c r="W570" s="73"/>
      <c r="GL570" s="73"/>
      <c r="GM570" s="73"/>
      <c r="GN570" s="73"/>
      <c r="GO570" s="73"/>
      <c r="GP570" s="73"/>
      <c r="GQ570" s="73"/>
      <c r="GR570" s="73"/>
      <c r="GS570" s="73"/>
      <c r="GT570" s="73"/>
      <c r="GU570" s="73"/>
      <c r="GV570" s="73"/>
      <c r="GW570" s="73"/>
      <c r="GX570" s="73"/>
      <c r="GY570" s="73"/>
      <c r="GZ570" s="73"/>
      <c r="HA570" s="73"/>
      <c r="HB570" s="73"/>
      <c r="HC570" s="73"/>
      <c r="HD570" s="73"/>
      <c r="HE570" s="73"/>
      <c r="HF570" s="73"/>
      <c r="HG570" s="73"/>
      <c r="HH570" s="73"/>
      <c r="HI570" s="73"/>
      <c r="HJ570" s="73"/>
      <c r="HK570" s="73"/>
      <c r="HL570" s="73"/>
      <c r="HM570" s="73"/>
      <c r="HN570" s="73"/>
      <c r="HO570" s="73"/>
      <c r="HP570" s="73"/>
      <c r="HQ570" s="73"/>
      <c r="HR570" s="73"/>
      <c r="HS570" s="73"/>
      <c r="HT570" s="73"/>
      <c r="HU570" s="73"/>
      <c r="HV570" s="73"/>
      <c r="HW570" s="73"/>
      <c r="HX570" s="73"/>
      <c r="HY570" s="73"/>
      <c r="HZ570" s="73"/>
      <c r="IA570" s="73"/>
      <c r="IB570" s="73"/>
      <c r="IC570" s="73"/>
      <c r="ID570" s="73"/>
      <c r="IE570" s="73"/>
      <c r="IF570" s="73"/>
      <c r="IG570" s="73"/>
      <c r="IH570" s="73"/>
      <c r="II570" s="73"/>
      <c r="IJ570" s="73"/>
      <c r="IK570" s="73"/>
      <c r="IL570" s="73"/>
      <c r="IM570" s="73"/>
      <c r="IN570" s="73"/>
      <c r="IO570" s="73"/>
      <c r="IP570" s="73"/>
      <c r="IQ570" s="73"/>
      <c r="IR570" s="73"/>
      <c r="IS570" s="73"/>
      <c r="IT570" s="73"/>
      <c r="IU570" s="73"/>
      <c r="IV570" s="73"/>
      <c r="IW570" s="73"/>
      <c r="IX570" s="73"/>
      <c r="IY570" s="73"/>
      <c r="IZ570" s="73"/>
      <c r="JA570" s="73"/>
      <c r="JB570" s="73"/>
      <c r="JC570" s="73"/>
    </row>
    <row r="571" spans="2:263" s="72" customFormat="1">
      <c r="B571" s="73"/>
      <c r="C571" s="73"/>
      <c r="D571" s="73"/>
      <c r="E571" s="73"/>
      <c r="F571" s="73"/>
      <c r="G571" s="73"/>
      <c r="H571" s="73"/>
      <c r="I571" s="73"/>
      <c r="J571" s="73"/>
      <c r="K571" s="73"/>
      <c r="L571" s="73"/>
      <c r="M571" s="73"/>
      <c r="N571" s="73"/>
      <c r="O571" s="73"/>
      <c r="P571" s="73"/>
      <c r="Q571" s="73"/>
      <c r="R571" s="73"/>
      <c r="S571" s="73"/>
      <c r="T571" s="73"/>
      <c r="U571" s="73"/>
      <c r="V571" s="73"/>
      <c r="W571" s="73"/>
      <c r="GL571" s="73"/>
      <c r="GM571" s="73"/>
      <c r="GN571" s="73"/>
      <c r="GO571" s="73"/>
      <c r="GP571" s="73"/>
      <c r="GQ571" s="73"/>
      <c r="GR571" s="73"/>
      <c r="GS571" s="73"/>
      <c r="GT571" s="73"/>
      <c r="GU571" s="73"/>
      <c r="GV571" s="73"/>
      <c r="GW571" s="73"/>
      <c r="GX571" s="73"/>
      <c r="GY571" s="73"/>
      <c r="GZ571" s="73"/>
      <c r="HA571" s="73"/>
      <c r="HB571" s="73"/>
      <c r="HC571" s="73"/>
      <c r="HD571" s="73"/>
      <c r="HE571" s="73"/>
      <c r="HF571" s="73"/>
      <c r="HG571" s="73"/>
      <c r="HH571" s="73"/>
      <c r="HI571" s="73"/>
      <c r="HJ571" s="73"/>
      <c r="HK571" s="73"/>
      <c r="HL571" s="73"/>
      <c r="HM571" s="73"/>
      <c r="HN571" s="73"/>
      <c r="HO571" s="73"/>
      <c r="HP571" s="73"/>
      <c r="HQ571" s="73"/>
      <c r="HR571" s="73"/>
      <c r="HS571" s="73"/>
      <c r="HT571" s="73"/>
      <c r="HU571" s="73"/>
      <c r="HV571" s="73"/>
      <c r="HW571" s="73"/>
      <c r="HX571" s="73"/>
      <c r="HY571" s="73"/>
      <c r="HZ571" s="73"/>
      <c r="IA571" s="73"/>
      <c r="IB571" s="73"/>
      <c r="IC571" s="73"/>
      <c r="ID571" s="73"/>
      <c r="IE571" s="73"/>
      <c r="IF571" s="73"/>
      <c r="IG571" s="73"/>
      <c r="IH571" s="73"/>
      <c r="II571" s="73"/>
      <c r="IJ571" s="73"/>
      <c r="IK571" s="73"/>
      <c r="IL571" s="73"/>
      <c r="IM571" s="73"/>
      <c r="IN571" s="73"/>
      <c r="IO571" s="73"/>
      <c r="IP571" s="73"/>
      <c r="IQ571" s="73"/>
      <c r="IR571" s="73"/>
      <c r="IS571" s="73"/>
      <c r="IT571" s="73"/>
      <c r="IU571" s="73"/>
      <c r="IV571" s="73"/>
      <c r="IW571" s="73"/>
      <c r="IX571" s="73"/>
      <c r="IY571" s="73"/>
      <c r="IZ571" s="73"/>
      <c r="JA571" s="73"/>
      <c r="JB571" s="73"/>
      <c r="JC571" s="73"/>
    </row>
    <row r="572" spans="2:263" s="72" customFormat="1">
      <c r="B572" s="73"/>
      <c r="C572" s="73"/>
      <c r="D572" s="73"/>
      <c r="E572" s="73"/>
      <c r="F572" s="73"/>
      <c r="G572" s="73"/>
      <c r="H572" s="73"/>
      <c r="I572" s="73"/>
      <c r="J572" s="73"/>
      <c r="K572" s="73"/>
      <c r="L572" s="73"/>
      <c r="M572" s="73"/>
      <c r="N572" s="73"/>
      <c r="O572" s="73"/>
      <c r="P572" s="73"/>
      <c r="Q572" s="73"/>
      <c r="R572" s="73"/>
      <c r="S572" s="73"/>
      <c r="T572" s="73"/>
      <c r="U572" s="73"/>
      <c r="V572" s="73"/>
      <c r="W572" s="73"/>
      <c r="GL572" s="73"/>
      <c r="GM572" s="73"/>
      <c r="GN572" s="73"/>
      <c r="GO572" s="73"/>
      <c r="GP572" s="73"/>
      <c r="GQ572" s="73"/>
      <c r="GR572" s="73"/>
      <c r="GS572" s="73"/>
      <c r="GT572" s="73"/>
      <c r="GU572" s="73"/>
      <c r="GV572" s="73"/>
      <c r="GW572" s="73"/>
      <c r="GX572" s="73"/>
      <c r="GY572" s="73"/>
      <c r="GZ572" s="73"/>
      <c r="HA572" s="73"/>
      <c r="HB572" s="73"/>
      <c r="HC572" s="73"/>
      <c r="HD572" s="73"/>
      <c r="HE572" s="73"/>
      <c r="HF572" s="73"/>
      <c r="HG572" s="73"/>
      <c r="HH572" s="73"/>
      <c r="HI572" s="73"/>
      <c r="HJ572" s="73"/>
      <c r="HK572" s="73"/>
      <c r="HL572" s="73"/>
      <c r="HM572" s="73"/>
      <c r="HN572" s="73"/>
      <c r="HO572" s="73"/>
      <c r="HP572" s="73"/>
      <c r="HQ572" s="73"/>
      <c r="HR572" s="73"/>
      <c r="HS572" s="73"/>
      <c r="HT572" s="73"/>
      <c r="HU572" s="73"/>
      <c r="HV572" s="73"/>
      <c r="HW572" s="73"/>
      <c r="HX572" s="73"/>
      <c r="HY572" s="73"/>
      <c r="HZ572" s="73"/>
      <c r="IA572" s="73"/>
      <c r="IB572" s="73"/>
      <c r="IC572" s="73"/>
      <c r="ID572" s="73"/>
      <c r="IE572" s="73"/>
      <c r="IF572" s="73"/>
      <c r="IG572" s="73"/>
      <c r="IH572" s="73"/>
      <c r="II572" s="73"/>
      <c r="IJ572" s="73"/>
      <c r="IK572" s="73"/>
      <c r="IL572" s="73"/>
      <c r="IM572" s="73"/>
      <c r="IN572" s="73"/>
      <c r="IO572" s="73"/>
      <c r="IP572" s="73"/>
      <c r="IQ572" s="73"/>
      <c r="IR572" s="73"/>
      <c r="IS572" s="73"/>
      <c r="IT572" s="73"/>
      <c r="IU572" s="73"/>
      <c r="IV572" s="73"/>
      <c r="IW572" s="73"/>
      <c r="IX572" s="73"/>
      <c r="IY572" s="73"/>
      <c r="IZ572" s="73"/>
      <c r="JA572" s="73"/>
      <c r="JB572" s="73"/>
      <c r="JC572" s="73"/>
    </row>
    <row r="573" spans="2:263" s="72" customFormat="1">
      <c r="B573" s="73"/>
      <c r="C573" s="73"/>
      <c r="D573" s="73"/>
      <c r="E573" s="73"/>
      <c r="F573" s="73"/>
      <c r="G573" s="73"/>
      <c r="H573" s="73"/>
      <c r="I573" s="73"/>
      <c r="J573" s="73"/>
      <c r="K573" s="73"/>
      <c r="L573" s="73"/>
      <c r="M573" s="73"/>
      <c r="N573" s="73"/>
      <c r="O573" s="73"/>
      <c r="P573" s="73"/>
      <c r="Q573" s="73"/>
      <c r="R573" s="73"/>
      <c r="S573" s="73"/>
      <c r="T573" s="73"/>
      <c r="U573" s="73"/>
      <c r="V573" s="73"/>
      <c r="W573" s="73"/>
      <c r="GL573" s="73"/>
      <c r="GM573" s="73"/>
      <c r="GN573" s="73"/>
      <c r="GO573" s="73"/>
      <c r="GP573" s="73"/>
      <c r="GQ573" s="73"/>
      <c r="GR573" s="73"/>
      <c r="GS573" s="73"/>
      <c r="GT573" s="73"/>
      <c r="GU573" s="73"/>
      <c r="GV573" s="73"/>
      <c r="GW573" s="73"/>
      <c r="GX573" s="73"/>
      <c r="GY573" s="73"/>
      <c r="GZ573" s="73"/>
      <c r="HA573" s="73"/>
      <c r="HB573" s="73"/>
      <c r="HC573" s="73"/>
      <c r="HD573" s="73"/>
      <c r="HE573" s="73"/>
      <c r="HF573" s="73"/>
      <c r="HG573" s="73"/>
      <c r="HH573" s="73"/>
      <c r="HI573" s="73"/>
      <c r="HJ573" s="73"/>
      <c r="HK573" s="73"/>
      <c r="HL573" s="73"/>
      <c r="HM573" s="73"/>
      <c r="HN573" s="73"/>
      <c r="HO573" s="73"/>
      <c r="HP573" s="73"/>
      <c r="HQ573" s="73"/>
      <c r="HR573" s="73"/>
      <c r="HS573" s="73"/>
      <c r="HT573" s="73"/>
      <c r="HU573" s="73"/>
      <c r="HV573" s="73"/>
      <c r="HW573" s="73"/>
      <c r="HX573" s="73"/>
      <c r="HY573" s="73"/>
      <c r="HZ573" s="73"/>
      <c r="IA573" s="73"/>
      <c r="IB573" s="73"/>
      <c r="IC573" s="73"/>
      <c r="ID573" s="73"/>
      <c r="IE573" s="73"/>
      <c r="IF573" s="73"/>
      <c r="IG573" s="73"/>
      <c r="IH573" s="73"/>
      <c r="II573" s="73"/>
      <c r="IJ573" s="73"/>
      <c r="IK573" s="73"/>
      <c r="IL573" s="73"/>
      <c r="IM573" s="73"/>
      <c r="IN573" s="73"/>
      <c r="IO573" s="73"/>
      <c r="IP573" s="73"/>
      <c r="IQ573" s="73"/>
      <c r="IR573" s="73"/>
      <c r="IS573" s="73"/>
      <c r="IT573" s="73"/>
      <c r="IU573" s="73"/>
      <c r="IV573" s="73"/>
      <c r="IW573" s="73"/>
      <c r="IX573" s="73"/>
      <c r="IY573" s="73"/>
      <c r="IZ573" s="73"/>
      <c r="JA573" s="73"/>
      <c r="JB573" s="73"/>
      <c r="JC573" s="73"/>
    </row>
    <row r="574" spans="2:263" s="72" customFormat="1">
      <c r="B574" s="73"/>
      <c r="C574" s="73"/>
      <c r="D574" s="73"/>
      <c r="E574" s="73"/>
      <c r="F574" s="73"/>
      <c r="G574" s="73"/>
      <c r="H574" s="73"/>
      <c r="I574" s="73"/>
      <c r="J574" s="73"/>
      <c r="K574" s="73"/>
      <c r="L574" s="73"/>
      <c r="M574" s="73"/>
      <c r="N574" s="73"/>
      <c r="O574" s="73"/>
      <c r="P574" s="73"/>
      <c r="Q574" s="73"/>
      <c r="R574" s="73"/>
      <c r="S574" s="73"/>
      <c r="T574" s="73"/>
      <c r="U574" s="73"/>
      <c r="V574" s="73"/>
      <c r="W574" s="73"/>
      <c r="GL574" s="73"/>
      <c r="GM574" s="73"/>
      <c r="GN574" s="73"/>
      <c r="GO574" s="73"/>
      <c r="GP574" s="73"/>
      <c r="GQ574" s="73"/>
      <c r="GR574" s="73"/>
      <c r="GS574" s="73"/>
      <c r="GT574" s="73"/>
      <c r="GU574" s="73"/>
      <c r="GV574" s="73"/>
      <c r="GW574" s="73"/>
      <c r="GX574" s="73"/>
      <c r="GY574" s="73"/>
      <c r="GZ574" s="73"/>
      <c r="HA574" s="73"/>
      <c r="HB574" s="73"/>
      <c r="HC574" s="73"/>
      <c r="HD574" s="73"/>
      <c r="HE574" s="73"/>
      <c r="HF574" s="73"/>
      <c r="HG574" s="73"/>
      <c r="HH574" s="73"/>
      <c r="HI574" s="73"/>
      <c r="HJ574" s="73"/>
      <c r="HK574" s="73"/>
      <c r="HL574" s="73"/>
      <c r="HM574" s="73"/>
      <c r="HN574" s="73"/>
      <c r="HO574" s="73"/>
      <c r="HP574" s="73"/>
      <c r="HQ574" s="73"/>
      <c r="HR574" s="73"/>
      <c r="HS574" s="73"/>
      <c r="HT574" s="73"/>
      <c r="HU574" s="73"/>
      <c r="HV574" s="73"/>
      <c r="HW574" s="73"/>
      <c r="HX574" s="73"/>
      <c r="HY574" s="73"/>
      <c r="HZ574" s="73"/>
      <c r="IA574" s="73"/>
      <c r="IB574" s="73"/>
      <c r="IC574" s="73"/>
      <c r="ID574" s="73"/>
      <c r="IE574" s="73"/>
      <c r="IF574" s="73"/>
      <c r="IG574" s="73"/>
      <c r="IH574" s="73"/>
      <c r="II574" s="73"/>
      <c r="IJ574" s="73"/>
      <c r="IK574" s="73"/>
      <c r="IL574" s="73"/>
      <c r="IM574" s="73"/>
      <c r="IN574" s="73"/>
      <c r="IO574" s="73"/>
      <c r="IP574" s="73"/>
      <c r="IQ574" s="73"/>
      <c r="IR574" s="73"/>
      <c r="IS574" s="73"/>
      <c r="IT574" s="73"/>
      <c r="IU574" s="73"/>
      <c r="IV574" s="73"/>
      <c r="IW574" s="73"/>
      <c r="IX574" s="73"/>
      <c r="IY574" s="73"/>
      <c r="IZ574" s="73"/>
      <c r="JA574" s="73"/>
      <c r="JB574" s="73"/>
      <c r="JC574" s="73"/>
    </row>
    <row r="575" spans="2:263" s="72" customFormat="1">
      <c r="B575" s="73"/>
      <c r="C575" s="73"/>
      <c r="D575" s="73"/>
      <c r="E575" s="73"/>
      <c r="F575" s="73"/>
      <c r="G575" s="73"/>
      <c r="H575" s="73"/>
      <c r="I575" s="73"/>
      <c r="J575" s="73"/>
      <c r="K575" s="73"/>
      <c r="L575" s="73"/>
      <c r="M575" s="73"/>
      <c r="N575" s="73"/>
      <c r="O575" s="73"/>
      <c r="P575" s="73"/>
      <c r="Q575" s="73"/>
      <c r="R575" s="73"/>
      <c r="S575" s="73"/>
      <c r="T575" s="73"/>
      <c r="U575" s="73"/>
      <c r="V575" s="73"/>
      <c r="W575" s="73"/>
      <c r="GL575" s="73"/>
      <c r="GM575" s="73"/>
      <c r="GN575" s="73"/>
      <c r="GO575" s="73"/>
      <c r="GP575" s="73"/>
      <c r="GQ575" s="73"/>
      <c r="GR575" s="73"/>
      <c r="GS575" s="73"/>
      <c r="GT575" s="73"/>
      <c r="GU575" s="73"/>
      <c r="GV575" s="73"/>
      <c r="GW575" s="73"/>
      <c r="GX575" s="73"/>
      <c r="GY575" s="73"/>
      <c r="GZ575" s="73"/>
      <c r="HA575" s="73"/>
      <c r="HB575" s="73"/>
      <c r="HC575" s="73"/>
      <c r="HD575" s="73"/>
      <c r="HE575" s="73"/>
      <c r="HF575" s="73"/>
      <c r="HG575" s="73"/>
      <c r="HH575" s="73"/>
      <c r="HI575" s="73"/>
      <c r="HJ575" s="73"/>
      <c r="HK575" s="73"/>
      <c r="HL575" s="73"/>
      <c r="HM575" s="73"/>
      <c r="HN575" s="73"/>
      <c r="HO575" s="73"/>
      <c r="HP575" s="73"/>
      <c r="HQ575" s="73"/>
      <c r="HR575" s="73"/>
      <c r="HS575" s="73"/>
      <c r="HT575" s="73"/>
      <c r="HU575" s="73"/>
      <c r="HV575" s="73"/>
      <c r="HW575" s="73"/>
      <c r="HX575" s="73"/>
      <c r="HY575" s="73"/>
      <c r="HZ575" s="73"/>
      <c r="IA575" s="73"/>
      <c r="IB575" s="73"/>
      <c r="IC575" s="73"/>
      <c r="ID575" s="73"/>
      <c r="IE575" s="73"/>
      <c r="IF575" s="73"/>
      <c r="IG575" s="73"/>
      <c r="IH575" s="73"/>
      <c r="II575" s="73"/>
      <c r="IJ575" s="73"/>
      <c r="IK575" s="73"/>
      <c r="IL575" s="73"/>
      <c r="IM575" s="73"/>
      <c r="IN575" s="73"/>
      <c r="IO575" s="73"/>
      <c r="IP575" s="73"/>
      <c r="IQ575" s="73"/>
      <c r="IR575" s="73"/>
      <c r="IS575" s="73"/>
      <c r="IT575" s="73"/>
      <c r="IU575" s="73"/>
      <c r="IV575" s="73"/>
      <c r="IW575" s="73"/>
      <c r="IX575" s="73"/>
      <c r="IY575" s="73"/>
      <c r="IZ575" s="73"/>
      <c r="JA575" s="73"/>
      <c r="JB575" s="73"/>
      <c r="JC575" s="73"/>
    </row>
    <row r="576" spans="2:263" s="72" customFormat="1">
      <c r="B576" s="73"/>
      <c r="C576" s="73"/>
      <c r="D576" s="73"/>
      <c r="E576" s="73"/>
      <c r="F576" s="73"/>
      <c r="G576" s="73"/>
      <c r="H576" s="73"/>
      <c r="I576" s="73"/>
      <c r="J576" s="73"/>
      <c r="K576" s="73"/>
      <c r="L576" s="73"/>
      <c r="M576" s="73"/>
      <c r="N576" s="73"/>
      <c r="O576" s="73"/>
      <c r="P576" s="73"/>
      <c r="Q576" s="73"/>
      <c r="R576" s="73"/>
      <c r="S576" s="73"/>
      <c r="T576" s="73"/>
      <c r="U576" s="73"/>
      <c r="V576" s="73"/>
      <c r="W576" s="73"/>
      <c r="GL576" s="73"/>
      <c r="GM576" s="73"/>
      <c r="GN576" s="73"/>
      <c r="GO576" s="73"/>
      <c r="GP576" s="73"/>
      <c r="GQ576" s="73"/>
      <c r="GR576" s="73"/>
      <c r="GS576" s="73"/>
      <c r="GT576" s="73"/>
      <c r="GU576" s="73"/>
      <c r="GV576" s="73"/>
      <c r="GW576" s="73"/>
      <c r="GX576" s="73"/>
      <c r="GY576" s="73"/>
      <c r="GZ576" s="73"/>
      <c r="HA576" s="73"/>
      <c r="HB576" s="73"/>
      <c r="HC576" s="73"/>
      <c r="HD576" s="73"/>
      <c r="HE576" s="73"/>
      <c r="HF576" s="73"/>
      <c r="HG576" s="73"/>
      <c r="HH576" s="73"/>
      <c r="HI576" s="73"/>
      <c r="HJ576" s="73"/>
      <c r="HK576" s="73"/>
      <c r="HL576" s="73"/>
      <c r="HM576" s="73"/>
      <c r="HN576" s="73"/>
      <c r="HO576" s="73"/>
      <c r="HP576" s="73"/>
      <c r="HQ576" s="73"/>
      <c r="HR576" s="73"/>
      <c r="HS576" s="73"/>
      <c r="HT576" s="73"/>
      <c r="HU576" s="73"/>
      <c r="HV576" s="73"/>
      <c r="HW576" s="73"/>
      <c r="HX576" s="73"/>
      <c r="HY576" s="73"/>
      <c r="HZ576" s="73"/>
      <c r="IA576" s="73"/>
      <c r="IB576" s="73"/>
      <c r="IC576" s="73"/>
      <c r="ID576" s="73"/>
      <c r="IE576" s="73"/>
      <c r="IF576" s="73"/>
      <c r="IG576" s="73"/>
      <c r="IH576" s="73"/>
      <c r="II576" s="73"/>
      <c r="IJ576" s="73"/>
      <c r="IK576" s="73"/>
      <c r="IL576" s="73"/>
      <c r="IM576" s="73"/>
      <c r="IN576" s="73"/>
      <c r="IO576" s="73"/>
      <c r="IP576" s="73"/>
      <c r="IQ576" s="73"/>
      <c r="IR576" s="73"/>
      <c r="IS576" s="73"/>
      <c r="IT576" s="73"/>
      <c r="IU576" s="73"/>
      <c r="IV576" s="73"/>
      <c r="IW576" s="73"/>
      <c r="IX576" s="73"/>
      <c r="IY576" s="73"/>
      <c r="IZ576" s="73"/>
      <c r="JA576" s="73"/>
      <c r="JB576" s="73"/>
      <c r="JC576" s="73"/>
    </row>
    <row r="577" spans="2:263" s="72" customFormat="1">
      <c r="B577" s="73"/>
      <c r="C577" s="73"/>
      <c r="D577" s="73"/>
      <c r="E577" s="73"/>
      <c r="F577" s="73"/>
      <c r="G577" s="73"/>
      <c r="H577" s="73"/>
      <c r="I577" s="73"/>
      <c r="J577" s="73"/>
      <c r="K577" s="73"/>
      <c r="L577" s="73"/>
      <c r="M577" s="73"/>
      <c r="N577" s="73"/>
      <c r="O577" s="73"/>
      <c r="P577" s="73"/>
      <c r="Q577" s="73"/>
      <c r="R577" s="73"/>
      <c r="S577" s="73"/>
      <c r="T577" s="73"/>
      <c r="U577" s="73"/>
      <c r="V577" s="73"/>
      <c r="W577" s="73"/>
      <c r="GL577" s="73"/>
      <c r="GM577" s="73"/>
      <c r="GN577" s="73"/>
      <c r="GO577" s="73"/>
      <c r="GP577" s="73"/>
      <c r="GQ577" s="73"/>
      <c r="GR577" s="73"/>
      <c r="GS577" s="73"/>
      <c r="GT577" s="73"/>
      <c r="GU577" s="73"/>
      <c r="GV577" s="73"/>
      <c r="GW577" s="73"/>
      <c r="GX577" s="73"/>
      <c r="GY577" s="73"/>
      <c r="GZ577" s="73"/>
      <c r="HA577" s="73"/>
      <c r="HB577" s="73"/>
      <c r="HC577" s="73"/>
      <c r="HD577" s="73"/>
      <c r="HE577" s="73"/>
      <c r="HF577" s="73"/>
      <c r="HG577" s="73"/>
      <c r="HH577" s="73"/>
      <c r="HI577" s="73"/>
      <c r="HJ577" s="73"/>
      <c r="HK577" s="73"/>
      <c r="HL577" s="73"/>
      <c r="HM577" s="73"/>
      <c r="HN577" s="73"/>
      <c r="HO577" s="73"/>
      <c r="HP577" s="73"/>
      <c r="HQ577" s="73"/>
      <c r="HR577" s="73"/>
      <c r="HS577" s="73"/>
      <c r="HT577" s="73"/>
      <c r="HU577" s="73"/>
      <c r="HV577" s="73"/>
      <c r="HW577" s="73"/>
      <c r="HX577" s="73"/>
      <c r="HY577" s="73"/>
      <c r="HZ577" s="73"/>
      <c r="IA577" s="73"/>
      <c r="IB577" s="73"/>
      <c r="IC577" s="73"/>
      <c r="ID577" s="73"/>
      <c r="IE577" s="73"/>
      <c r="IF577" s="73"/>
      <c r="IG577" s="73"/>
      <c r="IH577" s="73"/>
      <c r="II577" s="73"/>
      <c r="IJ577" s="73"/>
      <c r="IK577" s="73"/>
      <c r="IL577" s="73"/>
      <c r="IM577" s="73"/>
      <c r="IN577" s="73"/>
      <c r="IO577" s="73"/>
      <c r="IP577" s="73"/>
      <c r="IQ577" s="73"/>
      <c r="IR577" s="73"/>
      <c r="IS577" s="73"/>
      <c r="IT577" s="73"/>
      <c r="IU577" s="73"/>
      <c r="IV577" s="73"/>
      <c r="IW577" s="73"/>
      <c r="IX577" s="73"/>
      <c r="IY577" s="73"/>
      <c r="IZ577" s="73"/>
      <c r="JA577" s="73"/>
      <c r="JB577" s="73"/>
      <c r="JC577" s="73"/>
    </row>
    <row r="578" spans="2:263" s="72" customFormat="1">
      <c r="B578" s="73"/>
      <c r="C578" s="73"/>
      <c r="D578" s="73"/>
      <c r="E578" s="73"/>
      <c r="F578" s="73"/>
      <c r="G578" s="73"/>
      <c r="H578" s="73"/>
      <c r="I578" s="73"/>
      <c r="J578" s="73"/>
      <c r="K578" s="73"/>
      <c r="L578" s="73"/>
      <c r="M578" s="73"/>
      <c r="N578" s="73"/>
      <c r="O578" s="73"/>
      <c r="P578" s="73"/>
      <c r="Q578" s="73"/>
      <c r="R578" s="73"/>
      <c r="S578" s="73"/>
      <c r="T578" s="73"/>
      <c r="U578" s="73"/>
      <c r="V578" s="73"/>
      <c r="W578" s="73"/>
      <c r="GL578" s="73"/>
      <c r="GM578" s="73"/>
      <c r="GN578" s="73"/>
      <c r="GO578" s="73"/>
      <c r="GP578" s="73"/>
      <c r="GQ578" s="73"/>
      <c r="GR578" s="73"/>
      <c r="GS578" s="73"/>
      <c r="GT578" s="73"/>
      <c r="GU578" s="73"/>
      <c r="GV578" s="73"/>
      <c r="GW578" s="73"/>
      <c r="GX578" s="73"/>
      <c r="GY578" s="73"/>
      <c r="GZ578" s="73"/>
      <c r="HA578" s="73"/>
      <c r="HB578" s="73"/>
      <c r="HC578" s="73"/>
      <c r="HD578" s="73"/>
      <c r="HE578" s="73"/>
      <c r="HF578" s="73"/>
      <c r="HG578" s="73"/>
      <c r="HH578" s="73"/>
      <c r="HI578" s="73"/>
      <c r="HJ578" s="73"/>
      <c r="HK578" s="73"/>
      <c r="HL578" s="73"/>
      <c r="HM578" s="73"/>
      <c r="HN578" s="73"/>
      <c r="HO578" s="73"/>
      <c r="HP578" s="73"/>
      <c r="HQ578" s="73"/>
      <c r="HR578" s="73"/>
      <c r="HS578" s="73"/>
      <c r="HT578" s="73"/>
      <c r="HU578" s="73"/>
      <c r="HV578" s="73"/>
      <c r="HW578" s="73"/>
      <c r="HX578" s="73"/>
      <c r="HY578" s="73"/>
      <c r="HZ578" s="73"/>
      <c r="IA578" s="73"/>
      <c r="IB578" s="73"/>
      <c r="IC578" s="73"/>
      <c r="ID578" s="73"/>
      <c r="IE578" s="73"/>
      <c r="IF578" s="73"/>
      <c r="IG578" s="73"/>
      <c r="IH578" s="73"/>
      <c r="II578" s="73"/>
      <c r="IJ578" s="73"/>
      <c r="IK578" s="73"/>
      <c r="IL578" s="73"/>
      <c r="IM578" s="73"/>
      <c r="IN578" s="73"/>
      <c r="IO578" s="73"/>
      <c r="IP578" s="73"/>
      <c r="IQ578" s="73"/>
      <c r="IR578" s="73"/>
      <c r="IS578" s="73"/>
      <c r="IT578" s="73"/>
      <c r="IU578" s="73"/>
      <c r="IV578" s="73"/>
      <c r="IW578" s="73"/>
      <c r="IX578" s="73"/>
      <c r="IY578" s="73"/>
      <c r="IZ578" s="73"/>
      <c r="JA578" s="73"/>
      <c r="JB578" s="73"/>
      <c r="JC578" s="73"/>
    </row>
    <row r="579" spans="2:263" s="72" customFormat="1">
      <c r="B579" s="73"/>
      <c r="C579" s="73"/>
      <c r="D579" s="73"/>
      <c r="E579" s="73"/>
      <c r="F579" s="73"/>
      <c r="G579" s="73"/>
      <c r="H579" s="73"/>
      <c r="I579" s="73"/>
      <c r="J579" s="73"/>
      <c r="K579" s="73"/>
      <c r="L579" s="73"/>
      <c r="M579" s="73"/>
      <c r="N579" s="73"/>
      <c r="O579" s="73"/>
      <c r="P579" s="73"/>
      <c r="Q579" s="73"/>
      <c r="R579" s="73"/>
      <c r="S579" s="73"/>
      <c r="T579" s="73"/>
      <c r="U579" s="73"/>
      <c r="V579" s="73"/>
      <c r="W579" s="73"/>
      <c r="GL579" s="73"/>
      <c r="GM579" s="73"/>
      <c r="GN579" s="73"/>
      <c r="GO579" s="73"/>
      <c r="GP579" s="73"/>
      <c r="GQ579" s="73"/>
      <c r="GR579" s="73"/>
      <c r="GS579" s="73"/>
      <c r="GT579" s="73"/>
      <c r="GU579" s="73"/>
      <c r="GV579" s="73"/>
      <c r="GW579" s="73"/>
      <c r="GX579" s="73"/>
      <c r="GY579" s="73"/>
      <c r="GZ579" s="73"/>
      <c r="HA579" s="73"/>
      <c r="HB579" s="73"/>
      <c r="HC579" s="73"/>
      <c r="HD579" s="73"/>
      <c r="HE579" s="73"/>
      <c r="HF579" s="73"/>
      <c r="HG579" s="73"/>
      <c r="HH579" s="73"/>
      <c r="HI579" s="73"/>
      <c r="HJ579" s="73"/>
      <c r="HK579" s="73"/>
      <c r="HL579" s="73"/>
      <c r="HM579" s="73"/>
      <c r="HN579" s="73"/>
      <c r="HO579" s="73"/>
      <c r="HP579" s="73"/>
      <c r="HQ579" s="73"/>
      <c r="HR579" s="73"/>
      <c r="HS579" s="73"/>
      <c r="HT579" s="73"/>
      <c r="HU579" s="73"/>
      <c r="HV579" s="73"/>
      <c r="HW579" s="73"/>
      <c r="HX579" s="73"/>
      <c r="HY579" s="73"/>
      <c r="HZ579" s="73"/>
      <c r="IA579" s="73"/>
      <c r="IB579" s="73"/>
      <c r="IC579" s="73"/>
      <c r="ID579" s="73"/>
      <c r="IE579" s="73"/>
      <c r="IF579" s="73"/>
      <c r="IG579" s="73"/>
      <c r="IH579" s="73"/>
      <c r="II579" s="73"/>
      <c r="IJ579" s="73"/>
      <c r="IK579" s="73"/>
      <c r="IL579" s="73"/>
      <c r="IM579" s="73"/>
      <c r="IN579" s="73"/>
      <c r="IO579" s="73"/>
      <c r="IP579" s="73"/>
      <c r="IQ579" s="73"/>
      <c r="IR579" s="73"/>
      <c r="IS579" s="73"/>
      <c r="IT579" s="73"/>
      <c r="IU579" s="73"/>
      <c r="IV579" s="73"/>
      <c r="IW579" s="73"/>
      <c r="IX579" s="73"/>
      <c r="IY579" s="73"/>
      <c r="IZ579" s="73"/>
      <c r="JA579" s="73"/>
      <c r="JB579" s="73"/>
      <c r="JC579" s="73"/>
    </row>
    <row r="580" spans="2:263" s="72" customFormat="1">
      <c r="B580" s="73"/>
      <c r="C580" s="73"/>
      <c r="D580" s="73"/>
      <c r="E580" s="73"/>
      <c r="F580" s="73"/>
      <c r="G580" s="73"/>
      <c r="H580" s="73"/>
      <c r="I580" s="73"/>
      <c r="J580" s="73"/>
      <c r="K580" s="73"/>
      <c r="L580" s="73"/>
      <c r="M580" s="73"/>
      <c r="N580" s="73"/>
      <c r="O580" s="73"/>
      <c r="P580" s="73"/>
      <c r="Q580" s="73"/>
      <c r="R580" s="73"/>
      <c r="S580" s="73"/>
      <c r="T580" s="73"/>
      <c r="U580" s="73"/>
      <c r="V580" s="73"/>
      <c r="W580" s="73"/>
      <c r="GL580" s="73"/>
      <c r="GM580" s="73"/>
      <c r="GN580" s="73"/>
      <c r="GO580" s="73"/>
      <c r="GP580" s="73"/>
      <c r="GQ580" s="73"/>
      <c r="GR580" s="73"/>
      <c r="GS580" s="73"/>
      <c r="GT580" s="73"/>
      <c r="GU580" s="73"/>
      <c r="GV580" s="73"/>
      <c r="GW580" s="73"/>
      <c r="GX580" s="73"/>
      <c r="GY580" s="73"/>
      <c r="GZ580" s="73"/>
      <c r="HA580" s="73"/>
      <c r="HB580" s="73"/>
      <c r="HC580" s="73"/>
      <c r="HD580" s="73"/>
      <c r="HE580" s="73"/>
      <c r="HF580" s="73"/>
      <c r="HG580" s="73"/>
      <c r="HH580" s="73"/>
      <c r="HI580" s="73"/>
      <c r="HJ580" s="73"/>
      <c r="HK580" s="73"/>
      <c r="HL580" s="73"/>
      <c r="HM580" s="73"/>
      <c r="HN580" s="73"/>
      <c r="HO580" s="73"/>
      <c r="HP580" s="73"/>
      <c r="HQ580" s="73"/>
      <c r="HR580" s="73"/>
      <c r="HS580" s="73"/>
      <c r="HT580" s="73"/>
      <c r="HU580" s="73"/>
      <c r="HV580" s="73"/>
      <c r="HW580" s="73"/>
      <c r="HX580" s="73"/>
      <c r="HY580" s="73"/>
      <c r="HZ580" s="73"/>
      <c r="IA580" s="73"/>
      <c r="IB580" s="73"/>
      <c r="IC580" s="73"/>
      <c r="ID580" s="73"/>
      <c r="IE580" s="73"/>
      <c r="IF580" s="73"/>
      <c r="IG580" s="73"/>
      <c r="IH580" s="73"/>
      <c r="II580" s="73"/>
      <c r="IJ580" s="73"/>
      <c r="IK580" s="73"/>
      <c r="IL580" s="73"/>
      <c r="IM580" s="73"/>
      <c r="IN580" s="73"/>
      <c r="IO580" s="73"/>
      <c r="IP580" s="73"/>
      <c r="IQ580" s="73"/>
      <c r="IR580" s="73"/>
      <c r="IS580" s="73"/>
      <c r="IT580" s="73"/>
      <c r="IU580" s="73"/>
      <c r="IV580" s="73"/>
      <c r="IW580" s="73"/>
      <c r="IX580" s="73"/>
      <c r="IY580" s="73"/>
      <c r="IZ580" s="73"/>
      <c r="JA580" s="73"/>
      <c r="JB580" s="73"/>
      <c r="JC580" s="73"/>
    </row>
    <row r="581" spans="2:263" s="72" customFormat="1">
      <c r="B581" s="73"/>
      <c r="C581" s="73"/>
      <c r="D581" s="73"/>
      <c r="E581" s="73"/>
      <c r="F581" s="73"/>
      <c r="G581" s="73"/>
      <c r="H581" s="73"/>
      <c r="I581" s="73"/>
      <c r="J581" s="73"/>
      <c r="K581" s="73"/>
      <c r="L581" s="73"/>
      <c r="M581" s="73"/>
      <c r="N581" s="73"/>
      <c r="O581" s="73"/>
      <c r="P581" s="73"/>
      <c r="Q581" s="73"/>
      <c r="R581" s="73"/>
      <c r="S581" s="73"/>
      <c r="T581" s="73"/>
      <c r="U581" s="73"/>
      <c r="V581" s="73"/>
      <c r="W581" s="73"/>
      <c r="GL581" s="73"/>
      <c r="GM581" s="73"/>
      <c r="GN581" s="73"/>
      <c r="GO581" s="73"/>
      <c r="GP581" s="73"/>
      <c r="GQ581" s="73"/>
      <c r="GR581" s="73"/>
      <c r="GS581" s="73"/>
      <c r="GT581" s="73"/>
      <c r="GU581" s="73"/>
      <c r="GV581" s="73"/>
      <c r="GW581" s="73"/>
      <c r="GX581" s="73"/>
      <c r="GY581" s="73"/>
      <c r="GZ581" s="73"/>
      <c r="HA581" s="73"/>
      <c r="HB581" s="73"/>
      <c r="HC581" s="73"/>
      <c r="HD581" s="73"/>
      <c r="HE581" s="73"/>
      <c r="HF581" s="73"/>
      <c r="HG581" s="73"/>
      <c r="HH581" s="73"/>
      <c r="HI581" s="73"/>
      <c r="HJ581" s="73"/>
      <c r="HK581" s="73"/>
      <c r="HL581" s="73"/>
      <c r="HM581" s="73"/>
      <c r="HN581" s="73"/>
      <c r="HO581" s="73"/>
      <c r="HP581" s="73"/>
      <c r="HQ581" s="73"/>
      <c r="HR581" s="73"/>
      <c r="HS581" s="73"/>
      <c r="HT581" s="73"/>
      <c r="HU581" s="73"/>
      <c r="HV581" s="73"/>
      <c r="HW581" s="73"/>
      <c r="HX581" s="73"/>
      <c r="HY581" s="73"/>
      <c r="HZ581" s="73"/>
      <c r="IA581" s="73"/>
      <c r="IB581" s="73"/>
      <c r="IC581" s="73"/>
      <c r="ID581" s="73"/>
      <c r="IE581" s="73"/>
      <c r="IF581" s="73"/>
      <c r="IG581" s="73"/>
      <c r="IH581" s="73"/>
      <c r="II581" s="73"/>
      <c r="IJ581" s="73"/>
      <c r="IK581" s="73"/>
      <c r="IL581" s="73"/>
      <c r="IM581" s="73"/>
      <c r="IN581" s="73"/>
      <c r="IO581" s="73"/>
      <c r="IP581" s="73"/>
      <c r="IQ581" s="73"/>
      <c r="IR581" s="73"/>
      <c r="IS581" s="73"/>
      <c r="IT581" s="73"/>
      <c r="IU581" s="73"/>
      <c r="IV581" s="73"/>
      <c r="IW581" s="73"/>
      <c r="IX581" s="73"/>
      <c r="IY581" s="73"/>
      <c r="IZ581" s="73"/>
      <c r="JA581" s="73"/>
      <c r="JB581" s="73"/>
      <c r="JC581" s="73"/>
    </row>
    <row r="582" spans="2:263" s="72" customFormat="1">
      <c r="B582" s="73"/>
      <c r="C582" s="73"/>
      <c r="D582" s="73"/>
      <c r="E582" s="73"/>
      <c r="F582" s="73"/>
      <c r="G582" s="73"/>
      <c r="H582" s="73"/>
      <c r="I582" s="73"/>
      <c r="J582" s="73"/>
      <c r="K582" s="73"/>
      <c r="L582" s="73"/>
      <c r="M582" s="73"/>
      <c r="N582" s="73"/>
      <c r="O582" s="73"/>
      <c r="P582" s="73"/>
      <c r="Q582" s="73"/>
      <c r="R582" s="73"/>
      <c r="S582" s="73"/>
      <c r="T582" s="73"/>
      <c r="U582" s="73"/>
      <c r="V582" s="73"/>
      <c r="W582" s="73"/>
      <c r="GL582" s="73"/>
      <c r="GM582" s="73"/>
      <c r="GN582" s="73"/>
      <c r="GO582" s="73"/>
      <c r="GP582" s="73"/>
      <c r="GQ582" s="73"/>
      <c r="GR582" s="73"/>
      <c r="GS582" s="73"/>
      <c r="GT582" s="73"/>
      <c r="GU582" s="73"/>
      <c r="GV582" s="73"/>
      <c r="GW582" s="73"/>
      <c r="GX582" s="73"/>
      <c r="GY582" s="73"/>
      <c r="GZ582" s="73"/>
      <c r="HA582" s="73"/>
      <c r="HB582" s="73"/>
      <c r="HC582" s="73"/>
      <c r="HD582" s="73"/>
      <c r="HE582" s="73"/>
      <c r="HF582" s="73"/>
      <c r="HG582" s="73"/>
      <c r="HH582" s="73"/>
      <c r="HI582" s="73"/>
      <c r="HJ582" s="73"/>
      <c r="HK582" s="73"/>
      <c r="HL582" s="73"/>
      <c r="HM582" s="73"/>
      <c r="HN582" s="73"/>
      <c r="HO582" s="73"/>
      <c r="HP582" s="73"/>
      <c r="HQ582" s="73"/>
      <c r="HR582" s="73"/>
      <c r="HS582" s="73"/>
      <c r="HT582" s="73"/>
      <c r="HU582" s="73"/>
      <c r="HV582" s="73"/>
      <c r="HW582" s="73"/>
      <c r="HX582" s="73"/>
      <c r="HY582" s="73"/>
      <c r="HZ582" s="73"/>
      <c r="IA582" s="73"/>
      <c r="IB582" s="73"/>
      <c r="IC582" s="73"/>
      <c r="ID582" s="73"/>
      <c r="IE582" s="73"/>
      <c r="IF582" s="73"/>
      <c r="IG582" s="73"/>
      <c r="IH582" s="73"/>
      <c r="II582" s="73"/>
      <c r="IJ582" s="73"/>
      <c r="IK582" s="73"/>
      <c r="IL582" s="73"/>
      <c r="IM582" s="73"/>
      <c r="IN582" s="73"/>
      <c r="IO582" s="73"/>
      <c r="IP582" s="73"/>
      <c r="IQ582" s="73"/>
      <c r="IR582" s="73"/>
      <c r="IS582" s="73"/>
      <c r="IT582" s="73"/>
      <c r="IU582" s="73"/>
      <c r="IV582" s="73"/>
      <c r="IW582" s="73"/>
      <c r="IX582" s="73"/>
      <c r="IY582" s="73"/>
      <c r="IZ582" s="73"/>
      <c r="JA582" s="73"/>
      <c r="JB582" s="73"/>
      <c r="JC582" s="73"/>
    </row>
    <row r="583" spans="2:263" s="72" customFormat="1">
      <c r="B583" s="73"/>
      <c r="C583" s="73"/>
      <c r="D583" s="73"/>
      <c r="E583" s="73"/>
      <c r="F583" s="73"/>
      <c r="G583" s="73"/>
      <c r="H583" s="73"/>
      <c r="I583" s="73"/>
      <c r="J583" s="73"/>
      <c r="K583" s="73"/>
      <c r="L583" s="73"/>
      <c r="M583" s="73"/>
      <c r="N583" s="73"/>
      <c r="O583" s="73"/>
      <c r="P583" s="73"/>
      <c r="Q583" s="73"/>
      <c r="R583" s="73"/>
      <c r="S583" s="73"/>
      <c r="T583" s="73"/>
      <c r="U583" s="73"/>
      <c r="V583" s="73"/>
      <c r="W583" s="73"/>
      <c r="GL583" s="73"/>
      <c r="GM583" s="73"/>
      <c r="GN583" s="73"/>
      <c r="GO583" s="73"/>
      <c r="GP583" s="73"/>
      <c r="GQ583" s="73"/>
      <c r="GR583" s="73"/>
      <c r="GS583" s="73"/>
      <c r="GT583" s="73"/>
      <c r="GU583" s="73"/>
      <c r="GV583" s="73"/>
      <c r="GW583" s="73"/>
      <c r="GX583" s="73"/>
      <c r="GY583" s="73"/>
      <c r="GZ583" s="73"/>
      <c r="HA583" s="73"/>
      <c r="HB583" s="73"/>
      <c r="HC583" s="73"/>
      <c r="HD583" s="73"/>
      <c r="HE583" s="73"/>
      <c r="HF583" s="73"/>
      <c r="HG583" s="73"/>
      <c r="HH583" s="73"/>
      <c r="HI583" s="73"/>
      <c r="HJ583" s="73"/>
      <c r="HK583" s="73"/>
      <c r="HL583" s="73"/>
      <c r="HM583" s="73"/>
      <c r="HN583" s="73"/>
      <c r="HO583" s="73"/>
      <c r="HP583" s="73"/>
      <c r="HQ583" s="73"/>
      <c r="HR583" s="73"/>
      <c r="HS583" s="73"/>
      <c r="HT583" s="73"/>
      <c r="HU583" s="73"/>
      <c r="HV583" s="73"/>
      <c r="HW583" s="73"/>
      <c r="HX583" s="73"/>
      <c r="HY583" s="73"/>
      <c r="HZ583" s="73"/>
      <c r="IA583" s="73"/>
      <c r="IB583" s="73"/>
      <c r="IC583" s="73"/>
      <c r="ID583" s="73"/>
      <c r="IE583" s="73"/>
      <c r="IF583" s="73"/>
      <c r="IG583" s="73"/>
      <c r="IH583" s="73"/>
      <c r="II583" s="73"/>
      <c r="IJ583" s="73"/>
      <c r="IK583" s="73"/>
      <c r="IL583" s="73"/>
      <c r="IM583" s="73"/>
      <c r="IN583" s="73"/>
      <c r="IO583" s="73"/>
      <c r="IP583" s="73"/>
      <c r="IQ583" s="73"/>
      <c r="IR583" s="73"/>
      <c r="IS583" s="73"/>
      <c r="IT583" s="73"/>
      <c r="IU583" s="73"/>
      <c r="IV583" s="73"/>
      <c r="IW583" s="73"/>
      <c r="IX583" s="73"/>
      <c r="IY583" s="73"/>
      <c r="IZ583" s="73"/>
      <c r="JA583" s="73"/>
      <c r="JB583" s="73"/>
      <c r="JC583" s="73"/>
    </row>
    <row r="584" spans="2:263" s="72" customFormat="1">
      <c r="B584" s="73"/>
      <c r="C584" s="73"/>
      <c r="D584" s="73"/>
      <c r="E584" s="73"/>
      <c r="F584" s="73"/>
      <c r="G584" s="73"/>
      <c r="H584" s="73"/>
      <c r="I584" s="73"/>
      <c r="J584" s="73"/>
      <c r="K584" s="73"/>
      <c r="L584" s="73"/>
      <c r="M584" s="73"/>
      <c r="N584" s="73"/>
      <c r="O584" s="73"/>
      <c r="P584" s="73"/>
      <c r="Q584" s="73"/>
      <c r="R584" s="73"/>
      <c r="S584" s="73"/>
      <c r="T584" s="73"/>
      <c r="U584" s="73"/>
      <c r="V584" s="73"/>
      <c r="W584" s="73"/>
      <c r="GL584" s="73"/>
      <c r="GM584" s="73"/>
      <c r="GN584" s="73"/>
      <c r="GO584" s="73"/>
      <c r="GP584" s="73"/>
      <c r="GQ584" s="73"/>
      <c r="GR584" s="73"/>
      <c r="GS584" s="73"/>
      <c r="GT584" s="73"/>
      <c r="GU584" s="73"/>
      <c r="GV584" s="73"/>
      <c r="GW584" s="73"/>
      <c r="GX584" s="73"/>
      <c r="GY584" s="73"/>
      <c r="GZ584" s="73"/>
      <c r="HA584" s="73"/>
      <c r="HB584" s="73"/>
      <c r="HC584" s="73"/>
      <c r="HD584" s="73"/>
      <c r="HE584" s="73"/>
      <c r="HF584" s="73"/>
      <c r="HG584" s="73"/>
      <c r="HH584" s="73"/>
      <c r="HI584" s="73"/>
      <c r="HJ584" s="73"/>
      <c r="HK584" s="73"/>
      <c r="HL584" s="73"/>
      <c r="HM584" s="73"/>
      <c r="HN584" s="73"/>
      <c r="HO584" s="73"/>
      <c r="HP584" s="73"/>
      <c r="HQ584" s="73"/>
      <c r="HR584" s="73"/>
      <c r="HS584" s="73"/>
      <c r="HT584" s="73"/>
      <c r="HU584" s="73"/>
      <c r="HV584" s="73"/>
      <c r="HW584" s="73"/>
      <c r="HX584" s="73"/>
      <c r="HY584" s="73"/>
      <c r="HZ584" s="73"/>
      <c r="IA584" s="73"/>
      <c r="IB584" s="73"/>
      <c r="IC584" s="73"/>
      <c r="ID584" s="73"/>
      <c r="IE584" s="73"/>
      <c r="IF584" s="73"/>
      <c r="IG584" s="73"/>
      <c r="IH584" s="73"/>
      <c r="II584" s="73"/>
      <c r="IJ584" s="73"/>
      <c r="IK584" s="73"/>
      <c r="IL584" s="73"/>
      <c r="IM584" s="73"/>
      <c r="IN584" s="73"/>
      <c r="IO584" s="73"/>
      <c r="IP584" s="73"/>
      <c r="IQ584" s="73"/>
      <c r="IR584" s="73"/>
      <c r="IS584" s="73"/>
      <c r="IT584" s="73"/>
      <c r="IU584" s="73"/>
      <c r="IV584" s="73"/>
      <c r="IW584" s="73"/>
      <c r="IX584" s="73"/>
      <c r="IY584" s="73"/>
      <c r="IZ584" s="73"/>
      <c r="JA584" s="73"/>
      <c r="JB584" s="73"/>
      <c r="JC584" s="73"/>
    </row>
    <row r="585" spans="2:263" s="72" customFormat="1">
      <c r="B585" s="73"/>
      <c r="C585" s="73"/>
      <c r="D585" s="73"/>
      <c r="E585" s="73"/>
      <c r="F585" s="73"/>
      <c r="G585" s="73"/>
      <c r="H585" s="73"/>
      <c r="I585" s="73"/>
      <c r="J585" s="73"/>
      <c r="K585" s="73"/>
      <c r="L585" s="73"/>
      <c r="M585" s="73"/>
      <c r="N585" s="73"/>
      <c r="O585" s="73"/>
      <c r="P585" s="73"/>
      <c r="Q585" s="73"/>
      <c r="R585" s="73"/>
      <c r="S585" s="73"/>
      <c r="T585" s="73"/>
      <c r="U585" s="73"/>
      <c r="V585" s="73"/>
      <c r="W585" s="73"/>
      <c r="GL585" s="73"/>
      <c r="GM585" s="73"/>
      <c r="GN585" s="73"/>
      <c r="GO585" s="73"/>
      <c r="GP585" s="73"/>
      <c r="GQ585" s="73"/>
      <c r="GR585" s="73"/>
      <c r="GS585" s="73"/>
      <c r="GT585" s="73"/>
      <c r="GU585" s="73"/>
      <c r="GV585" s="73"/>
      <c r="GW585" s="73"/>
      <c r="GX585" s="73"/>
      <c r="GY585" s="73"/>
      <c r="GZ585" s="73"/>
      <c r="HA585" s="73"/>
      <c r="HB585" s="73"/>
      <c r="HC585" s="73"/>
      <c r="HD585" s="73"/>
      <c r="HE585" s="73"/>
      <c r="HF585" s="73"/>
      <c r="HG585" s="73"/>
      <c r="HH585" s="73"/>
      <c r="HI585" s="73"/>
      <c r="HJ585" s="73"/>
      <c r="HK585" s="73"/>
      <c r="HL585" s="73"/>
      <c r="HM585" s="73"/>
      <c r="HN585" s="73"/>
      <c r="HO585" s="73"/>
      <c r="HP585" s="73"/>
      <c r="HQ585" s="73"/>
      <c r="HR585" s="73"/>
      <c r="HS585" s="73"/>
      <c r="HT585" s="73"/>
      <c r="HU585" s="73"/>
      <c r="HV585" s="73"/>
      <c r="HW585" s="73"/>
      <c r="HX585" s="73"/>
      <c r="HY585" s="73"/>
      <c r="HZ585" s="73"/>
      <c r="IA585" s="73"/>
      <c r="IB585" s="73"/>
      <c r="IC585" s="73"/>
      <c r="ID585" s="73"/>
      <c r="IE585" s="73"/>
      <c r="IF585" s="73"/>
      <c r="IG585" s="73"/>
      <c r="IH585" s="73"/>
      <c r="II585" s="73"/>
      <c r="IJ585" s="73"/>
      <c r="IK585" s="73"/>
      <c r="IL585" s="73"/>
      <c r="IM585" s="73"/>
      <c r="IN585" s="73"/>
      <c r="IO585" s="73"/>
      <c r="IP585" s="73"/>
      <c r="IQ585" s="73"/>
      <c r="IR585" s="73"/>
      <c r="IS585" s="73"/>
      <c r="IT585" s="73"/>
      <c r="IU585" s="73"/>
      <c r="IV585" s="73"/>
      <c r="IW585" s="73"/>
      <c r="IX585" s="73"/>
      <c r="IY585" s="73"/>
      <c r="IZ585" s="73"/>
      <c r="JA585" s="73"/>
      <c r="JB585" s="73"/>
      <c r="JC585" s="73"/>
    </row>
    <row r="586" spans="2:263" s="72" customFormat="1">
      <c r="B586" s="73"/>
      <c r="C586" s="73"/>
      <c r="D586" s="73"/>
      <c r="E586" s="73"/>
      <c r="F586" s="73"/>
      <c r="G586" s="73"/>
      <c r="H586" s="73"/>
      <c r="I586" s="73"/>
      <c r="J586" s="73"/>
      <c r="K586" s="73"/>
      <c r="L586" s="73"/>
      <c r="M586" s="73"/>
      <c r="N586" s="73"/>
      <c r="O586" s="73"/>
      <c r="P586" s="73"/>
      <c r="Q586" s="73"/>
      <c r="R586" s="73"/>
      <c r="S586" s="73"/>
      <c r="T586" s="73"/>
      <c r="U586" s="73"/>
      <c r="V586" s="73"/>
      <c r="W586" s="73"/>
      <c r="GL586" s="73"/>
      <c r="GM586" s="73"/>
      <c r="GN586" s="73"/>
      <c r="GO586" s="73"/>
      <c r="GP586" s="73"/>
      <c r="GQ586" s="73"/>
      <c r="GR586" s="73"/>
      <c r="GS586" s="73"/>
      <c r="GT586" s="73"/>
      <c r="GU586" s="73"/>
      <c r="GV586" s="73"/>
      <c r="GW586" s="73"/>
      <c r="GX586" s="73"/>
      <c r="GY586" s="73"/>
      <c r="GZ586" s="73"/>
      <c r="HA586" s="73"/>
      <c r="HB586" s="73"/>
      <c r="HC586" s="73"/>
      <c r="HD586" s="73"/>
      <c r="HE586" s="73"/>
      <c r="HF586" s="73"/>
      <c r="HG586" s="73"/>
      <c r="HH586" s="73"/>
      <c r="HI586" s="73"/>
      <c r="HJ586" s="73"/>
      <c r="HK586" s="73"/>
      <c r="HL586" s="73"/>
      <c r="HM586" s="73"/>
      <c r="HN586" s="73"/>
      <c r="HO586" s="73"/>
      <c r="HP586" s="73"/>
      <c r="HQ586" s="73"/>
      <c r="HR586" s="73"/>
      <c r="HS586" s="73"/>
      <c r="HT586" s="73"/>
      <c r="HU586" s="73"/>
      <c r="HV586" s="73"/>
      <c r="HW586" s="73"/>
      <c r="HX586" s="73"/>
      <c r="HY586" s="73"/>
      <c r="HZ586" s="73"/>
      <c r="IA586" s="73"/>
      <c r="IB586" s="73"/>
      <c r="IC586" s="73"/>
      <c r="ID586" s="73"/>
      <c r="IE586" s="73"/>
      <c r="IF586" s="73"/>
      <c r="IG586" s="73"/>
      <c r="IH586" s="73"/>
      <c r="II586" s="73"/>
      <c r="IJ586" s="73"/>
      <c r="IK586" s="73"/>
      <c r="IL586" s="73"/>
      <c r="IM586" s="73"/>
      <c r="IN586" s="73"/>
      <c r="IO586" s="73"/>
      <c r="IP586" s="73"/>
      <c r="IQ586" s="73"/>
      <c r="IR586" s="73"/>
      <c r="IS586" s="73"/>
      <c r="IT586" s="73"/>
      <c r="IU586" s="73"/>
      <c r="IV586" s="73"/>
      <c r="IW586" s="73"/>
      <c r="IX586" s="73"/>
      <c r="IY586" s="73"/>
      <c r="IZ586" s="73"/>
      <c r="JA586" s="73"/>
      <c r="JB586" s="73"/>
      <c r="JC586" s="73"/>
    </row>
    <row r="587" spans="2:263" s="72" customFormat="1">
      <c r="B587" s="73"/>
      <c r="C587" s="73"/>
      <c r="D587" s="73"/>
      <c r="E587" s="73"/>
      <c r="F587" s="73"/>
      <c r="G587" s="73"/>
      <c r="H587" s="73"/>
      <c r="I587" s="73"/>
      <c r="J587" s="73"/>
      <c r="K587" s="73"/>
      <c r="L587" s="73"/>
      <c r="M587" s="73"/>
      <c r="N587" s="73"/>
      <c r="O587" s="73"/>
      <c r="P587" s="73"/>
      <c r="Q587" s="73"/>
      <c r="R587" s="73"/>
      <c r="S587" s="73"/>
      <c r="T587" s="73"/>
      <c r="U587" s="73"/>
      <c r="V587" s="73"/>
      <c r="W587" s="73"/>
      <c r="GL587" s="73"/>
      <c r="GM587" s="73"/>
      <c r="GN587" s="73"/>
      <c r="GO587" s="73"/>
      <c r="GP587" s="73"/>
      <c r="GQ587" s="73"/>
      <c r="GR587" s="73"/>
      <c r="GS587" s="73"/>
      <c r="GT587" s="73"/>
      <c r="GU587" s="73"/>
      <c r="GV587" s="73"/>
      <c r="GW587" s="73"/>
      <c r="GX587" s="73"/>
      <c r="GY587" s="73"/>
      <c r="GZ587" s="73"/>
      <c r="HA587" s="73"/>
      <c r="HB587" s="73"/>
      <c r="HC587" s="73"/>
      <c r="HD587" s="73"/>
      <c r="HE587" s="73"/>
      <c r="HF587" s="73"/>
      <c r="HG587" s="73"/>
      <c r="HH587" s="73"/>
      <c r="HI587" s="73"/>
      <c r="HJ587" s="73"/>
      <c r="HK587" s="73"/>
      <c r="HL587" s="73"/>
      <c r="HM587" s="73"/>
      <c r="HN587" s="73"/>
      <c r="HO587" s="73"/>
      <c r="HP587" s="73"/>
      <c r="HQ587" s="73"/>
      <c r="HR587" s="73"/>
      <c r="HS587" s="73"/>
      <c r="HT587" s="73"/>
      <c r="HU587" s="73"/>
      <c r="HV587" s="73"/>
      <c r="HW587" s="73"/>
      <c r="HX587" s="73"/>
      <c r="HY587" s="73"/>
      <c r="HZ587" s="73"/>
      <c r="IA587" s="73"/>
      <c r="IB587" s="73"/>
      <c r="IC587" s="73"/>
      <c r="ID587" s="73"/>
      <c r="IE587" s="73"/>
      <c r="IF587" s="73"/>
      <c r="IG587" s="73"/>
      <c r="IH587" s="73"/>
      <c r="II587" s="73"/>
      <c r="IJ587" s="73"/>
      <c r="IK587" s="73"/>
      <c r="IL587" s="73"/>
      <c r="IM587" s="73"/>
      <c r="IN587" s="73"/>
      <c r="IO587" s="73"/>
      <c r="IP587" s="73"/>
      <c r="IQ587" s="73"/>
      <c r="IR587" s="73"/>
      <c r="IS587" s="73"/>
      <c r="IT587" s="73"/>
      <c r="IU587" s="73"/>
      <c r="IV587" s="73"/>
      <c r="IW587" s="73"/>
      <c r="IX587" s="73"/>
      <c r="IY587" s="73"/>
      <c r="IZ587" s="73"/>
      <c r="JA587" s="73"/>
      <c r="JB587" s="73"/>
      <c r="JC587" s="73"/>
    </row>
    <row r="588" spans="2:263" s="72" customFormat="1">
      <c r="B588" s="73"/>
      <c r="C588" s="73"/>
      <c r="D588" s="73"/>
      <c r="E588" s="73"/>
      <c r="F588" s="73"/>
      <c r="G588" s="73"/>
      <c r="H588" s="73"/>
      <c r="I588" s="73"/>
      <c r="J588" s="73"/>
      <c r="K588" s="73"/>
      <c r="L588" s="73"/>
      <c r="M588" s="73"/>
      <c r="N588" s="73"/>
      <c r="O588" s="73"/>
      <c r="P588" s="73"/>
      <c r="Q588" s="73"/>
      <c r="R588" s="73"/>
      <c r="S588" s="73"/>
      <c r="T588" s="73"/>
      <c r="U588" s="73"/>
      <c r="V588" s="73"/>
      <c r="W588" s="73"/>
      <c r="GL588" s="73"/>
      <c r="GM588" s="73"/>
      <c r="GN588" s="73"/>
      <c r="GO588" s="73"/>
      <c r="GP588" s="73"/>
      <c r="GQ588" s="73"/>
      <c r="GR588" s="73"/>
      <c r="GS588" s="73"/>
      <c r="GT588" s="73"/>
      <c r="GU588" s="73"/>
      <c r="GV588" s="73"/>
      <c r="GW588" s="73"/>
      <c r="GX588" s="73"/>
      <c r="GY588" s="73"/>
      <c r="GZ588" s="73"/>
      <c r="HA588" s="73"/>
      <c r="HB588" s="73"/>
      <c r="HC588" s="73"/>
      <c r="HD588" s="73"/>
      <c r="HE588" s="73"/>
      <c r="HF588" s="73"/>
      <c r="HG588" s="73"/>
      <c r="HH588" s="73"/>
      <c r="HI588" s="73"/>
      <c r="HJ588" s="73"/>
      <c r="HK588" s="73"/>
      <c r="HL588" s="73"/>
      <c r="HM588" s="73"/>
      <c r="HN588" s="73"/>
      <c r="HO588" s="73"/>
      <c r="HP588" s="73"/>
      <c r="HQ588" s="73"/>
      <c r="HR588" s="73"/>
      <c r="HS588" s="73"/>
      <c r="HT588" s="73"/>
      <c r="HU588" s="73"/>
      <c r="HV588" s="73"/>
      <c r="HW588" s="73"/>
      <c r="HX588" s="73"/>
      <c r="HY588" s="73"/>
      <c r="HZ588" s="73"/>
      <c r="IA588" s="73"/>
      <c r="IB588" s="73"/>
      <c r="IC588" s="73"/>
      <c r="ID588" s="73"/>
      <c r="IE588" s="73"/>
      <c r="IF588" s="73"/>
      <c r="IG588" s="73"/>
      <c r="IH588" s="73"/>
      <c r="II588" s="73"/>
      <c r="IJ588" s="73"/>
      <c r="IK588" s="73"/>
      <c r="IL588" s="73"/>
      <c r="IM588" s="73"/>
      <c r="IN588" s="73"/>
      <c r="IO588" s="73"/>
      <c r="IP588" s="73"/>
      <c r="IQ588" s="73"/>
      <c r="IR588" s="73"/>
      <c r="IS588" s="73"/>
      <c r="IT588" s="73"/>
      <c r="IU588" s="73"/>
      <c r="IV588" s="73"/>
      <c r="IW588" s="73"/>
      <c r="IX588" s="73"/>
      <c r="IY588" s="73"/>
      <c r="IZ588" s="73"/>
      <c r="JA588" s="73"/>
      <c r="JB588" s="73"/>
      <c r="JC588" s="73"/>
    </row>
    <row r="589" spans="2:263" s="72" customFormat="1">
      <c r="B589" s="73"/>
      <c r="C589" s="73"/>
      <c r="D589" s="73"/>
      <c r="E589" s="73"/>
      <c r="F589" s="73"/>
      <c r="G589" s="73"/>
      <c r="H589" s="73"/>
      <c r="I589" s="73"/>
      <c r="J589" s="73"/>
      <c r="K589" s="73"/>
      <c r="L589" s="73"/>
      <c r="M589" s="73"/>
      <c r="N589" s="73"/>
      <c r="O589" s="73"/>
      <c r="P589" s="73"/>
      <c r="Q589" s="73"/>
      <c r="R589" s="73"/>
      <c r="S589" s="73"/>
      <c r="T589" s="73"/>
      <c r="U589" s="73"/>
      <c r="V589" s="73"/>
      <c r="W589" s="73"/>
      <c r="GL589" s="73"/>
      <c r="GM589" s="73"/>
      <c r="GN589" s="73"/>
      <c r="GO589" s="73"/>
      <c r="GP589" s="73"/>
      <c r="GQ589" s="73"/>
      <c r="GR589" s="73"/>
      <c r="GS589" s="73"/>
      <c r="GT589" s="73"/>
      <c r="GU589" s="73"/>
      <c r="GV589" s="73"/>
      <c r="GW589" s="73"/>
      <c r="GX589" s="73"/>
      <c r="GY589" s="73"/>
      <c r="GZ589" s="73"/>
      <c r="HA589" s="73"/>
      <c r="HB589" s="73"/>
      <c r="HC589" s="73"/>
      <c r="HD589" s="73"/>
      <c r="HE589" s="73"/>
      <c r="HF589" s="73"/>
      <c r="HG589" s="73"/>
      <c r="HH589" s="73"/>
      <c r="HI589" s="73"/>
      <c r="HJ589" s="73"/>
      <c r="HK589" s="73"/>
      <c r="HL589" s="73"/>
      <c r="HM589" s="73"/>
      <c r="HN589" s="73"/>
      <c r="HO589" s="73"/>
      <c r="HP589" s="73"/>
      <c r="HQ589" s="73"/>
      <c r="HR589" s="73"/>
      <c r="HS589" s="73"/>
      <c r="HT589" s="73"/>
      <c r="HU589" s="73"/>
      <c r="HV589" s="73"/>
      <c r="HW589" s="73"/>
      <c r="HX589" s="73"/>
      <c r="HY589" s="73"/>
      <c r="HZ589" s="73"/>
      <c r="IA589" s="73"/>
      <c r="IB589" s="73"/>
      <c r="IC589" s="73"/>
      <c r="ID589" s="73"/>
      <c r="IE589" s="73"/>
      <c r="IF589" s="73"/>
      <c r="IG589" s="73"/>
      <c r="IH589" s="73"/>
      <c r="II589" s="73"/>
      <c r="IJ589" s="73"/>
      <c r="IK589" s="73"/>
      <c r="IL589" s="73"/>
      <c r="IM589" s="73"/>
      <c r="IN589" s="73"/>
      <c r="IO589" s="73"/>
      <c r="IP589" s="73"/>
      <c r="IQ589" s="73"/>
      <c r="IR589" s="73"/>
      <c r="IS589" s="73"/>
      <c r="IT589" s="73"/>
      <c r="IU589" s="73"/>
      <c r="IV589" s="73"/>
      <c r="IW589" s="73"/>
      <c r="IX589" s="73"/>
      <c r="IY589" s="73"/>
      <c r="IZ589" s="73"/>
      <c r="JA589" s="73"/>
      <c r="JB589" s="73"/>
      <c r="JC589" s="73"/>
    </row>
    <row r="590" spans="2:263" s="72" customFormat="1">
      <c r="B590" s="73"/>
      <c r="C590" s="73"/>
      <c r="D590" s="73"/>
      <c r="E590" s="73"/>
      <c r="F590" s="73"/>
      <c r="G590" s="73"/>
      <c r="H590" s="73"/>
      <c r="I590" s="73"/>
      <c r="J590" s="73"/>
      <c r="K590" s="73"/>
      <c r="L590" s="73"/>
      <c r="M590" s="73"/>
      <c r="N590" s="73"/>
      <c r="O590" s="73"/>
      <c r="P590" s="73"/>
      <c r="Q590" s="73"/>
      <c r="R590" s="73"/>
      <c r="S590" s="73"/>
      <c r="T590" s="73"/>
      <c r="U590" s="73"/>
      <c r="V590" s="73"/>
      <c r="W590" s="73"/>
      <c r="GL590" s="73"/>
      <c r="GM590" s="73"/>
      <c r="GN590" s="73"/>
      <c r="GO590" s="73"/>
      <c r="GP590" s="73"/>
      <c r="GQ590" s="73"/>
      <c r="GR590" s="73"/>
      <c r="GS590" s="73"/>
      <c r="GT590" s="73"/>
      <c r="GU590" s="73"/>
      <c r="GV590" s="73"/>
      <c r="GW590" s="73"/>
      <c r="GX590" s="73"/>
      <c r="GY590" s="73"/>
      <c r="GZ590" s="73"/>
      <c r="HA590" s="73"/>
      <c r="HB590" s="73"/>
      <c r="HC590" s="73"/>
      <c r="HD590" s="73"/>
      <c r="HE590" s="73"/>
      <c r="HF590" s="73"/>
      <c r="HG590" s="73"/>
      <c r="HH590" s="73"/>
      <c r="HI590" s="73"/>
      <c r="HJ590" s="73"/>
      <c r="HK590" s="73"/>
      <c r="HL590" s="73"/>
      <c r="HM590" s="73"/>
      <c r="HN590" s="73"/>
      <c r="HO590" s="73"/>
      <c r="HP590" s="73"/>
      <c r="HQ590" s="73"/>
      <c r="HR590" s="73"/>
      <c r="HS590" s="73"/>
      <c r="HT590" s="73"/>
      <c r="HU590" s="73"/>
      <c r="HV590" s="73"/>
      <c r="HW590" s="73"/>
      <c r="HX590" s="73"/>
      <c r="HY590" s="73"/>
      <c r="HZ590" s="73"/>
      <c r="IA590" s="73"/>
      <c r="IB590" s="73"/>
      <c r="IC590" s="73"/>
      <c r="ID590" s="73"/>
      <c r="IE590" s="73"/>
      <c r="IF590" s="73"/>
      <c r="IG590" s="73"/>
      <c r="IH590" s="73"/>
      <c r="II590" s="73"/>
      <c r="IJ590" s="73"/>
      <c r="IK590" s="73"/>
      <c r="IL590" s="73"/>
      <c r="IM590" s="73"/>
      <c r="IN590" s="73"/>
      <c r="IO590" s="73"/>
      <c r="IP590" s="73"/>
      <c r="IQ590" s="73"/>
      <c r="IR590" s="73"/>
      <c r="IS590" s="73"/>
      <c r="IT590" s="73"/>
      <c r="IU590" s="73"/>
      <c r="IV590" s="73"/>
      <c r="IW590" s="73"/>
      <c r="IX590" s="73"/>
      <c r="IY590" s="73"/>
      <c r="IZ590" s="73"/>
      <c r="JA590" s="73"/>
      <c r="JB590" s="73"/>
      <c r="JC590" s="73"/>
    </row>
    <row r="591" spans="2:263" s="72" customFormat="1">
      <c r="B591" s="73"/>
      <c r="C591" s="73"/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  <c r="R591" s="73"/>
      <c r="S591" s="73"/>
      <c r="T591" s="73"/>
      <c r="U591" s="73"/>
      <c r="V591" s="73"/>
      <c r="W591" s="73"/>
      <c r="GL591" s="73"/>
      <c r="GM591" s="73"/>
      <c r="GN591" s="73"/>
      <c r="GO591" s="73"/>
      <c r="GP591" s="73"/>
      <c r="GQ591" s="73"/>
      <c r="GR591" s="73"/>
      <c r="GS591" s="73"/>
      <c r="GT591" s="73"/>
      <c r="GU591" s="73"/>
      <c r="GV591" s="73"/>
      <c r="GW591" s="73"/>
      <c r="GX591" s="73"/>
      <c r="GY591" s="73"/>
      <c r="GZ591" s="73"/>
      <c r="HA591" s="73"/>
      <c r="HB591" s="73"/>
      <c r="HC591" s="73"/>
      <c r="HD591" s="73"/>
      <c r="HE591" s="73"/>
      <c r="HF591" s="73"/>
      <c r="HG591" s="73"/>
      <c r="HH591" s="73"/>
      <c r="HI591" s="73"/>
      <c r="HJ591" s="73"/>
      <c r="HK591" s="73"/>
      <c r="HL591" s="73"/>
      <c r="HM591" s="73"/>
      <c r="HN591" s="73"/>
      <c r="HO591" s="73"/>
      <c r="HP591" s="73"/>
      <c r="HQ591" s="73"/>
      <c r="HR591" s="73"/>
      <c r="HS591" s="73"/>
      <c r="HT591" s="73"/>
      <c r="HU591" s="73"/>
      <c r="HV591" s="73"/>
      <c r="HW591" s="73"/>
      <c r="HX591" s="73"/>
      <c r="HY591" s="73"/>
      <c r="HZ591" s="73"/>
      <c r="IA591" s="73"/>
      <c r="IB591" s="73"/>
      <c r="IC591" s="73"/>
      <c r="ID591" s="73"/>
      <c r="IE591" s="73"/>
      <c r="IF591" s="73"/>
      <c r="IG591" s="73"/>
      <c r="IH591" s="73"/>
      <c r="II591" s="73"/>
      <c r="IJ591" s="73"/>
      <c r="IK591" s="73"/>
      <c r="IL591" s="73"/>
      <c r="IM591" s="73"/>
      <c r="IN591" s="73"/>
      <c r="IO591" s="73"/>
      <c r="IP591" s="73"/>
      <c r="IQ591" s="73"/>
      <c r="IR591" s="73"/>
      <c r="IS591" s="73"/>
      <c r="IT591" s="73"/>
      <c r="IU591" s="73"/>
      <c r="IV591" s="73"/>
      <c r="IW591" s="73"/>
      <c r="IX591" s="73"/>
      <c r="IY591" s="73"/>
      <c r="IZ591" s="73"/>
      <c r="JA591" s="73"/>
      <c r="JB591" s="73"/>
      <c r="JC591" s="73"/>
    </row>
    <row r="592" spans="2:263" s="72" customFormat="1">
      <c r="B592" s="73"/>
      <c r="C592" s="73"/>
      <c r="D592" s="73"/>
      <c r="E592" s="73"/>
      <c r="F592" s="73"/>
      <c r="G592" s="73"/>
      <c r="H592" s="73"/>
      <c r="I592" s="73"/>
      <c r="J592" s="73"/>
      <c r="K592" s="73"/>
      <c r="L592" s="73"/>
      <c r="M592" s="73"/>
      <c r="N592" s="73"/>
      <c r="O592" s="73"/>
      <c r="P592" s="73"/>
      <c r="Q592" s="73"/>
      <c r="R592" s="73"/>
      <c r="S592" s="73"/>
      <c r="T592" s="73"/>
      <c r="U592" s="73"/>
      <c r="V592" s="73"/>
      <c r="W592" s="73"/>
      <c r="GL592" s="73"/>
      <c r="GM592" s="73"/>
      <c r="GN592" s="73"/>
      <c r="GO592" s="73"/>
      <c r="GP592" s="73"/>
      <c r="GQ592" s="73"/>
      <c r="GR592" s="73"/>
      <c r="GS592" s="73"/>
      <c r="GT592" s="73"/>
      <c r="GU592" s="73"/>
      <c r="GV592" s="73"/>
      <c r="GW592" s="73"/>
      <c r="GX592" s="73"/>
      <c r="GY592" s="73"/>
      <c r="GZ592" s="73"/>
      <c r="HA592" s="73"/>
      <c r="HB592" s="73"/>
      <c r="HC592" s="73"/>
      <c r="HD592" s="73"/>
      <c r="HE592" s="73"/>
      <c r="HF592" s="73"/>
      <c r="HG592" s="73"/>
      <c r="HH592" s="73"/>
      <c r="HI592" s="73"/>
      <c r="HJ592" s="73"/>
      <c r="HK592" s="73"/>
      <c r="HL592" s="73"/>
      <c r="HM592" s="73"/>
      <c r="HN592" s="73"/>
      <c r="HO592" s="73"/>
      <c r="HP592" s="73"/>
      <c r="HQ592" s="73"/>
      <c r="HR592" s="73"/>
      <c r="HS592" s="73"/>
      <c r="HT592" s="73"/>
      <c r="HU592" s="73"/>
      <c r="HV592" s="73"/>
      <c r="HW592" s="73"/>
      <c r="HX592" s="73"/>
      <c r="HY592" s="73"/>
      <c r="HZ592" s="73"/>
      <c r="IA592" s="73"/>
      <c r="IB592" s="73"/>
      <c r="IC592" s="73"/>
      <c r="ID592" s="73"/>
      <c r="IE592" s="73"/>
      <c r="IF592" s="73"/>
      <c r="IG592" s="73"/>
      <c r="IH592" s="73"/>
      <c r="II592" s="73"/>
      <c r="IJ592" s="73"/>
      <c r="IK592" s="73"/>
      <c r="IL592" s="73"/>
      <c r="IM592" s="73"/>
      <c r="IN592" s="73"/>
      <c r="IO592" s="73"/>
      <c r="IP592" s="73"/>
      <c r="IQ592" s="73"/>
      <c r="IR592" s="73"/>
      <c r="IS592" s="73"/>
      <c r="IT592" s="73"/>
      <c r="IU592" s="73"/>
      <c r="IV592" s="73"/>
      <c r="IW592" s="73"/>
      <c r="IX592" s="73"/>
      <c r="IY592" s="73"/>
      <c r="IZ592" s="73"/>
      <c r="JA592" s="73"/>
      <c r="JB592" s="73"/>
      <c r="JC592" s="73"/>
    </row>
    <row r="593" spans="2:263" s="72" customFormat="1">
      <c r="B593" s="73"/>
      <c r="C593" s="73"/>
      <c r="D593" s="73"/>
      <c r="E593" s="73"/>
      <c r="F593" s="73"/>
      <c r="G593" s="73"/>
      <c r="H593" s="73"/>
      <c r="I593" s="73"/>
      <c r="J593" s="73"/>
      <c r="K593" s="73"/>
      <c r="L593" s="73"/>
      <c r="M593" s="73"/>
      <c r="N593" s="73"/>
      <c r="O593" s="73"/>
      <c r="P593" s="73"/>
      <c r="Q593" s="73"/>
      <c r="R593" s="73"/>
      <c r="S593" s="73"/>
      <c r="T593" s="73"/>
      <c r="U593" s="73"/>
      <c r="V593" s="73"/>
      <c r="W593" s="73"/>
      <c r="GL593" s="73"/>
      <c r="GM593" s="73"/>
      <c r="GN593" s="73"/>
      <c r="GO593" s="73"/>
      <c r="GP593" s="73"/>
      <c r="GQ593" s="73"/>
      <c r="GR593" s="73"/>
      <c r="GS593" s="73"/>
      <c r="GT593" s="73"/>
      <c r="GU593" s="73"/>
      <c r="GV593" s="73"/>
      <c r="GW593" s="73"/>
      <c r="GX593" s="73"/>
      <c r="GY593" s="73"/>
      <c r="GZ593" s="73"/>
      <c r="HA593" s="73"/>
      <c r="HB593" s="73"/>
      <c r="HC593" s="73"/>
      <c r="HD593" s="73"/>
      <c r="HE593" s="73"/>
      <c r="HF593" s="73"/>
      <c r="HG593" s="73"/>
      <c r="HH593" s="73"/>
      <c r="HI593" s="73"/>
      <c r="HJ593" s="73"/>
      <c r="HK593" s="73"/>
      <c r="HL593" s="73"/>
      <c r="HM593" s="73"/>
      <c r="HN593" s="73"/>
      <c r="HO593" s="73"/>
      <c r="HP593" s="73"/>
      <c r="HQ593" s="73"/>
      <c r="HR593" s="73"/>
      <c r="HS593" s="73"/>
      <c r="HT593" s="73"/>
      <c r="HU593" s="73"/>
      <c r="HV593" s="73"/>
      <c r="HW593" s="73"/>
      <c r="HX593" s="73"/>
      <c r="HY593" s="73"/>
      <c r="HZ593" s="73"/>
      <c r="IA593" s="73"/>
      <c r="IB593" s="73"/>
      <c r="IC593" s="73"/>
      <c r="ID593" s="73"/>
      <c r="IE593" s="73"/>
      <c r="IF593" s="73"/>
      <c r="IG593" s="73"/>
      <c r="IH593" s="73"/>
      <c r="II593" s="73"/>
      <c r="IJ593" s="73"/>
      <c r="IK593" s="73"/>
      <c r="IL593" s="73"/>
      <c r="IM593" s="73"/>
      <c r="IN593" s="73"/>
      <c r="IO593" s="73"/>
      <c r="IP593" s="73"/>
      <c r="IQ593" s="73"/>
      <c r="IR593" s="73"/>
      <c r="IS593" s="73"/>
      <c r="IT593" s="73"/>
      <c r="IU593" s="73"/>
      <c r="IV593" s="73"/>
      <c r="IW593" s="73"/>
      <c r="IX593" s="73"/>
      <c r="IY593" s="73"/>
      <c r="IZ593" s="73"/>
      <c r="JA593" s="73"/>
      <c r="JB593" s="73"/>
      <c r="JC593" s="73"/>
    </row>
    <row r="594" spans="2:263" s="72" customFormat="1">
      <c r="B594" s="73"/>
      <c r="C594" s="73"/>
      <c r="D594" s="73"/>
      <c r="E594" s="73"/>
      <c r="F594" s="73"/>
      <c r="G594" s="73"/>
      <c r="H594" s="73"/>
      <c r="I594" s="73"/>
      <c r="J594" s="73"/>
      <c r="K594" s="73"/>
      <c r="L594" s="73"/>
      <c r="M594" s="73"/>
      <c r="N594" s="73"/>
      <c r="O594" s="73"/>
      <c r="P594" s="73"/>
      <c r="Q594" s="73"/>
      <c r="R594" s="73"/>
      <c r="S594" s="73"/>
      <c r="T594" s="73"/>
      <c r="U594" s="73"/>
      <c r="V594" s="73"/>
      <c r="W594" s="73"/>
      <c r="GL594" s="73"/>
      <c r="GM594" s="73"/>
      <c r="GN594" s="73"/>
      <c r="GO594" s="73"/>
      <c r="GP594" s="73"/>
      <c r="GQ594" s="73"/>
      <c r="GR594" s="73"/>
      <c r="GS594" s="73"/>
      <c r="GT594" s="73"/>
      <c r="GU594" s="73"/>
      <c r="GV594" s="73"/>
      <c r="GW594" s="73"/>
      <c r="GX594" s="73"/>
      <c r="GY594" s="73"/>
      <c r="GZ594" s="73"/>
      <c r="HA594" s="73"/>
      <c r="HB594" s="73"/>
      <c r="HC594" s="73"/>
      <c r="HD594" s="73"/>
      <c r="HE594" s="73"/>
      <c r="HF594" s="73"/>
      <c r="HG594" s="73"/>
      <c r="HH594" s="73"/>
      <c r="HI594" s="73"/>
      <c r="HJ594" s="73"/>
      <c r="HK594" s="73"/>
      <c r="HL594" s="73"/>
      <c r="HM594" s="73"/>
      <c r="HN594" s="73"/>
      <c r="HO594" s="73"/>
      <c r="HP594" s="73"/>
      <c r="HQ594" s="73"/>
      <c r="HR594" s="73"/>
      <c r="HS594" s="73"/>
      <c r="HT594" s="73"/>
      <c r="HU594" s="73"/>
      <c r="HV594" s="73"/>
      <c r="HW594" s="73"/>
      <c r="HX594" s="73"/>
      <c r="HY594" s="73"/>
      <c r="HZ594" s="73"/>
      <c r="IA594" s="73"/>
      <c r="IB594" s="73"/>
      <c r="IC594" s="73"/>
      <c r="ID594" s="73"/>
      <c r="IE594" s="73"/>
      <c r="IF594" s="73"/>
      <c r="IG594" s="73"/>
      <c r="IH594" s="73"/>
      <c r="II594" s="73"/>
      <c r="IJ594" s="73"/>
      <c r="IK594" s="73"/>
      <c r="IL594" s="73"/>
      <c r="IM594" s="73"/>
      <c r="IN594" s="73"/>
      <c r="IO594" s="73"/>
      <c r="IP594" s="73"/>
      <c r="IQ594" s="73"/>
      <c r="IR594" s="73"/>
      <c r="IS594" s="73"/>
      <c r="IT594" s="73"/>
      <c r="IU594" s="73"/>
      <c r="IV594" s="73"/>
      <c r="IW594" s="73"/>
      <c r="IX594" s="73"/>
      <c r="IY594" s="73"/>
      <c r="IZ594" s="73"/>
      <c r="JA594" s="73"/>
      <c r="JB594" s="73"/>
      <c r="JC594" s="73"/>
    </row>
    <row r="595" spans="2:263" s="72" customFormat="1">
      <c r="B595" s="73"/>
      <c r="C595" s="73"/>
      <c r="D595" s="73"/>
      <c r="E595" s="73"/>
      <c r="F595" s="73"/>
      <c r="G595" s="73"/>
      <c r="H595" s="73"/>
      <c r="I595" s="73"/>
      <c r="J595" s="73"/>
      <c r="K595" s="73"/>
      <c r="L595" s="73"/>
      <c r="M595" s="73"/>
      <c r="N595" s="73"/>
      <c r="O595" s="73"/>
      <c r="P595" s="73"/>
      <c r="Q595" s="73"/>
      <c r="R595" s="73"/>
      <c r="S595" s="73"/>
      <c r="T595" s="73"/>
      <c r="U595" s="73"/>
      <c r="V595" s="73"/>
      <c r="W595" s="73"/>
      <c r="GL595" s="73"/>
      <c r="GM595" s="73"/>
      <c r="GN595" s="73"/>
      <c r="GO595" s="73"/>
      <c r="GP595" s="73"/>
      <c r="GQ595" s="73"/>
      <c r="GR595" s="73"/>
      <c r="GS595" s="73"/>
      <c r="GT595" s="73"/>
      <c r="GU595" s="73"/>
      <c r="GV595" s="73"/>
      <c r="GW595" s="73"/>
      <c r="GX595" s="73"/>
      <c r="GY595" s="73"/>
      <c r="GZ595" s="73"/>
      <c r="HA595" s="73"/>
      <c r="HB595" s="73"/>
      <c r="HC595" s="73"/>
      <c r="HD595" s="73"/>
      <c r="HE595" s="73"/>
      <c r="HF595" s="73"/>
      <c r="HG595" s="73"/>
      <c r="HH595" s="73"/>
      <c r="HI595" s="73"/>
      <c r="HJ595" s="73"/>
      <c r="HK595" s="73"/>
      <c r="HL595" s="73"/>
      <c r="HM595" s="73"/>
      <c r="HN595" s="73"/>
      <c r="HO595" s="73"/>
      <c r="HP595" s="73"/>
      <c r="HQ595" s="73"/>
      <c r="HR595" s="73"/>
      <c r="HS595" s="73"/>
      <c r="HT595" s="73"/>
      <c r="HU595" s="73"/>
      <c r="HV595" s="73"/>
      <c r="HW595" s="73"/>
      <c r="HX595" s="73"/>
      <c r="HY595" s="73"/>
      <c r="HZ595" s="73"/>
      <c r="IA595" s="73"/>
      <c r="IB595" s="73"/>
      <c r="IC595" s="73"/>
      <c r="ID595" s="73"/>
      <c r="IE595" s="73"/>
      <c r="IF595" s="73"/>
      <c r="IG595" s="73"/>
      <c r="IH595" s="73"/>
      <c r="II595" s="73"/>
      <c r="IJ595" s="73"/>
      <c r="IK595" s="73"/>
      <c r="IL595" s="73"/>
      <c r="IM595" s="73"/>
      <c r="IN595" s="73"/>
      <c r="IO595" s="73"/>
      <c r="IP595" s="73"/>
      <c r="IQ595" s="73"/>
      <c r="IR595" s="73"/>
      <c r="IS595" s="73"/>
      <c r="IT595" s="73"/>
      <c r="IU595" s="73"/>
      <c r="IV595" s="73"/>
      <c r="IW595" s="73"/>
      <c r="IX595" s="73"/>
      <c r="IY595" s="73"/>
      <c r="IZ595" s="73"/>
      <c r="JA595" s="73"/>
      <c r="JB595" s="73"/>
      <c r="JC595" s="73"/>
    </row>
    <row r="596" spans="2:263" s="72" customFormat="1">
      <c r="B596" s="73"/>
      <c r="C596" s="73"/>
      <c r="D596" s="73"/>
      <c r="E596" s="73"/>
      <c r="F596" s="73"/>
      <c r="G596" s="73"/>
      <c r="H596" s="73"/>
      <c r="I596" s="73"/>
      <c r="J596" s="73"/>
      <c r="K596" s="73"/>
      <c r="L596" s="73"/>
      <c r="M596" s="73"/>
      <c r="N596" s="73"/>
      <c r="O596" s="73"/>
      <c r="P596" s="73"/>
      <c r="Q596" s="73"/>
      <c r="R596" s="73"/>
      <c r="S596" s="73"/>
      <c r="T596" s="73"/>
      <c r="U596" s="73"/>
      <c r="V596" s="73"/>
      <c r="W596" s="73"/>
      <c r="GL596" s="73"/>
      <c r="GM596" s="73"/>
      <c r="GN596" s="73"/>
      <c r="GO596" s="73"/>
      <c r="GP596" s="73"/>
      <c r="GQ596" s="73"/>
      <c r="GR596" s="73"/>
      <c r="GS596" s="73"/>
      <c r="GT596" s="73"/>
      <c r="GU596" s="73"/>
      <c r="GV596" s="73"/>
      <c r="GW596" s="73"/>
      <c r="GX596" s="73"/>
      <c r="GY596" s="73"/>
      <c r="GZ596" s="73"/>
      <c r="HA596" s="73"/>
      <c r="HB596" s="73"/>
      <c r="HC596" s="73"/>
      <c r="HD596" s="73"/>
      <c r="HE596" s="73"/>
      <c r="HF596" s="73"/>
      <c r="HG596" s="73"/>
      <c r="HH596" s="73"/>
      <c r="HI596" s="73"/>
      <c r="HJ596" s="73"/>
      <c r="HK596" s="73"/>
      <c r="HL596" s="73"/>
      <c r="HM596" s="73"/>
      <c r="HN596" s="73"/>
      <c r="HO596" s="73"/>
      <c r="HP596" s="73"/>
      <c r="HQ596" s="73"/>
      <c r="HR596" s="73"/>
      <c r="HS596" s="73"/>
      <c r="HT596" s="73"/>
      <c r="HU596" s="73"/>
      <c r="HV596" s="73"/>
      <c r="HW596" s="73"/>
      <c r="HX596" s="73"/>
      <c r="HY596" s="73"/>
      <c r="HZ596" s="73"/>
      <c r="IA596" s="73"/>
      <c r="IB596" s="73"/>
      <c r="IC596" s="73"/>
      <c r="ID596" s="73"/>
      <c r="IE596" s="73"/>
      <c r="IF596" s="73"/>
      <c r="IG596" s="73"/>
      <c r="IH596" s="73"/>
      <c r="II596" s="73"/>
      <c r="IJ596" s="73"/>
      <c r="IK596" s="73"/>
      <c r="IL596" s="73"/>
      <c r="IM596" s="73"/>
      <c r="IN596" s="73"/>
      <c r="IO596" s="73"/>
      <c r="IP596" s="73"/>
      <c r="IQ596" s="73"/>
      <c r="IR596" s="73"/>
      <c r="IS596" s="73"/>
      <c r="IT596" s="73"/>
      <c r="IU596" s="73"/>
      <c r="IV596" s="73"/>
      <c r="IW596" s="73"/>
      <c r="IX596" s="73"/>
      <c r="IY596" s="73"/>
      <c r="IZ596" s="73"/>
      <c r="JA596" s="73"/>
      <c r="JB596" s="73"/>
      <c r="JC596" s="73"/>
    </row>
    <row r="597" spans="2:263" s="72" customFormat="1">
      <c r="B597" s="73"/>
      <c r="C597" s="73"/>
      <c r="D597" s="73"/>
      <c r="E597" s="73"/>
      <c r="F597" s="73"/>
      <c r="G597" s="73"/>
      <c r="H597" s="73"/>
      <c r="I597" s="73"/>
      <c r="J597" s="73"/>
      <c r="K597" s="73"/>
      <c r="L597" s="73"/>
      <c r="M597" s="73"/>
      <c r="N597" s="73"/>
      <c r="O597" s="73"/>
      <c r="P597" s="73"/>
      <c r="Q597" s="73"/>
      <c r="R597" s="73"/>
      <c r="S597" s="73"/>
      <c r="T597" s="73"/>
      <c r="U597" s="73"/>
      <c r="V597" s="73"/>
      <c r="W597" s="73"/>
      <c r="GL597" s="73"/>
      <c r="GM597" s="73"/>
      <c r="GN597" s="73"/>
      <c r="GO597" s="73"/>
      <c r="GP597" s="73"/>
      <c r="GQ597" s="73"/>
      <c r="GR597" s="73"/>
      <c r="GS597" s="73"/>
      <c r="GT597" s="73"/>
      <c r="GU597" s="73"/>
      <c r="GV597" s="73"/>
      <c r="GW597" s="73"/>
      <c r="GX597" s="73"/>
      <c r="GY597" s="73"/>
      <c r="GZ597" s="73"/>
      <c r="HA597" s="73"/>
      <c r="HB597" s="73"/>
      <c r="HC597" s="73"/>
      <c r="HD597" s="73"/>
      <c r="HE597" s="73"/>
      <c r="HF597" s="73"/>
      <c r="HG597" s="73"/>
      <c r="HH597" s="73"/>
      <c r="HI597" s="73"/>
      <c r="HJ597" s="73"/>
      <c r="HK597" s="73"/>
      <c r="HL597" s="73"/>
      <c r="HM597" s="73"/>
      <c r="HN597" s="73"/>
      <c r="HO597" s="73"/>
      <c r="HP597" s="73"/>
      <c r="HQ597" s="73"/>
      <c r="HR597" s="73"/>
      <c r="HS597" s="73"/>
      <c r="HT597" s="73"/>
      <c r="HU597" s="73"/>
      <c r="HV597" s="73"/>
      <c r="HW597" s="73"/>
      <c r="HX597" s="73"/>
      <c r="HY597" s="73"/>
      <c r="HZ597" s="73"/>
      <c r="IA597" s="73"/>
      <c r="IB597" s="73"/>
      <c r="IC597" s="73"/>
      <c r="ID597" s="73"/>
      <c r="IE597" s="73"/>
      <c r="IF597" s="73"/>
      <c r="IG597" s="73"/>
      <c r="IH597" s="73"/>
      <c r="II597" s="73"/>
      <c r="IJ597" s="73"/>
      <c r="IK597" s="73"/>
      <c r="IL597" s="73"/>
      <c r="IM597" s="73"/>
      <c r="IN597" s="73"/>
      <c r="IO597" s="73"/>
      <c r="IP597" s="73"/>
      <c r="IQ597" s="73"/>
      <c r="IR597" s="73"/>
      <c r="IS597" s="73"/>
      <c r="IT597" s="73"/>
      <c r="IU597" s="73"/>
      <c r="IV597" s="73"/>
      <c r="IW597" s="73"/>
      <c r="IX597" s="73"/>
      <c r="IY597" s="73"/>
      <c r="IZ597" s="73"/>
      <c r="JA597" s="73"/>
      <c r="JB597" s="73"/>
      <c r="JC597" s="73"/>
    </row>
    <row r="598" spans="2:263" s="72" customFormat="1">
      <c r="B598" s="73"/>
      <c r="C598" s="73"/>
      <c r="D598" s="73"/>
      <c r="E598" s="73"/>
      <c r="F598" s="73"/>
      <c r="G598" s="73"/>
      <c r="H598" s="73"/>
      <c r="I598" s="73"/>
      <c r="J598" s="73"/>
      <c r="K598" s="73"/>
      <c r="L598" s="73"/>
      <c r="M598" s="73"/>
      <c r="N598" s="73"/>
      <c r="O598" s="73"/>
      <c r="P598" s="73"/>
      <c r="Q598" s="73"/>
      <c r="R598" s="73"/>
      <c r="S598" s="73"/>
      <c r="T598" s="73"/>
      <c r="U598" s="73"/>
      <c r="V598" s="73"/>
      <c r="W598" s="73"/>
      <c r="GL598" s="73"/>
      <c r="GM598" s="73"/>
      <c r="GN598" s="73"/>
      <c r="GO598" s="73"/>
      <c r="GP598" s="73"/>
      <c r="GQ598" s="73"/>
      <c r="GR598" s="73"/>
      <c r="GS598" s="73"/>
      <c r="GT598" s="73"/>
      <c r="GU598" s="73"/>
      <c r="GV598" s="73"/>
      <c r="GW598" s="73"/>
      <c r="GX598" s="73"/>
      <c r="GY598" s="73"/>
      <c r="GZ598" s="73"/>
      <c r="HA598" s="73"/>
      <c r="HB598" s="73"/>
      <c r="HC598" s="73"/>
      <c r="HD598" s="73"/>
      <c r="HE598" s="73"/>
      <c r="HF598" s="73"/>
      <c r="HG598" s="73"/>
      <c r="HH598" s="73"/>
      <c r="HI598" s="73"/>
      <c r="HJ598" s="73"/>
      <c r="HK598" s="73"/>
      <c r="HL598" s="73"/>
      <c r="HM598" s="73"/>
      <c r="HN598" s="73"/>
      <c r="HO598" s="73"/>
      <c r="HP598" s="73"/>
      <c r="HQ598" s="73"/>
      <c r="HR598" s="73"/>
      <c r="HS598" s="73"/>
      <c r="HT598" s="73"/>
      <c r="HU598" s="73"/>
      <c r="HV598" s="73"/>
      <c r="HW598" s="73"/>
      <c r="HX598" s="73"/>
      <c r="HY598" s="73"/>
      <c r="HZ598" s="73"/>
      <c r="IA598" s="73"/>
      <c r="IB598" s="73"/>
      <c r="IC598" s="73"/>
      <c r="ID598" s="73"/>
      <c r="IE598" s="73"/>
      <c r="IF598" s="73"/>
      <c r="IG598" s="73"/>
      <c r="IH598" s="73"/>
      <c r="II598" s="73"/>
      <c r="IJ598" s="73"/>
      <c r="IK598" s="73"/>
      <c r="IL598" s="73"/>
      <c r="IM598" s="73"/>
      <c r="IN598" s="73"/>
      <c r="IO598" s="73"/>
      <c r="IP598" s="73"/>
      <c r="IQ598" s="73"/>
      <c r="IR598" s="73"/>
      <c r="IS598" s="73"/>
      <c r="IT598" s="73"/>
      <c r="IU598" s="73"/>
      <c r="IV598" s="73"/>
      <c r="IW598" s="73"/>
      <c r="IX598" s="73"/>
      <c r="IY598" s="73"/>
      <c r="IZ598" s="73"/>
      <c r="JA598" s="73"/>
      <c r="JB598" s="73"/>
      <c r="JC598" s="73"/>
    </row>
    <row r="599" spans="2:263" s="72" customFormat="1">
      <c r="B599" s="73"/>
      <c r="C599" s="73"/>
      <c r="D599" s="73"/>
      <c r="E599" s="73"/>
      <c r="F599" s="73"/>
      <c r="G599" s="73"/>
      <c r="H599" s="73"/>
      <c r="I599" s="73"/>
      <c r="J599" s="73"/>
      <c r="K599" s="73"/>
      <c r="L599" s="73"/>
      <c r="M599" s="73"/>
      <c r="N599" s="73"/>
      <c r="O599" s="73"/>
      <c r="P599" s="73"/>
      <c r="Q599" s="73"/>
      <c r="R599" s="73"/>
      <c r="S599" s="73"/>
      <c r="T599" s="73"/>
      <c r="U599" s="73"/>
      <c r="V599" s="73"/>
      <c r="W599" s="73"/>
      <c r="GL599" s="73"/>
      <c r="GM599" s="73"/>
      <c r="GN599" s="73"/>
      <c r="GO599" s="73"/>
      <c r="GP599" s="73"/>
      <c r="GQ599" s="73"/>
      <c r="GR599" s="73"/>
      <c r="GS599" s="73"/>
      <c r="GT599" s="73"/>
      <c r="GU599" s="73"/>
      <c r="GV599" s="73"/>
      <c r="GW599" s="73"/>
      <c r="GX599" s="73"/>
      <c r="GY599" s="73"/>
      <c r="GZ599" s="73"/>
      <c r="HA599" s="73"/>
      <c r="HB599" s="73"/>
      <c r="HC599" s="73"/>
      <c r="HD599" s="73"/>
      <c r="HE599" s="73"/>
      <c r="HF599" s="73"/>
      <c r="HG599" s="73"/>
      <c r="HH599" s="73"/>
      <c r="HI599" s="73"/>
      <c r="HJ599" s="73"/>
      <c r="HK599" s="73"/>
      <c r="HL599" s="73"/>
      <c r="HM599" s="73"/>
      <c r="HN599" s="73"/>
      <c r="HO599" s="73"/>
      <c r="HP599" s="73"/>
      <c r="HQ599" s="73"/>
      <c r="HR599" s="73"/>
      <c r="HS599" s="73"/>
      <c r="HT599" s="73"/>
      <c r="HU599" s="73"/>
      <c r="HV599" s="73"/>
      <c r="HW599" s="73"/>
      <c r="HX599" s="73"/>
      <c r="HY599" s="73"/>
      <c r="HZ599" s="73"/>
      <c r="IA599" s="73"/>
      <c r="IB599" s="73"/>
      <c r="IC599" s="73"/>
      <c r="ID599" s="73"/>
      <c r="IE599" s="73"/>
      <c r="IF599" s="73"/>
      <c r="IG599" s="73"/>
      <c r="IH599" s="73"/>
      <c r="II599" s="73"/>
      <c r="IJ599" s="73"/>
      <c r="IK599" s="73"/>
      <c r="IL599" s="73"/>
      <c r="IM599" s="73"/>
      <c r="IN599" s="73"/>
      <c r="IO599" s="73"/>
      <c r="IP599" s="73"/>
      <c r="IQ599" s="73"/>
      <c r="IR599" s="73"/>
      <c r="IS599" s="73"/>
      <c r="IT599" s="73"/>
      <c r="IU599" s="73"/>
      <c r="IV599" s="73"/>
      <c r="IW599" s="73"/>
      <c r="IX599" s="73"/>
      <c r="IY599" s="73"/>
      <c r="IZ599" s="73"/>
      <c r="JA599" s="73"/>
      <c r="JB599" s="73"/>
      <c r="JC599" s="73"/>
    </row>
    <row r="600" spans="2:263" s="72" customFormat="1">
      <c r="B600" s="73"/>
      <c r="C600" s="73"/>
      <c r="D600" s="73"/>
      <c r="E600" s="73"/>
      <c r="F600" s="73"/>
      <c r="G600" s="73"/>
      <c r="H600" s="73"/>
      <c r="I600" s="73"/>
      <c r="J600" s="73"/>
      <c r="K600" s="73"/>
      <c r="L600" s="73"/>
      <c r="M600" s="73"/>
      <c r="N600" s="73"/>
      <c r="O600" s="73"/>
      <c r="P600" s="73"/>
      <c r="Q600" s="73"/>
      <c r="R600" s="73"/>
      <c r="S600" s="73"/>
      <c r="T600" s="73"/>
      <c r="U600" s="73"/>
      <c r="V600" s="73"/>
      <c r="W600" s="73"/>
      <c r="GL600" s="73"/>
      <c r="GM600" s="73"/>
      <c r="GN600" s="73"/>
      <c r="GO600" s="73"/>
      <c r="GP600" s="73"/>
      <c r="GQ600" s="73"/>
      <c r="GR600" s="73"/>
      <c r="GS600" s="73"/>
      <c r="GT600" s="73"/>
      <c r="GU600" s="73"/>
      <c r="GV600" s="73"/>
      <c r="GW600" s="73"/>
      <c r="GX600" s="73"/>
      <c r="GY600" s="73"/>
      <c r="GZ600" s="73"/>
      <c r="HA600" s="73"/>
      <c r="HB600" s="73"/>
      <c r="HC600" s="73"/>
      <c r="HD600" s="73"/>
      <c r="HE600" s="73"/>
      <c r="HF600" s="73"/>
      <c r="HG600" s="73"/>
      <c r="HH600" s="73"/>
      <c r="HI600" s="73"/>
      <c r="HJ600" s="73"/>
      <c r="HK600" s="73"/>
      <c r="HL600" s="73"/>
      <c r="HM600" s="73"/>
      <c r="HN600" s="73"/>
      <c r="HO600" s="73"/>
      <c r="HP600" s="73"/>
      <c r="HQ600" s="73"/>
      <c r="HR600" s="73"/>
      <c r="HS600" s="73"/>
      <c r="HT600" s="73"/>
      <c r="HU600" s="73"/>
      <c r="HV600" s="73"/>
      <c r="HW600" s="73"/>
      <c r="HX600" s="73"/>
      <c r="HY600" s="73"/>
      <c r="HZ600" s="73"/>
      <c r="IA600" s="73"/>
      <c r="IB600" s="73"/>
      <c r="IC600" s="73"/>
      <c r="ID600" s="73"/>
      <c r="IE600" s="73"/>
      <c r="IF600" s="73"/>
      <c r="IG600" s="73"/>
      <c r="IH600" s="73"/>
      <c r="II600" s="73"/>
      <c r="IJ600" s="73"/>
      <c r="IK600" s="73"/>
      <c r="IL600" s="73"/>
      <c r="IM600" s="73"/>
      <c r="IN600" s="73"/>
      <c r="IO600" s="73"/>
      <c r="IP600" s="73"/>
      <c r="IQ600" s="73"/>
      <c r="IR600" s="73"/>
      <c r="IS600" s="73"/>
      <c r="IT600" s="73"/>
      <c r="IU600" s="73"/>
      <c r="IV600" s="73"/>
      <c r="IW600" s="73"/>
      <c r="IX600" s="73"/>
      <c r="IY600" s="73"/>
      <c r="IZ600" s="73"/>
      <c r="JA600" s="73"/>
      <c r="JB600" s="73"/>
      <c r="JC600" s="73"/>
    </row>
    <row r="601" spans="2:263" s="72" customFormat="1">
      <c r="B601" s="73"/>
      <c r="C601" s="73"/>
      <c r="D601" s="73"/>
      <c r="E601" s="73"/>
      <c r="F601" s="73"/>
      <c r="G601" s="73"/>
      <c r="H601" s="73"/>
      <c r="I601" s="73"/>
      <c r="J601" s="73"/>
      <c r="K601" s="73"/>
      <c r="L601" s="73"/>
      <c r="M601" s="73"/>
      <c r="N601" s="73"/>
      <c r="O601" s="73"/>
      <c r="P601" s="73"/>
      <c r="Q601" s="73"/>
      <c r="R601" s="73"/>
      <c r="S601" s="73"/>
      <c r="T601" s="73"/>
      <c r="U601" s="73"/>
      <c r="V601" s="73"/>
      <c r="W601" s="73"/>
      <c r="GL601" s="73"/>
      <c r="GM601" s="73"/>
      <c r="GN601" s="73"/>
      <c r="GO601" s="73"/>
      <c r="GP601" s="73"/>
      <c r="GQ601" s="73"/>
      <c r="GR601" s="73"/>
      <c r="GS601" s="73"/>
      <c r="GT601" s="73"/>
      <c r="GU601" s="73"/>
      <c r="GV601" s="73"/>
      <c r="GW601" s="73"/>
      <c r="GX601" s="73"/>
      <c r="GY601" s="73"/>
      <c r="GZ601" s="73"/>
      <c r="HA601" s="73"/>
      <c r="HB601" s="73"/>
      <c r="HC601" s="73"/>
      <c r="HD601" s="73"/>
      <c r="HE601" s="73"/>
      <c r="HF601" s="73"/>
      <c r="HG601" s="73"/>
      <c r="HH601" s="73"/>
      <c r="HI601" s="73"/>
      <c r="HJ601" s="73"/>
      <c r="HK601" s="73"/>
      <c r="HL601" s="73"/>
      <c r="HM601" s="73"/>
      <c r="HN601" s="73"/>
      <c r="HO601" s="73"/>
      <c r="HP601" s="73"/>
      <c r="HQ601" s="73"/>
      <c r="HR601" s="73"/>
      <c r="HS601" s="73"/>
      <c r="HT601" s="73"/>
      <c r="HU601" s="73"/>
      <c r="HV601" s="73"/>
      <c r="HW601" s="73"/>
      <c r="HX601" s="73"/>
      <c r="HY601" s="73"/>
      <c r="HZ601" s="73"/>
      <c r="IA601" s="73"/>
      <c r="IB601" s="73"/>
      <c r="IC601" s="73"/>
      <c r="ID601" s="73"/>
      <c r="IE601" s="73"/>
      <c r="IF601" s="73"/>
      <c r="IG601" s="73"/>
      <c r="IH601" s="73"/>
      <c r="II601" s="73"/>
      <c r="IJ601" s="73"/>
      <c r="IK601" s="73"/>
      <c r="IL601" s="73"/>
      <c r="IM601" s="73"/>
      <c r="IN601" s="73"/>
      <c r="IO601" s="73"/>
      <c r="IP601" s="73"/>
      <c r="IQ601" s="73"/>
      <c r="IR601" s="73"/>
      <c r="IS601" s="73"/>
      <c r="IT601" s="73"/>
      <c r="IU601" s="73"/>
      <c r="IV601" s="73"/>
      <c r="IW601" s="73"/>
      <c r="IX601" s="73"/>
      <c r="IY601" s="73"/>
      <c r="IZ601" s="73"/>
      <c r="JA601" s="73"/>
      <c r="JB601" s="73"/>
      <c r="JC601" s="73"/>
    </row>
    <row r="602" spans="2:263" s="72" customFormat="1">
      <c r="B602" s="73"/>
      <c r="C602" s="73"/>
      <c r="D602" s="73"/>
      <c r="E602" s="73"/>
      <c r="F602" s="73"/>
      <c r="G602" s="73"/>
      <c r="H602" s="73"/>
      <c r="I602" s="73"/>
      <c r="J602" s="73"/>
      <c r="K602" s="73"/>
      <c r="L602" s="73"/>
      <c r="M602" s="73"/>
      <c r="N602" s="73"/>
      <c r="O602" s="73"/>
      <c r="P602" s="73"/>
      <c r="Q602" s="73"/>
      <c r="R602" s="73"/>
      <c r="S602" s="73"/>
      <c r="T602" s="73"/>
      <c r="U602" s="73"/>
      <c r="V602" s="73"/>
      <c r="W602" s="73"/>
      <c r="GL602" s="73"/>
      <c r="GM602" s="73"/>
      <c r="GN602" s="73"/>
      <c r="GO602" s="73"/>
      <c r="GP602" s="73"/>
      <c r="GQ602" s="73"/>
      <c r="GR602" s="73"/>
      <c r="GS602" s="73"/>
      <c r="GT602" s="73"/>
      <c r="GU602" s="73"/>
      <c r="GV602" s="73"/>
      <c r="GW602" s="73"/>
      <c r="GX602" s="73"/>
      <c r="GY602" s="73"/>
      <c r="GZ602" s="73"/>
      <c r="HA602" s="73"/>
      <c r="HB602" s="73"/>
      <c r="HC602" s="73"/>
      <c r="HD602" s="73"/>
      <c r="HE602" s="73"/>
      <c r="HF602" s="73"/>
      <c r="HG602" s="73"/>
      <c r="HH602" s="73"/>
      <c r="HI602" s="73"/>
      <c r="HJ602" s="73"/>
      <c r="HK602" s="73"/>
      <c r="HL602" s="73"/>
      <c r="HM602" s="73"/>
      <c r="HN602" s="73"/>
      <c r="HO602" s="73"/>
      <c r="HP602" s="73"/>
      <c r="HQ602" s="73"/>
      <c r="HR602" s="73"/>
      <c r="HS602" s="73"/>
      <c r="HT602" s="73"/>
      <c r="HU602" s="73"/>
      <c r="HV602" s="73"/>
      <c r="HW602" s="73"/>
      <c r="HX602" s="73"/>
      <c r="HY602" s="73"/>
      <c r="HZ602" s="73"/>
      <c r="IA602" s="73"/>
      <c r="IB602" s="73"/>
      <c r="IC602" s="73"/>
      <c r="ID602" s="73"/>
      <c r="IE602" s="73"/>
      <c r="IF602" s="73"/>
      <c r="IG602" s="73"/>
      <c r="IH602" s="73"/>
      <c r="II602" s="73"/>
      <c r="IJ602" s="73"/>
      <c r="IK602" s="73"/>
      <c r="IL602" s="73"/>
      <c r="IM602" s="73"/>
      <c r="IN602" s="73"/>
      <c r="IO602" s="73"/>
      <c r="IP602" s="73"/>
      <c r="IQ602" s="73"/>
      <c r="IR602" s="73"/>
      <c r="IS602" s="73"/>
      <c r="IT602" s="73"/>
      <c r="IU602" s="73"/>
      <c r="IV602" s="73"/>
      <c r="IW602" s="73"/>
      <c r="IX602" s="73"/>
      <c r="IY602" s="73"/>
      <c r="IZ602" s="73"/>
      <c r="JA602" s="73"/>
      <c r="JB602" s="73"/>
      <c r="JC602" s="73"/>
    </row>
    <row r="603" spans="2:263" s="72" customFormat="1">
      <c r="B603" s="73"/>
      <c r="C603" s="73"/>
      <c r="D603" s="73"/>
      <c r="E603" s="73"/>
      <c r="F603" s="73"/>
      <c r="G603" s="73"/>
      <c r="H603" s="73"/>
      <c r="I603" s="73"/>
      <c r="J603" s="73"/>
      <c r="K603" s="73"/>
      <c r="L603" s="73"/>
      <c r="M603" s="73"/>
      <c r="N603" s="73"/>
      <c r="O603" s="73"/>
      <c r="P603" s="73"/>
      <c r="Q603" s="73"/>
      <c r="R603" s="73"/>
      <c r="S603" s="73"/>
      <c r="T603" s="73"/>
      <c r="U603" s="73"/>
      <c r="V603" s="73"/>
      <c r="W603" s="73"/>
      <c r="GL603" s="73"/>
      <c r="GM603" s="73"/>
      <c r="GN603" s="73"/>
      <c r="GO603" s="73"/>
      <c r="GP603" s="73"/>
      <c r="GQ603" s="73"/>
      <c r="GR603" s="73"/>
      <c r="GS603" s="73"/>
      <c r="GT603" s="73"/>
      <c r="GU603" s="73"/>
      <c r="GV603" s="73"/>
      <c r="GW603" s="73"/>
      <c r="GX603" s="73"/>
      <c r="GY603" s="73"/>
      <c r="GZ603" s="73"/>
      <c r="HA603" s="73"/>
      <c r="HB603" s="73"/>
      <c r="HC603" s="73"/>
      <c r="HD603" s="73"/>
      <c r="HE603" s="73"/>
      <c r="HF603" s="73"/>
      <c r="HG603" s="73"/>
      <c r="HH603" s="73"/>
      <c r="HI603" s="73"/>
      <c r="HJ603" s="73"/>
      <c r="HK603" s="73"/>
      <c r="HL603" s="73"/>
      <c r="HM603" s="73"/>
      <c r="HN603" s="73"/>
      <c r="HO603" s="73"/>
      <c r="HP603" s="73"/>
      <c r="HQ603" s="73"/>
      <c r="HR603" s="73"/>
      <c r="HS603" s="73"/>
      <c r="HT603" s="73"/>
      <c r="HU603" s="73"/>
      <c r="HV603" s="73"/>
      <c r="HW603" s="73"/>
      <c r="HX603" s="73"/>
      <c r="HY603" s="73"/>
      <c r="HZ603" s="73"/>
      <c r="IA603" s="73"/>
      <c r="IB603" s="73"/>
      <c r="IC603" s="73"/>
      <c r="ID603" s="73"/>
      <c r="IE603" s="73"/>
      <c r="IF603" s="73"/>
      <c r="IG603" s="73"/>
      <c r="IH603" s="73"/>
      <c r="II603" s="73"/>
      <c r="IJ603" s="73"/>
      <c r="IK603" s="73"/>
      <c r="IL603" s="73"/>
      <c r="IM603" s="73"/>
      <c r="IN603" s="73"/>
      <c r="IO603" s="73"/>
      <c r="IP603" s="73"/>
      <c r="IQ603" s="73"/>
      <c r="IR603" s="73"/>
      <c r="IS603" s="73"/>
      <c r="IT603" s="73"/>
      <c r="IU603" s="73"/>
      <c r="IV603" s="73"/>
      <c r="IW603" s="73"/>
      <c r="IX603" s="73"/>
      <c r="IY603" s="73"/>
      <c r="IZ603" s="73"/>
      <c r="JA603" s="73"/>
      <c r="JB603" s="73"/>
      <c r="JC603" s="73"/>
    </row>
    <row r="604" spans="2:263" s="72" customFormat="1">
      <c r="B604" s="73"/>
      <c r="C604" s="73"/>
      <c r="D604" s="73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  <c r="R604" s="73"/>
      <c r="S604" s="73"/>
      <c r="T604" s="73"/>
      <c r="U604" s="73"/>
      <c r="V604" s="73"/>
      <c r="W604" s="73"/>
      <c r="GL604" s="73"/>
      <c r="GM604" s="73"/>
      <c r="GN604" s="73"/>
      <c r="GO604" s="73"/>
      <c r="GP604" s="73"/>
      <c r="GQ604" s="73"/>
      <c r="GR604" s="73"/>
      <c r="GS604" s="73"/>
      <c r="GT604" s="73"/>
      <c r="GU604" s="73"/>
      <c r="GV604" s="73"/>
      <c r="GW604" s="73"/>
      <c r="GX604" s="73"/>
      <c r="GY604" s="73"/>
      <c r="GZ604" s="73"/>
      <c r="HA604" s="73"/>
      <c r="HB604" s="73"/>
      <c r="HC604" s="73"/>
      <c r="HD604" s="73"/>
      <c r="HE604" s="73"/>
      <c r="HF604" s="73"/>
      <c r="HG604" s="73"/>
      <c r="HH604" s="73"/>
      <c r="HI604" s="73"/>
      <c r="HJ604" s="73"/>
      <c r="HK604" s="73"/>
      <c r="HL604" s="73"/>
      <c r="HM604" s="73"/>
      <c r="HN604" s="73"/>
      <c r="HO604" s="73"/>
      <c r="HP604" s="73"/>
      <c r="HQ604" s="73"/>
      <c r="HR604" s="73"/>
      <c r="HS604" s="73"/>
      <c r="HT604" s="73"/>
      <c r="HU604" s="73"/>
      <c r="HV604" s="73"/>
      <c r="HW604" s="73"/>
      <c r="HX604" s="73"/>
      <c r="HY604" s="73"/>
      <c r="HZ604" s="73"/>
      <c r="IA604" s="73"/>
      <c r="IB604" s="73"/>
      <c r="IC604" s="73"/>
      <c r="ID604" s="73"/>
      <c r="IE604" s="73"/>
      <c r="IF604" s="73"/>
      <c r="IG604" s="73"/>
      <c r="IH604" s="73"/>
      <c r="II604" s="73"/>
      <c r="IJ604" s="73"/>
      <c r="IK604" s="73"/>
      <c r="IL604" s="73"/>
      <c r="IM604" s="73"/>
      <c r="IN604" s="73"/>
      <c r="IO604" s="73"/>
      <c r="IP604" s="73"/>
      <c r="IQ604" s="73"/>
      <c r="IR604" s="73"/>
      <c r="IS604" s="73"/>
      <c r="IT604" s="73"/>
      <c r="IU604" s="73"/>
      <c r="IV604" s="73"/>
      <c r="IW604" s="73"/>
      <c r="IX604" s="73"/>
      <c r="IY604" s="73"/>
      <c r="IZ604" s="73"/>
      <c r="JA604" s="73"/>
      <c r="JB604" s="73"/>
      <c r="JC604" s="73"/>
    </row>
    <row r="605" spans="2:263" s="72" customFormat="1">
      <c r="B605" s="73"/>
      <c r="C605" s="73"/>
      <c r="D605" s="73"/>
      <c r="E605" s="73"/>
      <c r="F605" s="73"/>
      <c r="G605" s="73"/>
      <c r="H605" s="73"/>
      <c r="I605" s="73"/>
      <c r="J605" s="73"/>
      <c r="K605" s="73"/>
      <c r="L605" s="73"/>
      <c r="M605" s="73"/>
      <c r="N605" s="73"/>
      <c r="O605" s="73"/>
      <c r="P605" s="73"/>
      <c r="Q605" s="73"/>
      <c r="R605" s="73"/>
      <c r="S605" s="73"/>
      <c r="T605" s="73"/>
      <c r="U605" s="73"/>
      <c r="V605" s="73"/>
      <c r="W605" s="73"/>
      <c r="GL605" s="73"/>
      <c r="GM605" s="73"/>
      <c r="GN605" s="73"/>
      <c r="GO605" s="73"/>
      <c r="GP605" s="73"/>
      <c r="GQ605" s="73"/>
      <c r="GR605" s="73"/>
      <c r="GS605" s="73"/>
      <c r="GT605" s="73"/>
      <c r="GU605" s="73"/>
      <c r="GV605" s="73"/>
      <c r="GW605" s="73"/>
      <c r="GX605" s="73"/>
      <c r="GY605" s="73"/>
      <c r="GZ605" s="73"/>
      <c r="HA605" s="73"/>
      <c r="HB605" s="73"/>
      <c r="HC605" s="73"/>
      <c r="HD605" s="73"/>
      <c r="HE605" s="73"/>
      <c r="HF605" s="73"/>
      <c r="HG605" s="73"/>
      <c r="HH605" s="73"/>
      <c r="HI605" s="73"/>
      <c r="HJ605" s="73"/>
      <c r="HK605" s="73"/>
      <c r="HL605" s="73"/>
      <c r="HM605" s="73"/>
      <c r="HN605" s="73"/>
      <c r="HO605" s="73"/>
      <c r="HP605" s="73"/>
      <c r="HQ605" s="73"/>
      <c r="HR605" s="73"/>
      <c r="HS605" s="73"/>
      <c r="HT605" s="73"/>
      <c r="HU605" s="73"/>
      <c r="HV605" s="73"/>
      <c r="HW605" s="73"/>
      <c r="HX605" s="73"/>
      <c r="HY605" s="73"/>
      <c r="HZ605" s="73"/>
      <c r="IA605" s="73"/>
      <c r="IB605" s="73"/>
      <c r="IC605" s="73"/>
      <c r="ID605" s="73"/>
      <c r="IE605" s="73"/>
      <c r="IF605" s="73"/>
      <c r="IG605" s="73"/>
      <c r="IH605" s="73"/>
      <c r="II605" s="73"/>
      <c r="IJ605" s="73"/>
      <c r="IK605" s="73"/>
      <c r="IL605" s="73"/>
      <c r="IM605" s="73"/>
      <c r="IN605" s="73"/>
      <c r="IO605" s="73"/>
      <c r="IP605" s="73"/>
      <c r="IQ605" s="73"/>
      <c r="IR605" s="73"/>
      <c r="IS605" s="73"/>
      <c r="IT605" s="73"/>
      <c r="IU605" s="73"/>
      <c r="IV605" s="73"/>
      <c r="IW605" s="73"/>
      <c r="IX605" s="73"/>
      <c r="IY605" s="73"/>
      <c r="IZ605" s="73"/>
      <c r="JA605" s="73"/>
      <c r="JB605" s="73"/>
      <c r="JC605" s="73"/>
    </row>
    <row r="606" spans="2:263" s="72" customFormat="1">
      <c r="B606" s="73"/>
      <c r="C606" s="73"/>
      <c r="D606" s="73"/>
      <c r="E606" s="73"/>
      <c r="F606" s="73"/>
      <c r="G606" s="73"/>
      <c r="H606" s="73"/>
      <c r="I606" s="73"/>
      <c r="J606" s="73"/>
      <c r="K606" s="73"/>
      <c r="L606" s="73"/>
      <c r="M606" s="73"/>
      <c r="N606" s="73"/>
      <c r="O606" s="73"/>
      <c r="P606" s="73"/>
      <c r="Q606" s="73"/>
      <c r="R606" s="73"/>
      <c r="S606" s="73"/>
      <c r="T606" s="73"/>
      <c r="U606" s="73"/>
      <c r="V606" s="73"/>
      <c r="W606" s="73"/>
      <c r="GL606" s="73"/>
      <c r="GM606" s="73"/>
      <c r="GN606" s="73"/>
      <c r="GO606" s="73"/>
      <c r="GP606" s="73"/>
      <c r="GQ606" s="73"/>
      <c r="GR606" s="73"/>
      <c r="GS606" s="73"/>
      <c r="GT606" s="73"/>
      <c r="GU606" s="73"/>
      <c r="GV606" s="73"/>
      <c r="GW606" s="73"/>
      <c r="GX606" s="73"/>
      <c r="GY606" s="73"/>
      <c r="GZ606" s="73"/>
      <c r="HA606" s="73"/>
      <c r="HB606" s="73"/>
      <c r="HC606" s="73"/>
      <c r="HD606" s="73"/>
      <c r="HE606" s="73"/>
      <c r="HF606" s="73"/>
      <c r="HG606" s="73"/>
      <c r="HH606" s="73"/>
      <c r="HI606" s="73"/>
      <c r="HJ606" s="73"/>
      <c r="HK606" s="73"/>
      <c r="HL606" s="73"/>
      <c r="HM606" s="73"/>
      <c r="HN606" s="73"/>
      <c r="HO606" s="73"/>
      <c r="HP606" s="73"/>
      <c r="HQ606" s="73"/>
      <c r="HR606" s="73"/>
      <c r="HS606" s="73"/>
      <c r="HT606" s="73"/>
      <c r="HU606" s="73"/>
      <c r="HV606" s="73"/>
      <c r="HW606" s="73"/>
      <c r="HX606" s="73"/>
      <c r="HY606" s="73"/>
      <c r="HZ606" s="73"/>
      <c r="IA606" s="73"/>
      <c r="IB606" s="73"/>
      <c r="IC606" s="73"/>
      <c r="ID606" s="73"/>
      <c r="IE606" s="73"/>
      <c r="IF606" s="73"/>
      <c r="IG606" s="73"/>
      <c r="IH606" s="73"/>
      <c r="II606" s="73"/>
      <c r="IJ606" s="73"/>
      <c r="IK606" s="73"/>
      <c r="IL606" s="73"/>
      <c r="IM606" s="73"/>
      <c r="IN606" s="73"/>
      <c r="IO606" s="73"/>
      <c r="IP606" s="73"/>
      <c r="IQ606" s="73"/>
      <c r="IR606" s="73"/>
      <c r="IS606" s="73"/>
      <c r="IT606" s="73"/>
      <c r="IU606" s="73"/>
      <c r="IV606" s="73"/>
      <c r="IW606" s="73"/>
      <c r="IX606" s="73"/>
      <c r="IY606" s="73"/>
      <c r="IZ606" s="73"/>
      <c r="JA606" s="73"/>
      <c r="JB606" s="73"/>
      <c r="JC606" s="73"/>
    </row>
    <row r="607" spans="2:263" s="72" customFormat="1">
      <c r="B607" s="73"/>
      <c r="C607" s="73"/>
      <c r="D607" s="73"/>
      <c r="E607" s="73"/>
      <c r="F607" s="73"/>
      <c r="G607" s="73"/>
      <c r="H607" s="73"/>
      <c r="I607" s="73"/>
      <c r="J607" s="73"/>
      <c r="K607" s="73"/>
      <c r="L607" s="73"/>
      <c r="M607" s="73"/>
      <c r="N607" s="73"/>
      <c r="O607" s="73"/>
      <c r="P607" s="73"/>
      <c r="Q607" s="73"/>
      <c r="R607" s="73"/>
      <c r="S607" s="73"/>
      <c r="T607" s="73"/>
      <c r="U607" s="73"/>
      <c r="V607" s="73"/>
      <c r="W607" s="73"/>
      <c r="GL607" s="73"/>
      <c r="GM607" s="73"/>
      <c r="GN607" s="73"/>
      <c r="GO607" s="73"/>
      <c r="GP607" s="73"/>
      <c r="GQ607" s="73"/>
      <c r="GR607" s="73"/>
      <c r="GS607" s="73"/>
      <c r="GT607" s="73"/>
      <c r="GU607" s="73"/>
      <c r="GV607" s="73"/>
      <c r="GW607" s="73"/>
      <c r="GX607" s="73"/>
      <c r="GY607" s="73"/>
      <c r="GZ607" s="73"/>
      <c r="HA607" s="73"/>
      <c r="HB607" s="73"/>
      <c r="HC607" s="73"/>
      <c r="HD607" s="73"/>
      <c r="HE607" s="73"/>
      <c r="HF607" s="73"/>
      <c r="HG607" s="73"/>
      <c r="HH607" s="73"/>
      <c r="HI607" s="73"/>
      <c r="HJ607" s="73"/>
      <c r="HK607" s="73"/>
      <c r="HL607" s="73"/>
      <c r="HM607" s="73"/>
      <c r="HN607" s="73"/>
      <c r="HO607" s="73"/>
      <c r="HP607" s="73"/>
      <c r="HQ607" s="73"/>
      <c r="HR607" s="73"/>
      <c r="HS607" s="73"/>
      <c r="HT607" s="73"/>
      <c r="HU607" s="73"/>
      <c r="HV607" s="73"/>
      <c r="HW607" s="73"/>
      <c r="HX607" s="73"/>
      <c r="HY607" s="73"/>
      <c r="HZ607" s="73"/>
      <c r="IA607" s="73"/>
      <c r="IB607" s="73"/>
      <c r="IC607" s="73"/>
      <c r="ID607" s="73"/>
      <c r="IE607" s="73"/>
      <c r="IF607" s="73"/>
      <c r="IG607" s="73"/>
      <c r="IH607" s="73"/>
      <c r="II607" s="73"/>
      <c r="IJ607" s="73"/>
      <c r="IK607" s="73"/>
      <c r="IL607" s="73"/>
      <c r="IM607" s="73"/>
      <c r="IN607" s="73"/>
      <c r="IO607" s="73"/>
      <c r="IP607" s="73"/>
      <c r="IQ607" s="73"/>
      <c r="IR607" s="73"/>
      <c r="IS607" s="73"/>
      <c r="IT607" s="73"/>
      <c r="IU607" s="73"/>
      <c r="IV607" s="73"/>
      <c r="IW607" s="73"/>
      <c r="IX607" s="73"/>
      <c r="IY607" s="73"/>
      <c r="IZ607" s="73"/>
      <c r="JA607" s="73"/>
      <c r="JB607" s="73"/>
      <c r="JC607" s="73"/>
    </row>
    <row r="608" spans="2:263" s="72" customFormat="1">
      <c r="B608" s="73"/>
      <c r="C608" s="73"/>
      <c r="D608" s="73"/>
      <c r="E608" s="73"/>
      <c r="F608" s="73"/>
      <c r="G608" s="73"/>
      <c r="H608" s="73"/>
      <c r="I608" s="73"/>
      <c r="J608" s="73"/>
      <c r="K608" s="73"/>
      <c r="L608" s="73"/>
      <c r="M608" s="73"/>
      <c r="N608" s="73"/>
      <c r="O608" s="73"/>
      <c r="P608" s="73"/>
      <c r="Q608" s="73"/>
      <c r="R608" s="73"/>
      <c r="S608" s="73"/>
      <c r="T608" s="73"/>
      <c r="U608" s="73"/>
      <c r="V608" s="73"/>
      <c r="W608" s="73"/>
      <c r="GL608" s="73"/>
      <c r="GM608" s="73"/>
      <c r="GN608" s="73"/>
      <c r="GO608" s="73"/>
      <c r="GP608" s="73"/>
      <c r="GQ608" s="73"/>
      <c r="GR608" s="73"/>
      <c r="GS608" s="73"/>
      <c r="GT608" s="73"/>
      <c r="GU608" s="73"/>
      <c r="GV608" s="73"/>
      <c r="GW608" s="73"/>
      <c r="GX608" s="73"/>
      <c r="GY608" s="73"/>
      <c r="GZ608" s="73"/>
      <c r="HA608" s="73"/>
      <c r="HB608" s="73"/>
      <c r="HC608" s="73"/>
      <c r="HD608" s="73"/>
      <c r="HE608" s="73"/>
      <c r="HF608" s="73"/>
      <c r="HG608" s="73"/>
      <c r="HH608" s="73"/>
      <c r="HI608" s="73"/>
      <c r="HJ608" s="73"/>
      <c r="HK608" s="73"/>
      <c r="HL608" s="73"/>
      <c r="HM608" s="73"/>
      <c r="HN608" s="73"/>
      <c r="HO608" s="73"/>
      <c r="HP608" s="73"/>
      <c r="HQ608" s="73"/>
      <c r="HR608" s="73"/>
      <c r="HS608" s="73"/>
      <c r="HT608" s="73"/>
      <c r="HU608" s="73"/>
      <c r="HV608" s="73"/>
      <c r="HW608" s="73"/>
      <c r="HX608" s="73"/>
      <c r="HY608" s="73"/>
      <c r="HZ608" s="73"/>
      <c r="IA608" s="73"/>
      <c r="IB608" s="73"/>
      <c r="IC608" s="73"/>
      <c r="ID608" s="73"/>
      <c r="IE608" s="73"/>
      <c r="IF608" s="73"/>
      <c r="IG608" s="73"/>
      <c r="IH608" s="73"/>
      <c r="II608" s="73"/>
      <c r="IJ608" s="73"/>
      <c r="IK608" s="73"/>
      <c r="IL608" s="73"/>
      <c r="IM608" s="73"/>
      <c r="IN608" s="73"/>
      <c r="IO608" s="73"/>
      <c r="IP608" s="73"/>
      <c r="IQ608" s="73"/>
      <c r="IR608" s="73"/>
      <c r="IS608" s="73"/>
      <c r="IT608" s="73"/>
      <c r="IU608" s="73"/>
      <c r="IV608" s="73"/>
      <c r="IW608" s="73"/>
      <c r="IX608" s="73"/>
      <c r="IY608" s="73"/>
      <c r="IZ608" s="73"/>
      <c r="JA608" s="73"/>
      <c r="JB608" s="73"/>
      <c r="JC608" s="73"/>
    </row>
    <row r="609" spans="2:263" s="72" customFormat="1">
      <c r="B609" s="73"/>
      <c r="C609" s="73"/>
      <c r="D609" s="73"/>
      <c r="E609" s="73"/>
      <c r="F609" s="73"/>
      <c r="G609" s="73"/>
      <c r="H609" s="73"/>
      <c r="I609" s="73"/>
      <c r="J609" s="73"/>
      <c r="K609" s="73"/>
      <c r="L609" s="73"/>
      <c r="M609" s="73"/>
      <c r="N609" s="73"/>
      <c r="O609" s="73"/>
      <c r="P609" s="73"/>
      <c r="Q609" s="73"/>
      <c r="R609" s="73"/>
      <c r="S609" s="73"/>
      <c r="T609" s="73"/>
      <c r="U609" s="73"/>
      <c r="V609" s="73"/>
      <c r="W609" s="73"/>
      <c r="GL609" s="73"/>
      <c r="GM609" s="73"/>
      <c r="GN609" s="73"/>
      <c r="GO609" s="73"/>
      <c r="GP609" s="73"/>
      <c r="GQ609" s="73"/>
      <c r="GR609" s="73"/>
      <c r="GS609" s="73"/>
      <c r="GT609" s="73"/>
      <c r="GU609" s="73"/>
      <c r="GV609" s="73"/>
      <c r="GW609" s="73"/>
      <c r="GX609" s="73"/>
      <c r="GY609" s="73"/>
      <c r="GZ609" s="73"/>
      <c r="HA609" s="73"/>
      <c r="HB609" s="73"/>
      <c r="HC609" s="73"/>
      <c r="HD609" s="73"/>
      <c r="HE609" s="73"/>
      <c r="HF609" s="73"/>
      <c r="HG609" s="73"/>
      <c r="HH609" s="73"/>
      <c r="HI609" s="73"/>
      <c r="HJ609" s="73"/>
      <c r="HK609" s="73"/>
      <c r="HL609" s="73"/>
      <c r="HM609" s="73"/>
      <c r="HN609" s="73"/>
      <c r="HO609" s="73"/>
      <c r="HP609" s="73"/>
      <c r="HQ609" s="73"/>
      <c r="HR609" s="73"/>
      <c r="HS609" s="73"/>
      <c r="HT609" s="73"/>
      <c r="HU609" s="73"/>
      <c r="HV609" s="73"/>
      <c r="HW609" s="73"/>
      <c r="HX609" s="73"/>
      <c r="HY609" s="73"/>
      <c r="HZ609" s="73"/>
      <c r="IA609" s="73"/>
      <c r="IB609" s="73"/>
      <c r="IC609" s="73"/>
      <c r="ID609" s="73"/>
      <c r="IE609" s="73"/>
      <c r="IF609" s="73"/>
      <c r="IG609" s="73"/>
      <c r="IH609" s="73"/>
      <c r="II609" s="73"/>
      <c r="IJ609" s="73"/>
      <c r="IK609" s="73"/>
      <c r="IL609" s="73"/>
      <c r="IM609" s="73"/>
      <c r="IN609" s="73"/>
      <c r="IO609" s="73"/>
      <c r="IP609" s="73"/>
      <c r="IQ609" s="73"/>
      <c r="IR609" s="73"/>
      <c r="IS609" s="73"/>
      <c r="IT609" s="73"/>
      <c r="IU609" s="73"/>
      <c r="IV609" s="73"/>
      <c r="IW609" s="73"/>
      <c r="IX609" s="73"/>
      <c r="IY609" s="73"/>
      <c r="IZ609" s="73"/>
      <c r="JA609" s="73"/>
      <c r="JB609" s="73"/>
      <c r="JC609" s="73"/>
    </row>
    <row r="610" spans="2:263" s="72" customFormat="1">
      <c r="B610" s="73"/>
      <c r="C610" s="73"/>
      <c r="D610" s="73"/>
      <c r="E610" s="73"/>
      <c r="F610" s="73"/>
      <c r="G610" s="73"/>
      <c r="H610" s="73"/>
      <c r="I610" s="73"/>
      <c r="J610" s="73"/>
      <c r="K610" s="73"/>
      <c r="L610" s="73"/>
      <c r="M610" s="73"/>
      <c r="N610" s="73"/>
      <c r="O610" s="73"/>
      <c r="P610" s="73"/>
      <c r="Q610" s="73"/>
      <c r="R610" s="73"/>
      <c r="S610" s="73"/>
      <c r="T610" s="73"/>
      <c r="U610" s="73"/>
      <c r="V610" s="73"/>
      <c r="W610" s="73"/>
      <c r="GL610" s="73"/>
      <c r="GM610" s="73"/>
      <c r="GN610" s="73"/>
      <c r="GO610" s="73"/>
      <c r="GP610" s="73"/>
      <c r="GQ610" s="73"/>
      <c r="GR610" s="73"/>
      <c r="GS610" s="73"/>
      <c r="GT610" s="73"/>
      <c r="GU610" s="73"/>
      <c r="GV610" s="73"/>
      <c r="GW610" s="73"/>
      <c r="GX610" s="73"/>
      <c r="GY610" s="73"/>
      <c r="GZ610" s="73"/>
      <c r="HA610" s="73"/>
      <c r="HB610" s="73"/>
      <c r="HC610" s="73"/>
      <c r="HD610" s="73"/>
      <c r="HE610" s="73"/>
      <c r="HF610" s="73"/>
      <c r="HG610" s="73"/>
      <c r="HH610" s="73"/>
      <c r="HI610" s="73"/>
      <c r="HJ610" s="73"/>
      <c r="HK610" s="73"/>
      <c r="HL610" s="73"/>
      <c r="HM610" s="73"/>
      <c r="HN610" s="73"/>
      <c r="HO610" s="73"/>
      <c r="HP610" s="73"/>
      <c r="HQ610" s="73"/>
      <c r="HR610" s="73"/>
      <c r="HS610" s="73"/>
      <c r="HT610" s="73"/>
      <c r="HU610" s="73"/>
      <c r="HV610" s="73"/>
      <c r="HW610" s="73"/>
      <c r="HX610" s="73"/>
      <c r="HY610" s="73"/>
      <c r="HZ610" s="73"/>
      <c r="IA610" s="73"/>
      <c r="IB610" s="73"/>
      <c r="IC610" s="73"/>
      <c r="ID610" s="73"/>
      <c r="IE610" s="73"/>
      <c r="IF610" s="73"/>
      <c r="IG610" s="73"/>
      <c r="IH610" s="73"/>
      <c r="II610" s="73"/>
      <c r="IJ610" s="73"/>
      <c r="IK610" s="73"/>
      <c r="IL610" s="73"/>
      <c r="IM610" s="73"/>
      <c r="IN610" s="73"/>
      <c r="IO610" s="73"/>
      <c r="IP610" s="73"/>
      <c r="IQ610" s="73"/>
      <c r="IR610" s="73"/>
      <c r="IS610" s="73"/>
      <c r="IT610" s="73"/>
      <c r="IU610" s="73"/>
      <c r="IV610" s="73"/>
      <c r="IW610" s="73"/>
      <c r="IX610" s="73"/>
      <c r="IY610" s="73"/>
      <c r="IZ610" s="73"/>
      <c r="JA610" s="73"/>
      <c r="JB610" s="73"/>
      <c r="JC610" s="73"/>
    </row>
    <row r="611" spans="2:263" s="72" customFormat="1">
      <c r="B611" s="73"/>
      <c r="C611" s="73"/>
      <c r="D611" s="73"/>
      <c r="E611" s="73"/>
      <c r="F611" s="73"/>
      <c r="G611" s="73"/>
      <c r="H611" s="73"/>
      <c r="I611" s="73"/>
      <c r="J611" s="73"/>
      <c r="K611" s="73"/>
      <c r="L611" s="73"/>
      <c r="M611" s="73"/>
      <c r="N611" s="73"/>
      <c r="O611" s="73"/>
      <c r="P611" s="73"/>
      <c r="Q611" s="73"/>
      <c r="R611" s="73"/>
      <c r="S611" s="73"/>
      <c r="T611" s="73"/>
      <c r="U611" s="73"/>
      <c r="V611" s="73"/>
      <c r="W611" s="73"/>
      <c r="GL611" s="73"/>
      <c r="GM611" s="73"/>
      <c r="GN611" s="73"/>
      <c r="GO611" s="73"/>
      <c r="GP611" s="73"/>
      <c r="GQ611" s="73"/>
      <c r="GR611" s="73"/>
      <c r="GS611" s="73"/>
      <c r="GT611" s="73"/>
      <c r="GU611" s="73"/>
      <c r="GV611" s="73"/>
      <c r="GW611" s="73"/>
      <c r="GX611" s="73"/>
      <c r="GY611" s="73"/>
      <c r="GZ611" s="73"/>
      <c r="HA611" s="73"/>
      <c r="HB611" s="73"/>
      <c r="HC611" s="73"/>
      <c r="HD611" s="73"/>
      <c r="HE611" s="73"/>
      <c r="HF611" s="73"/>
      <c r="HG611" s="73"/>
      <c r="HH611" s="73"/>
      <c r="HI611" s="73"/>
      <c r="HJ611" s="73"/>
      <c r="HK611" s="73"/>
      <c r="HL611" s="73"/>
      <c r="HM611" s="73"/>
      <c r="HN611" s="73"/>
      <c r="HO611" s="73"/>
      <c r="HP611" s="73"/>
      <c r="HQ611" s="73"/>
      <c r="HR611" s="73"/>
      <c r="HS611" s="73"/>
      <c r="HT611" s="73"/>
      <c r="HU611" s="73"/>
      <c r="HV611" s="73"/>
      <c r="HW611" s="73"/>
      <c r="HX611" s="73"/>
      <c r="HY611" s="73"/>
      <c r="HZ611" s="73"/>
      <c r="IA611" s="73"/>
      <c r="IB611" s="73"/>
      <c r="IC611" s="73"/>
      <c r="ID611" s="73"/>
      <c r="IE611" s="73"/>
      <c r="IF611" s="73"/>
      <c r="IG611" s="73"/>
      <c r="IH611" s="73"/>
      <c r="II611" s="73"/>
      <c r="IJ611" s="73"/>
      <c r="IK611" s="73"/>
      <c r="IL611" s="73"/>
      <c r="IM611" s="73"/>
      <c r="IN611" s="73"/>
      <c r="IO611" s="73"/>
      <c r="IP611" s="73"/>
      <c r="IQ611" s="73"/>
      <c r="IR611" s="73"/>
      <c r="IS611" s="73"/>
      <c r="IT611" s="73"/>
      <c r="IU611" s="73"/>
      <c r="IV611" s="73"/>
      <c r="IW611" s="73"/>
      <c r="IX611" s="73"/>
      <c r="IY611" s="73"/>
      <c r="IZ611" s="73"/>
      <c r="JA611" s="73"/>
      <c r="JB611" s="73"/>
      <c r="JC611" s="73"/>
    </row>
    <row r="612" spans="2:263" s="72" customFormat="1">
      <c r="B612" s="73"/>
      <c r="C612" s="73"/>
      <c r="D612" s="73"/>
      <c r="E612" s="73"/>
      <c r="F612" s="73"/>
      <c r="G612" s="73"/>
      <c r="H612" s="73"/>
      <c r="I612" s="73"/>
      <c r="J612" s="73"/>
      <c r="K612" s="73"/>
      <c r="L612" s="73"/>
      <c r="M612" s="73"/>
      <c r="N612" s="73"/>
      <c r="O612" s="73"/>
      <c r="P612" s="73"/>
      <c r="Q612" s="73"/>
      <c r="R612" s="73"/>
      <c r="S612" s="73"/>
      <c r="T612" s="73"/>
      <c r="U612" s="73"/>
      <c r="V612" s="73"/>
      <c r="W612" s="73"/>
      <c r="GL612" s="73"/>
      <c r="GM612" s="73"/>
      <c r="GN612" s="73"/>
      <c r="GO612" s="73"/>
      <c r="GP612" s="73"/>
      <c r="GQ612" s="73"/>
      <c r="GR612" s="73"/>
      <c r="GS612" s="73"/>
      <c r="GT612" s="73"/>
      <c r="GU612" s="73"/>
      <c r="GV612" s="73"/>
      <c r="GW612" s="73"/>
      <c r="GX612" s="73"/>
      <c r="GY612" s="73"/>
      <c r="GZ612" s="73"/>
      <c r="HA612" s="73"/>
      <c r="HB612" s="73"/>
      <c r="HC612" s="73"/>
      <c r="HD612" s="73"/>
      <c r="HE612" s="73"/>
      <c r="HF612" s="73"/>
      <c r="HG612" s="73"/>
      <c r="HH612" s="73"/>
      <c r="HI612" s="73"/>
      <c r="HJ612" s="73"/>
      <c r="HK612" s="73"/>
      <c r="HL612" s="73"/>
      <c r="HM612" s="73"/>
      <c r="HN612" s="73"/>
      <c r="HO612" s="73"/>
      <c r="HP612" s="73"/>
      <c r="HQ612" s="73"/>
      <c r="HR612" s="73"/>
      <c r="HS612" s="73"/>
      <c r="HT612" s="73"/>
      <c r="HU612" s="73"/>
      <c r="HV612" s="73"/>
      <c r="HW612" s="73"/>
      <c r="HX612" s="73"/>
      <c r="HY612" s="73"/>
      <c r="HZ612" s="73"/>
      <c r="IA612" s="73"/>
      <c r="IB612" s="73"/>
      <c r="IC612" s="73"/>
      <c r="ID612" s="73"/>
      <c r="IE612" s="73"/>
      <c r="IF612" s="73"/>
      <c r="IG612" s="73"/>
      <c r="IH612" s="73"/>
      <c r="II612" s="73"/>
      <c r="IJ612" s="73"/>
      <c r="IK612" s="73"/>
      <c r="IL612" s="73"/>
      <c r="IM612" s="73"/>
      <c r="IN612" s="73"/>
      <c r="IO612" s="73"/>
      <c r="IP612" s="73"/>
      <c r="IQ612" s="73"/>
      <c r="IR612" s="73"/>
      <c r="IS612" s="73"/>
      <c r="IT612" s="73"/>
      <c r="IU612" s="73"/>
      <c r="IV612" s="73"/>
      <c r="IW612" s="73"/>
      <c r="IX612" s="73"/>
      <c r="IY612" s="73"/>
      <c r="IZ612" s="73"/>
      <c r="JA612" s="73"/>
      <c r="JB612" s="73"/>
      <c r="JC612" s="73"/>
    </row>
    <row r="613" spans="2:263" s="72" customFormat="1">
      <c r="B613" s="73"/>
      <c r="C613" s="73"/>
      <c r="D613" s="73"/>
      <c r="E613" s="73"/>
      <c r="F613" s="73"/>
      <c r="G613" s="73"/>
      <c r="H613" s="73"/>
      <c r="I613" s="73"/>
      <c r="J613" s="73"/>
      <c r="K613" s="73"/>
      <c r="L613" s="73"/>
      <c r="M613" s="73"/>
      <c r="N613" s="73"/>
      <c r="O613" s="73"/>
      <c r="P613" s="73"/>
      <c r="Q613" s="73"/>
      <c r="R613" s="73"/>
      <c r="S613" s="73"/>
      <c r="T613" s="73"/>
      <c r="U613" s="73"/>
      <c r="V613" s="73"/>
      <c r="W613" s="73"/>
      <c r="GL613" s="73"/>
      <c r="GM613" s="73"/>
      <c r="GN613" s="73"/>
      <c r="GO613" s="73"/>
      <c r="GP613" s="73"/>
      <c r="GQ613" s="73"/>
      <c r="GR613" s="73"/>
      <c r="GS613" s="73"/>
      <c r="GT613" s="73"/>
      <c r="GU613" s="73"/>
      <c r="GV613" s="73"/>
      <c r="GW613" s="73"/>
      <c r="GX613" s="73"/>
      <c r="GY613" s="73"/>
      <c r="GZ613" s="73"/>
      <c r="HA613" s="73"/>
      <c r="HB613" s="73"/>
      <c r="HC613" s="73"/>
      <c r="HD613" s="73"/>
      <c r="HE613" s="73"/>
      <c r="HF613" s="73"/>
      <c r="HG613" s="73"/>
      <c r="HH613" s="73"/>
      <c r="HI613" s="73"/>
      <c r="HJ613" s="73"/>
      <c r="HK613" s="73"/>
      <c r="HL613" s="73"/>
      <c r="HM613" s="73"/>
      <c r="HN613" s="73"/>
      <c r="HO613" s="73"/>
      <c r="HP613" s="73"/>
      <c r="HQ613" s="73"/>
      <c r="HR613" s="73"/>
      <c r="HS613" s="73"/>
      <c r="HT613" s="73"/>
      <c r="HU613" s="73"/>
      <c r="HV613" s="73"/>
      <c r="HW613" s="73"/>
      <c r="HX613" s="73"/>
      <c r="HY613" s="73"/>
      <c r="HZ613" s="73"/>
      <c r="IA613" s="73"/>
      <c r="IB613" s="73"/>
      <c r="IC613" s="73"/>
      <c r="ID613" s="73"/>
      <c r="IE613" s="73"/>
      <c r="IF613" s="73"/>
      <c r="IG613" s="73"/>
      <c r="IH613" s="73"/>
      <c r="II613" s="73"/>
      <c r="IJ613" s="73"/>
      <c r="IK613" s="73"/>
      <c r="IL613" s="73"/>
      <c r="IM613" s="73"/>
      <c r="IN613" s="73"/>
      <c r="IO613" s="73"/>
      <c r="IP613" s="73"/>
      <c r="IQ613" s="73"/>
      <c r="IR613" s="73"/>
      <c r="IS613" s="73"/>
      <c r="IT613" s="73"/>
      <c r="IU613" s="73"/>
      <c r="IV613" s="73"/>
      <c r="IW613" s="73"/>
      <c r="IX613" s="73"/>
      <c r="IY613" s="73"/>
      <c r="IZ613" s="73"/>
      <c r="JA613" s="73"/>
      <c r="JB613" s="73"/>
      <c r="JC613" s="73"/>
    </row>
    <row r="614" spans="2:263" s="72" customFormat="1">
      <c r="B614" s="73"/>
      <c r="C614" s="73"/>
      <c r="D614" s="73"/>
      <c r="E614" s="73"/>
      <c r="F614" s="73"/>
      <c r="G614" s="73"/>
      <c r="H614" s="73"/>
      <c r="I614" s="73"/>
      <c r="J614" s="73"/>
      <c r="K614" s="73"/>
      <c r="L614" s="73"/>
      <c r="M614" s="73"/>
      <c r="N614" s="73"/>
      <c r="O614" s="73"/>
      <c r="P614" s="73"/>
      <c r="Q614" s="73"/>
      <c r="R614" s="73"/>
      <c r="S614" s="73"/>
      <c r="T614" s="73"/>
      <c r="U614" s="73"/>
      <c r="V614" s="73"/>
      <c r="W614" s="73"/>
      <c r="GL614" s="73"/>
      <c r="GM614" s="73"/>
      <c r="GN614" s="73"/>
      <c r="GO614" s="73"/>
      <c r="GP614" s="73"/>
      <c r="GQ614" s="73"/>
      <c r="GR614" s="73"/>
      <c r="GS614" s="73"/>
      <c r="GT614" s="73"/>
      <c r="GU614" s="73"/>
      <c r="GV614" s="73"/>
      <c r="GW614" s="73"/>
      <c r="GX614" s="73"/>
      <c r="GY614" s="73"/>
      <c r="GZ614" s="73"/>
      <c r="HA614" s="73"/>
      <c r="HB614" s="73"/>
      <c r="HC614" s="73"/>
      <c r="HD614" s="73"/>
      <c r="HE614" s="73"/>
      <c r="HF614" s="73"/>
      <c r="HG614" s="73"/>
      <c r="HH614" s="73"/>
      <c r="HI614" s="73"/>
      <c r="HJ614" s="73"/>
      <c r="HK614" s="73"/>
      <c r="HL614" s="73"/>
      <c r="HM614" s="73"/>
      <c r="HN614" s="73"/>
      <c r="HO614" s="73"/>
      <c r="HP614" s="73"/>
      <c r="HQ614" s="73"/>
      <c r="HR614" s="73"/>
      <c r="HS614" s="73"/>
      <c r="HT614" s="73"/>
      <c r="HU614" s="73"/>
      <c r="HV614" s="73"/>
      <c r="HW614" s="73"/>
      <c r="HX614" s="73"/>
      <c r="HY614" s="73"/>
      <c r="HZ614" s="73"/>
      <c r="IA614" s="73"/>
      <c r="IB614" s="73"/>
      <c r="IC614" s="73"/>
      <c r="ID614" s="73"/>
      <c r="IE614" s="73"/>
      <c r="IF614" s="73"/>
      <c r="IG614" s="73"/>
      <c r="IH614" s="73"/>
      <c r="II614" s="73"/>
      <c r="IJ614" s="73"/>
      <c r="IK614" s="73"/>
      <c r="IL614" s="73"/>
      <c r="IM614" s="73"/>
      <c r="IN614" s="73"/>
      <c r="IO614" s="73"/>
      <c r="IP614" s="73"/>
      <c r="IQ614" s="73"/>
      <c r="IR614" s="73"/>
      <c r="IS614" s="73"/>
      <c r="IT614" s="73"/>
      <c r="IU614" s="73"/>
      <c r="IV614" s="73"/>
      <c r="IW614" s="73"/>
      <c r="IX614" s="73"/>
      <c r="IY614" s="73"/>
      <c r="IZ614" s="73"/>
      <c r="JA614" s="73"/>
      <c r="JB614" s="73"/>
      <c r="JC614" s="73"/>
    </row>
    <row r="615" spans="2:263" s="72" customFormat="1">
      <c r="B615" s="73"/>
      <c r="C615" s="73"/>
      <c r="D615" s="73"/>
      <c r="E615" s="73"/>
      <c r="F615" s="73"/>
      <c r="G615" s="73"/>
      <c r="H615" s="73"/>
      <c r="I615" s="73"/>
      <c r="J615" s="73"/>
      <c r="K615" s="73"/>
      <c r="L615" s="73"/>
      <c r="M615" s="73"/>
      <c r="N615" s="73"/>
      <c r="O615" s="73"/>
      <c r="P615" s="73"/>
      <c r="Q615" s="73"/>
      <c r="R615" s="73"/>
      <c r="S615" s="73"/>
      <c r="T615" s="73"/>
      <c r="U615" s="73"/>
      <c r="V615" s="73"/>
      <c r="W615" s="73"/>
      <c r="GL615" s="73"/>
      <c r="GM615" s="73"/>
      <c r="GN615" s="73"/>
      <c r="GO615" s="73"/>
      <c r="GP615" s="73"/>
      <c r="GQ615" s="73"/>
      <c r="GR615" s="73"/>
      <c r="GS615" s="73"/>
      <c r="GT615" s="73"/>
      <c r="GU615" s="73"/>
      <c r="GV615" s="73"/>
      <c r="GW615" s="73"/>
      <c r="GX615" s="73"/>
      <c r="GY615" s="73"/>
      <c r="GZ615" s="73"/>
      <c r="HA615" s="73"/>
      <c r="HB615" s="73"/>
      <c r="HC615" s="73"/>
      <c r="HD615" s="73"/>
      <c r="HE615" s="73"/>
      <c r="HF615" s="73"/>
      <c r="HG615" s="73"/>
      <c r="HH615" s="73"/>
      <c r="HI615" s="73"/>
      <c r="HJ615" s="73"/>
      <c r="HK615" s="73"/>
      <c r="HL615" s="73"/>
      <c r="HM615" s="73"/>
      <c r="HN615" s="73"/>
      <c r="HO615" s="73"/>
      <c r="HP615" s="73"/>
      <c r="HQ615" s="73"/>
      <c r="HR615" s="73"/>
      <c r="HS615" s="73"/>
      <c r="HT615" s="73"/>
      <c r="HU615" s="73"/>
      <c r="HV615" s="73"/>
      <c r="HW615" s="73"/>
      <c r="HX615" s="73"/>
      <c r="HY615" s="73"/>
      <c r="HZ615" s="73"/>
      <c r="IA615" s="73"/>
      <c r="IB615" s="73"/>
      <c r="IC615" s="73"/>
      <c r="ID615" s="73"/>
      <c r="IE615" s="73"/>
      <c r="IF615" s="73"/>
      <c r="IG615" s="73"/>
      <c r="IH615" s="73"/>
      <c r="II615" s="73"/>
      <c r="IJ615" s="73"/>
      <c r="IK615" s="73"/>
      <c r="IL615" s="73"/>
      <c r="IM615" s="73"/>
      <c r="IN615" s="73"/>
      <c r="IO615" s="73"/>
      <c r="IP615" s="73"/>
      <c r="IQ615" s="73"/>
      <c r="IR615" s="73"/>
      <c r="IS615" s="73"/>
      <c r="IT615" s="73"/>
      <c r="IU615" s="73"/>
      <c r="IV615" s="73"/>
      <c r="IW615" s="73"/>
      <c r="IX615" s="73"/>
      <c r="IY615" s="73"/>
      <c r="IZ615" s="73"/>
      <c r="JA615" s="73"/>
      <c r="JB615" s="73"/>
      <c r="JC615" s="73"/>
    </row>
    <row r="616" spans="2:263" s="72" customFormat="1">
      <c r="B616" s="73"/>
      <c r="C616" s="73"/>
      <c r="D616" s="73"/>
      <c r="E616" s="73"/>
      <c r="F616" s="73"/>
      <c r="G616" s="73"/>
      <c r="H616" s="73"/>
      <c r="I616" s="73"/>
      <c r="J616" s="73"/>
      <c r="K616" s="73"/>
      <c r="L616" s="73"/>
      <c r="M616" s="73"/>
      <c r="N616" s="73"/>
      <c r="O616" s="73"/>
      <c r="P616" s="73"/>
      <c r="Q616" s="73"/>
      <c r="R616" s="73"/>
      <c r="S616" s="73"/>
      <c r="T616" s="73"/>
      <c r="U616" s="73"/>
      <c r="V616" s="73"/>
      <c r="W616" s="73"/>
      <c r="GL616" s="73"/>
      <c r="GM616" s="73"/>
      <c r="GN616" s="73"/>
      <c r="GO616" s="73"/>
      <c r="GP616" s="73"/>
      <c r="GQ616" s="73"/>
      <c r="GR616" s="73"/>
      <c r="GS616" s="73"/>
      <c r="GT616" s="73"/>
      <c r="GU616" s="73"/>
      <c r="GV616" s="73"/>
      <c r="GW616" s="73"/>
      <c r="GX616" s="73"/>
      <c r="GY616" s="73"/>
      <c r="GZ616" s="73"/>
      <c r="HA616" s="73"/>
      <c r="HB616" s="73"/>
      <c r="HC616" s="73"/>
      <c r="HD616" s="73"/>
      <c r="HE616" s="73"/>
      <c r="HF616" s="73"/>
      <c r="HG616" s="73"/>
      <c r="HH616" s="73"/>
      <c r="HI616" s="73"/>
      <c r="HJ616" s="73"/>
      <c r="HK616" s="73"/>
      <c r="HL616" s="73"/>
      <c r="HM616" s="73"/>
      <c r="HN616" s="73"/>
      <c r="HO616" s="73"/>
      <c r="HP616" s="73"/>
      <c r="HQ616" s="73"/>
      <c r="HR616" s="73"/>
      <c r="HS616" s="73"/>
      <c r="HT616" s="73"/>
      <c r="HU616" s="73"/>
      <c r="HV616" s="73"/>
      <c r="HW616" s="73"/>
      <c r="HX616" s="73"/>
      <c r="HY616" s="73"/>
      <c r="HZ616" s="73"/>
      <c r="IA616" s="73"/>
      <c r="IB616" s="73"/>
      <c r="IC616" s="73"/>
      <c r="ID616" s="73"/>
      <c r="IE616" s="73"/>
      <c r="IF616" s="73"/>
      <c r="IG616" s="73"/>
      <c r="IH616" s="73"/>
      <c r="II616" s="73"/>
      <c r="IJ616" s="73"/>
      <c r="IK616" s="73"/>
      <c r="IL616" s="73"/>
      <c r="IM616" s="73"/>
      <c r="IN616" s="73"/>
      <c r="IO616" s="73"/>
      <c r="IP616" s="73"/>
      <c r="IQ616" s="73"/>
      <c r="IR616" s="73"/>
      <c r="IS616" s="73"/>
      <c r="IT616" s="73"/>
      <c r="IU616" s="73"/>
      <c r="IV616" s="73"/>
      <c r="IW616" s="73"/>
      <c r="IX616" s="73"/>
      <c r="IY616" s="73"/>
      <c r="IZ616" s="73"/>
      <c r="JA616" s="73"/>
      <c r="JB616" s="73"/>
      <c r="JC616" s="73"/>
    </row>
    <row r="617" spans="2:263" s="72" customFormat="1">
      <c r="B617" s="73"/>
      <c r="C617" s="73"/>
      <c r="D617" s="73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  <c r="R617" s="73"/>
      <c r="S617" s="73"/>
      <c r="T617" s="73"/>
      <c r="U617" s="73"/>
      <c r="V617" s="73"/>
      <c r="W617" s="73"/>
      <c r="GL617" s="73"/>
      <c r="GM617" s="73"/>
      <c r="GN617" s="73"/>
      <c r="GO617" s="73"/>
      <c r="GP617" s="73"/>
      <c r="GQ617" s="73"/>
      <c r="GR617" s="73"/>
      <c r="GS617" s="73"/>
      <c r="GT617" s="73"/>
      <c r="GU617" s="73"/>
      <c r="GV617" s="73"/>
      <c r="GW617" s="73"/>
      <c r="GX617" s="73"/>
      <c r="GY617" s="73"/>
      <c r="GZ617" s="73"/>
      <c r="HA617" s="73"/>
      <c r="HB617" s="73"/>
      <c r="HC617" s="73"/>
      <c r="HD617" s="73"/>
      <c r="HE617" s="73"/>
      <c r="HF617" s="73"/>
      <c r="HG617" s="73"/>
      <c r="HH617" s="73"/>
      <c r="HI617" s="73"/>
      <c r="HJ617" s="73"/>
      <c r="HK617" s="73"/>
      <c r="HL617" s="73"/>
      <c r="HM617" s="73"/>
      <c r="HN617" s="73"/>
      <c r="HO617" s="73"/>
      <c r="HP617" s="73"/>
      <c r="HQ617" s="73"/>
      <c r="HR617" s="73"/>
      <c r="HS617" s="73"/>
      <c r="HT617" s="73"/>
      <c r="HU617" s="73"/>
      <c r="HV617" s="73"/>
      <c r="HW617" s="73"/>
      <c r="HX617" s="73"/>
      <c r="HY617" s="73"/>
      <c r="HZ617" s="73"/>
      <c r="IA617" s="73"/>
      <c r="IB617" s="73"/>
      <c r="IC617" s="73"/>
      <c r="ID617" s="73"/>
      <c r="IE617" s="73"/>
      <c r="IF617" s="73"/>
      <c r="IG617" s="73"/>
      <c r="IH617" s="73"/>
      <c r="II617" s="73"/>
      <c r="IJ617" s="73"/>
      <c r="IK617" s="73"/>
      <c r="IL617" s="73"/>
      <c r="IM617" s="73"/>
      <c r="IN617" s="73"/>
      <c r="IO617" s="73"/>
      <c r="IP617" s="73"/>
      <c r="IQ617" s="73"/>
      <c r="IR617" s="73"/>
      <c r="IS617" s="73"/>
      <c r="IT617" s="73"/>
      <c r="IU617" s="73"/>
      <c r="IV617" s="73"/>
      <c r="IW617" s="73"/>
      <c r="IX617" s="73"/>
      <c r="IY617" s="73"/>
      <c r="IZ617" s="73"/>
      <c r="JA617" s="73"/>
      <c r="JB617" s="73"/>
      <c r="JC617" s="73"/>
    </row>
    <row r="618" spans="2:263" s="72" customFormat="1">
      <c r="B618" s="73"/>
      <c r="C618" s="73"/>
      <c r="D618" s="73"/>
      <c r="E618" s="73"/>
      <c r="F618" s="73"/>
      <c r="G618" s="73"/>
      <c r="H618" s="73"/>
      <c r="I618" s="73"/>
      <c r="J618" s="73"/>
      <c r="K618" s="73"/>
      <c r="L618" s="73"/>
      <c r="M618" s="73"/>
      <c r="N618" s="73"/>
      <c r="O618" s="73"/>
      <c r="P618" s="73"/>
      <c r="Q618" s="73"/>
      <c r="R618" s="73"/>
      <c r="S618" s="73"/>
      <c r="T618" s="73"/>
      <c r="U618" s="73"/>
      <c r="V618" s="73"/>
      <c r="W618" s="73"/>
      <c r="GL618" s="73"/>
      <c r="GM618" s="73"/>
      <c r="GN618" s="73"/>
      <c r="GO618" s="73"/>
      <c r="GP618" s="73"/>
      <c r="GQ618" s="73"/>
      <c r="GR618" s="73"/>
      <c r="GS618" s="73"/>
      <c r="GT618" s="73"/>
      <c r="GU618" s="73"/>
      <c r="GV618" s="73"/>
      <c r="GW618" s="73"/>
      <c r="GX618" s="73"/>
      <c r="GY618" s="73"/>
      <c r="GZ618" s="73"/>
      <c r="HA618" s="73"/>
      <c r="HB618" s="73"/>
      <c r="HC618" s="73"/>
      <c r="HD618" s="73"/>
      <c r="HE618" s="73"/>
      <c r="HF618" s="73"/>
      <c r="HG618" s="73"/>
      <c r="HH618" s="73"/>
      <c r="HI618" s="73"/>
      <c r="HJ618" s="73"/>
      <c r="HK618" s="73"/>
      <c r="HL618" s="73"/>
      <c r="HM618" s="73"/>
      <c r="HN618" s="73"/>
      <c r="HO618" s="73"/>
      <c r="HP618" s="73"/>
      <c r="HQ618" s="73"/>
      <c r="HR618" s="73"/>
      <c r="HS618" s="73"/>
      <c r="HT618" s="73"/>
      <c r="HU618" s="73"/>
      <c r="HV618" s="73"/>
      <c r="HW618" s="73"/>
      <c r="HX618" s="73"/>
      <c r="HY618" s="73"/>
      <c r="HZ618" s="73"/>
      <c r="IA618" s="73"/>
      <c r="IB618" s="73"/>
      <c r="IC618" s="73"/>
      <c r="ID618" s="73"/>
      <c r="IE618" s="73"/>
      <c r="IF618" s="73"/>
      <c r="IG618" s="73"/>
      <c r="IH618" s="73"/>
      <c r="II618" s="73"/>
      <c r="IJ618" s="73"/>
      <c r="IK618" s="73"/>
      <c r="IL618" s="73"/>
      <c r="IM618" s="73"/>
      <c r="IN618" s="73"/>
      <c r="IO618" s="73"/>
      <c r="IP618" s="73"/>
      <c r="IQ618" s="73"/>
      <c r="IR618" s="73"/>
      <c r="IS618" s="73"/>
      <c r="IT618" s="73"/>
      <c r="IU618" s="73"/>
      <c r="IV618" s="73"/>
      <c r="IW618" s="73"/>
      <c r="IX618" s="73"/>
      <c r="IY618" s="73"/>
      <c r="IZ618" s="73"/>
      <c r="JA618" s="73"/>
      <c r="JB618" s="73"/>
      <c r="JC618" s="73"/>
    </row>
    <row r="619" spans="2:263" s="72" customFormat="1">
      <c r="B619" s="73"/>
      <c r="C619" s="73"/>
      <c r="D619" s="73"/>
      <c r="E619" s="73"/>
      <c r="F619" s="73"/>
      <c r="G619" s="73"/>
      <c r="H619" s="73"/>
      <c r="I619" s="73"/>
      <c r="J619" s="73"/>
      <c r="K619" s="73"/>
      <c r="L619" s="73"/>
      <c r="M619" s="73"/>
      <c r="N619" s="73"/>
      <c r="O619" s="73"/>
      <c r="P619" s="73"/>
      <c r="Q619" s="73"/>
      <c r="R619" s="73"/>
      <c r="S619" s="73"/>
      <c r="T619" s="73"/>
      <c r="U619" s="73"/>
      <c r="V619" s="73"/>
      <c r="W619" s="73"/>
      <c r="GL619" s="73"/>
      <c r="GM619" s="73"/>
      <c r="GN619" s="73"/>
      <c r="GO619" s="73"/>
      <c r="GP619" s="73"/>
      <c r="GQ619" s="73"/>
      <c r="GR619" s="73"/>
      <c r="GS619" s="73"/>
      <c r="GT619" s="73"/>
      <c r="GU619" s="73"/>
      <c r="GV619" s="73"/>
      <c r="GW619" s="73"/>
      <c r="GX619" s="73"/>
      <c r="GY619" s="73"/>
      <c r="GZ619" s="73"/>
      <c r="HA619" s="73"/>
      <c r="HB619" s="73"/>
      <c r="HC619" s="73"/>
      <c r="HD619" s="73"/>
      <c r="HE619" s="73"/>
      <c r="HF619" s="73"/>
      <c r="HG619" s="73"/>
      <c r="HH619" s="73"/>
      <c r="HI619" s="73"/>
      <c r="HJ619" s="73"/>
      <c r="HK619" s="73"/>
      <c r="HL619" s="73"/>
      <c r="HM619" s="73"/>
      <c r="HN619" s="73"/>
      <c r="HO619" s="73"/>
      <c r="HP619" s="73"/>
      <c r="HQ619" s="73"/>
      <c r="HR619" s="73"/>
      <c r="HS619" s="73"/>
      <c r="HT619" s="73"/>
      <c r="HU619" s="73"/>
      <c r="HV619" s="73"/>
      <c r="HW619" s="73"/>
      <c r="HX619" s="73"/>
      <c r="HY619" s="73"/>
      <c r="HZ619" s="73"/>
      <c r="IA619" s="73"/>
      <c r="IB619" s="73"/>
      <c r="IC619" s="73"/>
      <c r="ID619" s="73"/>
      <c r="IE619" s="73"/>
      <c r="IF619" s="73"/>
      <c r="IG619" s="73"/>
      <c r="IH619" s="73"/>
      <c r="II619" s="73"/>
      <c r="IJ619" s="73"/>
      <c r="IK619" s="73"/>
      <c r="IL619" s="73"/>
      <c r="IM619" s="73"/>
      <c r="IN619" s="73"/>
      <c r="IO619" s="73"/>
      <c r="IP619" s="73"/>
      <c r="IQ619" s="73"/>
      <c r="IR619" s="73"/>
      <c r="IS619" s="73"/>
      <c r="IT619" s="73"/>
      <c r="IU619" s="73"/>
      <c r="IV619" s="73"/>
      <c r="IW619" s="73"/>
      <c r="IX619" s="73"/>
      <c r="IY619" s="73"/>
      <c r="IZ619" s="73"/>
      <c r="JA619" s="73"/>
      <c r="JB619" s="73"/>
      <c r="JC619" s="73"/>
    </row>
    <row r="620" spans="2:263" s="72" customFormat="1">
      <c r="B620" s="73"/>
      <c r="C620" s="73"/>
      <c r="D620" s="73"/>
      <c r="E620" s="73"/>
      <c r="F620" s="73"/>
      <c r="G620" s="73"/>
      <c r="H620" s="73"/>
      <c r="I620" s="73"/>
      <c r="J620" s="73"/>
      <c r="K620" s="73"/>
      <c r="L620" s="73"/>
      <c r="M620" s="73"/>
      <c r="N620" s="73"/>
      <c r="O620" s="73"/>
      <c r="P620" s="73"/>
      <c r="Q620" s="73"/>
      <c r="R620" s="73"/>
      <c r="S620" s="73"/>
      <c r="T620" s="73"/>
      <c r="U620" s="73"/>
      <c r="V620" s="73"/>
      <c r="W620" s="73"/>
      <c r="GL620" s="73"/>
      <c r="GM620" s="73"/>
      <c r="GN620" s="73"/>
      <c r="GO620" s="73"/>
      <c r="GP620" s="73"/>
      <c r="GQ620" s="73"/>
      <c r="GR620" s="73"/>
      <c r="GS620" s="73"/>
      <c r="GT620" s="73"/>
      <c r="GU620" s="73"/>
      <c r="GV620" s="73"/>
      <c r="GW620" s="73"/>
      <c r="GX620" s="73"/>
      <c r="GY620" s="73"/>
      <c r="GZ620" s="73"/>
      <c r="HA620" s="73"/>
      <c r="HB620" s="73"/>
      <c r="HC620" s="73"/>
      <c r="HD620" s="73"/>
      <c r="HE620" s="73"/>
      <c r="HF620" s="73"/>
      <c r="HG620" s="73"/>
      <c r="HH620" s="73"/>
      <c r="HI620" s="73"/>
      <c r="HJ620" s="73"/>
      <c r="HK620" s="73"/>
      <c r="HL620" s="73"/>
      <c r="HM620" s="73"/>
      <c r="HN620" s="73"/>
      <c r="HO620" s="73"/>
      <c r="HP620" s="73"/>
      <c r="HQ620" s="73"/>
      <c r="HR620" s="73"/>
      <c r="HS620" s="73"/>
      <c r="HT620" s="73"/>
      <c r="HU620" s="73"/>
      <c r="HV620" s="73"/>
      <c r="HW620" s="73"/>
      <c r="HX620" s="73"/>
      <c r="HY620" s="73"/>
      <c r="HZ620" s="73"/>
      <c r="IA620" s="73"/>
      <c r="IB620" s="73"/>
      <c r="IC620" s="73"/>
      <c r="ID620" s="73"/>
      <c r="IE620" s="73"/>
      <c r="IF620" s="73"/>
      <c r="IG620" s="73"/>
      <c r="IH620" s="73"/>
      <c r="II620" s="73"/>
      <c r="IJ620" s="73"/>
      <c r="IK620" s="73"/>
      <c r="IL620" s="73"/>
      <c r="IM620" s="73"/>
      <c r="IN620" s="73"/>
      <c r="IO620" s="73"/>
      <c r="IP620" s="73"/>
      <c r="IQ620" s="73"/>
      <c r="IR620" s="73"/>
      <c r="IS620" s="73"/>
      <c r="IT620" s="73"/>
      <c r="IU620" s="73"/>
      <c r="IV620" s="73"/>
      <c r="IW620" s="73"/>
      <c r="IX620" s="73"/>
      <c r="IY620" s="73"/>
      <c r="IZ620" s="73"/>
      <c r="JA620" s="73"/>
      <c r="JB620" s="73"/>
      <c r="JC620" s="73"/>
    </row>
    <row r="621" spans="2:263" s="72" customFormat="1">
      <c r="B621" s="73"/>
      <c r="C621" s="73"/>
      <c r="D621" s="73"/>
      <c r="E621" s="73"/>
      <c r="F621" s="73"/>
      <c r="G621" s="73"/>
      <c r="H621" s="73"/>
      <c r="I621" s="73"/>
      <c r="J621" s="73"/>
      <c r="K621" s="73"/>
      <c r="L621" s="73"/>
      <c r="M621" s="73"/>
      <c r="N621" s="73"/>
      <c r="O621" s="73"/>
      <c r="P621" s="73"/>
      <c r="Q621" s="73"/>
      <c r="R621" s="73"/>
      <c r="S621" s="73"/>
      <c r="T621" s="73"/>
      <c r="U621" s="73"/>
      <c r="V621" s="73"/>
      <c r="W621" s="73"/>
      <c r="GL621" s="73"/>
      <c r="GM621" s="73"/>
      <c r="GN621" s="73"/>
      <c r="GO621" s="73"/>
      <c r="GP621" s="73"/>
      <c r="GQ621" s="73"/>
      <c r="GR621" s="73"/>
      <c r="GS621" s="73"/>
      <c r="GT621" s="73"/>
      <c r="GU621" s="73"/>
      <c r="GV621" s="73"/>
      <c r="GW621" s="73"/>
      <c r="GX621" s="73"/>
      <c r="GY621" s="73"/>
      <c r="GZ621" s="73"/>
      <c r="HA621" s="73"/>
      <c r="HB621" s="73"/>
      <c r="HC621" s="73"/>
      <c r="HD621" s="73"/>
      <c r="HE621" s="73"/>
      <c r="HF621" s="73"/>
      <c r="HG621" s="73"/>
      <c r="HH621" s="73"/>
      <c r="HI621" s="73"/>
      <c r="HJ621" s="73"/>
      <c r="HK621" s="73"/>
      <c r="HL621" s="73"/>
      <c r="HM621" s="73"/>
      <c r="HN621" s="73"/>
      <c r="HO621" s="73"/>
      <c r="HP621" s="73"/>
      <c r="HQ621" s="73"/>
      <c r="HR621" s="73"/>
      <c r="HS621" s="73"/>
      <c r="HT621" s="73"/>
      <c r="HU621" s="73"/>
      <c r="HV621" s="73"/>
      <c r="HW621" s="73"/>
      <c r="HX621" s="73"/>
      <c r="HY621" s="73"/>
      <c r="HZ621" s="73"/>
      <c r="IA621" s="73"/>
      <c r="IB621" s="73"/>
      <c r="IC621" s="73"/>
      <c r="ID621" s="73"/>
      <c r="IE621" s="73"/>
      <c r="IF621" s="73"/>
      <c r="IG621" s="73"/>
      <c r="IH621" s="73"/>
      <c r="II621" s="73"/>
      <c r="IJ621" s="73"/>
      <c r="IK621" s="73"/>
      <c r="IL621" s="73"/>
      <c r="IM621" s="73"/>
      <c r="IN621" s="73"/>
      <c r="IO621" s="73"/>
      <c r="IP621" s="73"/>
      <c r="IQ621" s="73"/>
      <c r="IR621" s="73"/>
      <c r="IS621" s="73"/>
      <c r="IT621" s="73"/>
      <c r="IU621" s="73"/>
      <c r="IV621" s="73"/>
      <c r="IW621" s="73"/>
      <c r="IX621" s="73"/>
      <c r="IY621" s="73"/>
      <c r="IZ621" s="73"/>
      <c r="JA621" s="73"/>
      <c r="JB621" s="73"/>
      <c r="JC621" s="73"/>
    </row>
    <row r="622" spans="2:263" s="72" customFormat="1">
      <c r="B622" s="73"/>
      <c r="C622" s="73"/>
      <c r="D622" s="73"/>
      <c r="E622" s="73"/>
      <c r="F622" s="73"/>
      <c r="G622" s="73"/>
      <c r="H622" s="73"/>
      <c r="I622" s="73"/>
      <c r="J622" s="73"/>
      <c r="K622" s="73"/>
      <c r="L622" s="73"/>
      <c r="M622" s="73"/>
      <c r="N622" s="73"/>
      <c r="O622" s="73"/>
      <c r="P622" s="73"/>
      <c r="Q622" s="73"/>
      <c r="R622" s="73"/>
      <c r="S622" s="73"/>
      <c r="T622" s="73"/>
      <c r="U622" s="73"/>
      <c r="V622" s="73"/>
      <c r="W622" s="73"/>
      <c r="GL622" s="73"/>
      <c r="GM622" s="73"/>
      <c r="GN622" s="73"/>
      <c r="GO622" s="73"/>
      <c r="GP622" s="73"/>
      <c r="GQ622" s="73"/>
      <c r="GR622" s="73"/>
      <c r="GS622" s="73"/>
      <c r="GT622" s="73"/>
      <c r="GU622" s="73"/>
      <c r="GV622" s="73"/>
      <c r="GW622" s="73"/>
      <c r="GX622" s="73"/>
      <c r="GY622" s="73"/>
      <c r="GZ622" s="73"/>
      <c r="HA622" s="73"/>
      <c r="HB622" s="73"/>
      <c r="HC622" s="73"/>
      <c r="HD622" s="73"/>
      <c r="HE622" s="73"/>
      <c r="HF622" s="73"/>
      <c r="HG622" s="73"/>
      <c r="HH622" s="73"/>
      <c r="HI622" s="73"/>
      <c r="HJ622" s="73"/>
      <c r="HK622" s="73"/>
      <c r="HL622" s="73"/>
      <c r="HM622" s="73"/>
      <c r="HN622" s="73"/>
      <c r="HO622" s="73"/>
      <c r="HP622" s="73"/>
      <c r="HQ622" s="73"/>
      <c r="HR622" s="73"/>
      <c r="HS622" s="73"/>
      <c r="HT622" s="73"/>
      <c r="HU622" s="73"/>
      <c r="HV622" s="73"/>
      <c r="HW622" s="73"/>
      <c r="HX622" s="73"/>
      <c r="HY622" s="73"/>
      <c r="HZ622" s="73"/>
      <c r="IA622" s="73"/>
      <c r="IB622" s="73"/>
      <c r="IC622" s="73"/>
      <c r="ID622" s="73"/>
      <c r="IE622" s="73"/>
      <c r="IF622" s="73"/>
      <c r="IG622" s="73"/>
      <c r="IH622" s="73"/>
      <c r="II622" s="73"/>
      <c r="IJ622" s="73"/>
      <c r="IK622" s="73"/>
      <c r="IL622" s="73"/>
      <c r="IM622" s="73"/>
      <c r="IN622" s="73"/>
      <c r="IO622" s="73"/>
      <c r="IP622" s="73"/>
      <c r="IQ622" s="73"/>
      <c r="IR622" s="73"/>
      <c r="IS622" s="73"/>
      <c r="IT622" s="73"/>
      <c r="IU622" s="73"/>
      <c r="IV622" s="73"/>
      <c r="IW622" s="73"/>
      <c r="IX622" s="73"/>
      <c r="IY622" s="73"/>
      <c r="IZ622" s="73"/>
      <c r="JA622" s="73"/>
      <c r="JB622" s="73"/>
      <c r="JC622" s="73"/>
    </row>
    <row r="623" spans="2:263" s="72" customFormat="1">
      <c r="B623" s="73"/>
      <c r="C623" s="73"/>
      <c r="D623" s="73"/>
      <c r="E623" s="73"/>
      <c r="F623" s="73"/>
      <c r="G623" s="73"/>
      <c r="H623" s="73"/>
      <c r="I623" s="73"/>
      <c r="J623" s="73"/>
      <c r="K623" s="73"/>
      <c r="L623" s="73"/>
      <c r="M623" s="73"/>
      <c r="N623" s="73"/>
      <c r="O623" s="73"/>
      <c r="P623" s="73"/>
      <c r="Q623" s="73"/>
      <c r="R623" s="73"/>
      <c r="S623" s="73"/>
      <c r="T623" s="73"/>
      <c r="U623" s="73"/>
      <c r="V623" s="73"/>
      <c r="W623" s="73"/>
      <c r="GL623" s="73"/>
      <c r="GM623" s="73"/>
      <c r="GN623" s="73"/>
      <c r="GO623" s="73"/>
      <c r="GP623" s="73"/>
      <c r="GQ623" s="73"/>
      <c r="GR623" s="73"/>
      <c r="GS623" s="73"/>
      <c r="GT623" s="73"/>
      <c r="GU623" s="73"/>
      <c r="GV623" s="73"/>
      <c r="GW623" s="73"/>
      <c r="GX623" s="73"/>
      <c r="GY623" s="73"/>
      <c r="GZ623" s="73"/>
      <c r="HA623" s="73"/>
      <c r="HB623" s="73"/>
      <c r="HC623" s="73"/>
      <c r="HD623" s="73"/>
      <c r="HE623" s="73"/>
      <c r="HF623" s="73"/>
      <c r="HG623" s="73"/>
      <c r="HH623" s="73"/>
      <c r="HI623" s="73"/>
      <c r="HJ623" s="73"/>
      <c r="HK623" s="73"/>
      <c r="HL623" s="73"/>
      <c r="HM623" s="73"/>
      <c r="HN623" s="73"/>
      <c r="HO623" s="73"/>
      <c r="HP623" s="73"/>
      <c r="HQ623" s="73"/>
      <c r="HR623" s="73"/>
      <c r="HS623" s="73"/>
      <c r="HT623" s="73"/>
      <c r="HU623" s="73"/>
      <c r="HV623" s="73"/>
      <c r="HW623" s="73"/>
      <c r="HX623" s="73"/>
      <c r="HY623" s="73"/>
      <c r="HZ623" s="73"/>
      <c r="IA623" s="73"/>
      <c r="IB623" s="73"/>
      <c r="IC623" s="73"/>
      <c r="ID623" s="73"/>
      <c r="IE623" s="73"/>
      <c r="IF623" s="73"/>
      <c r="IG623" s="73"/>
      <c r="IH623" s="73"/>
      <c r="II623" s="73"/>
      <c r="IJ623" s="73"/>
      <c r="IK623" s="73"/>
      <c r="IL623" s="73"/>
      <c r="IM623" s="73"/>
      <c r="IN623" s="73"/>
      <c r="IO623" s="73"/>
      <c r="IP623" s="73"/>
      <c r="IQ623" s="73"/>
      <c r="IR623" s="73"/>
      <c r="IS623" s="73"/>
      <c r="IT623" s="73"/>
      <c r="IU623" s="73"/>
      <c r="IV623" s="73"/>
      <c r="IW623" s="73"/>
      <c r="IX623" s="73"/>
      <c r="IY623" s="73"/>
      <c r="IZ623" s="73"/>
      <c r="JA623" s="73"/>
      <c r="JB623" s="73"/>
      <c r="JC623" s="73"/>
    </row>
    <row r="624" spans="2:263" s="72" customFormat="1">
      <c r="B624" s="73"/>
      <c r="C624" s="73"/>
      <c r="D624" s="73"/>
      <c r="E624" s="73"/>
      <c r="F624" s="73"/>
      <c r="G624" s="73"/>
      <c r="H624" s="73"/>
      <c r="I624" s="73"/>
      <c r="J624" s="73"/>
      <c r="K624" s="73"/>
      <c r="L624" s="73"/>
      <c r="M624" s="73"/>
      <c r="N624" s="73"/>
      <c r="O624" s="73"/>
      <c r="P624" s="73"/>
      <c r="Q624" s="73"/>
      <c r="R624" s="73"/>
      <c r="S624" s="73"/>
      <c r="T624" s="73"/>
      <c r="U624" s="73"/>
      <c r="V624" s="73"/>
      <c r="W624" s="73"/>
      <c r="GL624" s="73"/>
      <c r="GM624" s="73"/>
      <c r="GN624" s="73"/>
      <c r="GO624" s="73"/>
      <c r="GP624" s="73"/>
      <c r="GQ624" s="73"/>
      <c r="GR624" s="73"/>
      <c r="GS624" s="73"/>
      <c r="GT624" s="73"/>
      <c r="GU624" s="73"/>
      <c r="GV624" s="73"/>
      <c r="GW624" s="73"/>
      <c r="GX624" s="73"/>
      <c r="GY624" s="73"/>
      <c r="GZ624" s="73"/>
      <c r="HA624" s="73"/>
      <c r="HB624" s="73"/>
      <c r="HC624" s="73"/>
      <c r="HD624" s="73"/>
      <c r="HE624" s="73"/>
      <c r="HF624" s="73"/>
      <c r="HG624" s="73"/>
      <c r="HH624" s="73"/>
      <c r="HI624" s="73"/>
      <c r="HJ624" s="73"/>
      <c r="HK624" s="73"/>
      <c r="HL624" s="73"/>
      <c r="HM624" s="73"/>
      <c r="HN624" s="73"/>
      <c r="HO624" s="73"/>
      <c r="HP624" s="73"/>
      <c r="HQ624" s="73"/>
      <c r="HR624" s="73"/>
      <c r="HS624" s="73"/>
      <c r="HT624" s="73"/>
      <c r="HU624" s="73"/>
      <c r="HV624" s="73"/>
      <c r="HW624" s="73"/>
      <c r="HX624" s="73"/>
      <c r="HY624" s="73"/>
      <c r="HZ624" s="73"/>
      <c r="IA624" s="73"/>
      <c r="IB624" s="73"/>
      <c r="IC624" s="73"/>
      <c r="ID624" s="73"/>
      <c r="IE624" s="73"/>
      <c r="IF624" s="73"/>
      <c r="IG624" s="73"/>
      <c r="IH624" s="73"/>
      <c r="II624" s="73"/>
      <c r="IJ624" s="73"/>
      <c r="IK624" s="73"/>
      <c r="IL624" s="73"/>
      <c r="IM624" s="73"/>
      <c r="IN624" s="73"/>
      <c r="IO624" s="73"/>
      <c r="IP624" s="73"/>
      <c r="IQ624" s="73"/>
      <c r="IR624" s="73"/>
      <c r="IS624" s="73"/>
      <c r="IT624" s="73"/>
      <c r="IU624" s="73"/>
      <c r="IV624" s="73"/>
      <c r="IW624" s="73"/>
      <c r="IX624" s="73"/>
      <c r="IY624" s="73"/>
      <c r="IZ624" s="73"/>
      <c r="JA624" s="73"/>
      <c r="JB624" s="73"/>
      <c r="JC624" s="73"/>
    </row>
    <row r="625" spans="2:263" s="72" customFormat="1">
      <c r="B625" s="73"/>
      <c r="C625" s="73"/>
      <c r="D625" s="73"/>
      <c r="E625" s="73"/>
      <c r="F625" s="73"/>
      <c r="G625" s="73"/>
      <c r="H625" s="73"/>
      <c r="I625" s="73"/>
      <c r="J625" s="73"/>
      <c r="K625" s="73"/>
      <c r="L625" s="73"/>
      <c r="M625" s="73"/>
      <c r="N625" s="73"/>
      <c r="O625" s="73"/>
      <c r="P625" s="73"/>
      <c r="Q625" s="73"/>
      <c r="R625" s="73"/>
      <c r="S625" s="73"/>
      <c r="T625" s="73"/>
      <c r="U625" s="73"/>
      <c r="V625" s="73"/>
      <c r="W625" s="73"/>
      <c r="GL625" s="73"/>
      <c r="GM625" s="73"/>
      <c r="GN625" s="73"/>
      <c r="GO625" s="73"/>
      <c r="GP625" s="73"/>
      <c r="GQ625" s="73"/>
      <c r="GR625" s="73"/>
      <c r="GS625" s="73"/>
      <c r="GT625" s="73"/>
      <c r="GU625" s="73"/>
      <c r="GV625" s="73"/>
      <c r="GW625" s="73"/>
      <c r="GX625" s="73"/>
      <c r="GY625" s="73"/>
      <c r="GZ625" s="73"/>
      <c r="HA625" s="73"/>
      <c r="HB625" s="73"/>
      <c r="HC625" s="73"/>
      <c r="HD625" s="73"/>
      <c r="HE625" s="73"/>
      <c r="HF625" s="73"/>
      <c r="HG625" s="73"/>
      <c r="HH625" s="73"/>
      <c r="HI625" s="73"/>
      <c r="HJ625" s="73"/>
      <c r="HK625" s="73"/>
      <c r="HL625" s="73"/>
      <c r="HM625" s="73"/>
      <c r="HN625" s="73"/>
      <c r="HO625" s="73"/>
      <c r="HP625" s="73"/>
      <c r="HQ625" s="73"/>
      <c r="HR625" s="73"/>
      <c r="HS625" s="73"/>
      <c r="HT625" s="73"/>
      <c r="HU625" s="73"/>
      <c r="HV625" s="73"/>
      <c r="HW625" s="73"/>
      <c r="HX625" s="73"/>
      <c r="HY625" s="73"/>
      <c r="HZ625" s="73"/>
      <c r="IA625" s="73"/>
      <c r="IB625" s="73"/>
      <c r="IC625" s="73"/>
      <c r="ID625" s="73"/>
      <c r="IE625" s="73"/>
      <c r="IF625" s="73"/>
      <c r="IG625" s="73"/>
      <c r="IH625" s="73"/>
      <c r="II625" s="73"/>
      <c r="IJ625" s="73"/>
      <c r="IK625" s="73"/>
      <c r="IL625" s="73"/>
      <c r="IM625" s="73"/>
      <c r="IN625" s="73"/>
      <c r="IO625" s="73"/>
      <c r="IP625" s="73"/>
      <c r="IQ625" s="73"/>
      <c r="IR625" s="73"/>
      <c r="IS625" s="73"/>
      <c r="IT625" s="73"/>
      <c r="IU625" s="73"/>
      <c r="IV625" s="73"/>
      <c r="IW625" s="73"/>
      <c r="IX625" s="73"/>
      <c r="IY625" s="73"/>
      <c r="IZ625" s="73"/>
      <c r="JA625" s="73"/>
      <c r="JB625" s="73"/>
      <c r="JC625" s="73"/>
    </row>
    <row r="626" spans="2:263" s="72" customFormat="1">
      <c r="B626" s="73"/>
      <c r="C626" s="73"/>
      <c r="D626" s="73"/>
      <c r="E626" s="73"/>
      <c r="F626" s="73"/>
      <c r="G626" s="73"/>
      <c r="H626" s="73"/>
      <c r="I626" s="73"/>
      <c r="J626" s="73"/>
      <c r="K626" s="73"/>
      <c r="L626" s="73"/>
      <c r="M626" s="73"/>
      <c r="N626" s="73"/>
      <c r="O626" s="73"/>
      <c r="P626" s="73"/>
      <c r="Q626" s="73"/>
      <c r="R626" s="73"/>
      <c r="S626" s="73"/>
      <c r="T626" s="73"/>
      <c r="U626" s="73"/>
      <c r="V626" s="73"/>
      <c r="W626" s="73"/>
      <c r="GL626" s="73"/>
      <c r="GM626" s="73"/>
      <c r="GN626" s="73"/>
      <c r="GO626" s="73"/>
      <c r="GP626" s="73"/>
      <c r="GQ626" s="73"/>
      <c r="GR626" s="73"/>
      <c r="GS626" s="73"/>
      <c r="GT626" s="73"/>
      <c r="GU626" s="73"/>
      <c r="GV626" s="73"/>
      <c r="GW626" s="73"/>
      <c r="GX626" s="73"/>
      <c r="GY626" s="73"/>
      <c r="GZ626" s="73"/>
      <c r="HA626" s="73"/>
      <c r="HB626" s="73"/>
      <c r="HC626" s="73"/>
      <c r="HD626" s="73"/>
      <c r="HE626" s="73"/>
      <c r="HF626" s="73"/>
      <c r="HG626" s="73"/>
      <c r="HH626" s="73"/>
      <c r="HI626" s="73"/>
      <c r="HJ626" s="73"/>
      <c r="HK626" s="73"/>
      <c r="HL626" s="73"/>
      <c r="HM626" s="73"/>
      <c r="HN626" s="73"/>
      <c r="HO626" s="73"/>
      <c r="HP626" s="73"/>
      <c r="HQ626" s="73"/>
      <c r="HR626" s="73"/>
      <c r="HS626" s="73"/>
      <c r="HT626" s="73"/>
      <c r="HU626" s="73"/>
      <c r="HV626" s="73"/>
      <c r="HW626" s="73"/>
      <c r="HX626" s="73"/>
      <c r="HY626" s="73"/>
      <c r="HZ626" s="73"/>
      <c r="IA626" s="73"/>
      <c r="IB626" s="73"/>
      <c r="IC626" s="73"/>
      <c r="ID626" s="73"/>
      <c r="IE626" s="73"/>
      <c r="IF626" s="73"/>
      <c r="IG626" s="73"/>
      <c r="IH626" s="73"/>
      <c r="II626" s="73"/>
      <c r="IJ626" s="73"/>
      <c r="IK626" s="73"/>
      <c r="IL626" s="73"/>
      <c r="IM626" s="73"/>
      <c r="IN626" s="73"/>
      <c r="IO626" s="73"/>
      <c r="IP626" s="73"/>
      <c r="IQ626" s="73"/>
      <c r="IR626" s="73"/>
      <c r="IS626" s="73"/>
      <c r="IT626" s="73"/>
      <c r="IU626" s="73"/>
      <c r="IV626" s="73"/>
      <c r="IW626" s="73"/>
      <c r="IX626" s="73"/>
      <c r="IY626" s="73"/>
      <c r="IZ626" s="73"/>
      <c r="JA626" s="73"/>
      <c r="JB626" s="73"/>
      <c r="JC626" s="73"/>
    </row>
    <row r="627" spans="2:263" s="72" customFormat="1">
      <c r="B627" s="73"/>
      <c r="C627" s="73"/>
      <c r="D627" s="73"/>
      <c r="E627" s="73"/>
      <c r="F627" s="73"/>
      <c r="G627" s="73"/>
      <c r="H627" s="73"/>
      <c r="I627" s="73"/>
      <c r="J627" s="73"/>
      <c r="K627" s="73"/>
      <c r="L627" s="73"/>
      <c r="M627" s="73"/>
      <c r="N627" s="73"/>
      <c r="O627" s="73"/>
      <c r="P627" s="73"/>
      <c r="Q627" s="73"/>
      <c r="R627" s="73"/>
      <c r="S627" s="73"/>
      <c r="T627" s="73"/>
      <c r="U627" s="73"/>
      <c r="V627" s="73"/>
      <c r="W627" s="73"/>
      <c r="GL627" s="73"/>
      <c r="GM627" s="73"/>
      <c r="GN627" s="73"/>
      <c r="GO627" s="73"/>
      <c r="GP627" s="73"/>
      <c r="GQ627" s="73"/>
      <c r="GR627" s="73"/>
      <c r="GS627" s="73"/>
      <c r="GT627" s="73"/>
      <c r="GU627" s="73"/>
      <c r="GV627" s="73"/>
      <c r="GW627" s="73"/>
      <c r="GX627" s="73"/>
      <c r="GY627" s="73"/>
      <c r="GZ627" s="73"/>
      <c r="HA627" s="73"/>
      <c r="HB627" s="73"/>
      <c r="HC627" s="73"/>
      <c r="HD627" s="73"/>
      <c r="HE627" s="73"/>
      <c r="HF627" s="73"/>
      <c r="HG627" s="73"/>
      <c r="HH627" s="73"/>
      <c r="HI627" s="73"/>
      <c r="HJ627" s="73"/>
      <c r="HK627" s="73"/>
      <c r="HL627" s="73"/>
      <c r="HM627" s="73"/>
      <c r="HN627" s="73"/>
      <c r="HO627" s="73"/>
      <c r="HP627" s="73"/>
      <c r="HQ627" s="73"/>
      <c r="HR627" s="73"/>
      <c r="HS627" s="73"/>
      <c r="HT627" s="73"/>
      <c r="HU627" s="73"/>
      <c r="HV627" s="73"/>
      <c r="HW627" s="73"/>
      <c r="HX627" s="73"/>
      <c r="HY627" s="73"/>
      <c r="HZ627" s="73"/>
      <c r="IA627" s="73"/>
      <c r="IB627" s="73"/>
      <c r="IC627" s="73"/>
      <c r="ID627" s="73"/>
      <c r="IE627" s="73"/>
      <c r="IF627" s="73"/>
      <c r="IG627" s="73"/>
      <c r="IH627" s="73"/>
      <c r="II627" s="73"/>
      <c r="IJ627" s="73"/>
      <c r="IK627" s="73"/>
      <c r="IL627" s="73"/>
      <c r="IM627" s="73"/>
      <c r="IN627" s="73"/>
      <c r="IO627" s="73"/>
      <c r="IP627" s="73"/>
      <c r="IQ627" s="73"/>
      <c r="IR627" s="73"/>
      <c r="IS627" s="73"/>
      <c r="IT627" s="73"/>
      <c r="IU627" s="73"/>
      <c r="IV627" s="73"/>
      <c r="IW627" s="73"/>
      <c r="IX627" s="73"/>
      <c r="IY627" s="73"/>
      <c r="IZ627" s="73"/>
      <c r="JA627" s="73"/>
      <c r="JB627" s="73"/>
      <c r="JC627" s="73"/>
    </row>
    <row r="628" spans="2:263" s="72" customFormat="1">
      <c r="B628" s="73"/>
      <c r="C628" s="73"/>
      <c r="D628" s="73"/>
      <c r="E628" s="73"/>
      <c r="F628" s="73"/>
      <c r="G628" s="73"/>
      <c r="H628" s="73"/>
      <c r="I628" s="73"/>
      <c r="J628" s="73"/>
      <c r="K628" s="73"/>
      <c r="L628" s="73"/>
      <c r="M628" s="73"/>
      <c r="N628" s="73"/>
      <c r="O628" s="73"/>
      <c r="P628" s="73"/>
      <c r="Q628" s="73"/>
      <c r="R628" s="73"/>
      <c r="S628" s="73"/>
      <c r="T628" s="73"/>
      <c r="U628" s="73"/>
      <c r="V628" s="73"/>
      <c r="W628" s="73"/>
      <c r="GL628" s="73"/>
      <c r="GM628" s="73"/>
      <c r="GN628" s="73"/>
      <c r="GO628" s="73"/>
      <c r="GP628" s="73"/>
      <c r="GQ628" s="73"/>
      <c r="GR628" s="73"/>
      <c r="GS628" s="73"/>
      <c r="GT628" s="73"/>
      <c r="GU628" s="73"/>
      <c r="GV628" s="73"/>
      <c r="GW628" s="73"/>
      <c r="GX628" s="73"/>
      <c r="GY628" s="73"/>
      <c r="GZ628" s="73"/>
      <c r="HA628" s="73"/>
      <c r="HB628" s="73"/>
      <c r="HC628" s="73"/>
      <c r="HD628" s="73"/>
      <c r="HE628" s="73"/>
      <c r="HF628" s="73"/>
      <c r="HG628" s="73"/>
      <c r="HH628" s="73"/>
      <c r="HI628" s="73"/>
      <c r="HJ628" s="73"/>
      <c r="HK628" s="73"/>
      <c r="HL628" s="73"/>
      <c r="HM628" s="73"/>
      <c r="HN628" s="73"/>
      <c r="HO628" s="73"/>
      <c r="HP628" s="73"/>
      <c r="HQ628" s="73"/>
      <c r="HR628" s="73"/>
      <c r="HS628" s="73"/>
      <c r="HT628" s="73"/>
      <c r="HU628" s="73"/>
      <c r="HV628" s="73"/>
      <c r="HW628" s="73"/>
      <c r="HX628" s="73"/>
      <c r="HY628" s="73"/>
      <c r="HZ628" s="73"/>
      <c r="IA628" s="73"/>
      <c r="IB628" s="73"/>
      <c r="IC628" s="73"/>
      <c r="ID628" s="73"/>
      <c r="IE628" s="73"/>
      <c r="IF628" s="73"/>
      <c r="IG628" s="73"/>
      <c r="IH628" s="73"/>
      <c r="II628" s="73"/>
      <c r="IJ628" s="73"/>
      <c r="IK628" s="73"/>
      <c r="IL628" s="73"/>
      <c r="IM628" s="73"/>
      <c r="IN628" s="73"/>
      <c r="IO628" s="73"/>
      <c r="IP628" s="73"/>
      <c r="IQ628" s="73"/>
      <c r="IR628" s="73"/>
      <c r="IS628" s="73"/>
      <c r="IT628" s="73"/>
      <c r="IU628" s="73"/>
      <c r="IV628" s="73"/>
      <c r="IW628" s="73"/>
      <c r="IX628" s="73"/>
      <c r="IY628" s="73"/>
      <c r="IZ628" s="73"/>
      <c r="JA628" s="73"/>
      <c r="JB628" s="73"/>
      <c r="JC628" s="73"/>
    </row>
    <row r="629" spans="2:263" s="72" customFormat="1">
      <c r="B629" s="73"/>
      <c r="C629" s="73"/>
      <c r="D629" s="73"/>
      <c r="E629" s="73"/>
      <c r="F629" s="73"/>
      <c r="G629" s="73"/>
      <c r="H629" s="73"/>
      <c r="I629" s="73"/>
      <c r="J629" s="73"/>
      <c r="K629" s="73"/>
      <c r="L629" s="73"/>
      <c r="M629" s="73"/>
      <c r="N629" s="73"/>
      <c r="O629" s="73"/>
      <c r="P629" s="73"/>
      <c r="Q629" s="73"/>
      <c r="R629" s="73"/>
      <c r="S629" s="73"/>
      <c r="T629" s="73"/>
      <c r="U629" s="73"/>
      <c r="V629" s="73"/>
      <c r="W629" s="73"/>
      <c r="GL629" s="73"/>
      <c r="GM629" s="73"/>
      <c r="GN629" s="73"/>
      <c r="GO629" s="73"/>
      <c r="GP629" s="73"/>
      <c r="GQ629" s="73"/>
      <c r="GR629" s="73"/>
      <c r="GS629" s="73"/>
      <c r="GT629" s="73"/>
      <c r="GU629" s="73"/>
      <c r="GV629" s="73"/>
      <c r="GW629" s="73"/>
      <c r="GX629" s="73"/>
      <c r="GY629" s="73"/>
      <c r="GZ629" s="73"/>
      <c r="HA629" s="73"/>
      <c r="HB629" s="73"/>
      <c r="HC629" s="73"/>
      <c r="HD629" s="73"/>
      <c r="HE629" s="73"/>
      <c r="HF629" s="73"/>
      <c r="HG629" s="73"/>
      <c r="HH629" s="73"/>
      <c r="HI629" s="73"/>
      <c r="HJ629" s="73"/>
      <c r="HK629" s="73"/>
      <c r="HL629" s="73"/>
      <c r="HM629" s="73"/>
      <c r="HN629" s="73"/>
      <c r="HO629" s="73"/>
      <c r="HP629" s="73"/>
      <c r="HQ629" s="73"/>
      <c r="HR629" s="73"/>
      <c r="HS629" s="73"/>
      <c r="HT629" s="73"/>
      <c r="HU629" s="73"/>
      <c r="HV629" s="73"/>
      <c r="HW629" s="73"/>
      <c r="HX629" s="73"/>
      <c r="HY629" s="73"/>
      <c r="HZ629" s="73"/>
      <c r="IA629" s="73"/>
      <c r="IB629" s="73"/>
      <c r="IC629" s="73"/>
      <c r="ID629" s="73"/>
      <c r="IE629" s="73"/>
      <c r="IF629" s="73"/>
      <c r="IG629" s="73"/>
      <c r="IH629" s="73"/>
      <c r="II629" s="73"/>
      <c r="IJ629" s="73"/>
      <c r="IK629" s="73"/>
      <c r="IL629" s="73"/>
      <c r="IM629" s="73"/>
      <c r="IN629" s="73"/>
      <c r="IO629" s="73"/>
      <c r="IP629" s="73"/>
      <c r="IQ629" s="73"/>
      <c r="IR629" s="73"/>
      <c r="IS629" s="73"/>
      <c r="IT629" s="73"/>
      <c r="IU629" s="73"/>
      <c r="IV629" s="73"/>
      <c r="IW629" s="73"/>
      <c r="IX629" s="73"/>
      <c r="IY629" s="73"/>
      <c r="IZ629" s="73"/>
      <c r="JA629" s="73"/>
      <c r="JB629" s="73"/>
      <c r="JC629" s="73"/>
    </row>
    <row r="630" spans="2:263" s="72" customFormat="1">
      <c r="B630" s="73"/>
      <c r="C630" s="73"/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  <c r="R630" s="73"/>
      <c r="S630" s="73"/>
      <c r="T630" s="73"/>
      <c r="U630" s="73"/>
      <c r="V630" s="73"/>
      <c r="W630" s="73"/>
      <c r="GL630" s="73"/>
      <c r="GM630" s="73"/>
      <c r="GN630" s="73"/>
      <c r="GO630" s="73"/>
      <c r="GP630" s="73"/>
      <c r="GQ630" s="73"/>
      <c r="GR630" s="73"/>
      <c r="GS630" s="73"/>
      <c r="GT630" s="73"/>
      <c r="GU630" s="73"/>
      <c r="GV630" s="73"/>
      <c r="GW630" s="73"/>
      <c r="GX630" s="73"/>
      <c r="GY630" s="73"/>
      <c r="GZ630" s="73"/>
      <c r="HA630" s="73"/>
      <c r="HB630" s="73"/>
      <c r="HC630" s="73"/>
      <c r="HD630" s="73"/>
      <c r="HE630" s="73"/>
      <c r="HF630" s="73"/>
      <c r="HG630" s="73"/>
      <c r="HH630" s="73"/>
      <c r="HI630" s="73"/>
      <c r="HJ630" s="73"/>
      <c r="HK630" s="73"/>
      <c r="HL630" s="73"/>
      <c r="HM630" s="73"/>
      <c r="HN630" s="73"/>
      <c r="HO630" s="73"/>
      <c r="HP630" s="73"/>
      <c r="HQ630" s="73"/>
      <c r="HR630" s="73"/>
      <c r="HS630" s="73"/>
      <c r="HT630" s="73"/>
      <c r="HU630" s="73"/>
      <c r="HV630" s="73"/>
      <c r="HW630" s="73"/>
      <c r="HX630" s="73"/>
      <c r="HY630" s="73"/>
      <c r="HZ630" s="73"/>
      <c r="IA630" s="73"/>
      <c r="IB630" s="73"/>
      <c r="IC630" s="73"/>
      <c r="ID630" s="73"/>
      <c r="IE630" s="73"/>
      <c r="IF630" s="73"/>
      <c r="IG630" s="73"/>
      <c r="IH630" s="73"/>
      <c r="II630" s="73"/>
      <c r="IJ630" s="73"/>
      <c r="IK630" s="73"/>
      <c r="IL630" s="73"/>
      <c r="IM630" s="73"/>
      <c r="IN630" s="73"/>
      <c r="IO630" s="73"/>
      <c r="IP630" s="73"/>
      <c r="IQ630" s="73"/>
      <c r="IR630" s="73"/>
      <c r="IS630" s="73"/>
      <c r="IT630" s="73"/>
      <c r="IU630" s="73"/>
      <c r="IV630" s="73"/>
      <c r="IW630" s="73"/>
      <c r="IX630" s="73"/>
      <c r="IY630" s="73"/>
      <c r="IZ630" s="73"/>
      <c r="JA630" s="73"/>
      <c r="JB630" s="73"/>
      <c r="JC630" s="73"/>
    </row>
    <row r="631" spans="2:263" s="72" customFormat="1">
      <c r="B631" s="73"/>
      <c r="C631" s="73"/>
      <c r="D631" s="73"/>
      <c r="E631" s="73"/>
      <c r="F631" s="73"/>
      <c r="G631" s="73"/>
      <c r="H631" s="73"/>
      <c r="I631" s="73"/>
      <c r="J631" s="73"/>
      <c r="K631" s="73"/>
      <c r="L631" s="73"/>
      <c r="M631" s="73"/>
      <c r="N631" s="73"/>
      <c r="O631" s="73"/>
      <c r="P631" s="73"/>
      <c r="Q631" s="73"/>
      <c r="R631" s="73"/>
      <c r="S631" s="73"/>
      <c r="T631" s="73"/>
      <c r="U631" s="73"/>
      <c r="V631" s="73"/>
      <c r="W631" s="73"/>
      <c r="GL631" s="73"/>
      <c r="GM631" s="73"/>
      <c r="GN631" s="73"/>
      <c r="GO631" s="73"/>
      <c r="GP631" s="73"/>
      <c r="GQ631" s="73"/>
      <c r="GR631" s="73"/>
      <c r="GS631" s="73"/>
      <c r="GT631" s="73"/>
      <c r="GU631" s="73"/>
      <c r="GV631" s="73"/>
      <c r="GW631" s="73"/>
      <c r="GX631" s="73"/>
      <c r="GY631" s="73"/>
      <c r="GZ631" s="73"/>
      <c r="HA631" s="73"/>
      <c r="HB631" s="73"/>
      <c r="HC631" s="73"/>
      <c r="HD631" s="73"/>
      <c r="HE631" s="73"/>
      <c r="HF631" s="73"/>
      <c r="HG631" s="73"/>
      <c r="HH631" s="73"/>
      <c r="HI631" s="73"/>
      <c r="HJ631" s="73"/>
      <c r="HK631" s="73"/>
      <c r="HL631" s="73"/>
      <c r="HM631" s="73"/>
      <c r="HN631" s="73"/>
      <c r="HO631" s="73"/>
      <c r="HP631" s="73"/>
      <c r="HQ631" s="73"/>
      <c r="HR631" s="73"/>
      <c r="HS631" s="73"/>
      <c r="HT631" s="73"/>
      <c r="HU631" s="73"/>
      <c r="HV631" s="73"/>
      <c r="HW631" s="73"/>
      <c r="HX631" s="73"/>
      <c r="HY631" s="73"/>
      <c r="HZ631" s="73"/>
      <c r="IA631" s="73"/>
      <c r="IB631" s="73"/>
      <c r="IC631" s="73"/>
      <c r="ID631" s="73"/>
      <c r="IE631" s="73"/>
      <c r="IF631" s="73"/>
      <c r="IG631" s="73"/>
      <c r="IH631" s="73"/>
      <c r="II631" s="73"/>
      <c r="IJ631" s="73"/>
      <c r="IK631" s="73"/>
      <c r="IL631" s="73"/>
      <c r="IM631" s="73"/>
      <c r="IN631" s="73"/>
      <c r="IO631" s="73"/>
      <c r="IP631" s="73"/>
      <c r="IQ631" s="73"/>
      <c r="IR631" s="73"/>
      <c r="IS631" s="73"/>
      <c r="IT631" s="73"/>
      <c r="IU631" s="73"/>
      <c r="IV631" s="73"/>
      <c r="IW631" s="73"/>
      <c r="IX631" s="73"/>
      <c r="IY631" s="73"/>
      <c r="IZ631" s="73"/>
      <c r="JA631" s="73"/>
      <c r="JB631" s="73"/>
      <c r="JC631" s="73"/>
    </row>
    <row r="632" spans="2:263" s="72" customFormat="1">
      <c r="B632" s="73"/>
      <c r="C632" s="73"/>
      <c r="D632" s="73"/>
      <c r="E632" s="73"/>
      <c r="F632" s="73"/>
      <c r="G632" s="73"/>
      <c r="H632" s="73"/>
      <c r="I632" s="73"/>
      <c r="J632" s="73"/>
      <c r="K632" s="73"/>
      <c r="L632" s="73"/>
      <c r="M632" s="73"/>
      <c r="N632" s="73"/>
      <c r="O632" s="73"/>
      <c r="P632" s="73"/>
      <c r="Q632" s="73"/>
      <c r="R632" s="73"/>
      <c r="S632" s="73"/>
      <c r="T632" s="73"/>
      <c r="U632" s="73"/>
      <c r="V632" s="73"/>
      <c r="W632" s="73"/>
      <c r="GL632" s="73"/>
      <c r="GM632" s="73"/>
      <c r="GN632" s="73"/>
      <c r="GO632" s="73"/>
      <c r="GP632" s="73"/>
      <c r="GQ632" s="73"/>
      <c r="GR632" s="73"/>
      <c r="GS632" s="73"/>
      <c r="GT632" s="73"/>
      <c r="GU632" s="73"/>
      <c r="GV632" s="73"/>
      <c r="GW632" s="73"/>
      <c r="GX632" s="73"/>
      <c r="GY632" s="73"/>
      <c r="GZ632" s="73"/>
      <c r="HA632" s="73"/>
      <c r="HB632" s="73"/>
      <c r="HC632" s="73"/>
      <c r="HD632" s="73"/>
      <c r="HE632" s="73"/>
      <c r="HF632" s="73"/>
      <c r="HG632" s="73"/>
      <c r="HH632" s="73"/>
      <c r="HI632" s="73"/>
      <c r="HJ632" s="73"/>
      <c r="HK632" s="73"/>
      <c r="HL632" s="73"/>
      <c r="HM632" s="73"/>
      <c r="HN632" s="73"/>
      <c r="HO632" s="73"/>
      <c r="HP632" s="73"/>
      <c r="HQ632" s="73"/>
      <c r="HR632" s="73"/>
      <c r="HS632" s="73"/>
      <c r="HT632" s="73"/>
      <c r="HU632" s="73"/>
      <c r="HV632" s="73"/>
      <c r="HW632" s="73"/>
      <c r="HX632" s="73"/>
      <c r="HY632" s="73"/>
      <c r="HZ632" s="73"/>
      <c r="IA632" s="73"/>
      <c r="IB632" s="73"/>
      <c r="IC632" s="73"/>
      <c r="ID632" s="73"/>
      <c r="IE632" s="73"/>
      <c r="IF632" s="73"/>
      <c r="IG632" s="73"/>
      <c r="IH632" s="73"/>
      <c r="II632" s="73"/>
      <c r="IJ632" s="73"/>
      <c r="IK632" s="73"/>
      <c r="IL632" s="73"/>
      <c r="IM632" s="73"/>
      <c r="IN632" s="73"/>
      <c r="IO632" s="73"/>
      <c r="IP632" s="73"/>
      <c r="IQ632" s="73"/>
      <c r="IR632" s="73"/>
      <c r="IS632" s="73"/>
      <c r="IT632" s="73"/>
      <c r="IU632" s="73"/>
      <c r="IV632" s="73"/>
      <c r="IW632" s="73"/>
      <c r="IX632" s="73"/>
      <c r="IY632" s="73"/>
      <c r="IZ632" s="73"/>
      <c r="JA632" s="73"/>
      <c r="JB632" s="73"/>
      <c r="JC632" s="73"/>
    </row>
    <row r="633" spans="2:263" s="72" customFormat="1">
      <c r="B633" s="73"/>
      <c r="C633" s="73"/>
      <c r="D633" s="73"/>
      <c r="E633" s="73"/>
      <c r="F633" s="73"/>
      <c r="G633" s="73"/>
      <c r="H633" s="73"/>
      <c r="I633" s="73"/>
      <c r="J633" s="73"/>
      <c r="K633" s="73"/>
      <c r="L633" s="73"/>
      <c r="M633" s="73"/>
      <c r="N633" s="73"/>
      <c r="O633" s="73"/>
      <c r="P633" s="73"/>
      <c r="Q633" s="73"/>
      <c r="R633" s="73"/>
      <c r="S633" s="73"/>
      <c r="T633" s="73"/>
      <c r="U633" s="73"/>
      <c r="V633" s="73"/>
      <c r="W633" s="73"/>
      <c r="GL633" s="73"/>
      <c r="GM633" s="73"/>
      <c r="GN633" s="73"/>
      <c r="GO633" s="73"/>
      <c r="GP633" s="73"/>
      <c r="GQ633" s="73"/>
      <c r="GR633" s="73"/>
      <c r="GS633" s="73"/>
      <c r="GT633" s="73"/>
      <c r="GU633" s="73"/>
      <c r="GV633" s="73"/>
      <c r="GW633" s="73"/>
      <c r="GX633" s="73"/>
      <c r="GY633" s="73"/>
      <c r="GZ633" s="73"/>
      <c r="HA633" s="73"/>
      <c r="HB633" s="73"/>
      <c r="HC633" s="73"/>
      <c r="HD633" s="73"/>
      <c r="HE633" s="73"/>
      <c r="HF633" s="73"/>
      <c r="HG633" s="73"/>
      <c r="HH633" s="73"/>
      <c r="HI633" s="73"/>
      <c r="HJ633" s="73"/>
      <c r="HK633" s="73"/>
      <c r="HL633" s="73"/>
      <c r="HM633" s="73"/>
      <c r="HN633" s="73"/>
      <c r="HO633" s="73"/>
      <c r="HP633" s="73"/>
      <c r="HQ633" s="73"/>
      <c r="HR633" s="73"/>
      <c r="HS633" s="73"/>
      <c r="HT633" s="73"/>
      <c r="HU633" s="73"/>
      <c r="HV633" s="73"/>
      <c r="HW633" s="73"/>
      <c r="HX633" s="73"/>
      <c r="HY633" s="73"/>
      <c r="HZ633" s="73"/>
      <c r="IA633" s="73"/>
      <c r="IB633" s="73"/>
      <c r="IC633" s="73"/>
      <c r="ID633" s="73"/>
      <c r="IE633" s="73"/>
      <c r="IF633" s="73"/>
      <c r="IG633" s="73"/>
      <c r="IH633" s="73"/>
      <c r="II633" s="73"/>
      <c r="IJ633" s="73"/>
      <c r="IK633" s="73"/>
      <c r="IL633" s="73"/>
      <c r="IM633" s="73"/>
      <c r="IN633" s="73"/>
      <c r="IO633" s="73"/>
      <c r="IP633" s="73"/>
      <c r="IQ633" s="73"/>
      <c r="IR633" s="73"/>
      <c r="IS633" s="73"/>
      <c r="IT633" s="73"/>
      <c r="IU633" s="73"/>
      <c r="IV633" s="73"/>
      <c r="IW633" s="73"/>
      <c r="IX633" s="73"/>
      <c r="IY633" s="73"/>
      <c r="IZ633" s="73"/>
      <c r="JA633" s="73"/>
      <c r="JB633" s="73"/>
      <c r="JC633" s="73"/>
    </row>
    <row r="634" spans="2:263" s="72" customFormat="1">
      <c r="B634" s="73"/>
      <c r="C634" s="73"/>
      <c r="D634" s="73"/>
      <c r="E634" s="73"/>
      <c r="F634" s="73"/>
      <c r="G634" s="73"/>
      <c r="H634" s="73"/>
      <c r="I634" s="73"/>
      <c r="J634" s="73"/>
      <c r="K634" s="73"/>
      <c r="L634" s="73"/>
      <c r="M634" s="73"/>
      <c r="N634" s="73"/>
      <c r="O634" s="73"/>
      <c r="P634" s="73"/>
      <c r="Q634" s="73"/>
      <c r="R634" s="73"/>
      <c r="S634" s="73"/>
      <c r="T634" s="73"/>
      <c r="U634" s="73"/>
      <c r="V634" s="73"/>
      <c r="W634" s="73"/>
      <c r="GL634" s="73"/>
      <c r="GM634" s="73"/>
      <c r="GN634" s="73"/>
      <c r="GO634" s="73"/>
      <c r="GP634" s="73"/>
      <c r="GQ634" s="73"/>
      <c r="GR634" s="73"/>
      <c r="GS634" s="73"/>
      <c r="GT634" s="73"/>
      <c r="GU634" s="73"/>
      <c r="GV634" s="73"/>
      <c r="GW634" s="73"/>
      <c r="GX634" s="73"/>
      <c r="GY634" s="73"/>
      <c r="GZ634" s="73"/>
      <c r="HA634" s="73"/>
      <c r="HB634" s="73"/>
      <c r="HC634" s="73"/>
      <c r="HD634" s="73"/>
      <c r="HE634" s="73"/>
      <c r="HF634" s="73"/>
      <c r="HG634" s="73"/>
      <c r="HH634" s="73"/>
      <c r="HI634" s="73"/>
      <c r="HJ634" s="73"/>
      <c r="HK634" s="73"/>
      <c r="HL634" s="73"/>
      <c r="HM634" s="73"/>
      <c r="HN634" s="73"/>
      <c r="HO634" s="73"/>
      <c r="HP634" s="73"/>
      <c r="HQ634" s="73"/>
      <c r="HR634" s="73"/>
      <c r="HS634" s="73"/>
      <c r="HT634" s="73"/>
      <c r="HU634" s="73"/>
      <c r="HV634" s="73"/>
      <c r="HW634" s="73"/>
      <c r="HX634" s="73"/>
      <c r="HY634" s="73"/>
      <c r="HZ634" s="73"/>
      <c r="IA634" s="73"/>
      <c r="IB634" s="73"/>
      <c r="IC634" s="73"/>
      <c r="ID634" s="73"/>
      <c r="IE634" s="73"/>
      <c r="IF634" s="73"/>
      <c r="IG634" s="73"/>
      <c r="IH634" s="73"/>
      <c r="II634" s="73"/>
      <c r="IJ634" s="73"/>
      <c r="IK634" s="73"/>
      <c r="IL634" s="73"/>
      <c r="IM634" s="73"/>
      <c r="IN634" s="73"/>
      <c r="IO634" s="73"/>
      <c r="IP634" s="73"/>
      <c r="IQ634" s="73"/>
      <c r="IR634" s="73"/>
      <c r="IS634" s="73"/>
      <c r="IT634" s="73"/>
      <c r="IU634" s="73"/>
      <c r="IV634" s="73"/>
      <c r="IW634" s="73"/>
      <c r="IX634" s="73"/>
      <c r="IY634" s="73"/>
      <c r="IZ634" s="73"/>
      <c r="JA634" s="73"/>
      <c r="JB634" s="73"/>
      <c r="JC634" s="73"/>
    </row>
    <row r="635" spans="2:263" s="72" customFormat="1">
      <c r="B635" s="73"/>
      <c r="C635" s="73"/>
      <c r="D635" s="73"/>
      <c r="E635" s="73"/>
      <c r="F635" s="73"/>
      <c r="G635" s="73"/>
      <c r="H635" s="73"/>
      <c r="I635" s="73"/>
      <c r="J635" s="73"/>
      <c r="K635" s="73"/>
      <c r="L635" s="73"/>
      <c r="M635" s="73"/>
      <c r="N635" s="73"/>
      <c r="O635" s="73"/>
      <c r="P635" s="73"/>
      <c r="Q635" s="73"/>
      <c r="R635" s="73"/>
      <c r="S635" s="73"/>
      <c r="T635" s="73"/>
      <c r="U635" s="73"/>
      <c r="V635" s="73"/>
      <c r="W635" s="73"/>
      <c r="GL635" s="73"/>
      <c r="GM635" s="73"/>
      <c r="GN635" s="73"/>
      <c r="GO635" s="73"/>
      <c r="GP635" s="73"/>
      <c r="GQ635" s="73"/>
      <c r="GR635" s="73"/>
      <c r="GS635" s="73"/>
      <c r="GT635" s="73"/>
      <c r="GU635" s="73"/>
      <c r="GV635" s="73"/>
      <c r="GW635" s="73"/>
      <c r="GX635" s="73"/>
      <c r="GY635" s="73"/>
      <c r="GZ635" s="73"/>
      <c r="HA635" s="73"/>
      <c r="HB635" s="73"/>
      <c r="HC635" s="73"/>
      <c r="HD635" s="73"/>
      <c r="HE635" s="73"/>
      <c r="HF635" s="73"/>
      <c r="HG635" s="73"/>
      <c r="HH635" s="73"/>
      <c r="HI635" s="73"/>
      <c r="HJ635" s="73"/>
      <c r="HK635" s="73"/>
      <c r="HL635" s="73"/>
      <c r="HM635" s="73"/>
      <c r="HN635" s="73"/>
      <c r="HO635" s="73"/>
      <c r="HP635" s="73"/>
      <c r="HQ635" s="73"/>
      <c r="HR635" s="73"/>
      <c r="HS635" s="73"/>
      <c r="HT635" s="73"/>
      <c r="HU635" s="73"/>
      <c r="HV635" s="73"/>
      <c r="HW635" s="73"/>
      <c r="HX635" s="73"/>
      <c r="HY635" s="73"/>
      <c r="HZ635" s="73"/>
      <c r="IA635" s="73"/>
      <c r="IB635" s="73"/>
      <c r="IC635" s="73"/>
      <c r="ID635" s="73"/>
      <c r="IE635" s="73"/>
      <c r="IF635" s="73"/>
      <c r="IG635" s="73"/>
      <c r="IH635" s="73"/>
      <c r="II635" s="73"/>
      <c r="IJ635" s="73"/>
      <c r="IK635" s="73"/>
      <c r="IL635" s="73"/>
      <c r="IM635" s="73"/>
      <c r="IN635" s="73"/>
      <c r="IO635" s="73"/>
      <c r="IP635" s="73"/>
      <c r="IQ635" s="73"/>
      <c r="IR635" s="73"/>
      <c r="IS635" s="73"/>
      <c r="IT635" s="73"/>
      <c r="IU635" s="73"/>
      <c r="IV635" s="73"/>
      <c r="IW635" s="73"/>
      <c r="IX635" s="73"/>
      <c r="IY635" s="73"/>
      <c r="IZ635" s="73"/>
      <c r="JA635" s="73"/>
      <c r="JB635" s="73"/>
      <c r="JC635" s="73"/>
    </row>
    <row r="636" spans="2:263" s="72" customFormat="1">
      <c r="B636" s="73"/>
      <c r="C636" s="73"/>
      <c r="D636" s="73"/>
      <c r="E636" s="73"/>
      <c r="F636" s="73"/>
      <c r="G636" s="73"/>
      <c r="H636" s="73"/>
      <c r="I636" s="73"/>
      <c r="J636" s="73"/>
      <c r="K636" s="73"/>
      <c r="L636" s="73"/>
      <c r="M636" s="73"/>
      <c r="N636" s="73"/>
      <c r="O636" s="73"/>
      <c r="P636" s="73"/>
      <c r="Q636" s="73"/>
      <c r="R636" s="73"/>
      <c r="S636" s="73"/>
      <c r="T636" s="73"/>
      <c r="U636" s="73"/>
      <c r="V636" s="73"/>
      <c r="W636" s="73"/>
      <c r="GL636" s="73"/>
      <c r="GM636" s="73"/>
      <c r="GN636" s="73"/>
      <c r="GO636" s="73"/>
      <c r="GP636" s="73"/>
      <c r="GQ636" s="73"/>
      <c r="GR636" s="73"/>
      <c r="GS636" s="73"/>
      <c r="GT636" s="73"/>
      <c r="GU636" s="73"/>
      <c r="GV636" s="73"/>
      <c r="GW636" s="73"/>
      <c r="GX636" s="73"/>
      <c r="GY636" s="73"/>
      <c r="GZ636" s="73"/>
      <c r="HA636" s="73"/>
      <c r="HB636" s="73"/>
      <c r="HC636" s="73"/>
      <c r="HD636" s="73"/>
      <c r="HE636" s="73"/>
      <c r="HF636" s="73"/>
      <c r="HG636" s="73"/>
      <c r="HH636" s="73"/>
      <c r="HI636" s="73"/>
      <c r="HJ636" s="73"/>
      <c r="HK636" s="73"/>
      <c r="HL636" s="73"/>
      <c r="HM636" s="73"/>
      <c r="HN636" s="73"/>
      <c r="HO636" s="73"/>
      <c r="HP636" s="73"/>
      <c r="HQ636" s="73"/>
      <c r="HR636" s="73"/>
      <c r="HS636" s="73"/>
      <c r="HT636" s="73"/>
      <c r="HU636" s="73"/>
      <c r="HV636" s="73"/>
      <c r="HW636" s="73"/>
      <c r="HX636" s="73"/>
      <c r="HY636" s="73"/>
      <c r="HZ636" s="73"/>
      <c r="IA636" s="73"/>
      <c r="IB636" s="73"/>
      <c r="IC636" s="73"/>
      <c r="ID636" s="73"/>
      <c r="IE636" s="73"/>
      <c r="IF636" s="73"/>
      <c r="IG636" s="73"/>
      <c r="IH636" s="73"/>
      <c r="II636" s="73"/>
      <c r="IJ636" s="73"/>
      <c r="IK636" s="73"/>
      <c r="IL636" s="73"/>
      <c r="IM636" s="73"/>
      <c r="IN636" s="73"/>
      <c r="IO636" s="73"/>
      <c r="IP636" s="73"/>
      <c r="IQ636" s="73"/>
      <c r="IR636" s="73"/>
      <c r="IS636" s="73"/>
      <c r="IT636" s="73"/>
      <c r="IU636" s="73"/>
      <c r="IV636" s="73"/>
      <c r="IW636" s="73"/>
      <c r="IX636" s="73"/>
      <c r="IY636" s="73"/>
      <c r="IZ636" s="73"/>
      <c r="JA636" s="73"/>
      <c r="JB636" s="73"/>
      <c r="JC636" s="73"/>
    </row>
    <row r="637" spans="2:263" s="72" customFormat="1">
      <c r="B637" s="73"/>
      <c r="C637" s="73"/>
      <c r="D637" s="73"/>
      <c r="E637" s="73"/>
      <c r="F637" s="73"/>
      <c r="G637" s="73"/>
      <c r="H637" s="73"/>
      <c r="I637" s="73"/>
      <c r="J637" s="73"/>
      <c r="K637" s="73"/>
      <c r="L637" s="73"/>
      <c r="M637" s="73"/>
      <c r="N637" s="73"/>
      <c r="O637" s="73"/>
      <c r="P637" s="73"/>
      <c r="Q637" s="73"/>
      <c r="R637" s="73"/>
      <c r="S637" s="73"/>
      <c r="T637" s="73"/>
      <c r="U637" s="73"/>
      <c r="V637" s="73"/>
      <c r="W637" s="73"/>
      <c r="GL637" s="73"/>
      <c r="GM637" s="73"/>
      <c r="GN637" s="73"/>
      <c r="GO637" s="73"/>
      <c r="GP637" s="73"/>
      <c r="GQ637" s="73"/>
      <c r="GR637" s="73"/>
      <c r="GS637" s="73"/>
      <c r="GT637" s="73"/>
      <c r="GU637" s="73"/>
      <c r="GV637" s="73"/>
      <c r="GW637" s="73"/>
      <c r="GX637" s="73"/>
      <c r="GY637" s="73"/>
      <c r="GZ637" s="73"/>
      <c r="HA637" s="73"/>
      <c r="HB637" s="73"/>
      <c r="HC637" s="73"/>
      <c r="HD637" s="73"/>
      <c r="HE637" s="73"/>
      <c r="HF637" s="73"/>
      <c r="HG637" s="73"/>
      <c r="HH637" s="73"/>
      <c r="HI637" s="73"/>
      <c r="HJ637" s="73"/>
      <c r="HK637" s="73"/>
      <c r="HL637" s="73"/>
      <c r="HM637" s="73"/>
      <c r="HN637" s="73"/>
      <c r="HO637" s="73"/>
      <c r="HP637" s="73"/>
      <c r="HQ637" s="73"/>
      <c r="HR637" s="73"/>
      <c r="HS637" s="73"/>
      <c r="HT637" s="73"/>
      <c r="HU637" s="73"/>
      <c r="HV637" s="73"/>
      <c r="HW637" s="73"/>
      <c r="HX637" s="73"/>
      <c r="HY637" s="73"/>
      <c r="HZ637" s="73"/>
      <c r="IA637" s="73"/>
      <c r="IB637" s="73"/>
      <c r="IC637" s="73"/>
      <c r="ID637" s="73"/>
      <c r="IE637" s="73"/>
      <c r="IF637" s="73"/>
      <c r="IG637" s="73"/>
      <c r="IH637" s="73"/>
      <c r="II637" s="73"/>
      <c r="IJ637" s="73"/>
      <c r="IK637" s="73"/>
      <c r="IL637" s="73"/>
      <c r="IM637" s="73"/>
      <c r="IN637" s="73"/>
      <c r="IO637" s="73"/>
      <c r="IP637" s="73"/>
      <c r="IQ637" s="73"/>
      <c r="IR637" s="73"/>
      <c r="IS637" s="73"/>
      <c r="IT637" s="73"/>
      <c r="IU637" s="73"/>
      <c r="IV637" s="73"/>
      <c r="IW637" s="73"/>
      <c r="IX637" s="73"/>
      <c r="IY637" s="73"/>
      <c r="IZ637" s="73"/>
      <c r="JA637" s="73"/>
      <c r="JB637" s="73"/>
      <c r="JC637" s="73"/>
    </row>
    <row r="638" spans="2:263" s="72" customFormat="1">
      <c r="B638" s="73"/>
      <c r="C638" s="73"/>
      <c r="D638" s="73"/>
      <c r="E638" s="73"/>
      <c r="F638" s="73"/>
      <c r="G638" s="73"/>
      <c r="H638" s="73"/>
      <c r="I638" s="73"/>
      <c r="J638" s="73"/>
      <c r="K638" s="73"/>
      <c r="L638" s="73"/>
      <c r="M638" s="73"/>
      <c r="N638" s="73"/>
      <c r="O638" s="73"/>
      <c r="P638" s="73"/>
      <c r="Q638" s="73"/>
      <c r="R638" s="73"/>
      <c r="S638" s="73"/>
      <c r="T638" s="73"/>
      <c r="U638" s="73"/>
      <c r="V638" s="73"/>
      <c r="W638" s="73"/>
      <c r="GL638" s="73"/>
      <c r="GM638" s="73"/>
      <c r="GN638" s="73"/>
      <c r="GO638" s="73"/>
      <c r="GP638" s="73"/>
      <c r="GQ638" s="73"/>
      <c r="GR638" s="73"/>
      <c r="GS638" s="73"/>
      <c r="GT638" s="73"/>
      <c r="GU638" s="73"/>
      <c r="GV638" s="73"/>
      <c r="GW638" s="73"/>
      <c r="GX638" s="73"/>
      <c r="GY638" s="73"/>
      <c r="GZ638" s="73"/>
      <c r="HA638" s="73"/>
      <c r="HB638" s="73"/>
      <c r="HC638" s="73"/>
      <c r="HD638" s="73"/>
      <c r="HE638" s="73"/>
      <c r="HF638" s="73"/>
      <c r="HG638" s="73"/>
      <c r="HH638" s="73"/>
      <c r="HI638" s="73"/>
      <c r="HJ638" s="73"/>
      <c r="HK638" s="73"/>
      <c r="HL638" s="73"/>
      <c r="HM638" s="73"/>
      <c r="HN638" s="73"/>
      <c r="HO638" s="73"/>
      <c r="HP638" s="73"/>
      <c r="HQ638" s="73"/>
      <c r="HR638" s="73"/>
      <c r="HS638" s="73"/>
      <c r="HT638" s="73"/>
      <c r="HU638" s="73"/>
      <c r="HV638" s="73"/>
      <c r="HW638" s="73"/>
      <c r="HX638" s="73"/>
      <c r="HY638" s="73"/>
      <c r="HZ638" s="73"/>
      <c r="IA638" s="73"/>
      <c r="IB638" s="73"/>
      <c r="IC638" s="73"/>
      <c r="ID638" s="73"/>
      <c r="IE638" s="73"/>
      <c r="IF638" s="73"/>
      <c r="IG638" s="73"/>
      <c r="IH638" s="73"/>
      <c r="II638" s="73"/>
      <c r="IJ638" s="73"/>
      <c r="IK638" s="73"/>
      <c r="IL638" s="73"/>
      <c r="IM638" s="73"/>
      <c r="IN638" s="73"/>
      <c r="IO638" s="73"/>
      <c r="IP638" s="73"/>
      <c r="IQ638" s="73"/>
      <c r="IR638" s="73"/>
      <c r="IS638" s="73"/>
      <c r="IT638" s="73"/>
      <c r="IU638" s="73"/>
      <c r="IV638" s="73"/>
      <c r="IW638" s="73"/>
      <c r="IX638" s="73"/>
      <c r="IY638" s="73"/>
      <c r="IZ638" s="73"/>
      <c r="JA638" s="73"/>
      <c r="JB638" s="73"/>
      <c r="JC638" s="73"/>
    </row>
    <row r="639" spans="2:263" s="72" customFormat="1">
      <c r="B639" s="73"/>
      <c r="C639" s="73"/>
      <c r="D639" s="73"/>
      <c r="E639" s="73"/>
      <c r="F639" s="73"/>
      <c r="G639" s="73"/>
      <c r="H639" s="73"/>
      <c r="I639" s="73"/>
      <c r="J639" s="73"/>
      <c r="K639" s="73"/>
      <c r="L639" s="73"/>
      <c r="M639" s="73"/>
      <c r="N639" s="73"/>
      <c r="O639" s="73"/>
      <c r="P639" s="73"/>
      <c r="Q639" s="73"/>
      <c r="R639" s="73"/>
      <c r="S639" s="73"/>
      <c r="T639" s="73"/>
      <c r="U639" s="73"/>
      <c r="V639" s="73"/>
      <c r="W639" s="73"/>
      <c r="GL639" s="73"/>
      <c r="GM639" s="73"/>
      <c r="GN639" s="73"/>
      <c r="GO639" s="73"/>
      <c r="GP639" s="73"/>
      <c r="GQ639" s="73"/>
      <c r="GR639" s="73"/>
      <c r="GS639" s="73"/>
      <c r="GT639" s="73"/>
      <c r="GU639" s="73"/>
      <c r="GV639" s="73"/>
      <c r="GW639" s="73"/>
      <c r="GX639" s="73"/>
      <c r="GY639" s="73"/>
      <c r="GZ639" s="73"/>
      <c r="HA639" s="73"/>
      <c r="HB639" s="73"/>
      <c r="HC639" s="73"/>
      <c r="HD639" s="73"/>
      <c r="HE639" s="73"/>
      <c r="HF639" s="73"/>
      <c r="HG639" s="73"/>
      <c r="HH639" s="73"/>
      <c r="HI639" s="73"/>
      <c r="HJ639" s="73"/>
      <c r="HK639" s="73"/>
      <c r="HL639" s="73"/>
      <c r="HM639" s="73"/>
      <c r="HN639" s="73"/>
      <c r="HO639" s="73"/>
      <c r="HP639" s="73"/>
      <c r="HQ639" s="73"/>
      <c r="HR639" s="73"/>
      <c r="HS639" s="73"/>
      <c r="HT639" s="73"/>
      <c r="HU639" s="73"/>
      <c r="HV639" s="73"/>
      <c r="HW639" s="73"/>
      <c r="HX639" s="73"/>
      <c r="HY639" s="73"/>
      <c r="HZ639" s="73"/>
      <c r="IA639" s="73"/>
      <c r="IB639" s="73"/>
      <c r="IC639" s="73"/>
      <c r="ID639" s="73"/>
      <c r="IE639" s="73"/>
      <c r="IF639" s="73"/>
      <c r="IG639" s="73"/>
      <c r="IH639" s="73"/>
      <c r="II639" s="73"/>
      <c r="IJ639" s="73"/>
      <c r="IK639" s="73"/>
      <c r="IL639" s="73"/>
      <c r="IM639" s="73"/>
      <c r="IN639" s="73"/>
      <c r="IO639" s="73"/>
      <c r="IP639" s="73"/>
      <c r="IQ639" s="73"/>
      <c r="IR639" s="73"/>
      <c r="IS639" s="73"/>
      <c r="IT639" s="73"/>
      <c r="IU639" s="73"/>
      <c r="IV639" s="73"/>
      <c r="IW639" s="73"/>
      <c r="IX639" s="73"/>
      <c r="IY639" s="73"/>
      <c r="IZ639" s="73"/>
      <c r="JA639" s="73"/>
      <c r="JB639" s="73"/>
      <c r="JC639" s="73"/>
    </row>
    <row r="640" spans="2:263" s="72" customFormat="1">
      <c r="B640" s="73"/>
      <c r="C640" s="73"/>
      <c r="D640" s="73"/>
      <c r="E640" s="73"/>
      <c r="F640" s="73"/>
      <c r="G640" s="73"/>
      <c r="H640" s="73"/>
      <c r="I640" s="73"/>
      <c r="J640" s="73"/>
      <c r="K640" s="73"/>
      <c r="L640" s="73"/>
      <c r="M640" s="73"/>
      <c r="N640" s="73"/>
      <c r="O640" s="73"/>
      <c r="P640" s="73"/>
      <c r="Q640" s="73"/>
      <c r="R640" s="73"/>
      <c r="S640" s="73"/>
      <c r="T640" s="73"/>
      <c r="U640" s="73"/>
      <c r="V640" s="73"/>
      <c r="W640" s="73"/>
      <c r="GL640" s="73"/>
      <c r="GM640" s="73"/>
      <c r="GN640" s="73"/>
      <c r="GO640" s="73"/>
      <c r="GP640" s="73"/>
      <c r="GQ640" s="73"/>
      <c r="GR640" s="73"/>
      <c r="GS640" s="73"/>
      <c r="GT640" s="73"/>
      <c r="GU640" s="73"/>
      <c r="GV640" s="73"/>
      <c r="GW640" s="73"/>
      <c r="GX640" s="73"/>
      <c r="GY640" s="73"/>
      <c r="GZ640" s="73"/>
      <c r="HA640" s="73"/>
      <c r="HB640" s="73"/>
      <c r="HC640" s="73"/>
      <c r="HD640" s="73"/>
      <c r="HE640" s="73"/>
      <c r="HF640" s="73"/>
      <c r="HG640" s="73"/>
      <c r="HH640" s="73"/>
      <c r="HI640" s="73"/>
      <c r="HJ640" s="73"/>
      <c r="HK640" s="73"/>
      <c r="HL640" s="73"/>
      <c r="HM640" s="73"/>
      <c r="HN640" s="73"/>
      <c r="HO640" s="73"/>
      <c r="HP640" s="73"/>
      <c r="HQ640" s="73"/>
      <c r="HR640" s="73"/>
      <c r="HS640" s="73"/>
      <c r="HT640" s="73"/>
      <c r="HU640" s="73"/>
      <c r="HV640" s="73"/>
      <c r="HW640" s="73"/>
      <c r="HX640" s="73"/>
      <c r="HY640" s="73"/>
      <c r="HZ640" s="73"/>
      <c r="IA640" s="73"/>
      <c r="IB640" s="73"/>
      <c r="IC640" s="73"/>
      <c r="ID640" s="73"/>
      <c r="IE640" s="73"/>
      <c r="IF640" s="73"/>
      <c r="IG640" s="73"/>
      <c r="IH640" s="73"/>
      <c r="II640" s="73"/>
      <c r="IJ640" s="73"/>
      <c r="IK640" s="73"/>
      <c r="IL640" s="73"/>
      <c r="IM640" s="73"/>
      <c r="IN640" s="73"/>
      <c r="IO640" s="73"/>
      <c r="IP640" s="73"/>
      <c r="IQ640" s="73"/>
      <c r="IR640" s="73"/>
      <c r="IS640" s="73"/>
      <c r="IT640" s="73"/>
      <c r="IU640" s="73"/>
      <c r="IV640" s="73"/>
      <c r="IW640" s="73"/>
      <c r="IX640" s="73"/>
      <c r="IY640" s="73"/>
      <c r="IZ640" s="73"/>
      <c r="JA640" s="73"/>
      <c r="JB640" s="73"/>
      <c r="JC640" s="73"/>
    </row>
    <row r="641" spans="2:263" s="72" customFormat="1">
      <c r="B641" s="73"/>
      <c r="C641" s="73"/>
      <c r="D641" s="73"/>
      <c r="E641" s="73"/>
      <c r="F641" s="73"/>
      <c r="G641" s="73"/>
      <c r="H641" s="73"/>
      <c r="I641" s="73"/>
      <c r="J641" s="73"/>
      <c r="K641" s="73"/>
      <c r="L641" s="73"/>
      <c r="M641" s="73"/>
      <c r="N641" s="73"/>
      <c r="O641" s="73"/>
      <c r="P641" s="73"/>
      <c r="Q641" s="73"/>
      <c r="R641" s="73"/>
      <c r="S641" s="73"/>
      <c r="T641" s="73"/>
      <c r="U641" s="73"/>
      <c r="V641" s="73"/>
      <c r="W641" s="73"/>
      <c r="GL641" s="73"/>
      <c r="GM641" s="73"/>
      <c r="GN641" s="73"/>
      <c r="GO641" s="73"/>
      <c r="GP641" s="73"/>
      <c r="GQ641" s="73"/>
      <c r="GR641" s="73"/>
      <c r="GS641" s="73"/>
      <c r="GT641" s="73"/>
      <c r="GU641" s="73"/>
      <c r="GV641" s="73"/>
      <c r="GW641" s="73"/>
      <c r="GX641" s="73"/>
      <c r="GY641" s="73"/>
      <c r="GZ641" s="73"/>
      <c r="HA641" s="73"/>
      <c r="HB641" s="73"/>
      <c r="HC641" s="73"/>
      <c r="HD641" s="73"/>
      <c r="HE641" s="73"/>
      <c r="HF641" s="73"/>
      <c r="HG641" s="73"/>
      <c r="HH641" s="73"/>
      <c r="HI641" s="73"/>
      <c r="HJ641" s="73"/>
      <c r="HK641" s="73"/>
      <c r="HL641" s="73"/>
      <c r="HM641" s="73"/>
      <c r="HN641" s="73"/>
      <c r="HO641" s="73"/>
      <c r="HP641" s="73"/>
      <c r="HQ641" s="73"/>
      <c r="HR641" s="73"/>
      <c r="HS641" s="73"/>
      <c r="HT641" s="73"/>
      <c r="HU641" s="73"/>
      <c r="HV641" s="73"/>
      <c r="HW641" s="73"/>
      <c r="HX641" s="73"/>
      <c r="HY641" s="73"/>
      <c r="HZ641" s="73"/>
      <c r="IA641" s="73"/>
      <c r="IB641" s="73"/>
      <c r="IC641" s="73"/>
      <c r="ID641" s="73"/>
      <c r="IE641" s="73"/>
      <c r="IF641" s="73"/>
      <c r="IG641" s="73"/>
      <c r="IH641" s="73"/>
      <c r="II641" s="73"/>
      <c r="IJ641" s="73"/>
      <c r="IK641" s="73"/>
      <c r="IL641" s="73"/>
      <c r="IM641" s="73"/>
      <c r="IN641" s="73"/>
      <c r="IO641" s="73"/>
      <c r="IP641" s="73"/>
      <c r="IQ641" s="73"/>
      <c r="IR641" s="73"/>
      <c r="IS641" s="73"/>
      <c r="IT641" s="73"/>
      <c r="IU641" s="73"/>
      <c r="IV641" s="73"/>
      <c r="IW641" s="73"/>
      <c r="IX641" s="73"/>
      <c r="IY641" s="73"/>
      <c r="IZ641" s="73"/>
      <c r="JA641" s="73"/>
      <c r="JB641" s="73"/>
      <c r="JC641" s="73"/>
    </row>
    <row r="642" spans="2:263" s="72" customFormat="1">
      <c r="B642" s="73"/>
      <c r="C642" s="73"/>
      <c r="D642" s="73"/>
      <c r="E642" s="73"/>
      <c r="F642" s="73"/>
      <c r="G642" s="73"/>
      <c r="H642" s="73"/>
      <c r="I642" s="73"/>
      <c r="J642" s="73"/>
      <c r="K642" s="73"/>
      <c r="L642" s="73"/>
      <c r="M642" s="73"/>
      <c r="N642" s="73"/>
      <c r="O642" s="73"/>
      <c r="P642" s="73"/>
      <c r="Q642" s="73"/>
      <c r="R642" s="73"/>
      <c r="S642" s="73"/>
      <c r="T642" s="73"/>
      <c r="U642" s="73"/>
      <c r="V642" s="73"/>
      <c r="W642" s="73"/>
      <c r="GL642" s="73"/>
      <c r="GM642" s="73"/>
      <c r="GN642" s="73"/>
      <c r="GO642" s="73"/>
      <c r="GP642" s="73"/>
      <c r="GQ642" s="73"/>
      <c r="GR642" s="73"/>
      <c r="GS642" s="73"/>
      <c r="GT642" s="73"/>
      <c r="GU642" s="73"/>
      <c r="GV642" s="73"/>
      <c r="GW642" s="73"/>
      <c r="GX642" s="73"/>
      <c r="GY642" s="73"/>
      <c r="GZ642" s="73"/>
      <c r="HA642" s="73"/>
      <c r="HB642" s="73"/>
      <c r="HC642" s="73"/>
      <c r="HD642" s="73"/>
      <c r="HE642" s="73"/>
      <c r="HF642" s="73"/>
      <c r="HG642" s="73"/>
      <c r="HH642" s="73"/>
      <c r="HI642" s="73"/>
      <c r="HJ642" s="73"/>
      <c r="HK642" s="73"/>
      <c r="HL642" s="73"/>
      <c r="HM642" s="73"/>
      <c r="HN642" s="73"/>
      <c r="HO642" s="73"/>
      <c r="HP642" s="73"/>
      <c r="HQ642" s="73"/>
      <c r="HR642" s="73"/>
      <c r="HS642" s="73"/>
      <c r="HT642" s="73"/>
      <c r="HU642" s="73"/>
      <c r="HV642" s="73"/>
      <c r="HW642" s="73"/>
      <c r="HX642" s="73"/>
      <c r="HY642" s="73"/>
      <c r="HZ642" s="73"/>
      <c r="IA642" s="73"/>
      <c r="IB642" s="73"/>
      <c r="IC642" s="73"/>
      <c r="ID642" s="73"/>
      <c r="IE642" s="73"/>
      <c r="IF642" s="73"/>
      <c r="IG642" s="73"/>
      <c r="IH642" s="73"/>
      <c r="II642" s="73"/>
      <c r="IJ642" s="73"/>
      <c r="IK642" s="73"/>
      <c r="IL642" s="73"/>
      <c r="IM642" s="73"/>
      <c r="IN642" s="73"/>
      <c r="IO642" s="73"/>
      <c r="IP642" s="73"/>
      <c r="IQ642" s="73"/>
      <c r="IR642" s="73"/>
      <c r="IS642" s="73"/>
      <c r="IT642" s="73"/>
      <c r="IU642" s="73"/>
      <c r="IV642" s="73"/>
      <c r="IW642" s="73"/>
      <c r="IX642" s="73"/>
      <c r="IY642" s="73"/>
      <c r="IZ642" s="73"/>
      <c r="JA642" s="73"/>
      <c r="JB642" s="73"/>
      <c r="JC642" s="73"/>
    </row>
    <row r="643" spans="2:263" s="72" customFormat="1">
      <c r="B643" s="73"/>
      <c r="C643" s="73"/>
      <c r="D643" s="73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  <c r="R643" s="73"/>
      <c r="S643" s="73"/>
      <c r="T643" s="73"/>
      <c r="U643" s="73"/>
      <c r="V643" s="73"/>
      <c r="W643" s="73"/>
      <c r="GL643" s="73"/>
      <c r="GM643" s="73"/>
      <c r="GN643" s="73"/>
      <c r="GO643" s="73"/>
      <c r="GP643" s="73"/>
      <c r="GQ643" s="73"/>
      <c r="GR643" s="73"/>
      <c r="GS643" s="73"/>
      <c r="GT643" s="73"/>
      <c r="GU643" s="73"/>
      <c r="GV643" s="73"/>
      <c r="GW643" s="73"/>
      <c r="GX643" s="73"/>
      <c r="GY643" s="73"/>
      <c r="GZ643" s="73"/>
      <c r="HA643" s="73"/>
      <c r="HB643" s="73"/>
      <c r="HC643" s="73"/>
      <c r="HD643" s="73"/>
      <c r="HE643" s="73"/>
      <c r="HF643" s="73"/>
      <c r="HG643" s="73"/>
      <c r="HH643" s="73"/>
      <c r="HI643" s="73"/>
      <c r="HJ643" s="73"/>
      <c r="HK643" s="73"/>
      <c r="HL643" s="73"/>
      <c r="HM643" s="73"/>
      <c r="HN643" s="73"/>
      <c r="HO643" s="73"/>
      <c r="HP643" s="73"/>
      <c r="HQ643" s="73"/>
      <c r="HR643" s="73"/>
      <c r="HS643" s="73"/>
      <c r="HT643" s="73"/>
      <c r="HU643" s="73"/>
      <c r="HV643" s="73"/>
      <c r="HW643" s="73"/>
      <c r="HX643" s="73"/>
      <c r="HY643" s="73"/>
      <c r="HZ643" s="73"/>
      <c r="IA643" s="73"/>
      <c r="IB643" s="73"/>
      <c r="IC643" s="73"/>
      <c r="ID643" s="73"/>
      <c r="IE643" s="73"/>
      <c r="IF643" s="73"/>
      <c r="IG643" s="73"/>
      <c r="IH643" s="73"/>
      <c r="II643" s="73"/>
      <c r="IJ643" s="73"/>
      <c r="IK643" s="73"/>
      <c r="IL643" s="73"/>
      <c r="IM643" s="73"/>
      <c r="IN643" s="73"/>
      <c r="IO643" s="73"/>
      <c r="IP643" s="73"/>
      <c r="IQ643" s="73"/>
      <c r="IR643" s="73"/>
      <c r="IS643" s="73"/>
      <c r="IT643" s="73"/>
      <c r="IU643" s="73"/>
      <c r="IV643" s="73"/>
      <c r="IW643" s="73"/>
      <c r="IX643" s="73"/>
      <c r="IY643" s="73"/>
      <c r="IZ643" s="73"/>
      <c r="JA643" s="73"/>
      <c r="JB643" s="73"/>
      <c r="JC643" s="73"/>
    </row>
    <row r="644" spans="2:263" s="72" customFormat="1">
      <c r="B644" s="73"/>
      <c r="C644" s="73"/>
      <c r="D644" s="73"/>
      <c r="E644" s="73"/>
      <c r="F644" s="73"/>
      <c r="G644" s="73"/>
      <c r="H644" s="73"/>
      <c r="I644" s="73"/>
      <c r="J644" s="73"/>
      <c r="K644" s="73"/>
      <c r="L644" s="73"/>
      <c r="M644" s="73"/>
      <c r="N644" s="73"/>
      <c r="O644" s="73"/>
      <c r="P644" s="73"/>
      <c r="Q644" s="73"/>
      <c r="R644" s="73"/>
      <c r="S644" s="73"/>
      <c r="T644" s="73"/>
      <c r="U644" s="73"/>
      <c r="V644" s="73"/>
      <c r="W644" s="73"/>
      <c r="GL644" s="73"/>
      <c r="GM644" s="73"/>
      <c r="GN644" s="73"/>
      <c r="GO644" s="73"/>
      <c r="GP644" s="73"/>
      <c r="GQ644" s="73"/>
      <c r="GR644" s="73"/>
      <c r="GS644" s="73"/>
      <c r="GT644" s="73"/>
      <c r="GU644" s="73"/>
      <c r="GV644" s="73"/>
      <c r="GW644" s="73"/>
      <c r="GX644" s="73"/>
      <c r="GY644" s="73"/>
      <c r="GZ644" s="73"/>
      <c r="HA644" s="73"/>
      <c r="HB644" s="73"/>
      <c r="HC644" s="73"/>
      <c r="HD644" s="73"/>
      <c r="HE644" s="73"/>
      <c r="HF644" s="73"/>
      <c r="HG644" s="73"/>
      <c r="HH644" s="73"/>
      <c r="HI644" s="73"/>
      <c r="HJ644" s="73"/>
      <c r="HK644" s="73"/>
      <c r="HL644" s="73"/>
      <c r="HM644" s="73"/>
      <c r="HN644" s="73"/>
      <c r="HO644" s="73"/>
      <c r="HP644" s="73"/>
      <c r="HQ644" s="73"/>
      <c r="HR644" s="73"/>
      <c r="HS644" s="73"/>
      <c r="HT644" s="73"/>
      <c r="HU644" s="73"/>
      <c r="HV644" s="73"/>
      <c r="HW644" s="73"/>
      <c r="HX644" s="73"/>
      <c r="HY644" s="73"/>
      <c r="HZ644" s="73"/>
      <c r="IA644" s="73"/>
      <c r="IB644" s="73"/>
      <c r="IC644" s="73"/>
      <c r="ID644" s="73"/>
      <c r="IE644" s="73"/>
      <c r="IF644" s="73"/>
      <c r="IG644" s="73"/>
      <c r="IH644" s="73"/>
      <c r="II644" s="73"/>
      <c r="IJ644" s="73"/>
      <c r="IK644" s="73"/>
      <c r="IL644" s="73"/>
      <c r="IM644" s="73"/>
      <c r="IN644" s="73"/>
      <c r="IO644" s="73"/>
      <c r="IP644" s="73"/>
      <c r="IQ644" s="73"/>
      <c r="IR644" s="73"/>
      <c r="IS644" s="73"/>
      <c r="IT644" s="73"/>
      <c r="IU644" s="73"/>
      <c r="IV644" s="73"/>
      <c r="IW644" s="73"/>
      <c r="IX644" s="73"/>
      <c r="IY644" s="73"/>
      <c r="IZ644" s="73"/>
      <c r="JA644" s="73"/>
      <c r="JB644" s="73"/>
      <c r="JC644" s="73"/>
    </row>
    <row r="645" spans="2:263" s="72" customFormat="1">
      <c r="B645" s="73"/>
      <c r="C645" s="73"/>
      <c r="D645" s="73"/>
      <c r="E645" s="73"/>
      <c r="F645" s="73"/>
      <c r="G645" s="73"/>
      <c r="H645" s="73"/>
      <c r="I645" s="73"/>
      <c r="J645" s="73"/>
      <c r="K645" s="73"/>
      <c r="L645" s="73"/>
      <c r="M645" s="73"/>
      <c r="N645" s="73"/>
      <c r="O645" s="73"/>
      <c r="P645" s="73"/>
      <c r="Q645" s="73"/>
      <c r="R645" s="73"/>
      <c r="S645" s="73"/>
      <c r="T645" s="73"/>
      <c r="U645" s="73"/>
      <c r="V645" s="73"/>
      <c r="W645" s="73"/>
      <c r="GL645" s="73"/>
      <c r="GM645" s="73"/>
      <c r="GN645" s="73"/>
      <c r="GO645" s="73"/>
      <c r="GP645" s="73"/>
      <c r="GQ645" s="73"/>
      <c r="GR645" s="73"/>
      <c r="GS645" s="73"/>
      <c r="GT645" s="73"/>
      <c r="GU645" s="73"/>
      <c r="GV645" s="73"/>
      <c r="GW645" s="73"/>
      <c r="GX645" s="73"/>
      <c r="GY645" s="73"/>
      <c r="GZ645" s="73"/>
      <c r="HA645" s="73"/>
      <c r="HB645" s="73"/>
      <c r="HC645" s="73"/>
      <c r="HD645" s="73"/>
      <c r="HE645" s="73"/>
      <c r="HF645" s="73"/>
      <c r="HG645" s="73"/>
      <c r="HH645" s="73"/>
      <c r="HI645" s="73"/>
      <c r="HJ645" s="73"/>
      <c r="HK645" s="73"/>
      <c r="HL645" s="73"/>
      <c r="HM645" s="73"/>
      <c r="HN645" s="73"/>
      <c r="HO645" s="73"/>
      <c r="HP645" s="73"/>
      <c r="HQ645" s="73"/>
      <c r="HR645" s="73"/>
      <c r="HS645" s="73"/>
      <c r="HT645" s="73"/>
      <c r="HU645" s="73"/>
      <c r="HV645" s="73"/>
      <c r="HW645" s="73"/>
      <c r="HX645" s="73"/>
      <c r="HY645" s="73"/>
      <c r="HZ645" s="73"/>
      <c r="IA645" s="73"/>
      <c r="IB645" s="73"/>
      <c r="IC645" s="73"/>
      <c r="ID645" s="73"/>
      <c r="IE645" s="73"/>
      <c r="IF645" s="73"/>
      <c r="IG645" s="73"/>
      <c r="IH645" s="73"/>
      <c r="II645" s="73"/>
      <c r="IJ645" s="73"/>
      <c r="IK645" s="73"/>
      <c r="IL645" s="73"/>
      <c r="IM645" s="73"/>
      <c r="IN645" s="73"/>
      <c r="IO645" s="73"/>
      <c r="IP645" s="73"/>
      <c r="IQ645" s="73"/>
      <c r="IR645" s="73"/>
      <c r="IS645" s="73"/>
      <c r="IT645" s="73"/>
      <c r="IU645" s="73"/>
      <c r="IV645" s="73"/>
      <c r="IW645" s="73"/>
      <c r="IX645" s="73"/>
      <c r="IY645" s="73"/>
      <c r="IZ645" s="73"/>
      <c r="JA645" s="73"/>
      <c r="JB645" s="73"/>
      <c r="JC645" s="73"/>
    </row>
    <row r="646" spans="2:263" s="72" customFormat="1">
      <c r="B646" s="73"/>
      <c r="C646" s="73"/>
      <c r="D646" s="73"/>
      <c r="E646" s="73"/>
      <c r="F646" s="73"/>
      <c r="G646" s="73"/>
      <c r="H646" s="73"/>
      <c r="I646" s="73"/>
      <c r="J646" s="73"/>
      <c r="K646" s="73"/>
      <c r="L646" s="73"/>
      <c r="M646" s="73"/>
      <c r="N646" s="73"/>
      <c r="O646" s="73"/>
      <c r="P646" s="73"/>
      <c r="Q646" s="73"/>
      <c r="R646" s="73"/>
      <c r="S646" s="73"/>
      <c r="T646" s="73"/>
      <c r="U646" s="73"/>
      <c r="V646" s="73"/>
      <c r="W646" s="73"/>
      <c r="GL646" s="73"/>
      <c r="GM646" s="73"/>
      <c r="GN646" s="73"/>
      <c r="GO646" s="73"/>
      <c r="GP646" s="73"/>
      <c r="GQ646" s="73"/>
      <c r="GR646" s="73"/>
      <c r="GS646" s="73"/>
      <c r="GT646" s="73"/>
      <c r="GU646" s="73"/>
      <c r="GV646" s="73"/>
      <c r="GW646" s="73"/>
      <c r="GX646" s="73"/>
      <c r="GY646" s="73"/>
      <c r="GZ646" s="73"/>
      <c r="HA646" s="73"/>
      <c r="HB646" s="73"/>
      <c r="HC646" s="73"/>
      <c r="HD646" s="73"/>
      <c r="HE646" s="73"/>
      <c r="HF646" s="73"/>
      <c r="HG646" s="73"/>
      <c r="HH646" s="73"/>
      <c r="HI646" s="73"/>
      <c r="HJ646" s="73"/>
      <c r="HK646" s="73"/>
      <c r="HL646" s="73"/>
      <c r="HM646" s="73"/>
      <c r="HN646" s="73"/>
      <c r="HO646" s="73"/>
      <c r="HP646" s="73"/>
      <c r="HQ646" s="73"/>
      <c r="HR646" s="73"/>
      <c r="HS646" s="73"/>
      <c r="HT646" s="73"/>
      <c r="HU646" s="73"/>
      <c r="HV646" s="73"/>
      <c r="HW646" s="73"/>
      <c r="HX646" s="73"/>
      <c r="HY646" s="73"/>
      <c r="HZ646" s="73"/>
      <c r="IA646" s="73"/>
      <c r="IB646" s="73"/>
      <c r="IC646" s="73"/>
      <c r="ID646" s="73"/>
      <c r="IE646" s="73"/>
      <c r="IF646" s="73"/>
      <c r="IG646" s="73"/>
      <c r="IH646" s="73"/>
      <c r="II646" s="73"/>
      <c r="IJ646" s="73"/>
      <c r="IK646" s="73"/>
      <c r="IL646" s="73"/>
      <c r="IM646" s="73"/>
      <c r="IN646" s="73"/>
      <c r="IO646" s="73"/>
      <c r="IP646" s="73"/>
      <c r="IQ646" s="73"/>
      <c r="IR646" s="73"/>
      <c r="IS646" s="73"/>
      <c r="IT646" s="73"/>
      <c r="IU646" s="73"/>
      <c r="IV646" s="73"/>
      <c r="IW646" s="73"/>
      <c r="IX646" s="73"/>
      <c r="IY646" s="73"/>
      <c r="IZ646" s="73"/>
      <c r="JA646" s="73"/>
      <c r="JB646" s="73"/>
      <c r="JC646" s="73"/>
    </row>
    <row r="647" spans="2:263" s="72" customFormat="1">
      <c r="B647" s="73"/>
      <c r="C647" s="73"/>
      <c r="D647" s="73"/>
      <c r="E647" s="73"/>
      <c r="F647" s="73"/>
      <c r="G647" s="73"/>
      <c r="H647" s="73"/>
      <c r="I647" s="73"/>
      <c r="J647" s="73"/>
      <c r="K647" s="73"/>
      <c r="L647" s="73"/>
      <c r="M647" s="73"/>
      <c r="N647" s="73"/>
      <c r="O647" s="73"/>
      <c r="P647" s="73"/>
      <c r="Q647" s="73"/>
      <c r="R647" s="73"/>
      <c r="S647" s="73"/>
      <c r="T647" s="73"/>
      <c r="U647" s="73"/>
      <c r="V647" s="73"/>
      <c r="W647" s="73"/>
      <c r="GL647" s="73"/>
      <c r="GM647" s="73"/>
      <c r="GN647" s="73"/>
      <c r="GO647" s="73"/>
      <c r="GP647" s="73"/>
      <c r="GQ647" s="73"/>
      <c r="GR647" s="73"/>
      <c r="GS647" s="73"/>
      <c r="GT647" s="73"/>
      <c r="GU647" s="73"/>
      <c r="GV647" s="73"/>
      <c r="GW647" s="73"/>
      <c r="GX647" s="73"/>
      <c r="GY647" s="73"/>
      <c r="GZ647" s="73"/>
      <c r="HA647" s="73"/>
      <c r="HB647" s="73"/>
      <c r="HC647" s="73"/>
      <c r="HD647" s="73"/>
      <c r="HE647" s="73"/>
      <c r="HF647" s="73"/>
      <c r="HG647" s="73"/>
      <c r="HH647" s="73"/>
      <c r="HI647" s="73"/>
      <c r="HJ647" s="73"/>
      <c r="HK647" s="73"/>
      <c r="HL647" s="73"/>
      <c r="HM647" s="73"/>
      <c r="HN647" s="73"/>
      <c r="HO647" s="73"/>
      <c r="HP647" s="73"/>
      <c r="HQ647" s="73"/>
      <c r="HR647" s="73"/>
      <c r="HS647" s="73"/>
      <c r="HT647" s="73"/>
      <c r="HU647" s="73"/>
      <c r="HV647" s="73"/>
      <c r="HW647" s="73"/>
      <c r="HX647" s="73"/>
      <c r="HY647" s="73"/>
      <c r="HZ647" s="73"/>
      <c r="IA647" s="73"/>
      <c r="IB647" s="73"/>
      <c r="IC647" s="73"/>
      <c r="ID647" s="73"/>
      <c r="IE647" s="73"/>
      <c r="IF647" s="73"/>
      <c r="IG647" s="73"/>
      <c r="IH647" s="73"/>
      <c r="II647" s="73"/>
      <c r="IJ647" s="73"/>
      <c r="IK647" s="73"/>
      <c r="IL647" s="73"/>
      <c r="IM647" s="73"/>
      <c r="IN647" s="73"/>
      <c r="IO647" s="73"/>
      <c r="IP647" s="73"/>
      <c r="IQ647" s="73"/>
      <c r="IR647" s="73"/>
      <c r="IS647" s="73"/>
      <c r="IT647" s="73"/>
      <c r="IU647" s="73"/>
      <c r="IV647" s="73"/>
      <c r="IW647" s="73"/>
      <c r="IX647" s="73"/>
      <c r="IY647" s="73"/>
      <c r="IZ647" s="73"/>
      <c r="JA647" s="73"/>
      <c r="JB647" s="73"/>
      <c r="JC647" s="73"/>
    </row>
    <row r="648" spans="2:263" s="72" customFormat="1">
      <c r="B648" s="73"/>
      <c r="C648" s="73"/>
      <c r="D648" s="73"/>
      <c r="E648" s="73"/>
      <c r="F648" s="73"/>
      <c r="G648" s="73"/>
      <c r="H648" s="73"/>
      <c r="I648" s="73"/>
      <c r="J648" s="73"/>
      <c r="K648" s="73"/>
      <c r="L648" s="73"/>
      <c r="M648" s="73"/>
      <c r="N648" s="73"/>
      <c r="O648" s="73"/>
      <c r="P648" s="73"/>
      <c r="Q648" s="73"/>
      <c r="R648" s="73"/>
      <c r="S648" s="73"/>
      <c r="T648" s="73"/>
      <c r="U648" s="73"/>
      <c r="V648" s="73"/>
      <c r="W648" s="73"/>
      <c r="GL648" s="73"/>
      <c r="GM648" s="73"/>
      <c r="GN648" s="73"/>
      <c r="GO648" s="73"/>
      <c r="GP648" s="73"/>
      <c r="GQ648" s="73"/>
      <c r="GR648" s="73"/>
      <c r="GS648" s="73"/>
      <c r="GT648" s="73"/>
      <c r="GU648" s="73"/>
      <c r="GV648" s="73"/>
      <c r="GW648" s="73"/>
      <c r="GX648" s="73"/>
      <c r="GY648" s="73"/>
      <c r="GZ648" s="73"/>
      <c r="HA648" s="73"/>
      <c r="HB648" s="73"/>
      <c r="HC648" s="73"/>
      <c r="HD648" s="73"/>
      <c r="HE648" s="73"/>
      <c r="HF648" s="73"/>
      <c r="HG648" s="73"/>
      <c r="HH648" s="73"/>
      <c r="HI648" s="73"/>
      <c r="HJ648" s="73"/>
      <c r="HK648" s="73"/>
      <c r="HL648" s="73"/>
      <c r="HM648" s="73"/>
      <c r="HN648" s="73"/>
      <c r="HO648" s="73"/>
      <c r="HP648" s="73"/>
      <c r="HQ648" s="73"/>
      <c r="HR648" s="73"/>
      <c r="HS648" s="73"/>
      <c r="HT648" s="73"/>
      <c r="HU648" s="73"/>
      <c r="HV648" s="73"/>
      <c r="HW648" s="73"/>
      <c r="HX648" s="73"/>
      <c r="HY648" s="73"/>
      <c r="HZ648" s="73"/>
      <c r="IA648" s="73"/>
      <c r="IB648" s="73"/>
      <c r="IC648" s="73"/>
      <c r="ID648" s="73"/>
      <c r="IE648" s="73"/>
      <c r="IF648" s="73"/>
      <c r="IG648" s="73"/>
      <c r="IH648" s="73"/>
      <c r="II648" s="73"/>
      <c r="IJ648" s="73"/>
      <c r="IK648" s="73"/>
      <c r="IL648" s="73"/>
      <c r="IM648" s="73"/>
      <c r="IN648" s="73"/>
      <c r="IO648" s="73"/>
      <c r="IP648" s="73"/>
      <c r="IQ648" s="73"/>
      <c r="IR648" s="73"/>
      <c r="IS648" s="73"/>
      <c r="IT648" s="73"/>
      <c r="IU648" s="73"/>
      <c r="IV648" s="73"/>
      <c r="IW648" s="73"/>
      <c r="IX648" s="73"/>
      <c r="IY648" s="73"/>
      <c r="IZ648" s="73"/>
      <c r="JA648" s="73"/>
      <c r="JB648" s="73"/>
      <c r="JC648" s="73"/>
    </row>
    <row r="649" spans="2:263" s="72" customFormat="1">
      <c r="B649" s="73"/>
      <c r="C649" s="73"/>
      <c r="D649" s="73"/>
      <c r="E649" s="73"/>
      <c r="F649" s="73"/>
      <c r="G649" s="73"/>
      <c r="H649" s="73"/>
      <c r="I649" s="73"/>
      <c r="J649" s="73"/>
      <c r="K649" s="73"/>
      <c r="L649" s="73"/>
      <c r="M649" s="73"/>
      <c r="N649" s="73"/>
      <c r="O649" s="73"/>
      <c r="P649" s="73"/>
      <c r="Q649" s="73"/>
      <c r="R649" s="73"/>
      <c r="S649" s="73"/>
      <c r="T649" s="73"/>
      <c r="U649" s="73"/>
      <c r="V649" s="73"/>
      <c r="W649" s="73"/>
      <c r="GL649" s="73"/>
      <c r="GM649" s="73"/>
      <c r="GN649" s="73"/>
      <c r="GO649" s="73"/>
      <c r="GP649" s="73"/>
      <c r="GQ649" s="73"/>
      <c r="GR649" s="73"/>
      <c r="GS649" s="73"/>
      <c r="GT649" s="73"/>
      <c r="GU649" s="73"/>
      <c r="GV649" s="73"/>
      <c r="GW649" s="73"/>
      <c r="GX649" s="73"/>
      <c r="GY649" s="73"/>
      <c r="GZ649" s="73"/>
      <c r="HA649" s="73"/>
      <c r="HB649" s="73"/>
      <c r="HC649" s="73"/>
      <c r="HD649" s="73"/>
      <c r="HE649" s="73"/>
      <c r="HF649" s="73"/>
      <c r="HG649" s="73"/>
      <c r="HH649" s="73"/>
      <c r="HI649" s="73"/>
      <c r="HJ649" s="73"/>
      <c r="HK649" s="73"/>
      <c r="HL649" s="73"/>
      <c r="HM649" s="73"/>
      <c r="HN649" s="73"/>
      <c r="HO649" s="73"/>
      <c r="HP649" s="73"/>
      <c r="HQ649" s="73"/>
      <c r="HR649" s="73"/>
      <c r="HS649" s="73"/>
      <c r="HT649" s="73"/>
      <c r="HU649" s="73"/>
      <c r="HV649" s="73"/>
      <c r="HW649" s="73"/>
      <c r="HX649" s="73"/>
      <c r="HY649" s="73"/>
      <c r="HZ649" s="73"/>
      <c r="IA649" s="73"/>
      <c r="IB649" s="73"/>
      <c r="IC649" s="73"/>
      <c r="ID649" s="73"/>
      <c r="IE649" s="73"/>
      <c r="IF649" s="73"/>
      <c r="IG649" s="73"/>
      <c r="IH649" s="73"/>
      <c r="II649" s="73"/>
      <c r="IJ649" s="73"/>
      <c r="IK649" s="73"/>
      <c r="IL649" s="73"/>
      <c r="IM649" s="73"/>
      <c r="IN649" s="73"/>
      <c r="IO649" s="73"/>
      <c r="IP649" s="73"/>
      <c r="IQ649" s="73"/>
      <c r="IR649" s="73"/>
      <c r="IS649" s="73"/>
      <c r="IT649" s="73"/>
      <c r="IU649" s="73"/>
      <c r="IV649" s="73"/>
      <c r="IW649" s="73"/>
      <c r="IX649" s="73"/>
      <c r="IY649" s="73"/>
      <c r="IZ649" s="73"/>
      <c r="JA649" s="73"/>
      <c r="JB649" s="73"/>
      <c r="JC649" s="73"/>
    </row>
    <row r="650" spans="2:263" s="72" customFormat="1">
      <c r="B650" s="73"/>
      <c r="C650" s="73"/>
      <c r="D650" s="73"/>
      <c r="E650" s="73"/>
      <c r="F650" s="73"/>
      <c r="G650" s="73"/>
      <c r="H650" s="73"/>
      <c r="I650" s="73"/>
      <c r="J650" s="73"/>
      <c r="K650" s="73"/>
      <c r="L650" s="73"/>
      <c r="M650" s="73"/>
      <c r="N650" s="73"/>
      <c r="O650" s="73"/>
      <c r="P650" s="73"/>
      <c r="Q650" s="73"/>
      <c r="R650" s="73"/>
      <c r="S650" s="73"/>
      <c r="T650" s="73"/>
      <c r="U650" s="73"/>
      <c r="V650" s="73"/>
      <c r="W650" s="73"/>
      <c r="GL650" s="73"/>
      <c r="GM650" s="73"/>
      <c r="GN650" s="73"/>
      <c r="GO650" s="73"/>
      <c r="GP650" s="73"/>
      <c r="GQ650" s="73"/>
      <c r="GR650" s="73"/>
      <c r="GS650" s="73"/>
      <c r="GT650" s="73"/>
      <c r="GU650" s="73"/>
      <c r="GV650" s="73"/>
      <c r="GW650" s="73"/>
      <c r="GX650" s="73"/>
      <c r="GY650" s="73"/>
      <c r="GZ650" s="73"/>
      <c r="HA650" s="73"/>
      <c r="HB650" s="73"/>
      <c r="HC650" s="73"/>
      <c r="HD650" s="73"/>
      <c r="HE650" s="73"/>
      <c r="HF650" s="73"/>
      <c r="HG650" s="73"/>
      <c r="HH650" s="73"/>
      <c r="HI650" s="73"/>
      <c r="HJ650" s="73"/>
      <c r="HK650" s="73"/>
      <c r="HL650" s="73"/>
      <c r="HM650" s="73"/>
      <c r="HN650" s="73"/>
      <c r="HO650" s="73"/>
      <c r="HP650" s="73"/>
      <c r="HQ650" s="73"/>
      <c r="HR650" s="73"/>
      <c r="HS650" s="73"/>
      <c r="HT650" s="73"/>
      <c r="HU650" s="73"/>
      <c r="HV650" s="73"/>
      <c r="HW650" s="73"/>
      <c r="HX650" s="73"/>
      <c r="HY650" s="73"/>
      <c r="HZ650" s="73"/>
      <c r="IA650" s="73"/>
      <c r="IB650" s="73"/>
      <c r="IC650" s="73"/>
      <c r="ID650" s="73"/>
      <c r="IE650" s="73"/>
      <c r="IF650" s="73"/>
      <c r="IG650" s="73"/>
      <c r="IH650" s="73"/>
      <c r="II650" s="73"/>
      <c r="IJ650" s="73"/>
      <c r="IK650" s="73"/>
      <c r="IL650" s="73"/>
      <c r="IM650" s="73"/>
      <c r="IN650" s="73"/>
      <c r="IO650" s="73"/>
      <c r="IP650" s="73"/>
      <c r="IQ650" s="73"/>
      <c r="IR650" s="73"/>
      <c r="IS650" s="73"/>
      <c r="IT650" s="73"/>
      <c r="IU650" s="73"/>
      <c r="IV650" s="73"/>
      <c r="IW650" s="73"/>
      <c r="IX650" s="73"/>
      <c r="IY650" s="73"/>
      <c r="IZ650" s="73"/>
      <c r="JA650" s="73"/>
      <c r="JB650" s="73"/>
      <c r="JC650" s="73"/>
    </row>
    <row r="651" spans="2:263" s="72" customFormat="1">
      <c r="B651" s="73"/>
      <c r="C651" s="73"/>
      <c r="D651" s="73"/>
      <c r="E651" s="73"/>
      <c r="F651" s="73"/>
      <c r="G651" s="73"/>
      <c r="H651" s="73"/>
      <c r="I651" s="73"/>
      <c r="J651" s="73"/>
      <c r="K651" s="73"/>
      <c r="L651" s="73"/>
      <c r="M651" s="73"/>
      <c r="N651" s="73"/>
      <c r="O651" s="73"/>
      <c r="P651" s="73"/>
      <c r="Q651" s="73"/>
      <c r="R651" s="73"/>
      <c r="S651" s="73"/>
      <c r="T651" s="73"/>
      <c r="U651" s="73"/>
      <c r="V651" s="73"/>
      <c r="W651" s="73"/>
      <c r="GL651" s="73"/>
      <c r="GM651" s="73"/>
      <c r="GN651" s="73"/>
      <c r="GO651" s="73"/>
      <c r="GP651" s="73"/>
      <c r="GQ651" s="73"/>
      <c r="GR651" s="73"/>
      <c r="GS651" s="73"/>
      <c r="GT651" s="73"/>
      <c r="GU651" s="73"/>
      <c r="GV651" s="73"/>
      <c r="GW651" s="73"/>
      <c r="GX651" s="73"/>
      <c r="GY651" s="73"/>
      <c r="GZ651" s="73"/>
      <c r="HA651" s="73"/>
      <c r="HB651" s="73"/>
      <c r="HC651" s="73"/>
      <c r="HD651" s="73"/>
      <c r="HE651" s="73"/>
      <c r="HF651" s="73"/>
      <c r="HG651" s="73"/>
      <c r="HH651" s="73"/>
      <c r="HI651" s="73"/>
      <c r="HJ651" s="73"/>
      <c r="HK651" s="73"/>
      <c r="HL651" s="73"/>
      <c r="HM651" s="73"/>
      <c r="HN651" s="73"/>
      <c r="HO651" s="73"/>
      <c r="HP651" s="73"/>
      <c r="HQ651" s="73"/>
      <c r="HR651" s="73"/>
      <c r="HS651" s="73"/>
      <c r="HT651" s="73"/>
      <c r="HU651" s="73"/>
      <c r="HV651" s="73"/>
      <c r="HW651" s="73"/>
      <c r="HX651" s="73"/>
      <c r="HY651" s="73"/>
      <c r="HZ651" s="73"/>
      <c r="IA651" s="73"/>
      <c r="IB651" s="73"/>
      <c r="IC651" s="73"/>
      <c r="ID651" s="73"/>
      <c r="IE651" s="73"/>
      <c r="IF651" s="73"/>
      <c r="IG651" s="73"/>
      <c r="IH651" s="73"/>
      <c r="II651" s="73"/>
      <c r="IJ651" s="73"/>
      <c r="IK651" s="73"/>
      <c r="IL651" s="73"/>
      <c r="IM651" s="73"/>
      <c r="IN651" s="73"/>
      <c r="IO651" s="73"/>
      <c r="IP651" s="73"/>
      <c r="IQ651" s="73"/>
      <c r="IR651" s="73"/>
      <c r="IS651" s="73"/>
      <c r="IT651" s="73"/>
      <c r="IU651" s="73"/>
      <c r="IV651" s="73"/>
      <c r="IW651" s="73"/>
      <c r="IX651" s="73"/>
      <c r="IY651" s="73"/>
      <c r="IZ651" s="73"/>
      <c r="JA651" s="73"/>
      <c r="JB651" s="73"/>
      <c r="JC651" s="73"/>
    </row>
    <row r="652" spans="2:263" s="72" customFormat="1">
      <c r="B652" s="73"/>
      <c r="C652" s="73"/>
      <c r="D652" s="73"/>
      <c r="E652" s="73"/>
      <c r="F652" s="73"/>
      <c r="G652" s="73"/>
      <c r="H652" s="73"/>
      <c r="I652" s="73"/>
      <c r="J652" s="73"/>
      <c r="K652" s="73"/>
      <c r="L652" s="73"/>
      <c r="M652" s="73"/>
      <c r="N652" s="73"/>
      <c r="O652" s="73"/>
      <c r="P652" s="73"/>
      <c r="Q652" s="73"/>
      <c r="R652" s="73"/>
      <c r="S652" s="73"/>
      <c r="T652" s="73"/>
      <c r="U652" s="73"/>
      <c r="V652" s="73"/>
      <c r="W652" s="73"/>
      <c r="GL652" s="73"/>
      <c r="GM652" s="73"/>
      <c r="GN652" s="73"/>
      <c r="GO652" s="73"/>
      <c r="GP652" s="73"/>
      <c r="GQ652" s="73"/>
      <c r="GR652" s="73"/>
      <c r="GS652" s="73"/>
      <c r="GT652" s="73"/>
      <c r="GU652" s="73"/>
      <c r="GV652" s="73"/>
      <c r="GW652" s="73"/>
      <c r="GX652" s="73"/>
      <c r="GY652" s="73"/>
      <c r="GZ652" s="73"/>
      <c r="HA652" s="73"/>
      <c r="HB652" s="73"/>
      <c r="HC652" s="73"/>
      <c r="HD652" s="73"/>
      <c r="HE652" s="73"/>
      <c r="HF652" s="73"/>
      <c r="HG652" s="73"/>
      <c r="HH652" s="73"/>
      <c r="HI652" s="73"/>
      <c r="HJ652" s="73"/>
      <c r="HK652" s="73"/>
      <c r="HL652" s="73"/>
      <c r="HM652" s="73"/>
      <c r="HN652" s="73"/>
      <c r="HO652" s="73"/>
      <c r="HP652" s="73"/>
      <c r="HQ652" s="73"/>
      <c r="HR652" s="73"/>
      <c r="HS652" s="73"/>
      <c r="HT652" s="73"/>
      <c r="HU652" s="73"/>
      <c r="HV652" s="73"/>
      <c r="HW652" s="73"/>
      <c r="HX652" s="73"/>
      <c r="HY652" s="73"/>
      <c r="HZ652" s="73"/>
      <c r="IA652" s="73"/>
      <c r="IB652" s="73"/>
      <c r="IC652" s="73"/>
      <c r="ID652" s="73"/>
      <c r="IE652" s="73"/>
      <c r="IF652" s="73"/>
      <c r="IG652" s="73"/>
      <c r="IH652" s="73"/>
      <c r="II652" s="73"/>
      <c r="IJ652" s="73"/>
      <c r="IK652" s="73"/>
      <c r="IL652" s="73"/>
      <c r="IM652" s="73"/>
      <c r="IN652" s="73"/>
      <c r="IO652" s="73"/>
      <c r="IP652" s="73"/>
      <c r="IQ652" s="73"/>
      <c r="IR652" s="73"/>
      <c r="IS652" s="73"/>
      <c r="IT652" s="73"/>
      <c r="IU652" s="73"/>
      <c r="IV652" s="73"/>
      <c r="IW652" s="73"/>
      <c r="IX652" s="73"/>
      <c r="IY652" s="73"/>
      <c r="IZ652" s="73"/>
      <c r="JA652" s="73"/>
      <c r="JB652" s="73"/>
      <c r="JC652" s="73"/>
    </row>
    <row r="653" spans="2:263" s="72" customFormat="1">
      <c r="B653" s="73"/>
      <c r="C653" s="73"/>
      <c r="D653" s="73"/>
      <c r="E653" s="73"/>
      <c r="F653" s="73"/>
      <c r="G653" s="73"/>
      <c r="H653" s="73"/>
      <c r="I653" s="73"/>
      <c r="J653" s="73"/>
      <c r="K653" s="73"/>
      <c r="L653" s="73"/>
      <c r="M653" s="73"/>
      <c r="N653" s="73"/>
      <c r="O653" s="73"/>
      <c r="P653" s="73"/>
      <c r="Q653" s="73"/>
      <c r="R653" s="73"/>
      <c r="S653" s="73"/>
      <c r="T653" s="73"/>
      <c r="U653" s="73"/>
      <c r="V653" s="73"/>
      <c r="W653" s="73"/>
      <c r="GL653" s="73"/>
      <c r="GM653" s="73"/>
      <c r="GN653" s="73"/>
      <c r="GO653" s="73"/>
      <c r="GP653" s="73"/>
      <c r="GQ653" s="73"/>
      <c r="GR653" s="73"/>
      <c r="GS653" s="73"/>
      <c r="GT653" s="73"/>
      <c r="GU653" s="73"/>
      <c r="GV653" s="73"/>
      <c r="GW653" s="73"/>
      <c r="GX653" s="73"/>
      <c r="GY653" s="73"/>
      <c r="GZ653" s="73"/>
      <c r="HA653" s="73"/>
      <c r="HB653" s="73"/>
      <c r="HC653" s="73"/>
      <c r="HD653" s="73"/>
      <c r="HE653" s="73"/>
      <c r="HF653" s="73"/>
      <c r="HG653" s="73"/>
      <c r="HH653" s="73"/>
      <c r="HI653" s="73"/>
      <c r="HJ653" s="73"/>
      <c r="HK653" s="73"/>
      <c r="HL653" s="73"/>
      <c r="HM653" s="73"/>
      <c r="HN653" s="73"/>
      <c r="HO653" s="73"/>
      <c r="HP653" s="73"/>
      <c r="HQ653" s="73"/>
      <c r="HR653" s="73"/>
      <c r="HS653" s="73"/>
      <c r="HT653" s="73"/>
      <c r="HU653" s="73"/>
      <c r="HV653" s="73"/>
      <c r="HW653" s="73"/>
      <c r="HX653" s="73"/>
      <c r="HY653" s="73"/>
      <c r="HZ653" s="73"/>
      <c r="IA653" s="73"/>
      <c r="IB653" s="73"/>
      <c r="IC653" s="73"/>
      <c r="ID653" s="73"/>
      <c r="IE653" s="73"/>
      <c r="IF653" s="73"/>
      <c r="IG653" s="73"/>
      <c r="IH653" s="73"/>
      <c r="II653" s="73"/>
      <c r="IJ653" s="73"/>
      <c r="IK653" s="73"/>
      <c r="IL653" s="73"/>
      <c r="IM653" s="73"/>
      <c r="IN653" s="73"/>
      <c r="IO653" s="73"/>
      <c r="IP653" s="73"/>
      <c r="IQ653" s="73"/>
      <c r="IR653" s="73"/>
      <c r="IS653" s="73"/>
      <c r="IT653" s="73"/>
      <c r="IU653" s="73"/>
      <c r="IV653" s="73"/>
      <c r="IW653" s="73"/>
      <c r="IX653" s="73"/>
      <c r="IY653" s="73"/>
      <c r="IZ653" s="73"/>
      <c r="JA653" s="73"/>
      <c r="JB653" s="73"/>
      <c r="JC653" s="73"/>
    </row>
    <row r="654" spans="2:263" s="72" customFormat="1">
      <c r="B654" s="73"/>
      <c r="C654" s="73"/>
      <c r="D654" s="73"/>
      <c r="E654" s="73"/>
      <c r="F654" s="73"/>
      <c r="G654" s="73"/>
      <c r="H654" s="73"/>
      <c r="I654" s="73"/>
      <c r="J654" s="73"/>
      <c r="K654" s="73"/>
      <c r="L654" s="73"/>
      <c r="M654" s="73"/>
      <c r="N654" s="73"/>
      <c r="O654" s="73"/>
      <c r="P654" s="73"/>
      <c r="Q654" s="73"/>
      <c r="R654" s="73"/>
      <c r="S654" s="73"/>
      <c r="T654" s="73"/>
      <c r="U654" s="73"/>
      <c r="V654" s="73"/>
      <c r="W654" s="73"/>
      <c r="GL654" s="73"/>
      <c r="GM654" s="73"/>
      <c r="GN654" s="73"/>
      <c r="GO654" s="73"/>
      <c r="GP654" s="73"/>
      <c r="GQ654" s="73"/>
      <c r="GR654" s="73"/>
      <c r="GS654" s="73"/>
      <c r="GT654" s="73"/>
      <c r="GU654" s="73"/>
      <c r="GV654" s="73"/>
      <c r="GW654" s="73"/>
      <c r="GX654" s="73"/>
      <c r="GY654" s="73"/>
      <c r="GZ654" s="73"/>
      <c r="HA654" s="73"/>
      <c r="HB654" s="73"/>
      <c r="HC654" s="73"/>
      <c r="HD654" s="73"/>
      <c r="HE654" s="73"/>
      <c r="HF654" s="73"/>
      <c r="HG654" s="73"/>
      <c r="HH654" s="73"/>
      <c r="HI654" s="73"/>
      <c r="HJ654" s="73"/>
      <c r="HK654" s="73"/>
      <c r="HL654" s="73"/>
      <c r="HM654" s="73"/>
      <c r="HN654" s="73"/>
      <c r="HO654" s="73"/>
      <c r="HP654" s="73"/>
      <c r="HQ654" s="73"/>
      <c r="HR654" s="73"/>
      <c r="HS654" s="73"/>
      <c r="HT654" s="73"/>
      <c r="HU654" s="73"/>
      <c r="HV654" s="73"/>
      <c r="HW654" s="73"/>
      <c r="HX654" s="73"/>
      <c r="HY654" s="73"/>
      <c r="HZ654" s="73"/>
      <c r="IA654" s="73"/>
      <c r="IB654" s="73"/>
      <c r="IC654" s="73"/>
      <c r="ID654" s="73"/>
      <c r="IE654" s="73"/>
      <c r="IF654" s="73"/>
      <c r="IG654" s="73"/>
      <c r="IH654" s="73"/>
      <c r="II654" s="73"/>
      <c r="IJ654" s="73"/>
      <c r="IK654" s="73"/>
      <c r="IL654" s="73"/>
      <c r="IM654" s="73"/>
      <c r="IN654" s="73"/>
      <c r="IO654" s="73"/>
      <c r="IP654" s="73"/>
      <c r="IQ654" s="73"/>
      <c r="IR654" s="73"/>
      <c r="IS654" s="73"/>
      <c r="IT654" s="73"/>
      <c r="IU654" s="73"/>
      <c r="IV654" s="73"/>
      <c r="IW654" s="73"/>
      <c r="IX654" s="73"/>
      <c r="IY654" s="73"/>
      <c r="IZ654" s="73"/>
      <c r="JA654" s="73"/>
      <c r="JB654" s="73"/>
      <c r="JC654" s="73"/>
    </row>
    <row r="655" spans="2:263" s="72" customFormat="1">
      <c r="B655" s="73"/>
      <c r="C655" s="73"/>
      <c r="D655" s="73"/>
      <c r="E655" s="73"/>
      <c r="F655" s="73"/>
      <c r="G655" s="73"/>
      <c r="H655" s="73"/>
      <c r="I655" s="73"/>
      <c r="J655" s="73"/>
      <c r="K655" s="73"/>
      <c r="L655" s="73"/>
      <c r="M655" s="73"/>
      <c r="N655" s="73"/>
      <c r="O655" s="73"/>
      <c r="P655" s="73"/>
      <c r="Q655" s="73"/>
      <c r="R655" s="73"/>
      <c r="S655" s="73"/>
      <c r="T655" s="73"/>
      <c r="U655" s="73"/>
      <c r="V655" s="73"/>
      <c r="W655" s="73"/>
      <c r="GL655" s="73"/>
      <c r="GM655" s="73"/>
      <c r="GN655" s="73"/>
      <c r="GO655" s="73"/>
      <c r="GP655" s="73"/>
      <c r="GQ655" s="73"/>
      <c r="GR655" s="73"/>
      <c r="GS655" s="73"/>
      <c r="GT655" s="73"/>
      <c r="GU655" s="73"/>
      <c r="GV655" s="73"/>
      <c r="GW655" s="73"/>
      <c r="GX655" s="73"/>
      <c r="GY655" s="73"/>
      <c r="GZ655" s="73"/>
      <c r="HA655" s="73"/>
      <c r="HB655" s="73"/>
      <c r="HC655" s="73"/>
      <c r="HD655" s="73"/>
      <c r="HE655" s="73"/>
      <c r="HF655" s="73"/>
      <c r="HG655" s="73"/>
      <c r="HH655" s="73"/>
      <c r="HI655" s="73"/>
      <c r="HJ655" s="73"/>
      <c r="HK655" s="73"/>
      <c r="HL655" s="73"/>
      <c r="HM655" s="73"/>
      <c r="HN655" s="73"/>
      <c r="HO655" s="73"/>
      <c r="HP655" s="73"/>
      <c r="HQ655" s="73"/>
      <c r="HR655" s="73"/>
      <c r="HS655" s="73"/>
      <c r="HT655" s="73"/>
      <c r="HU655" s="73"/>
      <c r="HV655" s="73"/>
      <c r="HW655" s="73"/>
      <c r="HX655" s="73"/>
      <c r="HY655" s="73"/>
      <c r="HZ655" s="73"/>
      <c r="IA655" s="73"/>
      <c r="IB655" s="73"/>
      <c r="IC655" s="73"/>
      <c r="ID655" s="73"/>
      <c r="IE655" s="73"/>
      <c r="IF655" s="73"/>
      <c r="IG655" s="73"/>
      <c r="IH655" s="73"/>
      <c r="II655" s="73"/>
      <c r="IJ655" s="73"/>
      <c r="IK655" s="73"/>
      <c r="IL655" s="73"/>
      <c r="IM655" s="73"/>
      <c r="IN655" s="73"/>
      <c r="IO655" s="73"/>
      <c r="IP655" s="73"/>
      <c r="IQ655" s="73"/>
      <c r="IR655" s="73"/>
      <c r="IS655" s="73"/>
      <c r="IT655" s="73"/>
      <c r="IU655" s="73"/>
      <c r="IV655" s="73"/>
      <c r="IW655" s="73"/>
      <c r="IX655" s="73"/>
      <c r="IY655" s="73"/>
      <c r="IZ655" s="73"/>
      <c r="JA655" s="73"/>
      <c r="JB655" s="73"/>
      <c r="JC655" s="73"/>
    </row>
    <row r="656" spans="2:263" s="72" customFormat="1">
      <c r="B656" s="73"/>
      <c r="C656" s="73"/>
      <c r="D656" s="73"/>
      <c r="E656" s="73"/>
      <c r="F656" s="73"/>
      <c r="G656" s="73"/>
      <c r="H656" s="73"/>
      <c r="I656" s="73"/>
      <c r="J656" s="73"/>
      <c r="K656" s="73"/>
      <c r="L656" s="73"/>
      <c r="M656" s="73"/>
      <c r="N656" s="73"/>
      <c r="O656" s="73"/>
      <c r="P656" s="73"/>
      <c r="Q656" s="73"/>
      <c r="R656" s="73"/>
      <c r="S656" s="73"/>
      <c r="T656" s="73"/>
      <c r="U656" s="73"/>
      <c r="V656" s="73"/>
      <c r="W656" s="73"/>
      <c r="GL656" s="73"/>
      <c r="GM656" s="73"/>
      <c r="GN656" s="73"/>
      <c r="GO656" s="73"/>
      <c r="GP656" s="73"/>
      <c r="GQ656" s="73"/>
      <c r="GR656" s="73"/>
      <c r="GS656" s="73"/>
      <c r="GT656" s="73"/>
      <c r="GU656" s="73"/>
      <c r="GV656" s="73"/>
      <c r="GW656" s="73"/>
      <c r="GX656" s="73"/>
      <c r="GY656" s="73"/>
      <c r="GZ656" s="73"/>
      <c r="HA656" s="73"/>
      <c r="HB656" s="73"/>
      <c r="HC656" s="73"/>
      <c r="HD656" s="73"/>
      <c r="HE656" s="73"/>
      <c r="HF656" s="73"/>
      <c r="HG656" s="73"/>
      <c r="HH656" s="73"/>
      <c r="HI656" s="73"/>
      <c r="HJ656" s="73"/>
      <c r="HK656" s="73"/>
      <c r="HL656" s="73"/>
      <c r="HM656" s="73"/>
      <c r="HN656" s="73"/>
      <c r="HO656" s="73"/>
      <c r="HP656" s="73"/>
      <c r="HQ656" s="73"/>
      <c r="HR656" s="73"/>
      <c r="HS656" s="73"/>
      <c r="HT656" s="73"/>
      <c r="HU656" s="73"/>
      <c r="HV656" s="73"/>
      <c r="HW656" s="73"/>
      <c r="HX656" s="73"/>
      <c r="HY656" s="73"/>
      <c r="HZ656" s="73"/>
      <c r="IA656" s="73"/>
      <c r="IB656" s="73"/>
      <c r="IC656" s="73"/>
      <c r="ID656" s="73"/>
      <c r="IE656" s="73"/>
      <c r="IF656" s="73"/>
      <c r="IG656" s="73"/>
      <c r="IH656" s="73"/>
      <c r="II656" s="73"/>
      <c r="IJ656" s="73"/>
      <c r="IK656" s="73"/>
      <c r="IL656" s="73"/>
      <c r="IM656" s="73"/>
      <c r="IN656" s="73"/>
      <c r="IO656" s="73"/>
      <c r="IP656" s="73"/>
      <c r="IQ656" s="73"/>
      <c r="IR656" s="73"/>
      <c r="IS656" s="73"/>
      <c r="IT656" s="73"/>
      <c r="IU656" s="73"/>
      <c r="IV656" s="73"/>
      <c r="IW656" s="73"/>
      <c r="IX656" s="73"/>
      <c r="IY656" s="73"/>
      <c r="IZ656" s="73"/>
      <c r="JA656" s="73"/>
      <c r="JB656" s="73"/>
      <c r="JC656" s="73"/>
    </row>
    <row r="657" spans="2:263" s="72" customFormat="1">
      <c r="B657" s="73"/>
      <c r="C657" s="73"/>
      <c r="D657" s="73"/>
      <c r="E657" s="73"/>
      <c r="F657" s="73"/>
      <c r="G657" s="73"/>
      <c r="H657" s="73"/>
      <c r="I657" s="73"/>
      <c r="J657" s="73"/>
      <c r="K657" s="73"/>
      <c r="L657" s="73"/>
      <c r="M657" s="73"/>
      <c r="N657" s="73"/>
      <c r="O657" s="73"/>
      <c r="P657" s="73"/>
      <c r="Q657" s="73"/>
      <c r="R657" s="73"/>
      <c r="S657" s="73"/>
      <c r="T657" s="73"/>
      <c r="U657" s="73"/>
      <c r="V657" s="73"/>
      <c r="W657" s="73"/>
      <c r="GL657" s="73"/>
      <c r="GM657" s="73"/>
      <c r="GN657" s="73"/>
      <c r="GO657" s="73"/>
      <c r="GP657" s="73"/>
      <c r="GQ657" s="73"/>
      <c r="GR657" s="73"/>
      <c r="GS657" s="73"/>
      <c r="GT657" s="73"/>
      <c r="GU657" s="73"/>
      <c r="GV657" s="73"/>
      <c r="GW657" s="73"/>
      <c r="GX657" s="73"/>
      <c r="GY657" s="73"/>
      <c r="GZ657" s="73"/>
      <c r="HA657" s="73"/>
      <c r="HB657" s="73"/>
      <c r="HC657" s="73"/>
      <c r="HD657" s="73"/>
      <c r="HE657" s="73"/>
      <c r="HF657" s="73"/>
      <c r="HG657" s="73"/>
      <c r="HH657" s="73"/>
      <c r="HI657" s="73"/>
      <c r="HJ657" s="73"/>
      <c r="HK657" s="73"/>
      <c r="HL657" s="73"/>
      <c r="HM657" s="73"/>
      <c r="HN657" s="73"/>
      <c r="HO657" s="73"/>
      <c r="HP657" s="73"/>
      <c r="HQ657" s="73"/>
      <c r="HR657" s="73"/>
      <c r="HS657" s="73"/>
      <c r="HT657" s="73"/>
      <c r="HU657" s="73"/>
      <c r="HV657" s="73"/>
      <c r="HW657" s="73"/>
      <c r="HX657" s="73"/>
      <c r="HY657" s="73"/>
      <c r="HZ657" s="73"/>
      <c r="IA657" s="73"/>
      <c r="IB657" s="73"/>
      <c r="IC657" s="73"/>
      <c r="ID657" s="73"/>
      <c r="IE657" s="73"/>
      <c r="IF657" s="73"/>
      <c r="IG657" s="73"/>
      <c r="IH657" s="73"/>
      <c r="II657" s="73"/>
      <c r="IJ657" s="73"/>
      <c r="IK657" s="73"/>
      <c r="IL657" s="73"/>
      <c r="IM657" s="73"/>
      <c r="IN657" s="73"/>
      <c r="IO657" s="73"/>
      <c r="IP657" s="73"/>
      <c r="IQ657" s="73"/>
      <c r="IR657" s="73"/>
      <c r="IS657" s="73"/>
      <c r="IT657" s="73"/>
      <c r="IU657" s="73"/>
      <c r="IV657" s="73"/>
      <c r="IW657" s="73"/>
      <c r="IX657" s="73"/>
      <c r="IY657" s="73"/>
      <c r="IZ657" s="73"/>
      <c r="JA657" s="73"/>
      <c r="JB657" s="73"/>
      <c r="JC657" s="73"/>
    </row>
    <row r="658" spans="2:263" s="72" customFormat="1">
      <c r="B658" s="73"/>
      <c r="C658" s="73"/>
      <c r="D658" s="73"/>
      <c r="E658" s="73"/>
      <c r="F658" s="73"/>
      <c r="G658" s="73"/>
      <c r="H658" s="73"/>
      <c r="I658" s="73"/>
      <c r="J658" s="73"/>
      <c r="K658" s="73"/>
      <c r="L658" s="73"/>
      <c r="M658" s="73"/>
      <c r="N658" s="73"/>
      <c r="O658" s="73"/>
      <c r="P658" s="73"/>
      <c r="Q658" s="73"/>
      <c r="R658" s="73"/>
      <c r="S658" s="73"/>
      <c r="T658" s="73"/>
      <c r="U658" s="73"/>
      <c r="V658" s="73"/>
      <c r="W658" s="73"/>
      <c r="GL658" s="73"/>
      <c r="GM658" s="73"/>
      <c r="GN658" s="73"/>
      <c r="GO658" s="73"/>
      <c r="GP658" s="73"/>
      <c r="GQ658" s="73"/>
      <c r="GR658" s="73"/>
      <c r="GS658" s="73"/>
      <c r="GT658" s="73"/>
      <c r="GU658" s="73"/>
      <c r="GV658" s="73"/>
      <c r="GW658" s="73"/>
      <c r="GX658" s="73"/>
      <c r="GY658" s="73"/>
      <c r="GZ658" s="73"/>
      <c r="HA658" s="73"/>
      <c r="HB658" s="73"/>
      <c r="HC658" s="73"/>
      <c r="HD658" s="73"/>
      <c r="HE658" s="73"/>
      <c r="HF658" s="73"/>
      <c r="HG658" s="73"/>
      <c r="HH658" s="73"/>
      <c r="HI658" s="73"/>
      <c r="HJ658" s="73"/>
      <c r="HK658" s="73"/>
      <c r="HL658" s="73"/>
      <c r="HM658" s="73"/>
      <c r="HN658" s="73"/>
      <c r="HO658" s="73"/>
      <c r="HP658" s="73"/>
      <c r="HQ658" s="73"/>
      <c r="HR658" s="73"/>
      <c r="HS658" s="73"/>
      <c r="HT658" s="73"/>
      <c r="HU658" s="73"/>
      <c r="HV658" s="73"/>
      <c r="HW658" s="73"/>
      <c r="HX658" s="73"/>
      <c r="HY658" s="73"/>
      <c r="HZ658" s="73"/>
      <c r="IA658" s="73"/>
      <c r="IB658" s="73"/>
      <c r="IC658" s="73"/>
      <c r="ID658" s="73"/>
      <c r="IE658" s="73"/>
      <c r="IF658" s="73"/>
      <c r="IG658" s="73"/>
      <c r="IH658" s="73"/>
      <c r="II658" s="73"/>
      <c r="IJ658" s="73"/>
      <c r="IK658" s="73"/>
      <c r="IL658" s="73"/>
      <c r="IM658" s="73"/>
      <c r="IN658" s="73"/>
      <c r="IO658" s="73"/>
      <c r="IP658" s="73"/>
      <c r="IQ658" s="73"/>
      <c r="IR658" s="73"/>
      <c r="IS658" s="73"/>
      <c r="IT658" s="73"/>
      <c r="IU658" s="73"/>
      <c r="IV658" s="73"/>
      <c r="IW658" s="73"/>
      <c r="IX658" s="73"/>
      <c r="IY658" s="73"/>
      <c r="IZ658" s="73"/>
      <c r="JA658" s="73"/>
      <c r="JB658" s="73"/>
      <c r="JC658" s="73"/>
    </row>
    <row r="659" spans="2:263" s="72" customFormat="1">
      <c r="B659" s="73"/>
      <c r="C659" s="73"/>
      <c r="D659" s="73"/>
      <c r="E659" s="73"/>
      <c r="F659" s="73"/>
      <c r="G659" s="73"/>
      <c r="H659" s="73"/>
      <c r="I659" s="73"/>
      <c r="J659" s="73"/>
      <c r="K659" s="73"/>
      <c r="L659" s="73"/>
      <c r="M659" s="73"/>
      <c r="N659" s="73"/>
      <c r="O659" s="73"/>
      <c r="P659" s="73"/>
      <c r="Q659" s="73"/>
      <c r="R659" s="73"/>
      <c r="S659" s="73"/>
      <c r="T659" s="73"/>
      <c r="U659" s="73"/>
      <c r="V659" s="73"/>
      <c r="W659" s="73"/>
      <c r="GL659" s="73"/>
      <c r="GM659" s="73"/>
      <c r="GN659" s="73"/>
      <c r="GO659" s="73"/>
      <c r="GP659" s="73"/>
      <c r="GQ659" s="73"/>
      <c r="GR659" s="73"/>
      <c r="GS659" s="73"/>
      <c r="GT659" s="73"/>
      <c r="GU659" s="73"/>
      <c r="GV659" s="73"/>
      <c r="GW659" s="73"/>
      <c r="GX659" s="73"/>
      <c r="GY659" s="73"/>
      <c r="GZ659" s="73"/>
      <c r="HA659" s="73"/>
      <c r="HB659" s="73"/>
      <c r="HC659" s="73"/>
      <c r="HD659" s="73"/>
      <c r="HE659" s="73"/>
      <c r="HF659" s="73"/>
      <c r="HG659" s="73"/>
      <c r="HH659" s="73"/>
      <c r="HI659" s="73"/>
      <c r="HJ659" s="73"/>
      <c r="HK659" s="73"/>
      <c r="HL659" s="73"/>
      <c r="HM659" s="73"/>
      <c r="HN659" s="73"/>
      <c r="HO659" s="73"/>
      <c r="HP659" s="73"/>
      <c r="HQ659" s="73"/>
      <c r="HR659" s="73"/>
      <c r="HS659" s="73"/>
      <c r="HT659" s="73"/>
      <c r="HU659" s="73"/>
      <c r="HV659" s="73"/>
      <c r="HW659" s="73"/>
      <c r="HX659" s="73"/>
      <c r="HY659" s="73"/>
      <c r="HZ659" s="73"/>
      <c r="IA659" s="73"/>
      <c r="IB659" s="73"/>
      <c r="IC659" s="73"/>
      <c r="ID659" s="73"/>
      <c r="IE659" s="73"/>
      <c r="IF659" s="73"/>
      <c r="IG659" s="73"/>
      <c r="IH659" s="73"/>
      <c r="II659" s="73"/>
      <c r="IJ659" s="73"/>
      <c r="IK659" s="73"/>
      <c r="IL659" s="73"/>
      <c r="IM659" s="73"/>
      <c r="IN659" s="73"/>
      <c r="IO659" s="73"/>
      <c r="IP659" s="73"/>
      <c r="IQ659" s="73"/>
      <c r="IR659" s="73"/>
      <c r="IS659" s="73"/>
      <c r="IT659" s="73"/>
      <c r="IU659" s="73"/>
      <c r="IV659" s="73"/>
      <c r="IW659" s="73"/>
      <c r="IX659" s="73"/>
      <c r="IY659" s="73"/>
      <c r="IZ659" s="73"/>
      <c r="JA659" s="73"/>
      <c r="JB659" s="73"/>
      <c r="JC659" s="73"/>
    </row>
    <row r="660" spans="2:263" s="72" customFormat="1">
      <c r="B660" s="73"/>
      <c r="C660" s="73"/>
      <c r="D660" s="73"/>
      <c r="E660" s="73"/>
      <c r="F660" s="73"/>
      <c r="G660" s="73"/>
      <c r="H660" s="73"/>
      <c r="I660" s="73"/>
      <c r="J660" s="73"/>
      <c r="K660" s="73"/>
      <c r="L660" s="73"/>
      <c r="M660" s="73"/>
      <c r="N660" s="73"/>
      <c r="O660" s="73"/>
      <c r="P660" s="73"/>
      <c r="Q660" s="73"/>
      <c r="R660" s="73"/>
      <c r="S660" s="73"/>
      <c r="T660" s="73"/>
      <c r="U660" s="73"/>
      <c r="V660" s="73"/>
      <c r="W660" s="73"/>
      <c r="GL660" s="73"/>
      <c r="GM660" s="73"/>
      <c r="GN660" s="73"/>
      <c r="GO660" s="73"/>
      <c r="GP660" s="73"/>
      <c r="GQ660" s="73"/>
      <c r="GR660" s="73"/>
      <c r="GS660" s="73"/>
      <c r="GT660" s="73"/>
      <c r="GU660" s="73"/>
      <c r="GV660" s="73"/>
      <c r="GW660" s="73"/>
      <c r="GX660" s="73"/>
      <c r="GY660" s="73"/>
      <c r="GZ660" s="73"/>
      <c r="HA660" s="73"/>
      <c r="HB660" s="73"/>
      <c r="HC660" s="73"/>
      <c r="HD660" s="73"/>
      <c r="HE660" s="73"/>
      <c r="HF660" s="73"/>
      <c r="HG660" s="73"/>
      <c r="HH660" s="73"/>
      <c r="HI660" s="73"/>
      <c r="HJ660" s="73"/>
      <c r="HK660" s="73"/>
      <c r="HL660" s="73"/>
      <c r="HM660" s="73"/>
      <c r="HN660" s="73"/>
      <c r="HO660" s="73"/>
      <c r="HP660" s="73"/>
      <c r="HQ660" s="73"/>
      <c r="HR660" s="73"/>
      <c r="HS660" s="73"/>
      <c r="HT660" s="73"/>
      <c r="HU660" s="73"/>
      <c r="HV660" s="73"/>
      <c r="HW660" s="73"/>
      <c r="HX660" s="73"/>
      <c r="HY660" s="73"/>
      <c r="HZ660" s="73"/>
      <c r="IA660" s="73"/>
      <c r="IB660" s="73"/>
      <c r="IC660" s="73"/>
      <c r="ID660" s="73"/>
      <c r="IE660" s="73"/>
      <c r="IF660" s="73"/>
      <c r="IG660" s="73"/>
      <c r="IH660" s="73"/>
      <c r="II660" s="73"/>
      <c r="IJ660" s="73"/>
      <c r="IK660" s="73"/>
      <c r="IL660" s="73"/>
      <c r="IM660" s="73"/>
      <c r="IN660" s="73"/>
      <c r="IO660" s="73"/>
      <c r="IP660" s="73"/>
      <c r="IQ660" s="73"/>
      <c r="IR660" s="73"/>
      <c r="IS660" s="73"/>
      <c r="IT660" s="73"/>
      <c r="IU660" s="73"/>
      <c r="IV660" s="73"/>
      <c r="IW660" s="73"/>
      <c r="IX660" s="73"/>
      <c r="IY660" s="73"/>
      <c r="IZ660" s="73"/>
      <c r="JA660" s="73"/>
      <c r="JB660" s="73"/>
      <c r="JC660" s="73"/>
    </row>
    <row r="661" spans="2:263" s="72" customFormat="1">
      <c r="B661" s="73"/>
      <c r="C661" s="73"/>
      <c r="D661" s="73"/>
      <c r="E661" s="73"/>
      <c r="F661" s="73"/>
      <c r="G661" s="73"/>
      <c r="H661" s="73"/>
      <c r="I661" s="73"/>
      <c r="J661" s="73"/>
      <c r="K661" s="73"/>
      <c r="L661" s="73"/>
      <c r="M661" s="73"/>
      <c r="N661" s="73"/>
      <c r="O661" s="73"/>
      <c r="P661" s="73"/>
      <c r="Q661" s="73"/>
      <c r="R661" s="73"/>
      <c r="S661" s="73"/>
      <c r="T661" s="73"/>
      <c r="U661" s="73"/>
      <c r="V661" s="73"/>
      <c r="W661" s="73"/>
      <c r="GL661" s="73"/>
      <c r="GM661" s="73"/>
      <c r="GN661" s="73"/>
      <c r="GO661" s="73"/>
      <c r="GP661" s="73"/>
      <c r="GQ661" s="73"/>
      <c r="GR661" s="73"/>
      <c r="GS661" s="73"/>
      <c r="GT661" s="73"/>
      <c r="GU661" s="73"/>
      <c r="GV661" s="73"/>
      <c r="GW661" s="73"/>
      <c r="GX661" s="73"/>
      <c r="GY661" s="73"/>
      <c r="GZ661" s="73"/>
      <c r="HA661" s="73"/>
      <c r="HB661" s="73"/>
      <c r="HC661" s="73"/>
      <c r="HD661" s="73"/>
      <c r="HE661" s="73"/>
      <c r="HF661" s="73"/>
      <c r="HG661" s="73"/>
      <c r="HH661" s="73"/>
      <c r="HI661" s="73"/>
      <c r="HJ661" s="73"/>
      <c r="HK661" s="73"/>
      <c r="HL661" s="73"/>
      <c r="HM661" s="73"/>
      <c r="HN661" s="73"/>
      <c r="HO661" s="73"/>
      <c r="HP661" s="73"/>
      <c r="HQ661" s="73"/>
      <c r="HR661" s="73"/>
      <c r="HS661" s="73"/>
      <c r="HT661" s="73"/>
      <c r="HU661" s="73"/>
      <c r="HV661" s="73"/>
      <c r="HW661" s="73"/>
      <c r="HX661" s="73"/>
      <c r="HY661" s="73"/>
      <c r="HZ661" s="73"/>
      <c r="IA661" s="73"/>
      <c r="IB661" s="73"/>
      <c r="IC661" s="73"/>
      <c r="ID661" s="73"/>
      <c r="IE661" s="73"/>
      <c r="IF661" s="73"/>
      <c r="IG661" s="73"/>
      <c r="IH661" s="73"/>
      <c r="II661" s="73"/>
      <c r="IJ661" s="73"/>
      <c r="IK661" s="73"/>
      <c r="IL661" s="73"/>
      <c r="IM661" s="73"/>
      <c r="IN661" s="73"/>
      <c r="IO661" s="73"/>
      <c r="IP661" s="73"/>
      <c r="IQ661" s="73"/>
      <c r="IR661" s="73"/>
      <c r="IS661" s="73"/>
      <c r="IT661" s="73"/>
      <c r="IU661" s="73"/>
      <c r="IV661" s="73"/>
      <c r="IW661" s="73"/>
      <c r="IX661" s="73"/>
      <c r="IY661" s="73"/>
      <c r="IZ661" s="73"/>
      <c r="JA661" s="73"/>
      <c r="JB661" s="73"/>
      <c r="JC661" s="73"/>
    </row>
    <row r="662" spans="2:263" s="72" customFormat="1">
      <c r="B662" s="73"/>
      <c r="C662" s="73"/>
      <c r="D662" s="73"/>
      <c r="E662" s="73"/>
      <c r="F662" s="73"/>
      <c r="G662" s="73"/>
      <c r="H662" s="73"/>
      <c r="I662" s="73"/>
      <c r="J662" s="73"/>
      <c r="K662" s="73"/>
      <c r="L662" s="73"/>
      <c r="M662" s="73"/>
      <c r="N662" s="73"/>
      <c r="O662" s="73"/>
      <c r="P662" s="73"/>
      <c r="Q662" s="73"/>
      <c r="R662" s="73"/>
      <c r="S662" s="73"/>
      <c r="T662" s="73"/>
      <c r="U662" s="73"/>
      <c r="V662" s="73"/>
      <c r="W662" s="73"/>
      <c r="GL662" s="73"/>
      <c r="GM662" s="73"/>
      <c r="GN662" s="73"/>
      <c r="GO662" s="73"/>
      <c r="GP662" s="73"/>
      <c r="GQ662" s="73"/>
      <c r="GR662" s="73"/>
      <c r="GS662" s="73"/>
      <c r="GT662" s="73"/>
      <c r="GU662" s="73"/>
      <c r="GV662" s="73"/>
      <c r="GW662" s="73"/>
      <c r="GX662" s="73"/>
      <c r="GY662" s="73"/>
      <c r="GZ662" s="73"/>
      <c r="HA662" s="73"/>
      <c r="HB662" s="73"/>
      <c r="HC662" s="73"/>
      <c r="HD662" s="73"/>
      <c r="HE662" s="73"/>
      <c r="HF662" s="73"/>
      <c r="HG662" s="73"/>
      <c r="HH662" s="73"/>
      <c r="HI662" s="73"/>
      <c r="HJ662" s="73"/>
      <c r="HK662" s="73"/>
      <c r="HL662" s="73"/>
      <c r="HM662" s="73"/>
      <c r="HN662" s="73"/>
      <c r="HO662" s="73"/>
      <c r="HP662" s="73"/>
      <c r="HQ662" s="73"/>
      <c r="HR662" s="73"/>
      <c r="HS662" s="73"/>
      <c r="HT662" s="73"/>
      <c r="HU662" s="73"/>
      <c r="HV662" s="73"/>
      <c r="HW662" s="73"/>
      <c r="HX662" s="73"/>
      <c r="HY662" s="73"/>
      <c r="HZ662" s="73"/>
      <c r="IA662" s="73"/>
      <c r="IB662" s="73"/>
      <c r="IC662" s="73"/>
      <c r="ID662" s="73"/>
      <c r="IE662" s="73"/>
      <c r="IF662" s="73"/>
      <c r="IG662" s="73"/>
      <c r="IH662" s="73"/>
      <c r="II662" s="73"/>
      <c r="IJ662" s="73"/>
      <c r="IK662" s="73"/>
      <c r="IL662" s="73"/>
      <c r="IM662" s="73"/>
      <c r="IN662" s="73"/>
      <c r="IO662" s="73"/>
      <c r="IP662" s="73"/>
      <c r="IQ662" s="73"/>
      <c r="IR662" s="73"/>
      <c r="IS662" s="73"/>
      <c r="IT662" s="73"/>
      <c r="IU662" s="73"/>
      <c r="IV662" s="73"/>
      <c r="IW662" s="73"/>
      <c r="IX662" s="73"/>
      <c r="IY662" s="73"/>
      <c r="IZ662" s="73"/>
      <c r="JA662" s="73"/>
      <c r="JB662" s="73"/>
      <c r="JC662" s="73"/>
    </row>
    <row r="663" spans="2:263" s="72" customFormat="1">
      <c r="B663" s="73"/>
      <c r="C663" s="73"/>
      <c r="D663" s="73"/>
      <c r="E663" s="73"/>
      <c r="F663" s="73"/>
      <c r="G663" s="73"/>
      <c r="H663" s="73"/>
      <c r="I663" s="73"/>
      <c r="J663" s="73"/>
      <c r="K663" s="73"/>
      <c r="L663" s="73"/>
      <c r="M663" s="73"/>
      <c r="N663" s="73"/>
      <c r="O663" s="73"/>
      <c r="P663" s="73"/>
      <c r="Q663" s="73"/>
      <c r="R663" s="73"/>
      <c r="S663" s="73"/>
      <c r="T663" s="73"/>
      <c r="U663" s="73"/>
      <c r="V663" s="73"/>
      <c r="W663" s="73"/>
      <c r="GL663" s="73"/>
      <c r="GM663" s="73"/>
      <c r="GN663" s="73"/>
      <c r="GO663" s="73"/>
      <c r="GP663" s="73"/>
      <c r="GQ663" s="73"/>
      <c r="GR663" s="73"/>
      <c r="GS663" s="73"/>
      <c r="GT663" s="73"/>
      <c r="GU663" s="73"/>
      <c r="GV663" s="73"/>
      <c r="GW663" s="73"/>
      <c r="GX663" s="73"/>
      <c r="GY663" s="73"/>
      <c r="GZ663" s="73"/>
      <c r="HA663" s="73"/>
      <c r="HB663" s="73"/>
      <c r="HC663" s="73"/>
      <c r="HD663" s="73"/>
      <c r="HE663" s="73"/>
      <c r="HF663" s="73"/>
      <c r="HG663" s="73"/>
      <c r="HH663" s="73"/>
      <c r="HI663" s="73"/>
      <c r="HJ663" s="73"/>
      <c r="HK663" s="73"/>
      <c r="HL663" s="73"/>
      <c r="HM663" s="73"/>
      <c r="HN663" s="73"/>
      <c r="HO663" s="73"/>
      <c r="HP663" s="73"/>
      <c r="HQ663" s="73"/>
      <c r="HR663" s="73"/>
      <c r="HS663" s="73"/>
      <c r="HT663" s="73"/>
      <c r="HU663" s="73"/>
      <c r="HV663" s="73"/>
      <c r="HW663" s="73"/>
      <c r="HX663" s="73"/>
      <c r="HY663" s="73"/>
      <c r="HZ663" s="73"/>
      <c r="IA663" s="73"/>
      <c r="IB663" s="73"/>
      <c r="IC663" s="73"/>
      <c r="ID663" s="73"/>
      <c r="IE663" s="73"/>
      <c r="IF663" s="73"/>
      <c r="IG663" s="73"/>
      <c r="IH663" s="73"/>
      <c r="II663" s="73"/>
      <c r="IJ663" s="73"/>
      <c r="IK663" s="73"/>
      <c r="IL663" s="73"/>
      <c r="IM663" s="73"/>
      <c r="IN663" s="73"/>
      <c r="IO663" s="73"/>
      <c r="IP663" s="73"/>
      <c r="IQ663" s="73"/>
      <c r="IR663" s="73"/>
      <c r="IS663" s="73"/>
      <c r="IT663" s="73"/>
      <c r="IU663" s="73"/>
      <c r="IV663" s="73"/>
      <c r="IW663" s="73"/>
      <c r="IX663" s="73"/>
      <c r="IY663" s="73"/>
      <c r="IZ663" s="73"/>
      <c r="JA663" s="73"/>
      <c r="JB663" s="73"/>
      <c r="JC663" s="73"/>
    </row>
    <row r="664" spans="2:263" s="72" customFormat="1">
      <c r="B664" s="73"/>
      <c r="C664" s="73"/>
      <c r="D664" s="73"/>
      <c r="E664" s="73"/>
      <c r="F664" s="73"/>
      <c r="G664" s="73"/>
      <c r="H664" s="73"/>
      <c r="I664" s="73"/>
      <c r="J664" s="73"/>
      <c r="K664" s="73"/>
      <c r="L664" s="73"/>
      <c r="M664" s="73"/>
      <c r="N664" s="73"/>
      <c r="O664" s="73"/>
      <c r="P664" s="73"/>
      <c r="Q664" s="73"/>
      <c r="R664" s="73"/>
      <c r="S664" s="73"/>
      <c r="T664" s="73"/>
      <c r="U664" s="73"/>
      <c r="V664" s="73"/>
      <c r="W664" s="73"/>
      <c r="GL664" s="73"/>
      <c r="GM664" s="73"/>
      <c r="GN664" s="73"/>
      <c r="GO664" s="73"/>
      <c r="GP664" s="73"/>
      <c r="GQ664" s="73"/>
      <c r="GR664" s="73"/>
      <c r="GS664" s="73"/>
      <c r="GT664" s="73"/>
      <c r="GU664" s="73"/>
      <c r="GV664" s="73"/>
      <c r="GW664" s="73"/>
      <c r="GX664" s="73"/>
      <c r="GY664" s="73"/>
      <c r="GZ664" s="73"/>
      <c r="HA664" s="73"/>
      <c r="HB664" s="73"/>
      <c r="HC664" s="73"/>
      <c r="HD664" s="73"/>
      <c r="HE664" s="73"/>
      <c r="HF664" s="73"/>
      <c r="HG664" s="73"/>
      <c r="HH664" s="73"/>
      <c r="HI664" s="73"/>
      <c r="HJ664" s="73"/>
      <c r="HK664" s="73"/>
      <c r="HL664" s="73"/>
      <c r="HM664" s="73"/>
      <c r="HN664" s="73"/>
      <c r="HO664" s="73"/>
      <c r="HP664" s="73"/>
      <c r="HQ664" s="73"/>
      <c r="HR664" s="73"/>
      <c r="HS664" s="73"/>
      <c r="HT664" s="73"/>
      <c r="HU664" s="73"/>
      <c r="HV664" s="73"/>
      <c r="HW664" s="73"/>
      <c r="HX664" s="73"/>
      <c r="HY664" s="73"/>
      <c r="HZ664" s="73"/>
      <c r="IA664" s="73"/>
      <c r="IB664" s="73"/>
      <c r="IC664" s="73"/>
      <c r="ID664" s="73"/>
      <c r="IE664" s="73"/>
      <c r="IF664" s="73"/>
      <c r="IG664" s="73"/>
      <c r="IH664" s="73"/>
      <c r="II664" s="73"/>
      <c r="IJ664" s="73"/>
      <c r="IK664" s="73"/>
      <c r="IL664" s="73"/>
      <c r="IM664" s="73"/>
      <c r="IN664" s="73"/>
      <c r="IO664" s="73"/>
      <c r="IP664" s="73"/>
      <c r="IQ664" s="73"/>
      <c r="IR664" s="73"/>
      <c r="IS664" s="73"/>
      <c r="IT664" s="73"/>
      <c r="IU664" s="73"/>
      <c r="IV664" s="73"/>
      <c r="IW664" s="73"/>
      <c r="IX664" s="73"/>
      <c r="IY664" s="73"/>
      <c r="IZ664" s="73"/>
      <c r="JA664" s="73"/>
      <c r="JB664" s="73"/>
      <c r="JC664" s="73"/>
    </row>
    <row r="665" spans="2:263" s="72" customFormat="1">
      <c r="B665" s="73"/>
      <c r="C665" s="73"/>
      <c r="D665" s="73"/>
      <c r="E665" s="73"/>
      <c r="F665" s="73"/>
      <c r="G665" s="73"/>
      <c r="H665" s="73"/>
      <c r="I665" s="73"/>
      <c r="J665" s="73"/>
      <c r="K665" s="73"/>
      <c r="L665" s="73"/>
      <c r="M665" s="73"/>
      <c r="N665" s="73"/>
      <c r="O665" s="73"/>
      <c r="P665" s="73"/>
      <c r="Q665" s="73"/>
      <c r="R665" s="73"/>
      <c r="S665" s="73"/>
      <c r="T665" s="73"/>
      <c r="U665" s="73"/>
      <c r="V665" s="73"/>
      <c r="W665" s="73"/>
      <c r="GL665" s="73"/>
      <c r="GM665" s="73"/>
      <c r="GN665" s="73"/>
      <c r="GO665" s="73"/>
      <c r="GP665" s="73"/>
      <c r="GQ665" s="73"/>
      <c r="GR665" s="73"/>
      <c r="GS665" s="73"/>
      <c r="GT665" s="73"/>
      <c r="GU665" s="73"/>
      <c r="GV665" s="73"/>
      <c r="GW665" s="73"/>
      <c r="GX665" s="73"/>
      <c r="GY665" s="73"/>
      <c r="GZ665" s="73"/>
      <c r="HA665" s="73"/>
      <c r="HB665" s="73"/>
      <c r="HC665" s="73"/>
      <c r="HD665" s="73"/>
      <c r="HE665" s="73"/>
      <c r="HF665" s="73"/>
      <c r="HG665" s="73"/>
      <c r="HH665" s="73"/>
      <c r="HI665" s="73"/>
      <c r="HJ665" s="73"/>
      <c r="HK665" s="73"/>
      <c r="HL665" s="73"/>
      <c r="HM665" s="73"/>
      <c r="HN665" s="73"/>
      <c r="HO665" s="73"/>
      <c r="HP665" s="73"/>
      <c r="HQ665" s="73"/>
      <c r="HR665" s="73"/>
      <c r="HS665" s="73"/>
      <c r="HT665" s="73"/>
      <c r="HU665" s="73"/>
      <c r="HV665" s="73"/>
      <c r="HW665" s="73"/>
      <c r="HX665" s="73"/>
      <c r="HY665" s="73"/>
      <c r="HZ665" s="73"/>
      <c r="IA665" s="73"/>
      <c r="IB665" s="73"/>
      <c r="IC665" s="73"/>
      <c r="ID665" s="73"/>
      <c r="IE665" s="73"/>
      <c r="IF665" s="73"/>
      <c r="IG665" s="73"/>
      <c r="IH665" s="73"/>
      <c r="II665" s="73"/>
      <c r="IJ665" s="73"/>
      <c r="IK665" s="73"/>
      <c r="IL665" s="73"/>
      <c r="IM665" s="73"/>
      <c r="IN665" s="73"/>
      <c r="IO665" s="73"/>
      <c r="IP665" s="73"/>
      <c r="IQ665" s="73"/>
      <c r="IR665" s="73"/>
      <c r="IS665" s="73"/>
      <c r="IT665" s="73"/>
      <c r="IU665" s="73"/>
      <c r="IV665" s="73"/>
      <c r="IW665" s="73"/>
      <c r="IX665" s="73"/>
      <c r="IY665" s="73"/>
      <c r="IZ665" s="73"/>
      <c r="JA665" s="73"/>
      <c r="JB665" s="73"/>
      <c r="JC665" s="73"/>
    </row>
    <row r="666" spans="2:263" s="72" customFormat="1">
      <c r="B666" s="73"/>
      <c r="C666" s="73"/>
      <c r="D666" s="73"/>
      <c r="E666" s="73"/>
      <c r="F666" s="73"/>
      <c r="G666" s="73"/>
      <c r="H666" s="73"/>
      <c r="I666" s="73"/>
      <c r="J666" s="73"/>
      <c r="K666" s="73"/>
      <c r="L666" s="73"/>
      <c r="M666" s="73"/>
      <c r="N666" s="73"/>
      <c r="O666" s="73"/>
      <c r="P666" s="73"/>
      <c r="Q666" s="73"/>
      <c r="R666" s="73"/>
      <c r="S666" s="73"/>
      <c r="T666" s="73"/>
      <c r="U666" s="73"/>
      <c r="V666" s="73"/>
      <c r="W666" s="73"/>
      <c r="GL666" s="73"/>
      <c r="GM666" s="73"/>
      <c r="GN666" s="73"/>
      <c r="GO666" s="73"/>
      <c r="GP666" s="73"/>
      <c r="GQ666" s="73"/>
      <c r="GR666" s="73"/>
      <c r="GS666" s="73"/>
      <c r="GT666" s="73"/>
      <c r="GU666" s="73"/>
      <c r="GV666" s="73"/>
      <c r="GW666" s="73"/>
      <c r="GX666" s="73"/>
      <c r="GY666" s="73"/>
      <c r="GZ666" s="73"/>
      <c r="HA666" s="73"/>
      <c r="HB666" s="73"/>
      <c r="HC666" s="73"/>
      <c r="HD666" s="73"/>
      <c r="HE666" s="73"/>
      <c r="HF666" s="73"/>
      <c r="HG666" s="73"/>
      <c r="HH666" s="73"/>
      <c r="HI666" s="73"/>
      <c r="HJ666" s="73"/>
      <c r="HK666" s="73"/>
      <c r="HL666" s="73"/>
      <c r="HM666" s="73"/>
      <c r="HN666" s="73"/>
      <c r="HO666" s="73"/>
      <c r="HP666" s="73"/>
      <c r="HQ666" s="73"/>
      <c r="HR666" s="73"/>
      <c r="HS666" s="73"/>
      <c r="HT666" s="73"/>
      <c r="HU666" s="73"/>
      <c r="HV666" s="73"/>
      <c r="HW666" s="73"/>
      <c r="HX666" s="73"/>
      <c r="HY666" s="73"/>
      <c r="HZ666" s="73"/>
      <c r="IA666" s="73"/>
      <c r="IB666" s="73"/>
      <c r="IC666" s="73"/>
      <c r="ID666" s="73"/>
      <c r="IE666" s="73"/>
      <c r="IF666" s="73"/>
      <c r="IG666" s="73"/>
      <c r="IH666" s="73"/>
      <c r="II666" s="73"/>
      <c r="IJ666" s="73"/>
      <c r="IK666" s="73"/>
      <c r="IL666" s="73"/>
      <c r="IM666" s="73"/>
      <c r="IN666" s="73"/>
      <c r="IO666" s="73"/>
      <c r="IP666" s="73"/>
      <c r="IQ666" s="73"/>
      <c r="IR666" s="73"/>
      <c r="IS666" s="73"/>
      <c r="IT666" s="73"/>
      <c r="IU666" s="73"/>
      <c r="IV666" s="73"/>
      <c r="IW666" s="73"/>
      <c r="IX666" s="73"/>
      <c r="IY666" s="73"/>
      <c r="IZ666" s="73"/>
      <c r="JA666" s="73"/>
      <c r="JB666" s="73"/>
      <c r="JC666" s="73"/>
    </row>
    <row r="667" spans="2:263" s="72" customFormat="1">
      <c r="B667" s="73"/>
      <c r="C667" s="73"/>
      <c r="D667" s="73"/>
      <c r="E667" s="73"/>
      <c r="F667" s="73"/>
      <c r="G667" s="73"/>
      <c r="H667" s="73"/>
      <c r="I667" s="73"/>
      <c r="J667" s="73"/>
      <c r="K667" s="73"/>
      <c r="L667" s="73"/>
      <c r="M667" s="73"/>
      <c r="N667" s="73"/>
      <c r="O667" s="73"/>
      <c r="P667" s="73"/>
      <c r="Q667" s="73"/>
      <c r="R667" s="73"/>
      <c r="S667" s="73"/>
      <c r="T667" s="73"/>
      <c r="U667" s="73"/>
      <c r="V667" s="73"/>
      <c r="W667" s="73"/>
      <c r="GL667" s="73"/>
      <c r="GM667" s="73"/>
      <c r="GN667" s="73"/>
      <c r="GO667" s="73"/>
      <c r="GP667" s="73"/>
      <c r="GQ667" s="73"/>
      <c r="GR667" s="73"/>
      <c r="GS667" s="73"/>
      <c r="GT667" s="73"/>
      <c r="GU667" s="73"/>
      <c r="GV667" s="73"/>
      <c r="GW667" s="73"/>
      <c r="GX667" s="73"/>
      <c r="GY667" s="73"/>
      <c r="GZ667" s="73"/>
      <c r="HA667" s="73"/>
      <c r="HB667" s="73"/>
      <c r="HC667" s="73"/>
      <c r="HD667" s="73"/>
      <c r="HE667" s="73"/>
      <c r="HF667" s="73"/>
      <c r="HG667" s="73"/>
      <c r="HH667" s="73"/>
      <c r="HI667" s="73"/>
      <c r="HJ667" s="73"/>
      <c r="HK667" s="73"/>
      <c r="HL667" s="73"/>
      <c r="HM667" s="73"/>
      <c r="HN667" s="73"/>
      <c r="HO667" s="73"/>
      <c r="HP667" s="73"/>
      <c r="HQ667" s="73"/>
      <c r="HR667" s="73"/>
      <c r="HS667" s="73"/>
      <c r="HT667" s="73"/>
      <c r="HU667" s="73"/>
      <c r="HV667" s="73"/>
      <c r="HW667" s="73"/>
      <c r="HX667" s="73"/>
      <c r="HY667" s="73"/>
      <c r="HZ667" s="73"/>
      <c r="IA667" s="73"/>
      <c r="IB667" s="73"/>
      <c r="IC667" s="73"/>
      <c r="ID667" s="73"/>
      <c r="IE667" s="73"/>
      <c r="IF667" s="73"/>
      <c r="IG667" s="73"/>
      <c r="IH667" s="73"/>
      <c r="II667" s="73"/>
      <c r="IJ667" s="73"/>
      <c r="IK667" s="73"/>
      <c r="IL667" s="73"/>
      <c r="IM667" s="73"/>
      <c r="IN667" s="73"/>
      <c r="IO667" s="73"/>
      <c r="IP667" s="73"/>
      <c r="IQ667" s="73"/>
      <c r="IR667" s="73"/>
      <c r="IS667" s="73"/>
      <c r="IT667" s="73"/>
      <c r="IU667" s="73"/>
      <c r="IV667" s="73"/>
      <c r="IW667" s="73"/>
      <c r="IX667" s="73"/>
      <c r="IY667" s="73"/>
      <c r="IZ667" s="73"/>
      <c r="JA667" s="73"/>
      <c r="JB667" s="73"/>
      <c r="JC667" s="73"/>
    </row>
    <row r="668" spans="2:263" s="72" customFormat="1">
      <c r="B668" s="73"/>
      <c r="C668" s="73"/>
      <c r="D668" s="73"/>
      <c r="E668" s="73"/>
      <c r="F668" s="73"/>
      <c r="G668" s="73"/>
      <c r="H668" s="73"/>
      <c r="I668" s="73"/>
      <c r="J668" s="73"/>
      <c r="K668" s="73"/>
      <c r="L668" s="73"/>
      <c r="M668" s="73"/>
      <c r="N668" s="73"/>
      <c r="O668" s="73"/>
      <c r="P668" s="73"/>
      <c r="Q668" s="73"/>
      <c r="R668" s="73"/>
      <c r="S668" s="73"/>
      <c r="T668" s="73"/>
      <c r="U668" s="73"/>
      <c r="V668" s="73"/>
      <c r="W668" s="73"/>
      <c r="GL668" s="73"/>
      <c r="GM668" s="73"/>
      <c r="GN668" s="73"/>
      <c r="GO668" s="73"/>
      <c r="GP668" s="73"/>
      <c r="GQ668" s="73"/>
      <c r="GR668" s="73"/>
      <c r="GS668" s="73"/>
      <c r="GT668" s="73"/>
      <c r="GU668" s="73"/>
      <c r="GV668" s="73"/>
      <c r="GW668" s="73"/>
      <c r="GX668" s="73"/>
      <c r="GY668" s="73"/>
      <c r="GZ668" s="73"/>
      <c r="HA668" s="73"/>
      <c r="HB668" s="73"/>
      <c r="HC668" s="73"/>
      <c r="HD668" s="73"/>
      <c r="HE668" s="73"/>
      <c r="HF668" s="73"/>
      <c r="HG668" s="73"/>
      <c r="HH668" s="73"/>
      <c r="HI668" s="73"/>
      <c r="HJ668" s="73"/>
      <c r="HK668" s="73"/>
      <c r="HL668" s="73"/>
      <c r="HM668" s="73"/>
      <c r="HN668" s="73"/>
      <c r="HO668" s="73"/>
      <c r="HP668" s="73"/>
      <c r="HQ668" s="73"/>
      <c r="HR668" s="73"/>
      <c r="HS668" s="73"/>
      <c r="HT668" s="73"/>
      <c r="HU668" s="73"/>
      <c r="HV668" s="73"/>
      <c r="HW668" s="73"/>
      <c r="HX668" s="73"/>
      <c r="HY668" s="73"/>
      <c r="HZ668" s="73"/>
      <c r="IA668" s="73"/>
      <c r="IB668" s="73"/>
      <c r="IC668" s="73"/>
      <c r="ID668" s="73"/>
      <c r="IE668" s="73"/>
      <c r="IF668" s="73"/>
      <c r="IG668" s="73"/>
      <c r="IH668" s="73"/>
      <c r="II668" s="73"/>
      <c r="IJ668" s="73"/>
      <c r="IK668" s="73"/>
      <c r="IL668" s="73"/>
      <c r="IM668" s="73"/>
      <c r="IN668" s="73"/>
      <c r="IO668" s="73"/>
      <c r="IP668" s="73"/>
      <c r="IQ668" s="73"/>
      <c r="IR668" s="73"/>
      <c r="IS668" s="73"/>
      <c r="IT668" s="73"/>
      <c r="IU668" s="73"/>
      <c r="IV668" s="73"/>
      <c r="IW668" s="73"/>
      <c r="IX668" s="73"/>
      <c r="IY668" s="73"/>
      <c r="IZ668" s="73"/>
      <c r="JA668" s="73"/>
      <c r="JB668" s="73"/>
      <c r="JC668" s="73"/>
    </row>
    <row r="669" spans="2:263" s="72" customFormat="1">
      <c r="B669" s="73"/>
      <c r="C669" s="73"/>
      <c r="D669" s="73"/>
      <c r="E669" s="73"/>
      <c r="F669" s="73"/>
      <c r="G669" s="73"/>
      <c r="H669" s="73"/>
      <c r="I669" s="73"/>
      <c r="J669" s="73"/>
      <c r="K669" s="73"/>
      <c r="L669" s="73"/>
      <c r="M669" s="73"/>
      <c r="N669" s="73"/>
      <c r="O669" s="73"/>
      <c r="P669" s="73"/>
      <c r="Q669" s="73"/>
      <c r="R669" s="73"/>
      <c r="S669" s="73"/>
      <c r="T669" s="73"/>
      <c r="U669" s="73"/>
      <c r="V669" s="73"/>
      <c r="W669" s="73"/>
      <c r="GL669" s="73"/>
      <c r="GM669" s="73"/>
      <c r="GN669" s="73"/>
      <c r="GO669" s="73"/>
      <c r="GP669" s="73"/>
      <c r="GQ669" s="73"/>
      <c r="GR669" s="73"/>
      <c r="GS669" s="73"/>
      <c r="GT669" s="73"/>
      <c r="GU669" s="73"/>
      <c r="GV669" s="73"/>
      <c r="GW669" s="73"/>
      <c r="GX669" s="73"/>
      <c r="GY669" s="73"/>
      <c r="GZ669" s="73"/>
      <c r="HA669" s="73"/>
      <c r="HB669" s="73"/>
      <c r="HC669" s="73"/>
      <c r="HD669" s="73"/>
      <c r="HE669" s="73"/>
      <c r="HF669" s="73"/>
      <c r="HG669" s="73"/>
      <c r="HH669" s="73"/>
      <c r="HI669" s="73"/>
      <c r="HJ669" s="73"/>
      <c r="HK669" s="73"/>
      <c r="HL669" s="73"/>
      <c r="HM669" s="73"/>
      <c r="HN669" s="73"/>
      <c r="HO669" s="73"/>
      <c r="HP669" s="73"/>
      <c r="HQ669" s="73"/>
      <c r="HR669" s="73"/>
      <c r="HS669" s="73"/>
      <c r="HT669" s="73"/>
      <c r="HU669" s="73"/>
      <c r="HV669" s="73"/>
      <c r="HW669" s="73"/>
      <c r="HX669" s="73"/>
      <c r="HY669" s="73"/>
      <c r="HZ669" s="73"/>
      <c r="IA669" s="73"/>
      <c r="IB669" s="73"/>
      <c r="IC669" s="73"/>
      <c r="ID669" s="73"/>
      <c r="IE669" s="73"/>
      <c r="IF669" s="73"/>
      <c r="IG669" s="73"/>
      <c r="IH669" s="73"/>
      <c r="II669" s="73"/>
      <c r="IJ669" s="73"/>
      <c r="IK669" s="73"/>
      <c r="IL669" s="73"/>
      <c r="IM669" s="73"/>
      <c r="IN669" s="73"/>
      <c r="IO669" s="73"/>
      <c r="IP669" s="73"/>
      <c r="IQ669" s="73"/>
      <c r="IR669" s="73"/>
      <c r="IS669" s="73"/>
      <c r="IT669" s="73"/>
      <c r="IU669" s="73"/>
      <c r="IV669" s="73"/>
      <c r="IW669" s="73"/>
      <c r="IX669" s="73"/>
      <c r="IY669" s="73"/>
      <c r="IZ669" s="73"/>
      <c r="JA669" s="73"/>
      <c r="JB669" s="73"/>
      <c r="JC669" s="73"/>
    </row>
    <row r="670" spans="2:263" s="72" customFormat="1">
      <c r="B670" s="73"/>
      <c r="C670" s="73"/>
      <c r="D670" s="73"/>
      <c r="E670" s="73"/>
      <c r="F670" s="73"/>
      <c r="G670" s="73"/>
      <c r="H670" s="73"/>
      <c r="I670" s="73"/>
      <c r="J670" s="73"/>
      <c r="K670" s="73"/>
      <c r="L670" s="73"/>
      <c r="M670" s="73"/>
      <c r="N670" s="73"/>
      <c r="O670" s="73"/>
      <c r="P670" s="73"/>
      <c r="Q670" s="73"/>
      <c r="R670" s="73"/>
      <c r="S670" s="73"/>
      <c r="T670" s="73"/>
      <c r="U670" s="73"/>
      <c r="V670" s="73"/>
      <c r="W670" s="73"/>
      <c r="GL670" s="73"/>
      <c r="GM670" s="73"/>
      <c r="GN670" s="73"/>
      <c r="GO670" s="73"/>
      <c r="GP670" s="73"/>
      <c r="GQ670" s="73"/>
      <c r="GR670" s="73"/>
      <c r="GS670" s="73"/>
      <c r="GT670" s="73"/>
      <c r="GU670" s="73"/>
      <c r="GV670" s="73"/>
      <c r="GW670" s="73"/>
      <c r="GX670" s="73"/>
      <c r="GY670" s="73"/>
      <c r="GZ670" s="73"/>
      <c r="HA670" s="73"/>
      <c r="HB670" s="73"/>
      <c r="HC670" s="73"/>
      <c r="HD670" s="73"/>
      <c r="HE670" s="73"/>
      <c r="HF670" s="73"/>
      <c r="HG670" s="73"/>
      <c r="HH670" s="73"/>
      <c r="HI670" s="73"/>
      <c r="HJ670" s="73"/>
      <c r="HK670" s="73"/>
      <c r="HL670" s="73"/>
      <c r="HM670" s="73"/>
      <c r="HN670" s="73"/>
      <c r="HO670" s="73"/>
      <c r="HP670" s="73"/>
      <c r="HQ670" s="73"/>
      <c r="HR670" s="73"/>
      <c r="HS670" s="73"/>
      <c r="HT670" s="73"/>
      <c r="HU670" s="73"/>
      <c r="HV670" s="73"/>
      <c r="HW670" s="73"/>
      <c r="HX670" s="73"/>
      <c r="HY670" s="73"/>
      <c r="HZ670" s="73"/>
      <c r="IA670" s="73"/>
      <c r="IB670" s="73"/>
      <c r="IC670" s="73"/>
      <c r="ID670" s="73"/>
      <c r="IE670" s="73"/>
      <c r="IF670" s="73"/>
      <c r="IG670" s="73"/>
      <c r="IH670" s="73"/>
      <c r="II670" s="73"/>
      <c r="IJ670" s="73"/>
      <c r="IK670" s="73"/>
      <c r="IL670" s="73"/>
      <c r="IM670" s="73"/>
      <c r="IN670" s="73"/>
      <c r="IO670" s="73"/>
      <c r="IP670" s="73"/>
      <c r="IQ670" s="73"/>
      <c r="IR670" s="73"/>
      <c r="IS670" s="73"/>
      <c r="IT670" s="73"/>
      <c r="IU670" s="73"/>
      <c r="IV670" s="73"/>
      <c r="IW670" s="73"/>
      <c r="IX670" s="73"/>
      <c r="IY670" s="73"/>
      <c r="IZ670" s="73"/>
      <c r="JA670" s="73"/>
      <c r="JB670" s="73"/>
      <c r="JC670" s="73"/>
    </row>
    <row r="671" spans="2:263" s="72" customFormat="1">
      <c r="B671" s="73"/>
      <c r="C671" s="73"/>
      <c r="D671" s="73"/>
      <c r="E671" s="73"/>
      <c r="F671" s="73"/>
      <c r="G671" s="73"/>
      <c r="H671" s="73"/>
      <c r="I671" s="73"/>
      <c r="J671" s="73"/>
      <c r="K671" s="73"/>
      <c r="L671" s="73"/>
      <c r="M671" s="73"/>
      <c r="N671" s="73"/>
      <c r="O671" s="73"/>
      <c r="P671" s="73"/>
      <c r="Q671" s="73"/>
      <c r="R671" s="73"/>
      <c r="S671" s="73"/>
      <c r="T671" s="73"/>
      <c r="U671" s="73"/>
      <c r="V671" s="73"/>
      <c r="W671" s="73"/>
      <c r="GL671" s="73"/>
      <c r="GM671" s="73"/>
      <c r="GN671" s="73"/>
      <c r="GO671" s="73"/>
      <c r="GP671" s="73"/>
      <c r="GQ671" s="73"/>
      <c r="GR671" s="73"/>
      <c r="GS671" s="73"/>
      <c r="GT671" s="73"/>
      <c r="GU671" s="73"/>
      <c r="GV671" s="73"/>
      <c r="GW671" s="73"/>
      <c r="GX671" s="73"/>
      <c r="GY671" s="73"/>
      <c r="GZ671" s="73"/>
      <c r="HA671" s="73"/>
      <c r="HB671" s="73"/>
      <c r="HC671" s="73"/>
      <c r="HD671" s="73"/>
      <c r="HE671" s="73"/>
      <c r="HF671" s="73"/>
      <c r="HG671" s="73"/>
      <c r="HH671" s="73"/>
      <c r="HI671" s="73"/>
      <c r="HJ671" s="73"/>
      <c r="HK671" s="73"/>
      <c r="HL671" s="73"/>
      <c r="HM671" s="73"/>
      <c r="HN671" s="73"/>
      <c r="HO671" s="73"/>
      <c r="HP671" s="73"/>
      <c r="HQ671" s="73"/>
      <c r="HR671" s="73"/>
      <c r="HS671" s="73"/>
      <c r="HT671" s="73"/>
      <c r="HU671" s="73"/>
      <c r="HV671" s="73"/>
      <c r="HW671" s="73"/>
      <c r="HX671" s="73"/>
      <c r="HY671" s="73"/>
      <c r="HZ671" s="73"/>
      <c r="IA671" s="73"/>
      <c r="IB671" s="73"/>
      <c r="IC671" s="73"/>
      <c r="ID671" s="73"/>
      <c r="IE671" s="73"/>
      <c r="IF671" s="73"/>
      <c r="IG671" s="73"/>
      <c r="IH671" s="73"/>
      <c r="II671" s="73"/>
      <c r="IJ671" s="73"/>
      <c r="IK671" s="73"/>
      <c r="IL671" s="73"/>
      <c r="IM671" s="73"/>
      <c r="IN671" s="73"/>
      <c r="IO671" s="73"/>
      <c r="IP671" s="73"/>
      <c r="IQ671" s="73"/>
      <c r="IR671" s="73"/>
      <c r="IS671" s="73"/>
      <c r="IT671" s="73"/>
      <c r="IU671" s="73"/>
      <c r="IV671" s="73"/>
      <c r="IW671" s="73"/>
      <c r="IX671" s="73"/>
      <c r="IY671" s="73"/>
      <c r="IZ671" s="73"/>
      <c r="JA671" s="73"/>
      <c r="JB671" s="73"/>
      <c r="JC671" s="73"/>
    </row>
    <row r="672" spans="2:263" s="72" customFormat="1">
      <c r="B672" s="73"/>
      <c r="C672" s="73"/>
      <c r="D672" s="73"/>
      <c r="E672" s="73"/>
      <c r="F672" s="73"/>
      <c r="G672" s="73"/>
      <c r="H672" s="73"/>
      <c r="I672" s="73"/>
      <c r="J672" s="73"/>
      <c r="K672" s="73"/>
      <c r="L672" s="73"/>
      <c r="M672" s="73"/>
      <c r="N672" s="73"/>
      <c r="O672" s="73"/>
      <c r="P672" s="73"/>
      <c r="Q672" s="73"/>
      <c r="R672" s="73"/>
      <c r="S672" s="73"/>
      <c r="T672" s="73"/>
      <c r="U672" s="73"/>
      <c r="V672" s="73"/>
      <c r="W672" s="73"/>
      <c r="GL672" s="73"/>
      <c r="GM672" s="73"/>
      <c r="GN672" s="73"/>
      <c r="GO672" s="73"/>
      <c r="GP672" s="73"/>
      <c r="GQ672" s="73"/>
      <c r="GR672" s="73"/>
      <c r="GS672" s="73"/>
      <c r="GT672" s="73"/>
      <c r="GU672" s="73"/>
      <c r="GV672" s="73"/>
      <c r="GW672" s="73"/>
      <c r="GX672" s="73"/>
      <c r="GY672" s="73"/>
      <c r="GZ672" s="73"/>
      <c r="HA672" s="73"/>
      <c r="HB672" s="73"/>
      <c r="HC672" s="73"/>
      <c r="HD672" s="73"/>
      <c r="HE672" s="73"/>
      <c r="HF672" s="73"/>
      <c r="HG672" s="73"/>
      <c r="HH672" s="73"/>
      <c r="HI672" s="73"/>
      <c r="HJ672" s="73"/>
      <c r="HK672" s="73"/>
      <c r="HL672" s="73"/>
      <c r="HM672" s="73"/>
      <c r="HN672" s="73"/>
      <c r="HO672" s="73"/>
      <c r="HP672" s="73"/>
      <c r="HQ672" s="73"/>
      <c r="HR672" s="73"/>
      <c r="HS672" s="73"/>
      <c r="HT672" s="73"/>
      <c r="HU672" s="73"/>
      <c r="HV672" s="73"/>
      <c r="HW672" s="73"/>
      <c r="HX672" s="73"/>
      <c r="HY672" s="73"/>
      <c r="HZ672" s="73"/>
      <c r="IA672" s="73"/>
      <c r="IB672" s="73"/>
      <c r="IC672" s="73"/>
      <c r="ID672" s="73"/>
      <c r="IE672" s="73"/>
      <c r="IF672" s="73"/>
      <c r="IG672" s="73"/>
      <c r="IH672" s="73"/>
      <c r="II672" s="73"/>
      <c r="IJ672" s="73"/>
      <c r="IK672" s="73"/>
      <c r="IL672" s="73"/>
      <c r="IM672" s="73"/>
      <c r="IN672" s="73"/>
      <c r="IO672" s="73"/>
      <c r="IP672" s="73"/>
      <c r="IQ672" s="73"/>
      <c r="IR672" s="73"/>
      <c r="IS672" s="73"/>
      <c r="IT672" s="73"/>
      <c r="IU672" s="73"/>
      <c r="IV672" s="73"/>
      <c r="IW672" s="73"/>
      <c r="IX672" s="73"/>
      <c r="IY672" s="73"/>
      <c r="IZ672" s="73"/>
      <c r="JA672" s="73"/>
      <c r="JB672" s="73"/>
      <c r="JC672" s="73"/>
    </row>
    <row r="673" spans="2:263" s="72" customFormat="1">
      <c r="B673" s="73"/>
      <c r="C673" s="73"/>
      <c r="D673" s="73"/>
      <c r="E673" s="73"/>
      <c r="F673" s="73"/>
      <c r="G673" s="73"/>
      <c r="H673" s="73"/>
      <c r="I673" s="73"/>
      <c r="J673" s="73"/>
      <c r="K673" s="73"/>
      <c r="L673" s="73"/>
      <c r="M673" s="73"/>
      <c r="N673" s="73"/>
      <c r="O673" s="73"/>
      <c r="P673" s="73"/>
      <c r="Q673" s="73"/>
      <c r="R673" s="73"/>
      <c r="S673" s="73"/>
      <c r="T673" s="73"/>
      <c r="U673" s="73"/>
      <c r="V673" s="73"/>
      <c r="W673" s="73"/>
      <c r="GL673" s="73"/>
      <c r="GM673" s="73"/>
      <c r="GN673" s="73"/>
      <c r="GO673" s="73"/>
      <c r="GP673" s="73"/>
      <c r="GQ673" s="73"/>
      <c r="GR673" s="73"/>
      <c r="GS673" s="73"/>
      <c r="GT673" s="73"/>
      <c r="GU673" s="73"/>
      <c r="GV673" s="73"/>
      <c r="GW673" s="73"/>
      <c r="GX673" s="73"/>
      <c r="GY673" s="73"/>
      <c r="GZ673" s="73"/>
      <c r="HA673" s="73"/>
      <c r="HB673" s="73"/>
      <c r="HC673" s="73"/>
      <c r="HD673" s="73"/>
      <c r="HE673" s="73"/>
      <c r="HF673" s="73"/>
      <c r="HG673" s="73"/>
      <c r="HH673" s="73"/>
      <c r="HI673" s="73"/>
      <c r="HJ673" s="73"/>
      <c r="HK673" s="73"/>
      <c r="HL673" s="73"/>
      <c r="HM673" s="73"/>
      <c r="HN673" s="73"/>
      <c r="HO673" s="73"/>
      <c r="HP673" s="73"/>
      <c r="HQ673" s="73"/>
      <c r="HR673" s="73"/>
      <c r="HS673" s="73"/>
      <c r="HT673" s="73"/>
      <c r="HU673" s="73"/>
      <c r="HV673" s="73"/>
      <c r="HW673" s="73"/>
      <c r="HX673" s="73"/>
      <c r="HY673" s="73"/>
      <c r="HZ673" s="73"/>
      <c r="IA673" s="73"/>
      <c r="IB673" s="73"/>
      <c r="IC673" s="73"/>
      <c r="ID673" s="73"/>
      <c r="IE673" s="73"/>
      <c r="IF673" s="73"/>
      <c r="IG673" s="73"/>
      <c r="IH673" s="73"/>
      <c r="II673" s="73"/>
      <c r="IJ673" s="73"/>
      <c r="IK673" s="73"/>
      <c r="IL673" s="73"/>
      <c r="IM673" s="73"/>
      <c r="IN673" s="73"/>
      <c r="IO673" s="73"/>
      <c r="IP673" s="73"/>
      <c r="IQ673" s="73"/>
      <c r="IR673" s="73"/>
      <c r="IS673" s="73"/>
      <c r="IT673" s="73"/>
      <c r="IU673" s="73"/>
      <c r="IV673" s="73"/>
      <c r="IW673" s="73"/>
      <c r="IX673" s="73"/>
      <c r="IY673" s="73"/>
      <c r="IZ673" s="73"/>
      <c r="JA673" s="73"/>
      <c r="JB673" s="73"/>
      <c r="JC673" s="73"/>
    </row>
    <row r="674" spans="2:263" s="72" customFormat="1">
      <c r="B674" s="73"/>
      <c r="C674" s="73"/>
      <c r="D674" s="73"/>
      <c r="E674" s="73"/>
      <c r="F674" s="73"/>
      <c r="G674" s="73"/>
      <c r="H674" s="73"/>
      <c r="I674" s="73"/>
      <c r="J674" s="73"/>
      <c r="K674" s="73"/>
      <c r="L674" s="73"/>
      <c r="M674" s="73"/>
      <c r="N674" s="73"/>
      <c r="O674" s="73"/>
      <c r="P674" s="73"/>
      <c r="Q674" s="73"/>
      <c r="R674" s="73"/>
      <c r="S674" s="73"/>
      <c r="T674" s="73"/>
      <c r="U674" s="73"/>
      <c r="V674" s="73"/>
      <c r="W674" s="73"/>
      <c r="GL674" s="73"/>
      <c r="GM674" s="73"/>
      <c r="GN674" s="73"/>
      <c r="GO674" s="73"/>
      <c r="GP674" s="73"/>
      <c r="GQ674" s="73"/>
      <c r="GR674" s="73"/>
      <c r="GS674" s="73"/>
      <c r="GT674" s="73"/>
      <c r="GU674" s="73"/>
      <c r="GV674" s="73"/>
      <c r="GW674" s="73"/>
      <c r="GX674" s="73"/>
      <c r="GY674" s="73"/>
      <c r="GZ674" s="73"/>
      <c r="HA674" s="73"/>
      <c r="HB674" s="73"/>
      <c r="HC674" s="73"/>
      <c r="HD674" s="73"/>
      <c r="HE674" s="73"/>
      <c r="HF674" s="73"/>
      <c r="HG674" s="73"/>
      <c r="HH674" s="73"/>
      <c r="HI674" s="73"/>
      <c r="HJ674" s="73"/>
      <c r="HK674" s="73"/>
      <c r="HL674" s="73"/>
      <c r="HM674" s="73"/>
      <c r="HN674" s="73"/>
      <c r="HO674" s="73"/>
      <c r="HP674" s="73"/>
      <c r="HQ674" s="73"/>
      <c r="HR674" s="73"/>
      <c r="HS674" s="73"/>
      <c r="HT674" s="73"/>
      <c r="HU674" s="73"/>
      <c r="HV674" s="73"/>
      <c r="HW674" s="73"/>
      <c r="HX674" s="73"/>
      <c r="HY674" s="73"/>
      <c r="HZ674" s="73"/>
      <c r="IA674" s="73"/>
      <c r="IB674" s="73"/>
      <c r="IC674" s="73"/>
      <c r="ID674" s="73"/>
      <c r="IE674" s="73"/>
      <c r="IF674" s="73"/>
      <c r="IG674" s="73"/>
      <c r="IH674" s="73"/>
      <c r="II674" s="73"/>
      <c r="IJ674" s="73"/>
      <c r="IK674" s="73"/>
      <c r="IL674" s="73"/>
      <c r="IM674" s="73"/>
      <c r="IN674" s="73"/>
      <c r="IO674" s="73"/>
      <c r="IP674" s="73"/>
      <c r="IQ674" s="73"/>
      <c r="IR674" s="73"/>
      <c r="IS674" s="73"/>
      <c r="IT674" s="73"/>
      <c r="IU674" s="73"/>
      <c r="IV674" s="73"/>
      <c r="IW674" s="73"/>
      <c r="IX674" s="73"/>
      <c r="IY674" s="73"/>
      <c r="IZ674" s="73"/>
      <c r="JA674" s="73"/>
      <c r="JB674" s="73"/>
      <c r="JC674" s="73"/>
    </row>
    <row r="675" spans="2:263" s="72" customFormat="1">
      <c r="B675" s="73"/>
      <c r="C675" s="73"/>
      <c r="D675" s="73"/>
      <c r="E675" s="73"/>
      <c r="F675" s="73"/>
      <c r="G675" s="73"/>
      <c r="H675" s="73"/>
      <c r="I675" s="73"/>
      <c r="J675" s="73"/>
      <c r="K675" s="73"/>
      <c r="L675" s="73"/>
      <c r="M675" s="73"/>
      <c r="N675" s="73"/>
      <c r="O675" s="73"/>
      <c r="P675" s="73"/>
      <c r="Q675" s="73"/>
      <c r="R675" s="73"/>
      <c r="S675" s="73"/>
      <c r="T675" s="73"/>
      <c r="U675" s="73"/>
      <c r="V675" s="73"/>
      <c r="W675" s="73"/>
      <c r="GL675" s="73"/>
      <c r="GM675" s="73"/>
      <c r="GN675" s="73"/>
      <c r="GO675" s="73"/>
      <c r="GP675" s="73"/>
      <c r="GQ675" s="73"/>
      <c r="GR675" s="73"/>
      <c r="GS675" s="73"/>
      <c r="GT675" s="73"/>
      <c r="GU675" s="73"/>
      <c r="GV675" s="73"/>
      <c r="GW675" s="73"/>
      <c r="GX675" s="73"/>
      <c r="GY675" s="73"/>
      <c r="GZ675" s="73"/>
      <c r="HA675" s="73"/>
      <c r="HB675" s="73"/>
      <c r="HC675" s="73"/>
      <c r="HD675" s="73"/>
      <c r="HE675" s="73"/>
      <c r="HF675" s="73"/>
      <c r="HG675" s="73"/>
      <c r="HH675" s="73"/>
      <c r="HI675" s="73"/>
      <c r="HJ675" s="73"/>
      <c r="HK675" s="73"/>
      <c r="HL675" s="73"/>
      <c r="HM675" s="73"/>
      <c r="HN675" s="73"/>
      <c r="HO675" s="73"/>
      <c r="HP675" s="73"/>
      <c r="HQ675" s="73"/>
      <c r="HR675" s="73"/>
      <c r="HS675" s="73"/>
      <c r="HT675" s="73"/>
      <c r="HU675" s="73"/>
      <c r="HV675" s="73"/>
      <c r="HW675" s="73"/>
      <c r="HX675" s="73"/>
      <c r="HY675" s="73"/>
      <c r="HZ675" s="73"/>
      <c r="IA675" s="73"/>
      <c r="IB675" s="73"/>
      <c r="IC675" s="73"/>
      <c r="ID675" s="73"/>
      <c r="IE675" s="73"/>
      <c r="IF675" s="73"/>
      <c r="IG675" s="73"/>
      <c r="IH675" s="73"/>
      <c r="II675" s="73"/>
      <c r="IJ675" s="73"/>
      <c r="IK675" s="73"/>
      <c r="IL675" s="73"/>
      <c r="IM675" s="73"/>
      <c r="IN675" s="73"/>
      <c r="IO675" s="73"/>
      <c r="IP675" s="73"/>
      <c r="IQ675" s="73"/>
      <c r="IR675" s="73"/>
      <c r="IS675" s="73"/>
      <c r="IT675" s="73"/>
      <c r="IU675" s="73"/>
      <c r="IV675" s="73"/>
      <c r="IW675" s="73"/>
      <c r="IX675" s="73"/>
      <c r="IY675" s="73"/>
      <c r="IZ675" s="73"/>
      <c r="JA675" s="73"/>
      <c r="JB675" s="73"/>
      <c r="JC675" s="73"/>
    </row>
    <row r="676" spans="2:263" s="72" customFormat="1">
      <c r="B676" s="73"/>
      <c r="C676" s="73"/>
      <c r="D676" s="73"/>
      <c r="E676" s="73"/>
      <c r="F676" s="73"/>
      <c r="G676" s="73"/>
      <c r="H676" s="73"/>
      <c r="I676" s="73"/>
      <c r="J676" s="73"/>
      <c r="K676" s="73"/>
      <c r="L676" s="73"/>
      <c r="M676" s="73"/>
      <c r="N676" s="73"/>
      <c r="O676" s="73"/>
      <c r="P676" s="73"/>
      <c r="Q676" s="73"/>
      <c r="R676" s="73"/>
      <c r="S676" s="73"/>
      <c r="T676" s="73"/>
      <c r="U676" s="73"/>
      <c r="V676" s="73"/>
      <c r="W676" s="73"/>
      <c r="GL676" s="73"/>
      <c r="GM676" s="73"/>
      <c r="GN676" s="73"/>
      <c r="GO676" s="73"/>
      <c r="GP676" s="73"/>
      <c r="GQ676" s="73"/>
      <c r="GR676" s="73"/>
      <c r="GS676" s="73"/>
      <c r="GT676" s="73"/>
      <c r="GU676" s="73"/>
      <c r="GV676" s="73"/>
      <c r="GW676" s="73"/>
      <c r="GX676" s="73"/>
      <c r="GY676" s="73"/>
      <c r="GZ676" s="73"/>
      <c r="HA676" s="73"/>
      <c r="HB676" s="73"/>
      <c r="HC676" s="73"/>
      <c r="HD676" s="73"/>
      <c r="HE676" s="73"/>
      <c r="HF676" s="73"/>
      <c r="HG676" s="73"/>
      <c r="HH676" s="73"/>
      <c r="HI676" s="73"/>
      <c r="HJ676" s="73"/>
      <c r="HK676" s="73"/>
      <c r="HL676" s="73"/>
      <c r="HM676" s="73"/>
      <c r="HN676" s="73"/>
      <c r="HO676" s="73"/>
      <c r="HP676" s="73"/>
      <c r="HQ676" s="73"/>
      <c r="HR676" s="73"/>
      <c r="HS676" s="73"/>
      <c r="HT676" s="73"/>
      <c r="HU676" s="73"/>
      <c r="HV676" s="73"/>
      <c r="HW676" s="73"/>
      <c r="HX676" s="73"/>
      <c r="HY676" s="73"/>
      <c r="HZ676" s="73"/>
      <c r="IA676" s="73"/>
      <c r="IB676" s="73"/>
      <c r="IC676" s="73"/>
      <c r="ID676" s="73"/>
      <c r="IE676" s="73"/>
      <c r="IF676" s="73"/>
      <c r="IG676" s="73"/>
      <c r="IH676" s="73"/>
      <c r="II676" s="73"/>
      <c r="IJ676" s="73"/>
      <c r="IK676" s="73"/>
      <c r="IL676" s="73"/>
      <c r="IM676" s="73"/>
      <c r="IN676" s="73"/>
      <c r="IO676" s="73"/>
      <c r="IP676" s="73"/>
      <c r="IQ676" s="73"/>
      <c r="IR676" s="73"/>
      <c r="IS676" s="73"/>
      <c r="IT676" s="73"/>
      <c r="IU676" s="73"/>
      <c r="IV676" s="73"/>
      <c r="IW676" s="73"/>
      <c r="IX676" s="73"/>
      <c r="IY676" s="73"/>
      <c r="IZ676" s="73"/>
      <c r="JA676" s="73"/>
      <c r="JB676" s="73"/>
      <c r="JC676" s="73"/>
    </row>
    <row r="677" spans="2:263" s="72" customFormat="1">
      <c r="B677" s="73"/>
      <c r="C677" s="73"/>
      <c r="D677" s="73"/>
      <c r="E677" s="73"/>
      <c r="F677" s="73"/>
      <c r="G677" s="73"/>
      <c r="H677" s="73"/>
      <c r="I677" s="73"/>
      <c r="J677" s="73"/>
      <c r="K677" s="73"/>
      <c r="L677" s="73"/>
      <c r="M677" s="73"/>
      <c r="N677" s="73"/>
      <c r="O677" s="73"/>
      <c r="P677" s="73"/>
      <c r="Q677" s="73"/>
      <c r="R677" s="73"/>
      <c r="S677" s="73"/>
      <c r="T677" s="73"/>
      <c r="U677" s="73"/>
      <c r="V677" s="73"/>
      <c r="W677" s="73"/>
      <c r="GL677" s="73"/>
      <c r="GM677" s="73"/>
      <c r="GN677" s="73"/>
      <c r="GO677" s="73"/>
      <c r="GP677" s="73"/>
      <c r="GQ677" s="73"/>
      <c r="GR677" s="73"/>
      <c r="GS677" s="73"/>
      <c r="GT677" s="73"/>
      <c r="GU677" s="73"/>
      <c r="GV677" s="73"/>
      <c r="GW677" s="73"/>
      <c r="GX677" s="73"/>
      <c r="GY677" s="73"/>
      <c r="GZ677" s="73"/>
      <c r="HA677" s="73"/>
      <c r="HB677" s="73"/>
      <c r="HC677" s="73"/>
      <c r="HD677" s="73"/>
      <c r="HE677" s="73"/>
      <c r="HF677" s="73"/>
      <c r="HG677" s="73"/>
      <c r="HH677" s="73"/>
      <c r="HI677" s="73"/>
      <c r="HJ677" s="73"/>
      <c r="HK677" s="73"/>
      <c r="HL677" s="73"/>
      <c r="HM677" s="73"/>
      <c r="HN677" s="73"/>
      <c r="HO677" s="73"/>
      <c r="HP677" s="73"/>
      <c r="HQ677" s="73"/>
      <c r="HR677" s="73"/>
      <c r="HS677" s="73"/>
      <c r="HT677" s="73"/>
      <c r="HU677" s="73"/>
      <c r="HV677" s="73"/>
      <c r="HW677" s="73"/>
      <c r="HX677" s="73"/>
      <c r="HY677" s="73"/>
      <c r="HZ677" s="73"/>
      <c r="IA677" s="73"/>
      <c r="IB677" s="73"/>
      <c r="IC677" s="73"/>
      <c r="ID677" s="73"/>
      <c r="IE677" s="73"/>
      <c r="IF677" s="73"/>
      <c r="IG677" s="73"/>
      <c r="IH677" s="73"/>
      <c r="II677" s="73"/>
      <c r="IJ677" s="73"/>
      <c r="IK677" s="73"/>
      <c r="IL677" s="73"/>
      <c r="IM677" s="73"/>
      <c r="IN677" s="73"/>
      <c r="IO677" s="73"/>
      <c r="IP677" s="73"/>
      <c r="IQ677" s="73"/>
      <c r="IR677" s="73"/>
      <c r="IS677" s="73"/>
      <c r="IT677" s="73"/>
      <c r="IU677" s="73"/>
      <c r="IV677" s="73"/>
      <c r="IW677" s="73"/>
      <c r="IX677" s="73"/>
      <c r="IY677" s="73"/>
      <c r="IZ677" s="73"/>
      <c r="JA677" s="73"/>
      <c r="JB677" s="73"/>
      <c r="JC677" s="73"/>
    </row>
    <row r="678" spans="2:263" s="72" customFormat="1">
      <c r="B678" s="73"/>
      <c r="C678" s="73"/>
      <c r="D678" s="73"/>
      <c r="E678" s="73"/>
      <c r="F678" s="73"/>
      <c r="G678" s="73"/>
      <c r="H678" s="73"/>
      <c r="I678" s="73"/>
      <c r="J678" s="73"/>
      <c r="K678" s="73"/>
      <c r="L678" s="73"/>
      <c r="M678" s="73"/>
      <c r="N678" s="73"/>
      <c r="O678" s="73"/>
      <c r="P678" s="73"/>
      <c r="Q678" s="73"/>
      <c r="R678" s="73"/>
      <c r="S678" s="73"/>
      <c r="T678" s="73"/>
      <c r="U678" s="73"/>
      <c r="V678" s="73"/>
      <c r="W678" s="73"/>
      <c r="GL678" s="73"/>
      <c r="GM678" s="73"/>
      <c r="GN678" s="73"/>
      <c r="GO678" s="73"/>
      <c r="GP678" s="73"/>
      <c r="GQ678" s="73"/>
      <c r="GR678" s="73"/>
      <c r="GS678" s="73"/>
      <c r="GT678" s="73"/>
      <c r="GU678" s="73"/>
      <c r="GV678" s="73"/>
      <c r="GW678" s="73"/>
      <c r="GX678" s="73"/>
      <c r="GY678" s="73"/>
      <c r="GZ678" s="73"/>
      <c r="HA678" s="73"/>
      <c r="HB678" s="73"/>
      <c r="HC678" s="73"/>
      <c r="HD678" s="73"/>
      <c r="HE678" s="73"/>
      <c r="HF678" s="73"/>
      <c r="HG678" s="73"/>
      <c r="HH678" s="73"/>
      <c r="HI678" s="73"/>
      <c r="HJ678" s="73"/>
      <c r="HK678" s="73"/>
      <c r="HL678" s="73"/>
      <c r="HM678" s="73"/>
      <c r="HN678" s="73"/>
      <c r="HO678" s="73"/>
      <c r="HP678" s="73"/>
      <c r="HQ678" s="73"/>
      <c r="HR678" s="73"/>
      <c r="HS678" s="73"/>
      <c r="HT678" s="73"/>
      <c r="HU678" s="73"/>
      <c r="HV678" s="73"/>
      <c r="HW678" s="73"/>
      <c r="HX678" s="73"/>
      <c r="HY678" s="73"/>
      <c r="HZ678" s="73"/>
      <c r="IA678" s="73"/>
      <c r="IB678" s="73"/>
      <c r="IC678" s="73"/>
      <c r="ID678" s="73"/>
      <c r="IE678" s="73"/>
      <c r="IF678" s="73"/>
      <c r="IG678" s="73"/>
      <c r="IH678" s="73"/>
      <c r="II678" s="73"/>
      <c r="IJ678" s="73"/>
      <c r="IK678" s="73"/>
      <c r="IL678" s="73"/>
      <c r="IM678" s="73"/>
      <c r="IN678" s="73"/>
      <c r="IO678" s="73"/>
      <c r="IP678" s="73"/>
      <c r="IQ678" s="73"/>
      <c r="IR678" s="73"/>
      <c r="IS678" s="73"/>
      <c r="IT678" s="73"/>
      <c r="IU678" s="73"/>
      <c r="IV678" s="73"/>
      <c r="IW678" s="73"/>
      <c r="IX678" s="73"/>
      <c r="IY678" s="73"/>
      <c r="IZ678" s="73"/>
      <c r="JA678" s="73"/>
      <c r="JB678" s="73"/>
      <c r="JC678" s="73"/>
    </row>
    <row r="679" spans="2:263" s="72" customFormat="1">
      <c r="B679" s="73"/>
      <c r="C679" s="73"/>
      <c r="D679" s="73"/>
      <c r="E679" s="73"/>
      <c r="F679" s="73"/>
      <c r="G679" s="73"/>
      <c r="H679" s="73"/>
      <c r="I679" s="73"/>
      <c r="J679" s="73"/>
      <c r="K679" s="73"/>
      <c r="L679" s="73"/>
      <c r="M679" s="73"/>
      <c r="N679" s="73"/>
      <c r="O679" s="73"/>
      <c r="P679" s="73"/>
      <c r="Q679" s="73"/>
      <c r="R679" s="73"/>
      <c r="S679" s="73"/>
      <c r="T679" s="73"/>
      <c r="U679" s="73"/>
      <c r="V679" s="73"/>
      <c r="W679" s="73"/>
      <c r="GL679" s="73"/>
      <c r="GM679" s="73"/>
      <c r="GN679" s="73"/>
      <c r="GO679" s="73"/>
      <c r="GP679" s="73"/>
      <c r="GQ679" s="73"/>
      <c r="GR679" s="73"/>
      <c r="GS679" s="73"/>
      <c r="GT679" s="73"/>
      <c r="GU679" s="73"/>
      <c r="GV679" s="73"/>
      <c r="GW679" s="73"/>
      <c r="GX679" s="73"/>
      <c r="GY679" s="73"/>
      <c r="GZ679" s="73"/>
      <c r="HA679" s="73"/>
      <c r="HB679" s="73"/>
      <c r="HC679" s="73"/>
      <c r="HD679" s="73"/>
      <c r="HE679" s="73"/>
      <c r="HF679" s="73"/>
      <c r="HG679" s="73"/>
      <c r="HH679" s="73"/>
      <c r="HI679" s="73"/>
      <c r="HJ679" s="73"/>
      <c r="HK679" s="73"/>
      <c r="HL679" s="73"/>
      <c r="HM679" s="73"/>
      <c r="HN679" s="73"/>
      <c r="HO679" s="73"/>
      <c r="HP679" s="73"/>
      <c r="HQ679" s="73"/>
      <c r="HR679" s="73"/>
      <c r="HS679" s="73"/>
      <c r="HT679" s="73"/>
      <c r="HU679" s="73"/>
      <c r="HV679" s="73"/>
      <c r="HW679" s="73"/>
      <c r="HX679" s="73"/>
      <c r="HY679" s="73"/>
      <c r="HZ679" s="73"/>
      <c r="IA679" s="73"/>
      <c r="IB679" s="73"/>
      <c r="IC679" s="73"/>
      <c r="ID679" s="73"/>
      <c r="IE679" s="73"/>
      <c r="IF679" s="73"/>
      <c r="IG679" s="73"/>
      <c r="IH679" s="73"/>
      <c r="II679" s="73"/>
      <c r="IJ679" s="73"/>
      <c r="IK679" s="73"/>
      <c r="IL679" s="73"/>
      <c r="IM679" s="73"/>
      <c r="IN679" s="73"/>
      <c r="IO679" s="73"/>
      <c r="IP679" s="73"/>
      <c r="IQ679" s="73"/>
      <c r="IR679" s="73"/>
      <c r="IS679" s="73"/>
      <c r="IT679" s="73"/>
      <c r="IU679" s="73"/>
      <c r="IV679" s="73"/>
      <c r="IW679" s="73"/>
      <c r="IX679" s="73"/>
      <c r="IY679" s="73"/>
      <c r="IZ679" s="73"/>
      <c r="JA679" s="73"/>
      <c r="JB679" s="73"/>
      <c r="JC679" s="73"/>
    </row>
    <row r="680" spans="2:263" s="72" customFormat="1">
      <c r="B680" s="73"/>
      <c r="C680" s="73"/>
      <c r="D680" s="73"/>
      <c r="E680" s="73"/>
      <c r="F680" s="73"/>
      <c r="G680" s="73"/>
      <c r="H680" s="73"/>
      <c r="I680" s="73"/>
      <c r="J680" s="73"/>
      <c r="K680" s="73"/>
      <c r="L680" s="73"/>
      <c r="M680" s="73"/>
      <c r="N680" s="73"/>
      <c r="O680" s="73"/>
      <c r="P680" s="73"/>
      <c r="Q680" s="73"/>
      <c r="R680" s="73"/>
      <c r="S680" s="73"/>
      <c r="T680" s="73"/>
      <c r="U680" s="73"/>
      <c r="V680" s="73"/>
      <c r="W680" s="73"/>
      <c r="GL680" s="73"/>
      <c r="GM680" s="73"/>
      <c r="GN680" s="73"/>
      <c r="GO680" s="73"/>
      <c r="GP680" s="73"/>
      <c r="GQ680" s="73"/>
      <c r="GR680" s="73"/>
      <c r="GS680" s="73"/>
      <c r="GT680" s="73"/>
      <c r="GU680" s="73"/>
      <c r="GV680" s="73"/>
      <c r="GW680" s="73"/>
      <c r="GX680" s="73"/>
      <c r="GY680" s="73"/>
      <c r="GZ680" s="73"/>
      <c r="HA680" s="73"/>
      <c r="HB680" s="73"/>
      <c r="HC680" s="73"/>
      <c r="HD680" s="73"/>
      <c r="HE680" s="73"/>
      <c r="HF680" s="73"/>
      <c r="HG680" s="73"/>
      <c r="HH680" s="73"/>
      <c r="HI680" s="73"/>
      <c r="HJ680" s="73"/>
      <c r="HK680" s="73"/>
      <c r="HL680" s="73"/>
      <c r="HM680" s="73"/>
      <c r="HN680" s="73"/>
      <c r="HO680" s="73"/>
      <c r="HP680" s="73"/>
      <c r="HQ680" s="73"/>
      <c r="HR680" s="73"/>
      <c r="HS680" s="73"/>
      <c r="HT680" s="73"/>
      <c r="HU680" s="73"/>
      <c r="HV680" s="73"/>
      <c r="HW680" s="73"/>
      <c r="HX680" s="73"/>
      <c r="HY680" s="73"/>
      <c r="HZ680" s="73"/>
      <c r="IA680" s="73"/>
      <c r="IB680" s="73"/>
      <c r="IC680" s="73"/>
      <c r="ID680" s="73"/>
      <c r="IE680" s="73"/>
      <c r="IF680" s="73"/>
      <c r="IG680" s="73"/>
      <c r="IH680" s="73"/>
      <c r="II680" s="73"/>
      <c r="IJ680" s="73"/>
      <c r="IK680" s="73"/>
      <c r="IL680" s="73"/>
      <c r="IM680" s="73"/>
      <c r="IN680" s="73"/>
      <c r="IO680" s="73"/>
      <c r="IP680" s="73"/>
      <c r="IQ680" s="73"/>
      <c r="IR680" s="73"/>
      <c r="IS680" s="73"/>
      <c r="IT680" s="73"/>
      <c r="IU680" s="73"/>
      <c r="IV680" s="73"/>
      <c r="IW680" s="73"/>
      <c r="IX680" s="73"/>
      <c r="IY680" s="73"/>
      <c r="IZ680" s="73"/>
      <c r="JA680" s="73"/>
      <c r="JB680" s="73"/>
      <c r="JC680" s="73"/>
    </row>
    <row r="681" spans="2:263" s="72" customFormat="1">
      <c r="B681" s="73"/>
      <c r="C681" s="73"/>
      <c r="D681" s="73"/>
      <c r="E681" s="73"/>
      <c r="F681" s="73"/>
      <c r="G681" s="73"/>
      <c r="H681" s="73"/>
      <c r="I681" s="73"/>
      <c r="J681" s="73"/>
      <c r="K681" s="73"/>
      <c r="L681" s="73"/>
      <c r="M681" s="73"/>
      <c r="N681" s="73"/>
      <c r="O681" s="73"/>
      <c r="P681" s="73"/>
      <c r="Q681" s="73"/>
      <c r="R681" s="73"/>
      <c r="S681" s="73"/>
      <c r="T681" s="73"/>
      <c r="U681" s="73"/>
      <c r="V681" s="73"/>
      <c r="W681" s="73"/>
      <c r="GL681" s="73"/>
      <c r="GM681" s="73"/>
      <c r="GN681" s="73"/>
      <c r="GO681" s="73"/>
      <c r="GP681" s="73"/>
      <c r="GQ681" s="73"/>
      <c r="GR681" s="73"/>
      <c r="GS681" s="73"/>
      <c r="GT681" s="73"/>
      <c r="GU681" s="73"/>
      <c r="GV681" s="73"/>
      <c r="GW681" s="73"/>
      <c r="GX681" s="73"/>
      <c r="GY681" s="73"/>
      <c r="GZ681" s="73"/>
      <c r="HA681" s="73"/>
      <c r="HB681" s="73"/>
      <c r="HC681" s="73"/>
      <c r="HD681" s="73"/>
      <c r="HE681" s="73"/>
      <c r="HF681" s="73"/>
      <c r="HG681" s="73"/>
      <c r="HH681" s="73"/>
      <c r="HI681" s="73"/>
      <c r="HJ681" s="73"/>
      <c r="HK681" s="73"/>
      <c r="HL681" s="73"/>
      <c r="HM681" s="73"/>
      <c r="HN681" s="73"/>
      <c r="HO681" s="73"/>
      <c r="HP681" s="73"/>
      <c r="HQ681" s="73"/>
      <c r="HR681" s="73"/>
      <c r="HS681" s="73"/>
      <c r="HT681" s="73"/>
      <c r="HU681" s="73"/>
      <c r="HV681" s="73"/>
      <c r="HW681" s="73"/>
      <c r="HX681" s="73"/>
      <c r="HY681" s="73"/>
      <c r="HZ681" s="73"/>
      <c r="IA681" s="73"/>
      <c r="IB681" s="73"/>
      <c r="IC681" s="73"/>
      <c r="ID681" s="73"/>
      <c r="IE681" s="73"/>
      <c r="IF681" s="73"/>
      <c r="IG681" s="73"/>
      <c r="IH681" s="73"/>
      <c r="II681" s="73"/>
      <c r="IJ681" s="73"/>
      <c r="IK681" s="73"/>
      <c r="IL681" s="73"/>
      <c r="IM681" s="73"/>
      <c r="IN681" s="73"/>
      <c r="IO681" s="73"/>
      <c r="IP681" s="73"/>
      <c r="IQ681" s="73"/>
      <c r="IR681" s="73"/>
      <c r="IS681" s="73"/>
      <c r="IT681" s="73"/>
      <c r="IU681" s="73"/>
      <c r="IV681" s="73"/>
      <c r="IW681" s="73"/>
      <c r="IX681" s="73"/>
      <c r="IY681" s="73"/>
      <c r="IZ681" s="73"/>
      <c r="JA681" s="73"/>
      <c r="JB681" s="73"/>
      <c r="JC681" s="73"/>
    </row>
    <row r="682" spans="2:263" s="72" customFormat="1">
      <c r="B682" s="73"/>
      <c r="C682" s="73"/>
      <c r="D682" s="73"/>
      <c r="E682" s="73"/>
      <c r="F682" s="73"/>
      <c r="G682" s="73"/>
      <c r="H682" s="73"/>
      <c r="I682" s="73"/>
      <c r="J682" s="73"/>
      <c r="K682" s="73"/>
      <c r="L682" s="73"/>
      <c r="M682" s="73"/>
      <c r="N682" s="73"/>
      <c r="O682" s="73"/>
      <c r="P682" s="73"/>
      <c r="Q682" s="73"/>
      <c r="R682" s="73"/>
      <c r="S682" s="73"/>
      <c r="T682" s="73"/>
      <c r="U682" s="73"/>
      <c r="V682" s="73"/>
      <c r="W682" s="73"/>
      <c r="GL682" s="73"/>
      <c r="GM682" s="73"/>
      <c r="GN682" s="73"/>
      <c r="GO682" s="73"/>
      <c r="GP682" s="73"/>
      <c r="GQ682" s="73"/>
      <c r="GR682" s="73"/>
      <c r="GS682" s="73"/>
      <c r="GT682" s="73"/>
      <c r="GU682" s="73"/>
      <c r="GV682" s="73"/>
      <c r="GW682" s="73"/>
      <c r="GX682" s="73"/>
      <c r="GY682" s="73"/>
      <c r="GZ682" s="73"/>
      <c r="HA682" s="73"/>
      <c r="HB682" s="73"/>
      <c r="HC682" s="73"/>
      <c r="HD682" s="73"/>
      <c r="HE682" s="73"/>
      <c r="HF682" s="73"/>
      <c r="HG682" s="73"/>
      <c r="HH682" s="73"/>
      <c r="HI682" s="73"/>
      <c r="HJ682" s="73"/>
      <c r="HK682" s="73"/>
      <c r="HL682" s="73"/>
      <c r="HM682" s="73"/>
      <c r="HN682" s="73"/>
      <c r="HO682" s="73"/>
      <c r="HP682" s="73"/>
      <c r="HQ682" s="73"/>
      <c r="HR682" s="73"/>
      <c r="HS682" s="73"/>
      <c r="HT682" s="73"/>
      <c r="HU682" s="73"/>
      <c r="HV682" s="73"/>
      <c r="HW682" s="73"/>
      <c r="HX682" s="73"/>
      <c r="HY682" s="73"/>
      <c r="HZ682" s="73"/>
      <c r="IA682" s="73"/>
      <c r="IB682" s="73"/>
      <c r="IC682" s="73"/>
      <c r="ID682" s="73"/>
      <c r="IE682" s="73"/>
      <c r="IF682" s="73"/>
      <c r="IG682" s="73"/>
      <c r="IH682" s="73"/>
      <c r="II682" s="73"/>
      <c r="IJ682" s="73"/>
      <c r="IK682" s="73"/>
      <c r="IL682" s="73"/>
      <c r="IM682" s="73"/>
      <c r="IN682" s="73"/>
      <c r="IO682" s="73"/>
      <c r="IP682" s="73"/>
      <c r="IQ682" s="73"/>
      <c r="IR682" s="73"/>
      <c r="IS682" s="73"/>
      <c r="IT682" s="73"/>
      <c r="IU682" s="73"/>
      <c r="IV682" s="73"/>
      <c r="IW682" s="73"/>
      <c r="IX682" s="73"/>
      <c r="IY682" s="73"/>
      <c r="IZ682" s="73"/>
      <c r="JA682" s="73"/>
      <c r="JB682" s="73"/>
      <c r="JC682" s="73"/>
    </row>
    <row r="683" spans="2:263" s="72" customFormat="1">
      <c r="B683" s="73"/>
      <c r="C683" s="73"/>
      <c r="D683" s="73"/>
      <c r="E683" s="73"/>
      <c r="F683" s="73"/>
      <c r="G683" s="73"/>
      <c r="H683" s="73"/>
      <c r="I683" s="73"/>
      <c r="J683" s="73"/>
      <c r="K683" s="73"/>
      <c r="L683" s="73"/>
      <c r="M683" s="73"/>
      <c r="N683" s="73"/>
      <c r="O683" s="73"/>
      <c r="P683" s="73"/>
      <c r="Q683" s="73"/>
      <c r="R683" s="73"/>
      <c r="S683" s="73"/>
      <c r="T683" s="73"/>
      <c r="U683" s="73"/>
      <c r="V683" s="73"/>
      <c r="W683" s="73"/>
      <c r="GL683" s="73"/>
      <c r="GM683" s="73"/>
      <c r="GN683" s="73"/>
      <c r="GO683" s="73"/>
      <c r="GP683" s="73"/>
      <c r="GQ683" s="73"/>
      <c r="GR683" s="73"/>
      <c r="GS683" s="73"/>
      <c r="GT683" s="73"/>
      <c r="GU683" s="73"/>
      <c r="GV683" s="73"/>
      <c r="GW683" s="73"/>
      <c r="GX683" s="73"/>
      <c r="GY683" s="73"/>
      <c r="GZ683" s="73"/>
      <c r="HA683" s="73"/>
      <c r="HB683" s="73"/>
      <c r="HC683" s="73"/>
      <c r="HD683" s="73"/>
      <c r="HE683" s="73"/>
      <c r="HF683" s="73"/>
      <c r="HG683" s="73"/>
      <c r="HH683" s="73"/>
      <c r="HI683" s="73"/>
      <c r="HJ683" s="73"/>
      <c r="HK683" s="73"/>
      <c r="HL683" s="73"/>
      <c r="HM683" s="73"/>
      <c r="HN683" s="73"/>
      <c r="HO683" s="73"/>
      <c r="HP683" s="73"/>
      <c r="HQ683" s="73"/>
      <c r="HR683" s="73"/>
      <c r="HS683" s="73"/>
      <c r="HT683" s="73"/>
      <c r="HU683" s="73"/>
      <c r="HV683" s="73"/>
      <c r="HW683" s="73"/>
      <c r="HX683" s="73"/>
      <c r="HY683" s="73"/>
      <c r="HZ683" s="73"/>
      <c r="IA683" s="73"/>
      <c r="IB683" s="73"/>
      <c r="IC683" s="73"/>
      <c r="ID683" s="73"/>
      <c r="IE683" s="73"/>
      <c r="IF683" s="73"/>
      <c r="IG683" s="73"/>
      <c r="IH683" s="73"/>
      <c r="II683" s="73"/>
      <c r="IJ683" s="73"/>
      <c r="IK683" s="73"/>
      <c r="IL683" s="73"/>
      <c r="IM683" s="73"/>
      <c r="IN683" s="73"/>
      <c r="IO683" s="73"/>
      <c r="IP683" s="73"/>
      <c r="IQ683" s="73"/>
      <c r="IR683" s="73"/>
      <c r="IS683" s="73"/>
      <c r="IT683" s="73"/>
      <c r="IU683" s="73"/>
      <c r="IV683" s="73"/>
      <c r="IW683" s="73"/>
      <c r="IX683" s="73"/>
      <c r="IY683" s="73"/>
      <c r="IZ683" s="73"/>
      <c r="JA683" s="73"/>
      <c r="JB683" s="73"/>
      <c r="JC683" s="73"/>
    </row>
    <row r="684" spans="2:263" s="72" customFormat="1">
      <c r="B684" s="73"/>
      <c r="C684" s="73"/>
      <c r="D684" s="73"/>
      <c r="E684" s="73"/>
      <c r="F684" s="73"/>
      <c r="G684" s="73"/>
      <c r="H684" s="73"/>
      <c r="I684" s="73"/>
      <c r="J684" s="73"/>
      <c r="K684" s="73"/>
      <c r="L684" s="73"/>
      <c r="M684" s="73"/>
      <c r="N684" s="73"/>
      <c r="O684" s="73"/>
      <c r="P684" s="73"/>
      <c r="Q684" s="73"/>
      <c r="R684" s="73"/>
      <c r="S684" s="73"/>
      <c r="T684" s="73"/>
      <c r="U684" s="73"/>
      <c r="V684" s="73"/>
      <c r="W684" s="73"/>
      <c r="GL684" s="73"/>
      <c r="GM684" s="73"/>
      <c r="GN684" s="73"/>
      <c r="GO684" s="73"/>
      <c r="GP684" s="73"/>
      <c r="GQ684" s="73"/>
      <c r="GR684" s="73"/>
      <c r="GS684" s="73"/>
      <c r="GT684" s="73"/>
      <c r="GU684" s="73"/>
      <c r="GV684" s="73"/>
      <c r="GW684" s="73"/>
      <c r="GX684" s="73"/>
      <c r="GY684" s="73"/>
      <c r="GZ684" s="73"/>
      <c r="HA684" s="73"/>
      <c r="HB684" s="73"/>
      <c r="HC684" s="73"/>
      <c r="HD684" s="73"/>
      <c r="HE684" s="73"/>
      <c r="HF684" s="73"/>
      <c r="HG684" s="73"/>
      <c r="HH684" s="73"/>
      <c r="HI684" s="73"/>
      <c r="HJ684" s="73"/>
      <c r="HK684" s="73"/>
      <c r="HL684" s="73"/>
      <c r="HM684" s="73"/>
      <c r="HN684" s="73"/>
      <c r="HO684" s="73"/>
      <c r="HP684" s="73"/>
      <c r="HQ684" s="73"/>
      <c r="HR684" s="73"/>
      <c r="HS684" s="73"/>
      <c r="HT684" s="73"/>
      <c r="HU684" s="73"/>
      <c r="HV684" s="73"/>
      <c r="HW684" s="73"/>
      <c r="HX684" s="73"/>
      <c r="HY684" s="73"/>
      <c r="HZ684" s="73"/>
      <c r="IA684" s="73"/>
      <c r="IB684" s="73"/>
      <c r="IC684" s="73"/>
      <c r="ID684" s="73"/>
      <c r="IE684" s="73"/>
      <c r="IF684" s="73"/>
      <c r="IG684" s="73"/>
      <c r="IH684" s="73"/>
      <c r="II684" s="73"/>
      <c r="IJ684" s="73"/>
      <c r="IK684" s="73"/>
      <c r="IL684" s="73"/>
      <c r="IM684" s="73"/>
      <c r="IN684" s="73"/>
      <c r="IO684" s="73"/>
      <c r="IP684" s="73"/>
      <c r="IQ684" s="73"/>
      <c r="IR684" s="73"/>
      <c r="IS684" s="73"/>
      <c r="IT684" s="73"/>
      <c r="IU684" s="73"/>
      <c r="IV684" s="73"/>
      <c r="IW684" s="73"/>
      <c r="IX684" s="73"/>
      <c r="IY684" s="73"/>
      <c r="IZ684" s="73"/>
      <c r="JA684" s="73"/>
      <c r="JB684" s="73"/>
      <c r="JC684" s="73"/>
    </row>
    <row r="685" spans="2:263" s="72" customFormat="1">
      <c r="B685" s="73"/>
      <c r="C685" s="73"/>
      <c r="D685" s="73"/>
      <c r="E685" s="73"/>
      <c r="F685" s="73"/>
      <c r="G685" s="73"/>
      <c r="H685" s="73"/>
      <c r="I685" s="73"/>
      <c r="J685" s="73"/>
      <c r="K685" s="73"/>
      <c r="L685" s="73"/>
      <c r="M685" s="73"/>
      <c r="N685" s="73"/>
      <c r="O685" s="73"/>
      <c r="P685" s="73"/>
      <c r="Q685" s="73"/>
      <c r="R685" s="73"/>
      <c r="S685" s="73"/>
      <c r="T685" s="73"/>
      <c r="U685" s="73"/>
      <c r="V685" s="73"/>
      <c r="W685" s="73"/>
      <c r="GL685" s="73"/>
      <c r="GM685" s="73"/>
      <c r="GN685" s="73"/>
      <c r="GO685" s="73"/>
      <c r="GP685" s="73"/>
      <c r="GQ685" s="73"/>
      <c r="GR685" s="73"/>
      <c r="GS685" s="73"/>
      <c r="GT685" s="73"/>
      <c r="GU685" s="73"/>
      <c r="GV685" s="73"/>
      <c r="GW685" s="73"/>
      <c r="GX685" s="73"/>
      <c r="GY685" s="73"/>
      <c r="GZ685" s="73"/>
      <c r="HA685" s="73"/>
      <c r="HB685" s="73"/>
      <c r="HC685" s="73"/>
      <c r="HD685" s="73"/>
      <c r="HE685" s="73"/>
      <c r="HF685" s="73"/>
      <c r="HG685" s="73"/>
      <c r="HH685" s="73"/>
      <c r="HI685" s="73"/>
      <c r="HJ685" s="73"/>
      <c r="HK685" s="73"/>
      <c r="HL685" s="73"/>
      <c r="HM685" s="73"/>
      <c r="HN685" s="73"/>
      <c r="HO685" s="73"/>
      <c r="HP685" s="73"/>
      <c r="HQ685" s="73"/>
      <c r="HR685" s="73"/>
      <c r="HS685" s="73"/>
      <c r="HT685" s="73"/>
      <c r="HU685" s="73"/>
      <c r="HV685" s="73"/>
      <c r="HW685" s="73"/>
      <c r="HX685" s="73"/>
      <c r="HY685" s="73"/>
      <c r="HZ685" s="73"/>
      <c r="IA685" s="73"/>
      <c r="IB685" s="73"/>
      <c r="IC685" s="73"/>
      <c r="ID685" s="73"/>
      <c r="IE685" s="73"/>
      <c r="IF685" s="73"/>
      <c r="IG685" s="73"/>
      <c r="IH685" s="73"/>
      <c r="II685" s="73"/>
      <c r="IJ685" s="73"/>
      <c r="IK685" s="73"/>
      <c r="IL685" s="73"/>
      <c r="IM685" s="73"/>
      <c r="IN685" s="73"/>
      <c r="IO685" s="73"/>
      <c r="IP685" s="73"/>
      <c r="IQ685" s="73"/>
      <c r="IR685" s="73"/>
      <c r="IS685" s="73"/>
      <c r="IT685" s="73"/>
      <c r="IU685" s="73"/>
      <c r="IV685" s="73"/>
      <c r="IW685" s="73"/>
      <c r="IX685" s="73"/>
      <c r="IY685" s="73"/>
      <c r="IZ685" s="73"/>
      <c r="JA685" s="73"/>
      <c r="JB685" s="73"/>
      <c r="JC685" s="73"/>
    </row>
    <row r="686" spans="2:263" s="72" customFormat="1">
      <c r="B686" s="73"/>
      <c r="C686" s="73"/>
      <c r="D686" s="73"/>
      <c r="E686" s="73"/>
      <c r="F686" s="73"/>
      <c r="G686" s="73"/>
      <c r="H686" s="73"/>
      <c r="I686" s="73"/>
      <c r="J686" s="73"/>
      <c r="K686" s="73"/>
      <c r="L686" s="73"/>
      <c r="M686" s="73"/>
      <c r="N686" s="73"/>
      <c r="O686" s="73"/>
      <c r="P686" s="73"/>
      <c r="Q686" s="73"/>
      <c r="R686" s="73"/>
      <c r="S686" s="73"/>
      <c r="T686" s="73"/>
      <c r="U686" s="73"/>
      <c r="V686" s="73"/>
      <c r="W686" s="73"/>
      <c r="GL686" s="73"/>
      <c r="GM686" s="73"/>
      <c r="GN686" s="73"/>
      <c r="GO686" s="73"/>
      <c r="GP686" s="73"/>
      <c r="GQ686" s="73"/>
      <c r="GR686" s="73"/>
      <c r="GS686" s="73"/>
      <c r="GT686" s="73"/>
      <c r="GU686" s="73"/>
      <c r="GV686" s="73"/>
      <c r="GW686" s="73"/>
      <c r="GX686" s="73"/>
      <c r="GY686" s="73"/>
      <c r="GZ686" s="73"/>
      <c r="HA686" s="73"/>
      <c r="HB686" s="73"/>
      <c r="HC686" s="73"/>
      <c r="HD686" s="73"/>
      <c r="HE686" s="73"/>
      <c r="HF686" s="73"/>
      <c r="HG686" s="73"/>
      <c r="HH686" s="73"/>
      <c r="HI686" s="73"/>
      <c r="HJ686" s="73"/>
      <c r="HK686" s="73"/>
      <c r="HL686" s="73"/>
      <c r="HM686" s="73"/>
      <c r="HN686" s="73"/>
      <c r="HO686" s="73"/>
      <c r="HP686" s="73"/>
      <c r="HQ686" s="73"/>
      <c r="HR686" s="73"/>
      <c r="HS686" s="73"/>
      <c r="HT686" s="73"/>
      <c r="HU686" s="73"/>
      <c r="HV686" s="73"/>
      <c r="HW686" s="73"/>
      <c r="HX686" s="73"/>
      <c r="HY686" s="73"/>
      <c r="HZ686" s="73"/>
      <c r="IA686" s="73"/>
      <c r="IB686" s="73"/>
      <c r="IC686" s="73"/>
      <c r="ID686" s="73"/>
      <c r="IE686" s="73"/>
      <c r="IF686" s="73"/>
      <c r="IG686" s="73"/>
      <c r="IH686" s="73"/>
      <c r="II686" s="73"/>
      <c r="IJ686" s="73"/>
      <c r="IK686" s="73"/>
      <c r="IL686" s="73"/>
      <c r="IM686" s="73"/>
      <c r="IN686" s="73"/>
      <c r="IO686" s="73"/>
      <c r="IP686" s="73"/>
      <c r="IQ686" s="73"/>
      <c r="IR686" s="73"/>
      <c r="IS686" s="73"/>
      <c r="IT686" s="73"/>
      <c r="IU686" s="73"/>
      <c r="IV686" s="73"/>
      <c r="IW686" s="73"/>
      <c r="IX686" s="73"/>
      <c r="IY686" s="73"/>
      <c r="IZ686" s="73"/>
      <c r="JA686" s="73"/>
      <c r="JB686" s="73"/>
      <c r="JC686" s="73"/>
    </row>
    <row r="687" spans="2:263" s="72" customFormat="1">
      <c r="B687" s="73"/>
      <c r="C687" s="73"/>
      <c r="D687" s="73"/>
      <c r="E687" s="73"/>
      <c r="F687" s="73"/>
      <c r="G687" s="73"/>
      <c r="H687" s="73"/>
      <c r="I687" s="73"/>
      <c r="J687" s="73"/>
      <c r="K687" s="73"/>
      <c r="L687" s="73"/>
      <c r="M687" s="73"/>
      <c r="N687" s="73"/>
      <c r="O687" s="73"/>
      <c r="P687" s="73"/>
      <c r="Q687" s="73"/>
      <c r="R687" s="73"/>
      <c r="S687" s="73"/>
      <c r="T687" s="73"/>
      <c r="U687" s="73"/>
      <c r="V687" s="73"/>
      <c r="W687" s="73"/>
      <c r="GL687" s="73"/>
      <c r="GM687" s="73"/>
      <c r="GN687" s="73"/>
      <c r="GO687" s="73"/>
      <c r="GP687" s="73"/>
      <c r="GQ687" s="73"/>
      <c r="GR687" s="73"/>
      <c r="GS687" s="73"/>
      <c r="GT687" s="73"/>
      <c r="GU687" s="73"/>
      <c r="GV687" s="73"/>
      <c r="GW687" s="73"/>
      <c r="GX687" s="73"/>
      <c r="GY687" s="73"/>
      <c r="GZ687" s="73"/>
      <c r="HA687" s="73"/>
      <c r="HB687" s="73"/>
      <c r="HC687" s="73"/>
      <c r="HD687" s="73"/>
      <c r="HE687" s="73"/>
      <c r="HF687" s="73"/>
      <c r="HG687" s="73"/>
      <c r="HH687" s="73"/>
      <c r="HI687" s="73"/>
      <c r="HJ687" s="73"/>
      <c r="HK687" s="73"/>
      <c r="HL687" s="73"/>
      <c r="HM687" s="73"/>
      <c r="HN687" s="73"/>
      <c r="HO687" s="73"/>
      <c r="HP687" s="73"/>
      <c r="HQ687" s="73"/>
      <c r="HR687" s="73"/>
      <c r="HS687" s="73"/>
      <c r="HT687" s="73"/>
      <c r="HU687" s="73"/>
      <c r="HV687" s="73"/>
      <c r="HW687" s="73"/>
      <c r="HX687" s="73"/>
      <c r="HY687" s="73"/>
      <c r="HZ687" s="73"/>
      <c r="IA687" s="73"/>
      <c r="IB687" s="73"/>
      <c r="IC687" s="73"/>
      <c r="ID687" s="73"/>
      <c r="IE687" s="73"/>
      <c r="IF687" s="73"/>
      <c r="IG687" s="73"/>
      <c r="IH687" s="73"/>
      <c r="II687" s="73"/>
      <c r="IJ687" s="73"/>
      <c r="IK687" s="73"/>
      <c r="IL687" s="73"/>
      <c r="IM687" s="73"/>
      <c r="IN687" s="73"/>
      <c r="IO687" s="73"/>
      <c r="IP687" s="73"/>
      <c r="IQ687" s="73"/>
      <c r="IR687" s="73"/>
      <c r="IS687" s="73"/>
      <c r="IT687" s="73"/>
      <c r="IU687" s="73"/>
      <c r="IV687" s="73"/>
      <c r="IW687" s="73"/>
      <c r="IX687" s="73"/>
      <c r="IY687" s="73"/>
      <c r="IZ687" s="73"/>
      <c r="JA687" s="73"/>
      <c r="JB687" s="73"/>
      <c r="JC687" s="73"/>
    </row>
    <row r="688" spans="2:263" s="72" customFormat="1">
      <c r="B688" s="73"/>
      <c r="C688" s="73"/>
      <c r="D688" s="73"/>
      <c r="E688" s="73"/>
      <c r="F688" s="73"/>
      <c r="G688" s="73"/>
      <c r="H688" s="73"/>
      <c r="I688" s="73"/>
      <c r="J688" s="73"/>
      <c r="K688" s="73"/>
      <c r="L688" s="73"/>
      <c r="M688" s="73"/>
      <c r="N688" s="73"/>
      <c r="O688" s="73"/>
      <c r="P688" s="73"/>
      <c r="Q688" s="73"/>
      <c r="R688" s="73"/>
      <c r="S688" s="73"/>
      <c r="T688" s="73"/>
      <c r="U688" s="73"/>
      <c r="V688" s="73"/>
      <c r="W688" s="73"/>
      <c r="GL688" s="73"/>
      <c r="GM688" s="73"/>
      <c r="GN688" s="73"/>
      <c r="GO688" s="73"/>
      <c r="GP688" s="73"/>
      <c r="GQ688" s="73"/>
      <c r="GR688" s="73"/>
      <c r="GS688" s="73"/>
      <c r="GT688" s="73"/>
      <c r="GU688" s="73"/>
      <c r="GV688" s="73"/>
      <c r="GW688" s="73"/>
      <c r="GX688" s="73"/>
      <c r="GY688" s="73"/>
      <c r="GZ688" s="73"/>
      <c r="HA688" s="73"/>
      <c r="HB688" s="73"/>
      <c r="HC688" s="73"/>
      <c r="HD688" s="73"/>
      <c r="HE688" s="73"/>
      <c r="HF688" s="73"/>
      <c r="HG688" s="73"/>
      <c r="HH688" s="73"/>
      <c r="HI688" s="73"/>
      <c r="HJ688" s="73"/>
      <c r="HK688" s="73"/>
      <c r="HL688" s="73"/>
      <c r="HM688" s="73"/>
      <c r="HN688" s="73"/>
      <c r="HO688" s="73"/>
      <c r="HP688" s="73"/>
      <c r="HQ688" s="73"/>
      <c r="HR688" s="73"/>
      <c r="HS688" s="73"/>
      <c r="HT688" s="73"/>
      <c r="HU688" s="73"/>
      <c r="HV688" s="73"/>
      <c r="HW688" s="73"/>
      <c r="HX688" s="73"/>
      <c r="HY688" s="73"/>
      <c r="HZ688" s="73"/>
      <c r="IA688" s="73"/>
      <c r="IB688" s="73"/>
      <c r="IC688" s="73"/>
      <c r="ID688" s="73"/>
      <c r="IE688" s="73"/>
      <c r="IF688" s="73"/>
      <c r="IG688" s="73"/>
      <c r="IH688" s="73"/>
      <c r="II688" s="73"/>
      <c r="IJ688" s="73"/>
      <c r="IK688" s="73"/>
      <c r="IL688" s="73"/>
      <c r="IM688" s="73"/>
      <c r="IN688" s="73"/>
      <c r="IO688" s="73"/>
      <c r="IP688" s="73"/>
      <c r="IQ688" s="73"/>
      <c r="IR688" s="73"/>
      <c r="IS688" s="73"/>
      <c r="IT688" s="73"/>
      <c r="IU688" s="73"/>
      <c r="IV688" s="73"/>
      <c r="IW688" s="73"/>
      <c r="IX688" s="73"/>
      <c r="IY688" s="73"/>
      <c r="IZ688" s="73"/>
      <c r="JA688" s="73"/>
      <c r="JB688" s="73"/>
      <c r="JC688" s="73"/>
    </row>
    <row r="689" spans="2:263" s="72" customFormat="1">
      <c r="B689" s="73"/>
      <c r="C689" s="73"/>
      <c r="D689" s="73"/>
      <c r="E689" s="73"/>
      <c r="F689" s="73"/>
      <c r="G689" s="73"/>
      <c r="H689" s="73"/>
      <c r="I689" s="73"/>
      <c r="J689" s="73"/>
      <c r="K689" s="73"/>
      <c r="L689" s="73"/>
      <c r="M689" s="73"/>
      <c r="N689" s="73"/>
      <c r="O689" s="73"/>
      <c r="P689" s="73"/>
      <c r="Q689" s="73"/>
      <c r="R689" s="73"/>
      <c r="S689" s="73"/>
      <c r="T689" s="73"/>
      <c r="U689" s="73"/>
      <c r="V689" s="73"/>
      <c r="W689" s="73"/>
      <c r="GL689" s="73"/>
      <c r="GM689" s="73"/>
      <c r="GN689" s="73"/>
      <c r="GO689" s="73"/>
      <c r="GP689" s="73"/>
      <c r="GQ689" s="73"/>
      <c r="GR689" s="73"/>
      <c r="GS689" s="73"/>
      <c r="GT689" s="73"/>
      <c r="GU689" s="73"/>
      <c r="GV689" s="73"/>
      <c r="GW689" s="73"/>
      <c r="GX689" s="73"/>
      <c r="GY689" s="73"/>
      <c r="GZ689" s="73"/>
      <c r="HA689" s="73"/>
      <c r="HB689" s="73"/>
      <c r="HC689" s="73"/>
      <c r="HD689" s="73"/>
      <c r="HE689" s="73"/>
      <c r="HF689" s="73"/>
      <c r="HG689" s="73"/>
      <c r="HH689" s="73"/>
      <c r="HI689" s="73"/>
      <c r="HJ689" s="73"/>
      <c r="HK689" s="73"/>
      <c r="HL689" s="73"/>
      <c r="HM689" s="73"/>
      <c r="HN689" s="73"/>
      <c r="HO689" s="73"/>
      <c r="HP689" s="73"/>
      <c r="HQ689" s="73"/>
      <c r="HR689" s="73"/>
      <c r="HS689" s="73"/>
      <c r="HT689" s="73"/>
      <c r="HU689" s="73"/>
      <c r="HV689" s="73"/>
      <c r="HW689" s="73"/>
      <c r="HX689" s="73"/>
      <c r="HY689" s="73"/>
      <c r="HZ689" s="73"/>
      <c r="IA689" s="73"/>
      <c r="IB689" s="73"/>
      <c r="IC689" s="73"/>
      <c r="ID689" s="73"/>
      <c r="IE689" s="73"/>
      <c r="IF689" s="73"/>
      <c r="IG689" s="73"/>
      <c r="IH689" s="73"/>
      <c r="II689" s="73"/>
      <c r="IJ689" s="73"/>
      <c r="IK689" s="73"/>
      <c r="IL689" s="73"/>
      <c r="IM689" s="73"/>
      <c r="IN689" s="73"/>
      <c r="IO689" s="73"/>
      <c r="IP689" s="73"/>
      <c r="IQ689" s="73"/>
      <c r="IR689" s="73"/>
      <c r="IS689" s="73"/>
      <c r="IT689" s="73"/>
      <c r="IU689" s="73"/>
      <c r="IV689" s="73"/>
      <c r="IW689" s="73"/>
      <c r="IX689" s="73"/>
      <c r="IY689" s="73"/>
      <c r="IZ689" s="73"/>
      <c r="JA689" s="73"/>
      <c r="JB689" s="73"/>
      <c r="JC689" s="73"/>
    </row>
    <row r="690" spans="2:263" s="72" customFormat="1">
      <c r="B690" s="73"/>
      <c r="C690" s="73"/>
      <c r="D690" s="73"/>
      <c r="E690" s="73"/>
      <c r="F690" s="73"/>
      <c r="G690" s="73"/>
      <c r="H690" s="73"/>
      <c r="I690" s="73"/>
      <c r="J690" s="73"/>
      <c r="K690" s="73"/>
      <c r="L690" s="73"/>
      <c r="M690" s="73"/>
      <c r="N690" s="73"/>
      <c r="O690" s="73"/>
      <c r="P690" s="73"/>
      <c r="Q690" s="73"/>
      <c r="R690" s="73"/>
      <c r="S690" s="73"/>
      <c r="T690" s="73"/>
      <c r="U690" s="73"/>
      <c r="V690" s="73"/>
      <c r="W690" s="73"/>
      <c r="GL690" s="73"/>
      <c r="GM690" s="73"/>
      <c r="GN690" s="73"/>
      <c r="GO690" s="73"/>
      <c r="GP690" s="73"/>
      <c r="GQ690" s="73"/>
      <c r="GR690" s="73"/>
      <c r="GS690" s="73"/>
      <c r="GT690" s="73"/>
      <c r="GU690" s="73"/>
      <c r="GV690" s="73"/>
      <c r="GW690" s="73"/>
      <c r="GX690" s="73"/>
      <c r="GY690" s="73"/>
      <c r="GZ690" s="73"/>
      <c r="HA690" s="73"/>
      <c r="HB690" s="73"/>
      <c r="HC690" s="73"/>
      <c r="HD690" s="73"/>
      <c r="HE690" s="73"/>
      <c r="HF690" s="73"/>
      <c r="HG690" s="73"/>
      <c r="HH690" s="73"/>
      <c r="HI690" s="73"/>
      <c r="HJ690" s="73"/>
      <c r="HK690" s="73"/>
      <c r="HL690" s="73"/>
      <c r="HM690" s="73"/>
      <c r="HN690" s="73"/>
      <c r="HO690" s="73"/>
      <c r="HP690" s="73"/>
      <c r="HQ690" s="73"/>
      <c r="HR690" s="73"/>
      <c r="HS690" s="73"/>
      <c r="HT690" s="73"/>
      <c r="HU690" s="73"/>
      <c r="HV690" s="73"/>
      <c r="HW690" s="73"/>
      <c r="HX690" s="73"/>
      <c r="HY690" s="73"/>
      <c r="HZ690" s="73"/>
      <c r="IA690" s="73"/>
      <c r="IB690" s="73"/>
      <c r="IC690" s="73"/>
      <c r="ID690" s="73"/>
      <c r="IE690" s="73"/>
      <c r="IF690" s="73"/>
      <c r="IG690" s="73"/>
      <c r="IH690" s="73"/>
      <c r="II690" s="73"/>
      <c r="IJ690" s="73"/>
      <c r="IK690" s="73"/>
      <c r="IL690" s="73"/>
      <c r="IM690" s="73"/>
      <c r="IN690" s="73"/>
      <c r="IO690" s="73"/>
      <c r="IP690" s="73"/>
      <c r="IQ690" s="73"/>
      <c r="IR690" s="73"/>
      <c r="IS690" s="73"/>
      <c r="IT690" s="73"/>
      <c r="IU690" s="73"/>
      <c r="IV690" s="73"/>
      <c r="IW690" s="73"/>
      <c r="IX690" s="73"/>
      <c r="IY690" s="73"/>
      <c r="IZ690" s="73"/>
      <c r="JA690" s="73"/>
      <c r="JB690" s="73"/>
      <c r="JC690" s="73"/>
    </row>
    <row r="691" spans="2:263" s="72" customFormat="1">
      <c r="B691" s="73"/>
      <c r="C691" s="73"/>
      <c r="D691" s="73"/>
      <c r="E691" s="73"/>
      <c r="F691" s="73"/>
      <c r="G691" s="73"/>
      <c r="H691" s="73"/>
      <c r="I691" s="73"/>
      <c r="J691" s="73"/>
      <c r="K691" s="73"/>
      <c r="L691" s="73"/>
      <c r="M691" s="73"/>
      <c r="N691" s="73"/>
      <c r="O691" s="73"/>
      <c r="P691" s="73"/>
      <c r="Q691" s="73"/>
      <c r="R691" s="73"/>
      <c r="S691" s="73"/>
      <c r="T691" s="73"/>
      <c r="U691" s="73"/>
      <c r="V691" s="73"/>
      <c r="W691" s="73"/>
      <c r="GL691" s="73"/>
      <c r="GM691" s="73"/>
      <c r="GN691" s="73"/>
      <c r="GO691" s="73"/>
      <c r="GP691" s="73"/>
      <c r="GQ691" s="73"/>
      <c r="GR691" s="73"/>
      <c r="GS691" s="73"/>
      <c r="GT691" s="73"/>
      <c r="GU691" s="73"/>
      <c r="GV691" s="73"/>
      <c r="GW691" s="73"/>
      <c r="GX691" s="73"/>
      <c r="GY691" s="73"/>
      <c r="GZ691" s="73"/>
      <c r="HA691" s="73"/>
      <c r="HB691" s="73"/>
      <c r="HC691" s="73"/>
      <c r="HD691" s="73"/>
      <c r="HE691" s="73"/>
      <c r="HF691" s="73"/>
      <c r="HG691" s="73"/>
      <c r="HH691" s="73"/>
      <c r="HI691" s="73"/>
      <c r="HJ691" s="73"/>
      <c r="HK691" s="73"/>
      <c r="HL691" s="73"/>
      <c r="HM691" s="73"/>
      <c r="HN691" s="73"/>
      <c r="HO691" s="73"/>
      <c r="HP691" s="73"/>
      <c r="HQ691" s="73"/>
      <c r="HR691" s="73"/>
      <c r="HS691" s="73"/>
      <c r="HT691" s="73"/>
      <c r="HU691" s="73"/>
      <c r="HV691" s="73"/>
      <c r="HW691" s="73"/>
      <c r="HX691" s="73"/>
      <c r="HY691" s="73"/>
      <c r="HZ691" s="73"/>
      <c r="IA691" s="73"/>
      <c r="IB691" s="73"/>
      <c r="IC691" s="73"/>
      <c r="ID691" s="73"/>
      <c r="IE691" s="73"/>
      <c r="IF691" s="73"/>
      <c r="IG691" s="73"/>
      <c r="IH691" s="73"/>
      <c r="II691" s="73"/>
      <c r="IJ691" s="73"/>
      <c r="IK691" s="73"/>
      <c r="IL691" s="73"/>
      <c r="IM691" s="73"/>
      <c r="IN691" s="73"/>
      <c r="IO691" s="73"/>
      <c r="IP691" s="73"/>
      <c r="IQ691" s="73"/>
      <c r="IR691" s="73"/>
      <c r="IS691" s="73"/>
      <c r="IT691" s="73"/>
      <c r="IU691" s="73"/>
      <c r="IV691" s="73"/>
      <c r="IW691" s="73"/>
      <c r="IX691" s="73"/>
      <c r="IY691" s="73"/>
      <c r="IZ691" s="73"/>
      <c r="JA691" s="73"/>
      <c r="JB691" s="73"/>
      <c r="JC691" s="73"/>
    </row>
    <row r="692" spans="2:263" s="72" customFormat="1">
      <c r="B692" s="73"/>
      <c r="C692" s="73"/>
      <c r="D692" s="73"/>
      <c r="E692" s="73"/>
      <c r="F692" s="73"/>
      <c r="G692" s="73"/>
      <c r="H692" s="73"/>
      <c r="I692" s="73"/>
      <c r="J692" s="73"/>
      <c r="K692" s="73"/>
      <c r="L692" s="73"/>
      <c r="M692" s="73"/>
      <c r="N692" s="73"/>
      <c r="O692" s="73"/>
      <c r="P692" s="73"/>
      <c r="Q692" s="73"/>
      <c r="R692" s="73"/>
      <c r="S692" s="73"/>
      <c r="T692" s="73"/>
      <c r="U692" s="73"/>
      <c r="V692" s="73"/>
      <c r="W692" s="73"/>
      <c r="GL692" s="73"/>
      <c r="GM692" s="73"/>
      <c r="GN692" s="73"/>
      <c r="GO692" s="73"/>
      <c r="GP692" s="73"/>
      <c r="GQ692" s="73"/>
      <c r="GR692" s="73"/>
      <c r="GS692" s="73"/>
      <c r="GT692" s="73"/>
      <c r="GU692" s="73"/>
      <c r="GV692" s="73"/>
      <c r="GW692" s="73"/>
      <c r="GX692" s="73"/>
      <c r="GY692" s="73"/>
      <c r="GZ692" s="73"/>
      <c r="HA692" s="73"/>
      <c r="HB692" s="73"/>
      <c r="HC692" s="73"/>
      <c r="HD692" s="73"/>
      <c r="HE692" s="73"/>
      <c r="HF692" s="73"/>
      <c r="HG692" s="73"/>
      <c r="HH692" s="73"/>
      <c r="HI692" s="73"/>
      <c r="HJ692" s="73"/>
      <c r="HK692" s="73"/>
      <c r="HL692" s="73"/>
      <c r="HM692" s="73"/>
      <c r="HN692" s="73"/>
      <c r="HO692" s="73"/>
      <c r="HP692" s="73"/>
      <c r="HQ692" s="73"/>
      <c r="HR692" s="73"/>
      <c r="HS692" s="73"/>
      <c r="HT692" s="73"/>
      <c r="HU692" s="73"/>
      <c r="HV692" s="73"/>
      <c r="HW692" s="73"/>
      <c r="HX692" s="73"/>
      <c r="HY692" s="73"/>
      <c r="HZ692" s="73"/>
      <c r="IA692" s="73"/>
      <c r="IB692" s="73"/>
      <c r="IC692" s="73"/>
      <c r="ID692" s="73"/>
      <c r="IE692" s="73"/>
      <c r="IF692" s="73"/>
      <c r="IG692" s="73"/>
      <c r="IH692" s="73"/>
      <c r="II692" s="73"/>
      <c r="IJ692" s="73"/>
      <c r="IK692" s="73"/>
      <c r="IL692" s="73"/>
      <c r="IM692" s="73"/>
      <c r="IN692" s="73"/>
      <c r="IO692" s="73"/>
      <c r="IP692" s="73"/>
      <c r="IQ692" s="73"/>
      <c r="IR692" s="73"/>
      <c r="IS692" s="73"/>
      <c r="IT692" s="73"/>
      <c r="IU692" s="73"/>
      <c r="IV692" s="73"/>
      <c r="IW692" s="73"/>
      <c r="IX692" s="73"/>
      <c r="IY692" s="73"/>
      <c r="IZ692" s="73"/>
      <c r="JA692" s="73"/>
      <c r="JB692" s="73"/>
      <c r="JC692" s="73"/>
    </row>
    <row r="693" spans="2:263" s="72" customFormat="1">
      <c r="B693" s="73"/>
      <c r="C693" s="73"/>
      <c r="D693" s="73"/>
      <c r="E693" s="73"/>
      <c r="F693" s="73"/>
      <c r="G693" s="73"/>
      <c r="H693" s="73"/>
      <c r="I693" s="73"/>
      <c r="J693" s="73"/>
      <c r="K693" s="73"/>
      <c r="L693" s="73"/>
      <c r="M693" s="73"/>
      <c r="N693" s="73"/>
      <c r="O693" s="73"/>
      <c r="P693" s="73"/>
      <c r="Q693" s="73"/>
      <c r="R693" s="73"/>
      <c r="S693" s="73"/>
      <c r="T693" s="73"/>
      <c r="U693" s="73"/>
      <c r="V693" s="73"/>
      <c r="W693" s="73"/>
      <c r="GL693" s="73"/>
      <c r="GM693" s="73"/>
      <c r="GN693" s="73"/>
      <c r="GO693" s="73"/>
      <c r="GP693" s="73"/>
      <c r="GQ693" s="73"/>
      <c r="GR693" s="73"/>
      <c r="GS693" s="73"/>
      <c r="GT693" s="73"/>
      <c r="GU693" s="73"/>
      <c r="GV693" s="73"/>
      <c r="GW693" s="73"/>
      <c r="GX693" s="73"/>
      <c r="GY693" s="73"/>
      <c r="GZ693" s="73"/>
      <c r="HA693" s="73"/>
      <c r="HB693" s="73"/>
      <c r="HC693" s="73"/>
      <c r="HD693" s="73"/>
      <c r="HE693" s="73"/>
      <c r="HF693" s="73"/>
      <c r="HG693" s="73"/>
      <c r="HH693" s="73"/>
      <c r="HI693" s="73"/>
      <c r="HJ693" s="73"/>
      <c r="HK693" s="73"/>
      <c r="HL693" s="73"/>
      <c r="HM693" s="73"/>
      <c r="HN693" s="73"/>
      <c r="HO693" s="73"/>
      <c r="HP693" s="73"/>
      <c r="HQ693" s="73"/>
      <c r="HR693" s="73"/>
      <c r="HS693" s="73"/>
      <c r="HT693" s="73"/>
      <c r="HU693" s="73"/>
      <c r="HV693" s="73"/>
      <c r="HW693" s="73"/>
      <c r="HX693" s="73"/>
      <c r="HY693" s="73"/>
      <c r="HZ693" s="73"/>
      <c r="IA693" s="73"/>
      <c r="IB693" s="73"/>
      <c r="IC693" s="73"/>
      <c r="ID693" s="73"/>
      <c r="IE693" s="73"/>
      <c r="IF693" s="73"/>
      <c r="IG693" s="73"/>
      <c r="IH693" s="73"/>
      <c r="II693" s="73"/>
      <c r="IJ693" s="73"/>
      <c r="IK693" s="73"/>
      <c r="IL693" s="73"/>
      <c r="IM693" s="73"/>
      <c r="IN693" s="73"/>
      <c r="IO693" s="73"/>
      <c r="IP693" s="73"/>
      <c r="IQ693" s="73"/>
      <c r="IR693" s="73"/>
      <c r="IS693" s="73"/>
      <c r="IT693" s="73"/>
      <c r="IU693" s="73"/>
      <c r="IV693" s="73"/>
      <c r="IW693" s="73"/>
      <c r="IX693" s="73"/>
      <c r="IY693" s="73"/>
      <c r="IZ693" s="73"/>
      <c r="JA693" s="73"/>
      <c r="JB693" s="73"/>
      <c r="JC693" s="73"/>
    </row>
    <row r="694" spans="2:263" s="72" customFormat="1">
      <c r="B694" s="73"/>
      <c r="C694" s="73"/>
      <c r="D694" s="73"/>
      <c r="E694" s="73"/>
      <c r="F694" s="73"/>
      <c r="G694" s="73"/>
      <c r="H694" s="73"/>
      <c r="I694" s="73"/>
      <c r="J694" s="73"/>
      <c r="K694" s="73"/>
      <c r="L694" s="73"/>
      <c r="M694" s="73"/>
      <c r="N694" s="73"/>
      <c r="O694" s="73"/>
      <c r="P694" s="73"/>
      <c r="Q694" s="73"/>
      <c r="R694" s="73"/>
      <c r="S694" s="73"/>
      <c r="T694" s="73"/>
      <c r="U694" s="73"/>
      <c r="V694" s="73"/>
      <c r="W694" s="73"/>
      <c r="GL694" s="73"/>
      <c r="GM694" s="73"/>
      <c r="GN694" s="73"/>
      <c r="GO694" s="73"/>
      <c r="GP694" s="73"/>
      <c r="GQ694" s="73"/>
      <c r="GR694" s="73"/>
      <c r="GS694" s="73"/>
      <c r="GT694" s="73"/>
      <c r="GU694" s="73"/>
      <c r="GV694" s="73"/>
      <c r="GW694" s="73"/>
      <c r="GX694" s="73"/>
      <c r="GY694" s="73"/>
      <c r="GZ694" s="73"/>
      <c r="HA694" s="73"/>
      <c r="HB694" s="73"/>
      <c r="HC694" s="73"/>
      <c r="HD694" s="73"/>
      <c r="HE694" s="73"/>
      <c r="HF694" s="73"/>
      <c r="HG694" s="73"/>
      <c r="HH694" s="73"/>
      <c r="HI694" s="73"/>
      <c r="HJ694" s="73"/>
      <c r="HK694" s="73"/>
      <c r="HL694" s="73"/>
      <c r="HM694" s="73"/>
      <c r="HN694" s="73"/>
      <c r="HO694" s="73"/>
      <c r="HP694" s="73"/>
      <c r="HQ694" s="73"/>
      <c r="HR694" s="73"/>
      <c r="HS694" s="73"/>
      <c r="HT694" s="73"/>
      <c r="HU694" s="73"/>
      <c r="HV694" s="73"/>
      <c r="HW694" s="73"/>
      <c r="HX694" s="73"/>
      <c r="HY694" s="73"/>
      <c r="HZ694" s="73"/>
      <c r="IA694" s="73"/>
      <c r="IB694" s="73"/>
      <c r="IC694" s="73"/>
      <c r="ID694" s="73"/>
      <c r="IE694" s="73"/>
      <c r="IF694" s="73"/>
      <c r="IG694" s="73"/>
      <c r="IH694" s="73"/>
      <c r="II694" s="73"/>
      <c r="IJ694" s="73"/>
      <c r="IK694" s="73"/>
      <c r="IL694" s="73"/>
      <c r="IM694" s="73"/>
      <c r="IN694" s="73"/>
      <c r="IO694" s="73"/>
      <c r="IP694" s="73"/>
      <c r="IQ694" s="73"/>
      <c r="IR694" s="73"/>
      <c r="IS694" s="73"/>
      <c r="IT694" s="73"/>
      <c r="IU694" s="73"/>
      <c r="IV694" s="73"/>
      <c r="IW694" s="73"/>
      <c r="IX694" s="73"/>
      <c r="IY694" s="73"/>
      <c r="IZ694" s="73"/>
      <c r="JA694" s="73"/>
      <c r="JB694" s="73"/>
      <c r="JC694" s="73"/>
    </row>
    <row r="695" spans="2:263" s="72" customFormat="1">
      <c r="B695" s="73"/>
      <c r="C695" s="73"/>
      <c r="D695" s="73"/>
      <c r="E695" s="73"/>
      <c r="F695" s="73"/>
      <c r="G695" s="73"/>
      <c r="H695" s="73"/>
      <c r="I695" s="73"/>
      <c r="J695" s="73"/>
      <c r="K695" s="73"/>
      <c r="L695" s="73"/>
      <c r="M695" s="73"/>
      <c r="N695" s="73"/>
      <c r="O695" s="73"/>
      <c r="P695" s="73"/>
      <c r="Q695" s="73"/>
      <c r="R695" s="73"/>
      <c r="S695" s="73"/>
      <c r="T695" s="73"/>
      <c r="U695" s="73"/>
      <c r="V695" s="73"/>
      <c r="W695" s="73"/>
      <c r="GL695" s="73"/>
      <c r="GM695" s="73"/>
      <c r="GN695" s="73"/>
      <c r="GO695" s="73"/>
      <c r="GP695" s="73"/>
      <c r="GQ695" s="73"/>
      <c r="GR695" s="73"/>
      <c r="GS695" s="73"/>
      <c r="GT695" s="73"/>
      <c r="GU695" s="73"/>
      <c r="GV695" s="73"/>
      <c r="GW695" s="73"/>
      <c r="GX695" s="73"/>
      <c r="GY695" s="73"/>
      <c r="GZ695" s="73"/>
      <c r="HA695" s="73"/>
      <c r="HB695" s="73"/>
      <c r="HC695" s="73"/>
      <c r="HD695" s="73"/>
      <c r="HE695" s="73"/>
      <c r="HF695" s="73"/>
      <c r="HG695" s="73"/>
      <c r="HH695" s="73"/>
      <c r="HI695" s="73"/>
      <c r="HJ695" s="73"/>
      <c r="HK695" s="73"/>
      <c r="HL695" s="73"/>
      <c r="HM695" s="73"/>
      <c r="HN695" s="73"/>
      <c r="HO695" s="73"/>
      <c r="HP695" s="73"/>
      <c r="HQ695" s="73"/>
      <c r="HR695" s="73"/>
      <c r="HS695" s="73"/>
      <c r="HT695" s="73"/>
      <c r="HU695" s="73"/>
      <c r="HV695" s="73"/>
      <c r="HW695" s="73"/>
      <c r="HX695" s="73"/>
      <c r="HY695" s="73"/>
      <c r="HZ695" s="73"/>
      <c r="IA695" s="73"/>
      <c r="IB695" s="73"/>
      <c r="IC695" s="73"/>
      <c r="ID695" s="73"/>
      <c r="IE695" s="73"/>
      <c r="IF695" s="73"/>
      <c r="IG695" s="73"/>
      <c r="IH695" s="73"/>
      <c r="II695" s="73"/>
      <c r="IJ695" s="73"/>
      <c r="IK695" s="73"/>
      <c r="IL695" s="73"/>
      <c r="IM695" s="73"/>
      <c r="IN695" s="73"/>
      <c r="IO695" s="73"/>
      <c r="IP695" s="73"/>
      <c r="IQ695" s="73"/>
      <c r="IR695" s="73"/>
      <c r="IS695" s="73"/>
      <c r="IT695" s="73"/>
      <c r="IU695" s="73"/>
      <c r="IV695" s="73"/>
      <c r="IW695" s="73"/>
      <c r="IX695" s="73"/>
      <c r="IY695" s="73"/>
      <c r="IZ695" s="73"/>
      <c r="JA695" s="73"/>
      <c r="JB695" s="73"/>
      <c r="JC695" s="73"/>
    </row>
    <row r="696" spans="2:263" s="72" customFormat="1">
      <c r="B696" s="73"/>
      <c r="C696" s="73"/>
      <c r="D696" s="73"/>
      <c r="E696" s="73"/>
      <c r="F696" s="73"/>
      <c r="G696" s="73"/>
      <c r="H696" s="73"/>
      <c r="I696" s="73"/>
      <c r="J696" s="73"/>
      <c r="K696" s="73"/>
      <c r="L696" s="73"/>
      <c r="M696" s="73"/>
      <c r="N696" s="73"/>
      <c r="O696" s="73"/>
      <c r="P696" s="73"/>
      <c r="Q696" s="73"/>
      <c r="R696" s="73"/>
      <c r="S696" s="73"/>
      <c r="T696" s="73"/>
      <c r="U696" s="73"/>
      <c r="V696" s="73"/>
      <c r="W696" s="73"/>
      <c r="GL696" s="73"/>
      <c r="GM696" s="73"/>
      <c r="GN696" s="73"/>
      <c r="GO696" s="73"/>
      <c r="GP696" s="73"/>
      <c r="GQ696" s="73"/>
      <c r="GR696" s="73"/>
      <c r="GS696" s="73"/>
      <c r="GT696" s="73"/>
      <c r="GU696" s="73"/>
      <c r="GV696" s="73"/>
      <c r="GW696" s="73"/>
      <c r="GX696" s="73"/>
      <c r="GY696" s="73"/>
      <c r="GZ696" s="73"/>
      <c r="HA696" s="73"/>
      <c r="HB696" s="73"/>
      <c r="HC696" s="73"/>
      <c r="HD696" s="73"/>
      <c r="HE696" s="73"/>
      <c r="HF696" s="73"/>
      <c r="HG696" s="73"/>
      <c r="HH696" s="73"/>
      <c r="HI696" s="73"/>
      <c r="HJ696" s="73"/>
      <c r="HK696" s="73"/>
      <c r="HL696" s="73"/>
      <c r="HM696" s="73"/>
      <c r="HN696" s="73"/>
      <c r="HO696" s="73"/>
      <c r="HP696" s="73"/>
      <c r="HQ696" s="73"/>
      <c r="HR696" s="73"/>
      <c r="HS696" s="73"/>
      <c r="HT696" s="73"/>
      <c r="HU696" s="73"/>
      <c r="HV696" s="73"/>
      <c r="HW696" s="73"/>
      <c r="HX696" s="73"/>
      <c r="HY696" s="73"/>
      <c r="HZ696" s="73"/>
      <c r="IA696" s="73"/>
      <c r="IB696" s="73"/>
      <c r="IC696" s="73"/>
      <c r="ID696" s="73"/>
      <c r="IE696" s="73"/>
      <c r="IF696" s="73"/>
      <c r="IG696" s="73"/>
      <c r="IH696" s="73"/>
      <c r="II696" s="73"/>
      <c r="IJ696" s="73"/>
      <c r="IK696" s="73"/>
      <c r="IL696" s="73"/>
      <c r="IM696" s="73"/>
      <c r="IN696" s="73"/>
      <c r="IO696" s="73"/>
      <c r="IP696" s="73"/>
      <c r="IQ696" s="73"/>
      <c r="IR696" s="73"/>
      <c r="IS696" s="73"/>
      <c r="IT696" s="73"/>
      <c r="IU696" s="73"/>
      <c r="IV696" s="73"/>
      <c r="IW696" s="73"/>
      <c r="IX696" s="73"/>
      <c r="IY696" s="73"/>
      <c r="IZ696" s="73"/>
      <c r="JA696" s="73"/>
      <c r="JB696" s="73"/>
      <c r="JC696" s="73"/>
    </row>
    <row r="697" spans="2:263" s="72" customFormat="1">
      <c r="B697" s="73"/>
      <c r="C697" s="73"/>
      <c r="D697" s="73"/>
      <c r="E697" s="73"/>
      <c r="F697" s="73"/>
      <c r="G697" s="73"/>
      <c r="H697" s="73"/>
      <c r="I697" s="73"/>
      <c r="J697" s="73"/>
      <c r="K697" s="73"/>
      <c r="L697" s="73"/>
      <c r="M697" s="73"/>
      <c r="N697" s="73"/>
      <c r="O697" s="73"/>
      <c r="P697" s="73"/>
      <c r="Q697" s="73"/>
      <c r="R697" s="73"/>
      <c r="S697" s="73"/>
      <c r="T697" s="73"/>
      <c r="U697" s="73"/>
      <c r="V697" s="73"/>
      <c r="W697" s="73"/>
      <c r="GL697" s="73"/>
      <c r="GM697" s="73"/>
      <c r="GN697" s="73"/>
      <c r="GO697" s="73"/>
      <c r="GP697" s="73"/>
      <c r="GQ697" s="73"/>
      <c r="GR697" s="73"/>
      <c r="GS697" s="73"/>
      <c r="GT697" s="73"/>
      <c r="GU697" s="73"/>
      <c r="GV697" s="73"/>
      <c r="GW697" s="73"/>
      <c r="GX697" s="73"/>
      <c r="GY697" s="73"/>
      <c r="GZ697" s="73"/>
      <c r="HA697" s="73"/>
      <c r="HB697" s="73"/>
      <c r="HC697" s="73"/>
      <c r="HD697" s="73"/>
      <c r="HE697" s="73"/>
      <c r="HF697" s="73"/>
      <c r="HG697" s="73"/>
      <c r="HH697" s="73"/>
      <c r="HI697" s="73"/>
      <c r="HJ697" s="73"/>
      <c r="HK697" s="73"/>
      <c r="HL697" s="73"/>
      <c r="HM697" s="73"/>
      <c r="HN697" s="73"/>
      <c r="HO697" s="73"/>
      <c r="HP697" s="73"/>
      <c r="HQ697" s="73"/>
      <c r="HR697" s="73"/>
      <c r="HS697" s="73"/>
      <c r="HT697" s="73"/>
      <c r="HU697" s="73"/>
      <c r="HV697" s="73"/>
      <c r="HW697" s="73"/>
      <c r="HX697" s="73"/>
      <c r="HY697" s="73"/>
      <c r="HZ697" s="73"/>
      <c r="IA697" s="73"/>
      <c r="IB697" s="73"/>
      <c r="IC697" s="73"/>
      <c r="ID697" s="73"/>
      <c r="IE697" s="73"/>
      <c r="IF697" s="73"/>
      <c r="IG697" s="73"/>
      <c r="IH697" s="73"/>
      <c r="II697" s="73"/>
      <c r="IJ697" s="73"/>
      <c r="IK697" s="73"/>
      <c r="IL697" s="73"/>
      <c r="IM697" s="73"/>
      <c r="IN697" s="73"/>
      <c r="IO697" s="73"/>
      <c r="IP697" s="73"/>
      <c r="IQ697" s="73"/>
      <c r="IR697" s="73"/>
      <c r="IS697" s="73"/>
      <c r="IT697" s="73"/>
      <c r="IU697" s="73"/>
      <c r="IV697" s="73"/>
      <c r="IW697" s="73"/>
      <c r="IX697" s="73"/>
      <c r="IY697" s="73"/>
      <c r="IZ697" s="73"/>
      <c r="JA697" s="73"/>
      <c r="JB697" s="73"/>
      <c r="JC697" s="73"/>
    </row>
    <row r="698" spans="2:263" s="72" customFormat="1">
      <c r="B698" s="73"/>
      <c r="C698" s="73"/>
      <c r="D698" s="73"/>
      <c r="E698" s="73"/>
      <c r="F698" s="73"/>
      <c r="G698" s="73"/>
      <c r="H698" s="73"/>
      <c r="I698" s="73"/>
      <c r="J698" s="73"/>
      <c r="K698" s="73"/>
      <c r="L698" s="73"/>
      <c r="M698" s="73"/>
      <c r="N698" s="73"/>
      <c r="O698" s="73"/>
      <c r="P698" s="73"/>
      <c r="Q698" s="73"/>
      <c r="R698" s="73"/>
      <c r="S698" s="73"/>
      <c r="T698" s="73"/>
      <c r="U698" s="73"/>
      <c r="V698" s="73"/>
      <c r="W698" s="73"/>
      <c r="GL698" s="73"/>
      <c r="GM698" s="73"/>
      <c r="GN698" s="73"/>
      <c r="GO698" s="73"/>
      <c r="GP698" s="73"/>
      <c r="GQ698" s="73"/>
      <c r="GR698" s="73"/>
      <c r="GS698" s="73"/>
      <c r="GT698" s="73"/>
      <c r="GU698" s="73"/>
      <c r="GV698" s="73"/>
      <c r="GW698" s="73"/>
      <c r="GX698" s="73"/>
      <c r="GY698" s="73"/>
      <c r="GZ698" s="73"/>
      <c r="HA698" s="73"/>
      <c r="HB698" s="73"/>
      <c r="HC698" s="73"/>
      <c r="HD698" s="73"/>
      <c r="HE698" s="73"/>
      <c r="HF698" s="73"/>
      <c r="HG698" s="73"/>
      <c r="HH698" s="73"/>
      <c r="HI698" s="73"/>
      <c r="HJ698" s="73"/>
      <c r="HK698" s="73"/>
      <c r="HL698" s="73"/>
      <c r="HM698" s="73"/>
      <c r="HN698" s="73"/>
      <c r="HO698" s="73"/>
      <c r="HP698" s="73"/>
      <c r="HQ698" s="73"/>
      <c r="HR698" s="73"/>
      <c r="HS698" s="73"/>
      <c r="HT698" s="73"/>
      <c r="HU698" s="73"/>
      <c r="HV698" s="73"/>
      <c r="HW698" s="73"/>
      <c r="HX698" s="73"/>
      <c r="HY698" s="73"/>
      <c r="HZ698" s="73"/>
      <c r="IA698" s="73"/>
      <c r="IB698" s="73"/>
      <c r="IC698" s="73"/>
      <c r="ID698" s="73"/>
      <c r="IE698" s="73"/>
      <c r="IF698" s="73"/>
      <c r="IG698" s="73"/>
      <c r="IH698" s="73"/>
      <c r="II698" s="73"/>
      <c r="IJ698" s="73"/>
      <c r="IK698" s="73"/>
      <c r="IL698" s="73"/>
      <c r="IM698" s="73"/>
      <c r="IN698" s="73"/>
      <c r="IO698" s="73"/>
      <c r="IP698" s="73"/>
      <c r="IQ698" s="73"/>
      <c r="IR698" s="73"/>
      <c r="IS698" s="73"/>
      <c r="IT698" s="73"/>
      <c r="IU698" s="73"/>
      <c r="IV698" s="73"/>
      <c r="IW698" s="73"/>
      <c r="IX698" s="73"/>
      <c r="IY698" s="73"/>
      <c r="IZ698" s="73"/>
      <c r="JA698" s="73"/>
      <c r="JB698" s="73"/>
      <c r="JC698" s="73"/>
    </row>
    <row r="699" spans="2:263" s="72" customFormat="1">
      <c r="B699" s="73"/>
      <c r="C699" s="73"/>
      <c r="D699" s="73"/>
      <c r="E699" s="73"/>
      <c r="F699" s="73"/>
      <c r="G699" s="73"/>
      <c r="H699" s="73"/>
      <c r="I699" s="73"/>
      <c r="J699" s="73"/>
      <c r="K699" s="73"/>
      <c r="L699" s="73"/>
      <c r="M699" s="73"/>
      <c r="N699" s="73"/>
      <c r="O699" s="73"/>
      <c r="P699" s="73"/>
      <c r="Q699" s="73"/>
      <c r="R699" s="73"/>
      <c r="S699" s="73"/>
      <c r="T699" s="73"/>
      <c r="U699" s="73"/>
      <c r="V699" s="73"/>
      <c r="W699" s="73"/>
      <c r="GL699" s="73"/>
      <c r="GM699" s="73"/>
      <c r="GN699" s="73"/>
      <c r="GO699" s="73"/>
      <c r="GP699" s="73"/>
      <c r="GQ699" s="73"/>
      <c r="GR699" s="73"/>
      <c r="GS699" s="73"/>
      <c r="GT699" s="73"/>
      <c r="GU699" s="73"/>
      <c r="GV699" s="73"/>
      <c r="GW699" s="73"/>
      <c r="GX699" s="73"/>
      <c r="GY699" s="73"/>
      <c r="GZ699" s="73"/>
      <c r="HA699" s="73"/>
      <c r="HB699" s="73"/>
      <c r="HC699" s="73"/>
      <c r="HD699" s="73"/>
      <c r="HE699" s="73"/>
      <c r="HF699" s="73"/>
      <c r="HG699" s="73"/>
      <c r="HH699" s="73"/>
      <c r="HI699" s="73"/>
      <c r="HJ699" s="73"/>
      <c r="HK699" s="73"/>
      <c r="HL699" s="73"/>
      <c r="HM699" s="73"/>
      <c r="HN699" s="73"/>
      <c r="HO699" s="73"/>
      <c r="HP699" s="73"/>
      <c r="HQ699" s="73"/>
      <c r="HR699" s="73"/>
      <c r="HS699" s="73"/>
      <c r="HT699" s="73"/>
      <c r="HU699" s="73"/>
      <c r="HV699" s="73"/>
      <c r="HW699" s="73"/>
      <c r="HX699" s="73"/>
      <c r="HY699" s="73"/>
      <c r="HZ699" s="73"/>
      <c r="IA699" s="73"/>
      <c r="IB699" s="73"/>
      <c r="IC699" s="73"/>
      <c r="ID699" s="73"/>
      <c r="IE699" s="73"/>
      <c r="IF699" s="73"/>
      <c r="IG699" s="73"/>
      <c r="IH699" s="73"/>
      <c r="II699" s="73"/>
      <c r="IJ699" s="73"/>
      <c r="IK699" s="73"/>
      <c r="IL699" s="73"/>
      <c r="IM699" s="73"/>
      <c r="IN699" s="73"/>
      <c r="IO699" s="73"/>
      <c r="IP699" s="73"/>
      <c r="IQ699" s="73"/>
      <c r="IR699" s="73"/>
      <c r="IS699" s="73"/>
      <c r="IT699" s="73"/>
      <c r="IU699" s="73"/>
      <c r="IV699" s="73"/>
      <c r="IW699" s="73"/>
      <c r="IX699" s="73"/>
      <c r="IY699" s="73"/>
      <c r="IZ699" s="73"/>
      <c r="JA699" s="73"/>
      <c r="JB699" s="73"/>
      <c r="JC699" s="73"/>
    </row>
    <row r="700" spans="2:263" s="72" customFormat="1">
      <c r="B700" s="73"/>
      <c r="C700" s="73"/>
      <c r="D700" s="73"/>
      <c r="E700" s="73"/>
      <c r="F700" s="73"/>
      <c r="G700" s="73"/>
      <c r="H700" s="73"/>
      <c r="I700" s="73"/>
      <c r="J700" s="73"/>
      <c r="K700" s="73"/>
      <c r="L700" s="73"/>
      <c r="M700" s="73"/>
      <c r="N700" s="73"/>
      <c r="O700" s="73"/>
      <c r="P700" s="73"/>
      <c r="Q700" s="73"/>
      <c r="R700" s="73"/>
      <c r="S700" s="73"/>
      <c r="T700" s="73"/>
      <c r="U700" s="73"/>
      <c r="V700" s="73"/>
      <c r="W700" s="73"/>
      <c r="GL700" s="73"/>
      <c r="GM700" s="73"/>
      <c r="GN700" s="73"/>
      <c r="GO700" s="73"/>
      <c r="GP700" s="73"/>
      <c r="GQ700" s="73"/>
      <c r="GR700" s="73"/>
      <c r="GS700" s="73"/>
      <c r="GT700" s="73"/>
      <c r="GU700" s="73"/>
      <c r="GV700" s="73"/>
      <c r="GW700" s="73"/>
      <c r="GX700" s="73"/>
      <c r="GY700" s="73"/>
      <c r="GZ700" s="73"/>
      <c r="HA700" s="73"/>
      <c r="HB700" s="73"/>
      <c r="HC700" s="73"/>
      <c r="HD700" s="73"/>
      <c r="HE700" s="73"/>
      <c r="HF700" s="73"/>
      <c r="HG700" s="73"/>
      <c r="HH700" s="73"/>
      <c r="HI700" s="73"/>
      <c r="HJ700" s="73"/>
      <c r="HK700" s="73"/>
      <c r="HL700" s="73"/>
      <c r="HM700" s="73"/>
      <c r="HN700" s="73"/>
      <c r="HO700" s="73"/>
      <c r="HP700" s="73"/>
      <c r="HQ700" s="73"/>
      <c r="HR700" s="73"/>
      <c r="HS700" s="73"/>
      <c r="HT700" s="73"/>
      <c r="HU700" s="73"/>
      <c r="HV700" s="73"/>
      <c r="HW700" s="73"/>
      <c r="HX700" s="73"/>
      <c r="HY700" s="73"/>
      <c r="HZ700" s="73"/>
      <c r="IA700" s="73"/>
      <c r="IB700" s="73"/>
      <c r="IC700" s="73"/>
      <c r="ID700" s="73"/>
      <c r="IE700" s="73"/>
      <c r="IF700" s="73"/>
      <c r="IG700" s="73"/>
      <c r="IH700" s="73"/>
      <c r="II700" s="73"/>
      <c r="IJ700" s="73"/>
      <c r="IK700" s="73"/>
      <c r="IL700" s="73"/>
      <c r="IM700" s="73"/>
      <c r="IN700" s="73"/>
      <c r="IO700" s="73"/>
      <c r="IP700" s="73"/>
      <c r="IQ700" s="73"/>
      <c r="IR700" s="73"/>
      <c r="IS700" s="73"/>
      <c r="IT700" s="73"/>
      <c r="IU700" s="73"/>
      <c r="IV700" s="73"/>
      <c r="IW700" s="73"/>
      <c r="IX700" s="73"/>
      <c r="IY700" s="73"/>
      <c r="IZ700" s="73"/>
      <c r="JA700" s="73"/>
      <c r="JB700" s="73"/>
      <c r="JC700" s="73"/>
    </row>
    <row r="701" spans="2:263" s="72" customFormat="1">
      <c r="B701" s="73"/>
      <c r="C701" s="73"/>
      <c r="D701" s="73"/>
      <c r="E701" s="73"/>
      <c r="F701" s="73"/>
      <c r="G701" s="73"/>
      <c r="H701" s="73"/>
      <c r="I701" s="73"/>
      <c r="J701" s="73"/>
      <c r="K701" s="73"/>
      <c r="L701" s="73"/>
      <c r="M701" s="73"/>
      <c r="N701" s="73"/>
      <c r="O701" s="73"/>
      <c r="P701" s="73"/>
      <c r="Q701" s="73"/>
      <c r="R701" s="73"/>
      <c r="S701" s="73"/>
      <c r="T701" s="73"/>
      <c r="U701" s="73"/>
      <c r="V701" s="73"/>
      <c r="W701" s="73"/>
      <c r="GL701" s="73"/>
      <c r="GM701" s="73"/>
      <c r="GN701" s="73"/>
      <c r="GO701" s="73"/>
      <c r="GP701" s="73"/>
      <c r="GQ701" s="73"/>
      <c r="GR701" s="73"/>
      <c r="GS701" s="73"/>
      <c r="GT701" s="73"/>
      <c r="GU701" s="73"/>
      <c r="GV701" s="73"/>
      <c r="GW701" s="73"/>
      <c r="GX701" s="73"/>
      <c r="GY701" s="73"/>
      <c r="GZ701" s="73"/>
      <c r="HA701" s="73"/>
      <c r="HB701" s="73"/>
      <c r="HC701" s="73"/>
      <c r="HD701" s="73"/>
      <c r="HE701" s="73"/>
      <c r="HF701" s="73"/>
      <c r="HG701" s="73"/>
      <c r="HH701" s="73"/>
      <c r="HI701" s="73"/>
      <c r="HJ701" s="73"/>
      <c r="HK701" s="73"/>
      <c r="HL701" s="73"/>
      <c r="HM701" s="73"/>
      <c r="HN701" s="73"/>
      <c r="HO701" s="73"/>
      <c r="HP701" s="73"/>
      <c r="HQ701" s="73"/>
      <c r="HR701" s="73"/>
      <c r="HS701" s="73"/>
      <c r="HT701" s="73"/>
      <c r="HU701" s="73"/>
      <c r="HV701" s="73"/>
      <c r="HW701" s="73"/>
      <c r="HX701" s="73"/>
      <c r="HY701" s="73"/>
      <c r="HZ701" s="73"/>
      <c r="IA701" s="73"/>
      <c r="IB701" s="73"/>
      <c r="IC701" s="73"/>
      <c r="ID701" s="73"/>
      <c r="IE701" s="73"/>
      <c r="IF701" s="73"/>
      <c r="IG701" s="73"/>
      <c r="IH701" s="73"/>
      <c r="II701" s="73"/>
      <c r="IJ701" s="73"/>
      <c r="IK701" s="73"/>
      <c r="IL701" s="73"/>
      <c r="IM701" s="73"/>
      <c r="IN701" s="73"/>
      <c r="IO701" s="73"/>
      <c r="IP701" s="73"/>
      <c r="IQ701" s="73"/>
      <c r="IR701" s="73"/>
      <c r="IS701" s="73"/>
      <c r="IT701" s="73"/>
      <c r="IU701" s="73"/>
      <c r="IV701" s="73"/>
      <c r="IW701" s="73"/>
      <c r="IX701" s="73"/>
      <c r="IY701" s="73"/>
      <c r="IZ701" s="73"/>
      <c r="JA701" s="73"/>
      <c r="JB701" s="73"/>
      <c r="JC701" s="73"/>
    </row>
    <row r="702" spans="2:263" s="72" customFormat="1">
      <c r="B702" s="73"/>
      <c r="C702" s="73"/>
      <c r="D702" s="73"/>
      <c r="E702" s="73"/>
      <c r="F702" s="73"/>
      <c r="G702" s="73"/>
      <c r="H702" s="73"/>
      <c r="I702" s="73"/>
      <c r="J702" s="73"/>
      <c r="K702" s="73"/>
      <c r="L702" s="73"/>
      <c r="M702" s="73"/>
      <c r="N702" s="73"/>
      <c r="O702" s="73"/>
      <c r="P702" s="73"/>
      <c r="Q702" s="73"/>
      <c r="R702" s="73"/>
      <c r="S702" s="73"/>
      <c r="T702" s="73"/>
      <c r="U702" s="73"/>
      <c r="V702" s="73"/>
      <c r="W702" s="73"/>
      <c r="GL702" s="73"/>
      <c r="GM702" s="73"/>
      <c r="GN702" s="73"/>
      <c r="GO702" s="73"/>
      <c r="GP702" s="73"/>
      <c r="GQ702" s="73"/>
      <c r="GR702" s="73"/>
      <c r="GS702" s="73"/>
      <c r="GT702" s="73"/>
      <c r="GU702" s="73"/>
      <c r="GV702" s="73"/>
      <c r="GW702" s="73"/>
      <c r="GX702" s="73"/>
      <c r="GY702" s="73"/>
      <c r="GZ702" s="73"/>
      <c r="HA702" s="73"/>
      <c r="HB702" s="73"/>
      <c r="HC702" s="73"/>
      <c r="HD702" s="73"/>
      <c r="HE702" s="73"/>
      <c r="HF702" s="73"/>
      <c r="HG702" s="73"/>
      <c r="HH702" s="73"/>
      <c r="HI702" s="73"/>
      <c r="HJ702" s="73"/>
      <c r="HK702" s="73"/>
      <c r="HL702" s="73"/>
      <c r="HM702" s="73"/>
      <c r="HN702" s="73"/>
      <c r="HO702" s="73"/>
      <c r="HP702" s="73"/>
      <c r="HQ702" s="73"/>
      <c r="HR702" s="73"/>
      <c r="HS702" s="73"/>
      <c r="HT702" s="73"/>
      <c r="HU702" s="73"/>
      <c r="HV702" s="73"/>
      <c r="HW702" s="73"/>
      <c r="HX702" s="73"/>
      <c r="HY702" s="73"/>
      <c r="HZ702" s="73"/>
      <c r="IA702" s="73"/>
      <c r="IB702" s="73"/>
      <c r="IC702" s="73"/>
      <c r="ID702" s="73"/>
      <c r="IE702" s="73"/>
      <c r="IF702" s="73"/>
      <c r="IG702" s="73"/>
      <c r="IH702" s="73"/>
      <c r="II702" s="73"/>
      <c r="IJ702" s="73"/>
      <c r="IK702" s="73"/>
      <c r="IL702" s="73"/>
      <c r="IM702" s="73"/>
      <c r="IN702" s="73"/>
      <c r="IO702" s="73"/>
      <c r="IP702" s="73"/>
      <c r="IQ702" s="73"/>
      <c r="IR702" s="73"/>
      <c r="IS702" s="73"/>
      <c r="IT702" s="73"/>
      <c r="IU702" s="73"/>
      <c r="IV702" s="73"/>
      <c r="IW702" s="73"/>
      <c r="IX702" s="73"/>
      <c r="IY702" s="73"/>
      <c r="IZ702" s="73"/>
      <c r="JA702" s="73"/>
      <c r="JB702" s="73"/>
      <c r="JC702" s="73"/>
    </row>
    <row r="703" spans="2:263" s="72" customFormat="1">
      <c r="B703" s="73"/>
      <c r="C703" s="73"/>
      <c r="D703" s="73"/>
      <c r="E703" s="73"/>
      <c r="F703" s="73"/>
      <c r="G703" s="73"/>
      <c r="H703" s="73"/>
      <c r="I703" s="73"/>
      <c r="J703" s="73"/>
      <c r="K703" s="73"/>
      <c r="L703" s="73"/>
      <c r="M703" s="73"/>
      <c r="N703" s="73"/>
      <c r="O703" s="73"/>
      <c r="P703" s="73"/>
      <c r="Q703" s="73"/>
      <c r="R703" s="73"/>
      <c r="S703" s="73"/>
      <c r="T703" s="73"/>
      <c r="U703" s="73"/>
      <c r="V703" s="73"/>
      <c r="W703" s="73"/>
      <c r="GL703" s="73"/>
      <c r="GM703" s="73"/>
      <c r="GN703" s="73"/>
      <c r="GO703" s="73"/>
      <c r="GP703" s="73"/>
      <c r="GQ703" s="73"/>
      <c r="GR703" s="73"/>
      <c r="GS703" s="73"/>
      <c r="GT703" s="73"/>
      <c r="GU703" s="73"/>
      <c r="GV703" s="73"/>
      <c r="GW703" s="73"/>
      <c r="GX703" s="73"/>
      <c r="GY703" s="73"/>
      <c r="GZ703" s="73"/>
      <c r="HA703" s="73"/>
      <c r="HB703" s="73"/>
      <c r="HC703" s="73"/>
      <c r="HD703" s="73"/>
      <c r="HE703" s="73"/>
      <c r="HF703" s="73"/>
      <c r="HG703" s="73"/>
      <c r="HH703" s="73"/>
      <c r="HI703" s="73"/>
      <c r="HJ703" s="73"/>
      <c r="HK703" s="73"/>
      <c r="HL703" s="73"/>
      <c r="HM703" s="73"/>
      <c r="HN703" s="73"/>
      <c r="HO703" s="73"/>
      <c r="HP703" s="73"/>
      <c r="HQ703" s="73"/>
      <c r="HR703" s="73"/>
      <c r="HS703" s="73"/>
      <c r="HT703" s="73"/>
      <c r="HU703" s="73"/>
      <c r="HV703" s="73"/>
      <c r="HW703" s="73"/>
      <c r="HX703" s="73"/>
      <c r="HY703" s="73"/>
      <c r="HZ703" s="73"/>
      <c r="IA703" s="73"/>
      <c r="IB703" s="73"/>
      <c r="IC703" s="73"/>
      <c r="ID703" s="73"/>
      <c r="IE703" s="73"/>
      <c r="IF703" s="73"/>
      <c r="IG703" s="73"/>
      <c r="IH703" s="73"/>
      <c r="II703" s="73"/>
      <c r="IJ703" s="73"/>
      <c r="IK703" s="73"/>
      <c r="IL703" s="73"/>
      <c r="IM703" s="73"/>
      <c r="IN703" s="73"/>
      <c r="IO703" s="73"/>
      <c r="IP703" s="73"/>
      <c r="IQ703" s="73"/>
      <c r="IR703" s="73"/>
      <c r="IS703" s="73"/>
      <c r="IT703" s="73"/>
      <c r="IU703" s="73"/>
      <c r="IV703" s="73"/>
      <c r="IW703" s="73"/>
      <c r="IX703" s="73"/>
      <c r="IY703" s="73"/>
      <c r="IZ703" s="73"/>
      <c r="JA703" s="73"/>
      <c r="JB703" s="73"/>
      <c r="JC703" s="73"/>
    </row>
    <row r="704" spans="2:263" s="72" customFormat="1">
      <c r="B704" s="73"/>
      <c r="C704" s="73"/>
      <c r="D704" s="73"/>
      <c r="E704" s="73"/>
      <c r="F704" s="73"/>
      <c r="G704" s="73"/>
      <c r="H704" s="73"/>
      <c r="I704" s="73"/>
      <c r="J704" s="73"/>
      <c r="K704" s="73"/>
      <c r="L704" s="73"/>
      <c r="M704" s="73"/>
      <c r="N704" s="73"/>
      <c r="O704" s="73"/>
      <c r="P704" s="73"/>
      <c r="Q704" s="73"/>
      <c r="R704" s="73"/>
      <c r="S704" s="73"/>
      <c r="T704" s="73"/>
      <c r="U704" s="73"/>
      <c r="V704" s="73"/>
      <c r="W704" s="73"/>
      <c r="GL704" s="73"/>
      <c r="GM704" s="73"/>
      <c r="GN704" s="73"/>
      <c r="GO704" s="73"/>
      <c r="GP704" s="73"/>
      <c r="GQ704" s="73"/>
      <c r="GR704" s="73"/>
      <c r="GS704" s="73"/>
      <c r="GT704" s="73"/>
      <c r="GU704" s="73"/>
      <c r="GV704" s="73"/>
      <c r="GW704" s="73"/>
      <c r="GX704" s="73"/>
      <c r="GY704" s="73"/>
      <c r="GZ704" s="73"/>
      <c r="HA704" s="73"/>
      <c r="HB704" s="73"/>
      <c r="HC704" s="73"/>
      <c r="HD704" s="73"/>
      <c r="HE704" s="73"/>
      <c r="HF704" s="73"/>
      <c r="HG704" s="73"/>
      <c r="HH704" s="73"/>
      <c r="HI704" s="73"/>
      <c r="HJ704" s="73"/>
      <c r="HK704" s="73"/>
      <c r="HL704" s="73"/>
      <c r="HM704" s="73"/>
      <c r="HN704" s="73"/>
      <c r="HO704" s="73"/>
      <c r="HP704" s="73"/>
      <c r="HQ704" s="73"/>
      <c r="HR704" s="73"/>
      <c r="HS704" s="73"/>
      <c r="HT704" s="73"/>
      <c r="HU704" s="73"/>
      <c r="HV704" s="73"/>
      <c r="HW704" s="73"/>
      <c r="HX704" s="73"/>
      <c r="HY704" s="73"/>
      <c r="HZ704" s="73"/>
      <c r="IA704" s="73"/>
      <c r="IB704" s="73"/>
      <c r="IC704" s="73"/>
      <c r="ID704" s="73"/>
      <c r="IE704" s="73"/>
      <c r="IF704" s="73"/>
      <c r="IG704" s="73"/>
      <c r="IH704" s="73"/>
      <c r="II704" s="73"/>
      <c r="IJ704" s="73"/>
      <c r="IK704" s="73"/>
      <c r="IL704" s="73"/>
      <c r="IM704" s="73"/>
      <c r="IN704" s="73"/>
      <c r="IO704" s="73"/>
      <c r="IP704" s="73"/>
      <c r="IQ704" s="73"/>
      <c r="IR704" s="73"/>
      <c r="IS704" s="73"/>
      <c r="IT704" s="73"/>
      <c r="IU704" s="73"/>
      <c r="IV704" s="73"/>
      <c r="IW704" s="73"/>
      <c r="IX704" s="73"/>
      <c r="IY704" s="73"/>
      <c r="IZ704" s="73"/>
      <c r="JA704" s="73"/>
      <c r="JB704" s="73"/>
      <c r="JC704" s="73"/>
    </row>
    <row r="705" spans="2:263" s="72" customFormat="1">
      <c r="B705" s="73"/>
      <c r="C705" s="73"/>
      <c r="D705" s="73"/>
      <c r="E705" s="73"/>
      <c r="F705" s="73"/>
      <c r="G705" s="73"/>
      <c r="H705" s="73"/>
      <c r="I705" s="73"/>
      <c r="J705" s="73"/>
      <c r="K705" s="73"/>
      <c r="L705" s="73"/>
      <c r="M705" s="73"/>
      <c r="N705" s="73"/>
      <c r="O705" s="73"/>
      <c r="P705" s="73"/>
      <c r="Q705" s="73"/>
      <c r="R705" s="73"/>
      <c r="S705" s="73"/>
      <c r="T705" s="73"/>
      <c r="U705" s="73"/>
      <c r="V705" s="73"/>
      <c r="W705" s="73"/>
      <c r="GL705" s="73"/>
      <c r="GM705" s="73"/>
      <c r="GN705" s="73"/>
      <c r="GO705" s="73"/>
      <c r="GP705" s="73"/>
      <c r="GQ705" s="73"/>
      <c r="GR705" s="73"/>
      <c r="GS705" s="73"/>
      <c r="GT705" s="73"/>
      <c r="GU705" s="73"/>
      <c r="GV705" s="73"/>
      <c r="GW705" s="73"/>
      <c r="GX705" s="73"/>
      <c r="GY705" s="73"/>
      <c r="GZ705" s="73"/>
      <c r="HA705" s="73"/>
      <c r="HB705" s="73"/>
      <c r="HC705" s="73"/>
      <c r="HD705" s="73"/>
      <c r="HE705" s="73"/>
      <c r="HF705" s="73"/>
      <c r="HG705" s="73"/>
      <c r="HH705" s="73"/>
      <c r="HI705" s="73"/>
      <c r="HJ705" s="73"/>
      <c r="HK705" s="73"/>
      <c r="HL705" s="73"/>
      <c r="HM705" s="73"/>
      <c r="HN705" s="73"/>
      <c r="HO705" s="73"/>
      <c r="HP705" s="73"/>
      <c r="HQ705" s="73"/>
      <c r="HR705" s="73"/>
      <c r="HS705" s="73"/>
      <c r="HT705" s="73"/>
      <c r="HU705" s="73"/>
      <c r="HV705" s="73"/>
      <c r="HW705" s="73"/>
      <c r="HX705" s="73"/>
      <c r="HY705" s="73"/>
      <c r="HZ705" s="73"/>
      <c r="IA705" s="73"/>
      <c r="IB705" s="73"/>
      <c r="IC705" s="73"/>
      <c r="ID705" s="73"/>
      <c r="IE705" s="73"/>
      <c r="IF705" s="73"/>
      <c r="IG705" s="73"/>
      <c r="IH705" s="73"/>
      <c r="II705" s="73"/>
      <c r="IJ705" s="73"/>
      <c r="IK705" s="73"/>
      <c r="IL705" s="73"/>
      <c r="IM705" s="73"/>
      <c r="IN705" s="73"/>
      <c r="IO705" s="73"/>
      <c r="IP705" s="73"/>
      <c r="IQ705" s="73"/>
      <c r="IR705" s="73"/>
      <c r="IS705" s="73"/>
      <c r="IT705" s="73"/>
      <c r="IU705" s="73"/>
      <c r="IV705" s="73"/>
      <c r="IW705" s="73"/>
      <c r="IX705" s="73"/>
      <c r="IY705" s="73"/>
      <c r="IZ705" s="73"/>
      <c r="JA705" s="73"/>
      <c r="JB705" s="73"/>
      <c r="JC705" s="73"/>
    </row>
    <row r="706" spans="2:263" s="72" customFormat="1">
      <c r="B706" s="73"/>
      <c r="C706" s="73"/>
      <c r="D706" s="73"/>
      <c r="E706" s="73"/>
      <c r="F706" s="73"/>
      <c r="G706" s="73"/>
      <c r="H706" s="73"/>
      <c r="I706" s="73"/>
      <c r="J706" s="73"/>
      <c r="K706" s="73"/>
      <c r="L706" s="73"/>
      <c r="M706" s="73"/>
      <c r="N706" s="73"/>
      <c r="O706" s="73"/>
      <c r="P706" s="73"/>
      <c r="Q706" s="73"/>
      <c r="R706" s="73"/>
      <c r="S706" s="73"/>
      <c r="T706" s="73"/>
      <c r="U706" s="73"/>
      <c r="V706" s="73"/>
      <c r="W706" s="73"/>
      <c r="GL706" s="73"/>
      <c r="GM706" s="73"/>
      <c r="GN706" s="73"/>
      <c r="GO706" s="73"/>
      <c r="GP706" s="73"/>
      <c r="GQ706" s="73"/>
      <c r="GR706" s="73"/>
      <c r="GS706" s="73"/>
      <c r="GT706" s="73"/>
      <c r="GU706" s="73"/>
      <c r="GV706" s="73"/>
      <c r="GW706" s="73"/>
      <c r="GX706" s="73"/>
      <c r="GY706" s="73"/>
      <c r="GZ706" s="73"/>
      <c r="HA706" s="73"/>
      <c r="HB706" s="73"/>
      <c r="HC706" s="73"/>
      <c r="HD706" s="73"/>
      <c r="HE706" s="73"/>
      <c r="HF706" s="73"/>
      <c r="HG706" s="73"/>
      <c r="HH706" s="73"/>
      <c r="HI706" s="73"/>
      <c r="HJ706" s="73"/>
      <c r="HK706" s="73"/>
      <c r="HL706" s="73"/>
      <c r="HM706" s="73"/>
      <c r="HN706" s="73"/>
      <c r="HO706" s="73"/>
      <c r="HP706" s="73"/>
      <c r="HQ706" s="73"/>
      <c r="HR706" s="73"/>
      <c r="HS706" s="73"/>
      <c r="HT706" s="73"/>
      <c r="HU706" s="73"/>
      <c r="HV706" s="73"/>
      <c r="HW706" s="73"/>
      <c r="HX706" s="73"/>
      <c r="HY706" s="73"/>
      <c r="HZ706" s="73"/>
      <c r="IA706" s="73"/>
      <c r="IB706" s="73"/>
      <c r="IC706" s="73"/>
      <c r="ID706" s="73"/>
      <c r="IE706" s="73"/>
      <c r="IF706" s="73"/>
      <c r="IG706" s="73"/>
      <c r="IH706" s="73"/>
      <c r="II706" s="73"/>
      <c r="IJ706" s="73"/>
      <c r="IK706" s="73"/>
      <c r="IL706" s="73"/>
      <c r="IM706" s="73"/>
      <c r="IN706" s="73"/>
      <c r="IO706" s="73"/>
      <c r="IP706" s="73"/>
      <c r="IQ706" s="73"/>
      <c r="IR706" s="73"/>
      <c r="IS706" s="73"/>
      <c r="IT706" s="73"/>
      <c r="IU706" s="73"/>
      <c r="IV706" s="73"/>
      <c r="IW706" s="73"/>
      <c r="IX706" s="73"/>
      <c r="IY706" s="73"/>
      <c r="IZ706" s="73"/>
      <c r="JA706" s="73"/>
      <c r="JB706" s="73"/>
      <c r="JC706" s="73"/>
    </row>
    <row r="707" spans="2:263" s="72" customFormat="1">
      <c r="B707" s="73"/>
      <c r="C707" s="73"/>
      <c r="D707" s="73"/>
      <c r="E707" s="73"/>
      <c r="F707" s="73"/>
      <c r="G707" s="73"/>
      <c r="H707" s="73"/>
      <c r="I707" s="73"/>
      <c r="J707" s="73"/>
      <c r="K707" s="73"/>
      <c r="L707" s="73"/>
      <c r="M707" s="73"/>
      <c r="N707" s="73"/>
      <c r="O707" s="73"/>
      <c r="P707" s="73"/>
      <c r="Q707" s="73"/>
      <c r="R707" s="73"/>
      <c r="S707" s="73"/>
      <c r="T707" s="73"/>
      <c r="U707" s="73"/>
      <c r="V707" s="73"/>
      <c r="W707" s="73"/>
      <c r="GL707" s="73"/>
      <c r="GM707" s="73"/>
      <c r="GN707" s="73"/>
      <c r="GO707" s="73"/>
      <c r="GP707" s="73"/>
      <c r="GQ707" s="73"/>
      <c r="GR707" s="73"/>
      <c r="GS707" s="73"/>
      <c r="GT707" s="73"/>
      <c r="GU707" s="73"/>
      <c r="GV707" s="73"/>
      <c r="GW707" s="73"/>
      <c r="GX707" s="73"/>
      <c r="GY707" s="73"/>
      <c r="GZ707" s="73"/>
      <c r="HA707" s="73"/>
      <c r="HB707" s="73"/>
      <c r="HC707" s="73"/>
      <c r="HD707" s="73"/>
      <c r="HE707" s="73"/>
      <c r="HF707" s="73"/>
      <c r="HG707" s="73"/>
      <c r="HH707" s="73"/>
      <c r="HI707" s="73"/>
      <c r="HJ707" s="73"/>
      <c r="HK707" s="73"/>
      <c r="HL707" s="73"/>
      <c r="HM707" s="73"/>
      <c r="HN707" s="73"/>
      <c r="HO707" s="73"/>
      <c r="HP707" s="73"/>
      <c r="HQ707" s="73"/>
      <c r="HR707" s="73"/>
      <c r="HS707" s="73"/>
      <c r="HT707" s="73"/>
      <c r="HU707" s="73"/>
      <c r="HV707" s="73"/>
      <c r="HW707" s="73"/>
      <c r="HX707" s="73"/>
      <c r="HY707" s="73"/>
      <c r="HZ707" s="73"/>
      <c r="IA707" s="73"/>
      <c r="IB707" s="73"/>
      <c r="IC707" s="73"/>
      <c r="ID707" s="73"/>
      <c r="IE707" s="73"/>
      <c r="IF707" s="73"/>
      <c r="IG707" s="73"/>
      <c r="IH707" s="73"/>
      <c r="II707" s="73"/>
      <c r="IJ707" s="73"/>
      <c r="IK707" s="73"/>
      <c r="IL707" s="73"/>
      <c r="IM707" s="73"/>
      <c r="IN707" s="73"/>
      <c r="IO707" s="73"/>
      <c r="IP707" s="73"/>
      <c r="IQ707" s="73"/>
      <c r="IR707" s="73"/>
      <c r="IS707" s="73"/>
      <c r="IT707" s="73"/>
      <c r="IU707" s="73"/>
      <c r="IV707" s="73"/>
      <c r="IW707" s="73"/>
      <c r="IX707" s="73"/>
      <c r="IY707" s="73"/>
      <c r="IZ707" s="73"/>
      <c r="JA707" s="73"/>
      <c r="JB707" s="73"/>
      <c r="JC707" s="73"/>
    </row>
    <row r="708" spans="2:263" s="72" customFormat="1">
      <c r="B708" s="73"/>
      <c r="C708" s="73"/>
      <c r="D708" s="73"/>
      <c r="E708" s="73"/>
      <c r="F708" s="73"/>
      <c r="G708" s="73"/>
      <c r="H708" s="73"/>
      <c r="I708" s="73"/>
      <c r="J708" s="73"/>
      <c r="K708" s="73"/>
      <c r="L708" s="73"/>
      <c r="M708" s="73"/>
      <c r="N708" s="73"/>
      <c r="O708" s="73"/>
      <c r="P708" s="73"/>
      <c r="Q708" s="73"/>
      <c r="R708" s="73"/>
      <c r="S708" s="73"/>
      <c r="T708" s="73"/>
      <c r="U708" s="73"/>
      <c r="V708" s="73"/>
      <c r="W708" s="73"/>
      <c r="GL708" s="73"/>
      <c r="GM708" s="73"/>
      <c r="GN708" s="73"/>
      <c r="GO708" s="73"/>
      <c r="GP708" s="73"/>
      <c r="GQ708" s="73"/>
      <c r="GR708" s="73"/>
      <c r="GS708" s="73"/>
      <c r="GT708" s="73"/>
      <c r="GU708" s="73"/>
      <c r="GV708" s="73"/>
      <c r="GW708" s="73"/>
      <c r="GX708" s="73"/>
      <c r="GY708" s="73"/>
      <c r="GZ708" s="73"/>
      <c r="HA708" s="73"/>
      <c r="HB708" s="73"/>
      <c r="HC708" s="73"/>
      <c r="HD708" s="73"/>
      <c r="HE708" s="73"/>
      <c r="HF708" s="73"/>
      <c r="HG708" s="73"/>
      <c r="HH708" s="73"/>
      <c r="HI708" s="73"/>
      <c r="HJ708" s="73"/>
      <c r="HK708" s="73"/>
      <c r="HL708" s="73"/>
      <c r="HM708" s="73"/>
      <c r="HN708" s="73"/>
      <c r="HO708" s="73"/>
      <c r="HP708" s="73"/>
      <c r="HQ708" s="73"/>
      <c r="HR708" s="73"/>
      <c r="HS708" s="73"/>
      <c r="HT708" s="73"/>
      <c r="HU708" s="73"/>
      <c r="HV708" s="73"/>
      <c r="HW708" s="73"/>
      <c r="HX708" s="73"/>
      <c r="HY708" s="73"/>
      <c r="HZ708" s="73"/>
      <c r="IA708" s="73"/>
      <c r="IB708" s="73"/>
      <c r="IC708" s="73"/>
      <c r="ID708" s="73"/>
      <c r="IE708" s="73"/>
      <c r="IF708" s="73"/>
      <c r="IG708" s="73"/>
      <c r="IH708" s="73"/>
      <c r="II708" s="73"/>
      <c r="IJ708" s="73"/>
      <c r="IK708" s="73"/>
      <c r="IL708" s="73"/>
      <c r="IM708" s="73"/>
      <c r="IN708" s="73"/>
      <c r="IO708" s="73"/>
      <c r="IP708" s="73"/>
      <c r="IQ708" s="73"/>
      <c r="IR708" s="73"/>
      <c r="IS708" s="73"/>
      <c r="IT708" s="73"/>
      <c r="IU708" s="73"/>
      <c r="IV708" s="73"/>
      <c r="IW708" s="73"/>
      <c r="IX708" s="73"/>
      <c r="IY708" s="73"/>
      <c r="IZ708" s="73"/>
      <c r="JA708" s="73"/>
      <c r="JB708" s="73"/>
      <c r="JC708" s="73"/>
    </row>
    <row r="709" spans="2:263" s="72" customFormat="1">
      <c r="B709" s="73"/>
      <c r="C709" s="73"/>
      <c r="D709" s="73"/>
      <c r="E709" s="73"/>
      <c r="F709" s="73"/>
      <c r="G709" s="73"/>
      <c r="H709" s="73"/>
      <c r="I709" s="73"/>
      <c r="J709" s="73"/>
      <c r="K709" s="73"/>
      <c r="L709" s="73"/>
      <c r="M709" s="73"/>
      <c r="N709" s="73"/>
      <c r="O709" s="73"/>
      <c r="P709" s="73"/>
      <c r="Q709" s="73"/>
      <c r="R709" s="73"/>
      <c r="S709" s="73"/>
      <c r="T709" s="73"/>
      <c r="U709" s="73"/>
      <c r="V709" s="73"/>
      <c r="W709" s="73"/>
      <c r="GL709" s="73"/>
      <c r="GM709" s="73"/>
      <c r="GN709" s="73"/>
      <c r="GO709" s="73"/>
      <c r="GP709" s="73"/>
      <c r="GQ709" s="73"/>
      <c r="GR709" s="73"/>
      <c r="GS709" s="73"/>
      <c r="GT709" s="73"/>
      <c r="GU709" s="73"/>
      <c r="GV709" s="73"/>
      <c r="GW709" s="73"/>
      <c r="GX709" s="73"/>
      <c r="GY709" s="73"/>
      <c r="GZ709" s="73"/>
      <c r="HA709" s="73"/>
      <c r="HB709" s="73"/>
      <c r="HC709" s="73"/>
      <c r="HD709" s="73"/>
      <c r="HE709" s="73"/>
      <c r="HF709" s="73"/>
      <c r="HG709" s="73"/>
      <c r="HH709" s="73"/>
      <c r="HI709" s="73"/>
      <c r="HJ709" s="73"/>
      <c r="HK709" s="73"/>
      <c r="HL709" s="73"/>
      <c r="HM709" s="73"/>
      <c r="HN709" s="73"/>
      <c r="HO709" s="73"/>
      <c r="HP709" s="73"/>
      <c r="HQ709" s="73"/>
      <c r="HR709" s="73"/>
      <c r="HS709" s="73"/>
      <c r="HT709" s="73"/>
      <c r="HU709" s="73"/>
      <c r="HV709" s="73"/>
      <c r="HW709" s="73"/>
      <c r="HX709" s="73"/>
      <c r="HY709" s="73"/>
      <c r="HZ709" s="73"/>
      <c r="IA709" s="73"/>
      <c r="IB709" s="73"/>
      <c r="IC709" s="73"/>
      <c r="ID709" s="73"/>
      <c r="IE709" s="73"/>
      <c r="IF709" s="73"/>
      <c r="IG709" s="73"/>
      <c r="IH709" s="73"/>
      <c r="II709" s="73"/>
      <c r="IJ709" s="73"/>
      <c r="IK709" s="73"/>
      <c r="IL709" s="73"/>
      <c r="IM709" s="73"/>
      <c r="IN709" s="73"/>
      <c r="IO709" s="73"/>
      <c r="IP709" s="73"/>
      <c r="IQ709" s="73"/>
      <c r="IR709" s="73"/>
      <c r="IS709" s="73"/>
      <c r="IT709" s="73"/>
      <c r="IU709" s="73"/>
      <c r="IV709" s="73"/>
      <c r="IW709" s="73"/>
      <c r="IX709" s="73"/>
      <c r="IY709" s="73"/>
      <c r="IZ709" s="73"/>
      <c r="JA709" s="73"/>
      <c r="JB709" s="73"/>
      <c r="JC709" s="73"/>
    </row>
    <row r="710" spans="2:263" s="72" customFormat="1">
      <c r="B710" s="73"/>
      <c r="C710" s="73"/>
      <c r="D710" s="73"/>
      <c r="E710" s="73"/>
      <c r="F710" s="73"/>
      <c r="G710" s="73"/>
      <c r="H710" s="73"/>
      <c r="I710" s="73"/>
      <c r="J710" s="73"/>
      <c r="K710" s="73"/>
      <c r="L710" s="73"/>
      <c r="M710" s="73"/>
      <c r="N710" s="73"/>
      <c r="O710" s="73"/>
      <c r="P710" s="73"/>
      <c r="Q710" s="73"/>
      <c r="R710" s="73"/>
      <c r="S710" s="73"/>
      <c r="T710" s="73"/>
      <c r="U710" s="73"/>
      <c r="V710" s="73"/>
      <c r="W710" s="73"/>
      <c r="GL710" s="73"/>
      <c r="GM710" s="73"/>
      <c r="GN710" s="73"/>
      <c r="GO710" s="73"/>
      <c r="GP710" s="73"/>
      <c r="GQ710" s="73"/>
      <c r="GR710" s="73"/>
      <c r="GS710" s="73"/>
      <c r="GT710" s="73"/>
      <c r="GU710" s="73"/>
      <c r="GV710" s="73"/>
      <c r="GW710" s="73"/>
      <c r="GX710" s="73"/>
      <c r="GY710" s="73"/>
      <c r="GZ710" s="73"/>
      <c r="HA710" s="73"/>
      <c r="HB710" s="73"/>
      <c r="HC710" s="73"/>
      <c r="HD710" s="73"/>
      <c r="HE710" s="73"/>
      <c r="HF710" s="73"/>
      <c r="HG710" s="73"/>
      <c r="HH710" s="73"/>
      <c r="HI710" s="73"/>
      <c r="HJ710" s="73"/>
      <c r="HK710" s="73"/>
      <c r="HL710" s="73"/>
      <c r="HM710" s="73"/>
      <c r="HN710" s="73"/>
      <c r="HO710" s="73"/>
      <c r="HP710" s="73"/>
      <c r="HQ710" s="73"/>
      <c r="HR710" s="73"/>
      <c r="HS710" s="73"/>
      <c r="HT710" s="73"/>
      <c r="HU710" s="73"/>
      <c r="HV710" s="73"/>
      <c r="HW710" s="73"/>
      <c r="HX710" s="73"/>
      <c r="HY710" s="73"/>
      <c r="HZ710" s="73"/>
      <c r="IA710" s="73"/>
      <c r="IB710" s="73"/>
      <c r="IC710" s="73"/>
      <c r="ID710" s="73"/>
      <c r="IE710" s="73"/>
      <c r="IF710" s="73"/>
      <c r="IG710" s="73"/>
      <c r="IH710" s="73"/>
      <c r="II710" s="73"/>
      <c r="IJ710" s="73"/>
      <c r="IK710" s="73"/>
      <c r="IL710" s="73"/>
      <c r="IM710" s="73"/>
      <c r="IN710" s="73"/>
      <c r="IO710" s="73"/>
      <c r="IP710" s="73"/>
      <c r="IQ710" s="73"/>
      <c r="IR710" s="73"/>
      <c r="IS710" s="73"/>
      <c r="IT710" s="73"/>
      <c r="IU710" s="73"/>
      <c r="IV710" s="73"/>
      <c r="IW710" s="73"/>
      <c r="IX710" s="73"/>
      <c r="IY710" s="73"/>
      <c r="IZ710" s="73"/>
      <c r="JA710" s="73"/>
      <c r="JB710" s="73"/>
      <c r="JC710" s="73"/>
    </row>
    <row r="711" spans="2:263" s="72" customFormat="1">
      <c r="B711" s="73"/>
      <c r="C711" s="73"/>
      <c r="D711" s="73"/>
      <c r="E711" s="73"/>
      <c r="F711" s="73"/>
      <c r="G711" s="73"/>
      <c r="H711" s="73"/>
      <c r="I711" s="73"/>
      <c r="J711" s="73"/>
      <c r="K711" s="73"/>
      <c r="L711" s="73"/>
      <c r="M711" s="73"/>
      <c r="N711" s="73"/>
      <c r="O711" s="73"/>
      <c r="P711" s="73"/>
      <c r="Q711" s="73"/>
      <c r="R711" s="73"/>
      <c r="S711" s="73"/>
      <c r="T711" s="73"/>
      <c r="U711" s="73"/>
      <c r="V711" s="73"/>
      <c r="W711" s="73"/>
      <c r="GL711" s="73"/>
      <c r="GM711" s="73"/>
      <c r="GN711" s="73"/>
      <c r="GO711" s="73"/>
      <c r="GP711" s="73"/>
      <c r="GQ711" s="73"/>
      <c r="GR711" s="73"/>
      <c r="GS711" s="73"/>
      <c r="GT711" s="73"/>
      <c r="GU711" s="73"/>
      <c r="GV711" s="73"/>
      <c r="GW711" s="73"/>
      <c r="GX711" s="73"/>
      <c r="GY711" s="73"/>
      <c r="GZ711" s="73"/>
      <c r="HA711" s="73"/>
      <c r="HB711" s="73"/>
      <c r="HC711" s="73"/>
      <c r="HD711" s="73"/>
      <c r="HE711" s="73"/>
      <c r="HF711" s="73"/>
      <c r="HG711" s="73"/>
      <c r="HH711" s="73"/>
      <c r="HI711" s="73"/>
      <c r="HJ711" s="73"/>
      <c r="HK711" s="73"/>
      <c r="HL711" s="73"/>
      <c r="HM711" s="73"/>
      <c r="HN711" s="73"/>
      <c r="HO711" s="73"/>
      <c r="HP711" s="73"/>
      <c r="HQ711" s="73"/>
      <c r="HR711" s="73"/>
      <c r="HS711" s="73"/>
      <c r="HT711" s="73"/>
      <c r="HU711" s="73"/>
      <c r="HV711" s="73"/>
      <c r="HW711" s="73"/>
      <c r="HX711" s="73"/>
      <c r="HY711" s="73"/>
      <c r="HZ711" s="73"/>
      <c r="IA711" s="73"/>
      <c r="IB711" s="73"/>
      <c r="IC711" s="73"/>
      <c r="ID711" s="73"/>
      <c r="IE711" s="73"/>
      <c r="IF711" s="73"/>
      <c r="IG711" s="73"/>
      <c r="IH711" s="73"/>
      <c r="II711" s="73"/>
      <c r="IJ711" s="73"/>
      <c r="IK711" s="73"/>
      <c r="IL711" s="73"/>
      <c r="IM711" s="73"/>
      <c r="IN711" s="73"/>
      <c r="IO711" s="73"/>
      <c r="IP711" s="73"/>
      <c r="IQ711" s="73"/>
      <c r="IR711" s="73"/>
      <c r="IS711" s="73"/>
      <c r="IT711" s="73"/>
      <c r="IU711" s="73"/>
      <c r="IV711" s="73"/>
      <c r="IW711" s="73"/>
      <c r="IX711" s="73"/>
      <c r="IY711" s="73"/>
      <c r="IZ711" s="73"/>
      <c r="JA711" s="73"/>
      <c r="JB711" s="73"/>
      <c r="JC711" s="73"/>
    </row>
    <row r="712" spans="2:263" s="72" customFormat="1">
      <c r="B712" s="73"/>
      <c r="C712" s="73"/>
      <c r="D712" s="73"/>
      <c r="E712" s="73"/>
      <c r="F712" s="73"/>
      <c r="G712" s="73"/>
      <c r="H712" s="73"/>
      <c r="I712" s="73"/>
      <c r="J712" s="73"/>
      <c r="K712" s="73"/>
      <c r="L712" s="73"/>
      <c r="M712" s="73"/>
      <c r="N712" s="73"/>
      <c r="O712" s="73"/>
      <c r="P712" s="73"/>
      <c r="Q712" s="73"/>
      <c r="R712" s="73"/>
      <c r="S712" s="73"/>
      <c r="T712" s="73"/>
      <c r="U712" s="73"/>
      <c r="V712" s="73"/>
      <c r="W712" s="73"/>
      <c r="GL712" s="73"/>
      <c r="GM712" s="73"/>
      <c r="GN712" s="73"/>
      <c r="GO712" s="73"/>
      <c r="GP712" s="73"/>
      <c r="GQ712" s="73"/>
      <c r="GR712" s="73"/>
      <c r="GS712" s="73"/>
      <c r="GT712" s="73"/>
      <c r="GU712" s="73"/>
      <c r="GV712" s="73"/>
      <c r="GW712" s="73"/>
      <c r="GX712" s="73"/>
      <c r="GY712" s="73"/>
      <c r="GZ712" s="73"/>
      <c r="HA712" s="73"/>
      <c r="HB712" s="73"/>
      <c r="HC712" s="73"/>
      <c r="HD712" s="73"/>
      <c r="HE712" s="73"/>
      <c r="HF712" s="73"/>
      <c r="HG712" s="73"/>
      <c r="HH712" s="73"/>
      <c r="HI712" s="73"/>
      <c r="HJ712" s="73"/>
      <c r="HK712" s="73"/>
      <c r="HL712" s="73"/>
      <c r="HM712" s="73"/>
      <c r="HN712" s="73"/>
      <c r="HO712" s="73"/>
      <c r="HP712" s="73"/>
      <c r="HQ712" s="73"/>
      <c r="HR712" s="73"/>
      <c r="HS712" s="73"/>
      <c r="HT712" s="73"/>
      <c r="HU712" s="73"/>
      <c r="HV712" s="73"/>
      <c r="HW712" s="73"/>
      <c r="HX712" s="73"/>
      <c r="HY712" s="73"/>
      <c r="HZ712" s="73"/>
      <c r="IA712" s="73"/>
      <c r="IB712" s="73"/>
      <c r="IC712" s="73"/>
      <c r="ID712" s="73"/>
      <c r="IE712" s="73"/>
      <c r="IF712" s="73"/>
      <c r="IG712" s="73"/>
      <c r="IH712" s="73"/>
      <c r="II712" s="73"/>
      <c r="IJ712" s="73"/>
      <c r="IK712" s="73"/>
      <c r="IL712" s="73"/>
      <c r="IM712" s="73"/>
      <c r="IN712" s="73"/>
      <c r="IO712" s="73"/>
      <c r="IP712" s="73"/>
      <c r="IQ712" s="73"/>
      <c r="IR712" s="73"/>
      <c r="IS712" s="73"/>
      <c r="IT712" s="73"/>
      <c r="IU712" s="73"/>
      <c r="IV712" s="73"/>
      <c r="IW712" s="73"/>
      <c r="IX712" s="73"/>
      <c r="IY712" s="73"/>
      <c r="IZ712" s="73"/>
      <c r="JA712" s="73"/>
      <c r="JB712" s="73"/>
      <c r="JC712" s="73"/>
    </row>
    <row r="713" spans="2:263" s="72" customFormat="1">
      <c r="B713" s="73"/>
      <c r="C713" s="73"/>
      <c r="D713" s="73"/>
      <c r="E713" s="73"/>
      <c r="F713" s="73"/>
      <c r="G713" s="73"/>
      <c r="H713" s="73"/>
      <c r="I713" s="73"/>
      <c r="J713" s="73"/>
      <c r="K713" s="73"/>
      <c r="L713" s="73"/>
      <c r="M713" s="73"/>
      <c r="N713" s="73"/>
      <c r="O713" s="73"/>
      <c r="P713" s="73"/>
      <c r="Q713" s="73"/>
      <c r="R713" s="73"/>
      <c r="S713" s="73"/>
      <c r="T713" s="73"/>
      <c r="U713" s="73"/>
      <c r="V713" s="73"/>
      <c r="W713" s="73"/>
      <c r="GL713" s="73"/>
      <c r="GM713" s="73"/>
      <c r="GN713" s="73"/>
      <c r="GO713" s="73"/>
      <c r="GP713" s="73"/>
      <c r="GQ713" s="73"/>
      <c r="GR713" s="73"/>
      <c r="GS713" s="73"/>
      <c r="GT713" s="73"/>
      <c r="GU713" s="73"/>
      <c r="GV713" s="73"/>
      <c r="GW713" s="73"/>
      <c r="GX713" s="73"/>
      <c r="GY713" s="73"/>
      <c r="GZ713" s="73"/>
      <c r="HA713" s="73"/>
      <c r="HB713" s="73"/>
      <c r="HC713" s="73"/>
      <c r="HD713" s="73"/>
      <c r="HE713" s="73"/>
      <c r="HF713" s="73"/>
      <c r="HG713" s="73"/>
      <c r="HH713" s="73"/>
      <c r="HI713" s="73"/>
      <c r="HJ713" s="73"/>
      <c r="HK713" s="73"/>
      <c r="HL713" s="73"/>
      <c r="HM713" s="73"/>
      <c r="HN713" s="73"/>
      <c r="HO713" s="73"/>
      <c r="HP713" s="73"/>
      <c r="HQ713" s="73"/>
      <c r="HR713" s="73"/>
      <c r="HS713" s="73"/>
      <c r="HT713" s="73"/>
      <c r="HU713" s="73"/>
      <c r="HV713" s="73"/>
      <c r="HW713" s="73"/>
      <c r="HX713" s="73"/>
      <c r="HY713" s="73"/>
      <c r="HZ713" s="73"/>
      <c r="IA713" s="73"/>
      <c r="IB713" s="73"/>
      <c r="IC713" s="73"/>
      <c r="ID713" s="73"/>
      <c r="IE713" s="73"/>
      <c r="IF713" s="73"/>
      <c r="IG713" s="73"/>
      <c r="IH713" s="73"/>
      <c r="II713" s="73"/>
      <c r="IJ713" s="73"/>
      <c r="IK713" s="73"/>
      <c r="IL713" s="73"/>
      <c r="IM713" s="73"/>
      <c r="IN713" s="73"/>
      <c r="IO713" s="73"/>
      <c r="IP713" s="73"/>
      <c r="IQ713" s="73"/>
      <c r="IR713" s="73"/>
      <c r="IS713" s="73"/>
      <c r="IT713" s="73"/>
      <c r="IU713" s="73"/>
      <c r="IV713" s="73"/>
      <c r="IW713" s="73"/>
      <c r="IX713" s="73"/>
      <c r="IY713" s="73"/>
      <c r="IZ713" s="73"/>
      <c r="JA713" s="73"/>
      <c r="JB713" s="73"/>
      <c r="JC713" s="73"/>
    </row>
    <row r="714" spans="2:263" s="72" customFormat="1">
      <c r="B714" s="73"/>
      <c r="C714" s="73"/>
      <c r="D714" s="73"/>
      <c r="E714" s="73"/>
      <c r="F714" s="73"/>
      <c r="G714" s="73"/>
      <c r="H714" s="73"/>
      <c r="I714" s="73"/>
      <c r="J714" s="73"/>
      <c r="K714" s="73"/>
      <c r="L714" s="73"/>
      <c r="M714" s="73"/>
      <c r="N714" s="73"/>
      <c r="O714" s="73"/>
      <c r="P714" s="73"/>
      <c r="Q714" s="73"/>
      <c r="R714" s="73"/>
      <c r="S714" s="73"/>
      <c r="T714" s="73"/>
      <c r="U714" s="73"/>
      <c r="V714" s="73"/>
      <c r="W714" s="73"/>
      <c r="GL714" s="73"/>
      <c r="GM714" s="73"/>
      <c r="GN714" s="73"/>
      <c r="GO714" s="73"/>
      <c r="GP714" s="73"/>
      <c r="GQ714" s="73"/>
      <c r="GR714" s="73"/>
      <c r="GS714" s="73"/>
      <c r="GT714" s="73"/>
      <c r="GU714" s="73"/>
      <c r="GV714" s="73"/>
      <c r="GW714" s="73"/>
      <c r="GX714" s="73"/>
      <c r="GY714" s="73"/>
      <c r="GZ714" s="73"/>
      <c r="HA714" s="73"/>
      <c r="HB714" s="73"/>
      <c r="HC714" s="73"/>
      <c r="HD714" s="73"/>
      <c r="HE714" s="73"/>
      <c r="HF714" s="73"/>
      <c r="HG714" s="73"/>
      <c r="HH714" s="73"/>
      <c r="HI714" s="73"/>
      <c r="HJ714" s="73"/>
      <c r="HK714" s="73"/>
      <c r="HL714" s="73"/>
      <c r="HM714" s="73"/>
      <c r="HN714" s="73"/>
      <c r="HO714" s="73"/>
      <c r="HP714" s="73"/>
      <c r="HQ714" s="73"/>
      <c r="HR714" s="73"/>
      <c r="HS714" s="73"/>
      <c r="HT714" s="73"/>
      <c r="HU714" s="73"/>
      <c r="HV714" s="73"/>
      <c r="HW714" s="73"/>
      <c r="HX714" s="73"/>
      <c r="HY714" s="73"/>
      <c r="HZ714" s="73"/>
      <c r="IA714" s="73"/>
      <c r="IB714" s="73"/>
      <c r="IC714" s="73"/>
      <c r="ID714" s="73"/>
      <c r="IE714" s="73"/>
      <c r="IF714" s="73"/>
      <c r="IG714" s="73"/>
      <c r="IH714" s="73"/>
      <c r="II714" s="73"/>
      <c r="IJ714" s="73"/>
      <c r="IK714" s="73"/>
      <c r="IL714" s="73"/>
      <c r="IM714" s="73"/>
      <c r="IN714" s="73"/>
      <c r="IO714" s="73"/>
      <c r="IP714" s="73"/>
      <c r="IQ714" s="73"/>
      <c r="IR714" s="73"/>
      <c r="IS714" s="73"/>
      <c r="IT714" s="73"/>
      <c r="IU714" s="73"/>
      <c r="IV714" s="73"/>
      <c r="IW714" s="73"/>
      <c r="IX714" s="73"/>
      <c r="IY714" s="73"/>
      <c r="IZ714" s="73"/>
      <c r="JA714" s="73"/>
      <c r="JB714" s="73"/>
      <c r="JC714" s="73"/>
    </row>
    <row r="715" spans="2:263" s="72" customFormat="1">
      <c r="B715" s="73"/>
      <c r="C715" s="73"/>
      <c r="D715" s="73"/>
      <c r="E715" s="73"/>
      <c r="F715" s="73"/>
      <c r="G715" s="73"/>
      <c r="H715" s="73"/>
      <c r="I715" s="73"/>
      <c r="J715" s="73"/>
      <c r="K715" s="73"/>
      <c r="L715" s="73"/>
      <c r="M715" s="73"/>
      <c r="N715" s="73"/>
      <c r="O715" s="73"/>
      <c r="P715" s="73"/>
      <c r="Q715" s="73"/>
      <c r="R715" s="73"/>
      <c r="S715" s="73"/>
      <c r="T715" s="73"/>
      <c r="U715" s="73"/>
      <c r="V715" s="73"/>
      <c r="W715" s="73"/>
      <c r="GL715" s="73"/>
      <c r="GM715" s="73"/>
      <c r="GN715" s="73"/>
      <c r="GO715" s="73"/>
      <c r="GP715" s="73"/>
      <c r="GQ715" s="73"/>
      <c r="GR715" s="73"/>
      <c r="GS715" s="73"/>
      <c r="GT715" s="73"/>
      <c r="GU715" s="73"/>
      <c r="GV715" s="73"/>
      <c r="GW715" s="73"/>
      <c r="GX715" s="73"/>
      <c r="GY715" s="73"/>
      <c r="GZ715" s="73"/>
      <c r="HA715" s="73"/>
      <c r="HB715" s="73"/>
      <c r="HC715" s="73"/>
      <c r="HD715" s="73"/>
      <c r="HE715" s="73"/>
      <c r="HF715" s="73"/>
      <c r="HG715" s="73"/>
      <c r="HH715" s="73"/>
      <c r="HI715" s="73"/>
      <c r="HJ715" s="73"/>
      <c r="HK715" s="73"/>
      <c r="HL715" s="73"/>
      <c r="HM715" s="73"/>
      <c r="HN715" s="73"/>
      <c r="HO715" s="73"/>
      <c r="HP715" s="73"/>
      <c r="HQ715" s="73"/>
      <c r="HR715" s="73"/>
      <c r="HS715" s="73"/>
      <c r="HT715" s="73"/>
      <c r="HU715" s="73"/>
      <c r="HV715" s="73"/>
      <c r="HW715" s="73"/>
      <c r="HX715" s="73"/>
      <c r="HY715" s="73"/>
      <c r="HZ715" s="73"/>
      <c r="IA715" s="73"/>
      <c r="IB715" s="73"/>
      <c r="IC715" s="73"/>
      <c r="ID715" s="73"/>
      <c r="IE715" s="73"/>
      <c r="IF715" s="73"/>
      <c r="IG715" s="73"/>
      <c r="IH715" s="73"/>
      <c r="II715" s="73"/>
      <c r="IJ715" s="73"/>
      <c r="IK715" s="73"/>
      <c r="IL715" s="73"/>
      <c r="IM715" s="73"/>
      <c r="IN715" s="73"/>
      <c r="IO715" s="73"/>
      <c r="IP715" s="73"/>
      <c r="IQ715" s="73"/>
      <c r="IR715" s="73"/>
      <c r="IS715" s="73"/>
      <c r="IT715" s="73"/>
      <c r="IU715" s="73"/>
      <c r="IV715" s="73"/>
      <c r="IW715" s="73"/>
      <c r="IX715" s="73"/>
      <c r="IY715" s="73"/>
      <c r="IZ715" s="73"/>
      <c r="JA715" s="73"/>
      <c r="JB715" s="73"/>
      <c r="JC715" s="73"/>
    </row>
    <row r="716" spans="2:263" s="72" customFormat="1">
      <c r="B716" s="73"/>
      <c r="C716" s="73"/>
      <c r="D716" s="73"/>
      <c r="E716" s="73"/>
      <c r="F716" s="73"/>
      <c r="G716" s="73"/>
      <c r="H716" s="73"/>
      <c r="I716" s="73"/>
      <c r="J716" s="73"/>
      <c r="K716" s="73"/>
      <c r="L716" s="73"/>
      <c r="M716" s="73"/>
      <c r="N716" s="73"/>
      <c r="O716" s="73"/>
      <c r="P716" s="73"/>
      <c r="Q716" s="73"/>
      <c r="R716" s="73"/>
      <c r="S716" s="73"/>
      <c r="T716" s="73"/>
      <c r="U716" s="73"/>
      <c r="V716" s="73"/>
      <c r="W716" s="73"/>
      <c r="GL716" s="73"/>
      <c r="GM716" s="73"/>
      <c r="GN716" s="73"/>
      <c r="GO716" s="73"/>
      <c r="GP716" s="73"/>
      <c r="GQ716" s="73"/>
      <c r="GR716" s="73"/>
      <c r="GS716" s="73"/>
      <c r="GT716" s="73"/>
      <c r="GU716" s="73"/>
      <c r="GV716" s="73"/>
      <c r="GW716" s="73"/>
      <c r="GX716" s="73"/>
      <c r="GY716" s="73"/>
      <c r="GZ716" s="73"/>
      <c r="HA716" s="73"/>
      <c r="HB716" s="73"/>
      <c r="HC716" s="73"/>
      <c r="HD716" s="73"/>
      <c r="HE716" s="73"/>
      <c r="HF716" s="73"/>
      <c r="HG716" s="73"/>
      <c r="HH716" s="73"/>
      <c r="HI716" s="73"/>
      <c r="HJ716" s="73"/>
      <c r="HK716" s="73"/>
      <c r="HL716" s="73"/>
      <c r="HM716" s="73"/>
      <c r="HN716" s="73"/>
      <c r="HO716" s="73"/>
      <c r="HP716" s="73"/>
      <c r="HQ716" s="73"/>
      <c r="HR716" s="73"/>
      <c r="HS716" s="73"/>
      <c r="HT716" s="73"/>
      <c r="HU716" s="73"/>
      <c r="HV716" s="73"/>
      <c r="HW716" s="73"/>
      <c r="HX716" s="73"/>
      <c r="HY716" s="73"/>
      <c r="HZ716" s="73"/>
      <c r="IA716" s="73"/>
      <c r="IB716" s="73"/>
      <c r="IC716" s="73"/>
      <c r="ID716" s="73"/>
      <c r="IE716" s="73"/>
      <c r="IF716" s="73"/>
      <c r="IG716" s="73"/>
      <c r="IH716" s="73"/>
      <c r="II716" s="73"/>
      <c r="IJ716" s="73"/>
      <c r="IK716" s="73"/>
      <c r="IL716" s="73"/>
      <c r="IM716" s="73"/>
      <c r="IN716" s="73"/>
      <c r="IO716" s="73"/>
      <c r="IP716" s="73"/>
      <c r="IQ716" s="73"/>
      <c r="IR716" s="73"/>
      <c r="IS716" s="73"/>
      <c r="IT716" s="73"/>
      <c r="IU716" s="73"/>
      <c r="IV716" s="73"/>
      <c r="IW716" s="73"/>
      <c r="IX716" s="73"/>
      <c r="IY716" s="73"/>
      <c r="IZ716" s="73"/>
      <c r="JA716" s="73"/>
      <c r="JB716" s="73"/>
      <c r="JC716" s="73"/>
    </row>
    <row r="717" spans="2:263" s="72" customFormat="1">
      <c r="B717" s="73"/>
      <c r="C717" s="73"/>
      <c r="D717" s="73"/>
      <c r="E717" s="73"/>
      <c r="F717" s="73"/>
      <c r="G717" s="73"/>
      <c r="H717" s="73"/>
      <c r="I717" s="73"/>
      <c r="J717" s="73"/>
      <c r="K717" s="73"/>
      <c r="L717" s="73"/>
      <c r="M717" s="73"/>
      <c r="N717" s="73"/>
      <c r="O717" s="73"/>
      <c r="P717" s="73"/>
      <c r="Q717" s="73"/>
      <c r="R717" s="73"/>
      <c r="S717" s="73"/>
      <c r="T717" s="73"/>
      <c r="U717" s="73"/>
      <c r="V717" s="73"/>
      <c r="W717" s="73"/>
      <c r="GL717" s="73"/>
      <c r="GM717" s="73"/>
      <c r="GN717" s="73"/>
      <c r="GO717" s="73"/>
      <c r="GP717" s="73"/>
      <c r="GQ717" s="73"/>
      <c r="GR717" s="73"/>
      <c r="GS717" s="73"/>
      <c r="GT717" s="73"/>
      <c r="GU717" s="73"/>
      <c r="GV717" s="73"/>
      <c r="GW717" s="73"/>
      <c r="GX717" s="73"/>
      <c r="GY717" s="73"/>
      <c r="GZ717" s="73"/>
      <c r="HA717" s="73"/>
      <c r="HB717" s="73"/>
      <c r="HC717" s="73"/>
      <c r="HD717" s="73"/>
      <c r="HE717" s="73"/>
      <c r="HF717" s="73"/>
      <c r="HG717" s="73"/>
      <c r="HH717" s="73"/>
      <c r="HI717" s="73"/>
      <c r="HJ717" s="73"/>
      <c r="HK717" s="73"/>
      <c r="HL717" s="73"/>
      <c r="HM717" s="73"/>
      <c r="HN717" s="73"/>
      <c r="HO717" s="73"/>
      <c r="HP717" s="73"/>
      <c r="HQ717" s="73"/>
      <c r="HR717" s="73"/>
      <c r="HS717" s="73"/>
      <c r="HT717" s="73"/>
      <c r="HU717" s="73"/>
      <c r="HV717" s="73"/>
      <c r="HW717" s="73"/>
      <c r="HX717" s="73"/>
      <c r="HY717" s="73"/>
      <c r="HZ717" s="73"/>
      <c r="IA717" s="73"/>
      <c r="IB717" s="73"/>
      <c r="IC717" s="73"/>
      <c r="ID717" s="73"/>
      <c r="IE717" s="73"/>
      <c r="IF717" s="73"/>
      <c r="IG717" s="73"/>
      <c r="IH717" s="73"/>
      <c r="II717" s="73"/>
      <c r="IJ717" s="73"/>
      <c r="IK717" s="73"/>
      <c r="IL717" s="73"/>
      <c r="IM717" s="73"/>
      <c r="IN717" s="73"/>
      <c r="IO717" s="73"/>
      <c r="IP717" s="73"/>
      <c r="IQ717" s="73"/>
      <c r="IR717" s="73"/>
      <c r="IS717" s="73"/>
      <c r="IT717" s="73"/>
      <c r="IU717" s="73"/>
      <c r="IV717" s="73"/>
      <c r="IW717" s="73"/>
      <c r="IX717" s="73"/>
      <c r="IY717" s="73"/>
      <c r="IZ717" s="73"/>
      <c r="JA717" s="73"/>
      <c r="JB717" s="73"/>
      <c r="JC717" s="73"/>
    </row>
    <row r="718" spans="2:263" s="72" customFormat="1">
      <c r="B718" s="73"/>
      <c r="C718" s="73"/>
      <c r="D718" s="73"/>
      <c r="E718" s="73"/>
      <c r="F718" s="73"/>
      <c r="G718" s="73"/>
      <c r="H718" s="73"/>
      <c r="I718" s="73"/>
      <c r="J718" s="73"/>
      <c r="K718" s="73"/>
      <c r="L718" s="73"/>
      <c r="M718" s="73"/>
      <c r="N718" s="73"/>
      <c r="O718" s="73"/>
      <c r="P718" s="73"/>
      <c r="Q718" s="73"/>
      <c r="R718" s="73"/>
      <c r="S718" s="73"/>
      <c r="T718" s="73"/>
      <c r="U718" s="73"/>
      <c r="V718" s="73"/>
      <c r="W718" s="73"/>
      <c r="GL718" s="73"/>
      <c r="GM718" s="73"/>
      <c r="GN718" s="73"/>
      <c r="GO718" s="73"/>
      <c r="GP718" s="73"/>
      <c r="GQ718" s="73"/>
      <c r="GR718" s="73"/>
      <c r="GS718" s="73"/>
      <c r="GT718" s="73"/>
      <c r="GU718" s="73"/>
      <c r="GV718" s="73"/>
      <c r="GW718" s="73"/>
      <c r="GX718" s="73"/>
      <c r="GY718" s="73"/>
      <c r="GZ718" s="73"/>
      <c r="HA718" s="73"/>
      <c r="HB718" s="73"/>
      <c r="HC718" s="73"/>
      <c r="HD718" s="73"/>
      <c r="HE718" s="73"/>
      <c r="HF718" s="73"/>
      <c r="HG718" s="73"/>
      <c r="HH718" s="73"/>
      <c r="HI718" s="73"/>
      <c r="HJ718" s="73"/>
      <c r="HK718" s="73"/>
      <c r="HL718" s="73"/>
      <c r="HM718" s="73"/>
      <c r="HN718" s="73"/>
      <c r="HO718" s="73"/>
      <c r="HP718" s="73"/>
      <c r="HQ718" s="73"/>
      <c r="HR718" s="73"/>
      <c r="HS718" s="73"/>
      <c r="HT718" s="73"/>
      <c r="HU718" s="73"/>
      <c r="HV718" s="73"/>
      <c r="HW718" s="73"/>
      <c r="HX718" s="73"/>
      <c r="HY718" s="73"/>
      <c r="HZ718" s="73"/>
      <c r="IA718" s="73"/>
      <c r="IB718" s="73"/>
      <c r="IC718" s="73"/>
      <c r="ID718" s="73"/>
      <c r="IE718" s="73"/>
      <c r="IF718" s="73"/>
      <c r="IG718" s="73"/>
      <c r="IH718" s="73"/>
      <c r="II718" s="73"/>
      <c r="IJ718" s="73"/>
      <c r="IK718" s="73"/>
      <c r="IL718" s="73"/>
      <c r="IM718" s="73"/>
      <c r="IN718" s="73"/>
      <c r="IO718" s="73"/>
      <c r="IP718" s="73"/>
      <c r="IQ718" s="73"/>
      <c r="IR718" s="73"/>
      <c r="IS718" s="73"/>
      <c r="IT718" s="73"/>
      <c r="IU718" s="73"/>
      <c r="IV718" s="73"/>
      <c r="IW718" s="73"/>
      <c r="IX718" s="73"/>
      <c r="IY718" s="73"/>
      <c r="IZ718" s="73"/>
      <c r="JA718" s="73"/>
      <c r="JB718" s="73"/>
      <c r="JC718" s="73"/>
    </row>
    <row r="719" spans="2:263" s="72" customFormat="1">
      <c r="B719" s="73"/>
      <c r="C719" s="73"/>
      <c r="D719" s="73"/>
      <c r="E719" s="73"/>
      <c r="F719" s="73"/>
      <c r="G719" s="73"/>
      <c r="H719" s="73"/>
      <c r="I719" s="73"/>
      <c r="J719" s="73"/>
      <c r="K719" s="73"/>
      <c r="L719" s="73"/>
      <c r="M719" s="73"/>
      <c r="N719" s="73"/>
      <c r="O719" s="73"/>
      <c r="P719" s="73"/>
      <c r="Q719" s="73"/>
      <c r="R719" s="73"/>
      <c r="S719" s="73"/>
      <c r="T719" s="73"/>
      <c r="U719" s="73"/>
      <c r="V719" s="73"/>
      <c r="W719" s="73"/>
      <c r="GL719" s="73"/>
      <c r="GM719" s="73"/>
      <c r="GN719" s="73"/>
      <c r="GO719" s="73"/>
      <c r="GP719" s="73"/>
      <c r="GQ719" s="73"/>
      <c r="GR719" s="73"/>
      <c r="GS719" s="73"/>
      <c r="GT719" s="73"/>
      <c r="GU719" s="73"/>
      <c r="GV719" s="73"/>
      <c r="GW719" s="73"/>
      <c r="GX719" s="73"/>
      <c r="GY719" s="73"/>
      <c r="GZ719" s="73"/>
      <c r="HA719" s="73"/>
      <c r="HB719" s="73"/>
      <c r="HC719" s="73"/>
      <c r="HD719" s="73"/>
      <c r="HE719" s="73"/>
      <c r="HF719" s="73"/>
      <c r="HG719" s="73"/>
      <c r="HH719" s="73"/>
      <c r="HI719" s="73"/>
      <c r="HJ719" s="73"/>
      <c r="HK719" s="73"/>
      <c r="HL719" s="73"/>
      <c r="HM719" s="73"/>
      <c r="HN719" s="73"/>
      <c r="HO719" s="73"/>
      <c r="HP719" s="73"/>
      <c r="HQ719" s="73"/>
      <c r="HR719" s="73"/>
      <c r="HS719" s="73"/>
      <c r="HT719" s="73"/>
      <c r="HU719" s="73"/>
      <c r="HV719" s="73"/>
      <c r="HW719" s="73"/>
      <c r="HX719" s="73"/>
      <c r="HY719" s="73"/>
      <c r="HZ719" s="73"/>
      <c r="IA719" s="73"/>
      <c r="IB719" s="73"/>
      <c r="IC719" s="73"/>
      <c r="ID719" s="73"/>
      <c r="IE719" s="73"/>
      <c r="IF719" s="73"/>
      <c r="IG719" s="73"/>
      <c r="IH719" s="73"/>
      <c r="II719" s="73"/>
      <c r="IJ719" s="73"/>
      <c r="IK719" s="73"/>
      <c r="IL719" s="73"/>
      <c r="IM719" s="73"/>
      <c r="IN719" s="73"/>
      <c r="IO719" s="73"/>
      <c r="IP719" s="73"/>
      <c r="IQ719" s="73"/>
      <c r="IR719" s="73"/>
      <c r="IS719" s="73"/>
      <c r="IT719" s="73"/>
      <c r="IU719" s="73"/>
      <c r="IV719" s="73"/>
      <c r="IW719" s="73"/>
      <c r="IX719" s="73"/>
      <c r="IY719" s="73"/>
      <c r="IZ719" s="73"/>
      <c r="JA719" s="73"/>
      <c r="JB719" s="73"/>
      <c r="JC719" s="73"/>
    </row>
    <row r="720" spans="2:263" s="72" customFormat="1">
      <c r="B720" s="73"/>
      <c r="C720" s="73"/>
      <c r="D720" s="73"/>
      <c r="E720" s="73"/>
      <c r="F720" s="73"/>
      <c r="G720" s="73"/>
      <c r="H720" s="73"/>
      <c r="I720" s="73"/>
      <c r="J720" s="73"/>
      <c r="K720" s="73"/>
      <c r="L720" s="73"/>
      <c r="M720" s="73"/>
      <c r="N720" s="73"/>
      <c r="O720" s="73"/>
      <c r="P720" s="73"/>
      <c r="Q720" s="73"/>
      <c r="R720" s="73"/>
      <c r="S720" s="73"/>
      <c r="T720" s="73"/>
      <c r="U720" s="73"/>
      <c r="V720" s="73"/>
      <c r="W720" s="73"/>
      <c r="GL720" s="73"/>
      <c r="GM720" s="73"/>
      <c r="GN720" s="73"/>
      <c r="GO720" s="73"/>
      <c r="GP720" s="73"/>
      <c r="GQ720" s="73"/>
      <c r="GR720" s="73"/>
      <c r="GS720" s="73"/>
      <c r="GT720" s="73"/>
      <c r="GU720" s="73"/>
      <c r="GV720" s="73"/>
      <c r="GW720" s="73"/>
      <c r="GX720" s="73"/>
      <c r="GY720" s="73"/>
      <c r="GZ720" s="73"/>
      <c r="HA720" s="73"/>
      <c r="HB720" s="73"/>
      <c r="HC720" s="73"/>
      <c r="HD720" s="73"/>
      <c r="HE720" s="73"/>
      <c r="HF720" s="73"/>
      <c r="HG720" s="73"/>
      <c r="HH720" s="73"/>
      <c r="HI720" s="73"/>
      <c r="HJ720" s="73"/>
      <c r="HK720" s="73"/>
      <c r="HL720" s="73"/>
      <c r="HM720" s="73"/>
      <c r="HN720" s="73"/>
      <c r="HO720" s="73"/>
      <c r="HP720" s="73"/>
      <c r="HQ720" s="73"/>
      <c r="HR720" s="73"/>
      <c r="HS720" s="73"/>
      <c r="HT720" s="73"/>
      <c r="HU720" s="73"/>
      <c r="HV720" s="73"/>
      <c r="HW720" s="73"/>
      <c r="HX720" s="73"/>
      <c r="HY720" s="73"/>
      <c r="HZ720" s="73"/>
      <c r="IA720" s="73"/>
      <c r="IB720" s="73"/>
      <c r="IC720" s="73"/>
      <c r="ID720" s="73"/>
      <c r="IE720" s="73"/>
      <c r="IF720" s="73"/>
      <c r="IG720" s="73"/>
      <c r="IH720" s="73"/>
      <c r="II720" s="73"/>
      <c r="IJ720" s="73"/>
      <c r="IK720" s="73"/>
      <c r="IL720" s="73"/>
      <c r="IM720" s="73"/>
      <c r="IN720" s="73"/>
      <c r="IO720" s="73"/>
      <c r="IP720" s="73"/>
      <c r="IQ720" s="73"/>
      <c r="IR720" s="73"/>
      <c r="IS720" s="73"/>
      <c r="IT720" s="73"/>
      <c r="IU720" s="73"/>
      <c r="IV720" s="73"/>
      <c r="IW720" s="73"/>
      <c r="IX720" s="73"/>
      <c r="IY720" s="73"/>
      <c r="IZ720" s="73"/>
      <c r="JA720" s="73"/>
      <c r="JB720" s="73"/>
      <c r="JC720" s="73"/>
    </row>
    <row r="721" spans="2:263" s="72" customFormat="1">
      <c r="B721" s="73"/>
      <c r="C721" s="73"/>
      <c r="D721" s="73"/>
      <c r="E721" s="73"/>
      <c r="F721" s="73"/>
      <c r="G721" s="73"/>
      <c r="H721" s="73"/>
      <c r="I721" s="73"/>
      <c r="J721" s="73"/>
      <c r="K721" s="73"/>
      <c r="L721" s="73"/>
      <c r="M721" s="73"/>
      <c r="N721" s="73"/>
      <c r="O721" s="73"/>
      <c r="P721" s="73"/>
      <c r="Q721" s="73"/>
      <c r="R721" s="73"/>
      <c r="S721" s="73"/>
      <c r="T721" s="73"/>
      <c r="U721" s="73"/>
      <c r="V721" s="73"/>
      <c r="W721" s="73"/>
      <c r="GL721" s="73"/>
      <c r="GM721" s="73"/>
      <c r="GN721" s="73"/>
      <c r="GO721" s="73"/>
      <c r="GP721" s="73"/>
      <c r="GQ721" s="73"/>
      <c r="GR721" s="73"/>
      <c r="GS721" s="73"/>
      <c r="GT721" s="73"/>
      <c r="GU721" s="73"/>
      <c r="GV721" s="73"/>
      <c r="GW721" s="73"/>
      <c r="GX721" s="73"/>
      <c r="GY721" s="73"/>
      <c r="GZ721" s="73"/>
      <c r="HA721" s="73"/>
      <c r="HB721" s="73"/>
      <c r="HC721" s="73"/>
      <c r="HD721" s="73"/>
      <c r="HE721" s="73"/>
      <c r="HF721" s="73"/>
      <c r="HG721" s="73"/>
      <c r="HH721" s="73"/>
      <c r="HI721" s="73"/>
      <c r="HJ721" s="73"/>
      <c r="HK721" s="73"/>
      <c r="HL721" s="73"/>
      <c r="HM721" s="73"/>
      <c r="HN721" s="73"/>
      <c r="HO721" s="73"/>
      <c r="HP721" s="73"/>
      <c r="HQ721" s="73"/>
      <c r="HR721" s="73"/>
      <c r="HS721" s="73"/>
      <c r="HT721" s="73"/>
      <c r="HU721" s="73"/>
      <c r="HV721" s="73"/>
      <c r="HW721" s="73"/>
      <c r="HX721" s="73"/>
      <c r="HY721" s="73"/>
      <c r="HZ721" s="73"/>
      <c r="IA721" s="73"/>
      <c r="IB721" s="73"/>
      <c r="IC721" s="73"/>
      <c r="ID721" s="73"/>
      <c r="IE721" s="73"/>
      <c r="IF721" s="73"/>
      <c r="IG721" s="73"/>
      <c r="IH721" s="73"/>
      <c r="II721" s="73"/>
      <c r="IJ721" s="73"/>
      <c r="IK721" s="73"/>
      <c r="IL721" s="73"/>
      <c r="IM721" s="73"/>
      <c r="IN721" s="73"/>
      <c r="IO721" s="73"/>
      <c r="IP721" s="73"/>
      <c r="IQ721" s="73"/>
      <c r="IR721" s="73"/>
      <c r="IS721" s="73"/>
      <c r="IT721" s="73"/>
      <c r="IU721" s="73"/>
      <c r="IV721" s="73"/>
      <c r="IW721" s="73"/>
      <c r="IX721" s="73"/>
      <c r="IY721" s="73"/>
      <c r="IZ721" s="73"/>
      <c r="JA721" s="73"/>
      <c r="JB721" s="73"/>
      <c r="JC721" s="73"/>
    </row>
    <row r="722" spans="2:263" s="72" customFormat="1">
      <c r="B722" s="73"/>
      <c r="C722" s="73"/>
      <c r="D722" s="73"/>
      <c r="E722" s="73"/>
      <c r="F722" s="73"/>
      <c r="G722" s="73"/>
      <c r="H722" s="73"/>
      <c r="I722" s="73"/>
      <c r="J722" s="73"/>
      <c r="K722" s="73"/>
      <c r="L722" s="73"/>
      <c r="M722" s="73"/>
      <c r="N722" s="73"/>
      <c r="O722" s="73"/>
      <c r="P722" s="73"/>
      <c r="Q722" s="73"/>
      <c r="R722" s="73"/>
      <c r="S722" s="73"/>
      <c r="T722" s="73"/>
      <c r="U722" s="73"/>
      <c r="V722" s="73"/>
      <c r="W722" s="73"/>
      <c r="GL722" s="73"/>
      <c r="GM722" s="73"/>
      <c r="GN722" s="73"/>
      <c r="GO722" s="73"/>
      <c r="GP722" s="73"/>
      <c r="GQ722" s="73"/>
      <c r="GR722" s="73"/>
      <c r="GS722" s="73"/>
      <c r="GT722" s="73"/>
      <c r="GU722" s="73"/>
      <c r="GV722" s="73"/>
      <c r="GW722" s="73"/>
      <c r="GX722" s="73"/>
      <c r="GY722" s="73"/>
      <c r="GZ722" s="73"/>
      <c r="HA722" s="73"/>
      <c r="HB722" s="73"/>
      <c r="HC722" s="73"/>
      <c r="HD722" s="73"/>
      <c r="HE722" s="73"/>
      <c r="HF722" s="73"/>
      <c r="HG722" s="73"/>
      <c r="HH722" s="73"/>
      <c r="HI722" s="73"/>
      <c r="HJ722" s="73"/>
      <c r="HK722" s="73"/>
      <c r="HL722" s="73"/>
      <c r="HM722" s="73"/>
      <c r="HN722" s="73"/>
      <c r="HO722" s="73"/>
      <c r="HP722" s="73"/>
      <c r="HQ722" s="73"/>
      <c r="HR722" s="73"/>
      <c r="HS722" s="73"/>
      <c r="HT722" s="73"/>
      <c r="HU722" s="73"/>
      <c r="HV722" s="73"/>
      <c r="HW722" s="73"/>
      <c r="HX722" s="73"/>
      <c r="HY722" s="73"/>
      <c r="HZ722" s="73"/>
      <c r="IA722" s="73"/>
      <c r="IB722" s="73"/>
      <c r="IC722" s="73"/>
      <c r="ID722" s="73"/>
      <c r="IE722" s="73"/>
      <c r="IF722" s="73"/>
      <c r="IG722" s="73"/>
      <c r="IH722" s="73"/>
      <c r="II722" s="73"/>
      <c r="IJ722" s="73"/>
      <c r="IK722" s="73"/>
      <c r="IL722" s="73"/>
      <c r="IM722" s="73"/>
      <c r="IN722" s="73"/>
      <c r="IO722" s="73"/>
      <c r="IP722" s="73"/>
      <c r="IQ722" s="73"/>
      <c r="IR722" s="73"/>
      <c r="IS722" s="73"/>
      <c r="IT722" s="73"/>
      <c r="IU722" s="73"/>
      <c r="IV722" s="73"/>
      <c r="IW722" s="73"/>
      <c r="IX722" s="73"/>
      <c r="IY722" s="73"/>
      <c r="IZ722" s="73"/>
      <c r="JA722" s="73"/>
      <c r="JB722" s="73"/>
      <c r="JC722" s="73"/>
    </row>
    <row r="723" spans="2:263" s="72" customFormat="1">
      <c r="B723" s="73"/>
      <c r="C723" s="73"/>
      <c r="D723" s="73"/>
      <c r="E723" s="73"/>
      <c r="F723" s="73"/>
      <c r="G723" s="73"/>
      <c r="H723" s="73"/>
      <c r="I723" s="73"/>
      <c r="J723" s="73"/>
      <c r="K723" s="73"/>
      <c r="L723" s="73"/>
      <c r="M723" s="73"/>
      <c r="N723" s="73"/>
      <c r="O723" s="73"/>
      <c r="P723" s="73"/>
      <c r="Q723" s="73"/>
      <c r="R723" s="73"/>
      <c r="S723" s="73"/>
      <c r="T723" s="73"/>
      <c r="U723" s="73"/>
      <c r="V723" s="73"/>
      <c r="W723" s="73"/>
      <c r="GL723" s="73"/>
      <c r="GM723" s="73"/>
      <c r="GN723" s="73"/>
      <c r="GO723" s="73"/>
      <c r="GP723" s="73"/>
      <c r="GQ723" s="73"/>
      <c r="GR723" s="73"/>
      <c r="GS723" s="73"/>
      <c r="GT723" s="73"/>
      <c r="GU723" s="73"/>
      <c r="GV723" s="73"/>
      <c r="GW723" s="73"/>
      <c r="GX723" s="73"/>
      <c r="GY723" s="73"/>
      <c r="GZ723" s="73"/>
      <c r="HA723" s="73"/>
      <c r="HB723" s="73"/>
      <c r="HC723" s="73"/>
      <c r="HD723" s="73"/>
      <c r="HE723" s="73"/>
      <c r="HF723" s="73"/>
      <c r="HG723" s="73"/>
      <c r="HH723" s="73"/>
      <c r="HI723" s="73"/>
      <c r="HJ723" s="73"/>
      <c r="HK723" s="73"/>
      <c r="HL723" s="73"/>
      <c r="HM723" s="73"/>
      <c r="HN723" s="73"/>
      <c r="HO723" s="73"/>
      <c r="HP723" s="73"/>
      <c r="HQ723" s="73"/>
      <c r="HR723" s="73"/>
      <c r="HS723" s="73"/>
      <c r="HT723" s="73"/>
      <c r="HU723" s="73"/>
      <c r="HV723" s="73"/>
      <c r="HW723" s="73"/>
      <c r="HX723" s="73"/>
      <c r="HY723" s="73"/>
      <c r="HZ723" s="73"/>
      <c r="IA723" s="73"/>
      <c r="IB723" s="73"/>
      <c r="IC723" s="73"/>
      <c r="ID723" s="73"/>
      <c r="IE723" s="73"/>
      <c r="IF723" s="73"/>
      <c r="IG723" s="73"/>
      <c r="IH723" s="73"/>
      <c r="II723" s="73"/>
      <c r="IJ723" s="73"/>
      <c r="IK723" s="73"/>
      <c r="IL723" s="73"/>
      <c r="IM723" s="73"/>
      <c r="IN723" s="73"/>
      <c r="IO723" s="73"/>
      <c r="IP723" s="73"/>
      <c r="IQ723" s="73"/>
      <c r="IR723" s="73"/>
      <c r="IS723" s="73"/>
      <c r="IT723" s="73"/>
      <c r="IU723" s="73"/>
      <c r="IV723" s="73"/>
      <c r="IW723" s="73"/>
      <c r="IX723" s="73"/>
      <c r="IY723" s="73"/>
      <c r="IZ723" s="73"/>
      <c r="JA723" s="73"/>
      <c r="JB723" s="73"/>
      <c r="JC723" s="73"/>
    </row>
    <row r="724" spans="2:263" s="72" customFormat="1">
      <c r="B724" s="73"/>
      <c r="C724" s="73"/>
      <c r="D724" s="73"/>
      <c r="E724" s="73"/>
      <c r="F724" s="73"/>
      <c r="G724" s="73"/>
      <c r="H724" s="73"/>
      <c r="I724" s="73"/>
      <c r="J724" s="73"/>
      <c r="K724" s="73"/>
      <c r="L724" s="73"/>
      <c r="M724" s="73"/>
      <c r="N724" s="73"/>
      <c r="O724" s="73"/>
      <c r="P724" s="73"/>
      <c r="Q724" s="73"/>
      <c r="R724" s="73"/>
      <c r="S724" s="73"/>
      <c r="T724" s="73"/>
      <c r="U724" s="73"/>
      <c r="V724" s="73"/>
      <c r="W724" s="73"/>
      <c r="GL724" s="73"/>
      <c r="GM724" s="73"/>
      <c r="GN724" s="73"/>
      <c r="GO724" s="73"/>
      <c r="GP724" s="73"/>
      <c r="GQ724" s="73"/>
      <c r="GR724" s="73"/>
      <c r="GS724" s="73"/>
      <c r="GT724" s="73"/>
      <c r="GU724" s="73"/>
      <c r="GV724" s="73"/>
      <c r="GW724" s="73"/>
      <c r="GX724" s="73"/>
      <c r="GY724" s="73"/>
      <c r="GZ724" s="73"/>
      <c r="HA724" s="73"/>
      <c r="HB724" s="73"/>
      <c r="HC724" s="73"/>
      <c r="HD724" s="73"/>
      <c r="HE724" s="73"/>
      <c r="HF724" s="73"/>
      <c r="HG724" s="73"/>
      <c r="HH724" s="73"/>
      <c r="HI724" s="73"/>
      <c r="HJ724" s="73"/>
      <c r="HK724" s="73"/>
      <c r="HL724" s="73"/>
      <c r="HM724" s="73"/>
      <c r="HN724" s="73"/>
      <c r="HO724" s="73"/>
      <c r="HP724" s="73"/>
      <c r="HQ724" s="73"/>
      <c r="HR724" s="73"/>
      <c r="HS724" s="73"/>
      <c r="HT724" s="73"/>
      <c r="HU724" s="73"/>
      <c r="HV724" s="73"/>
      <c r="HW724" s="73"/>
      <c r="HX724" s="73"/>
      <c r="HY724" s="73"/>
      <c r="HZ724" s="73"/>
      <c r="IA724" s="73"/>
      <c r="IB724" s="73"/>
      <c r="IC724" s="73"/>
      <c r="ID724" s="73"/>
      <c r="IE724" s="73"/>
      <c r="IF724" s="73"/>
      <c r="IG724" s="73"/>
      <c r="IH724" s="73"/>
      <c r="II724" s="73"/>
      <c r="IJ724" s="73"/>
      <c r="IK724" s="73"/>
      <c r="IL724" s="73"/>
      <c r="IM724" s="73"/>
      <c r="IN724" s="73"/>
      <c r="IO724" s="73"/>
      <c r="IP724" s="73"/>
      <c r="IQ724" s="73"/>
      <c r="IR724" s="73"/>
      <c r="IS724" s="73"/>
      <c r="IT724" s="73"/>
      <c r="IU724" s="73"/>
      <c r="IV724" s="73"/>
      <c r="IW724" s="73"/>
      <c r="IX724" s="73"/>
      <c r="IY724" s="73"/>
      <c r="IZ724" s="73"/>
      <c r="JA724" s="73"/>
      <c r="JB724" s="73"/>
      <c r="JC724" s="73"/>
    </row>
    <row r="725" spans="2:263" s="72" customFormat="1">
      <c r="B725" s="73"/>
      <c r="C725" s="73"/>
      <c r="D725" s="73"/>
      <c r="E725" s="73"/>
      <c r="F725" s="73"/>
      <c r="G725" s="73"/>
      <c r="H725" s="73"/>
      <c r="I725" s="73"/>
      <c r="J725" s="73"/>
      <c r="K725" s="73"/>
      <c r="L725" s="73"/>
      <c r="M725" s="73"/>
      <c r="N725" s="73"/>
      <c r="O725" s="73"/>
      <c r="P725" s="73"/>
      <c r="Q725" s="73"/>
      <c r="R725" s="73"/>
      <c r="S725" s="73"/>
      <c r="T725" s="73"/>
      <c r="U725" s="73"/>
      <c r="V725" s="73"/>
      <c r="W725" s="73"/>
      <c r="GL725" s="73"/>
      <c r="GM725" s="73"/>
      <c r="GN725" s="73"/>
      <c r="GO725" s="73"/>
      <c r="GP725" s="73"/>
      <c r="GQ725" s="73"/>
      <c r="GR725" s="73"/>
      <c r="GS725" s="73"/>
      <c r="GT725" s="73"/>
      <c r="GU725" s="73"/>
      <c r="GV725" s="73"/>
      <c r="GW725" s="73"/>
      <c r="GX725" s="73"/>
      <c r="GY725" s="73"/>
      <c r="GZ725" s="73"/>
      <c r="HA725" s="73"/>
      <c r="HB725" s="73"/>
      <c r="HC725" s="73"/>
      <c r="HD725" s="73"/>
      <c r="HE725" s="73"/>
      <c r="HF725" s="73"/>
      <c r="HG725" s="73"/>
      <c r="HH725" s="73"/>
      <c r="HI725" s="73"/>
      <c r="HJ725" s="73"/>
      <c r="HK725" s="73"/>
      <c r="HL725" s="73"/>
      <c r="HM725" s="73"/>
      <c r="HN725" s="73"/>
      <c r="HO725" s="73"/>
      <c r="HP725" s="73"/>
      <c r="HQ725" s="73"/>
      <c r="HR725" s="73"/>
      <c r="HS725" s="73"/>
      <c r="HT725" s="73"/>
      <c r="HU725" s="73"/>
      <c r="HV725" s="73"/>
      <c r="HW725" s="73"/>
      <c r="HX725" s="73"/>
      <c r="HY725" s="73"/>
      <c r="HZ725" s="73"/>
      <c r="IA725" s="73"/>
      <c r="IB725" s="73"/>
      <c r="IC725" s="73"/>
      <c r="ID725" s="73"/>
      <c r="IE725" s="73"/>
      <c r="IF725" s="73"/>
      <c r="IG725" s="73"/>
      <c r="IH725" s="73"/>
      <c r="II725" s="73"/>
      <c r="IJ725" s="73"/>
      <c r="IK725" s="73"/>
      <c r="IL725" s="73"/>
      <c r="IM725" s="73"/>
      <c r="IN725" s="73"/>
      <c r="IO725" s="73"/>
      <c r="IP725" s="73"/>
      <c r="IQ725" s="73"/>
      <c r="IR725" s="73"/>
      <c r="IS725" s="73"/>
      <c r="IT725" s="73"/>
      <c r="IU725" s="73"/>
      <c r="IV725" s="73"/>
      <c r="IW725" s="73"/>
      <c r="IX725" s="73"/>
      <c r="IY725" s="73"/>
      <c r="IZ725" s="73"/>
      <c r="JA725" s="73"/>
      <c r="JB725" s="73"/>
      <c r="JC725" s="73"/>
    </row>
    <row r="726" spans="2:263" s="72" customFormat="1">
      <c r="B726" s="73"/>
      <c r="C726" s="73"/>
      <c r="D726" s="73"/>
      <c r="E726" s="73"/>
      <c r="F726" s="73"/>
      <c r="G726" s="73"/>
      <c r="H726" s="73"/>
      <c r="I726" s="73"/>
      <c r="J726" s="73"/>
      <c r="K726" s="73"/>
      <c r="L726" s="73"/>
      <c r="M726" s="73"/>
      <c r="N726" s="73"/>
      <c r="O726" s="73"/>
      <c r="P726" s="73"/>
      <c r="Q726" s="73"/>
      <c r="R726" s="73"/>
      <c r="S726" s="73"/>
      <c r="T726" s="73"/>
      <c r="U726" s="73"/>
      <c r="V726" s="73"/>
      <c r="W726" s="73"/>
      <c r="GL726" s="73"/>
      <c r="GM726" s="73"/>
      <c r="GN726" s="73"/>
      <c r="GO726" s="73"/>
      <c r="GP726" s="73"/>
      <c r="GQ726" s="73"/>
      <c r="GR726" s="73"/>
      <c r="GS726" s="73"/>
      <c r="GT726" s="73"/>
      <c r="GU726" s="73"/>
      <c r="GV726" s="73"/>
      <c r="GW726" s="73"/>
      <c r="GX726" s="73"/>
      <c r="GY726" s="73"/>
      <c r="GZ726" s="73"/>
      <c r="HA726" s="73"/>
      <c r="HB726" s="73"/>
      <c r="HC726" s="73"/>
      <c r="HD726" s="73"/>
      <c r="HE726" s="73"/>
      <c r="HF726" s="73"/>
      <c r="HG726" s="73"/>
      <c r="HH726" s="73"/>
      <c r="HI726" s="73"/>
      <c r="HJ726" s="73"/>
      <c r="HK726" s="73"/>
      <c r="HL726" s="73"/>
      <c r="HM726" s="73"/>
      <c r="HN726" s="73"/>
      <c r="HO726" s="73"/>
      <c r="HP726" s="73"/>
      <c r="HQ726" s="73"/>
      <c r="HR726" s="73"/>
      <c r="HS726" s="73"/>
      <c r="HT726" s="73"/>
      <c r="HU726" s="73"/>
      <c r="HV726" s="73"/>
      <c r="HW726" s="73"/>
      <c r="HX726" s="73"/>
      <c r="HY726" s="73"/>
      <c r="HZ726" s="73"/>
      <c r="IA726" s="73"/>
      <c r="IB726" s="73"/>
      <c r="IC726" s="73"/>
      <c r="ID726" s="73"/>
      <c r="IE726" s="73"/>
      <c r="IF726" s="73"/>
      <c r="IG726" s="73"/>
      <c r="IH726" s="73"/>
      <c r="II726" s="73"/>
      <c r="IJ726" s="73"/>
      <c r="IK726" s="73"/>
      <c r="IL726" s="73"/>
      <c r="IM726" s="73"/>
      <c r="IN726" s="73"/>
      <c r="IO726" s="73"/>
      <c r="IP726" s="73"/>
      <c r="IQ726" s="73"/>
      <c r="IR726" s="73"/>
      <c r="IS726" s="73"/>
      <c r="IT726" s="73"/>
      <c r="IU726" s="73"/>
      <c r="IV726" s="73"/>
      <c r="IW726" s="73"/>
      <c r="IX726" s="73"/>
      <c r="IY726" s="73"/>
      <c r="IZ726" s="73"/>
      <c r="JA726" s="73"/>
      <c r="JB726" s="73"/>
      <c r="JC726" s="73"/>
    </row>
    <row r="727" spans="2:263" s="72" customFormat="1">
      <c r="B727" s="73"/>
      <c r="C727" s="73"/>
      <c r="D727" s="73"/>
      <c r="E727" s="73"/>
      <c r="F727" s="73"/>
      <c r="G727" s="73"/>
      <c r="H727" s="73"/>
      <c r="I727" s="73"/>
      <c r="J727" s="73"/>
      <c r="K727" s="73"/>
      <c r="L727" s="73"/>
      <c r="M727" s="73"/>
      <c r="N727" s="73"/>
      <c r="O727" s="73"/>
      <c r="P727" s="73"/>
      <c r="Q727" s="73"/>
      <c r="R727" s="73"/>
      <c r="S727" s="73"/>
      <c r="T727" s="73"/>
      <c r="U727" s="73"/>
      <c r="V727" s="73"/>
      <c r="W727" s="73"/>
      <c r="GL727" s="73"/>
      <c r="GM727" s="73"/>
      <c r="GN727" s="73"/>
      <c r="GO727" s="73"/>
      <c r="GP727" s="73"/>
      <c r="GQ727" s="73"/>
      <c r="GR727" s="73"/>
      <c r="GS727" s="73"/>
      <c r="GT727" s="73"/>
      <c r="GU727" s="73"/>
      <c r="GV727" s="73"/>
      <c r="GW727" s="73"/>
      <c r="GX727" s="73"/>
      <c r="GY727" s="73"/>
      <c r="GZ727" s="73"/>
      <c r="HA727" s="73"/>
      <c r="HB727" s="73"/>
      <c r="HC727" s="73"/>
      <c r="HD727" s="73"/>
      <c r="HE727" s="73"/>
      <c r="HF727" s="73"/>
      <c r="HG727" s="73"/>
      <c r="HH727" s="73"/>
      <c r="HI727" s="73"/>
      <c r="HJ727" s="73"/>
      <c r="HK727" s="73"/>
      <c r="HL727" s="73"/>
      <c r="HM727" s="73"/>
      <c r="HN727" s="73"/>
      <c r="HO727" s="73"/>
      <c r="HP727" s="73"/>
      <c r="HQ727" s="73"/>
      <c r="HR727" s="73"/>
      <c r="HS727" s="73"/>
      <c r="HT727" s="73"/>
      <c r="HU727" s="73"/>
      <c r="HV727" s="73"/>
      <c r="HW727" s="73"/>
      <c r="HX727" s="73"/>
      <c r="HY727" s="73"/>
      <c r="HZ727" s="73"/>
      <c r="IA727" s="73"/>
      <c r="IB727" s="73"/>
      <c r="IC727" s="73"/>
      <c r="ID727" s="73"/>
      <c r="IE727" s="73"/>
      <c r="IF727" s="73"/>
      <c r="IG727" s="73"/>
      <c r="IH727" s="73"/>
      <c r="II727" s="73"/>
      <c r="IJ727" s="73"/>
      <c r="IK727" s="73"/>
      <c r="IL727" s="73"/>
      <c r="IM727" s="73"/>
      <c r="IN727" s="73"/>
      <c r="IO727" s="73"/>
      <c r="IP727" s="73"/>
      <c r="IQ727" s="73"/>
      <c r="IR727" s="73"/>
      <c r="IS727" s="73"/>
      <c r="IT727" s="73"/>
      <c r="IU727" s="73"/>
      <c r="IV727" s="73"/>
      <c r="IW727" s="73"/>
      <c r="IX727" s="73"/>
      <c r="IY727" s="73"/>
      <c r="IZ727" s="73"/>
      <c r="JA727" s="73"/>
      <c r="JB727" s="73"/>
      <c r="JC727" s="73"/>
    </row>
    <row r="728" spans="2:263" s="72" customFormat="1">
      <c r="B728" s="73"/>
      <c r="C728" s="73"/>
      <c r="D728" s="73"/>
      <c r="E728" s="73"/>
      <c r="F728" s="73"/>
      <c r="G728" s="73"/>
      <c r="H728" s="73"/>
      <c r="I728" s="73"/>
      <c r="J728" s="73"/>
      <c r="K728" s="73"/>
      <c r="L728" s="73"/>
      <c r="M728" s="73"/>
      <c r="N728" s="73"/>
      <c r="O728" s="73"/>
      <c r="P728" s="73"/>
      <c r="Q728" s="73"/>
      <c r="R728" s="73"/>
      <c r="S728" s="73"/>
      <c r="T728" s="73"/>
      <c r="U728" s="73"/>
      <c r="V728" s="73"/>
      <c r="W728" s="73"/>
      <c r="GL728" s="73"/>
      <c r="GM728" s="73"/>
      <c r="GN728" s="73"/>
      <c r="GO728" s="73"/>
      <c r="GP728" s="73"/>
      <c r="GQ728" s="73"/>
      <c r="GR728" s="73"/>
      <c r="GS728" s="73"/>
      <c r="GT728" s="73"/>
      <c r="GU728" s="73"/>
      <c r="GV728" s="73"/>
      <c r="GW728" s="73"/>
      <c r="GX728" s="73"/>
      <c r="GY728" s="73"/>
      <c r="GZ728" s="73"/>
      <c r="HA728" s="73"/>
      <c r="HB728" s="73"/>
      <c r="HC728" s="73"/>
      <c r="HD728" s="73"/>
      <c r="HE728" s="73"/>
      <c r="HF728" s="73"/>
      <c r="HG728" s="73"/>
      <c r="HH728" s="73"/>
      <c r="HI728" s="73"/>
      <c r="HJ728" s="73"/>
      <c r="HK728" s="73"/>
      <c r="HL728" s="73"/>
      <c r="HM728" s="73"/>
      <c r="HN728" s="73"/>
      <c r="HO728" s="73"/>
      <c r="HP728" s="73"/>
      <c r="HQ728" s="73"/>
      <c r="HR728" s="73"/>
      <c r="HS728" s="73"/>
      <c r="HT728" s="73"/>
      <c r="HU728" s="73"/>
      <c r="HV728" s="73"/>
      <c r="HW728" s="73"/>
      <c r="HX728" s="73"/>
      <c r="HY728" s="73"/>
      <c r="HZ728" s="73"/>
      <c r="IA728" s="73"/>
      <c r="IB728" s="73"/>
      <c r="IC728" s="73"/>
      <c r="ID728" s="73"/>
      <c r="IE728" s="73"/>
      <c r="IF728" s="73"/>
      <c r="IG728" s="73"/>
      <c r="IH728" s="73"/>
      <c r="II728" s="73"/>
      <c r="IJ728" s="73"/>
      <c r="IK728" s="73"/>
      <c r="IL728" s="73"/>
      <c r="IM728" s="73"/>
      <c r="IN728" s="73"/>
      <c r="IO728" s="73"/>
      <c r="IP728" s="73"/>
      <c r="IQ728" s="73"/>
      <c r="IR728" s="73"/>
      <c r="IS728" s="73"/>
      <c r="IT728" s="73"/>
      <c r="IU728" s="73"/>
      <c r="IV728" s="73"/>
      <c r="IW728" s="73"/>
      <c r="IX728" s="73"/>
      <c r="IY728" s="73"/>
      <c r="IZ728" s="73"/>
      <c r="JA728" s="73"/>
      <c r="JB728" s="73"/>
      <c r="JC728" s="73"/>
    </row>
    <row r="729" spans="2:263" s="72" customFormat="1">
      <c r="B729" s="73"/>
      <c r="C729" s="73"/>
      <c r="D729" s="73"/>
      <c r="E729" s="73"/>
      <c r="F729" s="73"/>
      <c r="G729" s="73"/>
      <c r="H729" s="73"/>
      <c r="I729" s="73"/>
      <c r="J729" s="73"/>
      <c r="K729" s="73"/>
      <c r="L729" s="73"/>
      <c r="M729" s="73"/>
      <c r="N729" s="73"/>
      <c r="O729" s="73"/>
      <c r="P729" s="73"/>
      <c r="Q729" s="73"/>
      <c r="R729" s="73"/>
      <c r="S729" s="73"/>
      <c r="T729" s="73"/>
      <c r="U729" s="73"/>
      <c r="V729" s="73"/>
      <c r="W729" s="73"/>
      <c r="GL729" s="73"/>
      <c r="GM729" s="73"/>
      <c r="GN729" s="73"/>
      <c r="GO729" s="73"/>
      <c r="GP729" s="73"/>
      <c r="GQ729" s="73"/>
      <c r="GR729" s="73"/>
      <c r="GS729" s="73"/>
      <c r="GT729" s="73"/>
      <c r="GU729" s="73"/>
      <c r="GV729" s="73"/>
      <c r="GW729" s="73"/>
      <c r="GX729" s="73"/>
      <c r="GY729" s="73"/>
      <c r="GZ729" s="73"/>
      <c r="HA729" s="73"/>
      <c r="HB729" s="73"/>
      <c r="HC729" s="73"/>
      <c r="HD729" s="73"/>
      <c r="HE729" s="73"/>
      <c r="HF729" s="73"/>
      <c r="HG729" s="73"/>
      <c r="HH729" s="73"/>
      <c r="HI729" s="73"/>
      <c r="HJ729" s="73"/>
      <c r="HK729" s="73"/>
      <c r="HL729" s="73"/>
      <c r="HM729" s="73"/>
      <c r="HN729" s="73"/>
      <c r="HO729" s="73"/>
      <c r="HP729" s="73"/>
      <c r="HQ729" s="73"/>
      <c r="HR729" s="73"/>
      <c r="HS729" s="73"/>
      <c r="HT729" s="73"/>
      <c r="HU729" s="73"/>
      <c r="HV729" s="73"/>
      <c r="HW729" s="73"/>
      <c r="HX729" s="73"/>
      <c r="HY729" s="73"/>
      <c r="HZ729" s="73"/>
      <c r="IA729" s="73"/>
      <c r="IB729" s="73"/>
      <c r="IC729" s="73"/>
      <c r="ID729" s="73"/>
      <c r="IE729" s="73"/>
      <c r="IF729" s="73"/>
      <c r="IG729" s="73"/>
      <c r="IH729" s="73"/>
      <c r="II729" s="73"/>
      <c r="IJ729" s="73"/>
      <c r="IK729" s="73"/>
      <c r="IL729" s="73"/>
      <c r="IM729" s="73"/>
      <c r="IN729" s="73"/>
      <c r="IO729" s="73"/>
      <c r="IP729" s="73"/>
      <c r="IQ729" s="73"/>
      <c r="IR729" s="73"/>
      <c r="IS729" s="73"/>
      <c r="IT729" s="73"/>
      <c r="IU729" s="73"/>
      <c r="IV729" s="73"/>
      <c r="IW729" s="73"/>
      <c r="IX729" s="73"/>
      <c r="IY729" s="73"/>
      <c r="IZ729" s="73"/>
      <c r="JA729" s="73"/>
      <c r="JB729" s="73"/>
      <c r="JC729" s="73"/>
    </row>
    <row r="730" spans="2:263" s="72" customFormat="1">
      <c r="B730" s="73"/>
      <c r="C730" s="73"/>
      <c r="D730" s="73"/>
      <c r="E730" s="73"/>
      <c r="F730" s="73"/>
      <c r="G730" s="73"/>
      <c r="H730" s="73"/>
      <c r="I730" s="73"/>
      <c r="J730" s="73"/>
      <c r="K730" s="73"/>
      <c r="L730" s="73"/>
      <c r="M730" s="73"/>
      <c r="N730" s="73"/>
      <c r="O730" s="73"/>
      <c r="P730" s="73"/>
      <c r="Q730" s="73"/>
      <c r="R730" s="73"/>
      <c r="S730" s="73"/>
      <c r="T730" s="73"/>
      <c r="U730" s="73"/>
      <c r="V730" s="73"/>
      <c r="W730" s="73"/>
      <c r="GL730" s="73"/>
      <c r="GM730" s="73"/>
      <c r="GN730" s="73"/>
      <c r="GO730" s="73"/>
      <c r="GP730" s="73"/>
      <c r="GQ730" s="73"/>
      <c r="GR730" s="73"/>
      <c r="GS730" s="73"/>
      <c r="GT730" s="73"/>
      <c r="GU730" s="73"/>
      <c r="GV730" s="73"/>
      <c r="GW730" s="73"/>
      <c r="GX730" s="73"/>
      <c r="GY730" s="73"/>
      <c r="GZ730" s="73"/>
      <c r="HA730" s="73"/>
      <c r="HB730" s="73"/>
      <c r="HC730" s="73"/>
      <c r="HD730" s="73"/>
      <c r="HE730" s="73"/>
      <c r="HF730" s="73"/>
      <c r="HG730" s="73"/>
      <c r="HH730" s="73"/>
      <c r="HI730" s="73"/>
      <c r="HJ730" s="73"/>
      <c r="HK730" s="73"/>
      <c r="HL730" s="73"/>
      <c r="HM730" s="73"/>
      <c r="HN730" s="73"/>
      <c r="HO730" s="73"/>
      <c r="HP730" s="73"/>
      <c r="HQ730" s="73"/>
      <c r="HR730" s="73"/>
      <c r="HS730" s="73"/>
      <c r="HT730" s="73"/>
      <c r="HU730" s="73"/>
      <c r="HV730" s="73"/>
      <c r="HW730" s="73"/>
      <c r="HX730" s="73"/>
      <c r="HY730" s="73"/>
      <c r="HZ730" s="73"/>
      <c r="IA730" s="73"/>
      <c r="IB730" s="73"/>
      <c r="IC730" s="73"/>
      <c r="ID730" s="73"/>
      <c r="IE730" s="73"/>
      <c r="IF730" s="73"/>
      <c r="IG730" s="73"/>
      <c r="IH730" s="73"/>
      <c r="II730" s="73"/>
      <c r="IJ730" s="73"/>
      <c r="IK730" s="73"/>
      <c r="IL730" s="73"/>
      <c r="IM730" s="73"/>
      <c r="IN730" s="73"/>
      <c r="IO730" s="73"/>
      <c r="IP730" s="73"/>
      <c r="IQ730" s="73"/>
      <c r="IR730" s="73"/>
      <c r="IS730" s="73"/>
      <c r="IT730" s="73"/>
      <c r="IU730" s="73"/>
      <c r="IV730" s="73"/>
      <c r="IW730" s="73"/>
      <c r="IX730" s="73"/>
      <c r="IY730" s="73"/>
      <c r="IZ730" s="73"/>
      <c r="JA730" s="73"/>
      <c r="JB730" s="73"/>
      <c r="JC730" s="73"/>
    </row>
    <row r="731" spans="2:263" s="72" customFormat="1">
      <c r="B731" s="73"/>
      <c r="C731" s="73"/>
      <c r="D731" s="73"/>
      <c r="E731" s="73"/>
      <c r="F731" s="73"/>
      <c r="G731" s="73"/>
      <c r="H731" s="73"/>
      <c r="I731" s="73"/>
      <c r="J731" s="73"/>
      <c r="K731" s="73"/>
      <c r="L731" s="73"/>
      <c r="M731" s="73"/>
      <c r="N731" s="73"/>
      <c r="O731" s="73"/>
      <c r="P731" s="73"/>
      <c r="Q731" s="73"/>
      <c r="R731" s="73"/>
      <c r="S731" s="73"/>
      <c r="T731" s="73"/>
      <c r="U731" s="73"/>
      <c r="V731" s="73"/>
      <c r="W731" s="73"/>
      <c r="GL731" s="73"/>
      <c r="GM731" s="73"/>
      <c r="GN731" s="73"/>
      <c r="GO731" s="73"/>
      <c r="GP731" s="73"/>
      <c r="GQ731" s="73"/>
      <c r="GR731" s="73"/>
      <c r="GS731" s="73"/>
      <c r="GT731" s="73"/>
      <c r="GU731" s="73"/>
      <c r="GV731" s="73"/>
      <c r="GW731" s="73"/>
      <c r="GX731" s="73"/>
      <c r="GY731" s="73"/>
      <c r="GZ731" s="73"/>
      <c r="HA731" s="73"/>
      <c r="HB731" s="73"/>
      <c r="HC731" s="73"/>
      <c r="HD731" s="73"/>
      <c r="HE731" s="73"/>
      <c r="HF731" s="73"/>
      <c r="HG731" s="73"/>
      <c r="HH731" s="73"/>
      <c r="HI731" s="73"/>
      <c r="HJ731" s="73"/>
      <c r="HK731" s="73"/>
      <c r="HL731" s="73"/>
      <c r="HM731" s="73"/>
      <c r="HN731" s="73"/>
      <c r="HO731" s="73"/>
      <c r="HP731" s="73"/>
      <c r="HQ731" s="73"/>
      <c r="HR731" s="73"/>
      <c r="HS731" s="73"/>
      <c r="HT731" s="73"/>
      <c r="HU731" s="73"/>
      <c r="HV731" s="73"/>
      <c r="HW731" s="73"/>
      <c r="HX731" s="73"/>
      <c r="HY731" s="73"/>
      <c r="HZ731" s="73"/>
      <c r="IA731" s="73"/>
      <c r="IB731" s="73"/>
      <c r="IC731" s="73"/>
      <c r="ID731" s="73"/>
      <c r="IE731" s="73"/>
      <c r="IF731" s="73"/>
      <c r="IG731" s="73"/>
      <c r="IH731" s="73"/>
      <c r="II731" s="73"/>
      <c r="IJ731" s="73"/>
      <c r="IK731" s="73"/>
      <c r="IL731" s="73"/>
      <c r="IM731" s="73"/>
      <c r="IN731" s="73"/>
      <c r="IO731" s="73"/>
      <c r="IP731" s="73"/>
      <c r="IQ731" s="73"/>
      <c r="IR731" s="73"/>
      <c r="IS731" s="73"/>
      <c r="IT731" s="73"/>
      <c r="IU731" s="73"/>
      <c r="IV731" s="73"/>
      <c r="IW731" s="73"/>
      <c r="IX731" s="73"/>
      <c r="IY731" s="73"/>
      <c r="IZ731" s="73"/>
      <c r="JA731" s="73"/>
      <c r="JB731" s="73"/>
      <c r="JC731" s="73"/>
    </row>
    <row r="732" spans="2:263" s="72" customFormat="1">
      <c r="B732" s="73"/>
      <c r="C732" s="73"/>
      <c r="D732" s="73"/>
      <c r="E732" s="73"/>
      <c r="F732" s="73"/>
      <c r="G732" s="73"/>
      <c r="H732" s="73"/>
      <c r="I732" s="73"/>
      <c r="J732" s="73"/>
      <c r="K732" s="73"/>
      <c r="L732" s="73"/>
      <c r="M732" s="73"/>
      <c r="N732" s="73"/>
      <c r="O732" s="73"/>
      <c r="P732" s="73"/>
      <c r="Q732" s="73"/>
      <c r="R732" s="73"/>
      <c r="S732" s="73"/>
      <c r="T732" s="73"/>
      <c r="U732" s="73"/>
      <c r="V732" s="73"/>
      <c r="W732" s="73"/>
      <c r="GL732" s="73"/>
      <c r="GM732" s="73"/>
      <c r="GN732" s="73"/>
      <c r="GO732" s="73"/>
      <c r="GP732" s="73"/>
      <c r="GQ732" s="73"/>
      <c r="GR732" s="73"/>
      <c r="GS732" s="73"/>
      <c r="GT732" s="73"/>
      <c r="GU732" s="73"/>
      <c r="GV732" s="73"/>
      <c r="GW732" s="73"/>
      <c r="GX732" s="73"/>
      <c r="GY732" s="73"/>
      <c r="GZ732" s="73"/>
      <c r="HA732" s="73"/>
      <c r="HB732" s="73"/>
      <c r="HC732" s="73"/>
      <c r="HD732" s="73"/>
      <c r="HE732" s="73"/>
      <c r="HF732" s="73"/>
      <c r="HG732" s="73"/>
      <c r="HH732" s="73"/>
      <c r="HI732" s="73"/>
      <c r="HJ732" s="73"/>
      <c r="HK732" s="73"/>
      <c r="HL732" s="73"/>
      <c r="HM732" s="73"/>
      <c r="HN732" s="73"/>
      <c r="HO732" s="73"/>
      <c r="HP732" s="73"/>
      <c r="HQ732" s="73"/>
      <c r="HR732" s="73"/>
      <c r="HS732" s="73"/>
      <c r="HT732" s="73"/>
      <c r="HU732" s="73"/>
      <c r="HV732" s="73"/>
      <c r="HW732" s="73"/>
      <c r="HX732" s="73"/>
      <c r="HY732" s="73"/>
      <c r="HZ732" s="73"/>
      <c r="IA732" s="73"/>
      <c r="IB732" s="73"/>
      <c r="IC732" s="73"/>
      <c r="ID732" s="73"/>
      <c r="IE732" s="73"/>
      <c r="IF732" s="73"/>
      <c r="IG732" s="73"/>
      <c r="IH732" s="73"/>
      <c r="II732" s="73"/>
      <c r="IJ732" s="73"/>
      <c r="IK732" s="73"/>
      <c r="IL732" s="73"/>
      <c r="IM732" s="73"/>
      <c r="IN732" s="73"/>
      <c r="IO732" s="73"/>
      <c r="IP732" s="73"/>
      <c r="IQ732" s="73"/>
      <c r="IR732" s="73"/>
      <c r="IS732" s="73"/>
      <c r="IT732" s="73"/>
      <c r="IU732" s="73"/>
      <c r="IV732" s="73"/>
      <c r="IW732" s="73"/>
      <c r="IX732" s="73"/>
      <c r="IY732" s="73"/>
      <c r="IZ732" s="73"/>
      <c r="JA732" s="73"/>
      <c r="JB732" s="73"/>
      <c r="JC732" s="73"/>
    </row>
    <row r="733" spans="2:263" s="72" customFormat="1">
      <c r="B733" s="73"/>
      <c r="C733" s="73"/>
      <c r="D733" s="73"/>
      <c r="E733" s="73"/>
      <c r="F733" s="73"/>
      <c r="G733" s="73"/>
      <c r="H733" s="73"/>
      <c r="I733" s="73"/>
      <c r="J733" s="73"/>
      <c r="K733" s="73"/>
      <c r="L733" s="73"/>
      <c r="M733" s="73"/>
      <c r="N733" s="73"/>
      <c r="O733" s="73"/>
      <c r="P733" s="73"/>
      <c r="Q733" s="73"/>
      <c r="R733" s="73"/>
      <c r="S733" s="73"/>
      <c r="T733" s="73"/>
      <c r="U733" s="73"/>
      <c r="V733" s="73"/>
      <c r="W733" s="73"/>
      <c r="GL733" s="73"/>
      <c r="GM733" s="73"/>
      <c r="GN733" s="73"/>
      <c r="GO733" s="73"/>
      <c r="GP733" s="73"/>
      <c r="GQ733" s="73"/>
      <c r="GR733" s="73"/>
      <c r="GS733" s="73"/>
      <c r="GT733" s="73"/>
      <c r="GU733" s="73"/>
      <c r="GV733" s="73"/>
      <c r="GW733" s="73"/>
      <c r="GX733" s="73"/>
      <c r="GY733" s="73"/>
      <c r="GZ733" s="73"/>
      <c r="HA733" s="73"/>
      <c r="HB733" s="73"/>
      <c r="HC733" s="73"/>
      <c r="HD733" s="73"/>
      <c r="HE733" s="73"/>
      <c r="HF733" s="73"/>
      <c r="HG733" s="73"/>
      <c r="HH733" s="73"/>
      <c r="HI733" s="73"/>
      <c r="HJ733" s="73"/>
      <c r="HK733" s="73"/>
      <c r="HL733" s="73"/>
      <c r="HM733" s="73"/>
      <c r="HN733" s="73"/>
      <c r="HO733" s="73"/>
      <c r="HP733" s="73"/>
      <c r="HQ733" s="73"/>
      <c r="HR733" s="73"/>
      <c r="HS733" s="73"/>
      <c r="HT733" s="73"/>
      <c r="HU733" s="73"/>
      <c r="HV733" s="73"/>
      <c r="HW733" s="73"/>
      <c r="HX733" s="73"/>
      <c r="HY733" s="73"/>
      <c r="HZ733" s="73"/>
      <c r="IA733" s="73"/>
      <c r="IB733" s="73"/>
      <c r="IC733" s="73"/>
      <c r="ID733" s="73"/>
      <c r="IE733" s="73"/>
      <c r="IF733" s="73"/>
      <c r="IG733" s="73"/>
      <c r="IH733" s="73"/>
      <c r="II733" s="73"/>
      <c r="IJ733" s="73"/>
      <c r="IK733" s="73"/>
      <c r="IL733" s="73"/>
      <c r="IM733" s="73"/>
      <c r="IN733" s="73"/>
      <c r="IO733" s="73"/>
      <c r="IP733" s="73"/>
      <c r="IQ733" s="73"/>
      <c r="IR733" s="73"/>
      <c r="IS733" s="73"/>
      <c r="IT733" s="73"/>
      <c r="IU733" s="73"/>
      <c r="IV733" s="73"/>
      <c r="IW733" s="73"/>
      <c r="IX733" s="73"/>
      <c r="IY733" s="73"/>
      <c r="IZ733" s="73"/>
      <c r="JA733" s="73"/>
      <c r="JB733" s="73"/>
      <c r="JC733" s="73"/>
    </row>
    <row r="734" spans="2:263" s="72" customFormat="1">
      <c r="B734" s="73"/>
      <c r="C734" s="73"/>
      <c r="D734" s="73"/>
      <c r="E734" s="73"/>
      <c r="F734" s="73"/>
      <c r="G734" s="73"/>
      <c r="H734" s="73"/>
      <c r="I734" s="73"/>
      <c r="J734" s="73"/>
      <c r="K734" s="73"/>
      <c r="L734" s="73"/>
      <c r="M734" s="73"/>
      <c r="N734" s="73"/>
      <c r="O734" s="73"/>
      <c r="P734" s="73"/>
      <c r="Q734" s="73"/>
      <c r="R734" s="73"/>
      <c r="S734" s="73"/>
      <c r="T734" s="73"/>
      <c r="U734" s="73"/>
      <c r="V734" s="73"/>
      <c r="W734" s="73"/>
      <c r="GL734" s="73"/>
      <c r="GM734" s="73"/>
      <c r="GN734" s="73"/>
      <c r="GO734" s="73"/>
      <c r="GP734" s="73"/>
      <c r="GQ734" s="73"/>
      <c r="GR734" s="73"/>
      <c r="GS734" s="73"/>
      <c r="GT734" s="73"/>
      <c r="GU734" s="73"/>
      <c r="GV734" s="73"/>
      <c r="GW734" s="73"/>
      <c r="GX734" s="73"/>
      <c r="GY734" s="73"/>
      <c r="GZ734" s="73"/>
      <c r="HA734" s="73"/>
      <c r="HB734" s="73"/>
      <c r="HC734" s="73"/>
      <c r="HD734" s="73"/>
      <c r="HE734" s="73"/>
      <c r="HF734" s="73"/>
      <c r="HG734" s="73"/>
      <c r="HH734" s="73"/>
      <c r="HI734" s="73"/>
      <c r="HJ734" s="73"/>
      <c r="HK734" s="73"/>
      <c r="HL734" s="73"/>
      <c r="HM734" s="73"/>
      <c r="HN734" s="73"/>
      <c r="HO734" s="73"/>
      <c r="HP734" s="73"/>
      <c r="HQ734" s="73"/>
      <c r="HR734" s="73"/>
      <c r="HS734" s="73"/>
      <c r="HT734" s="73"/>
      <c r="HU734" s="73"/>
      <c r="HV734" s="73"/>
      <c r="HW734" s="73"/>
      <c r="HX734" s="73"/>
      <c r="HY734" s="73"/>
      <c r="HZ734" s="73"/>
      <c r="IA734" s="73"/>
      <c r="IB734" s="73"/>
      <c r="IC734" s="73"/>
      <c r="ID734" s="73"/>
      <c r="IE734" s="73"/>
      <c r="IF734" s="73"/>
      <c r="IG734" s="73"/>
      <c r="IH734" s="73"/>
      <c r="II734" s="73"/>
      <c r="IJ734" s="73"/>
      <c r="IK734" s="73"/>
      <c r="IL734" s="73"/>
      <c r="IM734" s="73"/>
      <c r="IN734" s="73"/>
      <c r="IO734" s="73"/>
      <c r="IP734" s="73"/>
      <c r="IQ734" s="73"/>
      <c r="IR734" s="73"/>
      <c r="IS734" s="73"/>
      <c r="IT734" s="73"/>
      <c r="IU734" s="73"/>
      <c r="IV734" s="73"/>
      <c r="IW734" s="73"/>
      <c r="IX734" s="73"/>
      <c r="IY734" s="73"/>
      <c r="IZ734" s="73"/>
      <c r="JA734" s="73"/>
      <c r="JB734" s="73"/>
      <c r="JC734" s="73"/>
    </row>
    <row r="735" spans="2:263" s="72" customFormat="1">
      <c r="B735" s="73"/>
      <c r="C735" s="73"/>
      <c r="D735" s="73"/>
      <c r="E735" s="73"/>
      <c r="F735" s="73"/>
      <c r="G735" s="73"/>
      <c r="H735" s="73"/>
      <c r="I735" s="73"/>
      <c r="J735" s="73"/>
      <c r="K735" s="73"/>
      <c r="L735" s="73"/>
      <c r="M735" s="73"/>
      <c r="N735" s="73"/>
      <c r="O735" s="73"/>
      <c r="P735" s="73"/>
      <c r="Q735" s="73"/>
      <c r="R735" s="73"/>
      <c r="S735" s="73"/>
      <c r="T735" s="73"/>
      <c r="U735" s="73"/>
      <c r="V735" s="73"/>
      <c r="W735" s="73"/>
      <c r="GL735" s="73"/>
      <c r="GM735" s="73"/>
      <c r="GN735" s="73"/>
      <c r="GO735" s="73"/>
      <c r="GP735" s="73"/>
      <c r="GQ735" s="73"/>
      <c r="GR735" s="73"/>
      <c r="GS735" s="73"/>
      <c r="GT735" s="73"/>
      <c r="GU735" s="73"/>
      <c r="GV735" s="73"/>
      <c r="GW735" s="73"/>
      <c r="GX735" s="73"/>
      <c r="GY735" s="73"/>
      <c r="GZ735" s="73"/>
      <c r="HA735" s="73"/>
      <c r="HB735" s="73"/>
      <c r="HC735" s="73"/>
      <c r="HD735" s="73"/>
      <c r="HE735" s="73"/>
      <c r="HF735" s="73"/>
      <c r="HG735" s="73"/>
      <c r="HH735" s="73"/>
      <c r="HI735" s="73"/>
      <c r="HJ735" s="73"/>
      <c r="HK735" s="73"/>
      <c r="HL735" s="73"/>
      <c r="HM735" s="73"/>
      <c r="HN735" s="73"/>
      <c r="HO735" s="73"/>
      <c r="HP735" s="73"/>
      <c r="HQ735" s="73"/>
      <c r="HR735" s="73"/>
      <c r="HS735" s="73"/>
      <c r="HT735" s="73"/>
      <c r="HU735" s="73"/>
      <c r="HV735" s="73"/>
      <c r="HW735" s="73"/>
      <c r="HX735" s="73"/>
      <c r="HY735" s="73"/>
      <c r="HZ735" s="73"/>
      <c r="IA735" s="73"/>
      <c r="IB735" s="73"/>
      <c r="IC735" s="73"/>
      <c r="ID735" s="73"/>
      <c r="IE735" s="73"/>
      <c r="IF735" s="73"/>
      <c r="IG735" s="73"/>
      <c r="IH735" s="73"/>
      <c r="II735" s="73"/>
      <c r="IJ735" s="73"/>
      <c r="IK735" s="73"/>
      <c r="IL735" s="73"/>
      <c r="IM735" s="73"/>
      <c r="IN735" s="73"/>
      <c r="IO735" s="73"/>
      <c r="IP735" s="73"/>
      <c r="IQ735" s="73"/>
      <c r="IR735" s="73"/>
      <c r="IS735" s="73"/>
      <c r="IT735" s="73"/>
      <c r="IU735" s="73"/>
      <c r="IV735" s="73"/>
      <c r="IW735" s="73"/>
      <c r="IX735" s="73"/>
      <c r="IY735" s="73"/>
      <c r="IZ735" s="73"/>
      <c r="JA735" s="73"/>
      <c r="JB735" s="73"/>
      <c r="JC735" s="73"/>
    </row>
    <row r="736" spans="2:263" s="72" customFormat="1">
      <c r="B736" s="73"/>
      <c r="C736" s="73"/>
      <c r="D736" s="73"/>
      <c r="E736" s="73"/>
      <c r="F736" s="73"/>
      <c r="G736" s="73"/>
      <c r="H736" s="73"/>
      <c r="I736" s="73"/>
      <c r="J736" s="73"/>
      <c r="K736" s="73"/>
      <c r="L736" s="73"/>
      <c r="M736" s="73"/>
      <c r="N736" s="73"/>
      <c r="O736" s="73"/>
      <c r="P736" s="73"/>
      <c r="Q736" s="73"/>
      <c r="R736" s="73"/>
      <c r="S736" s="73"/>
      <c r="T736" s="73"/>
      <c r="U736" s="73"/>
      <c r="V736" s="73"/>
      <c r="W736" s="73"/>
      <c r="GL736" s="73"/>
      <c r="GM736" s="73"/>
      <c r="GN736" s="73"/>
      <c r="GO736" s="73"/>
      <c r="GP736" s="73"/>
      <c r="GQ736" s="73"/>
      <c r="GR736" s="73"/>
      <c r="GS736" s="73"/>
      <c r="GT736" s="73"/>
      <c r="GU736" s="73"/>
      <c r="GV736" s="73"/>
      <c r="GW736" s="73"/>
      <c r="GX736" s="73"/>
      <c r="GY736" s="73"/>
      <c r="GZ736" s="73"/>
      <c r="HA736" s="73"/>
      <c r="HB736" s="73"/>
      <c r="HC736" s="73"/>
      <c r="HD736" s="73"/>
      <c r="HE736" s="73"/>
      <c r="HF736" s="73"/>
      <c r="HG736" s="73"/>
      <c r="HH736" s="73"/>
      <c r="HI736" s="73"/>
      <c r="HJ736" s="73"/>
      <c r="HK736" s="73"/>
      <c r="HL736" s="73"/>
      <c r="HM736" s="73"/>
      <c r="HN736" s="73"/>
      <c r="HO736" s="73"/>
      <c r="HP736" s="73"/>
      <c r="HQ736" s="73"/>
      <c r="HR736" s="73"/>
      <c r="HS736" s="73"/>
      <c r="HT736" s="73"/>
      <c r="HU736" s="73"/>
      <c r="HV736" s="73"/>
      <c r="HW736" s="73"/>
      <c r="HX736" s="73"/>
      <c r="HY736" s="73"/>
      <c r="HZ736" s="73"/>
      <c r="IA736" s="73"/>
      <c r="IB736" s="73"/>
      <c r="IC736" s="73"/>
      <c r="ID736" s="73"/>
      <c r="IE736" s="73"/>
      <c r="IF736" s="73"/>
      <c r="IG736" s="73"/>
      <c r="IH736" s="73"/>
      <c r="II736" s="73"/>
      <c r="IJ736" s="73"/>
      <c r="IK736" s="73"/>
      <c r="IL736" s="73"/>
      <c r="IM736" s="73"/>
      <c r="IN736" s="73"/>
      <c r="IO736" s="73"/>
      <c r="IP736" s="73"/>
      <c r="IQ736" s="73"/>
      <c r="IR736" s="73"/>
      <c r="IS736" s="73"/>
      <c r="IT736" s="73"/>
      <c r="IU736" s="73"/>
      <c r="IV736" s="73"/>
      <c r="IW736" s="73"/>
      <c r="IX736" s="73"/>
      <c r="IY736" s="73"/>
      <c r="IZ736" s="73"/>
      <c r="JA736" s="73"/>
      <c r="JB736" s="73"/>
      <c r="JC736" s="73"/>
    </row>
    <row r="737" spans="2:263" s="72" customFormat="1">
      <c r="B737" s="73"/>
      <c r="C737" s="73"/>
      <c r="D737" s="73"/>
      <c r="E737" s="73"/>
      <c r="F737" s="73"/>
      <c r="G737" s="73"/>
      <c r="H737" s="73"/>
      <c r="I737" s="73"/>
      <c r="J737" s="73"/>
      <c r="K737" s="73"/>
      <c r="L737" s="73"/>
      <c r="M737" s="73"/>
      <c r="N737" s="73"/>
      <c r="O737" s="73"/>
      <c r="P737" s="73"/>
      <c r="Q737" s="73"/>
      <c r="R737" s="73"/>
      <c r="S737" s="73"/>
      <c r="T737" s="73"/>
      <c r="U737" s="73"/>
      <c r="V737" s="73"/>
      <c r="W737" s="73"/>
      <c r="GL737" s="73"/>
      <c r="GM737" s="73"/>
      <c r="GN737" s="73"/>
      <c r="GO737" s="73"/>
      <c r="GP737" s="73"/>
      <c r="GQ737" s="73"/>
      <c r="GR737" s="73"/>
      <c r="GS737" s="73"/>
      <c r="GT737" s="73"/>
      <c r="GU737" s="73"/>
      <c r="GV737" s="73"/>
      <c r="GW737" s="73"/>
      <c r="GX737" s="73"/>
      <c r="GY737" s="73"/>
      <c r="GZ737" s="73"/>
      <c r="HA737" s="73"/>
      <c r="HB737" s="73"/>
      <c r="HC737" s="73"/>
      <c r="HD737" s="73"/>
      <c r="HE737" s="73"/>
      <c r="HF737" s="73"/>
      <c r="HG737" s="73"/>
      <c r="HH737" s="73"/>
      <c r="HI737" s="73"/>
      <c r="HJ737" s="73"/>
      <c r="HK737" s="73"/>
      <c r="HL737" s="73"/>
      <c r="HM737" s="73"/>
      <c r="HN737" s="73"/>
      <c r="HO737" s="73"/>
      <c r="HP737" s="73"/>
      <c r="HQ737" s="73"/>
      <c r="HR737" s="73"/>
      <c r="HS737" s="73"/>
      <c r="HT737" s="73"/>
      <c r="HU737" s="73"/>
      <c r="HV737" s="73"/>
      <c r="HW737" s="73"/>
      <c r="HX737" s="73"/>
      <c r="HY737" s="73"/>
      <c r="HZ737" s="73"/>
      <c r="IA737" s="73"/>
      <c r="IB737" s="73"/>
      <c r="IC737" s="73"/>
      <c r="ID737" s="73"/>
      <c r="IE737" s="73"/>
      <c r="IF737" s="73"/>
      <c r="IG737" s="73"/>
      <c r="IH737" s="73"/>
      <c r="II737" s="73"/>
      <c r="IJ737" s="73"/>
      <c r="IK737" s="73"/>
      <c r="IL737" s="73"/>
      <c r="IM737" s="73"/>
      <c r="IN737" s="73"/>
      <c r="IO737" s="73"/>
      <c r="IP737" s="73"/>
      <c r="IQ737" s="73"/>
      <c r="IR737" s="73"/>
      <c r="IS737" s="73"/>
      <c r="IT737" s="73"/>
      <c r="IU737" s="73"/>
      <c r="IV737" s="73"/>
      <c r="IW737" s="73"/>
      <c r="IX737" s="73"/>
      <c r="IY737" s="73"/>
      <c r="IZ737" s="73"/>
      <c r="JA737" s="73"/>
      <c r="JB737" s="73"/>
      <c r="JC737" s="73"/>
    </row>
    <row r="738" spans="2:263" s="72" customFormat="1">
      <c r="B738" s="73"/>
      <c r="C738" s="73"/>
      <c r="D738" s="73"/>
      <c r="E738" s="73"/>
      <c r="F738" s="73"/>
      <c r="G738" s="73"/>
      <c r="H738" s="73"/>
      <c r="I738" s="73"/>
      <c r="J738" s="73"/>
      <c r="K738" s="73"/>
      <c r="L738" s="73"/>
      <c r="M738" s="73"/>
      <c r="N738" s="73"/>
      <c r="O738" s="73"/>
      <c r="P738" s="73"/>
      <c r="Q738" s="73"/>
      <c r="R738" s="73"/>
      <c r="S738" s="73"/>
      <c r="T738" s="73"/>
      <c r="U738" s="73"/>
      <c r="V738" s="73"/>
      <c r="W738" s="73"/>
      <c r="GL738" s="73"/>
      <c r="GM738" s="73"/>
      <c r="GN738" s="73"/>
      <c r="GO738" s="73"/>
      <c r="GP738" s="73"/>
      <c r="GQ738" s="73"/>
      <c r="GR738" s="73"/>
      <c r="GS738" s="73"/>
      <c r="GT738" s="73"/>
      <c r="GU738" s="73"/>
      <c r="GV738" s="73"/>
      <c r="GW738" s="73"/>
      <c r="GX738" s="73"/>
      <c r="GY738" s="73"/>
      <c r="GZ738" s="73"/>
      <c r="HA738" s="73"/>
      <c r="HB738" s="73"/>
      <c r="HC738" s="73"/>
      <c r="HD738" s="73"/>
      <c r="HE738" s="73"/>
      <c r="HF738" s="73"/>
      <c r="HG738" s="73"/>
      <c r="HH738" s="73"/>
      <c r="HI738" s="73"/>
      <c r="HJ738" s="73"/>
      <c r="HK738" s="73"/>
      <c r="HL738" s="73"/>
      <c r="HM738" s="73"/>
      <c r="HN738" s="73"/>
      <c r="HO738" s="73"/>
      <c r="HP738" s="73"/>
      <c r="HQ738" s="73"/>
      <c r="HR738" s="73"/>
      <c r="HS738" s="73"/>
      <c r="HT738" s="73"/>
      <c r="HU738" s="73"/>
      <c r="HV738" s="73"/>
      <c r="HW738" s="73"/>
      <c r="HX738" s="73"/>
      <c r="HY738" s="73"/>
      <c r="HZ738" s="73"/>
      <c r="IA738" s="73"/>
      <c r="IB738" s="73"/>
      <c r="IC738" s="73"/>
      <c r="ID738" s="73"/>
      <c r="IE738" s="73"/>
      <c r="IF738" s="73"/>
      <c r="IG738" s="73"/>
      <c r="IH738" s="73"/>
      <c r="II738" s="73"/>
      <c r="IJ738" s="73"/>
      <c r="IK738" s="73"/>
      <c r="IL738" s="73"/>
      <c r="IM738" s="73"/>
      <c r="IN738" s="73"/>
      <c r="IO738" s="73"/>
      <c r="IP738" s="73"/>
      <c r="IQ738" s="73"/>
      <c r="IR738" s="73"/>
      <c r="IS738" s="73"/>
      <c r="IT738" s="73"/>
      <c r="IU738" s="73"/>
      <c r="IV738" s="73"/>
      <c r="IW738" s="73"/>
      <c r="IX738" s="73"/>
      <c r="IY738" s="73"/>
      <c r="IZ738" s="73"/>
      <c r="JA738" s="73"/>
      <c r="JB738" s="73"/>
      <c r="JC738" s="73"/>
    </row>
    <row r="739" spans="2:263" s="72" customFormat="1">
      <c r="B739" s="73"/>
      <c r="C739" s="73"/>
      <c r="D739" s="73"/>
      <c r="E739" s="73"/>
      <c r="F739" s="73"/>
      <c r="G739" s="73"/>
      <c r="H739" s="73"/>
      <c r="I739" s="73"/>
      <c r="J739" s="73"/>
      <c r="K739" s="73"/>
      <c r="L739" s="73"/>
      <c r="M739" s="73"/>
      <c r="N739" s="73"/>
      <c r="O739" s="73"/>
      <c r="P739" s="73"/>
      <c r="Q739" s="73"/>
      <c r="R739" s="73"/>
      <c r="S739" s="73"/>
      <c r="T739" s="73"/>
      <c r="U739" s="73"/>
      <c r="V739" s="73"/>
      <c r="W739" s="73"/>
      <c r="GL739" s="73"/>
      <c r="GM739" s="73"/>
      <c r="GN739" s="73"/>
      <c r="GO739" s="73"/>
      <c r="GP739" s="73"/>
      <c r="GQ739" s="73"/>
      <c r="GR739" s="73"/>
      <c r="GS739" s="73"/>
      <c r="GT739" s="73"/>
      <c r="GU739" s="73"/>
      <c r="GV739" s="73"/>
      <c r="GW739" s="73"/>
      <c r="GX739" s="73"/>
      <c r="GY739" s="73"/>
      <c r="GZ739" s="73"/>
      <c r="HA739" s="73"/>
      <c r="HB739" s="73"/>
      <c r="HC739" s="73"/>
      <c r="HD739" s="73"/>
      <c r="HE739" s="73"/>
      <c r="HF739" s="73"/>
      <c r="HG739" s="73"/>
      <c r="HH739" s="73"/>
      <c r="HI739" s="73"/>
      <c r="HJ739" s="73"/>
      <c r="HK739" s="73"/>
      <c r="HL739" s="73"/>
      <c r="HM739" s="73"/>
      <c r="HN739" s="73"/>
      <c r="HO739" s="73"/>
      <c r="HP739" s="73"/>
      <c r="HQ739" s="73"/>
      <c r="HR739" s="73"/>
      <c r="HS739" s="73"/>
      <c r="HT739" s="73"/>
      <c r="HU739" s="73"/>
      <c r="HV739" s="73"/>
      <c r="HW739" s="73"/>
      <c r="HX739" s="73"/>
      <c r="HY739" s="73"/>
      <c r="HZ739" s="73"/>
      <c r="IA739" s="73"/>
      <c r="IB739" s="73"/>
      <c r="IC739" s="73"/>
      <c r="ID739" s="73"/>
      <c r="IE739" s="73"/>
      <c r="IF739" s="73"/>
      <c r="IG739" s="73"/>
      <c r="IH739" s="73"/>
      <c r="II739" s="73"/>
      <c r="IJ739" s="73"/>
      <c r="IK739" s="73"/>
      <c r="IL739" s="73"/>
      <c r="IM739" s="73"/>
      <c r="IN739" s="73"/>
      <c r="IO739" s="73"/>
      <c r="IP739" s="73"/>
      <c r="IQ739" s="73"/>
      <c r="IR739" s="73"/>
      <c r="IS739" s="73"/>
      <c r="IT739" s="73"/>
      <c r="IU739" s="73"/>
      <c r="IV739" s="73"/>
      <c r="IW739" s="73"/>
      <c r="IX739" s="73"/>
      <c r="IY739" s="73"/>
      <c r="IZ739" s="73"/>
      <c r="JA739" s="73"/>
      <c r="JB739" s="73"/>
      <c r="JC739" s="73"/>
    </row>
    <row r="740" spans="2:263" s="72" customFormat="1">
      <c r="B740" s="73"/>
      <c r="C740" s="73"/>
      <c r="D740" s="73"/>
      <c r="E740" s="73"/>
      <c r="F740" s="73"/>
      <c r="G740" s="73"/>
      <c r="H740" s="73"/>
      <c r="I740" s="73"/>
      <c r="J740" s="73"/>
      <c r="K740" s="73"/>
      <c r="L740" s="73"/>
      <c r="M740" s="73"/>
      <c r="N740" s="73"/>
      <c r="O740" s="73"/>
      <c r="P740" s="73"/>
      <c r="Q740" s="73"/>
      <c r="R740" s="73"/>
      <c r="S740" s="73"/>
      <c r="T740" s="73"/>
      <c r="U740" s="73"/>
      <c r="V740" s="73"/>
      <c r="W740" s="73"/>
      <c r="GL740" s="73"/>
      <c r="GM740" s="73"/>
      <c r="GN740" s="73"/>
      <c r="GO740" s="73"/>
      <c r="GP740" s="73"/>
      <c r="GQ740" s="73"/>
      <c r="GR740" s="73"/>
      <c r="GS740" s="73"/>
      <c r="GT740" s="73"/>
      <c r="GU740" s="73"/>
      <c r="GV740" s="73"/>
      <c r="GW740" s="73"/>
      <c r="GX740" s="73"/>
      <c r="GY740" s="73"/>
      <c r="GZ740" s="73"/>
      <c r="HA740" s="73"/>
      <c r="HB740" s="73"/>
      <c r="HC740" s="73"/>
      <c r="HD740" s="73"/>
      <c r="HE740" s="73"/>
      <c r="HF740" s="73"/>
      <c r="HG740" s="73"/>
      <c r="HH740" s="73"/>
      <c r="HI740" s="73"/>
      <c r="HJ740" s="73"/>
      <c r="HK740" s="73"/>
      <c r="HL740" s="73"/>
      <c r="HM740" s="73"/>
      <c r="HN740" s="73"/>
      <c r="HO740" s="73"/>
      <c r="HP740" s="73"/>
      <c r="HQ740" s="73"/>
      <c r="HR740" s="73"/>
      <c r="HS740" s="73"/>
      <c r="HT740" s="73"/>
      <c r="HU740" s="73"/>
      <c r="HV740" s="73"/>
      <c r="HW740" s="73"/>
      <c r="HX740" s="73"/>
      <c r="HY740" s="73"/>
      <c r="HZ740" s="73"/>
      <c r="IA740" s="73"/>
      <c r="IB740" s="73"/>
      <c r="IC740" s="73"/>
      <c r="ID740" s="73"/>
      <c r="IE740" s="73"/>
      <c r="IF740" s="73"/>
      <c r="IG740" s="73"/>
      <c r="IH740" s="73"/>
      <c r="II740" s="73"/>
      <c r="IJ740" s="73"/>
      <c r="IK740" s="73"/>
      <c r="IL740" s="73"/>
      <c r="IM740" s="73"/>
      <c r="IN740" s="73"/>
      <c r="IO740" s="73"/>
      <c r="IP740" s="73"/>
      <c r="IQ740" s="73"/>
      <c r="IR740" s="73"/>
      <c r="IS740" s="73"/>
      <c r="IT740" s="73"/>
      <c r="IU740" s="73"/>
      <c r="IV740" s="73"/>
      <c r="IW740" s="73"/>
      <c r="IX740" s="73"/>
      <c r="IY740" s="73"/>
      <c r="IZ740" s="73"/>
      <c r="JA740" s="73"/>
      <c r="JB740" s="73"/>
      <c r="JC740" s="73"/>
    </row>
    <row r="741" spans="2:263" s="72" customFormat="1">
      <c r="B741" s="73"/>
      <c r="C741" s="73"/>
      <c r="D741" s="73"/>
      <c r="E741" s="73"/>
      <c r="F741" s="73"/>
      <c r="G741" s="73"/>
      <c r="H741" s="73"/>
      <c r="I741" s="73"/>
      <c r="J741" s="73"/>
      <c r="K741" s="73"/>
      <c r="L741" s="73"/>
      <c r="M741" s="73"/>
      <c r="N741" s="73"/>
      <c r="O741" s="73"/>
      <c r="P741" s="73"/>
      <c r="Q741" s="73"/>
      <c r="R741" s="73"/>
      <c r="S741" s="73"/>
      <c r="T741" s="73"/>
      <c r="U741" s="73"/>
      <c r="V741" s="73"/>
      <c r="W741" s="73"/>
      <c r="GL741" s="73"/>
      <c r="GM741" s="73"/>
      <c r="GN741" s="73"/>
      <c r="GO741" s="73"/>
      <c r="GP741" s="73"/>
      <c r="GQ741" s="73"/>
      <c r="GR741" s="73"/>
      <c r="GS741" s="73"/>
      <c r="GT741" s="73"/>
      <c r="GU741" s="73"/>
      <c r="GV741" s="73"/>
      <c r="GW741" s="73"/>
      <c r="GX741" s="73"/>
      <c r="GY741" s="73"/>
      <c r="GZ741" s="73"/>
      <c r="HA741" s="73"/>
      <c r="HB741" s="73"/>
      <c r="HC741" s="73"/>
      <c r="HD741" s="73"/>
      <c r="HE741" s="73"/>
      <c r="HF741" s="73"/>
      <c r="HG741" s="73"/>
      <c r="HH741" s="73"/>
      <c r="HI741" s="73"/>
      <c r="HJ741" s="73"/>
      <c r="HK741" s="73"/>
      <c r="HL741" s="73"/>
      <c r="HM741" s="73"/>
      <c r="HN741" s="73"/>
      <c r="HO741" s="73"/>
      <c r="HP741" s="73"/>
      <c r="HQ741" s="73"/>
      <c r="HR741" s="73"/>
      <c r="HS741" s="73"/>
      <c r="HT741" s="73"/>
      <c r="HU741" s="73"/>
      <c r="HV741" s="73"/>
      <c r="HW741" s="73"/>
      <c r="HX741" s="73"/>
      <c r="HY741" s="73"/>
      <c r="HZ741" s="73"/>
      <c r="IA741" s="73"/>
      <c r="IB741" s="73"/>
      <c r="IC741" s="73"/>
      <c r="ID741" s="73"/>
      <c r="IE741" s="73"/>
      <c r="IF741" s="73"/>
      <c r="IG741" s="73"/>
      <c r="IH741" s="73"/>
      <c r="II741" s="73"/>
      <c r="IJ741" s="73"/>
      <c r="IK741" s="73"/>
      <c r="IL741" s="73"/>
      <c r="IM741" s="73"/>
      <c r="IN741" s="73"/>
      <c r="IO741" s="73"/>
      <c r="IP741" s="73"/>
      <c r="IQ741" s="73"/>
      <c r="IR741" s="73"/>
      <c r="IS741" s="73"/>
      <c r="IT741" s="73"/>
      <c r="IU741" s="73"/>
      <c r="IV741" s="73"/>
      <c r="IW741" s="73"/>
      <c r="IX741" s="73"/>
      <c r="IY741" s="73"/>
      <c r="IZ741" s="73"/>
      <c r="JA741" s="73"/>
      <c r="JB741" s="73"/>
      <c r="JC741" s="73"/>
    </row>
    <row r="742" spans="2:263" s="72" customFormat="1">
      <c r="B742" s="73"/>
      <c r="C742" s="73"/>
      <c r="D742" s="73"/>
      <c r="E742" s="73"/>
      <c r="F742" s="73"/>
      <c r="G742" s="73"/>
      <c r="H742" s="73"/>
      <c r="I742" s="73"/>
      <c r="J742" s="73"/>
      <c r="K742" s="73"/>
      <c r="L742" s="73"/>
      <c r="M742" s="73"/>
      <c r="N742" s="73"/>
      <c r="O742" s="73"/>
      <c r="P742" s="73"/>
      <c r="Q742" s="73"/>
      <c r="R742" s="73"/>
      <c r="S742" s="73"/>
      <c r="T742" s="73"/>
      <c r="U742" s="73"/>
      <c r="V742" s="73"/>
      <c r="W742" s="73"/>
      <c r="GL742" s="73"/>
      <c r="GM742" s="73"/>
      <c r="GN742" s="73"/>
      <c r="GO742" s="73"/>
      <c r="GP742" s="73"/>
      <c r="GQ742" s="73"/>
      <c r="GR742" s="73"/>
      <c r="GS742" s="73"/>
      <c r="GT742" s="73"/>
      <c r="GU742" s="73"/>
      <c r="GV742" s="73"/>
      <c r="GW742" s="73"/>
      <c r="GX742" s="73"/>
      <c r="GY742" s="73"/>
      <c r="GZ742" s="73"/>
      <c r="HA742" s="73"/>
      <c r="HB742" s="73"/>
      <c r="HC742" s="73"/>
      <c r="HD742" s="73"/>
      <c r="HE742" s="73"/>
      <c r="HF742" s="73"/>
      <c r="HG742" s="73"/>
      <c r="HH742" s="73"/>
      <c r="HI742" s="73"/>
      <c r="HJ742" s="73"/>
      <c r="HK742" s="73"/>
      <c r="HL742" s="73"/>
      <c r="HM742" s="73"/>
      <c r="HN742" s="73"/>
      <c r="HO742" s="73"/>
      <c r="HP742" s="73"/>
      <c r="HQ742" s="73"/>
      <c r="HR742" s="73"/>
      <c r="HS742" s="73"/>
      <c r="HT742" s="73"/>
      <c r="HU742" s="73"/>
      <c r="HV742" s="73"/>
      <c r="HW742" s="73"/>
      <c r="HX742" s="73"/>
      <c r="HY742" s="73"/>
      <c r="HZ742" s="73"/>
      <c r="IA742" s="73"/>
      <c r="IB742" s="73"/>
      <c r="IC742" s="73"/>
      <c r="ID742" s="73"/>
      <c r="IE742" s="73"/>
      <c r="IF742" s="73"/>
      <c r="IG742" s="73"/>
      <c r="IH742" s="73"/>
      <c r="II742" s="73"/>
      <c r="IJ742" s="73"/>
      <c r="IK742" s="73"/>
      <c r="IL742" s="73"/>
      <c r="IM742" s="73"/>
      <c r="IN742" s="73"/>
      <c r="IO742" s="73"/>
      <c r="IP742" s="73"/>
      <c r="IQ742" s="73"/>
      <c r="IR742" s="73"/>
      <c r="IS742" s="73"/>
      <c r="IT742" s="73"/>
      <c r="IU742" s="73"/>
      <c r="IV742" s="73"/>
      <c r="IW742" s="73"/>
      <c r="IX742" s="73"/>
      <c r="IY742" s="73"/>
      <c r="IZ742" s="73"/>
      <c r="JA742" s="73"/>
      <c r="JB742" s="73"/>
      <c r="JC742" s="73"/>
    </row>
    <row r="743" spans="2:263" s="72" customFormat="1">
      <c r="B743" s="73"/>
      <c r="C743" s="73"/>
      <c r="D743" s="73"/>
      <c r="E743" s="73"/>
      <c r="F743" s="73"/>
      <c r="G743" s="73"/>
      <c r="H743" s="73"/>
      <c r="I743" s="73"/>
      <c r="J743" s="73"/>
      <c r="K743" s="73"/>
      <c r="L743" s="73"/>
      <c r="M743" s="73"/>
      <c r="N743" s="73"/>
      <c r="O743" s="73"/>
      <c r="P743" s="73"/>
      <c r="Q743" s="73"/>
      <c r="R743" s="73"/>
      <c r="S743" s="73"/>
      <c r="T743" s="73"/>
      <c r="U743" s="73"/>
      <c r="V743" s="73"/>
      <c r="W743" s="73"/>
      <c r="GL743" s="73"/>
      <c r="GM743" s="73"/>
      <c r="GN743" s="73"/>
      <c r="GO743" s="73"/>
      <c r="GP743" s="73"/>
      <c r="GQ743" s="73"/>
      <c r="GR743" s="73"/>
      <c r="GS743" s="73"/>
      <c r="GT743" s="73"/>
      <c r="GU743" s="73"/>
      <c r="GV743" s="73"/>
      <c r="GW743" s="73"/>
      <c r="GX743" s="73"/>
      <c r="GY743" s="73"/>
      <c r="GZ743" s="73"/>
      <c r="HA743" s="73"/>
      <c r="HB743" s="73"/>
      <c r="HC743" s="73"/>
      <c r="HD743" s="73"/>
      <c r="HE743" s="73"/>
      <c r="HF743" s="73"/>
      <c r="HG743" s="73"/>
      <c r="HH743" s="73"/>
      <c r="HI743" s="73"/>
      <c r="HJ743" s="73"/>
      <c r="HK743" s="73"/>
      <c r="HL743" s="73"/>
      <c r="HM743" s="73"/>
      <c r="HN743" s="73"/>
      <c r="HO743" s="73"/>
      <c r="HP743" s="73"/>
      <c r="HQ743" s="73"/>
      <c r="HR743" s="73"/>
      <c r="HS743" s="73"/>
      <c r="HT743" s="73"/>
      <c r="HU743" s="73"/>
      <c r="HV743" s="73"/>
      <c r="HW743" s="73"/>
      <c r="HX743" s="73"/>
      <c r="HY743" s="73"/>
      <c r="HZ743" s="73"/>
      <c r="IA743" s="73"/>
      <c r="IB743" s="73"/>
      <c r="IC743" s="73"/>
      <c r="ID743" s="73"/>
      <c r="IE743" s="73"/>
      <c r="IF743" s="73"/>
      <c r="IG743" s="73"/>
      <c r="IH743" s="73"/>
      <c r="II743" s="73"/>
      <c r="IJ743" s="73"/>
      <c r="IK743" s="73"/>
      <c r="IL743" s="73"/>
      <c r="IM743" s="73"/>
      <c r="IN743" s="73"/>
      <c r="IO743" s="73"/>
      <c r="IP743" s="73"/>
      <c r="IQ743" s="73"/>
      <c r="IR743" s="73"/>
      <c r="IS743" s="73"/>
      <c r="IT743" s="73"/>
      <c r="IU743" s="73"/>
      <c r="IV743" s="73"/>
      <c r="IW743" s="73"/>
      <c r="IX743" s="73"/>
      <c r="IY743" s="73"/>
      <c r="IZ743" s="73"/>
      <c r="JA743" s="73"/>
      <c r="JB743" s="73"/>
      <c r="JC743" s="73"/>
    </row>
    <row r="744" spans="2:263" s="72" customFormat="1">
      <c r="B744" s="73"/>
      <c r="C744" s="73"/>
      <c r="D744" s="73"/>
      <c r="E744" s="73"/>
      <c r="F744" s="73"/>
      <c r="G744" s="73"/>
      <c r="H744" s="73"/>
      <c r="I744" s="73"/>
      <c r="J744" s="73"/>
      <c r="K744" s="73"/>
      <c r="L744" s="73"/>
      <c r="M744" s="73"/>
      <c r="N744" s="73"/>
      <c r="O744" s="73"/>
      <c r="P744" s="73"/>
      <c r="Q744" s="73"/>
      <c r="R744" s="73"/>
      <c r="S744" s="73"/>
      <c r="T744" s="73"/>
      <c r="U744" s="73"/>
      <c r="V744" s="73"/>
      <c r="W744" s="73"/>
      <c r="GL744" s="73"/>
      <c r="GM744" s="73"/>
      <c r="GN744" s="73"/>
      <c r="GO744" s="73"/>
      <c r="GP744" s="73"/>
      <c r="GQ744" s="73"/>
      <c r="GR744" s="73"/>
      <c r="GS744" s="73"/>
      <c r="GT744" s="73"/>
      <c r="GU744" s="73"/>
      <c r="GV744" s="73"/>
      <c r="GW744" s="73"/>
      <c r="GX744" s="73"/>
      <c r="GY744" s="73"/>
      <c r="GZ744" s="73"/>
      <c r="HA744" s="73"/>
      <c r="HB744" s="73"/>
      <c r="HC744" s="73"/>
      <c r="HD744" s="73"/>
      <c r="HE744" s="73"/>
      <c r="HF744" s="73"/>
      <c r="HG744" s="73"/>
      <c r="HH744" s="73"/>
      <c r="HI744" s="73"/>
      <c r="HJ744" s="73"/>
      <c r="HK744" s="73"/>
      <c r="HL744" s="73"/>
      <c r="HM744" s="73"/>
      <c r="HN744" s="73"/>
      <c r="HO744" s="73"/>
      <c r="HP744" s="73"/>
      <c r="HQ744" s="73"/>
      <c r="HR744" s="73"/>
      <c r="HS744" s="73"/>
      <c r="HT744" s="73"/>
      <c r="HU744" s="73"/>
      <c r="HV744" s="73"/>
      <c r="HW744" s="73"/>
      <c r="HX744" s="73"/>
      <c r="HY744" s="73"/>
      <c r="HZ744" s="73"/>
      <c r="IA744" s="73"/>
      <c r="IB744" s="73"/>
      <c r="IC744" s="73"/>
      <c r="ID744" s="73"/>
      <c r="IE744" s="73"/>
      <c r="IF744" s="73"/>
      <c r="IG744" s="73"/>
      <c r="IH744" s="73"/>
      <c r="II744" s="73"/>
      <c r="IJ744" s="73"/>
      <c r="IK744" s="73"/>
      <c r="IL744" s="73"/>
      <c r="IM744" s="73"/>
      <c r="IN744" s="73"/>
      <c r="IO744" s="73"/>
      <c r="IP744" s="73"/>
      <c r="IQ744" s="73"/>
      <c r="IR744" s="73"/>
      <c r="IS744" s="73"/>
      <c r="IT744" s="73"/>
      <c r="IU744" s="73"/>
      <c r="IV744" s="73"/>
      <c r="IW744" s="73"/>
      <c r="IX744" s="73"/>
      <c r="IY744" s="73"/>
      <c r="IZ744" s="73"/>
      <c r="JA744" s="73"/>
      <c r="JB744" s="73"/>
      <c r="JC744" s="73"/>
    </row>
    <row r="745" spans="2:263" s="72" customFormat="1">
      <c r="B745" s="73"/>
      <c r="C745" s="73"/>
      <c r="D745" s="73"/>
      <c r="E745" s="73"/>
      <c r="F745" s="73"/>
      <c r="G745" s="73"/>
      <c r="H745" s="73"/>
      <c r="I745" s="73"/>
      <c r="J745" s="73"/>
      <c r="K745" s="73"/>
      <c r="L745" s="73"/>
      <c r="M745" s="73"/>
      <c r="N745" s="73"/>
      <c r="O745" s="73"/>
      <c r="P745" s="73"/>
      <c r="Q745" s="73"/>
      <c r="R745" s="73"/>
      <c r="S745" s="73"/>
      <c r="T745" s="73"/>
      <c r="U745" s="73"/>
      <c r="V745" s="73"/>
      <c r="W745" s="73"/>
      <c r="GL745" s="73"/>
      <c r="GM745" s="73"/>
      <c r="GN745" s="73"/>
      <c r="GO745" s="73"/>
      <c r="GP745" s="73"/>
      <c r="GQ745" s="73"/>
      <c r="GR745" s="73"/>
      <c r="GS745" s="73"/>
      <c r="GT745" s="73"/>
      <c r="GU745" s="73"/>
      <c r="GV745" s="73"/>
      <c r="GW745" s="73"/>
      <c r="GX745" s="73"/>
      <c r="GY745" s="73"/>
      <c r="GZ745" s="73"/>
      <c r="HA745" s="73"/>
      <c r="HB745" s="73"/>
      <c r="HC745" s="73"/>
      <c r="HD745" s="73"/>
      <c r="HE745" s="73"/>
      <c r="HF745" s="73"/>
      <c r="HG745" s="73"/>
      <c r="HH745" s="73"/>
      <c r="HI745" s="73"/>
      <c r="HJ745" s="73"/>
      <c r="HK745" s="73"/>
      <c r="HL745" s="73"/>
      <c r="HM745" s="73"/>
      <c r="HN745" s="73"/>
      <c r="HO745" s="73"/>
      <c r="HP745" s="73"/>
      <c r="HQ745" s="73"/>
      <c r="HR745" s="73"/>
      <c r="HS745" s="73"/>
      <c r="HT745" s="73"/>
      <c r="HU745" s="73"/>
      <c r="HV745" s="73"/>
      <c r="HW745" s="73"/>
      <c r="HX745" s="73"/>
      <c r="HY745" s="73"/>
      <c r="HZ745" s="73"/>
      <c r="IA745" s="73"/>
      <c r="IB745" s="73"/>
      <c r="IC745" s="73"/>
      <c r="ID745" s="73"/>
      <c r="IE745" s="73"/>
      <c r="IF745" s="73"/>
      <c r="IG745" s="73"/>
      <c r="IH745" s="73"/>
      <c r="II745" s="73"/>
      <c r="IJ745" s="73"/>
      <c r="IK745" s="73"/>
      <c r="IL745" s="73"/>
      <c r="IM745" s="73"/>
      <c r="IN745" s="73"/>
      <c r="IO745" s="73"/>
      <c r="IP745" s="73"/>
      <c r="IQ745" s="73"/>
      <c r="IR745" s="73"/>
      <c r="IS745" s="73"/>
      <c r="IT745" s="73"/>
      <c r="IU745" s="73"/>
      <c r="IV745" s="73"/>
      <c r="IW745" s="73"/>
      <c r="IX745" s="73"/>
      <c r="IY745" s="73"/>
      <c r="IZ745" s="73"/>
      <c r="JA745" s="73"/>
      <c r="JB745" s="73"/>
      <c r="JC745" s="73"/>
    </row>
    <row r="746" spans="2:263" s="72" customFormat="1">
      <c r="B746" s="73"/>
      <c r="C746" s="73"/>
      <c r="D746" s="73"/>
      <c r="E746" s="73"/>
      <c r="F746" s="73"/>
      <c r="G746" s="73"/>
      <c r="H746" s="73"/>
      <c r="I746" s="73"/>
      <c r="J746" s="73"/>
      <c r="K746" s="73"/>
      <c r="L746" s="73"/>
      <c r="M746" s="73"/>
      <c r="N746" s="73"/>
      <c r="O746" s="73"/>
      <c r="P746" s="73"/>
      <c r="Q746" s="73"/>
      <c r="R746" s="73"/>
      <c r="S746" s="73"/>
      <c r="T746" s="73"/>
      <c r="U746" s="73"/>
      <c r="V746" s="73"/>
      <c r="W746" s="73"/>
      <c r="GL746" s="73"/>
      <c r="GM746" s="73"/>
      <c r="GN746" s="73"/>
      <c r="GO746" s="73"/>
      <c r="GP746" s="73"/>
      <c r="GQ746" s="73"/>
      <c r="GR746" s="73"/>
      <c r="GS746" s="73"/>
      <c r="GT746" s="73"/>
      <c r="GU746" s="73"/>
      <c r="GV746" s="73"/>
      <c r="GW746" s="73"/>
      <c r="GX746" s="73"/>
      <c r="GY746" s="73"/>
      <c r="GZ746" s="73"/>
      <c r="HA746" s="73"/>
      <c r="HB746" s="73"/>
      <c r="HC746" s="73"/>
      <c r="HD746" s="73"/>
      <c r="HE746" s="73"/>
      <c r="HF746" s="73"/>
      <c r="HG746" s="73"/>
      <c r="HH746" s="73"/>
      <c r="HI746" s="73"/>
      <c r="HJ746" s="73"/>
      <c r="HK746" s="73"/>
      <c r="HL746" s="73"/>
      <c r="HM746" s="73"/>
      <c r="HN746" s="73"/>
      <c r="HO746" s="73"/>
      <c r="HP746" s="73"/>
      <c r="HQ746" s="73"/>
      <c r="HR746" s="73"/>
      <c r="HS746" s="73"/>
      <c r="HT746" s="73"/>
      <c r="HU746" s="73"/>
      <c r="HV746" s="73"/>
      <c r="HW746" s="73"/>
      <c r="HX746" s="73"/>
      <c r="HY746" s="73"/>
      <c r="HZ746" s="73"/>
      <c r="IA746" s="73"/>
      <c r="IB746" s="73"/>
      <c r="IC746" s="73"/>
      <c r="ID746" s="73"/>
      <c r="IE746" s="73"/>
      <c r="IF746" s="73"/>
      <c r="IG746" s="73"/>
      <c r="IH746" s="73"/>
      <c r="II746" s="73"/>
      <c r="IJ746" s="73"/>
      <c r="IK746" s="73"/>
      <c r="IL746" s="73"/>
      <c r="IM746" s="73"/>
      <c r="IN746" s="73"/>
      <c r="IO746" s="73"/>
      <c r="IP746" s="73"/>
      <c r="IQ746" s="73"/>
      <c r="IR746" s="73"/>
      <c r="IS746" s="73"/>
      <c r="IT746" s="73"/>
      <c r="IU746" s="73"/>
      <c r="IV746" s="73"/>
      <c r="IW746" s="73"/>
      <c r="IX746" s="73"/>
      <c r="IY746" s="73"/>
      <c r="IZ746" s="73"/>
      <c r="JA746" s="73"/>
      <c r="JB746" s="73"/>
      <c r="JC746" s="73"/>
    </row>
    <row r="747" spans="2:263" s="72" customFormat="1">
      <c r="B747" s="73"/>
      <c r="C747" s="73"/>
      <c r="D747" s="73"/>
      <c r="E747" s="73"/>
      <c r="F747" s="73"/>
      <c r="G747" s="73"/>
      <c r="H747" s="73"/>
      <c r="I747" s="73"/>
      <c r="J747" s="73"/>
      <c r="K747" s="73"/>
      <c r="L747" s="73"/>
      <c r="M747" s="73"/>
      <c r="N747" s="73"/>
      <c r="O747" s="73"/>
      <c r="P747" s="73"/>
      <c r="Q747" s="73"/>
      <c r="R747" s="73"/>
      <c r="S747" s="73"/>
      <c r="T747" s="73"/>
      <c r="U747" s="73"/>
      <c r="V747" s="73"/>
      <c r="W747" s="73"/>
      <c r="GL747" s="73"/>
      <c r="GM747" s="73"/>
      <c r="GN747" s="73"/>
      <c r="GO747" s="73"/>
      <c r="GP747" s="73"/>
      <c r="GQ747" s="73"/>
      <c r="GR747" s="73"/>
      <c r="GS747" s="73"/>
      <c r="GT747" s="73"/>
      <c r="GU747" s="73"/>
      <c r="GV747" s="73"/>
      <c r="GW747" s="73"/>
      <c r="GX747" s="73"/>
      <c r="GY747" s="73"/>
      <c r="GZ747" s="73"/>
      <c r="HA747" s="73"/>
      <c r="HB747" s="73"/>
      <c r="HC747" s="73"/>
      <c r="HD747" s="73"/>
      <c r="HE747" s="73"/>
      <c r="HF747" s="73"/>
      <c r="HG747" s="73"/>
      <c r="HH747" s="73"/>
      <c r="HI747" s="73"/>
      <c r="HJ747" s="73"/>
      <c r="HK747" s="73"/>
      <c r="HL747" s="73"/>
      <c r="HM747" s="73"/>
      <c r="HN747" s="73"/>
      <c r="HO747" s="73"/>
      <c r="HP747" s="73"/>
      <c r="HQ747" s="73"/>
      <c r="HR747" s="73"/>
      <c r="HS747" s="73"/>
      <c r="HT747" s="73"/>
      <c r="HU747" s="73"/>
      <c r="HV747" s="73"/>
      <c r="HW747" s="73"/>
      <c r="HX747" s="73"/>
      <c r="HY747" s="73"/>
      <c r="HZ747" s="73"/>
      <c r="IA747" s="73"/>
      <c r="IB747" s="73"/>
      <c r="IC747" s="73"/>
      <c r="ID747" s="73"/>
      <c r="IE747" s="73"/>
      <c r="IF747" s="73"/>
      <c r="IG747" s="73"/>
      <c r="IH747" s="73"/>
      <c r="II747" s="73"/>
      <c r="IJ747" s="73"/>
      <c r="IK747" s="73"/>
      <c r="IL747" s="73"/>
      <c r="IM747" s="73"/>
      <c r="IN747" s="73"/>
      <c r="IO747" s="73"/>
      <c r="IP747" s="73"/>
      <c r="IQ747" s="73"/>
      <c r="IR747" s="73"/>
      <c r="IS747" s="73"/>
      <c r="IT747" s="73"/>
      <c r="IU747" s="73"/>
      <c r="IV747" s="73"/>
      <c r="IW747" s="73"/>
      <c r="IX747" s="73"/>
      <c r="IY747" s="73"/>
      <c r="IZ747" s="73"/>
      <c r="JA747" s="73"/>
      <c r="JB747" s="73"/>
      <c r="JC747" s="73"/>
    </row>
    <row r="748" spans="2:263" s="72" customFormat="1">
      <c r="B748" s="73"/>
      <c r="C748" s="73"/>
      <c r="D748" s="73"/>
      <c r="E748" s="73"/>
      <c r="F748" s="73"/>
      <c r="G748" s="73"/>
      <c r="H748" s="73"/>
      <c r="I748" s="73"/>
      <c r="J748" s="73"/>
      <c r="K748" s="73"/>
      <c r="L748" s="73"/>
      <c r="M748" s="73"/>
      <c r="N748" s="73"/>
      <c r="O748" s="73"/>
      <c r="P748" s="73"/>
      <c r="Q748" s="73"/>
      <c r="R748" s="73"/>
      <c r="S748" s="73"/>
      <c r="T748" s="73"/>
      <c r="U748" s="73"/>
      <c r="V748" s="73"/>
      <c r="W748" s="73"/>
      <c r="GL748" s="73"/>
      <c r="GM748" s="73"/>
      <c r="GN748" s="73"/>
      <c r="GO748" s="73"/>
      <c r="GP748" s="73"/>
      <c r="GQ748" s="73"/>
      <c r="GR748" s="73"/>
      <c r="GS748" s="73"/>
      <c r="GT748" s="73"/>
      <c r="GU748" s="73"/>
      <c r="GV748" s="73"/>
      <c r="GW748" s="73"/>
      <c r="GX748" s="73"/>
      <c r="GY748" s="73"/>
      <c r="GZ748" s="73"/>
      <c r="HA748" s="73"/>
      <c r="HB748" s="73"/>
      <c r="HC748" s="73"/>
      <c r="HD748" s="73"/>
      <c r="HE748" s="73"/>
      <c r="HF748" s="73"/>
      <c r="HG748" s="73"/>
      <c r="HH748" s="73"/>
      <c r="HI748" s="73"/>
      <c r="HJ748" s="73"/>
      <c r="HK748" s="73"/>
      <c r="HL748" s="73"/>
      <c r="HM748" s="73"/>
      <c r="HN748" s="73"/>
      <c r="HO748" s="73"/>
      <c r="HP748" s="73"/>
      <c r="HQ748" s="73"/>
      <c r="HR748" s="73"/>
      <c r="HS748" s="73"/>
      <c r="HT748" s="73"/>
      <c r="HU748" s="73"/>
      <c r="HV748" s="73"/>
      <c r="HW748" s="73"/>
      <c r="HX748" s="73"/>
      <c r="HY748" s="73"/>
      <c r="HZ748" s="73"/>
      <c r="IA748" s="73"/>
      <c r="IB748" s="73"/>
      <c r="IC748" s="73"/>
      <c r="ID748" s="73"/>
      <c r="IE748" s="73"/>
      <c r="IF748" s="73"/>
      <c r="IG748" s="73"/>
      <c r="IH748" s="73"/>
      <c r="II748" s="73"/>
      <c r="IJ748" s="73"/>
      <c r="IK748" s="73"/>
      <c r="IL748" s="73"/>
      <c r="IM748" s="73"/>
      <c r="IN748" s="73"/>
      <c r="IO748" s="73"/>
      <c r="IP748" s="73"/>
      <c r="IQ748" s="73"/>
      <c r="IR748" s="73"/>
      <c r="IS748" s="73"/>
      <c r="IT748" s="73"/>
      <c r="IU748" s="73"/>
      <c r="IV748" s="73"/>
      <c r="IW748" s="73"/>
      <c r="IX748" s="73"/>
      <c r="IY748" s="73"/>
      <c r="IZ748" s="73"/>
      <c r="JA748" s="73"/>
      <c r="JB748" s="73"/>
      <c r="JC748" s="73"/>
    </row>
    <row r="749" spans="2:263" s="72" customFormat="1">
      <c r="B749" s="73"/>
      <c r="C749" s="73"/>
      <c r="D749" s="73"/>
      <c r="E749" s="73"/>
      <c r="F749" s="73"/>
      <c r="G749" s="73"/>
      <c r="H749" s="73"/>
      <c r="I749" s="73"/>
      <c r="J749" s="73"/>
      <c r="K749" s="73"/>
      <c r="L749" s="73"/>
      <c r="M749" s="73"/>
      <c r="N749" s="73"/>
      <c r="O749" s="73"/>
      <c r="P749" s="73"/>
      <c r="Q749" s="73"/>
      <c r="R749" s="73"/>
      <c r="S749" s="73"/>
      <c r="T749" s="73"/>
      <c r="U749" s="73"/>
      <c r="V749" s="73"/>
      <c r="W749" s="73"/>
      <c r="GL749" s="73"/>
      <c r="GM749" s="73"/>
      <c r="GN749" s="73"/>
      <c r="GO749" s="73"/>
      <c r="GP749" s="73"/>
      <c r="GQ749" s="73"/>
      <c r="GR749" s="73"/>
      <c r="GS749" s="73"/>
      <c r="GT749" s="73"/>
      <c r="GU749" s="73"/>
      <c r="GV749" s="73"/>
      <c r="GW749" s="73"/>
      <c r="GX749" s="73"/>
      <c r="GY749" s="73"/>
      <c r="GZ749" s="73"/>
      <c r="HA749" s="73"/>
      <c r="HB749" s="73"/>
      <c r="HC749" s="73"/>
      <c r="HD749" s="73"/>
      <c r="HE749" s="73"/>
      <c r="HF749" s="73"/>
      <c r="HG749" s="73"/>
      <c r="HH749" s="73"/>
      <c r="HI749" s="73"/>
      <c r="HJ749" s="73"/>
      <c r="HK749" s="73"/>
      <c r="HL749" s="73"/>
      <c r="HM749" s="73"/>
      <c r="HN749" s="73"/>
      <c r="HO749" s="73"/>
      <c r="HP749" s="73"/>
      <c r="HQ749" s="73"/>
      <c r="HR749" s="73"/>
      <c r="HS749" s="73"/>
      <c r="HT749" s="73"/>
      <c r="HU749" s="73"/>
      <c r="HV749" s="73"/>
      <c r="HW749" s="73"/>
      <c r="HX749" s="73"/>
      <c r="HY749" s="73"/>
      <c r="HZ749" s="73"/>
      <c r="IA749" s="73"/>
      <c r="IB749" s="73"/>
      <c r="IC749" s="73"/>
      <c r="ID749" s="73"/>
      <c r="IE749" s="73"/>
      <c r="IF749" s="73"/>
      <c r="IG749" s="73"/>
      <c r="IH749" s="73"/>
      <c r="II749" s="73"/>
      <c r="IJ749" s="73"/>
      <c r="IK749" s="73"/>
      <c r="IL749" s="73"/>
      <c r="IM749" s="73"/>
      <c r="IN749" s="73"/>
      <c r="IO749" s="73"/>
      <c r="IP749" s="73"/>
      <c r="IQ749" s="73"/>
      <c r="IR749" s="73"/>
      <c r="IS749" s="73"/>
      <c r="IT749" s="73"/>
      <c r="IU749" s="73"/>
      <c r="IV749" s="73"/>
      <c r="IW749" s="73"/>
      <c r="IX749" s="73"/>
      <c r="IY749" s="73"/>
      <c r="IZ749" s="73"/>
      <c r="JA749" s="73"/>
      <c r="JB749" s="73"/>
      <c r="JC749" s="73"/>
    </row>
    <row r="750" spans="2:263" s="72" customFormat="1">
      <c r="B750" s="73"/>
      <c r="C750" s="73"/>
      <c r="D750" s="73"/>
      <c r="E750" s="73"/>
      <c r="F750" s="73"/>
      <c r="G750" s="73"/>
      <c r="H750" s="73"/>
      <c r="I750" s="73"/>
      <c r="J750" s="73"/>
      <c r="K750" s="73"/>
      <c r="L750" s="73"/>
      <c r="M750" s="73"/>
      <c r="N750" s="73"/>
      <c r="O750" s="73"/>
      <c r="P750" s="73"/>
      <c r="Q750" s="73"/>
      <c r="R750" s="73"/>
      <c r="S750" s="73"/>
      <c r="T750" s="73"/>
      <c r="U750" s="73"/>
      <c r="V750" s="73"/>
      <c r="W750" s="73"/>
      <c r="GL750" s="73"/>
      <c r="GM750" s="73"/>
      <c r="GN750" s="73"/>
      <c r="GO750" s="73"/>
      <c r="GP750" s="73"/>
      <c r="GQ750" s="73"/>
      <c r="GR750" s="73"/>
      <c r="GS750" s="73"/>
      <c r="GT750" s="73"/>
      <c r="GU750" s="73"/>
      <c r="GV750" s="73"/>
      <c r="GW750" s="73"/>
      <c r="GX750" s="73"/>
      <c r="GY750" s="73"/>
      <c r="GZ750" s="73"/>
      <c r="HA750" s="73"/>
      <c r="HB750" s="73"/>
      <c r="HC750" s="73"/>
      <c r="HD750" s="73"/>
      <c r="HE750" s="73"/>
      <c r="HF750" s="73"/>
      <c r="HG750" s="73"/>
      <c r="HH750" s="73"/>
      <c r="HI750" s="73"/>
      <c r="HJ750" s="73"/>
      <c r="HK750" s="73"/>
      <c r="HL750" s="73"/>
      <c r="HM750" s="73"/>
      <c r="HN750" s="73"/>
      <c r="HO750" s="73"/>
      <c r="HP750" s="73"/>
      <c r="HQ750" s="73"/>
      <c r="HR750" s="73"/>
      <c r="HS750" s="73"/>
      <c r="HT750" s="73"/>
      <c r="HU750" s="73"/>
      <c r="HV750" s="73"/>
      <c r="HW750" s="73"/>
      <c r="HX750" s="73"/>
      <c r="HY750" s="73"/>
      <c r="HZ750" s="73"/>
      <c r="IA750" s="73"/>
      <c r="IB750" s="73"/>
      <c r="IC750" s="73"/>
      <c r="ID750" s="73"/>
      <c r="IE750" s="73"/>
      <c r="IF750" s="73"/>
      <c r="IG750" s="73"/>
      <c r="IH750" s="73"/>
      <c r="II750" s="73"/>
      <c r="IJ750" s="73"/>
      <c r="IK750" s="73"/>
      <c r="IL750" s="73"/>
      <c r="IM750" s="73"/>
      <c r="IN750" s="73"/>
      <c r="IO750" s="73"/>
      <c r="IP750" s="73"/>
      <c r="IQ750" s="73"/>
      <c r="IR750" s="73"/>
      <c r="IS750" s="73"/>
      <c r="IT750" s="73"/>
      <c r="IU750" s="73"/>
      <c r="IV750" s="73"/>
      <c r="IW750" s="73"/>
      <c r="IX750" s="73"/>
      <c r="IY750" s="73"/>
      <c r="IZ750" s="73"/>
      <c r="JA750" s="73"/>
      <c r="JB750" s="73"/>
      <c r="JC750" s="73"/>
    </row>
    <row r="751" spans="2:263" s="72" customFormat="1">
      <c r="B751" s="73"/>
      <c r="C751" s="73"/>
      <c r="D751" s="73"/>
      <c r="E751" s="73"/>
      <c r="F751" s="73"/>
      <c r="G751" s="73"/>
      <c r="H751" s="73"/>
      <c r="I751" s="73"/>
      <c r="J751" s="73"/>
      <c r="K751" s="73"/>
      <c r="L751" s="73"/>
      <c r="M751" s="73"/>
      <c r="N751" s="73"/>
      <c r="O751" s="73"/>
      <c r="P751" s="73"/>
      <c r="Q751" s="73"/>
      <c r="R751" s="73"/>
      <c r="S751" s="73"/>
      <c r="T751" s="73"/>
      <c r="U751" s="73"/>
      <c r="V751" s="73"/>
      <c r="W751" s="73"/>
      <c r="GL751" s="73"/>
      <c r="GM751" s="73"/>
      <c r="GN751" s="73"/>
      <c r="GO751" s="73"/>
      <c r="GP751" s="73"/>
      <c r="GQ751" s="73"/>
      <c r="GR751" s="73"/>
      <c r="GS751" s="73"/>
      <c r="GT751" s="73"/>
      <c r="GU751" s="73"/>
      <c r="GV751" s="73"/>
      <c r="GW751" s="73"/>
      <c r="GX751" s="73"/>
      <c r="GY751" s="73"/>
      <c r="GZ751" s="73"/>
      <c r="HA751" s="73"/>
      <c r="HB751" s="73"/>
      <c r="HC751" s="73"/>
      <c r="HD751" s="73"/>
      <c r="HE751" s="73"/>
      <c r="HF751" s="73"/>
      <c r="HG751" s="73"/>
      <c r="HH751" s="73"/>
      <c r="HI751" s="73"/>
      <c r="HJ751" s="73"/>
      <c r="HK751" s="73"/>
      <c r="HL751" s="73"/>
      <c r="HM751" s="73"/>
      <c r="HN751" s="73"/>
      <c r="HO751" s="73"/>
      <c r="HP751" s="73"/>
      <c r="HQ751" s="73"/>
      <c r="HR751" s="73"/>
      <c r="HS751" s="73"/>
      <c r="HT751" s="73"/>
      <c r="HU751" s="73"/>
      <c r="HV751" s="73"/>
      <c r="HW751" s="73"/>
      <c r="HX751" s="73"/>
      <c r="HY751" s="73"/>
      <c r="HZ751" s="73"/>
      <c r="IA751" s="73"/>
      <c r="IB751" s="73"/>
      <c r="IC751" s="73"/>
      <c r="ID751" s="73"/>
      <c r="IE751" s="73"/>
      <c r="IF751" s="73"/>
      <c r="IG751" s="73"/>
      <c r="IH751" s="73"/>
      <c r="II751" s="73"/>
      <c r="IJ751" s="73"/>
      <c r="IK751" s="73"/>
      <c r="IL751" s="73"/>
      <c r="IM751" s="73"/>
      <c r="IN751" s="73"/>
      <c r="IO751" s="73"/>
      <c r="IP751" s="73"/>
      <c r="IQ751" s="73"/>
      <c r="IR751" s="73"/>
      <c r="IS751" s="73"/>
      <c r="IT751" s="73"/>
      <c r="IU751" s="73"/>
      <c r="IV751" s="73"/>
      <c r="IW751" s="73"/>
      <c r="IX751" s="73"/>
      <c r="IY751" s="73"/>
      <c r="IZ751" s="73"/>
      <c r="JA751" s="73"/>
      <c r="JB751" s="73"/>
      <c r="JC751" s="73"/>
    </row>
    <row r="752" spans="2:263" s="72" customFormat="1">
      <c r="B752" s="73"/>
      <c r="C752" s="73"/>
      <c r="D752" s="73"/>
      <c r="E752" s="73"/>
      <c r="F752" s="73"/>
      <c r="G752" s="73"/>
      <c r="H752" s="73"/>
      <c r="I752" s="73"/>
      <c r="J752" s="73"/>
      <c r="K752" s="73"/>
      <c r="L752" s="73"/>
      <c r="M752" s="73"/>
      <c r="N752" s="73"/>
      <c r="O752" s="73"/>
      <c r="P752" s="73"/>
      <c r="Q752" s="73"/>
      <c r="R752" s="73"/>
      <c r="S752" s="73"/>
      <c r="T752" s="73"/>
      <c r="U752" s="73"/>
      <c r="V752" s="73"/>
      <c r="W752" s="73"/>
      <c r="GL752" s="73"/>
      <c r="GM752" s="73"/>
      <c r="GN752" s="73"/>
      <c r="GO752" s="73"/>
      <c r="GP752" s="73"/>
      <c r="GQ752" s="73"/>
      <c r="GR752" s="73"/>
      <c r="GS752" s="73"/>
      <c r="GT752" s="73"/>
      <c r="GU752" s="73"/>
      <c r="GV752" s="73"/>
      <c r="GW752" s="73"/>
      <c r="GX752" s="73"/>
      <c r="GY752" s="73"/>
      <c r="GZ752" s="73"/>
      <c r="HA752" s="73"/>
      <c r="HB752" s="73"/>
      <c r="HC752" s="73"/>
      <c r="HD752" s="73"/>
      <c r="HE752" s="73"/>
      <c r="HF752" s="73"/>
      <c r="HG752" s="73"/>
      <c r="HH752" s="73"/>
      <c r="HI752" s="73"/>
      <c r="HJ752" s="73"/>
      <c r="HK752" s="73"/>
      <c r="HL752" s="73"/>
      <c r="HM752" s="73"/>
      <c r="HN752" s="73"/>
      <c r="HO752" s="73"/>
      <c r="HP752" s="73"/>
      <c r="HQ752" s="73"/>
      <c r="HR752" s="73"/>
      <c r="HS752" s="73"/>
      <c r="HT752" s="73"/>
      <c r="HU752" s="73"/>
      <c r="HV752" s="73"/>
      <c r="HW752" s="73"/>
      <c r="HX752" s="73"/>
      <c r="HY752" s="73"/>
      <c r="HZ752" s="73"/>
      <c r="IA752" s="73"/>
      <c r="IB752" s="73"/>
      <c r="IC752" s="73"/>
      <c r="ID752" s="73"/>
      <c r="IE752" s="73"/>
      <c r="IF752" s="73"/>
      <c r="IG752" s="73"/>
      <c r="IH752" s="73"/>
      <c r="II752" s="73"/>
      <c r="IJ752" s="73"/>
      <c r="IK752" s="73"/>
      <c r="IL752" s="73"/>
      <c r="IM752" s="73"/>
      <c r="IN752" s="73"/>
      <c r="IO752" s="73"/>
      <c r="IP752" s="73"/>
      <c r="IQ752" s="73"/>
      <c r="IR752" s="73"/>
      <c r="IS752" s="73"/>
      <c r="IT752" s="73"/>
      <c r="IU752" s="73"/>
      <c r="IV752" s="73"/>
      <c r="IW752" s="73"/>
      <c r="IX752" s="73"/>
      <c r="IY752" s="73"/>
      <c r="IZ752" s="73"/>
      <c r="JA752" s="73"/>
      <c r="JB752" s="73"/>
      <c r="JC752" s="73"/>
    </row>
    <row r="753" spans="2:263" s="72" customFormat="1">
      <c r="B753" s="73"/>
      <c r="C753" s="73"/>
      <c r="D753" s="73"/>
      <c r="E753" s="73"/>
      <c r="F753" s="73"/>
      <c r="G753" s="73"/>
      <c r="H753" s="73"/>
      <c r="I753" s="73"/>
      <c r="J753" s="73"/>
      <c r="K753" s="73"/>
      <c r="L753" s="73"/>
      <c r="M753" s="73"/>
      <c r="N753" s="73"/>
      <c r="O753" s="73"/>
      <c r="P753" s="73"/>
      <c r="Q753" s="73"/>
      <c r="R753" s="73"/>
      <c r="S753" s="73"/>
      <c r="T753" s="73"/>
      <c r="U753" s="73"/>
      <c r="V753" s="73"/>
      <c r="W753" s="73"/>
      <c r="GL753" s="73"/>
      <c r="GM753" s="73"/>
      <c r="GN753" s="73"/>
      <c r="GO753" s="73"/>
      <c r="GP753" s="73"/>
      <c r="GQ753" s="73"/>
      <c r="GR753" s="73"/>
      <c r="GS753" s="73"/>
      <c r="GT753" s="73"/>
      <c r="GU753" s="73"/>
      <c r="GV753" s="73"/>
      <c r="GW753" s="73"/>
      <c r="GX753" s="73"/>
      <c r="GY753" s="73"/>
      <c r="GZ753" s="73"/>
      <c r="HA753" s="73"/>
      <c r="HB753" s="73"/>
      <c r="HC753" s="73"/>
      <c r="HD753" s="73"/>
      <c r="HE753" s="73"/>
      <c r="HF753" s="73"/>
      <c r="HG753" s="73"/>
      <c r="HH753" s="73"/>
      <c r="HI753" s="73"/>
      <c r="HJ753" s="73"/>
      <c r="HK753" s="73"/>
      <c r="HL753" s="73"/>
      <c r="HM753" s="73"/>
      <c r="HN753" s="73"/>
      <c r="HO753" s="73"/>
      <c r="HP753" s="73"/>
      <c r="HQ753" s="73"/>
      <c r="HR753" s="73"/>
      <c r="HS753" s="73"/>
      <c r="HT753" s="73"/>
      <c r="HU753" s="73"/>
      <c r="HV753" s="73"/>
      <c r="HW753" s="73"/>
      <c r="HX753" s="73"/>
      <c r="HY753" s="73"/>
      <c r="HZ753" s="73"/>
      <c r="IA753" s="73"/>
      <c r="IB753" s="73"/>
      <c r="IC753" s="73"/>
      <c r="ID753" s="73"/>
      <c r="IE753" s="73"/>
      <c r="IF753" s="73"/>
      <c r="IG753" s="73"/>
      <c r="IH753" s="73"/>
      <c r="II753" s="73"/>
      <c r="IJ753" s="73"/>
      <c r="IK753" s="73"/>
      <c r="IL753" s="73"/>
      <c r="IM753" s="73"/>
      <c r="IN753" s="73"/>
      <c r="IO753" s="73"/>
      <c r="IP753" s="73"/>
      <c r="IQ753" s="73"/>
      <c r="IR753" s="73"/>
      <c r="IS753" s="73"/>
      <c r="IT753" s="73"/>
      <c r="IU753" s="73"/>
      <c r="IV753" s="73"/>
      <c r="IW753" s="73"/>
      <c r="IX753" s="73"/>
      <c r="IY753" s="73"/>
      <c r="IZ753" s="73"/>
      <c r="JA753" s="73"/>
      <c r="JB753" s="73"/>
      <c r="JC753" s="73"/>
    </row>
    <row r="754" spans="2:263" s="72" customFormat="1">
      <c r="B754" s="73"/>
      <c r="C754" s="73"/>
      <c r="D754" s="73"/>
      <c r="E754" s="73"/>
      <c r="F754" s="73"/>
      <c r="G754" s="73"/>
      <c r="H754" s="73"/>
      <c r="I754" s="73"/>
      <c r="J754" s="73"/>
      <c r="K754" s="73"/>
      <c r="L754" s="73"/>
      <c r="M754" s="73"/>
      <c r="N754" s="73"/>
      <c r="O754" s="73"/>
      <c r="P754" s="73"/>
      <c r="Q754" s="73"/>
      <c r="R754" s="73"/>
      <c r="S754" s="73"/>
      <c r="T754" s="73"/>
      <c r="U754" s="73"/>
      <c r="V754" s="73"/>
      <c r="W754" s="73"/>
      <c r="GL754" s="73"/>
      <c r="GM754" s="73"/>
      <c r="GN754" s="73"/>
      <c r="GO754" s="73"/>
      <c r="GP754" s="73"/>
      <c r="GQ754" s="73"/>
      <c r="GR754" s="73"/>
      <c r="GS754" s="73"/>
      <c r="GT754" s="73"/>
      <c r="GU754" s="73"/>
      <c r="GV754" s="73"/>
      <c r="GW754" s="73"/>
      <c r="GX754" s="73"/>
      <c r="GY754" s="73"/>
      <c r="GZ754" s="73"/>
      <c r="HA754" s="73"/>
      <c r="HB754" s="73"/>
      <c r="HC754" s="73"/>
      <c r="HD754" s="73"/>
      <c r="HE754" s="73"/>
      <c r="HF754" s="73"/>
      <c r="HG754" s="73"/>
      <c r="HH754" s="73"/>
      <c r="HI754" s="73"/>
      <c r="HJ754" s="73"/>
      <c r="HK754" s="73"/>
      <c r="HL754" s="73"/>
      <c r="HM754" s="73"/>
      <c r="HN754" s="73"/>
      <c r="HO754" s="73"/>
      <c r="HP754" s="73"/>
      <c r="HQ754" s="73"/>
      <c r="HR754" s="73"/>
      <c r="HS754" s="73"/>
      <c r="HT754" s="73"/>
      <c r="HU754" s="73"/>
      <c r="HV754" s="73"/>
      <c r="HW754" s="73"/>
      <c r="HX754" s="73"/>
      <c r="HY754" s="73"/>
      <c r="HZ754" s="73"/>
      <c r="IA754" s="73"/>
      <c r="IB754" s="73"/>
      <c r="IC754" s="73"/>
      <c r="ID754" s="73"/>
      <c r="IE754" s="73"/>
      <c r="IF754" s="73"/>
      <c r="IG754" s="73"/>
      <c r="IH754" s="73"/>
      <c r="II754" s="73"/>
      <c r="IJ754" s="73"/>
      <c r="IK754" s="73"/>
      <c r="IL754" s="73"/>
      <c r="IM754" s="73"/>
      <c r="IN754" s="73"/>
      <c r="IO754" s="73"/>
      <c r="IP754" s="73"/>
      <c r="IQ754" s="73"/>
      <c r="IR754" s="73"/>
      <c r="IS754" s="73"/>
      <c r="IT754" s="73"/>
      <c r="IU754" s="73"/>
      <c r="IV754" s="73"/>
      <c r="IW754" s="73"/>
      <c r="IX754" s="73"/>
      <c r="IY754" s="73"/>
      <c r="IZ754" s="73"/>
      <c r="JA754" s="73"/>
      <c r="JB754" s="73"/>
      <c r="JC754" s="73"/>
    </row>
    <row r="755" spans="2:263" s="72" customFormat="1">
      <c r="B755" s="73"/>
      <c r="C755" s="73"/>
      <c r="D755" s="73"/>
      <c r="E755" s="73"/>
      <c r="F755" s="73"/>
      <c r="G755" s="73"/>
      <c r="H755" s="73"/>
      <c r="I755" s="73"/>
      <c r="J755" s="73"/>
      <c r="K755" s="73"/>
      <c r="L755" s="73"/>
      <c r="M755" s="73"/>
      <c r="N755" s="73"/>
      <c r="O755" s="73"/>
      <c r="P755" s="73"/>
      <c r="Q755" s="73"/>
      <c r="R755" s="73"/>
      <c r="S755" s="73"/>
      <c r="T755" s="73"/>
      <c r="U755" s="73"/>
      <c r="V755" s="73"/>
      <c r="W755" s="73"/>
      <c r="GL755" s="73"/>
      <c r="GM755" s="73"/>
      <c r="GN755" s="73"/>
      <c r="GO755" s="73"/>
      <c r="GP755" s="73"/>
      <c r="GQ755" s="73"/>
      <c r="GR755" s="73"/>
      <c r="GS755" s="73"/>
      <c r="GT755" s="73"/>
      <c r="GU755" s="73"/>
      <c r="GV755" s="73"/>
      <c r="GW755" s="73"/>
      <c r="GX755" s="73"/>
      <c r="GY755" s="73"/>
      <c r="GZ755" s="73"/>
      <c r="HA755" s="73"/>
      <c r="HB755" s="73"/>
      <c r="HC755" s="73"/>
      <c r="HD755" s="73"/>
      <c r="HE755" s="73"/>
      <c r="HF755" s="73"/>
      <c r="HG755" s="73"/>
      <c r="HH755" s="73"/>
      <c r="HI755" s="73"/>
      <c r="HJ755" s="73"/>
      <c r="HK755" s="73"/>
      <c r="HL755" s="73"/>
      <c r="HM755" s="73"/>
      <c r="HN755" s="73"/>
      <c r="HO755" s="73"/>
      <c r="HP755" s="73"/>
      <c r="HQ755" s="73"/>
      <c r="HR755" s="73"/>
      <c r="HS755" s="73"/>
      <c r="HT755" s="73"/>
      <c r="HU755" s="73"/>
      <c r="HV755" s="73"/>
      <c r="HW755" s="73"/>
      <c r="HX755" s="73"/>
      <c r="HY755" s="73"/>
      <c r="HZ755" s="73"/>
      <c r="IA755" s="73"/>
      <c r="IB755" s="73"/>
      <c r="IC755" s="73"/>
      <c r="ID755" s="73"/>
      <c r="IE755" s="73"/>
      <c r="IF755" s="73"/>
      <c r="IG755" s="73"/>
      <c r="IH755" s="73"/>
      <c r="II755" s="73"/>
      <c r="IJ755" s="73"/>
      <c r="IK755" s="73"/>
      <c r="IL755" s="73"/>
      <c r="IM755" s="73"/>
      <c r="IN755" s="73"/>
      <c r="IO755" s="73"/>
      <c r="IP755" s="73"/>
      <c r="IQ755" s="73"/>
      <c r="IR755" s="73"/>
      <c r="IS755" s="73"/>
      <c r="IT755" s="73"/>
      <c r="IU755" s="73"/>
      <c r="IV755" s="73"/>
      <c r="IW755" s="73"/>
      <c r="IX755" s="73"/>
      <c r="IY755" s="73"/>
      <c r="IZ755" s="73"/>
      <c r="JA755" s="73"/>
      <c r="JB755" s="73"/>
      <c r="JC755" s="73"/>
    </row>
    <row r="756" spans="2:263" s="72" customFormat="1">
      <c r="B756" s="73"/>
      <c r="C756" s="73"/>
      <c r="D756" s="73"/>
      <c r="E756" s="73"/>
      <c r="F756" s="73"/>
      <c r="G756" s="73"/>
      <c r="H756" s="73"/>
      <c r="I756" s="73"/>
      <c r="J756" s="73"/>
      <c r="K756" s="73"/>
      <c r="L756" s="73"/>
      <c r="M756" s="73"/>
      <c r="N756" s="73"/>
      <c r="O756" s="73"/>
      <c r="P756" s="73"/>
      <c r="Q756" s="73"/>
      <c r="R756" s="73"/>
      <c r="S756" s="73"/>
      <c r="T756" s="73"/>
      <c r="U756" s="73"/>
      <c r="V756" s="73"/>
      <c r="W756" s="73"/>
      <c r="GL756" s="73"/>
      <c r="GM756" s="73"/>
      <c r="GN756" s="73"/>
      <c r="GO756" s="73"/>
      <c r="GP756" s="73"/>
      <c r="GQ756" s="73"/>
      <c r="GR756" s="73"/>
      <c r="GS756" s="73"/>
      <c r="GT756" s="73"/>
      <c r="GU756" s="73"/>
      <c r="GV756" s="73"/>
      <c r="GW756" s="73"/>
      <c r="GX756" s="73"/>
      <c r="GY756" s="73"/>
      <c r="GZ756" s="73"/>
      <c r="HA756" s="73"/>
      <c r="HB756" s="73"/>
      <c r="HC756" s="73"/>
      <c r="HD756" s="73"/>
      <c r="HE756" s="73"/>
      <c r="HF756" s="73"/>
      <c r="HG756" s="73"/>
      <c r="HH756" s="73"/>
      <c r="HI756" s="73"/>
      <c r="HJ756" s="73"/>
      <c r="HK756" s="73"/>
      <c r="HL756" s="73"/>
      <c r="HM756" s="73"/>
      <c r="HN756" s="73"/>
      <c r="HO756" s="73"/>
      <c r="HP756" s="73"/>
      <c r="HQ756" s="73"/>
      <c r="HR756" s="73"/>
      <c r="HS756" s="73"/>
      <c r="HT756" s="73"/>
      <c r="HU756" s="73"/>
      <c r="HV756" s="73"/>
      <c r="HW756" s="73"/>
      <c r="HX756" s="73"/>
      <c r="HY756" s="73"/>
      <c r="HZ756" s="73"/>
      <c r="IA756" s="73"/>
      <c r="IB756" s="73"/>
      <c r="IC756" s="73"/>
      <c r="ID756" s="73"/>
      <c r="IE756" s="73"/>
      <c r="IF756" s="73"/>
      <c r="IG756" s="73"/>
      <c r="IH756" s="73"/>
      <c r="II756" s="73"/>
      <c r="IJ756" s="73"/>
      <c r="IK756" s="73"/>
      <c r="IL756" s="73"/>
      <c r="IM756" s="73"/>
      <c r="IN756" s="73"/>
      <c r="IO756" s="73"/>
      <c r="IP756" s="73"/>
      <c r="IQ756" s="73"/>
      <c r="IR756" s="73"/>
      <c r="IS756" s="73"/>
      <c r="IT756" s="73"/>
      <c r="IU756" s="73"/>
      <c r="IV756" s="73"/>
      <c r="IW756" s="73"/>
      <c r="IX756" s="73"/>
      <c r="IY756" s="73"/>
      <c r="IZ756" s="73"/>
      <c r="JA756" s="73"/>
      <c r="JB756" s="73"/>
      <c r="JC756" s="73"/>
    </row>
    <row r="757" spans="2:263" s="72" customFormat="1">
      <c r="B757" s="73"/>
      <c r="C757" s="73"/>
      <c r="D757" s="73"/>
      <c r="E757" s="73"/>
      <c r="F757" s="73"/>
      <c r="G757" s="73"/>
      <c r="H757" s="73"/>
      <c r="I757" s="73"/>
      <c r="J757" s="73"/>
      <c r="K757" s="73"/>
      <c r="L757" s="73"/>
      <c r="M757" s="73"/>
      <c r="N757" s="73"/>
      <c r="O757" s="73"/>
      <c r="P757" s="73"/>
      <c r="Q757" s="73"/>
      <c r="R757" s="73"/>
      <c r="S757" s="73"/>
      <c r="T757" s="73"/>
      <c r="U757" s="73"/>
      <c r="V757" s="73"/>
      <c r="W757" s="73"/>
      <c r="GL757" s="73"/>
      <c r="GM757" s="73"/>
      <c r="GN757" s="73"/>
      <c r="GO757" s="73"/>
      <c r="GP757" s="73"/>
      <c r="GQ757" s="73"/>
      <c r="GR757" s="73"/>
      <c r="GS757" s="73"/>
      <c r="GT757" s="73"/>
      <c r="GU757" s="73"/>
      <c r="GV757" s="73"/>
      <c r="GW757" s="73"/>
      <c r="GX757" s="73"/>
      <c r="GY757" s="73"/>
      <c r="GZ757" s="73"/>
      <c r="HA757" s="73"/>
      <c r="HB757" s="73"/>
      <c r="HC757" s="73"/>
      <c r="HD757" s="73"/>
      <c r="HE757" s="73"/>
      <c r="HF757" s="73"/>
      <c r="HG757" s="73"/>
      <c r="HH757" s="73"/>
      <c r="HI757" s="73"/>
      <c r="HJ757" s="73"/>
      <c r="HK757" s="73"/>
      <c r="HL757" s="73"/>
      <c r="HM757" s="73"/>
      <c r="HN757" s="73"/>
      <c r="HO757" s="73"/>
      <c r="HP757" s="73"/>
      <c r="HQ757" s="73"/>
      <c r="HR757" s="73"/>
      <c r="HS757" s="73"/>
      <c r="HT757" s="73"/>
      <c r="HU757" s="73"/>
      <c r="HV757" s="73"/>
      <c r="HW757" s="73"/>
      <c r="HX757" s="73"/>
      <c r="HY757" s="73"/>
      <c r="HZ757" s="73"/>
      <c r="IA757" s="73"/>
      <c r="IB757" s="73"/>
      <c r="IC757" s="73"/>
      <c r="ID757" s="73"/>
      <c r="IE757" s="73"/>
      <c r="IF757" s="73"/>
      <c r="IG757" s="73"/>
      <c r="IH757" s="73"/>
      <c r="II757" s="73"/>
      <c r="IJ757" s="73"/>
      <c r="IK757" s="73"/>
      <c r="IL757" s="73"/>
      <c r="IM757" s="73"/>
      <c r="IN757" s="73"/>
      <c r="IO757" s="73"/>
      <c r="IP757" s="73"/>
      <c r="IQ757" s="73"/>
      <c r="IR757" s="73"/>
      <c r="IS757" s="73"/>
      <c r="IT757" s="73"/>
      <c r="IU757" s="73"/>
      <c r="IV757" s="73"/>
      <c r="IW757" s="73"/>
      <c r="IX757" s="73"/>
      <c r="IY757" s="73"/>
      <c r="IZ757" s="73"/>
      <c r="JA757" s="73"/>
      <c r="JB757" s="73"/>
      <c r="JC757" s="73"/>
    </row>
    <row r="758" spans="2:263" s="72" customFormat="1">
      <c r="B758" s="73"/>
      <c r="C758" s="73"/>
      <c r="D758" s="73"/>
      <c r="E758" s="73"/>
      <c r="F758" s="73"/>
      <c r="G758" s="73"/>
      <c r="H758" s="73"/>
      <c r="I758" s="73"/>
      <c r="J758" s="73"/>
      <c r="K758" s="73"/>
      <c r="L758" s="73"/>
      <c r="M758" s="73"/>
      <c r="N758" s="73"/>
      <c r="O758" s="73"/>
      <c r="P758" s="73"/>
      <c r="Q758" s="73"/>
      <c r="R758" s="73"/>
      <c r="S758" s="73"/>
      <c r="T758" s="73"/>
      <c r="U758" s="73"/>
      <c r="V758" s="73"/>
      <c r="W758" s="73"/>
      <c r="GL758" s="73"/>
      <c r="GM758" s="73"/>
      <c r="GN758" s="73"/>
      <c r="GO758" s="73"/>
      <c r="GP758" s="73"/>
      <c r="GQ758" s="73"/>
      <c r="GR758" s="73"/>
      <c r="GS758" s="73"/>
      <c r="GT758" s="73"/>
      <c r="GU758" s="73"/>
      <c r="GV758" s="73"/>
      <c r="GW758" s="73"/>
      <c r="GX758" s="73"/>
      <c r="GY758" s="73"/>
      <c r="GZ758" s="73"/>
      <c r="HA758" s="73"/>
      <c r="HB758" s="73"/>
      <c r="HC758" s="73"/>
      <c r="HD758" s="73"/>
      <c r="HE758" s="73"/>
      <c r="HF758" s="73"/>
      <c r="HG758" s="73"/>
      <c r="HH758" s="73"/>
      <c r="HI758" s="73"/>
      <c r="HJ758" s="73"/>
      <c r="HK758" s="73"/>
      <c r="HL758" s="73"/>
      <c r="HM758" s="73"/>
      <c r="HN758" s="73"/>
      <c r="HO758" s="73"/>
      <c r="HP758" s="73"/>
      <c r="HQ758" s="73"/>
      <c r="HR758" s="73"/>
      <c r="HS758" s="73"/>
      <c r="HT758" s="73"/>
      <c r="HU758" s="73"/>
      <c r="HV758" s="73"/>
      <c r="HW758" s="73"/>
      <c r="HX758" s="73"/>
      <c r="HY758" s="73"/>
      <c r="HZ758" s="73"/>
      <c r="IA758" s="73"/>
      <c r="IB758" s="73"/>
      <c r="IC758" s="73"/>
      <c r="ID758" s="73"/>
      <c r="IE758" s="73"/>
      <c r="IF758" s="73"/>
      <c r="IG758" s="73"/>
      <c r="IH758" s="73"/>
      <c r="II758" s="73"/>
      <c r="IJ758" s="73"/>
      <c r="IK758" s="73"/>
      <c r="IL758" s="73"/>
      <c r="IM758" s="73"/>
      <c r="IN758" s="73"/>
      <c r="IO758" s="73"/>
      <c r="IP758" s="73"/>
      <c r="IQ758" s="73"/>
      <c r="IR758" s="73"/>
      <c r="IS758" s="73"/>
      <c r="IT758" s="73"/>
      <c r="IU758" s="73"/>
      <c r="IV758" s="73"/>
      <c r="IW758" s="73"/>
      <c r="IX758" s="73"/>
      <c r="IY758" s="73"/>
      <c r="IZ758" s="73"/>
      <c r="JA758" s="73"/>
      <c r="JB758" s="73"/>
      <c r="JC758" s="73"/>
    </row>
    <row r="759" spans="2:263" s="72" customFormat="1">
      <c r="B759" s="73"/>
      <c r="C759" s="73"/>
      <c r="D759" s="73"/>
      <c r="E759" s="73"/>
      <c r="F759" s="73"/>
      <c r="G759" s="73"/>
      <c r="H759" s="73"/>
      <c r="I759" s="73"/>
      <c r="J759" s="73"/>
      <c r="K759" s="73"/>
      <c r="L759" s="73"/>
      <c r="M759" s="73"/>
      <c r="N759" s="73"/>
      <c r="O759" s="73"/>
      <c r="P759" s="73"/>
      <c r="Q759" s="73"/>
      <c r="R759" s="73"/>
      <c r="S759" s="73"/>
      <c r="T759" s="73"/>
      <c r="U759" s="73"/>
      <c r="V759" s="73"/>
      <c r="W759" s="73"/>
      <c r="GL759" s="73"/>
      <c r="GM759" s="73"/>
      <c r="GN759" s="73"/>
      <c r="GO759" s="73"/>
      <c r="GP759" s="73"/>
      <c r="GQ759" s="73"/>
      <c r="GR759" s="73"/>
      <c r="GS759" s="73"/>
      <c r="GT759" s="73"/>
      <c r="GU759" s="73"/>
      <c r="GV759" s="73"/>
      <c r="GW759" s="73"/>
      <c r="GX759" s="73"/>
      <c r="GY759" s="73"/>
      <c r="GZ759" s="73"/>
      <c r="HA759" s="73"/>
      <c r="HB759" s="73"/>
      <c r="HC759" s="73"/>
      <c r="HD759" s="73"/>
      <c r="HE759" s="73"/>
      <c r="HF759" s="73"/>
      <c r="HG759" s="73"/>
      <c r="HH759" s="73"/>
      <c r="HI759" s="73"/>
      <c r="HJ759" s="73"/>
      <c r="HK759" s="73"/>
      <c r="HL759" s="73"/>
      <c r="HM759" s="73"/>
      <c r="HN759" s="73"/>
      <c r="HO759" s="73"/>
      <c r="HP759" s="73"/>
      <c r="HQ759" s="73"/>
      <c r="HR759" s="73"/>
      <c r="HS759" s="73"/>
      <c r="HT759" s="73"/>
      <c r="HU759" s="73"/>
      <c r="HV759" s="73"/>
      <c r="HW759" s="73"/>
      <c r="HX759" s="73"/>
      <c r="HY759" s="73"/>
      <c r="HZ759" s="73"/>
      <c r="IA759" s="73"/>
      <c r="IB759" s="73"/>
      <c r="IC759" s="73"/>
      <c r="ID759" s="73"/>
      <c r="IE759" s="73"/>
      <c r="IF759" s="73"/>
      <c r="IG759" s="73"/>
      <c r="IH759" s="73"/>
      <c r="II759" s="73"/>
      <c r="IJ759" s="73"/>
      <c r="IK759" s="73"/>
      <c r="IL759" s="73"/>
      <c r="IM759" s="73"/>
      <c r="IN759" s="73"/>
      <c r="IO759" s="73"/>
      <c r="IP759" s="73"/>
      <c r="IQ759" s="73"/>
      <c r="IR759" s="73"/>
      <c r="IS759" s="73"/>
      <c r="IT759" s="73"/>
      <c r="IU759" s="73"/>
      <c r="IV759" s="73"/>
      <c r="IW759" s="73"/>
      <c r="IX759" s="73"/>
      <c r="IY759" s="73"/>
      <c r="IZ759" s="73"/>
      <c r="JA759" s="73"/>
      <c r="JB759" s="73"/>
      <c r="JC759" s="73"/>
    </row>
    <row r="760" spans="2:263" s="72" customFormat="1">
      <c r="B760" s="73"/>
      <c r="C760" s="73"/>
      <c r="D760" s="73"/>
      <c r="E760" s="73"/>
      <c r="F760" s="73"/>
      <c r="G760" s="73"/>
      <c r="H760" s="73"/>
      <c r="I760" s="73"/>
      <c r="J760" s="73"/>
      <c r="K760" s="73"/>
      <c r="L760" s="73"/>
      <c r="M760" s="73"/>
      <c r="N760" s="73"/>
      <c r="O760" s="73"/>
      <c r="P760" s="73"/>
      <c r="Q760" s="73"/>
      <c r="R760" s="73"/>
      <c r="S760" s="73"/>
      <c r="T760" s="73"/>
      <c r="U760" s="73"/>
      <c r="V760" s="73"/>
      <c r="W760" s="73"/>
      <c r="GL760" s="73"/>
      <c r="GM760" s="73"/>
      <c r="GN760" s="73"/>
      <c r="GO760" s="73"/>
      <c r="GP760" s="73"/>
      <c r="GQ760" s="73"/>
      <c r="GR760" s="73"/>
      <c r="GS760" s="73"/>
      <c r="GT760" s="73"/>
      <c r="GU760" s="73"/>
      <c r="GV760" s="73"/>
      <c r="GW760" s="73"/>
      <c r="GX760" s="73"/>
      <c r="GY760" s="73"/>
      <c r="GZ760" s="73"/>
      <c r="HA760" s="73"/>
      <c r="HB760" s="73"/>
      <c r="HC760" s="73"/>
      <c r="HD760" s="73"/>
      <c r="HE760" s="73"/>
      <c r="HF760" s="73"/>
      <c r="HG760" s="73"/>
      <c r="HH760" s="73"/>
      <c r="HI760" s="73"/>
      <c r="HJ760" s="73"/>
      <c r="HK760" s="73"/>
      <c r="HL760" s="73"/>
      <c r="HM760" s="73"/>
      <c r="HN760" s="73"/>
      <c r="HO760" s="73"/>
      <c r="HP760" s="73"/>
      <c r="HQ760" s="73"/>
      <c r="HR760" s="73"/>
      <c r="HS760" s="73"/>
      <c r="HT760" s="73"/>
      <c r="HU760" s="73"/>
      <c r="HV760" s="73"/>
      <c r="HW760" s="73"/>
      <c r="HX760" s="73"/>
      <c r="HY760" s="73"/>
      <c r="HZ760" s="73"/>
      <c r="IA760" s="73"/>
      <c r="IB760" s="73"/>
      <c r="IC760" s="73"/>
      <c r="ID760" s="73"/>
      <c r="IE760" s="73"/>
      <c r="IF760" s="73"/>
      <c r="IG760" s="73"/>
      <c r="IH760" s="73"/>
      <c r="II760" s="73"/>
      <c r="IJ760" s="73"/>
      <c r="IK760" s="73"/>
      <c r="IL760" s="73"/>
      <c r="IM760" s="73"/>
      <c r="IN760" s="73"/>
      <c r="IO760" s="73"/>
      <c r="IP760" s="73"/>
      <c r="IQ760" s="73"/>
      <c r="IR760" s="73"/>
      <c r="IS760" s="73"/>
      <c r="IT760" s="73"/>
      <c r="IU760" s="73"/>
      <c r="IV760" s="73"/>
      <c r="IW760" s="73"/>
      <c r="IX760" s="73"/>
      <c r="IY760" s="73"/>
      <c r="IZ760" s="73"/>
      <c r="JA760" s="73"/>
      <c r="JB760" s="73"/>
      <c r="JC760" s="73"/>
    </row>
    <row r="761" spans="2:263" s="72" customFormat="1">
      <c r="B761" s="73"/>
      <c r="C761" s="73"/>
      <c r="D761" s="73"/>
      <c r="E761" s="73"/>
      <c r="F761" s="73"/>
      <c r="G761" s="73"/>
      <c r="H761" s="73"/>
      <c r="I761" s="73"/>
      <c r="J761" s="73"/>
      <c r="K761" s="73"/>
      <c r="L761" s="73"/>
      <c r="M761" s="73"/>
      <c r="N761" s="73"/>
      <c r="O761" s="73"/>
      <c r="P761" s="73"/>
      <c r="Q761" s="73"/>
      <c r="R761" s="73"/>
      <c r="S761" s="73"/>
      <c r="T761" s="73"/>
      <c r="U761" s="73"/>
      <c r="V761" s="73"/>
      <c r="W761" s="73"/>
      <c r="GL761" s="73"/>
      <c r="GM761" s="73"/>
      <c r="GN761" s="73"/>
      <c r="GO761" s="73"/>
      <c r="GP761" s="73"/>
      <c r="GQ761" s="73"/>
      <c r="GR761" s="73"/>
      <c r="GS761" s="73"/>
      <c r="GT761" s="73"/>
      <c r="GU761" s="73"/>
      <c r="GV761" s="73"/>
      <c r="GW761" s="73"/>
      <c r="GX761" s="73"/>
      <c r="GY761" s="73"/>
      <c r="GZ761" s="73"/>
      <c r="HA761" s="73"/>
      <c r="HB761" s="73"/>
      <c r="HC761" s="73"/>
      <c r="HD761" s="73"/>
      <c r="HE761" s="73"/>
      <c r="HF761" s="73"/>
      <c r="HG761" s="73"/>
      <c r="HH761" s="73"/>
      <c r="HI761" s="73"/>
      <c r="HJ761" s="73"/>
      <c r="HK761" s="73"/>
      <c r="HL761" s="73"/>
      <c r="HM761" s="73"/>
      <c r="HN761" s="73"/>
      <c r="HO761" s="73"/>
      <c r="HP761" s="73"/>
      <c r="HQ761" s="73"/>
      <c r="HR761" s="73"/>
      <c r="HS761" s="73"/>
      <c r="HT761" s="73"/>
      <c r="HU761" s="73"/>
      <c r="HV761" s="73"/>
      <c r="HW761" s="73"/>
      <c r="HX761" s="73"/>
      <c r="HY761" s="73"/>
      <c r="HZ761" s="73"/>
      <c r="IA761" s="73"/>
      <c r="IB761" s="73"/>
      <c r="IC761" s="73"/>
      <c r="ID761" s="73"/>
      <c r="IE761" s="73"/>
      <c r="IF761" s="73"/>
      <c r="IG761" s="73"/>
      <c r="IH761" s="73"/>
      <c r="II761" s="73"/>
      <c r="IJ761" s="73"/>
      <c r="IK761" s="73"/>
      <c r="IL761" s="73"/>
      <c r="IM761" s="73"/>
      <c r="IN761" s="73"/>
      <c r="IO761" s="73"/>
      <c r="IP761" s="73"/>
      <c r="IQ761" s="73"/>
      <c r="IR761" s="73"/>
      <c r="IS761" s="73"/>
      <c r="IT761" s="73"/>
      <c r="IU761" s="73"/>
      <c r="IV761" s="73"/>
      <c r="IW761" s="73"/>
      <c r="IX761" s="73"/>
      <c r="IY761" s="73"/>
      <c r="IZ761" s="73"/>
      <c r="JA761" s="73"/>
      <c r="JB761" s="73"/>
      <c r="JC761" s="73"/>
    </row>
    <row r="762" spans="2:263" s="72" customFormat="1">
      <c r="B762" s="73"/>
      <c r="C762" s="73"/>
      <c r="D762" s="73"/>
      <c r="E762" s="73"/>
      <c r="F762" s="73"/>
      <c r="G762" s="73"/>
      <c r="H762" s="73"/>
      <c r="I762" s="73"/>
      <c r="J762" s="73"/>
      <c r="K762" s="73"/>
      <c r="L762" s="73"/>
      <c r="M762" s="73"/>
      <c r="N762" s="73"/>
      <c r="O762" s="73"/>
      <c r="P762" s="73"/>
      <c r="Q762" s="73"/>
      <c r="R762" s="73"/>
      <c r="S762" s="73"/>
      <c r="T762" s="73"/>
      <c r="U762" s="73"/>
      <c r="V762" s="73"/>
      <c r="W762" s="73"/>
      <c r="GL762" s="73"/>
      <c r="GM762" s="73"/>
      <c r="GN762" s="73"/>
      <c r="GO762" s="73"/>
      <c r="GP762" s="73"/>
      <c r="GQ762" s="73"/>
      <c r="GR762" s="73"/>
      <c r="GS762" s="73"/>
      <c r="GT762" s="73"/>
      <c r="GU762" s="73"/>
      <c r="GV762" s="73"/>
      <c r="GW762" s="73"/>
      <c r="GX762" s="73"/>
      <c r="GY762" s="73"/>
      <c r="GZ762" s="73"/>
      <c r="HA762" s="73"/>
      <c r="HB762" s="73"/>
      <c r="HC762" s="73"/>
      <c r="HD762" s="73"/>
      <c r="HE762" s="73"/>
      <c r="HF762" s="73"/>
      <c r="HG762" s="73"/>
      <c r="HH762" s="73"/>
      <c r="HI762" s="73"/>
      <c r="HJ762" s="73"/>
      <c r="HK762" s="73"/>
      <c r="HL762" s="73"/>
      <c r="HM762" s="73"/>
      <c r="HN762" s="73"/>
      <c r="HO762" s="73"/>
      <c r="HP762" s="73"/>
      <c r="HQ762" s="73"/>
      <c r="HR762" s="73"/>
      <c r="HS762" s="73"/>
      <c r="HT762" s="73"/>
      <c r="HU762" s="73"/>
      <c r="HV762" s="73"/>
      <c r="HW762" s="73"/>
      <c r="HX762" s="73"/>
      <c r="HY762" s="73"/>
      <c r="HZ762" s="73"/>
      <c r="IA762" s="73"/>
      <c r="IB762" s="73"/>
      <c r="IC762" s="73"/>
      <c r="ID762" s="73"/>
      <c r="IE762" s="73"/>
      <c r="IF762" s="73"/>
      <c r="IG762" s="73"/>
      <c r="IH762" s="73"/>
      <c r="II762" s="73"/>
      <c r="IJ762" s="73"/>
      <c r="IK762" s="73"/>
      <c r="IL762" s="73"/>
      <c r="IM762" s="73"/>
      <c r="IN762" s="73"/>
      <c r="IO762" s="73"/>
      <c r="IP762" s="73"/>
      <c r="IQ762" s="73"/>
      <c r="IR762" s="73"/>
      <c r="IS762" s="73"/>
      <c r="IT762" s="73"/>
      <c r="IU762" s="73"/>
      <c r="IV762" s="73"/>
      <c r="IW762" s="73"/>
      <c r="IX762" s="73"/>
      <c r="IY762" s="73"/>
      <c r="IZ762" s="73"/>
      <c r="JA762" s="73"/>
      <c r="JB762" s="73"/>
      <c r="JC762" s="73"/>
    </row>
    <row r="763" spans="2:263" s="72" customFormat="1">
      <c r="B763" s="73"/>
      <c r="C763" s="73"/>
      <c r="D763" s="73"/>
      <c r="E763" s="73"/>
      <c r="F763" s="73"/>
      <c r="G763" s="73"/>
      <c r="H763" s="73"/>
      <c r="I763" s="73"/>
      <c r="J763" s="73"/>
      <c r="K763" s="73"/>
      <c r="L763" s="73"/>
      <c r="M763" s="73"/>
      <c r="N763" s="73"/>
      <c r="O763" s="73"/>
      <c r="P763" s="73"/>
      <c r="Q763" s="73"/>
      <c r="R763" s="73"/>
      <c r="S763" s="73"/>
      <c r="T763" s="73"/>
      <c r="U763" s="73"/>
      <c r="V763" s="73"/>
      <c r="W763" s="73"/>
      <c r="GL763" s="73"/>
      <c r="GM763" s="73"/>
      <c r="GN763" s="73"/>
      <c r="GO763" s="73"/>
      <c r="GP763" s="73"/>
      <c r="GQ763" s="73"/>
      <c r="GR763" s="73"/>
      <c r="GS763" s="73"/>
      <c r="GT763" s="73"/>
      <c r="GU763" s="73"/>
      <c r="GV763" s="73"/>
      <c r="GW763" s="73"/>
      <c r="GX763" s="73"/>
      <c r="GY763" s="73"/>
      <c r="GZ763" s="73"/>
      <c r="HA763" s="73"/>
      <c r="HB763" s="73"/>
      <c r="HC763" s="73"/>
      <c r="HD763" s="73"/>
      <c r="HE763" s="73"/>
      <c r="HF763" s="73"/>
      <c r="HG763" s="73"/>
      <c r="HH763" s="73"/>
      <c r="HI763" s="73"/>
      <c r="HJ763" s="73"/>
      <c r="HK763" s="73"/>
      <c r="HL763" s="73"/>
      <c r="HM763" s="73"/>
      <c r="HN763" s="73"/>
      <c r="HO763" s="73"/>
      <c r="HP763" s="73"/>
      <c r="HQ763" s="73"/>
      <c r="HR763" s="73"/>
      <c r="HS763" s="73"/>
      <c r="HT763" s="73"/>
      <c r="HU763" s="73"/>
      <c r="HV763" s="73"/>
      <c r="HW763" s="73"/>
      <c r="HX763" s="73"/>
      <c r="HY763" s="73"/>
      <c r="HZ763" s="73"/>
      <c r="IA763" s="73"/>
      <c r="IB763" s="73"/>
      <c r="IC763" s="73"/>
      <c r="ID763" s="73"/>
      <c r="IE763" s="73"/>
      <c r="IF763" s="73"/>
      <c r="IG763" s="73"/>
      <c r="IH763" s="73"/>
      <c r="II763" s="73"/>
      <c r="IJ763" s="73"/>
      <c r="IK763" s="73"/>
      <c r="IL763" s="73"/>
      <c r="IM763" s="73"/>
      <c r="IN763" s="73"/>
      <c r="IO763" s="73"/>
      <c r="IP763" s="73"/>
      <c r="IQ763" s="73"/>
      <c r="IR763" s="73"/>
      <c r="IS763" s="73"/>
      <c r="IT763" s="73"/>
      <c r="IU763" s="73"/>
      <c r="IV763" s="73"/>
      <c r="IW763" s="73"/>
      <c r="IX763" s="73"/>
      <c r="IY763" s="73"/>
      <c r="IZ763" s="73"/>
      <c r="JA763" s="73"/>
      <c r="JB763" s="73"/>
      <c r="JC763" s="73"/>
    </row>
    <row r="764" spans="2:263" s="72" customFormat="1">
      <c r="B764" s="73"/>
      <c r="C764" s="73"/>
      <c r="D764" s="73"/>
      <c r="E764" s="73"/>
      <c r="F764" s="73"/>
      <c r="G764" s="73"/>
      <c r="H764" s="73"/>
      <c r="I764" s="73"/>
      <c r="J764" s="73"/>
      <c r="K764" s="73"/>
      <c r="L764" s="73"/>
      <c r="M764" s="73"/>
      <c r="N764" s="73"/>
      <c r="O764" s="73"/>
      <c r="P764" s="73"/>
      <c r="Q764" s="73"/>
      <c r="R764" s="73"/>
      <c r="S764" s="73"/>
      <c r="T764" s="73"/>
      <c r="U764" s="73"/>
      <c r="V764" s="73"/>
      <c r="W764" s="73"/>
      <c r="GL764" s="73"/>
      <c r="GM764" s="73"/>
      <c r="GN764" s="73"/>
      <c r="GO764" s="73"/>
      <c r="GP764" s="73"/>
      <c r="GQ764" s="73"/>
      <c r="GR764" s="73"/>
      <c r="GS764" s="73"/>
      <c r="GT764" s="73"/>
      <c r="GU764" s="73"/>
      <c r="GV764" s="73"/>
      <c r="GW764" s="73"/>
      <c r="GX764" s="73"/>
      <c r="GY764" s="73"/>
      <c r="GZ764" s="73"/>
      <c r="HA764" s="73"/>
      <c r="HB764" s="73"/>
      <c r="HC764" s="73"/>
      <c r="HD764" s="73"/>
      <c r="HE764" s="73"/>
      <c r="HF764" s="73"/>
      <c r="HG764" s="73"/>
      <c r="HH764" s="73"/>
      <c r="HI764" s="73"/>
      <c r="HJ764" s="73"/>
      <c r="HK764" s="73"/>
      <c r="HL764" s="73"/>
      <c r="HM764" s="73"/>
      <c r="HN764" s="73"/>
      <c r="HO764" s="73"/>
      <c r="HP764" s="73"/>
      <c r="HQ764" s="73"/>
      <c r="HR764" s="73"/>
      <c r="HS764" s="73"/>
      <c r="HT764" s="73"/>
      <c r="HU764" s="73"/>
      <c r="HV764" s="73"/>
      <c r="HW764" s="73"/>
      <c r="HX764" s="73"/>
      <c r="HY764" s="73"/>
      <c r="HZ764" s="73"/>
      <c r="IA764" s="73"/>
      <c r="IB764" s="73"/>
      <c r="IC764" s="73"/>
      <c r="ID764" s="73"/>
      <c r="IE764" s="73"/>
      <c r="IF764" s="73"/>
      <c r="IG764" s="73"/>
      <c r="IH764" s="73"/>
      <c r="II764" s="73"/>
      <c r="IJ764" s="73"/>
      <c r="IK764" s="73"/>
      <c r="IL764" s="73"/>
      <c r="IM764" s="73"/>
      <c r="IN764" s="73"/>
      <c r="IO764" s="73"/>
      <c r="IP764" s="73"/>
      <c r="IQ764" s="73"/>
      <c r="IR764" s="73"/>
      <c r="IS764" s="73"/>
      <c r="IT764" s="73"/>
      <c r="IU764" s="73"/>
      <c r="IV764" s="73"/>
      <c r="IW764" s="73"/>
      <c r="IX764" s="73"/>
      <c r="IY764" s="73"/>
      <c r="IZ764" s="73"/>
      <c r="JA764" s="73"/>
      <c r="JB764" s="73"/>
      <c r="JC764" s="73"/>
    </row>
    <row r="765" spans="2:263" s="72" customFormat="1">
      <c r="B765" s="73"/>
      <c r="C765" s="73"/>
      <c r="D765" s="73"/>
      <c r="E765" s="73"/>
      <c r="F765" s="73"/>
      <c r="G765" s="73"/>
      <c r="H765" s="73"/>
      <c r="I765" s="73"/>
      <c r="J765" s="73"/>
      <c r="K765" s="73"/>
      <c r="L765" s="73"/>
      <c r="M765" s="73"/>
      <c r="N765" s="73"/>
      <c r="O765" s="73"/>
      <c r="P765" s="73"/>
      <c r="Q765" s="73"/>
      <c r="R765" s="73"/>
      <c r="S765" s="73"/>
      <c r="T765" s="73"/>
      <c r="U765" s="73"/>
      <c r="V765" s="73"/>
      <c r="W765" s="73"/>
      <c r="GL765" s="73"/>
      <c r="GM765" s="73"/>
      <c r="GN765" s="73"/>
      <c r="GO765" s="73"/>
      <c r="GP765" s="73"/>
      <c r="GQ765" s="73"/>
      <c r="GR765" s="73"/>
      <c r="GS765" s="73"/>
      <c r="GT765" s="73"/>
      <c r="GU765" s="73"/>
      <c r="GV765" s="73"/>
      <c r="GW765" s="73"/>
      <c r="GX765" s="73"/>
      <c r="GY765" s="73"/>
      <c r="GZ765" s="73"/>
      <c r="HA765" s="73"/>
      <c r="HB765" s="73"/>
      <c r="HC765" s="73"/>
      <c r="HD765" s="73"/>
      <c r="HE765" s="73"/>
      <c r="HF765" s="73"/>
      <c r="HG765" s="73"/>
      <c r="HH765" s="73"/>
      <c r="HI765" s="73"/>
      <c r="HJ765" s="73"/>
      <c r="HK765" s="73"/>
      <c r="HL765" s="73"/>
      <c r="HM765" s="73"/>
      <c r="HN765" s="73"/>
      <c r="HO765" s="73"/>
      <c r="HP765" s="73"/>
      <c r="HQ765" s="73"/>
      <c r="HR765" s="73"/>
      <c r="HS765" s="73"/>
      <c r="HT765" s="73"/>
      <c r="HU765" s="73"/>
      <c r="HV765" s="73"/>
      <c r="HW765" s="73"/>
      <c r="HX765" s="73"/>
      <c r="HY765" s="73"/>
      <c r="HZ765" s="73"/>
      <c r="IA765" s="73"/>
      <c r="IB765" s="73"/>
      <c r="IC765" s="73"/>
      <c r="ID765" s="73"/>
      <c r="IE765" s="73"/>
      <c r="IF765" s="73"/>
      <c r="IG765" s="73"/>
      <c r="IH765" s="73"/>
      <c r="II765" s="73"/>
      <c r="IJ765" s="73"/>
      <c r="IK765" s="73"/>
      <c r="IL765" s="73"/>
      <c r="IM765" s="73"/>
      <c r="IN765" s="73"/>
      <c r="IO765" s="73"/>
      <c r="IP765" s="73"/>
      <c r="IQ765" s="73"/>
      <c r="IR765" s="73"/>
      <c r="IS765" s="73"/>
      <c r="IT765" s="73"/>
      <c r="IU765" s="73"/>
      <c r="IV765" s="73"/>
      <c r="IW765" s="73"/>
      <c r="IX765" s="73"/>
      <c r="IY765" s="73"/>
      <c r="IZ765" s="73"/>
      <c r="JA765" s="73"/>
      <c r="JB765" s="73"/>
      <c r="JC765" s="73"/>
    </row>
    <row r="766" spans="2:263" s="72" customFormat="1">
      <c r="B766" s="73"/>
      <c r="C766" s="73"/>
      <c r="D766" s="73"/>
      <c r="E766" s="73"/>
      <c r="F766" s="73"/>
      <c r="G766" s="73"/>
      <c r="H766" s="73"/>
      <c r="I766" s="73"/>
      <c r="J766" s="73"/>
      <c r="K766" s="73"/>
      <c r="L766" s="73"/>
      <c r="M766" s="73"/>
      <c r="N766" s="73"/>
      <c r="O766" s="73"/>
      <c r="P766" s="73"/>
      <c r="Q766" s="73"/>
      <c r="R766" s="73"/>
      <c r="S766" s="73"/>
      <c r="T766" s="73"/>
      <c r="U766" s="73"/>
      <c r="V766" s="73"/>
      <c r="W766" s="73"/>
      <c r="GL766" s="73"/>
      <c r="GM766" s="73"/>
      <c r="GN766" s="73"/>
      <c r="GO766" s="73"/>
      <c r="GP766" s="73"/>
      <c r="GQ766" s="73"/>
      <c r="GR766" s="73"/>
      <c r="GS766" s="73"/>
      <c r="GT766" s="73"/>
      <c r="GU766" s="73"/>
      <c r="GV766" s="73"/>
      <c r="GW766" s="73"/>
      <c r="GX766" s="73"/>
      <c r="GY766" s="73"/>
      <c r="GZ766" s="73"/>
      <c r="HA766" s="73"/>
      <c r="HB766" s="73"/>
      <c r="HC766" s="73"/>
      <c r="HD766" s="73"/>
      <c r="HE766" s="73"/>
      <c r="HF766" s="73"/>
      <c r="HG766" s="73"/>
      <c r="HH766" s="73"/>
      <c r="HI766" s="73"/>
      <c r="HJ766" s="73"/>
      <c r="HK766" s="73"/>
      <c r="HL766" s="73"/>
      <c r="HM766" s="73"/>
      <c r="HN766" s="73"/>
      <c r="HO766" s="73"/>
      <c r="HP766" s="73"/>
      <c r="HQ766" s="73"/>
      <c r="HR766" s="73"/>
      <c r="HS766" s="73"/>
      <c r="HT766" s="73"/>
      <c r="HU766" s="73"/>
      <c r="HV766" s="73"/>
      <c r="HW766" s="73"/>
      <c r="HX766" s="73"/>
      <c r="HY766" s="73"/>
      <c r="HZ766" s="73"/>
      <c r="IA766" s="73"/>
      <c r="IB766" s="73"/>
      <c r="IC766" s="73"/>
      <c r="ID766" s="73"/>
      <c r="IE766" s="73"/>
      <c r="IF766" s="73"/>
      <c r="IG766" s="73"/>
      <c r="IH766" s="73"/>
      <c r="II766" s="73"/>
      <c r="IJ766" s="73"/>
      <c r="IK766" s="73"/>
      <c r="IL766" s="73"/>
      <c r="IM766" s="73"/>
      <c r="IN766" s="73"/>
      <c r="IO766" s="73"/>
      <c r="IP766" s="73"/>
      <c r="IQ766" s="73"/>
      <c r="IR766" s="73"/>
      <c r="IS766" s="73"/>
      <c r="IT766" s="73"/>
      <c r="IU766" s="73"/>
      <c r="IV766" s="73"/>
      <c r="IW766" s="73"/>
      <c r="IX766" s="73"/>
      <c r="IY766" s="73"/>
      <c r="IZ766" s="73"/>
      <c r="JA766" s="73"/>
      <c r="JB766" s="73"/>
      <c r="JC766" s="73"/>
    </row>
    <row r="767" spans="2:263" s="72" customFormat="1">
      <c r="B767" s="73"/>
      <c r="C767" s="73"/>
      <c r="D767" s="73"/>
      <c r="E767" s="73"/>
      <c r="F767" s="73"/>
      <c r="G767" s="73"/>
      <c r="H767" s="73"/>
      <c r="I767" s="73"/>
      <c r="J767" s="73"/>
      <c r="K767" s="73"/>
      <c r="L767" s="73"/>
      <c r="M767" s="73"/>
      <c r="N767" s="73"/>
      <c r="O767" s="73"/>
      <c r="P767" s="73"/>
      <c r="Q767" s="73"/>
      <c r="R767" s="73"/>
      <c r="S767" s="73"/>
      <c r="T767" s="73"/>
      <c r="U767" s="73"/>
      <c r="V767" s="73"/>
      <c r="W767" s="73"/>
      <c r="GL767" s="73"/>
      <c r="GM767" s="73"/>
      <c r="GN767" s="73"/>
      <c r="GO767" s="73"/>
      <c r="GP767" s="73"/>
      <c r="GQ767" s="73"/>
      <c r="GR767" s="73"/>
      <c r="GS767" s="73"/>
      <c r="GT767" s="73"/>
      <c r="GU767" s="73"/>
      <c r="GV767" s="73"/>
      <c r="GW767" s="73"/>
      <c r="GX767" s="73"/>
      <c r="GY767" s="73"/>
      <c r="GZ767" s="73"/>
      <c r="HA767" s="73"/>
      <c r="HB767" s="73"/>
      <c r="HC767" s="73"/>
      <c r="HD767" s="73"/>
      <c r="HE767" s="73"/>
      <c r="HF767" s="73"/>
      <c r="HG767" s="73"/>
      <c r="HH767" s="73"/>
      <c r="HI767" s="73"/>
      <c r="HJ767" s="73"/>
      <c r="HK767" s="73"/>
      <c r="HL767" s="73"/>
      <c r="HM767" s="73"/>
      <c r="HN767" s="73"/>
      <c r="HO767" s="73"/>
      <c r="HP767" s="73"/>
      <c r="HQ767" s="73"/>
      <c r="HR767" s="73"/>
      <c r="HS767" s="73"/>
      <c r="HT767" s="73"/>
      <c r="HU767" s="73"/>
      <c r="HV767" s="73"/>
      <c r="HW767" s="73"/>
      <c r="HX767" s="73"/>
      <c r="HY767" s="73"/>
      <c r="HZ767" s="73"/>
      <c r="IA767" s="73"/>
      <c r="IB767" s="73"/>
      <c r="IC767" s="73"/>
      <c r="ID767" s="73"/>
      <c r="IE767" s="73"/>
      <c r="IF767" s="73"/>
      <c r="IG767" s="73"/>
      <c r="IH767" s="73"/>
      <c r="II767" s="73"/>
      <c r="IJ767" s="73"/>
      <c r="IK767" s="73"/>
      <c r="IL767" s="73"/>
      <c r="IM767" s="73"/>
      <c r="IN767" s="73"/>
      <c r="IO767" s="73"/>
      <c r="IP767" s="73"/>
      <c r="IQ767" s="73"/>
      <c r="IR767" s="73"/>
      <c r="IS767" s="73"/>
      <c r="IT767" s="73"/>
      <c r="IU767" s="73"/>
      <c r="IV767" s="73"/>
      <c r="IW767" s="73"/>
      <c r="IX767" s="73"/>
      <c r="IY767" s="73"/>
      <c r="IZ767" s="73"/>
      <c r="JA767" s="73"/>
      <c r="JB767" s="73"/>
      <c r="JC767" s="73"/>
    </row>
    <row r="768" spans="2:263" s="72" customFormat="1">
      <c r="B768" s="73"/>
      <c r="C768" s="73"/>
      <c r="D768" s="73"/>
      <c r="E768" s="73"/>
      <c r="F768" s="73"/>
      <c r="G768" s="73"/>
      <c r="H768" s="73"/>
      <c r="I768" s="73"/>
      <c r="J768" s="73"/>
      <c r="K768" s="73"/>
      <c r="L768" s="73"/>
      <c r="M768" s="73"/>
      <c r="N768" s="73"/>
      <c r="O768" s="73"/>
      <c r="P768" s="73"/>
      <c r="Q768" s="73"/>
      <c r="R768" s="73"/>
      <c r="S768" s="73"/>
      <c r="T768" s="73"/>
      <c r="U768" s="73"/>
      <c r="V768" s="73"/>
      <c r="W768" s="73"/>
      <c r="GL768" s="73"/>
      <c r="GM768" s="73"/>
      <c r="GN768" s="73"/>
      <c r="GO768" s="73"/>
      <c r="GP768" s="73"/>
      <c r="GQ768" s="73"/>
      <c r="GR768" s="73"/>
      <c r="GS768" s="73"/>
      <c r="GT768" s="73"/>
      <c r="GU768" s="73"/>
      <c r="GV768" s="73"/>
      <c r="GW768" s="73"/>
      <c r="GX768" s="73"/>
      <c r="GY768" s="73"/>
      <c r="GZ768" s="73"/>
      <c r="HA768" s="73"/>
      <c r="HB768" s="73"/>
      <c r="HC768" s="73"/>
      <c r="HD768" s="73"/>
      <c r="HE768" s="73"/>
      <c r="HF768" s="73"/>
      <c r="HG768" s="73"/>
      <c r="HH768" s="73"/>
      <c r="HI768" s="73"/>
      <c r="HJ768" s="73"/>
      <c r="HK768" s="73"/>
      <c r="HL768" s="73"/>
      <c r="HM768" s="73"/>
      <c r="HN768" s="73"/>
      <c r="HO768" s="73"/>
      <c r="HP768" s="73"/>
      <c r="HQ768" s="73"/>
      <c r="HR768" s="73"/>
      <c r="HS768" s="73"/>
      <c r="HT768" s="73"/>
      <c r="HU768" s="73"/>
      <c r="HV768" s="73"/>
      <c r="HW768" s="73"/>
      <c r="HX768" s="73"/>
      <c r="HY768" s="73"/>
      <c r="HZ768" s="73"/>
      <c r="IA768" s="73"/>
      <c r="IB768" s="73"/>
      <c r="IC768" s="73"/>
      <c r="ID768" s="73"/>
      <c r="IE768" s="73"/>
      <c r="IF768" s="73"/>
      <c r="IG768" s="73"/>
      <c r="IH768" s="73"/>
      <c r="II768" s="73"/>
      <c r="IJ768" s="73"/>
      <c r="IK768" s="73"/>
      <c r="IL768" s="73"/>
      <c r="IM768" s="73"/>
      <c r="IN768" s="73"/>
      <c r="IO768" s="73"/>
      <c r="IP768" s="73"/>
      <c r="IQ768" s="73"/>
      <c r="IR768" s="73"/>
      <c r="IS768" s="73"/>
      <c r="IT768" s="73"/>
      <c r="IU768" s="73"/>
      <c r="IV768" s="73"/>
      <c r="IW768" s="73"/>
      <c r="IX768" s="73"/>
      <c r="IY768" s="73"/>
      <c r="IZ768" s="73"/>
      <c r="JA768" s="73"/>
      <c r="JB768" s="73"/>
      <c r="JC768" s="73"/>
    </row>
    <row r="769" spans="2:263" s="72" customFormat="1">
      <c r="B769" s="73"/>
      <c r="C769" s="73"/>
      <c r="D769" s="73"/>
      <c r="E769" s="73"/>
      <c r="F769" s="73"/>
      <c r="G769" s="73"/>
      <c r="H769" s="73"/>
      <c r="I769" s="73"/>
      <c r="J769" s="73"/>
      <c r="K769" s="73"/>
      <c r="L769" s="73"/>
      <c r="M769" s="73"/>
      <c r="N769" s="73"/>
      <c r="O769" s="73"/>
      <c r="P769" s="73"/>
      <c r="Q769" s="73"/>
      <c r="R769" s="73"/>
      <c r="S769" s="73"/>
      <c r="T769" s="73"/>
      <c r="U769" s="73"/>
      <c r="V769" s="73"/>
      <c r="W769" s="73"/>
      <c r="GL769" s="73"/>
      <c r="GM769" s="73"/>
      <c r="GN769" s="73"/>
      <c r="GO769" s="73"/>
      <c r="GP769" s="73"/>
      <c r="GQ769" s="73"/>
      <c r="GR769" s="73"/>
      <c r="GS769" s="73"/>
      <c r="GT769" s="73"/>
      <c r="GU769" s="73"/>
      <c r="GV769" s="73"/>
      <c r="GW769" s="73"/>
      <c r="GX769" s="73"/>
      <c r="GY769" s="73"/>
      <c r="GZ769" s="73"/>
      <c r="HA769" s="73"/>
      <c r="HB769" s="73"/>
      <c r="HC769" s="73"/>
      <c r="HD769" s="73"/>
      <c r="HE769" s="73"/>
      <c r="HF769" s="73"/>
      <c r="HG769" s="73"/>
      <c r="HH769" s="73"/>
      <c r="HI769" s="73"/>
      <c r="HJ769" s="73"/>
      <c r="HK769" s="73"/>
      <c r="HL769" s="73"/>
      <c r="HM769" s="73"/>
      <c r="HN769" s="73"/>
      <c r="HO769" s="73"/>
      <c r="HP769" s="73"/>
      <c r="HQ769" s="73"/>
      <c r="HR769" s="73"/>
      <c r="HS769" s="73"/>
      <c r="HT769" s="73"/>
      <c r="HU769" s="73"/>
      <c r="HV769" s="73"/>
      <c r="HW769" s="73"/>
      <c r="HX769" s="73"/>
      <c r="HY769" s="73"/>
      <c r="HZ769" s="73"/>
      <c r="IA769" s="73"/>
      <c r="IB769" s="73"/>
      <c r="IC769" s="73"/>
      <c r="ID769" s="73"/>
      <c r="IE769" s="73"/>
      <c r="IF769" s="73"/>
      <c r="IG769" s="73"/>
      <c r="IH769" s="73"/>
      <c r="II769" s="73"/>
      <c r="IJ769" s="73"/>
      <c r="IK769" s="73"/>
      <c r="IL769" s="73"/>
      <c r="IM769" s="73"/>
      <c r="IN769" s="73"/>
      <c r="IO769" s="73"/>
      <c r="IP769" s="73"/>
      <c r="IQ769" s="73"/>
      <c r="IR769" s="73"/>
      <c r="IS769" s="73"/>
      <c r="IT769" s="73"/>
      <c r="IU769" s="73"/>
      <c r="IV769" s="73"/>
      <c r="IW769" s="73"/>
      <c r="IX769" s="73"/>
      <c r="IY769" s="73"/>
      <c r="IZ769" s="73"/>
      <c r="JA769" s="73"/>
      <c r="JB769" s="73"/>
      <c r="JC769" s="73"/>
    </row>
    <row r="770" spans="2:263" s="72" customFormat="1">
      <c r="B770" s="73"/>
      <c r="C770" s="73"/>
      <c r="D770" s="73"/>
      <c r="E770" s="73"/>
      <c r="F770" s="73"/>
      <c r="G770" s="73"/>
      <c r="H770" s="73"/>
      <c r="I770" s="73"/>
      <c r="J770" s="73"/>
      <c r="K770" s="73"/>
      <c r="L770" s="73"/>
      <c r="M770" s="73"/>
      <c r="N770" s="73"/>
      <c r="O770" s="73"/>
      <c r="P770" s="73"/>
      <c r="Q770" s="73"/>
      <c r="R770" s="73"/>
      <c r="S770" s="73"/>
      <c r="T770" s="73"/>
      <c r="U770" s="73"/>
      <c r="V770" s="73"/>
      <c r="W770" s="73"/>
      <c r="GL770" s="73"/>
      <c r="GM770" s="73"/>
      <c r="GN770" s="73"/>
      <c r="GO770" s="73"/>
      <c r="GP770" s="73"/>
      <c r="GQ770" s="73"/>
      <c r="GR770" s="73"/>
      <c r="GS770" s="73"/>
      <c r="GT770" s="73"/>
      <c r="GU770" s="73"/>
      <c r="GV770" s="73"/>
      <c r="GW770" s="73"/>
      <c r="GX770" s="73"/>
      <c r="GY770" s="73"/>
      <c r="GZ770" s="73"/>
      <c r="HA770" s="73"/>
      <c r="HB770" s="73"/>
      <c r="HC770" s="73"/>
      <c r="HD770" s="73"/>
      <c r="HE770" s="73"/>
      <c r="HF770" s="73"/>
      <c r="HG770" s="73"/>
      <c r="HH770" s="73"/>
      <c r="HI770" s="73"/>
      <c r="HJ770" s="73"/>
      <c r="HK770" s="73"/>
      <c r="HL770" s="73"/>
      <c r="HM770" s="73"/>
      <c r="HN770" s="73"/>
      <c r="HO770" s="73"/>
      <c r="HP770" s="73"/>
      <c r="HQ770" s="73"/>
      <c r="HR770" s="73"/>
      <c r="HS770" s="73"/>
      <c r="HT770" s="73"/>
      <c r="HU770" s="73"/>
      <c r="HV770" s="73"/>
      <c r="HW770" s="73"/>
      <c r="HX770" s="73"/>
      <c r="HY770" s="73"/>
      <c r="HZ770" s="73"/>
      <c r="IA770" s="73"/>
      <c r="IB770" s="73"/>
      <c r="IC770" s="73"/>
      <c r="ID770" s="73"/>
      <c r="IE770" s="73"/>
      <c r="IF770" s="73"/>
      <c r="IG770" s="73"/>
      <c r="IH770" s="73"/>
      <c r="II770" s="73"/>
      <c r="IJ770" s="73"/>
      <c r="IK770" s="73"/>
      <c r="IL770" s="73"/>
      <c r="IM770" s="73"/>
      <c r="IN770" s="73"/>
      <c r="IO770" s="73"/>
      <c r="IP770" s="73"/>
      <c r="IQ770" s="73"/>
      <c r="IR770" s="73"/>
      <c r="IS770" s="73"/>
      <c r="IT770" s="73"/>
      <c r="IU770" s="73"/>
      <c r="IV770" s="73"/>
      <c r="IW770" s="73"/>
      <c r="IX770" s="73"/>
      <c r="IY770" s="73"/>
      <c r="IZ770" s="73"/>
      <c r="JA770" s="73"/>
      <c r="JB770" s="73"/>
      <c r="JC770" s="73"/>
    </row>
    <row r="771" spans="2:263" s="72" customFormat="1">
      <c r="B771" s="73"/>
      <c r="C771" s="73"/>
      <c r="D771" s="73"/>
      <c r="E771" s="73"/>
      <c r="F771" s="73"/>
      <c r="G771" s="73"/>
      <c r="H771" s="73"/>
      <c r="I771" s="73"/>
      <c r="J771" s="73"/>
      <c r="K771" s="73"/>
      <c r="L771" s="73"/>
      <c r="M771" s="73"/>
      <c r="N771" s="73"/>
      <c r="O771" s="73"/>
      <c r="P771" s="73"/>
      <c r="Q771" s="73"/>
      <c r="R771" s="73"/>
      <c r="S771" s="73"/>
      <c r="T771" s="73"/>
      <c r="U771" s="73"/>
      <c r="V771" s="73"/>
      <c r="W771" s="73"/>
      <c r="GL771" s="73"/>
      <c r="GM771" s="73"/>
      <c r="GN771" s="73"/>
      <c r="GO771" s="73"/>
      <c r="GP771" s="73"/>
      <c r="GQ771" s="73"/>
      <c r="GR771" s="73"/>
      <c r="GS771" s="73"/>
      <c r="GT771" s="73"/>
      <c r="GU771" s="73"/>
      <c r="GV771" s="73"/>
      <c r="GW771" s="73"/>
      <c r="GX771" s="73"/>
      <c r="GY771" s="73"/>
      <c r="GZ771" s="73"/>
      <c r="HA771" s="73"/>
      <c r="HB771" s="73"/>
      <c r="HC771" s="73"/>
      <c r="HD771" s="73"/>
      <c r="HE771" s="73"/>
      <c r="HF771" s="73"/>
      <c r="HG771" s="73"/>
      <c r="HH771" s="73"/>
      <c r="HI771" s="73"/>
      <c r="HJ771" s="73"/>
      <c r="HK771" s="73"/>
      <c r="HL771" s="73"/>
      <c r="HM771" s="73"/>
      <c r="HN771" s="73"/>
      <c r="HO771" s="73"/>
      <c r="HP771" s="73"/>
      <c r="HQ771" s="73"/>
      <c r="HR771" s="73"/>
      <c r="HS771" s="73"/>
      <c r="HT771" s="73"/>
      <c r="HU771" s="73"/>
      <c r="HV771" s="73"/>
      <c r="HW771" s="73"/>
      <c r="HX771" s="73"/>
      <c r="HY771" s="73"/>
      <c r="HZ771" s="73"/>
      <c r="IA771" s="73"/>
      <c r="IB771" s="73"/>
      <c r="IC771" s="73"/>
      <c r="ID771" s="73"/>
      <c r="IE771" s="73"/>
      <c r="IF771" s="73"/>
      <c r="IG771" s="73"/>
      <c r="IH771" s="73"/>
      <c r="II771" s="73"/>
      <c r="IJ771" s="73"/>
      <c r="IK771" s="73"/>
      <c r="IL771" s="73"/>
      <c r="IM771" s="73"/>
      <c r="IN771" s="73"/>
      <c r="IO771" s="73"/>
      <c r="IP771" s="73"/>
      <c r="IQ771" s="73"/>
      <c r="IR771" s="73"/>
      <c r="IS771" s="73"/>
      <c r="IT771" s="73"/>
      <c r="IU771" s="73"/>
      <c r="IV771" s="73"/>
      <c r="IW771" s="73"/>
      <c r="IX771" s="73"/>
      <c r="IY771" s="73"/>
      <c r="IZ771" s="73"/>
      <c r="JA771" s="73"/>
      <c r="JB771" s="73"/>
      <c r="JC771" s="73"/>
    </row>
    <row r="772" spans="2:263" s="72" customFormat="1">
      <c r="B772" s="73"/>
      <c r="C772" s="73"/>
      <c r="D772" s="73"/>
      <c r="E772" s="73"/>
      <c r="F772" s="73"/>
      <c r="G772" s="73"/>
      <c r="H772" s="73"/>
      <c r="I772" s="73"/>
      <c r="J772" s="73"/>
      <c r="K772" s="73"/>
      <c r="L772" s="73"/>
      <c r="M772" s="73"/>
      <c r="N772" s="73"/>
      <c r="O772" s="73"/>
      <c r="P772" s="73"/>
      <c r="Q772" s="73"/>
      <c r="R772" s="73"/>
      <c r="S772" s="73"/>
      <c r="T772" s="73"/>
      <c r="U772" s="73"/>
      <c r="V772" s="73"/>
      <c r="W772" s="73"/>
      <c r="GL772" s="73"/>
      <c r="GM772" s="73"/>
      <c r="GN772" s="73"/>
      <c r="GO772" s="73"/>
      <c r="GP772" s="73"/>
      <c r="GQ772" s="73"/>
      <c r="GR772" s="73"/>
      <c r="GS772" s="73"/>
      <c r="GT772" s="73"/>
      <c r="GU772" s="73"/>
      <c r="GV772" s="73"/>
      <c r="GW772" s="73"/>
      <c r="GX772" s="73"/>
      <c r="GY772" s="73"/>
      <c r="GZ772" s="73"/>
      <c r="HA772" s="73"/>
      <c r="HB772" s="73"/>
      <c r="HC772" s="73"/>
      <c r="HD772" s="73"/>
      <c r="HE772" s="73"/>
      <c r="HF772" s="73"/>
      <c r="HG772" s="73"/>
      <c r="HH772" s="73"/>
      <c r="HI772" s="73"/>
      <c r="HJ772" s="73"/>
      <c r="HK772" s="73"/>
      <c r="HL772" s="73"/>
      <c r="HM772" s="73"/>
      <c r="HN772" s="73"/>
      <c r="HO772" s="73"/>
      <c r="HP772" s="73"/>
      <c r="HQ772" s="73"/>
      <c r="HR772" s="73"/>
      <c r="HS772" s="73"/>
      <c r="HT772" s="73"/>
      <c r="HU772" s="73"/>
      <c r="HV772" s="73"/>
      <c r="HW772" s="73"/>
      <c r="HX772" s="73"/>
      <c r="HY772" s="73"/>
      <c r="HZ772" s="73"/>
      <c r="IA772" s="73"/>
      <c r="IB772" s="73"/>
      <c r="IC772" s="73"/>
      <c r="ID772" s="73"/>
      <c r="IE772" s="73"/>
      <c r="IF772" s="73"/>
      <c r="IG772" s="73"/>
      <c r="IH772" s="73"/>
      <c r="II772" s="73"/>
      <c r="IJ772" s="73"/>
      <c r="IK772" s="73"/>
      <c r="IL772" s="73"/>
      <c r="IM772" s="73"/>
      <c r="IN772" s="73"/>
      <c r="IO772" s="73"/>
      <c r="IP772" s="73"/>
      <c r="IQ772" s="73"/>
      <c r="IR772" s="73"/>
      <c r="IS772" s="73"/>
      <c r="IT772" s="73"/>
      <c r="IU772" s="73"/>
      <c r="IV772" s="73"/>
      <c r="IW772" s="73"/>
      <c r="IX772" s="73"/>
      <c r="IY772" s="73"/>
      <c r="IZ772" s="73"/>
      <c r="JA772" s="73"/>
      <c r="JB772" s="73"/>
      <c r="JC772" s="73"/>
    </row>
    <row r="773" spans="2:263" s="72" customFormat="1">
      <c r="B773" s="73"/>
      <c r="C773" s="73"/>
      <c r="D773" s="73"/>
      <c r="E773" s="73"/>
      <c r="F773" s="73"/>
      <c r="G773" s="73"/>
      <c r="H773" s="73"/>
      <c r="I773" s="73"/>
      <c r="J773" s="73"/>
      <c r="K773" s="73"/>
      <c r="L773" s="73"/>
      <c r="M773" s="73"/>
      <c r="N773" s="73"/>
      <c r="O773" s="73"/>
      <c r="P773" s="73"/>
      <c r="Q773" s="73"/>
      <c r="R773" s="73"/>
      <c r="S773" s="73"/>
      <c r="T773" s="73"/>
      <c r="U773" s="73"/>
      <c r="V773" s="73"/>
      <c r="W773" s="73"/>
      <c r="GL773" s="73"/>
      <c r="GM773" s="73"/>
      <c r="GN773" s="73"/>
      <c r="GO773" s="73"/>
      <c r="GP773" s="73"/>
      <c r="GQ773" s="73"/>
      <c r="GR773" s="73"/>
      <c r="GS773" s="73"/>
      <c r="GT773" s="73"/>
      <c r="GU773" s="73"/>
      <c r="GV773" s="73"/>
      <c r="GW773" s="73"/>
      <c r="GX773" s="73"/>
      <c r="GY773" s="73"/>
      <c r="GZ773" s="73"/>
      <c r="HA773" s="73"/>
      <c r="HB773" s="73"/>
      <c r="HC773" s="73"/>
      <c r="HD773" s="73"/>
      <c r="HE773" s="73"/>
      <c r="HF773" s="73"/>
      <c r="HG773" s="73"/>
      <c r="HH773" s="73"/>
      <c r="HI773" s="73"/>
      <c r="HJ773" s="73"/>
      <c r="HK773" s="73"/>
      <c r="HL773" s="73"/>
      <c r="HM773" s="73"/>
      <c r="HN773" s="73"/>
      <c r="HO773" s="73"/>
      <c r="HP773" s="73"/>
      <c r="HQ773" s="73"/>
      <c r="HR773" s="73"/>
      <c r="HS773" s="73"/>
      <c r="HT773" s="73"/>
      <c r="HU773" s="73"/>
      <c r="HV773" s="73"/>
      <c r="HW773" s="73"/>
      <c r="HX773" s="73"/>
      <c r="HY773" s="73"/>
      <c r="HZ773" s="73"/>
      <c r="IA773" s="73"/>
      <c r="IB773" s="73"/>
      <c r="IC773" s="73"/>
      <c r="ID773" s="73"/>
      <c r="IE773" s="73"/>
      <c r="IF773" s="73"/>
      <c r="IG773" s="73"/>
      <c r="IH773" s="73"/>
      <c r="II773" s="73"/>
      <c r="IJ773" s="73"/>
      <c r="IK773" s="73"/>
      <c r="IL773" s="73"/>
      <c r="IM773" s="73"/>
      <c r="IN773" s="73"/>
      <c r="IO773" s="73"/>
      <c r="IP773" s="73"/>
      <c r="IQ773" s="73"/>
      <c r="IR773" s="73"/>
      <c r="IS773" s="73"/>
      <c r="IT773" s="73"/>
      <c r="IU773" s="73"/>
      <c r="IV773" s="73"/>
      <c r="IW773" s="73"/>
      <c r="IX773" s="73"/>
      <c r="IY773" s="73"/>
      <c r="IZ773" s="73"/>
      <c r="JA773" s="73"/>
      <c r="JB773" s="73"/>
      <c r="JC773" s="73"/>
    </row>
    <row r="774" spans="2:263" s="72" customFormat="1">
      <c r="B774" s="73"/>
      <c r="C774" s="73"/>
      <c r="D774" s="73"/>
      <c r="E774" s="73"/>
      <c r="F774" s="73"/>
      <c r="G774" s="73"/>
      <c r="H774" s="73"/>
      <c r="I774" s="73"/>
      <c r="J774" s="73"/>
      <c r="K774" s="73"/>
      <c r="L774" s="73"/>
      <c r="M774" s="73"/>
      <c r="N774" s="73"/>
      <c r="O774" s="73"/>
      <c r="P774" s="73"/>
      <c r="Q774" s="73"/>
      <c r="R774" s="73"/>
      <c r="S774" s="73"/>
      <c r="T774" s="73"/>
      <c r="U774" s="73"/>
      <c r="V774" s="73"/>
      <c r="W774" s="73"/>
      <c r="GL774" s="73"/>
      <c r="GM774" s="73"/>
      <c r="GN774" s="73"/>
      <c r="GO774" s="73"/>
      <c r="GP774" s="73"/>
      <c r="GQ774" s="73"/>
      <c r="GR774" s="73"/>
      <c r="GS774" s="73"/>
      <c r="GT774" s="73"/>
      <c r="GU774" s="73"/>
      <c r="GV774" s="73"/>
      <c r="GW774" s="73"/>
      <c r="GX774" s="73"/>
      <c r="GY774" s="73"/>
      <c r="GZ774" s="73"/>
      <c r="HA774" s="73"/>
      <c r="HB774" s="73"/>
      <c r="HC774" s="73"/>
      <c r="HD774" s="73"/>
      <c r="HE774" s="73"/>
      <c r="HF774" s="73"/>
      <c r="HG774" s="73"/>
      <c r="HH774" s="73"/>
      <c r="HI774" s="73"/>
      <c r="HJ774" s="73"/>
      <c r="HK774" s="73"/>
      <c r="HL774" s="73"/>
      <c r="HM774" s="73"/>
      <c r="HN774" s="73"/>
      <c r="HO774" s="73"/>
      <c r="HP774" s="73"/>
      <c r="HQ774" s="73"/>
      <c r="HR774" s="73"/>
      <c r="HS774" s="73"/>
      <c r="HT774" s="73"/>
      <c r="HU774" s="73"/>
      <c r="HV774" s="73"/>
      <c r="HW774" s="73"/>
      <c r="HX774" s="73"/>
      <c r="HY774" s="73"/>
      <c r="HZ774" s="73"/>
      <c r="IA774" s="73"/>
      <c r="IB774" s="73"/>
      <c r="IC774" s="73"/>
      <c r="ID774" s="73"/>
      <c r="IE774" s="73"/>
      <c r="IF774" s="73"/>
      <c r="IG774" s="73"/>
      <c r="IH774" s="73"/>
      <c r="II774" s="73"/>
      <c r="IJ774" s="73"/>
      <c r="IK774" s="73"/>
      <c r="IL774" s="73"/>
      <c r="IM774" s="73"/>
      <c r="IN774" s="73"/>
      <c r="IO774" s="73"/>
      <c r="IP774" s="73"/>
      <c r="IQ774" s="73"/>
      <c r="IR774" s="73"/>
      <c r="IS774" s="73"/>
      <c r="IT774" s="73"/>
      <c r="IU774" s="73"/>
      <c r="IV774" s="73"/>
      <c r="IW774" s="73"/>
      <c r="IX774" s="73"/>
      <c r="IY774" s="73"/>
      <c r="IZ774" s="73"/>
      <c r="JA774" s="73"/>
      <c r="JB774" s="73"/>
      <c r="JC774" s="73"/>
    </row>
    <row r="775" spans="2:263" s="72" customFormat="1">
      <c r="B775" s="73"/>
      <c r="C775" s="73"/>
      <c r="D775" s="73"/>
      <c r="E775" s="73"/>
      <c r="F775" s="73"/>
      <c r="G775" s="73"/>
      <c r="H775" s="73"/>
      <c r="I775" s="73"/>
      <c r="J775" s="73"/>
      <c r="K775" s="73"/>
      <c r="L775" s="73"/>
      <c r="M775" s="73"/>
      <c r="N775" s="73"/>
      <c r="O775" s="73"/>
      <c r="P775" s="73"/>
      <c r="Q775" s="73"/>
      <c r="R775" s="73"/>
      <c r="S775" s="73"/>
      <c r="T775" s="73"/>
      <c r="U775" s="73"/>
      <c r="V775" s="73"/>
      <c r="W775" s="73"/>
      <c r="GL775" s="73"/>
      <c r="GM775" s="73"/>
      <c r="GN775" s="73"/>
      <c r="GO775" s="73"/>
      <c r="GP775" s="73"/>
      <c r="GQ775" s="73"/>
      <c r="GR775" s="73"/>
      <c r="GS775" s="73"/>
      <c r="GT775" s="73"/>
      <c r="GU775" s="73"/>
      <c r="GV775" s="73"/>
      <c r="GW775" s="73"/>
      <c r="GX775" s="73"/>
      <c r="GY775" s="73"/>
      <c r="GZ775" s="73"/>
      <c r="HA775" s="73"/>
      <c r="HB775" s="73"/>
      <c r="HC775" s="73"/>
      <c r="HD775" s="73"/>
      <c r="HE775" s="73"/>
      <c r="HF775" s="73"/>
      <c r="HG775" s="73"/>
      <c r="HH775" s="73"/>
      <c r="HI775" s="73"/>
      <c r="HJ775" s="73"/>
      <c r="HK775" s="73"/>
      <c r="HL775" s="73"/>
      <c r="HM775" s="73"/>
      <c r="HN775" s="73"/>
      <c r="HO775" s="73"/>
      <c r="HP775" s="73"/>
      <c r="HQ775" s="73"/>
      <c r="HR775" s="73"/>
      <c r="HS775" s="73"/>
      <c r="HT775" s="73"/>
      <c r="HU775" s="73"/>
      <c r="HV775" s="73"/>
      <c r="HW775" s="73"/>
      <c r="HX775" s="73"/>
      <c r="HY775" s="73"/>
      <c r="HZ775" s="73"/>
      <c r="IA775" s="73"/>
      <c r="IB775" s="73"/>
      <c r="IC775" s="73"/>
      <c r="ID775" s="73"/>
      <c r="IE775" s="73"/>
      <c r="IF775" s="73"/>
      <c r="IG775" s="73"/>
      <c r="IH775" s="73"/>
      <c r="II775" s="73"/>
      <c r="IJ775" s="73"/>
      <c r="IK775" s="73"/>
      <c r="IL775" s="73"/>
      <c r="IM775" s="73"/>
      <c r="IN775" s="73"/>
      <c r="IO775" s="73"/>
      <c r="IP775" s="73"/>
      <c r="IQ775" s="73"/>
      <c r="IR775" s="73"/>
      <c r="IS775" s="73"/>
      <c r="IT775" s="73"/>
      <c r="IU775" s="73"/>
      <c r="IV775" s="73"/>
      <c r="IW775" s="73"/>
      <c r="IX775" s="73"/>
      <c r="IY775" s="73"/>
      <c r="IZ775" s="73"/>
      <c r="JA775" s="73"/>
      <c r="JB775" s="73"/>
      <c r="JC775" s="73"/>
    </row>
    <row r="776" spans="2:263" s="72" customFormat="1">
      <c r="B776" s="73"/>
      <c r="C776" s="73"/>
      <c r="D776" s="73"/>
      <c r="E776" s="73"/>
      <c r="F776" s="73"/>
      <c r="G776" s="73"/>
      <c r="H776" s="73"/>
      <c r="I776" s="73"/>
      <c r="J776" s="73"/>
      <c r="K776" s="73"/>
      <c r="L776" s="73"/>
      <c r="M776" s="73"/>
      <c r="N776" s="73"/>
      <c r="O776" s="73"/>
      <c r="P776" s="73"/>
      <c r="Q776" s="73"/>
      <c r="R776" s="73"/>
      <c r="S776" s="73"/>
      <c r="T776" s="73"/>
      <c r="U776" s="73"/>
      <c r="V776" s="73"/>
      <c r="W776" s="73"/>
      <c r="GL776" s="73"/>
      <c r="GM776" s="73"/>
      <c r="GN776" s="73"/>
      <c r="GO776" s="73"/>
      <c r="GP776" s="73"/>
      <c r="GQ776" s="73"/>
      <c r="GR776" s="73"/>
      <c r="GS776" s="73"/>
      <c r="GT776" s="73"/>
      <c r="GU776" s="73"/>
      <c r="GV776" s="73"/>
      <c r="GW776" s="73"/>
      <c r="GX776" s="73"/>
      <c r="GY776" s="73"/>
      <c r="GZ776" s="73"/>
      <c r="HA776" s="73"/>
      <c r="HB776" s="73"/>
      <c r="HC776" s="73"/>
      <c r="HD776" s="73"/>
      <c r="HE776" s="73"/>
      <c r="HF776" s="73"/>
      <c r="HG776" s="73"/>
      <c r="HH776" s="73"/>
      <c r="HI776" s="73"/>
      <c r="HJ776" s="73"/>
      <c r="HK776" s="73"/>
      <c r="HL776" s="73"/>
      <c r="HM776" s="73"/>
      <c r="HN776" s="73"/>
      <c r="HO776" s="73"/>
      <c r="HP776" s="73"/>
      <c r="HQ776" s="73"/>
      <c r="HR776" s="73"/>
      <c r="HS776" s="73"/>
      <c r="HT776" s="73"/>
      <c r="HU776" s="73"/>
      <c r="HV776" s="73"/>
      <c r="HW776" s="73"/>
      <c r="HX776" s="73"/>
      <c r="HY776" s="73"/>
      <c r="HZ776" s="73"/>
      <c r="IA776" s="73"/>
      <c r="IB776" s="73"/>
      <c r="IC776" s="73"/>
      <c r="ID776" s="73"/>
      <c r="IE776" s="73"/>
      <c r="IF776" s="73"/>
      <c r="IG776" s="73"/>
      <c r="IH776" s="73"/>
      <c r="II776" s="73"/>
      <c r="IJ776" s="73"/>
      <c r="IK776" s="73"/>
      <c r="IL776" s="73"/>
      <c r="IM776" s="73"/>
      <c r="IN776" s="73"/>
      <c r="IO776" s="73"/>
      <c r="IP776" s="73"/>
      <c r="IQ776" s="73"/>
      <c r="IR776" s="73"/>
      <c r="IS776" s="73"/>
      <c r="IT776" s="73"/>
      <c r="IU776" s="73"/>
      <c r="IV776" s="73"/>
      <c r="IW776" s="73"/>
      <c r="IX776" s="73"/>
      <c r="IY776" s="73"/>
      <c r="IZ776" s="73"/>
      <c r="JA776" s="73"/>
      <c r="JB776" s="73"/>
      <c r="JC776" s="73"/>
    </row>
    <row r="777" spans="2:263" s="72" customFormat="1">
      <c r="B777" s="73"/>
      <c r="C777" s="73"/>
      <c r="D777" s="73"/>
      <c r="E777" s="73"/>
      <c r="F777" s="73"/>
      <c r="G777" s="73"/>
      <c r="H777" s="73"/>
      <c r="I777" s="73"/>
      <c r="J777" s="73"/>
      <c r="K777" s="73"/>
      <c r="L777" s="73"/>
      <c r="M777" s="73"/>
      <c r="N777" s="73"/>
      <c r="O777" s="73"/>
      <c r="P777" s="73"/>
      <c r="Q777" s="73"/>
      <c r="R777" s="73"/>
      <c r="S777" s="73"/>
      <c r="T777" s="73"/>
      <c r="U777" s="73"/>
      <c r="V777" s="73"/>
      <c r="W777" s="73"/>
      <c r="GL777" s="73"/>
      <c r="GM777" s="73"/>
      <c r="GN777" s="73"/>
      <c r="GO777" s="73"/>
      <c r="GP777" s="73"/>
      <c r="GQ777" s="73"/>
      <c r="GR777" s="73"/>
      <c r="GS777" s="73"/>
      <c r="GT777" s="73"/>
      <c r="GU777" s="73"/>
      <c r="GV777" s="73"/>
      <c r="GW777" s="73"/>
      <c r="GX777" s="73"/>
      <c r="GY777" s="73"/>
      <c r="GZ777" s="73"/>
      <c r="HA777" s="73"/>
      <c r="HB777" s="73"/>
      <c r="HC777" s="73"/>
      <c r="HD777" s="73"/>
      <c r="HE777" s="73"/>
      <c r="HF777" s="73"/>
      <c r="HG777" s="73"/>
      <c r="HH777" s="73"/>
      <c r="HI777" s="73"/>
      <c r="HJ777" s="73"/>
      <c r="HK777" s="73"/>
      <c r="HL777" s="73"/>
      <c r="HM777" s="73"/>
      <c r="HN777" s="73"/>
      <c r="HO777" s="73"/>
      <c r="HP777" s="73"/>
      <c r="HQ777" s="73"/>
      <c r="HR777" s="73"/>
      <c r="HS777" s="73"/>
      <c r="HT777" s="73"/>
      <c r="HU777" s="73"/>
      <c r="HV777" s="73"/>
      <c r="HW777" s="73"/>
      <c r="HX777" s="73"/>
      <c r="HY777" s="73"/>
      <c r="HZ777" s="73"/>
      <c r="IA777" s="73"/>
      <c r="IB777" s="73"/>
      <c r="IC777" s="73"/>
      <c r="ID777" s="73"/>
      <c r="IE777" s="73"/>
      <c r="IF777" s="73"/>
      <c r="IG777" s="73"/>
      <c r="IH777" s="73"/>
      <c r="II777" s="73"/>
      <c r="IJ777" s="73"/>
      <c r="IK777" s="73"/>
      <c r="IL777" s="73"/>
      <c r="IM777" s="73"/>
      <c r="IN777" s="73"/>
      <c r="IO777" s="73"/>
      <c r="IP777" s="73"/>
      <c r="IQ777" s="73"/>
      <c r="IR777" s="73"/>
      <c r="IS777" s="73"/>
      <c r="IT777" s="73"/>
      <c r="IU777" s="73"/>
      <c r="IV777" s="73"/>
      <c r="IW777" s="73"/>
      <c r="IX777" s="73"/>
      <c r="IY777" s="73"/>
      <c r="IZ777" s="73"/>
      <c r="JA777" s="73"/>
      <c r="JB777" s="73"/>
      <c r="JC777" s="73"/>
    </row>
    <row r="778" spans="2:263" s="72" customFormat="1">
      <c r="B778" s="73"/>
      <c r="C778" s="73"/>
      <c r="D778" s="73"/>
      <c r="E778" s="73"/>
      <c r="F778" s="73"/>
      <c r="G778" s="73"/>
      <c r="H778" s="73"/>
      <c r="I778" s="73"/>
      <c r="J778" s="73"/>
      <c r="K778" s="73"/>
      <c r="L778" s="73"/>
      <c r="M778" s="73"/>
      <c r="N778" s="73"/>
      <c r="O778" s="73"/>
      <c r="P778" s="73"/>
      <c r="Q778" s="73"/>
      <c r="R778" s="73"/>
      <c r="S778" s="73"/>
      <c r="T778" s="73"/>
      <c r="U778" s="73"/>
      <c r="V778" s="73"/>
      <c r="W778" s="73"/>
      <c r="GL778" s="73"/>
      <c r="GM778" s="73"/>
      <c r="GN778" s="73"/>
      <c r="GO778" s="73"/>
      <c r="GP778" s="73"/>
      <c r="GQ778" s="73"/>
      <c r="GR778" s="73"/>
      <c r="GS778" s="73"/>
      <c r="GT778" s="73"/>
      <c r="GU778" s="73"/>
      <c r="GV778" s="73"/>
      <c r="GW778" s="73"/>
      <c r="GX778" s="73"/>
      <c r="GY778" s="73"/>
      <c r="GZ778" s="73"/>
      <c r="HA778" s="73"/>
      <c r="HB778" s="73"/>
      <c r="HC778" s="73"/>
      <c r="HD778" s="73"/>
      <c r="HE778" s="73"/>
      <c r="HF778" s="73"/>
      <c r="HG778" s="73"/>
      <c r="HH778" s="73"/>
      <c r="HI778" s="73"/>
      <c r="HJ778" s="73"/>
      <c r="HK778" s="73"/>
      <c r="HL778" s="73"/>
      <c r="HM778" s="73"/>
      <c r="HN778" s="73"/>
      <c r="HO778" s="73"/>
      <c r="HP778" s="73"/>
      <c r="HQ778" s="73"/>
      <c r="HR778" s="73"/>
      <c r="HS778" s="73"/>
      <c r="HT778" s="73"/>
      <c r="HU778" s="73"/>
      <c r="HV778" s="73"/>
      <c r="HW778" s="73"/>
      <c r="HX778" s="73"/>
      <c r="HY778" s="73"/>
      <c r="HZ778" s="73"/>
      <c r="IA778" s="73"/>
      <c r="IB778" s="73"/>
      <c r="IC778" s="73"/>
      <c r="ID778" s="73"/>
      <c r="IE778" s="73"/>
      <c r="IF778" s="73"/>
      <c r="IG778" s="73"/>
      <c r="IH778" s="73"/>
      <c r="II778" s="73"/>
      <c r="IJ778" s="73"/>
      <c r="IK778" s="73"/>
      <c r="IL778" s="73"/>
      <c r="IM778" s="73"/>
      <c r="IN778" s="73"/>
      <c r="IO778" s="73"/>
      <c r="IP778" s="73"/>
      <c r="IQ778" s="73"/>
      <c r="IR778" s="73"/>
      <c r="IS778" s="73"/>
      <c r="IT778" s="73"/>
      <c r="IU778" s="73"/>
      <c r="IV778" s="73"/>
      <c r="IW778" s="73"/>
      <c r="IX778" s="73"/>
      <c r="IY778" s="73"/>
      <c r="IZ778" s="73"/>
      <c r="JA778" s="73"/>
      <c r="JB778" s="73"/>
      <c r="JC778" s="73"/>
    </row>
    <row r="779" spans="2:263" s="72" customFormat="1">
      <c r="B779" s="73"/>
      <c r="C779" s="73"/>
      <c r="D779" s="73"/>
      <c r="E779" s="73"/>
      <c r="F779" s="73"/>
      <c r="G779" s="73"/>
      <c r="H779" s="73"/>
      <c r="I779" s="73"/>
      <c r="J779" s="73"/>
      <c r="K779" s="73"/>
      <c r="L779" s="73"/>
      <c r="M779" s="73"/>
      <c r="N779" s="73"/>
      <c r="O779" s="73"/>
      <c r="P779" s="73"/>
      <c r="Q779" s="73"/>
      <c r="R779" s="73"/>
      <c r="S779" s="73"/>
      <c r="T779" s="73"/>
      <c r="U779" s="73"/>
      <c r="V779" s="73"/>
      <c r="W779" s="73"/>
      <c r="GL779" s="73"/>
      <c r="GM779" s="73"/>
      <c r="GN779" s="73"/>
      <c r="GO779" s="73"/>
      <c r="GP779" s="73"/>
      <c r="GQ779" s="73"/>
      <c r="GR779" s="73"/>
      <c r="GS779" s="73"/>
      <c r="GT779" s="73"/>
      <c r="GU779" s="73"/>
      <c r="GV779" s="73"/>
      <c r="GW779" s="73"/>
      <c r="GX779" s="73"/>
      <c r="GY779" s="73"/>
      <c r="GZ779" s="73"/>
      <c r="HA779" s="73"/>
      <c r="HB779" s="73"/>
      <c r="HC779" s="73"/>
      <c r="HD779" s="73"/>
      <c r="HE779" s="73"/>
      <c r="HF779" s="73"/>
      <c r="HG779" s="73"/>
      <c r="HH779" s="73"/>
      <c r="HI779" s="73"/>
      <c r="HJ779" s="73"/>
      <c r="HK779" s="73"/>
      <c r="HL779" s="73"/>
      <c r="HM779" s="73"/>
      <c r="HN779" s="73"/>
      <c r="HO779" s="73"/>
      <c r="HP779" s="73"/>
      <c r="HQ779" s="73"/>
      <c r="HR779" s="73"/>
      <c r="HS779" s="73"/>
      <c r="HT779" s="73"/>
      <c r="HU779" s="73"/>
      <c r="HV779" s="73"/>
      <c r="HW779" s="73"/>
      <c r="HX779" s="73"/>
      <c r="HY779" s="73"/>
      <c r="HZ779" s="73"/>
      <c r="IA779" s="73"/>
      <c r="IB779" s="73"/>
      <c r="IC779" s="73"/>
      <c r="ID779" s="73"/>
      <c r="IE779" s="73"/>
      <c r="IF779" s="73"/>
      <c r="IG779" s="73"/>
      <c r="IH779" s="73"/>
      <c r="II779" s="73"/>
      <c r="IJ779" s="73"/>
      <c r="IK779" s="73"/>
      <c r="IL779" s="73"/>
      <c r="IM779" s="73"/>
      <c r="IN779" s="73"/>
      <c r="IO779" s="73"/>
      <c r="IP779" s="73"/>
      <c r="IQ779" s="73"/>
      <c r="IR779" s="73"/>
      <c r="IS779" s="73"/>
      <c r="IT779" s="73"/>
      <c r="IU779" s="73"/>
      <c r="IV779" s="73"/>
      <c r="IW779" s="73"/>
      <c r="IX779" s="73"/>
      <c r="IY779" s="73"/>
      <c r="IZ779" s="73"/>
      <c r="JA779" s="73"/>
      <c r="JB779" s="73"/>
      <c r="JC779" s="73"/>
    </row>
    <row r="780" spans="2:263" s="72" customFormat="1">
      <c r="B780" s="73"/>
      <c r="C780" s="73"/>
      <c r="D780" s="73"/>
      <c r="E780" s="73"/>
      <c r="F780" s="73"/>
      <c r="G780" s="73"/>
      <c r="H780" s="73"/>
      <c r="I780" s="73"/>
      <c r="J780" s="73"/>
      <c r="K780" s="73"/>
      <c r="L780" s="73"/>
      <c r="M780" s="73"/>
      <c r="N780" s="73"/>
      <c r="O780" s="73"/>
      <c r="P780" s="73"/>
      <c r="Q780" s="73"/>
      <c r="R780" s="73"/>
      <c r="S780" s="73"/>
      <c r="T780" s="73"/>
      <c r="U780" s="73"/>
      <c r="V780" s="73"/>
      <c r="W780" s="73"/>
      <c r="GL780" s="73"/>
      <c r="GM780" s="73"/>
      <c r="GN780" s="73"/>
      <c r="GO780" s="73"/>
      <c r="GP780" s="73"/>
      <c r="GQ780" s="73"/>
      <c r="GR780" s="73"/>
      <c r="GS780" s="73"/>
      <c r="GT780" s="73"/>
      <c r="GU780" s="73"/>
      <c r="GV780" s="73"/>
      <c r="GW780" s="73"/>
      <c r="GX780" s="73"/>
      <c r="GY780" s="73"/>
      <c r="GZ780" s="73"/>
      <c r="HA780" s="73"/>
      <c r="HB780" s="73"/>
      <c r="HC780" s="73"/>
      <c r="HD780" s="73"/>
      <c r="HE780" s="73"/>
      <c r="HF780" s="73"/>
      <c r="HG780" s="73"/>
      <c r="HH780" s="73"/>
      <c r="HI780" s="73"/>
      <c r="HJ780" s="73"/>
      <c r="HK780" s="73"/>
      <c r="HL780" s="73"/>
      <c r="HM780" s="73"/>
      <c r="HN780" s="73"/>
      <c r="HO780" s="73"/>
      <c r="HP780" s="73"/>
      <c r="HQ780" s="73"/>
      <c r="HR780" s="73"/>
      <c r="HS780" s="73"/>
      <c r="HT780" s="73"/>
      <c r="HU780" s="73"/>
      <c r="HV780" s="73"/>
      <c r="HW780" s="73"/>
      <c r="HX780" s="73"/>
      <c r="HY780" s="73"/>
      <c r="HZ780" s="73"/>
      <c r="IA780" s="73"/>
      <c r="IB780" s="73"/>
      <c r="IC780" s="73"/>
      <c r="ID780" s="73"/>
      <c r="IE780" s="73"/>
      <c r="IF780" s="73"/>
      <c r="IG780" s="73"/>
      <c r="IH780" s="73"/>
      <c r="II780" s="73"/>
      <c r="IJ780" s="73"/>
      <c r="IK780" s="73"/>
      <c r="IL780" s="73"/>
      <c r="IM780" s="73"/>
      <c r="IN780" s="73"/>
      <c r="IO780" s="73"/>
      <c r="IP780" s="73"/>
      <c r="IQ780" s="73"/>
      <c r="IR780" s="73"/>
      <c r="IS780" s="73"/>
      <c r="IT780" s="73"/>
      <c r="IU780" s="73"/>
      <c r="IV780" s="73"/>
      <c r="IW780" s="73"/>
      <c r="IX780" s="73"/>
      <c r="IY780" s="73"/>
      <c r="IZ780" s="73"/>
      <c r="JA780" s="73"/>
      <c r="JB780" s="73"/>
      <c r="JC780" s="73"/>
    </row>
    <row r="781" spans="2:263" s="72" customFormat="1">
      <c r="B781" s="73"/>
      <c r="C781" s="73"/>
      <c r="D781" s="73"/>
      <c r="E781" s="73"/>
      <c r="F781" s="73"/>
      <c r="G781" s="73"/>
      <c r="H781" s="73"/>
      <c r="I781" s="73"/>
      <c r="J781" s="73"/>
      <c r="K781" s="73"/>
      <c r="L781" s="73"/>
      <c r="M781" s="73"/>
      <c r="N781" s="73"/>
      <c r="O781" s="73"/>
      <c r="P781" s="73"/>
      <c r="Q781" s="73"/>
      <c r="R781" s="73"/>
      <c r="S781" s="73"/>
      <c r="T781" s="73"/>
      <c r="U781" s="73"/>
      <c r="V781" s="73"/>
      <c r="W781" s="73"/>
      <c r="GL781" s="73"/>
      <c r="GM781" s="73"/>
      <c r="GN781" s="73"/>
      <c r="GO781" s="73"/>
      <c r="GP781" s="73"/>
      <c r="GQ781" s="73"/>
      <c r="GR781" s="73"/>
      <c r="GS781" s="73"/>
      <c r="GT781" s="73"/>
      <c r="GU781" s="73"/>
      <c r="GV781" s="73"/>
      <c r="GW781" s="73"/>
      <c r="GX781" s="73"/>
      <c r="GY781" s="73"/>
      <c r="GZ781" s="73"/>
      <c r="HA781" s="73"/>
      <c r="HB781" s="73"/>
      <c r="HC781" s="73"/>
      <c r="HD781" s="73"/>
      <c r="HE781" s="73"/>
      <c r="HF781" s="73"/>
      <c r="HG781" s="73"/>
      <c r="HH781" s="73"/>
      <c r="HI781" s="73"/>
      <c r="HJ781" s="73"/>
      <c r="HK781" s="73"/>
      <c r="HL781" s="73"/>
      <c r="HM781" s="73"/>
      <c r="HN781" s="73"/>
      <c r="HO781" s="73"/>
      <c r="HP781" s="73"/>
      <c r="HQ781" s="73"/>
      <c r="HR781" s="73"/>
      <c r="HS781" s="73"/>
      <c r="HT781" s="73"/>
      <c r="HU781" s="73"/>
      <c r="HV781" s="73"/>
      <c r="HW781" s="73"/>
      <c r="HX781" s="73"/>
      <c r="HY781" s="73"/>
      <c r="HZ781" s="73"/>
      <c r="IA781" s="73"/>
      <c r="IB781" s="73"/>
      <c r="IC781" s="73"/>
      <c r="ID781" s="73"/>
      <c r="IE781" s="73"/>
      <c r="IF781" s="73"/>
      <c r="IG781" s="73"/>
      <c r="IH781" s="73"/>
      <c r="II781" s="73"/>
      <c r="IJ781" s="73"/>
      <c r="IK781" s="73"/>
      <c r="IL781" s="73"/>
      <c r="IM781" s="73"/>
      <c r="IN781" s="73"/>
      <c r="IO781" s="73"/>
      <c r="IP781" s="73"/>
      <c r="IQ781" s="73"/>
      <c r="IR781" s="73"/>
      <c r="IS781" s="73"/>
      <c r="IT781" s="73"/>
      <c r="IU781" s="73"/>
      <c r="IV781" s="73"/>
      <c r="IW781" s="73"/>
      <c r="IX781" s="73"/>
      <c r="IY781" s="73"/>
      <c r="IZ781" s="73"/>
      <c r="JA781" s="73"/>
      <c r="JB781" s="73"/>
      <c r="JC781" s="73"/>
    </row>
    <row r="782" spans="2:263" s="72" customFormat="1">
      <c r="B782" s="73"/>
      <c r="C782" s="73"/>
      <c r="D782" s="73"/>
      <c r="E782" s="73"/>
      <c r="F782" s="73"/>
      <c r="G782" s="73"/>
      <c r="H782" s="73"/>
      <c r="I782" s="73"/>
      <c r="J782" s="73"/>
      <c r="K782" s="73"/>
      <c r="L782" s="73"/>
      <c r="M782" s="73"/>
      <c r="N782" s="73"/>
      <c r="O782" s="73"/>
      <c r="P782" s="73"/>
      <c r="Q782" s="73"/>
      <c r="R782" s="73"/>
      <c r="S782" s="73"/>
      <c r="T782" s="73"/>
      <c r="U782" s="73"/>
      <c r="V782" s="73"/>
      <c r="W782" s="73"/>
      <c r="GL782" s="73"/>
      <c r="GM782" s="73"/>
      <c r="GN782" s="73"/>
      <c r="GO782" s="73"/>
      <c r="GP782" s="73"/>
      <c r="GQ782" s="73"/>
      <c r="GR782" s="73"/>
      <c r="GS782" s="73"/>
      <c r="GT782" s="73"/>
      <c r="GU782" s="73"/>
      <c r="GV782" s="73"/>
      <c r="GW782" s="73"/>
      <c r="GX782" s="73"/>
      <c r="GY782" s="73"/>
      <c r="GZ782" s="73"/>
      <c r="HA782" s="73"/>
      <c r="HB782" s="73"/>
      <c r="HC782" s="73"/>
      <c r="HD782" s="73"/>
      <c r="HE782" s="73"/>
      <c r="HF782" s="73"/>
      <c r="HG782" s="73"/>
      <c r="HH782" s="73"/>
      <c r="HI782" s="73"/>
      <c r="HJ782" s="73"/>
      <c r="HK782" s="73"/>
      <c r="HL782" s="73"/>
      <c r="HM782" s="73"/>
      <c r="HN782" s="73"/>
      <c r="HO782" s="73"/>
      <c r="HP782" s="73"/>
      <c r="HQ782" s="73"/>
      <c r="HR782" s="73"/>
      <c r="HS782" s="73"/>
      <c r="HT782" s="73"/>
      <c r="HU782" s="73"/>
      <c r="HV782" s="73"/>
      <c r="HW782" s="73"/>
      <c r="HX782" s="73"/>
      <c r="HY782" s="73"/>
      <c r="HZ782" s="73"/>
      <c r="IA782" s="73"/>
      <c r="IB782" s="73"/>
      <c r="IC782" s="73"/>
      <c r="ID782" s="73"/>
      <c r="IE782" s="73"/>
      <c r="IF782" s="73"/>
      <c r="IG782" s="73"/>
      <c r="IH782" s="73"/>
      <c r="II782" s="73"/>
      <c r="IJ782" s="73"/>
      <c r="IK782" s="73"/>
      <c r="IL782" s="73"/>
      <c r="IM782" s="73"/>
      <c r="IN782" s="73"/>
      <c r="IO782" s="73"/>
      <c r="IP782" s="73"/>
      <c r="IQ782" s="73"/>
      <c r="IR782" s="73"/>
      <c r="IS782" s="73"/>
      <c r="IT782" s="73"/>
      <c r="IU782" s="73"/>
      <c r="IV782" s="73"/>
      <c r="IW782" s="73"/>
      <c r="IX782" s="73"/>
      <c r="IY782" s="73"/>
      <c r="IZ782" s="73"/>
      <c r="JA782" s="73"/>
      <c r="JB782" s="73"/>
      <c r="JC782" s="73"/>
    </row>
    <row r="783" spans="2:263" s="72" customFormat="1">
      <c r="B783" s="73"/>
      <c r="C783" s="73"/>
      <c r="D783" s="73"/>
      <c r="E783" s="73"/>
      <c r="F783" s="73"/>
      <c r="G783" s="73"/>
      <c r="H783" s="73"/>
      <c r="I783" s="73"/>
      <c r="J783" s="73"/>
      <c r="K783" s="73"/>
      <c r="L783" s="73"/>
      <c r="M783" s="73"/>
      <c r="N783" s="73"/>
      <c r="O783" s="73"/>
      <c r="P783" s="73"/>
      <c r="Q783" s="73"/>
      <c r="R783" s="73"/>
      <c r="S783" s="73"/>
      <c r="T783" s="73"/>
      <c r="U783" s="73"/>
      <c r="V783" s="73"/>
      <c r="W783" s="73"/>
      <c r="GL783" s="73"/>
      <c r="GM783" s="73"/>
      <c r="GN783" s="73"/>
      <c r="GO783" s="73"/>
      <c r="GP783" s="73"/>
      <c r="GQ783" s="73"/>
      <c r="GR783" s="73"/>
      <c r="GS783" s="73"/>
      <c r="GT783" s="73"/>
      <c r="GU783" s="73"/>
      <c r="GV783" s="73"/>
      <c r="GW783" s="73"/>
      <c r="GX783" s="73"/>
      <c r="GY783" s="73"/>
      <c r="GZ783" s="73"/>
      <c r="HA783" s="73"/>
      <c r="HB783" s="73"/>
      <c r="HC783" s="73"/>
      <c r="HD783" s="73"/>
      <c r="HE783" s="73"/>
      <c r="HF783" s="73"/>
      <c r="HG783" s="73"/>
      <c r="HH783" s="73"/>
      <c r="HI783" s="73"/>
      <c r="HJ783" s="73"/>
      <c r="HK783" s="73"/>
      <c r="HL783" s="73"/>
      <c r="HM783" s="73"/>
      <c r="HN783" s="73"/>
      <c r="HO783" s="73"/>
      <c r="HP783" s="73"/>
      <c r="HQ783" s="73"/>
      <c r="HR783" s="73"/>
      <c r="HS783" s="73"/>
      <c r="HT783" s="73"/>
      <c r="HU783" s="73"/>
      <c r="HV783" s="73"/>
      <c r="HW783" s="73"/>
      <c r="HX783" s="73"/>
      <c r="HY783" s="73"/>
      <c r="HZ783" s="73"/>
      <c r="IA783" s="73"/>
      <c r="IB783" s="73"/>
      <c r="IC783" s="73"/>
      <c r="ID783" s="73"/>
      <c r="IE783" s="73"/>
      <c r="IF783" s="73"/>
      <c r="IG783" s="73"/>
      <c r="IH783" s="73"/>
      <c r="II783" s="73"/>
      <c r="IJ783" s="73"/>
      <c r="IK783" s="73"/>
      <c r="IL783" s="73"/>
      <c r="IM783" s="73"/>
      <c r="IN783" s="73"/>
      <c r="IO783" s="73"/>
      <c r="IP783" s="73"/>
      <c r="IQ783" s="73"/>
      <c r="IR783" s="73"/>
      <c r="IS783" s="73"/>
      <c r="IT783" s="73"/>
      <c r="IU783" s="73"/>
      <c r="IV783" s="73"/>
      <c r="IW783" s="73"/>
      <c r="IX783" s="73"/>
      <c r="IY783" s="73"/>
      <c r="IZ783" s="73"/>
      <c r="JA783" s="73"/>
      <c r="JB783" s="73"/>
      <c r="JC783" s="73"/>
    </row>
    <row r="784" spans="2:263" s="72" customFormat="1">
      <c r="B784" s="73"/>
      <c r="C784" s="73"/>
      <c r="D784" s="73"/>
      <c r="E784" s="73"/>
      <c r="F784" s="73"/>
      <c r="G784" s="73"/>
      <c r="H784" s="73"/>
      <c r="I784" s="73"/>
      <c r="J784" s="73"/>
      <c r="K784" s="73"/>
      <c r="L784" s="73"/>
      <c r="M784" s="73"/>
      <c r="N784" s="73"/>
      <c r="O784" s="73"/>
      <c r="P784" s="73"/>
      <c r="Q784" s="73"/>
      <c r="R784" s="73"/>
      <c r="S784" s="73"/>
      <c r="T784" s="73"/>
      <c r="U784" s="73"/>
      <c r="V784" s="73"/>
      <c r="W784" s="73"/>
      <c r="GL784" s="73"/>
      <c r="GM784" s="73"/>
      <c r="GN784" s="73"/>
      <c r="GO784" s="73"/>
      <c r="GP784" s="73"/>
      <c r="GQ784" s="73"/>
      <c r="GR784" s="73"/>
      <c r="GS784" s="73"/>
      <c r="GT784" s="73"/>
      <c r="GU784" s="73"/>
      <c r="GV784" s="73"/>
      <c r="GW784" s="73"/>
      <c r="GX784" s="73"/>
      <c r="GY784" s="73"/>
      <c r="GZ784" s="73"/>
      <c r="HA784" s="73"/>
      <c r="HB784" s="73"/>
      <c r="HC784" s="73"/>
      <c r="HD784" s="73"/>
      <c r="HE784" s="73"/>
      <c r="HF784" s="73"/>
      <c r="HG784" s="73"/>
      <c r="HH784" s="73"/>
      <c r="HI784" s="73"/>
      <c r="HJ784" s="73"/>
      <c r="HK784" s="73"/>
      <c r="HL784" s="73"/>
      <c r="HM784" s="73"/>
      <c r="HN784" s="73"/>
      <c r="HO784" s="73"/>
      <c r="HP784" s="73"/>
      <c r="HQ784" s="73"/>
      <c r="HR784" s="73"/>
      <c r="HS784" s="73"/>
      <c r="HT784" s="73"/>
      <c r="HU784" s="73"/>
      <c r="HV784" s="73"/>
      <c r="HW784" s="73"/>
      <c r="HX784" s="73"/>
      <c r="HY784" s="73"/>
      <c r="HZ784" s="73"/>
      <c r="IA784" s="73"/>
      <c r="IB784" s="73"/>
      <c r="IC784" s="73"/>
      <c r="ID784" s="73"/>
      <c r="IE784" s="73"/>
      <c r="IF784" s="73"/>
      <c r="IG784" s="73"/>
      <c r="IH784" s="73"/>
      <c r="II784" s="73"/>
      <c r="IJ784" s="73"/>
      <c r="IK784" s="73"/>
      <c r="IL784" s="73"/>
      <c r="IM784" s="73"/>
      <c r="IN784" s="73"/>
      <c r="IO784" s="73"/>
      <c r="IP784" s="73"/>
      <c r="IQ784" s="73"/>
      <c r="IR784" s="73"/>
      <c r="IS784" s="73"/>
      <c r="IT784" s="73"/>
      <c r="IU784" s="73"/>
      <c r="IV784" s="73"/>
      <c r="IW784" s="73"/>
      <c r="IX784" s="73"/>
      <c r="IY784" s="73"/>
      <c r="IZ784" s="73"/>
      <c r="JA784" s="73"/>
      <c r="JB784" s="73"/>
      <c r="JC784" s="73"/>
    </row>
    <row r="785" spans="2:263" s="72" customFormat="1">
      <c r="B785" s="73"/>
      <c r="C785" s="73"/>
      <c r="D785" s="73"/>
      <c r="E785" s="73"/>
      <c r="F785" s="73"/>
      <c r="G785" s="73"/>
      <c r="H785" s="73"/>
      <c r="I785" s="73"/>
      <c r="J785" s="73"/>
      <c r="K785" s="73"/>
      <c r="L785" s="73"/>
      <c r="M785" s="73"/>
      <c r="N785" s="73"/>
      <c r="O785" s="73"/>
      <c r="P785" s="73"/>
      <c r="Q785" s="73"/>
      <c r="R785" s="73"/>
      <c r="S785" s="73"/>
      <c r="T785" s="73"/>
      <c r="U785" s="73"/>
      <c r="V785" s="73"/>
      <c r="W785" s="73"/>
      <c r="GL785" s="73"/>
      <c r="GM785" s="73"/>
      <c r="GN785" s="73"/>
      <c r="GO785" s="73"/>
      <c r="GP785" s="73"/>
      <c r="GQ785" s="73"/>
      <c r="GR785" s="73"/>
      <c r="GS785" s="73"/>
      <c r="GT785" s="73"/>
      <c r="GU785" s="73"/>
      <c r="GV785" s="73"/>
      <c r="GW785" s="73"/>
      <c r="GX785" s="73"/>
      <c r="GY785" s="73"/>
      <c r="GZ785" s="73"/>
      <c r="HA785" s="73"/>
      <c r="HB785" s="73"/>
      <c r="HC785" s="73"/>
      <c r="HD785" s="73"/>
      <c r="HE785" s="73"/>
      <c r="HF785" s="73"/>
      <c r="HG785" s="73"/>
      <c r="HH785" s="73"/>
      <c r="HI785" s="73"/>
      <c r="HJ785" s="73"/>
      <c r="HK785" s="73"/>
      <c r="HL785" s="73"/>
      <c r="HM785" s="73"/>
      <c r="HN785" s="73"/>
      <c r="HO785" s="73"/>
      <c r="HP785" s="73"/>
      <c r="HQ785" s="73"/>
      <c r="HR785" s="73"/>
      <c r="HS785" s="73"/>
      <c r="HT785" s="73"/>
      <c r="HU785" s="73"/>
      <c r="HV785" s="73"/>
      <c r="HW785" s="73"/>
      <c r="HX785" s="73"/>
      <c r="HY785" s="73"/>
      <c r="HZ785" s="73"/>
      <c r="IA785" s="73"/>
      <c r="IB785" s="73"/>
      <c r="IC785" s="73"/>
      <c r="ID785" s="73"/>
      <c r="IE785" s="73"/>
      <c r="IF785" s="73"/>
      <c r="IG785" s="73"/>
      <c r="IH785" s="73"/>
      <c r="II785" s="73"/>
      <c r="IJ785" s="73"/>
      <c r="IK785" s="73"/>
      <c r="IL785" s="73"/>
      <c r="IM785" s="73"/>
      <c r="IN785" s="73"/>
      <c r="IO785" s="73"/>
      <c r="IP785" s="73"/>
      <c r="IQ785" s="73"/>
      <c r="IR785" s="73"/>
      <c r="IS785" s="73"/>
      <c r="IT785" s="73"/>
      <c r="IU785" s="73"/>
      <c r="IV785" s="73"/>
      <c r="IW785" s="73"/>
      <c r="IX785" s="73"/>
      <c r="IY785" s="73"/>
      <c r="IZ785" s="73"/>
      <c r="JA785" s="73"/>
      <c r="JB785" s="73"/>
      <c r="JC785" s="73"/>
    </row>
    <row r="786" spans="2:263" s="72" customFormat="1">
      <c r="B786" s="73"/>
      <c r="C786" s="73"/>
      <c r="D786" s="73"/>
      <c r="E786" s="73"/>
      <c r="F786" s="73"/>
      <c r="G786" s="73"/>
      <c r="H786" s="73"/>
      <c r="I786" s="73"/>
      <c r="J786" s="73"/>
      <c r="K786" s="73"/>
      <c r="L786" s="73"/>
      <c r="M786" s="73"/>
      <c r="N786" s="73"/>
      <c r="O786" s="73"/>
      <c r="P786" s="73"/>
      <c r="Q786" s="73"/>
      <c r="R786" s="73"/>
      <c r="S786" s="73"/>
      <c r="T786" s="73"/>
      <c r="U786" s="73"/>
      <c r="V786" s="73"/>
      <c r="W786" s="73"/>
      <c r="GL786" s="73"/>
      <c r="GM786" s="73"/>
      <c r="GN786" s="73"/>
      <c r="GO786" s="73"/>
      <c r="GP786" s="73"/>
      <c r="GQ786" s="73"/>
      <c r="GR786" s="73"/>
      <c r="GS786" s="73"/>
      <c r="GT786" s="73"/>
      <c r="GU786" s="73"/>
      <c r="GV786" s="73"/>
      <c r="GW786" s="73"/>
      <c r="GX786" s="73"/>
      <c r="GY786" s="73"/>
      <c r="GZ786" s="73"/>
      <c r="HA786" s="73"/>
      <c r="HB786" s="73"/>
      <c r="HC786" s="73"/>
      <c r="HD786" s="73"/>
      <c r="HE786" s="73"/>
      <c r="HF786" s="73"/>
      <c r="HG786" s="73"/>
      <c r="HH786" s="73"/>
      <c r="HI786" s="73"/>
      <c r="HJ786" s="73"/>
      <c r="HK786" s="73"/>
      <c r="HL786" s="73"/>
      <c r="HM786" s="73"/>
      <c r="HN786" s="73"/>
      <c r="HO786" s="73"/>
      <c r="HP786" s="73"/>
      <c r="HQ786" s="73"/>
      <c r="HR786" s="73"/>
      <c r="HS786" s="73"/>
      <c r="HT786" s="73"/>
      <c r="HU786" s="73"/>
      <c r="HV786" s="73"/>
      <c r="HW786" s="73"/>
      <c r="HX786" s="73"/>
      <c r="HY786" s="73"/>
      <c r="HZ786" s="73"/>
      <c r="IA786" s="73"/>
      <c r="IB786" s="73"/>
      <c r="IC786" s="73"/>
      <c r="ID786" s="73"/>
      <c r="IE786" s="73"/>
      <c r="IF786" s="73"/>
      <c r="IG786" s="73"/>
      <c r="IH786" s="73"/>
      <c r="II786" s="73"/>
      <c r="IJ786" s="73"/>
      <c r="IK786" s="73"/>
      <c r="IL786" s="73"/>
      <c r="IM786" s="73"/>
      <c r="IN786" s="73"/>
      <c r="IO786" s="73"/>
      <c r="IP786" s="73"/>
      <c r="IQ786" s="73"/>
      <c r="IR786" s="73"/>
      <c r="IS786" s="73"/>
      <c r="IT786" s="73"/>
      <c r="IU786" s="73"/>
      <c r="IV786" s="73"/>
      <c r="IW786" s="73"/>
      <c r="IX786" s="73"/>
      <c r="IY786" s="73"/>
      <c r="IZ786" s="73"/>
      <c r="JA786" s="73"/>
      <c r="JB786" s="73"/>
      <c r="JC786" s="73"/>
    </row>
    <row r="787" spans="2:263" s="72" customFormat="1">
      <c r="B787" s="73"/>
      <c r="C787" s="73"/>
      <c r="D787" s="73"/>
      <c r="E787" s="73"/>
      <c r="F787" s="73"/>
      <c r="G787" s="73"/>
      <c r="H787" s="73"/>
      <c r="I787" s="73"/>
      <c r="J787" s="73"/>
      <c r="K787" s="73"/>
      <c r="L787" s="73"/>
      <c r="M787" s="73"/>
      <c r="N787" s="73"/>
      <c r="O787" s="73"/>
      <c r="P787" s="73"/>
      <c r="Q787" s="73"/>
      <c r="R787" s="73"/>
      <c r="S787" s="73"/>
      <c r="T787" s="73"/>
      <c r="U787" s="73"/>
      <c r="V787" s="73"/>
      <c r="W787" s="73"/>
      <c r="GL787" s="73"/>
      <c r="GM787" s="73"/>
      <c r="GN787" s="73"/>
      <c r="GO787" s="73"/>
      <c r="GP787" s="73"/>
      <c r="GQ787" s="73"/>
      <c r="GR787" s="73"/>
      <c r="GS787" s="73"/>
      <c r="GT787" s="73"/>
      <c r="GU787" s="73"/>
      <c r="GV787" s="73"/>
      <c r="GW787" s="73"/>
      <c r="GX787" s="73"/>
      <c r="GY787" s="73"/>
      <c r="GZ787" s="73"/>
      <c r="HA787" s="73"/>
      <c r="HB787" s="73"/>
      <c r="HC787" s="73"/>
      <c r="HD787" s="73"/>
      <c r="HE787" s="73"/>
      <c r="HF787" s="73"/>
      <c r="HG787" s="73"/>
      <c r="HH787" s="73"/>
      <c r="HI787" s="73"/>
      <c r="HJ787" s="73"/>
      <c r="HK787" s="73"/>
      <c r="HL787" s="73"/>
      <c r="HM787" s="73"/>
      <c r="HN787" s="73"/>
      <c r="HO787" s="73"/>
      <c r="HP787" s="73"/>
      <c r="HQ787" s="73"/>
      <c r="HR787" s="73"/>
      <c r="HS787" s="73"/>
      <c r="HT787" s="73"/>
      <c r="HU787" s="73"/>
      <c r="HV787" s="73"/>
      <c r="HW787" s="73"/>
      <c r="HX787" s="73"/>
      <c r="HY787" s="73"/>
      <c r="HZ787" s="73"/>
      <c r="IA787" s="73"/>
      <c r="IB787" s="73"/>
      <c r="IC787" s="73"/>
      <c r="ID787" s="73"/>
      <c r="IE787" s="73"/>
      <c r="IF787" s="73"/>
      <c r="IG787" s="73"/>
      <c r="IH787" s="73"/>
      <c r="II787" s="73"/>
      <c r="IJ787" s="73"/>
      <c r="IK787" s="73"/>
      <c r="IL787" s="73"/>
      <c r="IM787" s="73"/>
      <c r="IN787" s="73"/>
      <c r="IO787" s="73"/>
      <c r="IP787" s="73"/>
      <c r="IQ787" s="73"/>
      <c r="IR787" s="73"/>
      <c r="IS787" s="73"/>
      <c r="IT787" s="73"/>
      <c r="IU787" s="73"/>
      <c r="IV787" s="73"/>
      <c r="IW787" s="73"/>
      <c r="IX787" s="73"/>
      <c r="IY787" s="73"/>
      <c r="IZ787" s="73"/>
      <c r="JA787" s="73"/>
      <c r="JB787" s="73"/>
      <c r="JC787" s="73"/>
    </row>
    <row r="788" spans="2:263" s="72" customFormat="1">
      <c r="B788" s="73"/>
      <c r="C788" s="73"/>
      <c r="D788" s="73"/>
      <c r="E788" s="73"/>
      <c r="F788" s="73"/>
      <c r="G788" s="73"/>
      <c r="H788" s="73"/>
      <c r="I788" s="73"/>
      <c r="J788" s="73"/>
      <c r="K788" s="73"/>
      <c r="L788" s="73"/>
      <c r="M788" s="73"/>
      <c r="N788" s="73"/>
      <c r="O788" s="73"/>
      <c r="P788" s="73"/>
      <c r="Q788" s="73"/>
      <c r="R788" s="73"/>
      <c r="S788" s="73"/>
      <c r="T788" s="73"/>
      <c r="U788" s="73"/>
      <c r="V788" s="73"/>
      <c r="W788" s="73"/>
      <c r="GL788" s="73"/>
      <c r="GM788" s="73"/>
      <c r="GN788" s="73"/>
      <c r="GO788" s="73"/>
      <c r="GP788" s="73"/>
      <c r="GQ788" s="73"/>
      <c r="GR788" s="73"/>
      <c r="GS788" s="73"/>
      <c r="GT788" s="73"/>
      <c r="GU788" s="73"/>
      <c r="GV788" s="73"/>
      <c r="GW788" s="73"/>
      <c r="GX788" s="73"/>
      <c r="GY788" s="73"/>
      <c r="GZ788" s="73"/>
      <c r="HA788" s="73"/>
      <c r="HB788" s="73"/>
      <c r="HC788" s="73"/>
      <c r="HD788" s="73"/>
      <c r="HE788" s="73"/>
      <c r="HF788" s="73"/>
      <c r="HG788" s="73"/>
      <c r="HH788" s="73"/>
      <c r="HI788" s="73"/>
      <c r="HJ788" s="73"/>
      <c r="HK788" s="73"/>
      <c r="HL788" s="73"/>
      <c r="HM788" s="73"/>
      <c r="HN788" s="73"/>
      <c r="HO788" s="73"/>
      <c r="HP788" s="73"/>
      <c r="HQ788" s="73"/>
      <c r="HR788" s="73"/>
      <c r="HS788" s="73"/>
      <c r="HT788" s="73"/>
      <c r="HU788" s="73"/>
      <c r="HV788" s="73"/>
      <c r="HW788" s="73"/>
      <c r="HX788" s="73"/>
      <c r="HY788" s="73"/>
      <c r="HZ788" s="73"/>
      <c r="IA788" s="73"/>
      <c r="IB788" s="73"/>
      <c r="IC788" s="73"/>
      <c r="ID788" s="73"/>
      <c r="IE788" s="73"/>
      <c r="IF788" s="73"/>
      <c r="IG788" s="73"/>
      <c r="IH788" s="73"/>
      <c r="II788" s="73"/>
      <c r="IJ788" s="73"/>
      <c r="IK788" s="73"/>
      <c r="IL788" s="73"/>
      <c r="IM788" s="73"/>
      <c r="IN788" s="73"/>
      <c r="IO788" s="73"/>
      <c r="IP788" s="73"/>
      <c r="IQ788" s="73"/>
      <c r="IR788" s="73"/>
      <c r="IS788" s="73"/>
      <c r="IT788" s="73"/>
      <c r="IU788" s="73"/>
      <c r="IV788" s="73"/>
      <c r="IW788" s="73"/>
      <c r="IX788" s="73"/>
      <c r="IY788" s="73"/>
      <c r="IZ788" s="73"/>
      <c r="JA788" s="73"/>
      <c r="JB788" s="73"/>
      <c r="JC788" s="73"/>
    </row>
    <row r="789" spans="2:263" s="72" customFormat="1">
      <c r="B789" s="73"/>
      <c r="C789" s="73"/>
      <c r="D789" s="73"/>
      <c r="E789" s="73"/>
      <c r="F789" s="73"/>
      <c r="G789" s="73"/>
      <c r="H789" s="73"/>
      <c r="I789" s="73"/>
      <c r="J789" s="73"/>
      <c r="K789" s="73"/>
      <c r="L789" s="73"/>
      <c r="M789" s="73"/>
      <c r="N789" s="73"/>
      <c r="O789" s="73"/>
      <c r="P789" s="73"/>
      <c r="Q789" s="73"/>
      <c r="R789" s="73"/>
      <c r="S789" s="73"/>
      <c r="T789" s="73"/>
      <c r="U789" s="73"/>
      <c r="V789" s="73"/>
      <c r="W789" s="73"/>
      <c r="GL789" s="73"/>
      <c r="GM789" s="73"/>
      <c r="GN789" s="73"/>
      <c r="GO789" s="73"/>
      <c r="GP789" s="73"/>
      <c r="GQ789" s="73"/>
      <c r="GR789" s="73"/>
      <c r="GS789" s="73"/>
      <c r="GT789" s="73"/>
      <c r="GU789" s="73"/>
      <c r="GV789" s="73"/>
      <c r="GW789" s="73"/>
      <c r="GX789" s="73"/>
      <c r="GY789" s="73"/>
      <c r="GZ789" s="73"/>
      <c r="HA789" s="73"/>
      <c r="HB789" s="73"/>
      <c r="HC789" s="73"/>
      <c r="HD789" s="73"/>
      <c r="HE789" s="73"/>
      <c r="HF789" s="73"/>
      <c r="HG789" s="73"/>
      <c r="HH789" s="73"/>
      <c r="HI789" s="73"/>
      <c r="HJ789" s="73"/>
      <c r="HK789" s="73"/>
      <c r="HL789" s="73"/>
      <c r="HM789" s="73"/>
      <c r="HN789" s="73"/>
      <c r="HO789" s="73"/>
      <c r="HP789" s="73"/>
      <c r="HQ789" s="73"/>
      <c r="HR789" s="73"/>
      <c r="HS789" s="73"/>
      <c r="HT789" s="73"/>
      <c r="HU789" s="73"/>
      <c r="HV789" s="73"/>
      <c r="HW789" s="73"/>
      <c r="HX789" s="73"/>
      <c r="HY789" s="73"/>
      <c r="HZ789" s="73"/>
      <c r="IA789" s="73"/>
      <c r="IB789" s="73"/>
      <c r="IC789" s="73"/>
      <c r="ID789" s="73"/>
      <c r="IE789" s="73"/>
      <c r="IF789" s="73"/>
      <c r="IG789" s="73"/>
      <c r="IH789" s="73"/>
      <c r="II789" s="73"/>
      <c r="IJ789" s="73"/>
      <c r="IK789" s="73"/>
      <c r="IL789" s="73"/>
      <c r="IM789" s="73"/>
      <c r="IN789" s="73"/>
      <c r="IO789" s="73"/>
      <c r="IP789" s="73"/>
      <c r="IQ789" s="73"/>
      <c r="IR789" s="73"/>
      <c r="IS789" s="73"/>
      <c r="IT789" s="73"/>
      <c r="IU789" s="73"/>
      <c r="IV789" s="73"/>
      <c r="IW789" s="73"/>
      <c r="IX789" s="73"/>
      <c r="IY789" s="73"/>
      <c r="IZ789" s="73"/>
      <c r="JA789" s="73"/>
      <c r="JB789" s="73"/>
      <c r="JC789" s="73"/>
    </row>
    <row r="790" spans="2:263" s="72" customFormat="1">
      <c r="B790" s="73"/>
      <c r="C790" s="73"/>
      <c r="D790" s="73"/>
      <c r="E790" s="73"/>
      <c r="F790" s="73"/>
      <c r="G790" s="73"/>
      <c r="H790" s="73"/>
      <c r="I790" s="73"/>
      <c r="J790" s="73"/>
      <c r="K790" s="73"/>
      <c r="L790" s="73"/>
      <c r="M790" s="73"/>
      <c r="N790" s="73"/>
      <c r="O790" s="73"/>
      <c r="P790" s="73"/>
      <c r="Q790" s="73"/>
      <c r="R790" s="73"/>
      <c r="S790" s="73"/>
      <c r="T790" s="73"/>
      <c r="U790" s="73"/>
      <c r="V790" s="73"/>
      <c r="W790" s="73"/>
      <c r="GL790" s="73"/>
      <c r="GM790" s="73"/>
      <c r="GN790" s="73"/>
      <c r="GO790" s="73"/>
      <c r="GP790" s="73"/>
      <c r="GQ790" s="73"/>
      <c r="GR790" s="73"/>
      <c r="GS790" s="73"/>
      <c r="GT790" s="73"/>
      <c r="GU790" s="73"/>
      <c r="GV790" s="73"/>
      <c r="GW790" s="73"/>
      <c r="GX790" s="73"/>
      <c r="GY790" s="73"/>
      <c r="GZ790" s="73"/>
      <c r="HA790" s="73"/>
      <c r="HB790" s="73"/>
      <c r="HC790" s="73"/>
      <c r="HD790" s="73"/>
      <c r="HE790" s="73"/>
      <c r="HF790" s="73"/>
      <c r="HG790" s="73"/>
      <c r="HH790" s="73"/>
      <c r="HI790" s="73"/>
      <c r="HJ790" s="73"/>
      <c r="HK790" s="73"/>
      <c r="HL790" s="73"/>
      <c r="HM790" s="73"/>
      <c r="HN790" s="73"/>
      <c r="HO790" s="73"/>
      <c r="HP790" s="73"/>
      <c r="HQ790" s="73"/>
      <c r="HR790" s="73"/>
      <c r="HS790" s="73"/>
      <c r="HT790" s="73"/>
      <c r="HU790" s="73"/>
      <c r="HV790" s="73"/>
      <c r="HW790" s="73"/>
      <c r="HX790" s="73"/>
      <c r="HY790" s="73"/>
      <c r="HZ790" s="73"/>
      <c r="IA790" s="73"/>
      <c r="IB790" s="73"/>
      <c r="IC790" s="73"/>
      <c r="ID790" s="73"/>
      <c r="IE790" s="73"/>
      <c r="IF790" s="73"/>
      <c r="IG790" s="73"/>
      <c r="IH790" s="73"/>
      <c r="II790" s="73"/>
      <c r="IJ790" s="73"/>
      <c r="IK790" s="73"/>
      <c r="IL790" s="73"/>
      <c r="IM790" s="73"/>
      <c r="IN790" s="73"/>
      <c r="IO790" s="73"/>
      <c r="IP790" s="73"/>
      <c r="IQ790" s="73"/>
      <c r="IR790" s="73"/>
      <c r="IS790" s="73"/>
      <c r="IT790" s="73"/>
      <c r="IU790" s="73"/>
      <c r="IV790" s="73"/>
      <c r="IW790" s="73"/>
      <c r="IX790" s="73"/>
      <c r="IY790" s="73"/>
      <c r="IZ790" s="73"/>
      <c r="JA790" s="73"/>
      <c r="JB790" s="73"/>
      <c r="JC790" s="73"/>
    </row>
    <row r="791" spans="2:263" s="72" customFormat="1">
      <c r="B791" s="73"/>
      <c r="C791" s="73"/>
      <c r="D791" s="73"/>
      <c r="E791" s="73"/>
      <c r="F791" s="73"/>
      <c r="G791" s="73"/>
      <c r="H791" s="73"/>
      <c r="I791" s="73"/>
      <c r="J791" s="73"/>
      <c r="K791" s="73"/>
      <c r="L791" s="73"/>
      <c r="M791" s="73"/>
      <c r="N791" s="73"/>
      <c r="O791" s="73"/>
      <c r="P791" s="73"/>
      <c r="Q791" s="73"/>
      <c r="R791" s="73"/>
      <c r="S791" s="73"/>
      <c r="T791" s="73"/>
      <c r="U791" s="73"/>
      <c r="V791" s="73"/>
      <c r="W791" s="73"/>
      <c r="GL791" s="73"/>
      <c r="GM791" s="73"/>
      <c r="GN791" s="73"/>
      <c r="GO791" s="73"/>
      <c r="GP791" s="73"/>
      <c r="GQ791" s="73"/>
      <c r="GR791" s="73"/>
      <c r="GS791" s="73"/>
      <c r="GT791" s="73"/>
      <c r="GU791" s="73"/>
      <c r="GV791" s="73"/>
      <c r="GW791" s="73"/>
      <c r="GX791" s="73"/>
      <c r="GY791" s="73"/>
      <c r="GZ791" s="73"/>
      <c r="HA791" s="73"/>
      <c r="HB791" s="73"/>
      <c r="HC791" s="73"/>
      <c r="HD791" s="73"/>
      <c r="HE791" s="73"/>
      <c r="HF791" s="73"/>
      <c r="HG791" s="73"/>
      <c r="HH791" s="73"/>
      <c r="HI791" s="73"/>
      <c r="HJ791" s="73"/>
      <c r="HK791" s="73"/>
      <c r="HL791" s="73"/>
      <c r="HM791" s="73"/>
      <c r="HN791" s="73"/>
      <c r="HO791" s="73"/>
      <c r="HP791" s="73"/>
      <c r="HQ791" s="73"/>
      <c r="HR791" s="73"/>
      <c r="HS791" s="73"/>
      <c r="HT791" s="73"/>
      <c r="HU791" s="73"/>
      <c r="HV791" s="73"/>
      <c r="HW791" s="73"/>
      <c r="HX791" s="73"/>
      <c r="HY791" s="73"/>
      <c r="HZ791" s="73"/>
      <c r="IA791" s="73"/>
      <c r="IB791" s="73"/>
      <c r="IC791" s="73"/>
      <c r="ID791" s="73"/>
      <c r="IE791" s="73"/>
      <c r="IF791" s="73"/>
      <c r="IG791" s="73"/>
      <c r="IH791" s="73"/>
      <c r="II791" s="73"/>
      <c r="IJ791" s="73"/>
      <c r="IK791" s="73"/>
      <c r="IL791" s="73"/>
      <c r="IM791" s="73"/>
      <c r="IN791" s="73"/>
      <c r="IO791" s="73"/>
      <c r="IP791" s="73"/>
      <c r="IQ791" s="73"/>
      <c r="IR791" s="73"/>
      <c r="IS791" s="73"/>
      <c r="IT791" s="73"/>
      <c r="IU791" s="73"/>
      <c r="IV791" s="73"/>
      <c r="IW791" s="73"/>
      <c r="IX791" s="73"/>
      <c r="IY791" s="73"/>
      <c r="IZ791" s="73"/>
      <c r="JA791" s="73"/>
      <c r="JB791" s="73"/>
      <c r="JC791" s="73"/>
    </row>
    <row r="792" spans="2:263" s="72" customFormat="1">
      <c r="B792" s="73"/>
      <c r="C792" s="73"/>
      <c r="D792" s="73"/>
      <c r="E792" s="73"/>
      <c r="F792" s="73"/>
      <c r="G792" s="73"/>
      <c r="H792" s="73"/>
      <c r="I792" s="73"/>
      <c r="J792" s="73"/>
      <c r="K792" s="73"/>
      <c r="L792" s="73"/>
      <c r="M792" s="73"/>
      <c r="N792" s="73"/>
      <c r="O792" s="73"/>
      <c r="P792" s="73"/>
      <c r="Q792" s="73"/>
      <c r="R792" s="73"/>
      <c r="S792" s="73"/>
      <c r="T792" s="73"/>
      <c r="U792" s="73"/>
      <c r="V792" s="73"/>
      <c r="W792" s="73"/>
      <c r="GL792" s="73"/>
      <c r="GM792" s="73"/>
      <c r="GN792" s="73"/>
      <c r="GO792" s="73"/>
      <c r="GP792" s="73"/>
      <c r="GQ792" s="73"/>
      <c r="GR792" s="73"/>
      <c r="GS792" s="73"/>
      <c r="GT792" s="73"/>
      <c r="GU792" s="73"/>
      <c r="GV792" s="73"/>
      <c r="GW792" s="73"/>
      <c r="GX792" s="73"/>
      <c r="GY792" s="73"/>
      <c r="GZ792" s="73"/>
      <c r="HA792" s="73"/>
      <c r="HB792" s="73"/>
      <c r="HC792" s="73"/>
      <c r="HD792" s="73"/>
      <c r="HE792" s="73"/>
      <c r="HF792" s="73"/>
      <c r="HG792" s="73"/>
      <c r="HH792" s="73"/>
      <c r="HI792" s="73"/>
      <c r="HJ792" s="73"/>
      <c r="HK792" s="73"/>
      <c r="HL792" s="73"/>
      <c r="HM792" s="73"/>
      <c r="HN792" s="73"/>
      <c r="HO792" s="73"/>
      <c r="HP792" s="73"/>
      <c r="HQ792" s="73"/>
      <c r="HR792" s="73"/>
      <c r="HS792" s="73"/>
      <c r="HT792" s="73"/>
      <c r="HU792" s="73"/>
      <c r="HV792" s="73"/>
      <c r="HW792" s="73"/>
      <c r="HX792" s="73"/>
      <c r="HY792" s="73"/>
      <c r="HZ792" s="73"/>
      <c r="IA792" s="73"/>
      <c r="IB792" s="73"/>
      <c r="IC792" s="73"/>
      <c r="ID792" s="73"/>
      <c r="IE792" s="73"/>
      <c r="IF792" s="73"/>
      <c r="IG792" s="73"/>
      <c r="IH792" s="73"/>
      <c r="II792" s="73"/>
      <c r="IJ792" s="73"/>
      <c r="IK792" s="73"/>
      <c r="IL792" s="73"/>
      <c r="IM792" s="73"/>
      <c r="IN792" s="73"/>
      <c r="IO792" s="73"/>
      <c r="IP792" s="73"/>
      <c r="IQ792" s="73"/>
      <c r="IR792" s="73"/>
      <c r="IS792" s="73"/>
      <c r="IT792" s="73"/>
      <c r="IU792" s="73"/>
      <c r="IV792" s="73"/>
      <c r="IW792" s="73"/>
      <c r="IX792" s="73"/>
      <c r="IY792" s="73"/>
      <c r="IZ792" s="73"/>
      <c r="JA792" s="73"/>
      <c r="JB792" s="73"/>
      <c r="JC792" s="73"/>
    </row>
    <row r="793" spans="2:263" s="72" customFormat="1">
      <c r="B793" s="73"/>
      <c r="C793" s="73"/>
      <c r="D793" s="73"/>
      <c r="E793" s="73"/>
      <c r="F793" s="73"/>
      <c r="G793" s="73"/>
      <c r="H793" s="73"/>
      <c r="I793" s="73"/>
      <c r="J793" s="73"/>
      <c r="K793" s="73"/>
      <c r="L793" s="73"/>
      <c r="M793" s="73"/>
      <c r="N793" s="73"/>
      <c r="O793" s="73"/>
      <c r="P793" s="73"/>
      <c r="Q793" s="73"/>
      <c r="R793" s="73"/>
      <c r="S793" s="73"/>
      <c r="T793" s="73"/>
      <c r="U793" s="73"/>
      <c r="V793" s="73"/>
      <c r="W793" s="73"/>
      <c r="GL793" s="73"/>
      <c r="GM793" s="73"/>
      <c r="GN793" s="73"/>
      <c r="GO793" s="73"/>
      <c r="GP793" s="73"/>
      <c r="GQ793" s="73"/>
      <c r="GR793" s="73"/>
      <c r="GS793" s="73"/>
      <c r="GT793" s="73"/>
      <c r="GU793" s="73"/>
      <c r="GV793" s="73"/>
      <c r="GW793" s="73"/>
      <c r="GX793" s="73"/>
      <c r="GY793" s="73"/>
      <c r="GZ793" s="73"/>
      <c r="HA793" s="73"/>
      <c r="HB793" s="73"/>
      <c r="HC793" s="73"/>
      <c r="HD793" s="73"/>
      <c r="HE793" s="73"/>
      <c r="HF793" s="73"/>
      <c r="HG793" s="73"/>
      <c r="HH793" s="73"/>
      <c r="HI793" s="73"/>
      <c r="HJ793" s="73"/>
      <c r="HK793" s="73"/>
      <c r="HL793" s="73"/>
      <c r="HM793" s="73"/>
      <c r="HN793" s="73"/>
      <c r="HO793" s="73"/>
      <c r="HP793" s="73"/>
      <c r="HQ793" s="73"/>
      <c r="HR793" s="73"/>
      <c r="HS793" s="73"/>
      <c r="HT793" s="73"/>
      <c r="HU793" s="73"/>
      <c r="HV793" s="73"/>
      <c r="HW793" s="73"/>
      <c r="HX793" s="73"/>
      <c r="HY793" s="73"/>
      <c r="HZ793" s="73"/>
      <c r="IA793" s="73"/>
      <c r="IB793" s="73"/>
      <c r="IC793" s="73"/>
      <c r="ID793" s="73"/>
      <c r="IE793" s="73"/>
      <c r="IF793" s="73"/>
      <c r="IG793" s="73"/>
      <c r="IH793" s="73"/>
      <c r="II793" s="73"/>
      <c r="IJ793" s="73"/>
      <c r="IK793" s="73"/>
      <c r="IL793" s="73"/>
      <c r="IM793" s="73"/>
      <c r="IN793" s="73"/>
      <c r="IO793" s="73"/>
      <c r="IP793" s="73"/>
      <c r="IQ793" s="73"/>
      <c r="IR793" s="73"/>
      <c r="IS793" s="73"/>
      <c r="IT793" s="73"/>
      <c r="IU793" s="73"/>
      <c r="IV793" s="73"/>
      <c r="IW793" s="73"/>
      <c r="IX793" s="73"/>
      <c r="IY793" s="73"/>
      <c r="IZ793" s="73"/>
      <c r="JA793" s="73"/>
      <c r="JB793" s="73"/>
      <c r="JC793" s="73"/>
    </row>
    <row r="794" spans="2:263" s="72" customFormat="1">
      <c r="B794" s="73"/>
      <c r="C794" s="73"/>
      <c r="D794" s="73"/>
      <c r="E794" s="73"/>
      <c r="F794" s="73"/>
      <c r="G794" s="73"/>
      <c r="H794" s="73"/>
      <c r="I794" s="73"/>
      <c r="J794" s="73"/>
      <c r="K794" s="73"/>
      <c r="L794" s="73"/>
      <c r="M794" s="73"/>
      <c r="N794" s="73"/>
      <c r="O794" s="73"/>
      <c r="P794" s="73"/>
      <c r="Q794" s="73"/>
      <c r="R794" s="73"/>
      <c r="S794" s="73"/>
      <c r="T794" s="73"/>
      <c r="U794" s="73"/>
      <c r="V794" s="73"/>
      <c r="W794" s="73"/>
      <c r="GL794" s="73"/>
      <c r="GM794" s="73"/>
      <c r="GN794" s="73"/>
      <c r="GO794" s="73"/>
      <c r="GP794" s="73"/>
      <c r="GQ794" s="73"/>
      <c r="GR794" s="73"/>
      <c r="GS794" s="73"/>
      <c r="GT794" s="73"/>
      <c r="GU794" s="73"/>
      <c r="GV794" s="73"/>
      <c r="GW794" s="73"/>
      <c r="GX794" s="73"/>
      <c r="GY794" s="73"/>
      <c r="GZ794" s="73"/>
      <c r="HA794" s="73"/>
      <c r="HB794" s="73"/>
      <c r="HC794" s="73"/>
      <c r="HD794" s="73"/>
      <c r="HE794" s="73"/>
      <c r="HF794" s="73"/>
      <c r="HG794" s="73"/>
      <c r="HH794" s="73"/>
      <c r="HI794" s="73"/>
      <c r="HJ794" s="73"/>
      <c r="HK794" s="73"/>
      <c r="HL794" s="73"/>
      <c r="HM794" s="73"/>
      <c r="HN794" s="73"/>
      <c r="HO794" s="73"/>
      <c r="HP794" s="73"/>
      <c r="HQ794" s="73"/>
      <c r="HR794" s="73"/>
      <c r="HS794" s="73"/>
      <c r="HT794" s="73"/>
      <c r="HU794" s="73"/>
      <c r="HV794" s="73"/>
      <c r="HW794" s="73"/>
      <c r="HX794" s="73"/>
      <c r="HY794" s="73"/>
      <c r="HZ794" s="73"/>
      <c r="IA794" s="73"/>
      <c r="IB794" s="73"/>
      <c r="IC794" s="73"/>
      <c r="ID794" s="73"/>
      <c r="IE794" s="73"/>
      <c r="IF794" s="73"/>
      <c r="IG794" s="73"/>
      <c r="IH794" s="73"/>
      <c r="II794" s="73"/>
      <c r="IJ794" s="73"/>
      <c r="IK794" s="73"/>
      <c r="IL794" s="73"/>
      <c r="IM794" s="73"/>
      <c r="IN794" s="73"/>
      <c r="IO794" s="73"/>
      <c r="IP794" s="73"/>
      <c r="IQ794" s="73"/>
      <c r="IR794" s="73"/>
      <c r="IS794" s="73"/>
      <c r="IT794" s="73"/>
      <c r="IU794" s="73"/>
      <c r="IV794" s="73"/>
      <c r="IW794" s="73"/>
      <c r="IX794" s="73"/>
      <c r="IY794" s="73"/>
      <c r="IZ794" s="73"/>
      <c r="JA794" s="73"/>
      <c r="JB794" s="73"/>
      <c r="JC794" s="73"/>
    </row>
    <row r="795" spans="2:263" s="72" customFormat="1">
      <c r="B795" s="73"/>
      <c r="C795" s="73"/>
      <c r="D795" s="73"/>
      <c r="E795" s="73"/>
      <c r="F795" s="73"/>
      <c r="G795" s="73"/>
      <c r="H795" s="73"/>
      <c r="I795" s="73"/>
      <c r="J795" s="73"/>
      <c r="K795" s="73"/>
      <c r="L795" s="73"/>
      <c r="M795" s="73"/>
      <c r="N795" s="73"/>
      <c r="O795" s="73"/>
      <c r="P795" s="73"/>
      <c r="Q795" s="73"/>
      <c r="R795" s="73"/>
      <c r="S795" s="73"/>
      <c r="T795" s="73"/>
      <c r="U795" s="73"/>
      <c r="V795" s="73"/>
      <c r="W795" s="73"/>
      <c r="GL795" s="73"/>
      <c r="GM795" s="73"/>
      <c r="GN795" s="73"/>
      <c r="GO795" s="73"/>
      <c r="GP795" s="73"/>
      <c r="GQ795" s="73"/>
      <c r="GR795" s="73"/>
      <c r="GS795" s="73"/>
      <c r="GT795" s="73"/>
      <c r="GU795" s="73"/>
      <c r="GV795" s="73"/>
      <c r="GW795" s="73"/>
      <c r="GX795" s="73"/>
      <c r="GY795" s="73"/>
      <c r="GZ795" s="73"/>
      <c r="HA795" s="73"/>
      <c r="HB795" s="73"/>
      <c r="HC795" s="73"/>
      <c r="HD795" s="73"/>
      <c r="HE795" s="73"/>
      <c r="HF795" s="73"/>
      <c r="HG795" s="73"/>
      <c r="HH795" s="73"/>
      <c r="HI795" s="73"/>
      <c r="HJ795" s="73"/>
      <c r="HK795" s="73"/>
      <c r="HL795" s="73"/>
      <c r="HM795" s="73"/>
      <c r="HN795" s="73"/>
      <c r="HO795" s="73"/>
      <c r="HP795" s="73"/>
      <c r="HQ795" s="73"/>
      <c r="HR795" s="73"/>
      <c r="HS795" s="73"/>
      <c r="HT795" s="73"/>
      <c r="HU795" s="73"/>
      <c r="HV795" s="73"/>
      <c r="HW795" s="73"/>
      <c r="HX795" s="73"/>
      <c r="HY795" s="73"/>
      <c r="HZ795" s="73"/>
      <c r="IA795" s="73"/>
      <c r="IB795" s="73"/>
      <c r="IC795" s="73"/>
      <c r="ID795" s="73"/>
      <c r="IE795" s="73"/>
      <c r="IF795" s="73"/>
      <c r="IG795" s="73"/>
      <c r="IH795" s="73"/>
      <c r="II795" s="73"/>
      <c r="IJ795" s="73"/>
      <c r="IK795" s="73"/>
      <c r="IL795" s="73"/>
      <c r="IM795" s="73"/>
      <c r="IN795" s="73"/>
      <c r="IO795" s="73"/>
      <c r="IP795" s="73"/>
      <c r="IQ795" s="73"/>
      <c r="IR795" s="73"/>
      <c r="IS795" s="73"/>
      <c r="IT795" s="73"/>
      <c r="IU795" s="73"/>
      <c r="IV795" s="73"/>
      <c r="IW795" s="73"/>
      <c r="IX795" s="73"/>
      <c r="IY795" s="73"/>
      <c r="IZ795" s="73"/>
      <c r="JA795" s="73"/>
      <c r="JB795" s="73"/>
      <c r="JC795" s="73"/>
    </row>
    <row r="796" spans="2:263" s="72" customFormat="1">
      <c r="B796" s="73"/>
      <c r="C796" s="73"/>
      <c r="D796" s="73"/>
      <c r="E796" s="73"/>
      <c r="F796" s="73"/>
      <c r="G796" s="73"/>
      <c r="H796" s="73"/>
      <c r="I796" s="73"/>
      <c r="J796" s="73"/>
      <c r="K796" s="73"/>
      <c r="L796" s="73"/>
      <c r="M796" s="73"/>
      <c r="N796" s="73"/>
      <c r="O796" s="73"/>
      <c r="P796" s="73"/>
      <c r="Q796" s="73"/>
      <c r="R796" s="73"/>
      <c r="S796" s="73"/>
      <c r="T796" s="73"/>
      <c r="U796" s="73"/>
      <c r="V796" s="73"/>
      <c r="W796" s="73"/>
      <c r="GL796" s="73"/>
      <c r="GM796" s="73"/>
      <c r="GN796" s="73"/>
      <c r="GO796" s="73"/>
      <c r="GP796" s="73"/>
      <c r="GQ796" s="73"/>
      <c r="GR796" s="73"/>
      <c r="GS796" s="73"/>
      <c r="GT796" s="73"/>
      <c r="GU796" s="73"/>
      <c r="GV796" s="73"/>
      <c r="GW796" s="73"/>
      <c r="GX796" s="73"/>
      <c r="GY796" s="73"/>
      <c r="GZ796" s="73"/>
      <c r="HA796" s="73"/>
      <c r="HB796" s="73"/>
      <c r="HC796" s="73"/>
      <c r="HD796" s="73"/>
      <c r="HE796" s="73"/>
      <c r="HF796" s="73"/>
      <c r="HG796" s="73"/>
      <c r="HH796" s="73"/>
      <c r="HI796" s="73"/>
      <c r="HJ796" s="73"/>
      <c r="HK796" s="73"/>
      <c r="HL796" s="73"/>
      <c r="HM796" s="73"/>
      <c r="HN796" s="73"/>
      <c r="HO796" s="73"/>
      <c r="HP796" s="73"/>
      <c r="HQ796" s="73"/>
      <c r="HR796" s="73"/>
      <c r="HS796" s="73"/>
      <c r="HT796" s="73"/>
      <c r="HU796" s="73"/>
      <c r="HV796" s="73"/>
      <c r="HW796" s="73"/>
      <c r="HX796" s="73"/>
      <c r="HY796" s="73"/>
      <c r="HZ796" s="73"/>
      <c r="IA796" s="73"/>
      <c r="IB796" s="73"/>
      <c r="IC796" s="73"/>
      <c r="ID796" s="73"/>
      <c r="IE796" s="73"/>
      <c r="IF796" s="73"/>
      <c r="IG796" s="73"/>
      <c r="IH796" s="73"/>
      <c r="II796" s="73"/>
      <c r="IJ796" s="73"/>
      <c r="IK796" s="73"/>
      <c r="IL796" s="73"/>
      <c r="IM796" s="73"/>
      <c r="IN796" s="73"/>
      <c r="IO796" s="73"/>
      <c r="IP796" s="73"/>
      <c r="IQ796" s="73"/>
      <c r="IR796" s="73"/>
      <c r="IS796" s="73"/>
      <c r="IT796" s="73"/>
      <c r="IU796" s="73"/>
      <c r="IV796" s="73"/>
      <c r="IW796" s="73"/>
      <c r="IX796" s="73"/>
      <c r="IY796" s="73"/>
      <c r="IZ796" s="73"/>
      <c r="JA796" s="73"/>
      <c r="JB796" s="73"/>
      <c r="JC796" s="73"/>
    </row>
    <row r="797" spans="2:263" s="72" customFormat="1">
      <c r="B797" s="73"/>
      <c r="C797" s="73"/>
      <c r="D797" s="73"/>
      <c r="E797" s="73"/>
      <c r="F797" s="73"/>
      <c r="G797" s="73"/>
      <c r="H797" s="73"/>
      <c r="I797" s="73"/>
      <c r="J797" s="73"/>
      <c r="K797" s="73"/>
      <c r="L797" s="73"/>
      <c r="M797" s="73"/>
      <c r="N797" s="73"/>
      <c r="O797" s="73"/>
      <c r="P797" s="73"/>
      <c r="Q797" s="73"/>
      <c r="R797" s="73"/>
      <c r="S797" s="73"/>
      <c r="T797" s="73"/>
      <c r="U797" s="73"/>
      <c r="V797" s="73"/>
      <c r="W797" s="73"/>
      <c r="GL797" s="73"/>
      <c r="GM797" s="73"/>
      <c r="GN797" s="73"/>
      <c r="GO797" s="73"/>
      <c r="GP797" s="73"/>
      <c r="GQ797" s="73"/>
      <c r="GR797" s="73"/>
      <c r="GS797" s="73"/>
      <c r="GT797" s="73"/>
      <c r="GU797" s="73"/>
      <c r="GV797" s="73"/>
      <c r="GW797" s="73"/>
      <c r="GX797" s="73"/>
      <c r="GY797" s="73"/>
      <c r="GZ797" s="73"/>
      <c r="HA797" s="73"/>
      <c r="HB797" s="73"/>
      <c r="HC797" s="73"/>
      <c r="HD797" s="73"/>
      <c r="HE797" s="73"/>
      <c r="HF797" s="73"/>
      <c r="HG797" s="73"/>
      <c r="HH797" s="73"/>
      <c r="HI797" s="73"/>
      <c r="HJ797" s="73"/>
      <c r="HK797" s="73"/>
      <c r="HL797" s="73"/>
      <c r="HM797" s="73"/>
      <c r="HN797" s="73"/>
      <c r="HO797" s="73"/>
      <c r="HP797" s="73"/>
      <c r="HQ797" s="73"/>
      <c r="HR797" s="73"/>
      <c r="HS797" s="73"/>
      <c r="HT797" s="73"/>
      <c r="HU797" s="73"/>
      <c r="HV797" s="73"/>
      <c r="HW797" s="73"/>
      <c r="HX797" s="73"/>
      <c r="HY797" s="73"/>
      <c r="HZ797" s="73"/>
      <c r="IA797" s="73"/>
      <c r="IB797" s="73"/>
      <c r="IC797" s="73"/>
      <c r="ID797" s="73"/>
      <c r="IE797" s="73"/>
      <c r="IF797" s="73"/>
      <c r="IG797" s="73"/>
      <c r="IH797" s="73"/>
      <c r="II797" s="73"/>
      <c r="IJ797" s="73"/>
      <c r="IK797" s="73"/>
      <c r="IL797" s="73"/>
      <c r="IM797" s="73"/>
      <c r="IN797" s="73"/>
      <c r="IO797" s="73"/>
      <c r="IP797" s="73"/>
      <c r="IQ797" s="73"/>
      <c r="IR797" s="73"/>
      <c r="IS797" s="73"/>
      <c r="IT797" s="73"/>
      <c r="IU797" s="73"/>
      <c r="IV797" s="73"/>
      <c r="IW797" s="73"/>
      <c r="IX797" s="73"/>
      <c r="IY797" s="73"/>
      <c r="IZ797" s="73"/>
      <c r="JA797" s="73"/>
      <c r="JB797" s="73"/>
      <c r="JC797" s="73"/>
    </row>
    <row r="798" spans="2:263" s="72" customFormat="1">
      <c r="B798" s="73"/>
      <c r="C798" s="73"/>
      <c r="D798" s="73"/>
      <c r="E798" s="73"/>
      <c r="F798" s="73"/>
      <c r="G798" s="73"/>
      <c r="H798" s="73"/>
      <c r="I798" s="73"/>
      <c r="J798" s="73"/>
      <c r="K798" s="73"/>
      <c r="L798" s="73"/>
      <c r="M798" s="73"/>
      <c r="N798" s="73"/>
      <c r="O798" s="73"/>
      <c r="P798" s="73"/>
      <c r="Q798" s="73"/>
      <c r="R798" s="73"/>
      <c r="S798" s="73"/>
      <c r="T798" s="73"/>
      <c r="U798" s="73"/>
      <c r="V798" s="73"/>
      <c r="W798" s="73"/>
      <c r="GL798" s="73"/>
      <c r="GM798" s="73"/>
      <c r="GN798" s="73"/>
      <c r="GO798" s="73"/>
      <c r="GP798" s="73"/>
      <c r="GQ798" s="73"/>
      <c r="GR798" s="73"/>
      <c r="GS798" s="73"/>
      <c r="GT798" s="73"/>
      <c r="GU798" s="73"/>
      <c r="GV798" s="73"/>
      <c r="GW798" s="73"/>
      <c r="GX798" s="73"/>
      <c r="GY798" s="73"/>
      <c r="GZ798" s="73"/>
      <c r="HA798" s="73"/>
      <c r="HB798" s="73"/>
      <c r="HC798" s="73"/>
      <c r="HD798" s="73"/>
      <c r="HE798" s="73"/>
      <c r="HF798" s="73"/>
      <c r="HG798" s="73"/>
      <c r="HH798" s="73"/>
      <c r="HI798" s="73"/>
      <c r="HJ798" s="73"/>
      <c r="HK798" s="73"/>
      <c r="HL798" s="73"/>
      <c r="HM798" s="73"/>
      <c r="HN798" s="73"/>
      <c r="HO798" s="73"/>
      <c r="HP798" s="73"/>
      <c r="HQ798" s="73"/>
      <c r="HR798" s="73"/>
      <c r="HS798" s="73"/>
      <c r="HT798" s="73"/>
      <c r="HU798" s="73"/>
      <c r="HV798" s="73"/>
      <c r="HW798" s="73"/>
      <c r="HX798" s="73"/>
      <c r="HY798" s="73"/>
      <c r="HZ798" s="73"/>
      <c r="IA798" s="73"/>
      <c r="IB798" s="73"/>
      <c r="IC798" s="73"/>
      <c r="ID798" s="73"/>
      <c r="IE798" s="73"/>
      <c r="IF798" s="73"/>
      <c r="IG798" s="73"/>
      <c r="IH798" s="73"/>
      <c r="II798" s="73"/>
      <c r="IJ798" s="73"/>
      <c r="IK798" s="73"/>
      <c r="IL798" s="73"/>
      <c r="IM798" s="73"/>
      <c r="IN798" s="73"/>
      <c r="IO798" s="73"/>
      <c r="IP798" s="73"/>
      <c r="IQ798" s="73"/>
      <c r="IR798" s="73"/>
      <c r="IS798" s="73"/>
      <c r="IT798" s="73"/>
      <c r="IU798" s="73"/>
      <c r="IV798" s="73"/>
      <c r="IW798" s="73"/>
      <c r="IX798" s="73"/>
      <c r="IY798" s="73"/>
      <c r="IZ798" s="73"/>
      <c r="JA798" s="73"/>
      <c r="JB798" s="73"/>
      <c r="JC798" s="73"/>
    </row>
    <row r="799" spans="2:263" s="72" customFormat="1">
      <c r="B799" s="73"/>
      <c r="C799" s="73"/>
      <c r="D799" s="73"/>
      <c r="E799" s="73"/>
      <c r="F799" s="73"/>
      <c r="G799" s="73"/>
      <c r="H799" s="73"/>
      <c r="I799" s="73"/>
      <c r="J799" s="73"/>
      <c r="K799" s="73"/>
      <c r="L799" s="73"/>
      <c r="M799" s="73"/>
      <c r="N799" s="73"/>
      <c r="O799" s="73"/>
      <c r="P799" s="73"/>
      <c r="Q799" s="73"/>
      <c r="R799" s="73"/>
      <c r="S799" s="73"/>
      <c r="T799" s="73"/>
      <c r="U799" s="73"/>
      <c r="V799" s="73"/>
      <c r="W799" s="73"/>
      <c r="GL799" s="73"/>
      <c r="GM799" s="73"/>
      <c r="GN799" s="73"/>
      <c r="GO799" s="73"/>
      <c r="GP799" s="73"/>
      <c r="GQ799" s="73"/>
      <c r="GR799" s="73"/>
      <c r="GS799" s="73"/>
      <c r="GT799" s="73"/>
      <c r="GU799" s="73"/>
      <c r="GV799" s="73"/>
      <c r="GW799" s="73"/>
      <c r="GX799" s="73"/>
      <c r="GY799" s="73"/>
      <c r="GZ799" s="73"/>
      <c r="HA799" s="73"/>
      <c r="HB799" s="73"/>
      <c r="HC799" s="73"/>
      <c r="HD799" s="73"/>
      <c r="HE799" s="73"/>
      <c r="HF799" s="73"/>
      <c r="HG799" s="73"/>
      <c r="HH799" s="73"/>
      <c r="HI799" s="73"/>
      <c r="HJ799" s="73"/>
      <c r="HK799" s="73"/>
      <c r="HL799" s="73"/>
      <c r="HM799" s="73"/>
      <c r="HN799" s="73"/>
      <c r="HO799" s="73"/>
      <c r="HP799" s="73"/>
      <c r="HQ799" s="73"/>
      <c r="HR799" s="73"/>
      <c r="HS799" s="73"/>
      <c r="HT799" s="73"/>
      <c r="HU799" s="73"/>
      <c r="HV799" s="73"/>
      <c r="HW799" s="73"/>
      <c r="HX799" s="73"/>
      <c r="HY799" s="73"/>
      <c r="HZ799" s="73"/>
      <c r="IA799" s="73"/>
      <c r="IB799" s="73"/>
      <c r="IC799" s="73"/>
      <c r="ID799" s="73"/>
      <c r="IE799" s="73"/>
      <c r="IF799" s="73"/>
      <c r="IG799" s="73"/>
      <c r="IH799" s="73"/>
      <c r="II799" s="73"/>
      <c r="IJ799" s="73"/>
      <c r="IK799" s="73"/>
      <c r="IL799" s="73"/>
      <c r="IM799" s="73"/>
      <c r="IN799" s="73"/>
      <c r="IO799" s="73"/>
      <c r="IP799" s="73"/>
      <c r="IQ799" s="73"/>
      <c r="IR799" s="73"/>
      <c r="IS799" s="73"/>
      <c r="IT799" s="73"/>
      <c r="IU799" s="73"/>
      <c r="IV799" s="73"/>
      <c r="IW799" s="73"/>
      <c r="IX799" s="73"/>
      <c r="IY799" s="73"/>
      <c r="IZ799" s="73"/>
      <c r="JA799" s="73"/>
      <c r="JB799" s="73"/>
      <c r="JC799" s="73"/>
    </row>
    <row r="800" spans="2:263" s="72" customFormat="1">
      <c r="B800" s="73"/>
      <c r="C800" s="73"/>
      <c r="D800" s="73"/>
      <c r="E800" s="73"/>
      <c r="F800" s="73"/>
      <c r="G800" s="73"/>
      <c r="H800" s="73"/>
      <c r="I800" s="73"/>
      <c r="J800" s="73"/>
      <c r="K800" s="73"/>
      <c r="L800" s="73"/>
      <c r="M800" s="73"/>
      <c r="N800" s="73"/>
      <c r="O800" s="73"/>
      <c r="P800" s="73"/>
      <c r="Q800" s="73"/>
      <c r="R800" s="73"/>
      <c r="S800" s="73"/>
      <c r="T800" s="73"/>
      <c r="U800" s="73"/>
      <c r="V800" s="73"/>
      <c r="W800" s="73"/>
      <c r="GL800" s="73"/>
      <c r="GM800" s="73"/>
      <c r="GN800" s="73"/>
      <c r="GO800" s="73"/>
      <c r="GP800" s="73"/>
      <c r="GQ800" s="73"/>
      <c r="GR800" s="73"/>
      <c r="GS800" s="73"/>
      <c r="GT800" s="73"/>
      <c r="GU800" s="73"/>
      <c r="GV800" s="73"/>
      <c r="GW800" s="73"/>
      <c r="GX800" s="73"/>
      <c r="GY800" s="73"/>
      <c r="GZ800" s="73"/>
      <c r="HA800" s="73"/>
      <c r="HB800" s="73"/>
      <c r="HC800" s="73"/>
      <c r="HD800" s="73"/>
      <c r="HE800" s="73"/>
      <c r="HF800" s="73"/>
      <c r="HG800" s="73"/>
      <c r="HH800" s="73"/>
      <c r="HI800" s="73"/>
      <c r="HJ800" s="73"/>
      <c r="HK800" s="73"/>
      <c r="HL800" s="73"/>
      <c r="HM800" s="73"/>
      <c r="HN800" s="73"/>
      <c r="HO800" s="73"/>
      <c r="HP800" s="73"/>
      <c r="HQ800" s="73"/>
      <c r="HR800" s="73"/>
      <c r="HS800" s="73"/>
      <c r="HT800" s="73"/>
      <c r="HU800" s="73"/>
      <c r="HV800" s="73"/>
      <c r="HW800" s="73"/>
      <c r="HX800" s="73"/>
      <c r="HY800" s="73"/>
      <c r="HZ800" s="73"/>
      <c r="IA800" s="73"/>
      <c r="IB800" s="73"/>
      <c r="IC800" s="73"/>
      <c r="ID800" s="73"/>
      <c r="IE800" s="73"/>
      <c r="IF800" s="73"/>
      <c r="IG800" s="73"/>
      <c r="IH800" s="73"/>
      <c r="II800" s="73"/>
      <c r="IJ800" s="73"/>
      <c r="IK800" s="73"/>
      <c r="IL800" s="73"/>
      <c r="IM800" s="73"/>
      <c r="IN800" s="73"/>
      <c r="IO800" s="73"/>
      <c r="IP800" s="73"/>
      <c r="IQ800" s="73"/>
      <c r="IR800" s="73"/>
      <c r="IS800" s="73"/>
      <c r="IT800" s="73"/>
      <c r="IU800" s="73"/>
      <c r="IV800" s="73"/>
      <c r="IW800" s="73"/>
      <c r="IX800" s="73"/>
      <c r="IY800" s="73"/>
      <c r="IZ800" s="73"/>
      <c r="JA800" s="73"/>
      <c r="JB800" s="73"/>
      <c r="JC800" s="73"/>
    </row>
    <row r="801" spans="2:263" s="72" customFormat="1">
      <c r="B801" s="73"/>
      <c r="C801" s="73"/>
      <c r="D801" s="73"/>
      <c r="E801" s="73"/>
      <c r="F801" s="73"/>
      <c r="G801" s="73"/>
      <c r="H801" s="73"/>
      <c r="I801" s="73"/>
      <c r="J801" s="73"/>
      <c r="K801" s="73"/>
      <c r="L801" s="73"/>
      <c r="M801" s="73"/>
      <c r="N801" s="73"/>
      <c r="O801" s="73"/>
      <c r="P801" s="73"/>
      <c r="Q801" s="73"/>
      <c r="R801" s="73"/>
      <c r="S801" s="73"/>
      <c r="T801" s="73"/>
      <c r="U801" s="73"/>
      <c r="V801" s="73"/>
      <c r="W801" s="73"/>
      <c r="GL801" s="73"/>
      <c r="GM801" s="73"/>
      <c r="GN801" s="73"/>
      <c r="GO801" s="73"/>
      <c r="GP801" s="73"/>
      <c r="GQ801" s="73"/>
      <c r="GR801" s="73"/>
      <c r="GS801" s="73"/>
      <c r="GT801" s="73"/>
      <c r="GU801" s="73"/>
      <c r="GV801" s="73"/>
      <c r="GW801" s="73"/>
      <c r="GX801" s="73"/>
      <c r="GY801" s="73"/>
      <c r="GZ801" s="73"/>
      <c r="HA801" s="73"/>
      <c r="HB801" s="73"/>
      <c r="HC801" s="73"/>
      <c r="HD801" s="73"/>
      <c r="HE801" s="73"/>
      <c r="HF801" s="73"/>
      <c r="HG801" s="73"/>
      <c r="HH801" s="73"/>
      <c r="HI801" s="73"/>
      <c r="HJ801" s="73"/>
      <c r="HK801" s="73"/>
      <c r="HL801" s="73"/>
      <c r="HM801" s="73"/>
      <c r="HN801" s="73"/>
      <c r="HO801" s="73"/>
      <c r="HP801" s="73"/>
      <c r="HQ801" s="73"/>
      <c r="HR801" s="73"/>
      <c r="HS801" s="73"/>
      <c r="HT801" s="73"/>
      <c r="HU801" s="73"/>
      <c r="HV801" s="73"/>
      <c r="HW801" s="73"/>
      <c r="HX801" s="73"/>
      <c r="HY801" s="73"/>
      <c r="HZ801" s="73"/>
      <c r="IA801" s="73"/>
      <c r="IB801" s="73"/>
      <c r="IC801" s="73"/>
      <c r="ID801" s="73"/>
      <c r="IE801" s="73"/>
      <c r="IF801" s="73"/>
      <c r="IG801" s="73"/>
      <c r="IH801" s="73"/>
      <c r="II801" s="73"/>
      <c r="IJ801" s="73"/>
      <c r="IK801" s="73"/>
      <c r="IL801" s="73"/>
      <c r="IM801" s="73"/>
      <c r="IN801" s="73"/>
      <c r="IO801" s="73"/>
      <c r="IP801" s="73"/>
      <c r="IQ801" s="73"/>
      <c r="IR801" s="73"/>
      <c r="IS801" s="73"/>
      <c r="IT801" s="73"/>
      <c r="IU801" s="73"/>
      <c r="IV801" s="73"/>
      <c r="IW801" s="73"/>
      <c r="IX801" s="73"/>
      <c r="IY801" s="73"/>
      <c r="IZ801" s="73"/>
      <c r="JA801" s="73"/>
      <c r="JB801" s="73"/>
      <c r="JC801" s="73"/>
    </row>
    <row r="802" spans="2:263" s="72" customFormat="1">
      <c r="B802" s="73"/>
      <c r="C802" s="73"/>
      <c r="D802" s="73"/>
      <c r="E802" s="73"/>
      <c r="F802" s="73"/>
      <c r="G802" s="73"/>
      <c r="H802" s="73"/>
      <c r="I802" s="73"/>
      <c r="J802" s="73"/>
      <c r="K802" s="73"/>
      <c r="L802" s="73"/>
      <c r="M802" s="73"/>
      <c r="N802" s="73"/>
      <c r="O802" s="73"/>
      <c r="P802" s="73"/>
      <c r="Q802" s="73"/>
      <c r="R802" s="73"/>
      <c r="S802" s="73"/>
      <c r="T802" s="73"/>
      <c r="U802" s="73"/>
      <c r="V802" s="73"/>
      <c r="W802" s="73"/>
      <c r="GL802" s="73"/>
      <c r="GM802" s="73"/>
      <c r="GN802" s="73"/>
      <c r="GO802" s="73"/>
      <c r="GP802" s="73"/>
      <c r="GQ802" s="73"/>
      <c r="GR802" s="73"/>
      <c r="GS802" s="73"/>
      <c r="GT802" s="73"/>
      <c r="GU802" s="73"/>
      <c r="GV802" s="73"/>
      <c r="GW802" s="73"/>
      <c r="GX802" s="73"/>
      <c r="GY802" s="73"/>
      <c r="GZ802" s="73"/>
      <c r="HA802" s="73"/>
      <c r="HB802" s="73"/>
      <c r="HC802" s="73"/>
      <c r="HD802" s="73"/>
      <c r="HE802" s="73"/>
      <c r="HF802" s="73"/>
      <c r="HG802" s="73"/>
      <c r="HH802" s="73"/>
      <c r="HI802" s="73"/>
      <c r="HJ802" s="73"/>
      <c r="HK802" s="73"/>
      <c r="HL802" s="73"/>
      <c r="HM802" s="73"/>
      <c r="HN802" s="73"/>
      <c r="HO802" s="73"/>
      <c r="HP802" s="73"/>
      <c r="HQ802" s="73"/>
      <c r="HR802" s="73"/>
      <c r="HS802" s="73"/>
      <c r="HT802" s="73"/>
      <c r="HU802" s="73"/>
      <c r="HV802" s="73"/>
      <c r="HW802" s="73"/>
      <c r="HX802" s="73"/>
      <c r="HY802" s="73"/>
      <c r="HZ802" s="73"/>
      <c r="IA802" s="73"/>
      <c r="IB802" s="73"/>
      <c r="IC802" s="73"/>
      <c r="ID802" s="73"/>
      <c r="IE802" s="73"/>
      <c r="IF802" s="73"/>
      <c r="IG802" s="73"/>
      <c r="IH802" s="73"/>
      <c r="II802" s="73"/>
      <c r="IJ802" s="73"/>
      <c r="IK802" s="73"/>
      <c r="IL802" s="73"/>
      <c r="IM802" s="73"/>
      <c r="IN802" s="73"/>
      <c r="IO802" s="73"/>
      <c r="IP802" s="73"/>
      <c r="IQ802" s="73"/>
      <c r="IR802" s="73"/>
      <c r="IS802" s="73"/>
      <c r="IT802" s="73"/>
      <c r="IU802" s="73"/>
      <c r="IV802" s="73"/>
      <c r="IW802" s="73"/>
      <c r="IX802" s="73"/>
      <c r="IY802" s="73"/>
      <c r="IZ802" s="73"/>
      <c r="JA802" s="73"/>
      <c r="JB802" s="73"/>
      <c r="JC802" s="73"/>
    </row>
    <row r="803" spans="2:263" s="72" customFormat="1">
      <c r="B803" s="73"/>
      <c r="C803" s="73"/>
      <c r="D803" s="73"/>
      <c r="E803" s="73"/>
      <c r="F803" s="73"/>
      <c r="G803" s="73"/>
      <c r="H803" s="73"/>
      <c r="I803" s="73"/>
      <c r="J803" s="73"/>
      <c r="K803" s="73"/>
      <c r="L803" s="73"/>
      <c r="M803" s="73"/>
      <c r="N803" s="73"/>
      <c r="O803" s="73"/>
      <c r="P803" s="73"/>
      <c r="Q803" s="73"/>
      <c r="R803" s="73"/>
      <c r="S803" s="73"/>
      <c r="T803" s="73"/>
      <c r="U803" s="73"/>
      <c r="V803" s="73"/>
      <c r="W803" s="73"/>
      <c r="GL803" s="73"/>
      <c r="GM803" s="73"/>
      <c r="GN803" s="73"/>
      <c r="GO803" s="73"/>
      <c r="GP803" s="73"/>
      <c r="GQ803" s="73"/>
      <c r="GR803" s="73"/>
      <c r="GS803" s="73"/>
      <c r="GT803" s="73"/>
      <c r="GU803" s="73"/>
      <c r="GV803" s="73"/>
      <c r="GW803" s="73"/>
      <c r="GX803" s="73"/>
      <c r="GY803" s="73"/>
      <c r="GZ803" s="73"/>
      <c r="HA803" s="73"/>
      <c r="HB803" s="73"/>
      <c r="HC803" s="73"/>
      <c r="HD803" s="73"/>
      <c r="HE803" s="73"/>
      <c r="HF803" s="73"/>
      <c r="HG803" s="73"/>
      <c r="HH803" s="73"/>
      <c r="HI803" s="73"/>
      <c r="HJ803" s="73"/>
      <c r="HK803" s="73"/>
      <c r="HL803" s="73"/>
      <c r="HM803" s="73"/>
      <c r="HN803" s="73"/>
      <c r="HO803" s="73"/>
      <c r="HP803" s="73"/>
      <c r="HQ803" s="73"/>
      <c r="HR803" s="73"/>
      <c r="HS803" s="73"/>
      <c r="HT803" s="73"/>
      <c r="HU803" s="73"/>
      <c r="HV803" s="73"/>
      <c r="HW803" s="73"/>
      <c r="HX803" s="73"/>
      <c r="HY803" s="73"/>
      <c r="HZ803" s="73"/>
      <c r="IA803" s="73"/>
      <c r="IB803" s="73"/>
      <c r="IC803" s="73"/>
      <c r="ID803" s="73"/>
      <c r="IE803" s="73"/>
      <c r="IF803" s="73"/>
      <c r="IG803" s="73"/>
      <c r="IH803" s="73"/>
      <c r="II803" s="73"/>
      <c r="IJ803" s="73"/>
      <c r="IK803" s="73"/>
      <c r="IL803" s="73"/>
      <c r="IM803" s="73"/>
      <c r="IN803" s="73"/>
      <c r="IO803" s="73"/>
      <c r="IP803" s="73"/>
      <c r="IQ803" s="73"/>
      <c r="IR803" s="73"/>
      <c r="IS803" s="73"/>
      <c r="IT803" s="73"/>
      <c r="IU803" s="73"/>
      <c r="IV803" s="73"/>
      <c r="IW803" s="73"/>
      <c r="IX803" s="73"/>
      <c r="IY803" s="73"/>
      <c r="IZ803" s="73"/>
      <c r="JA803" s="73"/>
      <c r="JB803" s="73"/>
      <c r="JC803" s="73"/>
    </row>
    <row r="804" spans="2:263" s="72" customFormat="1">
      <c r="B804" s="73"/>
      <c r="C804" s="73"/>
      <c r="D804" s="73"/>
      <c r="E804" s="73"/>
      <c r="F804" s="73"/>
      <c r="G804" s="73"/>
      <c r="H804" s="73"/>
      <c r="I804" s="73"/>
      <c r="J804" s="73"/>
      <c r="K804" s="73"/>
      <c r="L804" s="73"/>
      <c r="M804" s="73"/>
      <c r="N804" s="73"/>
      <c r="O804" s="73"/>
      <c r="P804" s="73"/>
      <c r="Q804" s="73"/>
      <c r="R804" s="73"/>
      <c r="S804" s="73"/>
      <c r="T804" s="73"/>
      <c r="U804" s="73"/>
      <c r="V804" s="73"/>
      <c r="W804" s="73"/>
      <c r="GL804" s="73"/>
      <c r="GM804" s="73"/>
      <c r="GN804" s="73"/>
      <c r="GO804" s="73"/>
      <c r="GP804" s="73"/>
      <c r="GQ804" s="73"/>
      <c r="GR804" s="73"/>
      <c r="GS804" s="73"/>
      <c r="GT804" s="73"/>
      <c r="GU804" s="73"/>
      <c r="GV804" s="73"/>
      <c r="GW804" s="73"/>
      <c r="GX804" s="73"/>
      <c r="GY804" s="73"/>
      <c r="GZ804" s="73"/>
      <c r="HA804" s="73"/>
      <c r="HB804" s="73"/>
      <c r="HC804" s="73"/>
      <c r="HD804" s="73"/>
      <c r="HE804" s="73"/>
      <c r="HF804" s="73"/>
      <c r="HG804" s="73"/>
      <c r="HH804" s="73"/>
      <c r="HI804" s="73"/>
      <c r="HJ804" s="73"/>
      <c r="HK804" s="73"/>
      <c r="HL804" s="73"/>
      <c r="HM804" s="73"/>
      <c r="HN804" s="73"/>
      <c r="HO804" s="73"/>
      <c r="HP804" s="73"/>
      <c r="HQ804" s="73"/>
      <c r="HR804" s="73"/>
      <c r="HS804" s="73"/>
      <c r="HT804" s="73"/>
      <c r="HU804" s="73"/>
      <c r="HV804" s="73"/>
      <c r="HW804" s="73"/>
      <c r="HX804" s="73"/>
      <c r="HY804" s="73"/>
      <c r="HZ804" s="73"/>
      <c r="IA804" s="73"/>
      <c r="IB804" s="73"/>
      <c r="IC804" s="73"/>
      <c r="ID804" s="73"/>
      <c r="IE804" s="73"/>
      <c r="IF804" s="73"/>
      <c r="IG804" s="73"/>
      <c r="IH804" s="73"/>
      <c r="II804" s="73"/>
      <c r="IJ804" s="73"/>
      <c r="IK804" s="73"/>
      <c r="IL804" s="73"/>
      <c r="IM804" s="73"/>
      <c r="IN804" s="73"/>
      <c r="IO804" s="73"/>
      <c r="IP804" s="73"/>
      <c r="IQ804" s="73"/>
      <c r="IR804" s="73"/>
      <c r="IS804" s="73"/>
      <c r="IT804" s="73"/>
      <c r="IU804" s="73"/>
      <c r="IV804" s="73"/>
      <c r="IW804" s="73"/>
      <c r="IX804" s="73"/>
      <c r="IY804" s="73"/>
      <c r="IZ804" s="73"/>
      <c r="JA804" s="73"/>
      <c r="JB804" s="73"/>
      <c r="JC804" s="73"/>
    </row>
    <row r="805" spans="2:263" s="72" customFormat="1">
      <c r="B805" s="73"/>
      <c r="C805" s="73"/>
      <c r="D805" s="73"/>
      <c r="E805" s="73"/>
      <c r="F805" s="73"/>
      <c r="G805" s="73"/>
      <c r="H805" s="73"/>
      <c r="I805" s="73"/>
      <c r="J805" s="73"/>
      <c r="K805" s="73"/>
      <c r="L805" s="73"/>
      <c r="M805" s="73"/>
      <c r="N805" s="73"/>
      <c r="O805" s="73"/>
      <c r="P805" s="73"/>
      <c r="Q805" s="73"/>
      <c r="R805" s="73"/>
      <c r="S805" s="73"/>
      <c r="T805" s="73"/>
      <c r="U805" s="73"/>
      <c r="V805" s="73"/>
      <c r="W805" s="73"/>
      <c r="GL805" s="73"/>
      <c r="GM805" s="73"/>
      <c r="GN805" s="73"/>
      <c r="GO805" s="73"/>
      <c r="GP805" s="73"/>
      <c r="GQ805" s="73"/>
      <c r="GR805" s="73"/>
      <c r="GS805" s="73"/>
      <c r="GT805" s="73"/>
      <c r="GU805" s="73"/>
      <c r="GV805" s="73"/>
      <c r="GW805" s="73"/>
      <c r="GX805" s="73"/>
      <c r="GY805" s="73"/>
      <c r="GZ805" s="73"/>
      <c r="HA805" s="73"/>
      <c r="HB805" s="73"/>
      <c r="HC805" s="73"/>
      <c r="HD805" s="73"/>
      <c r="HE805" s="73"/>
      <c r="HF805" s="73"/>
      <c r="HG805" s="73"/>
      <c r="HH805" s="73"/>
      <c r="HI805" s="73"/>
      <c r="HJ805" s="73"/>
      <c r="HK805" s="73"/>
      <c r="HL805" s="73"/>
      <c r="HM805" s="73"/>
      <c r="HN805" s="73"/>
      <c r="HO805" s="73"/>
      <c r="HP805" s="73"/>
      <c r="HQ805" s="73"/>
      <c r="HR805" s="73"/>
      <c r="HS805" s="73"/>
      <c r="HT805" s="73"/>
      <c r="HU805" s="73"/>
      <c r="HV805" s="73"/>
      <c r="HW805" s="73"/>
      <c r="HX805" s="73"/>
      <c r="HY805" s="73"/>
      <c r="HZ805" s="73"/>
      <c r="IA805" s="73"/>
      <c r="IB805" s="73"/>
      <c r="IC805" s="73"/>
      <c r="ID805" s="73"/>
      <c r="IE805" s="73"/>
      <c r="IF805" s="73"/>
      <c r="IG805" s="73"/>
      <c r="IH805" s="73"/>
      <c r="II805" s="73"/>
      <c r="IJ805" s="73"/>
      <c r="IK805" s="73"/>
      <c r="IL805" s="73"/>
      <c r="IM805" s="73"/>
      <c r="IN805" s="73"/>
      <c r="IO805" s="73"/>
      <c r="IP805" s="73"/>
      <c r="IQ805" s="73"/>
      <c r="IR805" s="73"/>
      <c r="IS805" s="73"/>
      <c r="IT805" s="73"/>
      <c r="IU805" s="73"/>
      <c r="IV805" s="73"/>
      <c r="IW805" s="73"/>
      <c r="IX805" s="73"/>
      <c r="IY805" s="73"/>
      <c r="IZ805" s="73"/>
      <c r="JA805" s="73"/>
      <c r="JB805" s="73"/>
      <c r="JC805" s="73"/>
    </row>
    <row r="806" spans="2:263" s="72" customFormat="1">
      <c r="B806" s="73"/>
      <c r="C806" s="73"/>
      <c r="D806" s="73"/>
      <c r="E806" s="73"/>
      <c r="F806" s="73"/>
      <c r="G806" s="73"/>
      <c r="H806" s="73"/>
      <c r="I806" s="73"/>
      <c r="J806" s="73"/>
      <c r="K806" s="73"/>
      <c r="L806" s="73"/>
      <c r="M806" s="73"/>
      <c r="N806" s="73"/>
      <c r="O806" s="73"/>
      <c r="P806" s="73"/>
      <c r="Q806" s="73"/>
      <c r="R806" s="73"/>
      <c r="S806" s="73"/>
      <c r="T806" s="73"/>
      <c r="U806" s="73"/>
      <c r="V806" s="73"/>
      <c r="W806" s="73"/>
      <c r="GL806" s="73"/>
      <c r="GM806" s="73"/>
      <c r="GN806" s="73"/>
      <c r="GO806" s="73"/>
      <c r="GP806" s="73"/>
      <c r="GQ806" s="73"/>
      <c r="GR806" s="73"/>
      <c r="GS806" s="73"/>
      <c r="GT806" s="73"/>
      <c r="GU806" s="73"/>
      <c r="GV806" s="73"/>
      <c r="GW806" s="73"/>
      <c r="GX806" s="73"/>
      <c r="GY806" s="73"/>
      <c r="GZ806" s="73"/>
      <c r="HA806" s="73"/>
      <c r="HB806" s="73"/>
      <c r="HC806" s="73"/>
      <c r="HD806" s="73"/>
      <c r="HE806" s="73"/>
      <c r="HF806" s="73"/>
      <c r="HG806" s="73"/>
      <c r="HH806" s="73"/>
      <c r="HI806" s="73"/>
      <c r="HJ806" s="73"/>
      <c r="HK806" s="73"/>
      <c r="HL806" s="73"/>
      <c r="HM806" s="73"/>
      <c r="HN806" s="73"/>
      <c r="HO806" s="73"/>
      <c r="HP806" s="73"/>
      <c r="HQ806" s="73"/>
      <c r="HR806" s="73"/>
      <c r="HS806" s="73"/>
      <c r="HT806" s="73"/>
      <c r="HU806" s="73"/>
      <c r="HV806" s="73"/>
      <c r="HW806" s="73"/>
      <c r="HX806" s="73"/>
      <c r="HY806" s="73"/>
      <c r="HZ806" s="73"/>
      <c r="IA806" s="73"/>
      <c r="IB806" s="73"/>
      <c r="IC806" s="73"/>
      <c r="ID806" s="73"/>
      <c r="IE806" s="73"/>
      <c r="IF806" s="73"/>
      <c r="IG806" s="73"/>
      <c r="IH806" s="73"/>
      <c r="II806" s="73"/>
      <c r="IJ806" s="73"/>
      <c r="IK806" s="73"/>
      <c r="IL806" s="73"/>
      <c r="IM806" s="73"/>
      <c r="IN806" s="73"/>
      <c r="IO806" s="73"/>
      <c r="IP806" s="73"/>
      <c r="IQ806" s="73"/>
      <c r="IR806" s="73"/>
      <c r="IS806" s="73"/>
      <c r="IT806" s="73"/>
      <c r="IU806" s="73"/>
      <c r="IV806" s="73"/>
      <c r="IW806" s="73"/>
      <c r="IX806" s="73"/>
      <c r="IY806" s="73"/>
      <c r="IZ806" s="73"/>
      <c r="JA806" s="73"/>
      <c r="JB806" s="73"/>
      <c r="JC806" s="73"/>
    </row>
    <row r="807" spans="2:263" s="72" customFormat="1">
      <c r="B807" s="73"/>
      <c r="C807" s="73"/>
      <c r="D807" s="73"/>
      <c r="E807" s="73"/>
      <c r="F807" s="73"/>
      <c r="G807" s="73"/>
      <c r="H807" s="73"/>
      <c r="I807" s="73"/>
      <c r="J807" s="73"/>
      <c r="K807" s="73"/>
      <c r="L807" s="73"/>
      <c r="M807" s="73"/>
      <c r="N807" s="73"/>
      <c r="O807" s="73"/>
      <c r="P807" s="73"/>
      <c r="Q807" s="73"/>
      <c r="R807" s="73"/>
      <c r="S807" s="73"/>
      <c r="T807" s="73"/>
      <c r="U807" s="73"/>
      <c r="V807" s="73"/>
      <c r="W807" s="73"/>
      <c r="GL807" s="73"/>
      <c r="GM807" s="73"/>
      <c r="GN807" s="73"/>
      <c r="GO807" s="73"/>
      <c r="GP807" s="73"/>
      <c r="GQ807" s="73"/>
      <c r="GR807" s="73"/>
      <c r="GS807" s="73"/>
      <c r="GT807" s="73"/>
      <c r="GU807" s="73"/>
      <c r="GV807" s="73"/>
      <c r="GW807" s="73"/>
      <c r="GX807" s="73"/>
      <c r="GY807" s="73"/>
      <c r="GZ807" s="73"/>
      <c r="HA807" s="73"/>
      <c r="HB807" s="73"/>
      <c r="HC807" s="73"/>
      <c r="HD807" s="73"/>
      <c r="HE807" s="73"/>
      <c r="HF807" s="73"/>
      <c r="HG807" s="73"/>
      <c r="HH807" s="73"/>
      <c r="HI807" s="73"/>
      <c r="HJ807" s="73"/>
      <c r="HK807" s="73"/>
      <c r="HL807" s="73"/>
      <c r="HM807" s="73"/>
      <c r="HN807" s="73"/>
      <c r="HO807" s="73"/>
      <c r="HP807" s="73"/>
      <c r="HQ807" s="73"/>
      <c r="HR807" s="73"/>
      <c r="HS807" s="73"/>
      <c r="HT807" s="73"/>
      <c r="HU807" s="73"/>
      <c r="HV807" s="73"/>
      <c r="HW807" s="73"/>
      <c r="HX807" s="73"/>
      <c r="HY807" s="73"/>
      <c r="HZ807" s="73"/>
      <c r="IA807" s="73"/>
      <c r="IB807" s="73"/>
      <c r="IC807" s="73"/>
      <c r="ID807" s="73"/>
      <c r="IE807" s="73"/>
      <c r="IF807" s="73"/>
      <c r="IG807" s="73"/>
      <c r="IH807" s="73"/>
      <c r="II807" s="73"/>
      <c r="IJ807" s="73"/>
      <c r="IK807" s="73"/>
      <c r="IL807" s="73"/>
      <c r="IM807" s="73"/>
      <c r="IN807" s="73"/>
      <c r="IO807" s="73"/>
      <c r="IP807" s="73"/>
      <c r="IQ807" s="73"/>
      <c r="IR807" s="73"/>
      <c r="IS807" s="73"/>
      <c r="IT807" s="73"/>
      <c r="IU807" s="73"/>
      <c r="IV807" s="73"/>
      <c r="IW807" s="73"/>
      <c r="IX807" s="73"/>
      <c r="IY807" s="73"/>
      <c r="IZ807" s="73"/>
      <c r="JA807" s="73"/>
      <c r="JB807" s="73"/>
      <c r="JC807" s="73"/>
    </row>
    <row r="808" spans="2:263" s="72" customFormat="1">
      <c r="B808" s="73"/>
      <c r="C808" s="73"/>
      <c r="D808" s="73"/>
      <c r="E808" s="73"/>
      <c r="F808" s="73"/>
      <c r="G808" s="73"/>
      <c r="H808" s="73"/>
      <c r="I808" s="73"/>
      <c r="J808" s="73"/>
      <c r="K808" s="73"/>
      <c r="L808" s="73"/>
      <c r="M808" s="73"/>
      <c r="N808" s="73"/>
      <c r="O808" s="73"/>
      <c r="P808" s="73"/>
      <c r="Q808" s="73"/>
      <c r="R808" s="73"/>
      <c r="S808" s="73"/>
      <c r="T808" s="73"/>
      <c r="U808" s="73"/>
      <c r="V808" s="73"/>
      <c r="W808" s="73"/>
      <c r="GL808" s="73"/>
      <c r="GM808" s="73"/>
      <c r="GN808" s="73"/>
      <c r="GO808" s="73"/>
      <c r="GP808" s="73"/>
      <c r="GQ808" s="73"/>
      <c r="GR808" s="73"/>
      <c r="GS808" s="73"/>
      <c r="GT808" s="73"/>
      <c r="GU808" s="73"/>
      <c r="GV808" s="73"/>
      <c r="GW808" s="73"/>
      <c r="GX808" s="73"/>
      <c r="GY808" s="73"/>
      <c r="GZ808" s="73"/>
      <c r="HA808" s="73"/>
      <c r="HB808" s="73"/>
      <c r="HC808" s="73"/>
      <c r="HD808" s="73"/>
      <c r="HE808" s="73"/>
      <c r="HF808" s="73"/>
      <c r="HG808" s="73"/>
      <c r="HH808" s="73"/>
      <c r="HI808" s="73"/>
      <c r="HJ808" s="73"/>
      <c r="HK808" s="73"/>
      <c r="HL808" s="73"/>
      <c r="HM808" s="73"/>
      <c r="HN808" s="73"/>
      <c r="HO808" s="73"/>
      <c r="HP808" s="73"/>
      <c r="HQ808" s="73"/>
      <c r="HR808" s="73"/>
      <c r="HS808" s="73"/>
      <c r="HT808" s="73"/>
      <c r="HU808" s="73"/>
      <c r="HV808" s="73"/>
      <c r="HW808" s="73"/>
      <c r="HX808" s="73"/>
      <c r="HY808" s="73"/>
      <c r="HZ808" s="73"/>
      <c r="IA808" s="73"/>
      <c r="IB808" s="73"/>
      <c r="IC808" s="73"/>
      <c r="ID808" s="73"/>
      <c r="IE808" s="73"/>
      <c r="IF808" s="73"/>
      <c r="IG808" s="73"/>
      <c r="IH808" s="73"/>
      <c r="II808" s="73"/>
      <c r="IJ808" s="73"/>
      <c r="IK808" s="73"/>
      <c r="IL808" s="73"/>
      <c r="IM808" s="73"/>
      <c r="IN808" s="73"/>
      <c r="IO808" s="73"/>
      <c r="IP808" s="73"/>
      <c r="IQ808" s="73"/>
      <c r="IR808" s="73"/>
      <c r="IS808" s="73"/>
      <c r="IT808" s="73"/>
      <c r="IU808" s="73"/>
      <c r="IV808" s="73"/>
      <c r="IW808" s="73"/>
      <c r="IX808" s="73"/>
      <c r="IY808" s="73"/>
      <c r="IZ808" s="73"/>
      <c r="JA808" s="73"/>
      <c r="JB808" s="73"/>
      <c r="JC808" s="73"/>
    </row>
    <row r="809" spans="2:263" s="72" customFormat="1">
      <c r="B809" s="73"/>
      <c r="C809" s="73"/>
      <c r="D809" s="73"/>
      <c r="E809" s="73"/>
      <c r="F809" s="73"/>
      <c r="G809" s="73"/>
      <c r="H809" s="73"/>
      <c r="I809" s="73"/>
      <c r="J809" s="73"/>
      <c r="K809" s="73"/>
      <c r="L809" s="73"/>
      <c r="M809" s="73"/>
      <c r="N809" s="73"/>
      <c r="O809" s="73"/>
      <c r="P809" s="73"/>
      <c r="Q809" s="73"/>
      <c r="R809" s="73"/>
      <c r="S809" s="73"/>
      <c r="T809" s="73"/>
      <c r="U809" s="73"/>
      <c r="V809" s="73"/>
      <c r="W809" s="73"/>
      <c r="GL809" s="73"/>
      <c r="GM809" s="73"/>
      <c r="GN809" s="73"/>
      <c r="GO809" s="73"/>
      <c r="GP809" s="73"/>
      <c r="GQ809" s="73"/>
      <c r="GR809" s="73"/>
      <c r="GS809" s="73"/>
      <c r="GT809" s="73"/>
      <c r="GU809" s="73"/>
      <c r="GV809" s="73"/>
      <c r="GW809" s="73"/>
      <c r="GX809" s="73"/>
      <c r="GY809" s="73"/>
      <c r="GZ809" s="73"/>
      <c r="HA809" s="73"/>
      <c r="HB809" s="73"/>
      <c r="HC809" s="73"/>
      <c r="HD809" s="73"/>
      <c r="HE809" s="73"/>
      <c r="HF809" s="73"/>
      <c r="HG809" s="73"/>
      <c r="HH809" s="73"/>
      <c r="HI809" s="73"/>
      <c r="HJ809" s="73"/>
      <c r="HK809" s="73"/>
      <c r="HL809" s="73"/>
      <c r="HM809" s="73"/>
      <c r="HN809" s="73"/>
      <c r="HO809" s="73"/>
      <c r="HP809" s="73"/>
      <c r="HQ809" s="73"/>
      <c r="HR809" s="73"/>
      <c r="HS809" s="73"/>
      <c r="HT809" s="73"/>
      <c r="HU809" s="73"/>
      <c r="HV809" s="73"/>
      <c r="HW809" s="73"/>
      <c r="HX809" s="73"/>
      <c r="HY809" s="73"/>
      <c r="HZ809" s="73"/>
      <c r="IA809" s="73"/>
      <c r="IB809" s="73"/>
      <c r="IC809" s="73"/>
      <c r="ID809" s="73"/>
      <c r="IE809" s="73"/>
      <c r="IF809" s="73"/>
      <c r="IG809" s="73"/>
      <c r="IH809" s="73"/>
      <c r="II809" s="73"/>
      <c r="IJ809" s="73"/>
      <c r="IK809" s="73"/>
      <c r="IL809" s="73"/>
      <c r="IM809" s="73"/>
      <c r="IN809" s="73"/>
      <c r="IO809" s="73"/>
      <c r="IP809" s="73"/>
      <c r="IQ809" s="73"/>
      <c r="IR809" s="73"/>
      <c r="IS809" s="73"/>
      <c r="IT809" s="73"/>
      <c r="IU809" s="73"/>
      <c r="IV809" s="73"/>
      <c r="IW809" s="73"/>
      <c r="IX809" s="73"/>
      <c r="IY809" s="73"/>
      <c r="IZ809" s="73"/>
      <c r="JA809" s="73"/>
      <c r="JB809" s="73"/>
      <c r="JC809" s="73"/>
    </row>
    <row r="810" spans="2:263" s="72" customFormat="1">
      <c r="B810" s="73"/>
      <c r="C810" s="73"/>
      <c r="D810" s="73"/>
      <c r="E810" s="73"/>
      <c r="F810" s="73"/>
      <c r="G810" s="73"/>
      <c r="H810" s="73"/>
      <c r="I810" s="73"/>
      <c r="J810" s="73"/>
      <c r="K810" s="73"/>
      <c r="L810" s="73"/>
      <c r="M810" s="73"/>
      <c r="N810" s="73"/>
      <c r="O810" s="73"/>
      <c r="P810" s="73"/>
      <c r="Q810" s="73"/>
      <c r="R810" s="73"/>
      <c r="S810" s="73"/>
      <c r="T810" s="73"/>
      <c r="U810" s="73"/>
      <c r="V810" s="73"/>
      <c r="W810" s="73"/>
      <c r="GL810" s="73"/>
      <c r="GM810" s="73"/>
      <c r="GN810" s="73"/>
      <c r="GO810" s="73"/>
      <c r="GP810" s="73"/>
      <c r="GQ810" s="73"/>
      <c r="GR810" s="73"/>
      <c r="GS810" s="73"/>
      <c r="GT810" s="73"/>
      <c r="GU810" s="73"/>
      <c r="GV810" s="73"/>
      <c r="GW810" s="73"/>
      <c r="GX810" s="73"/>
      <c r="GY810" s="73"/>
      <c r="GZ810" s="73"/>
      <c r="HA810" s="73"/>
      <c r="HB810" s="73"/>
      <c r="HC810" s="73"/>
      <c r="HD810" s="73"/>
      <c r="HE810" s="73"/>
      <c r="HF810" s="73"/>
      <c r="HG810" s="73"/>
      <c r="HH810" s="73"/>
      <c r="HI810" s="73"/>
      <c r="HJ810" s="73"/>
      <c r="HK810" s="73"/>
      <c r="HL810" s="73"/>
      <c r="HM810" s="73"/>
      <c r="HN810" s="73"/>
      <c r="HO810" s="73"/>
      <c r="HP810" s="73"/>
      <c r="HQ810" s="73"/>
      <c r="HR810" s="73"/>
      <c r="HS810" s="73"/>
      <c r="HT810" s="73"/>
      <c r="HU810" s="73"/>
      <c r="HV810" s="73"/>
      <c r="HW810" s="73"/>
      <c r="HX810" s="73"/>
      <c r="HY810" s="73"/>
      <c r="HZ810" s="73"/>
      <c r="IA810" s="73"/>
      <c r="IB810" s="73"/>
      <c r="IC810" s="73"/>
      <c r="ID810" s="73"/>
      <c r="IE810" s="73"/>
      <c r="IF810" s="73"/>
      <c r="IG810" s="73"/>
      <c r="IH810" s="73"/>
      <c r="II810" s="73"/>
      <c r="IJ810" s="73"/>
      <c r="IK810" s="73"/>
      <c r="IL810" s="73"/>
      <c r="IM810" s="73"/>
      <c r="IN810" s="73"/>
      <c r="IO810" s="73"/>
      <c r="IP810" s="73"/>
      <c r="IQ810" s="73"/>
      <c r="IR810" s="73"/>
      <c r="IS810" s="73"/>
      <c r="IT810" s="73"/>
      <c r="IU810" s="73"/>
      <c r="IV810" s="73"/>
      <c r="IW810" s="73"/>
      <c r="IX810" s="73"/>
      <c r="IY810" s="73"/>
      <c r="IZ810" s="73"/>
      <c r="JA810" s="73"/>
      <c r="JB810" s="73"/>
      <c r="JC810" s="73"/>
    </row>
    <row r="811" spans="2:263" s="72" customFormat="1">
      <c r="B811" s="73"/>
      <c r="C811" s="73"/>
      <c r="D811" s="73"/>
      <c r="E811" s="73"/>
      <c r="F811" s="73"/>
      <c r="G811" s="73"/>
      <c r="H811" s="73"/>
      <c r="I811" s="73"/>
      <c r="J811" s="73"/>
      <c r="K811" s="73"/>
      <c r="L811" s="73"/>
      <c r="M811" s="73"/>
      <c r="N811" s="73"/>
      <c r="O811" s="73"/>
      <c r="P811" s="73"/>
      <c r="Q811" s="73"/>
      <c r="R811" s="73"/>
      <c r="S811" s="73"/>
      <c r="T811" s="73"/>
      <c r="U811" s="73"/>
      <c r="V811" s="73"/>
      <c r="W811" s="73"/>
      <c r="GL811" s="73"/>
      <c r="GM811" s="73"/>
      <c r="GN811" s="73"/>
      <c r="GO811" s="73"/>
      <c r="GP811" s="73"/>
      <c r="GQ811" s="73"/>
      <c r="GR811" s="73"/>
      <c r="GS811" s="73"/>
      <c r="GT811" s="73"/>
      <c r="GU811" s="73"/>
      <c r="GV811" s="73"/>
      <c r="GW811" s="73"/>
      <c r="GX811" s="73"/>
      <c r="GY811" s="73"/>
      <c r="GZ811" s="73"/>
      <c r="HA811" s="73"/>
      <c r="HB811" s="73"/>
      <c r="HC811" s="73"/>
      <c r="HD811" s="73"/>
      <c r="HE811" s="73"/>
      <c r="HF811" s="73"/>
      <c r="HG811" s="73"/>
      <c r="HH811" s="73"/>
      <c r="HI811" s="73"/>
      <c r="HJ811" s="73"/>
      <c r="HK811" s="73"/>
      <c r="HL811" s="73"/>
      <c r="HM811" s="73"/>
      <c r="HN811" s="73"/>
      <c r="HO811" s="73"/>
      <c r="HP811" s="73"/>
      <c r="HQ811" s="73"/>
      <c r="HR811" s="73"/>
      <c r="HS811" s="73"/>
      <c r="HT811" s="73"/>
      <c r="HU811" s="73"/>
      <c r="HV811" s="73"/>
      <c r="HW811" s="73"/>
      <c r="HX811" s="73"/>
      <c r="HY811" s="73"/>
      <c r="HZ811" s="73"/>
      <c r="IA811" s="73"/>
      <c r="IB811" s="73"/>
      <c r="IC811" s="73"/>
      <c r="ID811" s="73"/>
      <c r="IE811" s="73"/>
      <c r="IF811" s="73"/>
      <c r="IG811" s="73"/>
      <c r="IH811" s="73"/>
      <c r="II811" s="73"/>
      <c r="IJ811" s="73"/>
      <c r="IK811" s="73"/>
      <c r="IL811" s="73"/>
      <c r="IM811" s="73"/>
      <c r="IN811" s="73"/>
      <c r="IO811" s="73"/>
      <c r="IP811" s="73"/>
      <c r="IQ811" s="73"/>
      <c r="IR811" s="73"/>
      <c r="IS811" s="73"/>
      <c r="IT811" s="73"/>
      <c r="IU811" s="73"/>
      <c r="IV811" s="73"/>
      <c r="IW811" s="73"/>
      <c r="IX811" s="73"/>
      <c r="IY811" s="73"/>
      <c r="IZ811" s="73"/>
      <c r="JA811" s="73"/>
      <c r="JB811" s="73"/>
      <c r="JC811" s="73"/>
    </row>
    <row r="812" spans="2:263" s="72" customFormat="1">
      <c r="B812" s="73"/>
      <c r="C812" s="73"/>
      <c r="D812" s="73"/>
      <c r="E812" s="73"/>
      <c r="F812" s="73"/>
      <c r="G812" s="73"/>
      <c r="H812" s="73"/>
      <c r="I812" s="73"/>
      <c r="J812" s="73"/>
      <c r="K812" s="73"/>
      <c r="L812" s="73"/>
      <c r="M812" s="73"/>
      <c r="N812" s="73"/>
      <c r="O812" s="73"/>
      <c r="P812" s="73"/>
      <c r="Q812" s="73"/>
      <c r="R812" s="73"/>
      <c r="S812" s="73"/>
      <c r="T812" s="73"/>
      <c r="U812" s="73"/>
      <c r="V812" s="73"/>
      <c r="W812" s="73"/>
      <c r="GL812" s="73"/>
      <c r="GM812" s="73"/>
      <c r="GN812" s="73"/>
      <c r="GO812" s="73"/>
      <c r="GP812" s="73"/>
      <c r="GQ812" s="73"/>
      <c r="GR812" s="73"/>
      <c r="GS812" s="73"/>
      <c r="GT812" s="73"/>
      <c r="GU812" s="73"/>
      <c r="GV812" s="73"/>
      <c r="GW812" s="73"/>
      <c r="GX812" s="73"/>
      <c r="GY812" s="73"/>
      <c r="GZ812" s="73"/>
      <c r="HA812" s="73"/>
      <c r="HB812" s="73"/>
      <c r="HC812" s="73"/>
      <c r="HD812" s="73"/>
      <c r="HE812" s="73"/>
      <c r="HF812" s="73"/>
      <c r="HG812" s="73"/>
      <c r="HH812" s="73"/>
      <c r="HI812" s="73"/>
      <c r="HJ812" s="73"/>
      <c r="HK812" s="73"/>
      <c r="HL812" s="73"/>
      <c r="HM812" s="73"/>
      <c r="HN812" s="73"/>
      <c r="HO812" s="73"/>
      <c r="HP812" s="73"/>
      <c r="HQ812" s="73"/>
      <c r="HR812" s="73"/>
      <c r="HS812" s="73"/>
      <c r="HT812" s="73"/>
      <c r="HU812" s="73"/>
      <c r="HV812" s="73"/>
      <c r="HW812" s="73"/>
      <c r="HX812" s="73"/>
      <c r="HY812" s="73"/>
      <c r="HZ812" s="73"/>
      <c r="IA812" s="73"/>
      <c r="IB812" s="73"/>
      <c r="IC812" s="73"/>
      <c r="ID812" s="73"/>
      <c r="IE812" s="73"/>
      <c r="IF812" s="73"/>
      <c r="IG812" s="73"/>
      <c r="IH812" s="73"/>
      <c r="II812" s="73"/>
      <c r="IJ812" s="73"/>
      <c r="IK812" s="73"/>
      <c r="IL812" s="73"/>
      <c r="IM812" s="73"/>
      <c r="IN812" s="73"/>
      <c r="IO812" s="73"/>
      <c r="IP812" s="73"/>
      <c r="IQ812" s="73"/>
      <c r="IR812" s="73"/>
      <c r="IS812" s="73"/>
      <c r="IT812" s="73"/>
      <c r="IU812" s="73"/>
      <c r="IV812" s="73"/>
      <c r="IW812" s="73"/>
      <c r="IX812" s="73"/>
      <c r="IY812" s="73"/>
      <c r="IZ812" s="73"/>
      <c r="JA812" s="73"/>
      <c r="JB812" s="73"/>
      <c r="JC812" s="73"/>
    </row>
    <row r="813" spans="2:263" s="72" customFormat="1">
      <c r="B813" s="73"/>
      <c r="C813" s="73"/>
      <c r="D813" s="73"/>
      <c r="E813" s="73"/>
      <c r="F813" s="73"/>
      <c r="G813" s="73"/>
      <c r="H813" s="73"/>
      <c r="I813" s="73"/>
      <c r="J813" s="73"/>
      <c r="K813" s="73"/>
      <c r="L813" s="73"/>
      <c r="M813" s="73"/>
      <c r="N813" s="73"/>
      <c r="O813" s="73"/>
      <c r="P813" s="73"/>
      <c r="Q813" s="73"/>
      <c r="R813" s="73"/>
      <c r="S813" s="73"/>
      <c r="T813" s="73"/>
      <c r="U813" s="73"/>
      <c r="V813" s="73"/>
      <c r="W813" s="73"/>
      <c r="GL813" s="73"/>
      <c r="GM813" s="73"/>
      <c r="GN813" s="73"/>
      <c r="GO813" s="73"/>
      <c r="GP813" s="73"/>
      <c r="GQ813" s="73"/>
      <c r="GR813" s="73"/>
      <c r="GS813" s="73"/>
      <c r="GT813" s="73"/>
      <c r="GU813" s="73"/>
      <c r="GV813" s="73"/>
      <c r="GW813" s="73"/>
      <c r="GX813" s="73"/>
      <c r="GY813" s="73"/>
      <c r="GZ813" s="73"/>
      <c r="HA813" s="73"/>
      <c r="HB813" s="73"/>
      <c r="HC813" s="73"/>
      <c r="HD813" s="73"/>
      <c r="HE813" s="73"/>
      <c r="HF813" s="73"/>
      <c r="HG813" s="73"/>
      <c r="HH813" s="73"/>
      <c r="HI813" s="73"/>
      <c r="HJ813" s="73"/>
      <c r="HK813" s="73"/>
      <c r="HL813" s="73"/>
      <c r="HM813" s="73"/>
      <c r="HN813" s="73"/>
      <c r="HO813" s="73"/>
      <c r="HP813" s="73"/>
      <c r="HQ813" s="73"/>
      <c r="HR813" s="73"/>
      <c r="HS813" s="73"/>
      <c r="HT813" s="73"/>
      <c r="HU813" s="73"/>
      <c r="HV813" s="73"/>
      <c r="HW813" s="73"/>
      <c r="HX813" s="73"/>
      <c r="HY813" s="73"/>
      <c r="HZ813" s="73"/>
      <c r="IA813" s="73"/>
      <c r="IB813" s="73"/>
      <c r="IC813" s="73"/>
      <c r="ID813" s="73"/>
      <c r="IE813" s="73"/>
      <c r="IF813" s="73"/>
      <c r="IG813" s="73"/>
      <c r="IH813" s="73"/>
      <c r="II813" s="73"/>
      <c r="IJ813" s="73"/>
      <c r="IK813" s="73"/>
      <c r="IL813" s="73"/>
      <c r="IM813" s="73"/>
      <c r="IN813" s="73"/>
      <c r="IO813" s="73"/>
      <c r="IP813" s="73"/>
      <c r="IQ813" s="73"/>
      <c r="IR813" s="73"/>
      <c r="IS813" s="73"/>
      <c r="IT813" s="73"/>
      <c r="IU813" s="73"/>
      <c r="IV813" s="73"/>
      <c r="IW813" s="73"/>
      <c r="IX813" s="73"/>
      <c r="IY813" s="73"/>
      <c r="IZ813" s="73"/>
      <c r="JA813" s="73"/>
      <c r="JB813" s="73"/>
      <c r="JC813" s="73"/>
    </row>
    <row r="814" spans="2:263" s="72" customFormat="1">
      <c r="B814" s="73"/>
      <c r="C814" s="73"/>
      <c r="D814" s="73"/>
      <c r="E814" s="73"/>
      <c r="F814" s="73"/>
      <c r="G814" s="73"/>
      <c r="H814" s="73"/>
      <c r="I814" s="73"/>
      <c r="J814" s="73"/>
      <c r="K814" s="73"/>
      <c r="L814" s="73"/>
      <c r="M814" s="73"/>
      <c r="N814" s="73"/>
      <c r="O814" s="73"/>
      <c r="P814" s="73"/>
      <c r="Q814" s="73"/>
      <c r="R814" s="73"/>
      <c r="S814" s="73"/>
      <c r="T814" s="73"/>
      <c r="U814" s="73"/>
      <c r="V814" s="73"/>
      <c r="W814" s="73"/>
      <c r="GL814" s="73"/>
      <c r="GM814" s="73"/>
      <c r="GN814" s="73"/>
      <c r="GO814" s="73"/>
      <c r="GP814" s="73"/>
      <c r="GQ814" s="73"/>
      <c r="GR814" s="73"/>
      <c r="GS814" s="73"/>
      <c r="GT814" s="73"/>
      <c r="GU814" s="73"/>
      <c r="GV814" s="73"/>
      <c r="GW814" s="73"/>
      <c r="GX814" s="73"/>
      <c r="GY814" s="73"/>
      <c r="GZ814" s="73"/>
      <c r="HA814" s="73"/>
      <c r="HB814" s="73"/>
      <c r="HC814" s="73"/>
      <c r="HD814" s="73"/>
      <c r="HE814" s="73"/>
      <c r="HF814" s="73"/>
      <c r="HG814" s="73"/>
      <c r="HH814" s="73"/>
      <c r="HI814" s="73"/>
      <c r="HJ814" s="73"/>
      <c r="HK814" s="73"/>
      <c r="HL814" s="73"/>
      <c r="HM814" s="73"/>
      <c r="HN814" s="73"/>
      <c r="HO814" s="73"/>
      <c r="HP814" s="73"/>
      <c r="HQ814" s="73"/>
      <c r="HR814" s="73"/>
      <c r="HS814" s="73"/>
      <c r="HT814" s="73"/>
      <c r="HU814" s="73"/>
      <c r="HV814" s="73"/>
      <c r="HW814" s="73"/>
      <c r="HX814" s="73"/>
      <c r="HY814" s="73"/>
      <c r="HZ814" s="73"/>
      <c r="IA814" s="73"/>
      <c r="IB814" s="73"/>
      <c r="IC814" s="73"/>
      <c r="ID814" s="73"/>
      <c r="IE814" s="73"/>
      <c r="IF814" s="73"/>
      <c r="IG814" s="73"/>
      <c r="IH814" s="73"/>
      <c r="II814" s="73"/>
      <c r="IJ814" s="73"/>
      <c r="IK814" s="73"/>
      <c r="IL814" s="73"/>
      <c r="IM814" s="73"/>
      <c r="IN814" s="73"/>
      <c r="IO814" s="73"/>
      <c r="IP814" s="73"/>
      <c r="IQ814" s="73"/>
      <c r="IR814" s="73"/>
      <c r="IS814" s="73"/>
      <c r="IT814" s="73"/>
      <c r="IU814" s="73"/>
      <c r="IV814" s="73"/>
      <c r="IW814" s="73"/>
      <c r="IX814" s="73"/>
      <c r="IY814" s="73"/>
      <c r="IZ814" s="73"/>
      <c r="JA814" s="73"/>
      <c r="JB814" s="73"/>
      <c r="JC814" s="73"/>
    </row>
    <row r="815" spans="2:263" s="72" customFormat="1">
      <c r="B815" s="73"/>
      <c r="C815" s="73"/>
      <c r="D815" s="73"/>
      <c r="E815" s="73"/>
      <c r="F815" s="73"/>
      <c r="G815" s="73"/>
      <c r="H815" s="73"/>
      <c r="I815" s="73"/>
      <c r="J815" s="73"/>
      <c r="K815" s="73"/>
      <c r="L815" s="73"/>
      <c r="M815" s="73"/>
      <c r="N815" s="73"/>
      <c r="O815" s="73"/>
      <c r="P815" s="73"/>
      <c r="Q815" s="73"/>
      <c r="R815" s="73"/>
      <c r="S815" s="73"/>
      <c r="T815" s="73"/>
      <c r="U815" s="73"/>
      <c r="V815" s="73"/>
      <c r="W815" s="73"/>
      <c r="GL815" s="73"/>
      <c r="GM815" s="73"/>
      <c r="GN815" s="73"/>
      <c r="GO815" s="73"/>
      <c r="GP815" s="73"/>
      <c r="GQ815" s="73"/>
      <c r="GR815" s="73"/>
      <c r="GS815" s="73"/>
      <c r="GT815" s="73"/>
      <c r="GU815" s="73"/>
      <c r="GV815" s="73"/>
      <c r="GW815" s="73"/>
      <c r="GX815" s="73"/>
      <c r="GY815" s="73"/>
      <c r="GZ815" s="73"/>
      <c r="HA815" s="73"/>
      <c r="HB815" s="73"/>
      <c r="HC815" s="73"/>
      <c r="HD815" s="73"/>
      <c r="HE815" s="73"/>
      <c r="HF815" s="73"/>
      <c r="HG815" s="73"/>
      <c r="HH815" s="73"/>
      <c r="HI815" s="73"/>
      <c r="HJ815" s="73"/>
      <c r="HK815" s="73"/>
      <c r="HL815" s="73"/>
      <c r="HM815" s="73"/>
      <c r="HN815" s="73"/>
      <c r="HO815" s="73"/>
      <c r="HP815" s="73"/>
      <c r="HQ815" s="73"/>
      <c r="HR815" s="73"/>
      <c r="HS815" s="73"/>
      <c r="HT815" s="73"/>
      <c r="HU815" s="73"/>
      <c r="HV815" s="73"/>
      <c r="HW815" s="73"/>
      <c r="HX815" s="73"/>
      <c r="HY815" s="73"/>
      <c r="HZ815" s="73"/>
      <c r="IA815" s="73"/>
      <c r="IB815" s="73"/>
      <c r="IC815" s="73"/>
      <c r="ID815" s="73"/>
      <c r="IE815" s="73"/>
      <c r="IF815" s="73"/>
      <c r="IG815" s="73"/>
      <c r="IH815" s="73"/>
      <c r="II815" s="73"/>
      <c r="IJ815" s="73"/>
      <c r="IK815" s="73"/>
      <c r="IL815" s="73"/>
      <c r="IM815" s="73"/>
      <c r="IN815" s="73"/>
      <c r="IO815" s="73"/>
      <c r="IP815" s="73"/>
      <c r="IQ815" s="73"/>
      <c r="IR815" s="73"/>
      <c r="IS815" s="73"/>
      <c r="IT815" s="73"/>
      <c r="IU815" s="73"/>
      <c r="IV815" s="73"/>
      <c r="IW815" s="73"/>
      <c r="IX815" s="73"/>
      <c r="IY815" s="73"/>
      <c r="IZ815" s="73"/>
      <c r="JA815" s="73"/>
      <c r="JB815" s="73"/>
      <c r="JC815" s="73"/>
    </row>
    <row r="816" spans="2:263" s="72" customFormat="1">
      <c r="B816" s="73"/>
      <c r="C816" s="73"/>
      <c r="D816" s="73"/>
      <c r="E816" s="73"/>
      <c r="F816" s="73"/>
      <c r="G816" s="73"/>
      <c r="H816" s="73"/>
      <c r="I816" s="73"/>
      <c r="J816" s="73"/>
      <c r="K816" s="73"/>
      <c r="L816" s="73"/>
      <c r="M816" s="73"/>
      <c r="N816" s="73"/>
      <c r="O816" s="73"/>
      <c r="P816" s="73"/>
      <c r="Q816" s="73"/>
      <c r="R816" s="73"/>
      <c r="S816" s="73"/>
      <c r="T816" s="73"/>
      <c r="U816" s="73"/>
      <c r="V816" s="73"/>
      <c r="W816" s="73"/>
      <c r="GL816" s="73"/>
      <c r="GM816" s="73"/>
      <c r="GN816" s="73"/>
      <c r="GO816" s="73"/>
      <c r="GP816" s="73"/>
      <c r="GQ816" s="73"/>
      <c r="GR816" s="73"/>
      <c r="GS816" s="73"/>
      <c r="GT816" s="73"/>
      <c r="GU816" s="73"/>
      <c r="GV816" s="73"/>
      <c r="GW816" s="73"/>
      <c r="GX816" s="73"/>
      <c r="GY816" s="73"/>
      <c r="GZ816" s="73"/>
      <c r="HA816" s="73"/>
      <c r="HB816" s="73"/>
      <c r="HC816" s="73"/>
      <c r="HD816" s="73"/>
      <c r="HE816" s="73"/>
      <c r="HF816" s="73"/>
      <c r="HG816" s="73"/>
      <c r="HH816" s="73"/>
      <c r="HI816" s="73"/>
      <c r="HJ816" s="73"/>
      <c r="HK816" s="73"/>
      <c r="HL816" s="73"/>
      <c r="HM816" s="73"/>
      <c r="HN816" s="73"/>
      <c r="HO816" s="73"/>
      <c r="HP816" s="73"/>
      <c r="HQ816" s="73"/>
      <c r="HR816" s="73"/>
      <c r="HS816" s="73"/>
      <c r="HT816" s="73"/>
      <c r="HU816" s="73"/>
      <c r="HV816" s="73"/>
      <c r="HW816" s="73"/>
      <c r="HX816" s="73"/>
      <c r="HY816" s="73"/>
      <c r="HZ816" s="73"/>
      <c r="IA816" s="73"/>
      <c r="IB816" s="73"/>
      <c r="IC816" s="73"/>
      <c r="ID816" s="73"/>
      <c r="IE816" s="73"/>
      <c r="IF816" s="73"/>
      <c r="IG816" s="73"/>
      <c r="IH816" s="73"/>
      <c r="II816" s="73"/>
      <c r="IJ816" s="73"/>
      <c r="IK816" s="73"/>
      <c r="IL816" s="73"/>
      <c r="IM816" s="73"/>
      <c r="IN816" s="73"/>
      <c r="IO816" s="73"/>
      <c r="IP816" s="73"/>
      <c r="IQ816" s="73"/>
      <c r="IR816" s="73"/>
      <c r="IS816" s="73"/>
      <c r="IT816" s="73"/>
      <c r="IU816" s="73"/>
      <c r="IV816" s="73"/>
      <c r="IW816" s="73"/>
      <c r="IX816" s="73"/>
      <c r="IY816" s="73"/>
      <c r="IZ816" s="73"/>
      <c r="JA816" s="73"/>
      <c r="JB816" s="73"/>
      <c r="JC816" s="73"/>
    </row>
    <row r="817" spans="2:263" s="72" customFormat="1">
      <c r="B817" s="73"/>
      <c r="C817" s="73"/>
      <c r="D817" s="73"/>
      <c r="E817" s="73"/>
      <c r="F817" s="73"/>
      <c r="G817" s="73"/>
      <c r="H817" s="73"/>
      <c r="I817" s="73"/>
      <c r="J817" s="73"/>
      <c r="K817" s="73"/>
      <c r="L817" s="73"/>
      <c r="M817" s="73"/>
      <c r="N817" s="73"/>
      <c r="O817" s="73"/>
      <c r="P817" s="73"/>
      <c r="Q817" s="73"/>
      <c r="R817" s="73"/>
      <c r="S817" s="73"/>
      <c r="T817" s="73"/>
      <c r="U817" s="73"/>
      <c r="V817" s="73"/>
      <c r="W817" s="73"/>
      <c r="GL817" s="73"/>
      <c r="GM817" s="73"/>
      <c r="GN817" s="73"/>
      <c r="GO817" s="73"/>
      <c r="GP817" s="73"/>
      <c r="GQ817" s="73"/>
      <c r="GR817" s="73"/>
      <c r="GS817" s="73"/>
      <c r="GT817" s="73"/>
      <c r="GU817" s="73"/>
      <c r="GV817" s="73"/>
      <c r="GW817" s="73"/>
      <c r="GX817" s="73"/>
      <c r="GY817" s="73"/>
      <c r="GZ817" s="73"/>
      <c r="HA817" s="73"/>
      <c r="HB817" s="73"/>
      <c r="HC817" s="73"/>
      <c r="HD817" s="73"/>
      <c r="HE817" s="73"/>
      <c r="HF817" s="73"/>
      <c r="HG817" s="73"/>
      <c r="HH817" s="73"/>
      <c r="HI817" s="73"/>
      <c r="HJ817" s="73"/>
      <c r="HK817" s="73"/>
      <c r="HL817" s="73"/>
      <c r="HM817" s="73"/>
      <c r="HN817" s="73"/>
      <c r="HO817" s="73"/>
      <c r="HP817" s="73"/>
      <c r="HQ817" s="73"/>
      <c r="HR817" s="73"/>
      <c r="HS817" s="73"/>
      <c r="HT817" s="73"/>
      <c r="HU817" s="73"/>
      <c r="HV817" s="73"/>
      <c r="HW817" s="73"/>
      <c r="HX817" s="73"/>
      <c r="HY817" s="73"/>
      <c r="HZ817" s="73"/>
      <c r="IA817" s="73"/>
      <c r="IB817" s="73"/>
      <c r="IC817" s="73"/>
      <c r="ID817" s="73"/>
      <c r="IE817" s="73"/>
      <c r="IF817" s="73"/>
      <c r="IG817" s="73"/>
      <c r="IH817" s="73"/>
      <c r="II817" s="73"/>
      <c r="IJ817" s="73"/>
      <c r="IK817" s="73"/>
      <c r="IL817" s="73"/>
      <c r="IM817" s="73"/>
      <c r="IN817" s="73"/>
      <c r="IO817" s="73"/>
      <c r="IP817" s="73"/>
      <c r="IQ817" s="73"/>
      <c r="IR817" s="73"/>
      <c r="IS817" s="73"/>
      <c r="IT817" s="73"/>
      <c r="IU817" s="73"/>
      <c r="IV817" s="73"/>
      <c r="IW817" s="73"/>
      <c r="IX817" s="73"/>
      <c r="IY817" s="73"/>
      <c r="IZ817" s="73"/>
      <c r="JA817" s="73"/>
      <c r="JB817" s="73"/>
      <c r="JC817" s="73"/>
    </row>
    <row r="818" spans="2:263" s="72" customFormat="1">
      <c r="B818" s="73"/>
      <c r="C818" s="73"/>
      <c r="D818" s="73"/>
      <c r="E818" s="73"/>
      <c r="F818" s="73"/>
      <c r="G818" s="73"/>
      <c r="H818" s="73"/>
      <c r="I818" s="73"/>
      <c r="J818" s="73"/>
      <c r="K818" s="73"/>
      <c r="L818" s="73"/>
      <c r="M818" s="73"/>
      <c r="N818" s="73"/>
      <c r="O818" s="73"/>
      <c r="P818" s="73"/>
      <c r="Q818" s="73"/>
      <c r="R818" s="73"/>
      <c r="S818" s="73"/>
      <c r="T818" s="73"/>
      <c r="U818" s="73"/>
      <c r="V818" s="73"/>
      <c r="W818" s="73"/>
      <c r="GL818" s="73"/>
      <c r="GM818" s="73"/>
      <c r="GN818" s="73"/>
      <c r="GO818" s="73"/>
      <c r="GP818" s="73"/>
      <c r="GQ818" s="73"/>
      <c r="GR818" s="73"/>
      <c r="GS818" s="73"/>
      <c r="GT818" s="73"/>
      <c r="GU818" s="73"/>
      <c r="GV818" s="73"/>
      <c r="GW818" s="73"/>
      <c r="GX818" s="73"/>
      <c r="GY818" s="73"/>
      <c r="GZ818" s="73"/>
      <c r="HA818" s="73"/>
      <c r="HB818" s="73"/>
      <c r="HC818" s="73"/>
      <c r="HD818" s="73"/>
      <c r="HE818" s="73"/>
      <c r="HF818" s="73"/>
      <c r="HG818" s="73"/>
      <c r="HH818" s="73"/>
      <c r="HI818" s="73"/>
      <c r="HJ818" s="73"/>
      <c r="HK818" s="73"/>
      <c r="HL818" s="73"/>
      <c r="HM818" s="73"/>
      <c r="HN818" s="73"/>
      <c r="HO818" s="73"/>
      <c r="HP818" s="73"/>
      <c r="HQ818" s="73"/>
      <c r="HR818" s="73"/>
      <c r="HS818" s="73"/>
      <c r="HT818" s="73"/>
      <c r="HU818" s="73"/>
      <c r="HV818" s="73"/>
      <c r="HW818" s="73"/>
      <c r="HX818" s="73"/>
      <c r="HY818" s="73"/>
      <c r="HZ818" s="73"/>
      <c r="IA818" s="73"/>
      <c r="IB818" s="73"/>
      <c r="IC818" s="73"/>
      <c r="ID818" s="73"/>
      <c r="IE818" s="73"/>
      <c r="IF818" s="73"/>
      <c r="IG818" s="73"/>
      <c r="IH818" s="73"/>
      <c r="II818" s="73"/>
      <c r="IJ818" s="73"/>
      <c r="IK818" s="73"/>
      <c r="IL818" s="73"/>
      <c r="IM818" s="73"/>
      <c r="IN818" s="73"/>
      <c r="IO818" s="73"/>
      <c r="IP818" s="73"/>
      <c r="IQ818" s="73"/>
      <c r="IR818" s="73"/>
      <c r="IS818" s="73"/>
      <c r="IT818" s="73"/>
      <c r="IU818" s="73"/>
      <c r="IV818" s="73"/>
      <c r="IW818" s="73"/>
      <c r="IX818" s="73"/>
      <c r="IY818" s="73"/>
      <c r="IZ818" s="73"/>
      <c r="JA818" s="73"/>
      <c r="JB818" s="73"/>
      <c r="JC818" s="73"/>
    </row>
    <row r="819" spans="2:263" s="72" customFormat="1">
      <c r="B819" s="73"/>
      <c r="C819" s="73"/>
      <c r="D819" s="73"/>
      <c r="E819" s="73"/>
      <c r="F819" s="73"/>
      <c r="G819" s="73"/>
      <c r="H819" s="73"/>
      <c r="I819" s="73"/>
      <c r="J819" s="73"/>
      <c r="K819" s="73"/>
      <c r="L819" s="73"/>
      <c r="M819" s="73"/>
      <c r="N819" s="73"/>
      <c r="O819" s="73"/>
      <c r="P819" s="73"/>
      <c r="Q819" s="73"/>
      <c r="R819" s="73"/>
      <c r="S819" s="73"/>
      <c r="T819" s="73"/>
      <c r="U819" s="73"/>
      <c r="V819" s="73"/>
      <c r="W819" s="73"/>
      <c r="GL819" s="73"/>
      <c r="GM819" s="73"/>
      <c r="GN819" s="73"/>
      <c r="GO819" s="73"/>
      <c r="GP819" s="73"/>
      <c r="GQ819" s="73"/>
      <c r="GR819" s="73"/>
      <c r="GS819" s="73"/>
      <c r="GT819" s="73"/>
      <c r="GU819" s="73"/>
      <c r="GV819" s="73"/>
      <c r="GW819" s="73"/>
      <c r="GX819" s="73"/>
      <c r="GY819" s="73"/>
      <c r="GZ819" s="73"/>
      <c r="HA819" s="73"/>
      <c r="HB819" s="73"/>
      <c r="HC819" s="73"/>
      <c r="HD819" s="73"/>
      <c r="HE819" s="73"/>
      <c r="HF819" s="73"/>
      <c r="HG819" s="73"/>
      <c r="HH819" s="73"/>
      <c r="HI819" s="73"/>
      <c r="HJ819" s="73"/>
      <c r="HK819" s="73"/>
      <c r="HL819" s="73"/>
      <c r="HM819" s="73"/>
      <c r="HN819" s="73"/>
      <c r="HO819" s="73"/>
      <c r="HP819" s="73"/>
      <c r="HQ819" s="73"/>
      <c r="HR819" s="73"/>
      <c r="HS819" s="73"/>
      <c r="HT819" s="73"/>
      <c r="HU819" s="73"/>
      <c r="HV819" s="73"/>
      <c r="HW819" s="73"/>
      <c r="HX819" s="73"/>
      <c r="HY819" s="73"/>
      <c r="HZ819" s="73"/>
      <c r="IA819" s="73"/>
      <c r="IB819" s="73"/>
      <c r="IC819" s="73"/>
      <c r="ID819" s="73"/>
      <c r="IE819" s="73"/>
      <c r="IF819" s="73"/>
      <c r="IG819" s="73"/>
      <c r="IH819" s="73"/>
      <c r="II819" s="73"/>
      <c r="IJ819" s="73"/>
      <c r="IK819" s="73"/>
      <c r="IL819" s="73"/>
      <c r="IM819" s="73"/>
      <c r="IN819" s="73"/>
      <c r="IO819" s="73"/>
      <c r="IP819" s="73"/>
      <c r="IQ819" s="73"/>
      <c r="IR819" s="73"/>
      <c r="IS819" s="73"/>
      <c r="IT819" s="73"/>
      <c r="IU819" s="73"/>
      <c r="IV819" s="73"/>
      <c r="IW819" s="73"/>
      <c r="IX819" s="73"/>
      <c r="IY819" s="73"/>
      <c r="IZ819" s="73"/>
      <c r="JA819" s="73"/>
      <c r="JB819" s="73"/>
      <c r="JC819" s="73"/>
    </row>
    <row r="820" spans="2:263" s="72" customFormat="1">
      <c r="B820" s="73"/>
      <c r="C820" s="73"/>
      <c r="D820" s="73"/>
      <c r="E820" s="73"/>
      <c r="F820" s="73"/>
      <c r="G820" s="73"/>
      <c r="H820" s="73"/>
      <c r="I820" s="73"/>
      <c r="J820" s="73"/>
      <c r="K820" s="73"/>
      <c r="L820" s="73"/>
      <c r="M820" s="73"/>
      <c r="N820" s="73"/>
      <c r="O820" s="73"/>
      <c r="P820" s="73"/>
      <c r="Q820" s="73"/>
      <c r="R820" s="73"/>
      <c r="S820" s="73"/>
      <c r="T820" s="73"/>
      <c r="U820" s="73"/>
      <c r="V820" s="73"/>
      <c r="W820" s="73"/>
      <c r="GL820" s="73"/>
      <c r="GM820" s="73"/>
      <c r="GN820" s="73"/>
      <c r="GO820" s="73"/>
      <c r="GP820" s="73"/>
      <c r="GQ820" s="73"/>
      <c r="GR820" s="73"/>
      <c r="GS820" s="73"/>
      <c r="GT820" s="73"/>
      <c r="GU820" s="73"/>
      <c r="GV820" s="73"/>
      <c r="GW820" s="73"/>
      <c r="GX820" s="73"/>
      <c r="GY820" s="73"/>
      <c r="GZ820" s="73"/>
      <c r="HA820" s="73"/>
      <c r="HB820" s="73"/>
      <c r="HC820" s="73"/>
      <c r="HD820" s="73"/>
      <c r="HE820" s="73"/>
      <c r="HF820" s="73"/>
      <c r="HG820" s="73"/>
      <c r="HH820" s="73"/>
      <c r="HI820" s="73"/>
      <c r="HJ820" s="73"/>
      <c r="HK820" s="73"/>
      <c r="HL820" s="73"/>
      <c r="HM820" s="73"/>
      <c r="HN820" s="73"/>
      <c r="HO820" s="73"/>
      <c r="HP820" s="73"/>
      <c r="HQ820" s="73"/>
      <c r="HR820" s="73"/>
      <c r="HS820" s="73"/>
      <c r="HT820" s="73"/>
      <c r="HU820" s="73"/>
      <c r="HV820" s="73"/>
      <c r="HW820" s="73"/>
      <c r="HX820" s="73"/>
      <c r="HY820" s="73"/>
      <c r="HZ820" s="73"/>
      <c r="IA820" s="73"/>
      <c r="IB820" s="73"/>
      <c r="IC820" s="73"/>
      <c r="ID820" s="73"/>
      <c r="IE820" s="73"/>
      <c r="IF820" s="73"/>
      <c r="IG820" s="73"/>
      <c r="IH820" s="73"/>
      <c r="II820" s="73"/>
      <c r="IJ820" s="73"/>
      <c r="IK820" s="73"/>
      <c r="IL820" s="73"/>
      <c r="IM820" s="73"/>
      <c r="IN820" s="73"/>
      <c r="IO820" s="73"/>
      <c r="IP820" s="73"/>
      <c r="IQ820" s="73"/>
      <c r="IR820" s="73"/>
      <c r="IS820" s="73"/>
      <c r="IT820" s="73"/>
      <c r="IU820" s="73"/>
      <c r="IV820" s="73"/>
      <c r="IW820" s="73"/>
      <c r="IX820" s="73"/>
      <c r="IY820" s="73"/>
      <c r="IZ820" s="73"/>
      <c r="JA820" s="73"/>
      <c r="JB820" s="73"/>
      <c r="JC820" s="73"/>
    </row>
    <row r="821" spans="2:263" s="72" customFormat="1">
      <c r="B821" s="73"/>
      <c r="C821" s="73"/>
      <c r="D821" s="73"/>
      <c r="E821" s="73"/>
      <c r="F821" s="73"/>
      <c r="G821" s="73"/>
      <c r="H821" s="73"/>
      <c r="I821" s="73"/>
      <c r="J821" s="73"/>
      <c r="K821" s="73"/>
      <c r="L821" s="73"/>
      <c r="M821" s="73"/>
      <c r="N821" s="73"/>
      <c r="O821" s="73"/>
      <c r="P821" s="73"/>
      <c r="Q821" s="73"/>
      <c r="R821" s="73"/>
      <c r="S821" s="73"/>
      <c r="T821" s="73"/>
      <c r="U821" s="73"/>
      <c r="V821" s="73"/>
      <c r="W821" s="73"/>
      <c r="GL821" s="73"/>
      <c r="GM821" s="73"/>
      <c r="GN821" s="73"/>
      <c r="GO821" s="73"/>
      <c r="GP821" s="73"/>
      <c r="GQ821" s="73"/>
      <c r="GR821" s="73"/>
      <c r="GS821" s="73"/>
      <c r="GT821" s="73"/>
      <c r="GU821" s="73"/>
      <c r="GV821" s="73"/>
      <c r="GW821" s="73"/>
      <c r="GX821" s="73"/>
      <c r="GY821" s="73"/>
      <c r="GZ821" s="73"/>
      <c r="HA821" s="73"/>
      <c r="HB821" s="73"/>
      <c r="HC821" s="73"/>
      <c r="HD821" s="73"/>
      <c r="HE821" s="73"/>
      <c r="HF821" s="73"/>
      <c r="HG821" s="73"/>
      <c r="HH821" s="73"/>
      <c r="HI821" s="73"/>
      <c r="HJ821" s="73"/>
      <c r="HK821" s="73"/>
      <c r="HL821" s="73"/>
      <c r="HM821" s="73"/>
      <c r="HN821" s="73"/>
      <c r="HO821" s="73"/>
      <c r="HP821" s="73"/>
      <c r="HQ821" s="73"/>
      <c r="HR821" s="73"/>
      <c r="HS821" s="73"/>
      <c r="HT821" s="73"/>
      <c r="HU821" s="73"/>
      <c r="HV821" s="73"/>
      <c r="HW821" s="73"/>
      <c r="HX821" s="73"/>
      <c r="HY821" s="73"/>
      <c r="HZ821" s="73"/>
      <c r="IA821" s="73"/>
      <c r="IB821" s="73"/>
      <c r="IC821" s="73"/>
      <c r="ID821" s="73"/>
      <c r="IE821" s="73"/>
      <c r="IF821" s="73"/>
      <c r="IG821" s="73"/>
      <c r="IH821" s="73"/>
      <c r="II821" s="73"/>
      <c r="IJ821" s="73"/>
      <c r="IK821" s="73"/>
      <c r="IL821" s="73"/>
      <c r="IM821" s="73"/>
      <c r="IN821" s="73"/>
      <c r="IO821" s="73"/>
      <c r="IP821" s="73"/>
      <c r="IQ821" s="73"/>
      <c r="IR821" s="73"/>
      <c r="IS821" s="73"/>
      <c r="IT821" s="73"/>
      <c r="IU821" s="73"/>
      <c r="IV821" s="73"/>
      <c r="IW821" s="73"/>
      <c r="IX821" s="73"/>
      <c r="IY821" s="73"/>
      <c r="IZ821" s="73"/>
      <c r="JA821" s="73"/>
      <c r="JB821" s="73"/>
      <c r="JC821" s="73"/>
    </row>
    <row r="822" spans="2:263" s="72" customFormat="1">
      <c r="B822" s="73"/>
      <c r="C822" s="73"/>
      <c r="D822" s="73"/>
      <c r="E822" s="73"/>
      <c r="F822" s="73"/>
      <c r="G822" s="73"/>
      <c r="H822" s="73"/>
      <c r="I822" s="73"/>
      <c r="J822" s="73"/>
      <c r="K822" s="73"/>
      <c r="L822" s="73"/>
      <c r="M822" s="73"/>
      <c r="N822" s="73"/>
      <c r="O822" s="73"/>
      <c r="P822" s="73"/>
      <c r="Q822" s="73"/>
      <c r="R822" s="73"/>
      <c r="S822" s="73"/>
      <c r="T822" s="73"/>
      <c r="U822" s="73"/>
      <c r="V822" s="73"/>
      <c r="W822" s="73"/>
      <c r="GL822" s="73"/>
      <c r="GM822" s="73"/>
      <c r="GN822" s="73"/>
      <c r="GO822" s="73"/>
      <c r="GP822" s="73"/>
      <c r="GQ822" s="73"/>
      <c r="GR822" s="73"/>
      <c r="GS822" s="73"/>
      <c r="GT822" s="73"/>
      <c r="GU822" s="73"/>
      <c r="GV822" s="73"/>
      <c r="GW822" s="73"/>
      <c r="GX822" s="73"/>
      <c r="GY822" s="73"/>
      <c r="GZ822" s="73"/>
      <c r="HA822" s="73"/>
      <c r="HB822" s="73"/>
      <c r="HC822" s="73"/>
      <c r="HD822" s="73"/>
      <c r="HE822" s="73"/>
      <c r="HF822" s="73"/>
      <c r="HG822" s="73"/>
      <c r="HH822" s="73"/>
      <c r="HI822" s="73"/>
      <c r="HJ822" s="73"/>
      <c r="HK822" s="73"/>
      <c r="HL822" s="73"/>
      <c r="HM822" s="73"/>
      <c r="HN822" s="73"/>
      <c r="HO822" s="73"/>
      <c r="HP822" s="73"/>
      <c r="HQ822" s="73"/>
      <c r="HR822" s="73"/>
      <c r="HS822" s="73"/>
      <c r="HT822" s="73"/>
      <c r="HU822" s="73"/>
      <c r="HV822" s="73"/>
      <c r="HW822" s="73"/>
      <c r="HX822" s="73"/>
      <c r="HY822" s="73"/>
      <c r="HZ822" s="73"/>
      <c r="IA822" s="73"/>
      <c r="IB822" s="73"/>
      <c r="IC822" s="73"/>
      <c r="ID822" s="73"/>
      <c r="IE822" s="73"/>
      <c r="IF822" s="73"/>
      <c r="IG822" s="73"/>
      <c r="IH822" s="73"/>
      <c r="II822" s="73"/>
      <c r="IJ822" s="73"/>
      <c r="IK822" s="73"/>
      <c r="IL822" s="73"/>
      <c r="IM822" s="73"/>
      <c r="IN822" s="73"/>
      <c r="IO822" s="73"/>
      <c r="IP822" s="73"/>
      <c r="IQ822" s="73"/>
      <c r="IR822" s="73"/>
      <c r="IS822" s="73"/>
      <c r="IT822" s="73"/>
      <c r="IU822" s="73"/>
      <c r="IV822" s="73"/>
      <c r="IW822" s="73"/>
      <c r="IX822" s="73"/>
      <c r="IY822" s="73"/>
      <c r="IZ822" s="73"/>
      <c r="JA822" s="73"/>
      <c r="JB822" s="73"/>
      <c r="JC822" s="73"/>
    </row>
    <row r="823" spans="2:263" s="72" customFormat="1">
      <c r="B823" s="73"/>
      <c r="C823" s="73"/>
      <c r="D823" s="73"/>
      <c r="E823" s="73"/>
      <c r="F823" s="73"/>
      <c r="G823" s="73"/>
      <c r="H823" s="73"/>
      <c r="I823" s="73"/>
      <c r="J823" s="73"/>
      <c r="K823" s="73"/>
      <c r="L823" s="73"/>
      <c r="M823" s="73"/>
      <c r="N823" s="73"/>
      <c r="O823" s="73"/>
      <c r="P823" s="73"/>
      <c r="Q823" s="73"/>
      <c r="R823" s="73"/>
      <c r="S823" s="73"/>
      <c r="T823" s="73"/>
      <c r="U823" s="73"/>
      <c r="V823" s="73"/>
      <c r="W823" s="73"/>
      <c r="GL823" s="73"/>
      <c r="GM823" s="73"/>
      <c r="GN823" s="73"/>
      <c r="GO823" s="73"/>
      <c r="GP823" s="73"/>
      <c r="GQ823" s="73"/>
      <c r="GR823" s="73"/>
      <c r="GS823" s="73"/>
      <c r="GT823" s="73"/>
      <c r="GU823" s="73"/>
      <c r="GV823" s="73"/>
      <c r="GW823" s="73"/>
      <c r="GX823" s="73"/>
      <c r="GY823" s="73"/>
      <c r="GZ823" s="73"/>
      <c r="HA823" s="73"/>
      <c r="HB823" s="73"/>
      <c r="HC823" s="73"/>
      <c r="HD823" s="73"/>
      <c r="HE823" s="73"/>
      <c r="HF823" s="73"/>
      <c r="HG823" s="73"/>
      <c r="HH823" s="73"/>
      <c r="HI823" s="73"/>
      <c r="HJ823" s="73"/>
      <c r="HK823" s="73"/>
      <c r="HL823" s="73"/>
      <c r="HM823" s="73"/>
      <c r="HN823" s="73"/>
      <c r="HO823" s="73"/>
      <c r="HP823" s="73"/>
      <c r="HQ823" s="73"/>
      <c r="HR823" s="73"/>
      <c r="HS823" s="73"/>
      <c r="HT823" s="73"/>
      <c r="HU823" s="73"/>
      <c r="HV823" s="73"/>
      <c r="HW823" s="73"/>
      <c r="HX823" s="73"/>
      <c r="HY823" s="73"/>
      <c r="HZ823" s="73"/>
      <c r="IA823" s="73"/>
      <c r="IB823" s="73"/>
      <c r="IC823" s="73"/>
      <c r="ID823" s="73"/>
      <c r="IE823" s="73"/>
      <c r="IF823" s="73"/>
      <c r="IG823" s="73"/>
      <c r="IH823" s="73"/>
      <c r="II823" s="73"/>
      <c r="IJ823" s="73"/>
      <c r="IK823" s="73"/>
      <c r="IL823" s="73"/>
      <c r="IM823" s="73"/>
      <c r="IN823" s="73"/>
      <c r="IO823" s="73"/>
      <c r="IP823" s="73"/>
      <c r="IQ823" s="73"/>
      <c r="IR823" s="73"/>
      <c r="IS823" s="73"/>
      <c r="IT823" s="73"/>
      <c r="IU823" s="73"/>
      <c r="IV823" s="73"/>
      <c r="IW823" s="73"/>
      <c r="IX823" s="73"/>
      <c r="IY823" s="73"/>
      <c r="IZ823" s="73"/>
      <c r="JA823" s="73"/>
      <c r="JB823" s="73"/>
      <c r="JC823" s="73"/>
    </row>
    <row r="824" spans="2:263" s="72" customFormat="1">
      <c r="B824" s="73"/>
      <c r="C824" s="73"/>
      <c r="D824" s="73"/>
      <c r="E824" s="73"/>
      <c r="F824" s="73"/>
      <c r="G824" s="73"/>
      <c r="H824" s="73"/>
      <c r="I824" s="73"/>
      <c r="J824" s="73"/>
      <c r="K824" s="73"/>
      <c r="L824" s="73"/>
      <c r="M824" s="73"/>
      <c r="N824" s="73"/>
      <c r="O824" s="73"/>
      <c r="P824" s="73"/>
      <c r="Q824" s="73"/>
      <c r="R824" s="73"/>
      <c r="S824" s="73"/>
      <c r="T824" s="73"/>
      <c r="U824" s="73"/>
      <c r="V824" s="73"/>
      <c r="W824" s="73"/>
      <c r="GL824" s="73"/>
      <c r="GM824" s="73"/>
      <c r="GN824" s="73"/>
      <c r="GO824" s="73"/>
      <c r="GP824" s="73"/>
      <c r="GQ824" s="73"/>
      <c r="GR824" s="73"/>
      <c r="GS824" s="73"/>
      <c r="GT824" s="73"/>
      <c r="GU824" s="73"/>
      <c r="GV824" s="73"/>
      <c r="GW824" s="73"/>
      <c r="GX824" s="73"/>
      <c r="GY824" s="73"/>
      <c r="GZ824" s="73"/>
      <c r="HA824" s="73"/>
      <c r="HB824" s="73"/>
      <c r="HC824" s="73"/>
      <c r="HD824" s="73"/>
      <c r="HE824" s="73"/>
      <c r="HF824" s="73"/>
      <c r="HG824" s="73"/>
      <c r="HH824" s="73"/>
      <c r="HI824" s="73"/>
      <c r="HJ824" s="73"/>
      <c r="HK824" s="73"/>
      <c r="HL824" s="73"/>
      <c r="HM824" s="73"/>
      <c r="HN824" s="73"/>
      <c r="HO824" s="73"/>
      <c r="HP824" s="73"/>
      <c r="HQ824" s="73"/>
      <c r="HR824" s="73"/>
      <c r="HS824" s="73"/>
      <c r="HT824" s="73"/>
      <c r="HU824" s="73"/>
      <c r="HV824" s="73"/>
      <c r="HW824" s="73"/>
      <c r="HX824" s="73"/>
      <c r="HY824" s="73"/>
      <c r="HZ824" s="73"/>
      <c r="IA824" s="73"/>
      <c r="IB824" s="73"/>
      <c r="IC824" s="73"/>
      <c r="ID824" s="73"/>
      <c r="IE824" s="73"/>
      <c r="IF824" s="73"/>
      <c r="IG824" s="73"/>
      <c r="IH824" s="73"/>
      <c r="II824" s="73"/>
      <c r="IJ824" s="73"/>
      <c r="IK824" s="73"/>
      <c r="IL824" s="73"/>
      <c r="IM824" s="73"/>
      <c r="IN824" s="73"/>
      <c r="IO824" s="73"/>
      <c r="IP824" s="73"/>
      <c r="IQ824" s="73"/>
      <c r="IR824" s="73"/>
      <c r="IS824" s="73"/>
      <c r="IT824" s="73"/>
      <c r="IU824" s="73"/>
      <c r="IV824" s="73"/>
      <c r="IW824" s="73"/>
      <c r="IX824" s="73"/>
      <c r="IY824" s="73"/>
      <c r="IZ824" s="73"/>
      <c r="JA824" s="73"/>
      <c r="JB824" s="73"/>
      <c r="JC824" s="73"/>
    </row>
    <row r="825" spans="2:263" s="72" customFormat="1">
      <c r="B825" s="73"/>
      <c r="C825" s="73"/>
      <c r="D825" s="73"/>
      <c r="E825" s="73"/>
      <c r="F825" s="73"/>
      <c r="G825" s="73"/>
      <c r="H825" s="73"/>
      <c r="I825" s="73"/>
      <c r="J825" s="73"/>
      <c r="K825" s="73"/>
      <c r="L825" s="73"/>
      <c r="M825" s="73"/>
      <c r="N825" s="73"/>
      <c r="O825" s="73"/>
      <c r="P825" s="73"/>
      <c r="Q825" s="73"/>
      <c r="R825" s="73"/>
      <c r="S825" s="73"/>
      <c r="T825" s="73"/>
      <c r="U825" s="73"/>
      <c r="V825" s="73"/>
      <c r="W825" s="73"/>
      <c r="GL825" s="73"/>
      <c r="GM825" s="73"/>
      <c r="GN825" s="73"/>
      <c r="GO825" s="73"/>
      <c r="GP825" s="73"/>
      <c r="GQ825" s="73"/>
      <c r="GR825" s="73"/>
      <c r="GS825" s="73"/>
      <c r="GT825" s="73"/>
      <c r="GU825" s="73"/>
      <c r="GV825" s="73"/>
      <c r="GW825" s="73"/>
      <c r="GX825" s="73"/>
      <c r="GY825" s="73"/>
      <c r="GZ825" s="73"/>
      <c r="HA825" s="73"/>
      <c r="HB825" s="73"/>
      <c r="HC825" s="73"/>
      <c r="HD825" s="73"/>
      <c r="HE825" s="73"/>
      <c r="HF825" s="73"/>
      <c r="HG825" s="73"/>
      <c r="HH825" s="73"/>
      <c r="HI825" s="73"/>
      <c r="HJ825" s="73"/>
      <c r="HK825" s="73"/>
      <c r="HL825" s="73"/>
      <c r="HM825" s="73"/>
      <c r="HN825" s="73"/>
      <c r="HO825" s="73"/>
      <c r="HP825" s="73"/>
      <c r="HQ825" s="73"/>
      <c r="HR825" s="73"/>
      <c r="HS825" s="73"/>
      <c r="HT825" s="73"/>
      <c r="HU825" s="73"/>
      <c r="HV825" s="73"/>
      <c r="HW825" s="73"/>
      <c r="HX825" s="73"/>
      <c r="HY825" s="73"/>
      <c r="HZ825" s="73"/>
      <c r="IA825" s="73"/>
      <c r="IB825" s="73"/>
      <c r="IC825" s="73"/>
      <c r="ID825" s="73"/>
      <c r="IE825" s="73"/>
      <c r="IF825" s="73"/>
      <c r="IG825" s="73"/>
      <c r="IH825" s="73"/>
      <c r="II825" s="73"/>
      <c r="IJ825" s="73"/>
      <c r="IK825" s="73"/>
      <c r="IL825" s="73"/>
      <c r="IM825" s="73"/>
      <c r="IN825" s="73"/>
      <c r="IO825" s="73"/>
      <c r="IP825" s="73"/>
      <c r="IQ825" s="73"/>
      <c r="IR825" s="73"/>
      <c r="IS825" s="73"/>
      <c r="IT825" s="73"/>
      <c r="IU825" s="73"/>
      <c r="IV825" s="73"/>
      <c r="IW825" s="73"/>
      <c r="IX825" s="73"/>
      <c r="IY825" s="73"/>
      <c r="IZ825" s="73"/>
      <c r="JA825" s="73"/>
      <c r="JB825" s="73"/>
      <c r="JC825" s="73"/>
    </row>
    <row r="826" spans="2:263" s="72" customFormat="1">
      <c r="B826" s="73"/>
      <c r="C826" s="73"/>
      <c r="D826" s="73"/>
      <c r="E826" s="73"/>
      <c r="F826" s="73"/>
      <c r="G826" s="73"/>
      <c r="H826" s="73"/>
      <c r="I826" s="73"/>
      <c r="J826" s="73"/>
      <c r="K826" s="73"/>
      <c r="L826" s="73"/>
      <c r="M826" s="73"/>
      <c r="N826" s="73"/>
      <c r="O826" s="73"/>
      <c r="P826" s="73"/>
      <c r="Q826" s="73"/>
      <c r="R826" s="73"/>
      <c r="S826" s="73"/>
      <c r="T826" s="73"/>
      <c r="U826" s="73"/>
      <c r="V826" s="73"/>
      <c r="W826" s="73"/>
      <c r="GL826" s="73"/>
      <c r="GM826" s="73"/>
      <c r="GN826" s="73"/>
      <c r="GO826" s="73"/>
      <c r="GP826" s="73"/>
      <c r="GQ826" s="73"/>
      <c r="GR826" s="73"/>
      <c r="GS826" s="73"/>
      <c r="GT826" s="73"/>
      <c r="GU826" s="73"/>
      <c r="GV826" s="73"/>
      <c r="GW826" s="73"/>
      <c r="GX826" s="73"/>
      <c r="GY826" s="73"/>
      <c r="GZ826" s="73"/>
      <c r="HA826" s="73"/>
      <c r="HB826" s="73"/>
      <c r="HC826" s="73"/>
      <c r="HD826" s="73"/>
      <c r="HE826" s="73"/>
      <c r="HF826" s="73"/>
      <c r="HG826" s="73"/>
      <c r="HH826" s="73"/>
      <c r="HI826" s="73"/>
      <c r="HJ826" s="73"/>
      <c r="HK826" s="73"/>
      <c r="HL826" s="73"/>
      <c r="HM826" s="73"/>
      <c r="HN826" s="73"/>
      <c r="HO826" s="73"/>
      <c r="HP826" s="73"/>
      <c r="HQ826" s="73"/>
      <c r="HR826" s="73"/>
      <c r="HS826" s="73"/>
      <c r="HT826" s="73"/>
      <c r="HU826" s="73"/>
      <c r="HV826" s="73"/>
      <c r="HW826" s="73"/>
      <c r="HX826" s="73"/>
      <c r="HY826" s="73"/>
      <c r="HZ826" s="73"/>
      <c r="IA826" s="73"/>
      <c r="IB826" s="73"/>
      <c r="IC826" s="73"/>
      <c r="ID826" s="73"/>
      <c r="IE826" s="73"/>
      <c r="IF826" s="73"/>
      <c r="IG826" s="73"/>
      <c r="IH826" s="73"/>
      <c r="II826" s="73"/>
      <c r="IJ826" s="73"/>
      <c r="IK826" s="73"/>
      <c r="IL826" s="73"/>
      <c r="IM826" s="73"/>
      <c r="IN826" s="73"/>
      <c r="IO826" s="73"/>
      <c r="IP826" s="73"/>
      <c r="IQ826" s="73"/>
      <c r="IR826" s="73"/>
      <c r="IS826" s="73"/>
      <c r="IT826" s="73"/>
      <c r="IU826" s="73"/>
      <c r="IV826" s="73"/>
      <c r="IW826" s="73"/>
      <c r="IX826" s="73"/>
      <c r="IY826" s="73"/>
      <c r="IZ826" s="73"/>
      <c r="JA826" s="73"/>
      <c r="JB826" s="73"/>
      <c r="JC826" s="73"/>
    </row>
    <row r="827" spans="2:263" s="72" customFormat="1">
      <c r="B827" s="73"/>
      <c r="C827" s="73"/>
      <c r="D827" s="73"/>
      <c r="E827" s="73"/>
      <c r="F827" s="73"/>
      <c r="G827" s="73"/>
      <c r="H827" s="73"/>
      <c r="I827" s="73"/>
      <c r="J827" s="73"/>
      <c r="K827" s="73"/>
      <c r="L827" s="73"/>
      <c r="M827" s="73"/>
      <c r="N827" s="73"/>
      <c r="O827" s="73"/>
      <c r="P827" s="73"/>
      <c r="Q827" s="73"/>
      <c r="R827" s="73"/>
      <c r="S827" s="73"/>
      <c r="T827" s="73"/>
      <c r="U827" s="73"/>
      <c r="V827" s="73"/>
      <c r="W827" s="73"/>
      <c r="GL827" s="73"/>
      <c r="GM827" s="73"/>
      <c r="GN827" s="73"/>
      <c r="GO827" s="73"/>
      <c r="GP827" s="73"/>
      <c r="GQ827" s="73"/>
      <c r="GR827" s="73"/>
      <c r="GS827" s="73"/>
      <c r="GT827" s="73"/>
      <c r="GU827" s="73"/>
      <c r="GV827" s="73"/>
      <c r="GW827" s="73"/>
      <c r="GX827" s="73"/>
      <c r="GY827" s="73"/>
      <c r="GZ827" s="73"/>
      <c r="HA827" s="73"/>
      <c r="HB827" s="73"/>
      <c r="HC827" s="73"/>
      <c r="HD827" s="73"/>
      <c r="HE827" s="73"/>
      <c r="HF827" s="73"/>
      <c r="HG827" s="73"/>
      <c r="HH827" s="73"/>
      <c r="HI827" s="73"/>
      <c r="HJ827" s="73"/>
      <c r="HK827" s="73"/>
      <c r="HL827" s="73"/>
      <c r="HM827" s="73"/>
      <c r="HN827" s="73"/>
      <c r="HO827" s="73"/>
      <c r="HP827" s="73"/>
      <c r="HQ827" s="73"/>
      <c r="HR827" s="73"/>
      <c r="HS827" s="73"/>
      <c r="HT827" s="73"/>
      <c r="HU827" s="73"/>
      <c r="HV827" s="73"/>
      <c r="HW827" s="73"/>
      <c r="HX827" s="73"/>
      <c r="HY827" s="73"/>
      <c r="HZ827" s="73"/>
      <c r="IA827" s="73"/>
      <c r="IB827" s="73"/>
      <c r="IC827" s="73"/>
      <c r="ID827" s="73"/>
      <c r="IE827" s="73"/>
      <c r="IF827" s="73"/>
      <c r="IG827" s="73"/>
      <c r="IH827" s="73"/>
      <c r="II827" s="73"/>
      <c r="IJ827" s="73"/>
      <c r="IK827" s="73"/>
      <c r="IL827" s="73"/>
      <c r="IM827" s="73"/>
      <c r="IN827" s="73"/>
      <c r="IO827" s="73"/>
      <c r="IP827" s="73"/>
      <c r="IQ827" s="73"/>
      <c r="IR827" s="73"/>
      <c r="IS827" s="73"/>
      <c r="IT827" s="73"/>
      <c r="IU827" s="73"/>
      <c r="IV827" s="73"/>
      <c r="IW827" s="73"/>
      <c r="IX827" s="73"/>
      <c r="IY827" s="73"/>
      <c r="IZ827" s="73"/>
      <c r="JA827" s="73"/>
      <c r="JB827" s="73"/>
      <c r="JC827" s="73"/>
    </row>
    <row r="828" spans="2:263" s="72" customFormat="1">
      <c r="B828" s="73"/>
      <c r="C828" s="73"/>
      <c r="D828" s="73"/>
      <c r="E828" s="73"/>
      <c r="F828" s="73"/>
      <c r="G828" s="73"/>
      <c r="H828" s="73"/>
      <c r="I828" s="73"/>
      <c r="J828" s="73"/>
      <c r="K828" s="73"/>
      <c r="L828" s="73"/>
      <c r="M828" s="73"/>
      <c r="N828" s="73"/>
      <c r="O828" s="73"/>
      <c r="P828" s="73"/>
      <c r="Q828" s="73"/>
      <c r="R828" s="73"/>
      <c r="S828" s="73"/>
      <c r="T828" s="73"/>
      <c r="U828" s="73"/>
      <c r="V828" s="73"/>
      <c r="W828" s="73"/>
      <c r="GL828" s="73"/>
      <c r="GM828" s="73"/>
      <c r="GN828" s="73"/>
      <c r="GO828" s="73"/>
      <c r="GP828" s="73"/>
      <c r="GQ828" s="73"/>
      <c r="GR828" s="73"/>
      <c r="GS828" s="73"/>
      <c r="GT828" s="73"/>
      <c r="GU828" s="73"/>
      <c r="GV828" s="73"/>
      <c r="GW828" s="73"/>
      <c r="GX828" s="73"/>
      <c r="GY828" s="73"/>
      <c r="GZ828" s="73"/>
      <c r="HA828" s="73"/>
      <c r="HB828" s="73"/>
      <c r="HC828" s="73"/>
      <c r="HD828" s="73"/>
      <c r="HE828" s="73"/>
      <c r="HF828" s="73"/>
      <c r="HG828" s="73"/>
      <c r="HH828" s="73"/>
      <c r="HI828" s="73"/>
      <c r="HJ828" s="73"/>
      <c r="HK828" s="73"/>
      <c r="HL828" s="73"/>
      <c r="HM828" s="73"/>
      <c r="HN828" s="73"/>
      <c r="HO828" s="73"/>
      <c r="HP828" s="73"/>
      <c r="HQ828" s="73"/>
      <c r="HR828" s="73"/>
      <c r="HS828" s="73"/>
      <c r="HT828" s="73"/>
      <c r="HU828" s="73"/>
      <c r="HV828" s="73"/>
      <c r="HW828" s="73"/>
      <c r="HX828" s="73"/>
      <c r="HY828" s="73"/>
      <c r="HZ828" s="73"/>
      <c r="IA828" s="73"/>
      <c r="IB828" s="73"/>
      <c r="IC828" s="73"/>
      <c r="ID828" s="73"/>
      <c r="IE828" s="73"/>
      <c r="IF828" s="73"/>
      <c r="IG828" s="73"/>
      <c r="IH828" s="73"/>
      <c r="II828" s="73"/>
      <c r="IJ828" s="73"/>
      <c r="IK828" s="73"/>
      <c r="IL828" s="73"/>
      <c r="IM828" s="73"/>
      <c r="IN828" s="73"/>
      <c r="IO828" s="73"/>
      <c r="IP828" s="73"/>
      <c r="IQ828" s="73"/>
      <c r="IR828" s="73"/>
      <c r="IS828" s="73"/>
      <c r="IT828" s="73"/>
      <c r="IU828" s="73"/>
      <c r="IV828" s="73"/>
      <c r="IW828" s="73"/>
      <c r="IX828" s="73"/>
      <c r="IY828" s="73"/>
      <c r="IZ828" s="73"/>
      <c r="JA828" s="73"/>
      <c r="JB828" s="73"/>
      <c r="JC828" s="73"/>
    </row>
    <row r="829" spans="2:263" s="72" customFormat="1">
      <c r="B829" s="73"/>
      <c r="C829" s="73"/>
      <c r="D829" s="73"/>
      <c r="E829" s="73"/>
      <c r="F829" s="73"/>
      <c r="G829" s="73"/>
      <c r="H829" s="73"/>
      <c r="I829" s="73"/>
      <c r="J829" s="73"/>
      <c r="K829" s="73"/>
      <c r="L829" s="73"/>
      <c r="M829" s="73"/>
      <c r="N829" s="73"/>
      <c r="O829" s="73"/>
      <c r="P829" s="73"/>
      <c r="Q829" s="73"/>
      <c r="R829" s="73"/>
      <c r="S829" s="73"/>
      <c r="T829" s="73"/>
      <c r="U829" s="73"/>
      <c r="V829" s="73"/>
      <c r="W829" s="73"/>
      <c r="GL829" s="73"/>
      <c r="GM829" s="73"/>
      <c r="GN829" s="73"/>
      <c r="GO829" s="73"/>
      <c r="GP829" s="73"/>
      <c r="GQ829" s="73"/>
      <c r="GR829" s="73"/>
      <c r="GS829" s="73"/>
      <c r="GT829" s="73"/>
      <c r="GU829" s="73"/>
      <c r="GV829" s="73"/>
      <c r="GW829" s="73"/>
      <c r="GX829" s="73"/>
      <c r="GY829" s="73"/>
      <c r="GZ829" s="73"/>
      <c r="HA829" s="73"/>
      <c r="HB829" s="73"/>
      <c r="HC829" s="73"/>
      <c r="HD829" s="73"/>
      <c r="HE829" s="73"/>
      <c r="HF829" s="73"/>
      <c r="HG829" s="73"/>
      <c r="HH829" s="73"/>
      <c r="HI829" s="73"/>
      <c r="HJ829" s="73"/>
      <c r="HK829" s="73"/>
      <c r="HL829" s="73"/>
      <c r="HM829" s="73"/>
      <c r="HN829" s="73"/>
      <c r="HO829" s="73"/>
      <c r="HP829" s="73"/>
      <c r="HQ829" s="73"/>
      <c r="HR829" s="73"/>
      <c r="HS829" s="73"/>
      <c r="HT829" s="73"/>
      <c r="HU829" s="73"/>
      <c r="HV829" s="73"/>
      <c r="HW829" s="73"/>
      <c r="HX829" s="73"/>
      <c r="HY829" s="73"/>
      <c r="HZ829" s="73"/>
      <c r="IA829" s="73"/>
      <c r="IB829" s="73"/>
      <c r="IC829" s="73"/>
      <c r="ID829" s="73"/>
      <c r="IE829" s="73"/>
      <c r="IF829" s="73"/>
      <c r="IG829" s="73"/>
      <c r="IH829" s="73"/>
      <c r="II829" s="73"/>
      <c r="IJ829" s="73"/>
      <c r="IK829" s="73"/>
      <c r="IL829" s="73"/>
      <c r="IM829" s="73"/>
      <c r="IN829" s="73"/>
      <c r="IO829" s="73"/>
      <c r="IP829" s="73"/>
      <c r="IQ829" s="73"/>
      <c r="IR829" s="73"/>
      <c r="IS829" s="73"/>
      <c r="IT829" s="73"/>
      <c r="IU829" s="73"/>
      <c r="IV829" s="73"/>
      <c r="IW829" s="73"/>
      <c r="IX829" s="73"/>
      <c r="IY829" s="73"/>
      <c r="IZ829" s="73"/>
      <c r="JA829" s="73"/>
      <c r="JB829" s="73"/>
      <c r="JC829" s="73"/>
    </row>
    <row r="830" spans="2:263" s="72" customFormat="1">
      <c r="B830" s="73"/>
      <c r="C830" s="73"/>
      <c r="D830" s="73"/>
      <c r="E830" s="73"/>
      <c r="F830" s="73"/>
      <c r="G830" s="73"/>
      <c r="H830" s="73"/>
      <c r="I830" s="73"/>
      <c r="J830" s="73"/>
      <c r="K830" s="73"/>
      <c r="L830" s="73"/>
      <c r="M830" s="73"/>
      <c r="N830" s="73"/>
      <c r="O830" s="73"/>
      <c r="P830" s="73"/>
      <c r="Q830" s="73"/>
      <c r="R830" s="73"/>
      <c r="S830" s="73"/>
      <c r="T830" s="73"/>
      <c r="U830" s="73"/>
      <c r="V830" s="73"/>
      <c r="W830" s="73"/>
      <c r="GL830" s="73"/>
      <c r="GM830" s="73"/>
      <c r="GN830" s="73"/>
      <c r="GO830" s="73"/>
      <c r="GP830" s="73"/>
      <c r="GQ830" s="73"/>
      <c r="GR830" s="73"/>
      <c r="GS830" s="73"/>
      <c r="GT830" s="73"/>
      <c r="GU830" s="73"/>
      <c r="GV830" s="73"/>
      <c r="GW830" s="73"/>
      <c r="GX830" s="73"/>
      <c r="GY830" s="73"/>
      <c r="GZ830" s="73"/>
      <c r="HA830" s="73"/>
      <c r="HB830" s="73"/>
      <c r="HC830" s="73"/>
      <c r="HD830" s="73"/>
      <c r="HE830" s="73"/>
      <c r="HF830" s="73"/>
      <c r="HG830" s="73"/>
      <c r="HH830" s="73"/>
      <c r="HI830" s="73"/>
      <c r="HJ830" s="73"/>
      <c r="HK830" s="73"/>
      <c r="HL830" s="73"/>
      <c r="HM830" s="73"/>
      <c r="HN830" s="73"/>
      <c r="HO830" s="73"/>
      <c r="HP830" s="73"/>
      <c r="HQ830" s="73"/>
      <c r="HR830" s="73"/>
      <c r="HS830" s="73"/>
      <c r="HT830" s="73"/>
      <c r="HU830" s="73"/>
      <c r="HV830" s="73"/>
      <c r="HW830" s="73"/>
      <c r="HX830" s="73"/>
      <c r="HY830" s="73"/>
      <c r="HZ830" s="73"/>
      <c r="IA830" s="73"/>
      <c r="IB830" s="73"/>
      <c r="IC830" s="73"/>
      <c r="ID830" s="73"/>
      <c r="IE830" s="73"/>
      <c r="IF830" s="73"/>
      <c r="IG830" s="73"/>
      <c r="IH830" s="73"/>
      <c r="II830" s="73"/>
      <c r="IJ830" s="73"/>
      <c r="IK830" s="73"/>
      <c r="IL830" s="73"/>
      <c r="IM830" s="73"/>
      <c r="IN830" s="73"/>
      <c r="IO830" s="73"/>
      <c r="IP830" s="73"/>
      <c r="IQ830" s="73"/>
      <c r="IR830" s="73"/>
      <c r="IS830" s="73"/>
      <c r="IT830" s="73"/>
      <c r="IU830" s="73"/>
      <c r="IV830" s="73"/>
      <c r="IW830" s="73"/>
      <c r="IX830" s="73"/>
      <c r="IY830" s="73"/>
      <c r="IZ830" s="73"/>
      <c r="JA830" s="73"/>
      <c r="JB830" s="73"/>
      <c r="JC830" s="73"/>
    </row>
    <row r="831" spans="2:263" s="72" customFormat="1">
      <c r="B831" s="73"/>
      <c r="C831" s="73"/>
      <c r="D831" s="73"/>
      <c r="E831" s="73"/>
      <c r="F831" s="73"/>
      <c r="G831" s="73"/>
      <c r="H831" s="73"/>
      <c r="I831" s="73"/>
      <c r="J831" s="73"/>
      <c r="K831" s="73"/>
      <c r="L831" s="73"/>
      <c r="M831" s="73"/>
      <c r="N831" s="73"/>
      <c r="O831" s="73"/>
      <c r="P831" s="73"/>
      <c r="Q831" s="73"/>
      <c r="R831" s="73"/>
      <c r="S831" s="73"/>
      <c r="T831" s="73"/>
      <c r="U831" s="73"/>
      <c r="V831" s="73"/>
      <c r="W831" s="73"/>
      <c r="GL831" s="73"/>
      <c r="GM831" s="73"/>
      <c r="GN831" s="73"/>
      <c r="GO831" s="73"/>
      <c r="GP831" s="73"/>
      <c r="GQ831" s="73"/>
      <c r="GR831" s="73"/>
      <c r="GS831" s="73"/>
      <c r="GT831" s="73"/>
      <c r="GU831" s="73"/>
      <c r="GV831" s="73"/>
      <c r="GW831" s="73"/>
      <c r="GX831" s="73"/>
      <c r="GY831" s="73"/>
      <c r="GZ831" s="73"/>
      <c r="HA831" s="73"/>
      <c r="HB831" s="73"/>
      <c r="HC831" s="73"/>
      <c r="HD831" s="73"/>
      <c r="HE831" s="73"/>
      <c r="HF831" s="73"/>
      <c r="HG831" s="73"/>
      <c r="HH831" s="73"/>
      <c r="HI831" s="73"/>
      <c r="HJ831" s="73"/>
      <c r="HK831" s="73"/>
      <c r="HL831" s="73"/>
      <c r="HM831" s="73"/>
      <c r="HN831" s="73"/>
      <c r="HO831" s="73"/>
      <c r="HP831" s="73"/>
      <c r="HQ831" s="73"/>
      <c r="HR831" s="73"/>
      <c r="HS831" s="73"/>
      <c r="HT831" s="73"/>
      <c r="HU831" s="73"/>
      <c r="HV831" s="73"/>
      <c r="HW831" s="73"/>
      <c r="HX831" s="73"/>
      <c r="HY831" s="73"/>
      <c r="HZ831" s="73"/>
      <c r="IA831" s="73"/>
      <c r="IB831" s="73"/>
      <c r="IC831" s="73"/>
      <c r="ID831" s="73"/>
      <c r="IE831" s="73"/>
      <c r="IF831" s="73"/>
      <c r="IG831" s="73"/>
      <c r="IH831" s="73"/>
      <c r="II831" s="73"/>
      <c r="IJ831" s="73"/>
      <c r="IK831" s="73"/>
      <c r="IL831" s="73"/>
      <c r="IM831" s="73"/>
      <c r="IN831" s="73"/>
      <c r="IO831" s="73"/>
      <c r="IP831" s="73"/>
      <c r="IQ831" s="73"/>
      <c r="IR831" s="73"/>
      <c r="IS831" s="73"/>
      <c r="IT831" s="73"/>
      <c r="IU831" s="73"/>
      <c r="IV831" s="73"/>
      <c r="IW831" s="73"/>
      <c r="IX831" s="73"/>
      <c r="IY831" s="73"/>
      <c r="IZ831" s="73"/>
      <c r="JA831" s="73"/>
      <c r="JB831" s="73"/>
      <c r="JC831" s="73"/>
    </row>
    <row r="832" spans="2:263" s="72" customFormat="1">
      <c r="B832" s="73"/>
      <c r="C832" s="73"/>
      <c r="D832" s="73"/>
      <c r="E832" s="73"/>
      <c r="F832" s="73"/>
      <c r="G832" s="73"/>
      <c r="H832" s="73"/>
      <c r="I832" s="73"/>
      <c r="J832" s="73"/>
      <c r="K832" s="73"/>
      <c r="L832" s="73"/>
      <c r="M832" s="73"/>
      <c r="N832" s="73"/>
      <c r="O832" s="73"/>
      <c r="P832" s="73"/>
      <c r="Q832" s="73"/>
      <c r="R832" s="73"/>
      <c r="S832" s="73"/>
      <c r="T832" s="73"/>
      <c r="U832" s="73"/>
      <c r="V832" s="73"/>
      <c r="W832" s="73"/>
      <c r="GL832" s="73"/>
      <c r="GM832" s="73"/>
      <c r="GN832" s="73"/>
      <c r="GO832" s="73"/>
      <c r="GP832" s="73"/>
      <c r="GQ832" s="73"/>
      <c r="GR832" s="73"/>
      <c r="GS832" s="73"/>
      <c r="GT832" s="73"/>
      <c r="GU832" s="73"/>
      <c r="GV832" s="73"/>
      <c r="GW832" s="73"/>
      <c r="GX832" s="73"/>
      <c r="GY832" s="73"/>
      <c r="GZ832" s="73"/>
      <c r="HA832" s="73"/>
      <c r="HB832" s="73"/>
      <c r="HC832" s="73"/>
      <c r="HD832" s="73"/>
      <c r="HE832" s="73"/>
      <c r="HF832" s="73"/>
      <c r="HG832" s="73"/>
      <c r="HH832" s="73"/>
      <c r="HI832" s="73"/>
      <c r="HJ832" s="73"/>
      <c r="HK832" s="73"/>
      <c r="HL832" s="73"/>
      <c r="HM832" s="73"/>
      <c r="HN832" s="73"/>
      <c r="HO832" s="73"/>
      <c r="HP832" s="73"/>
      <c r="HQ832" s="73"/>
      <c r="HR832" s="73"/>
      <c r="HS832" s="73"/>
      <c r="HT832" s="73"/>
      <c r="HU832" s="73"/>
      <c r="HV832" s="73"/>
      <c r="HW832" s="73"/>
      <c r="HX832" s="73"/>
      <c r="HY832" s="73"/>
      <c r="HZ832" s="73"/>
      <c r="IA832" s="73"/>
      <c r="IB832" s="73"/>
      <c r="IC832" s="73"/>
      <c r="ID832" s="73"/>
      <c r="IE832" s="73"/>
      <c r="IF832" s="73"/>
      <c r="IG832" s="73"/>
      <c r="IH832" s="73"/>
      <c r="II832" s="73"/>
      <c r="IJ832" s="73"/>
      <c r="IK832" s="73"/>
      <c r="IL832" s="73"/>
      <c r="IM832" s="73"/>
      <c r="IN832" s="73"/>
      <c r="IO832" s="73"/>
      <c r="IP832" s="73"/>
      <c r="IQ832" s="73"/>
      <c r="IR832" s="73"/>
      <c r="IS832" s="73"/>
      <c r="IT832" s="73"/>
      <c r="IU832" s="73"/>
      <c r="IV832" s="73"/>
      <c r="IW832" s="73"/>
      <c r="IX832" s="73"/>
      <c r="IY832" s="73"/>
      <c r="IZ832" s="73"/>
      <c r="JA832" s="73"/>
      <c r="JB832" s="73"/>
      <c r="JC832" s="73"/>
    </row>
    <row r="833" spans="2:263" s="72" customFormat="1">
      <c r="B833" s="73"/>
      <c r="C833" s="73"/>
      <c r="D833" s="73"/>
      <c r="E833" s="73"/>
      <c r="F833" s="73"/>
      <c r="G833" s="73"/>
      <c r="H833" s="73"/>
      <c r="I833" s="73"/>
      <c r="J833" s="73"/>
      <c r="K833" s="73"/>
      <c r="L833" s="73"/>
      <c r="M833" s="73"/>
      <c r="N833" s="73"/>
      <c r="O833" s="73"/>
      <c r="P833" s="73"/>
      <c r="Q833" s="73"/>
      <c r="R833" s="73"/>
      <c r="S833" s="73"/>
      <c r="T833" s="73"/>
      <c r="U833" s="73"/>
      <c r="V833" s="73"/>
      <c r="W833" s="73"/>
      <c r="GL833" s="73"/>
      <c r="GM833" s="73"/>
      <c r="GN833" s="73"/>
      <c r="GO833" s="73"/>
      <c r="GP833" s="73"/>
      <c r="GQ833" s="73"/>
      <c r="GR833" s="73"/>
      <c r="GS833" s="73"/>
      <c r="GT833" s="73"/>
      <c r="GU833" s="73"/>
      <c r="GV833" s="73"/>
      <c r="GW833" s="73"/>
      <c r="GX833" s="73"/>
      <c r="GY833" s="73"/>
      <c r="GZ833" s="73"/>
      <c r="HA833" s="73"/>
      <c r="HB833" s="73"/>
      <c r="HC833" s="73"/>
      <c r="HD833" s="73"/>
      <c r="HE833" s="73"/>
      <c r="HF833" s="73"/>
      <c r="HG833" s="73"/>
      <c r="HH833" s="73"/>
      <c r="HI833" s="73"/>
      <c r="HJ833" s="73"/>
      <c r="HK833" s="73"/>
      <c r="HL833" s="73"/>
      <c r="HM833" s="73"/>
      <c r="HN833" s="73"/>
      <c r="HO833" s="73"/>
      <c r="HP833" s="73"/>
      <c r="HQ833" s="73"/>
      <c r="HR833" s="73"/>
      <c r="HS833" s="73"/>
      <c r="HT833" s="73"/>
      <c r="HU833" s="73"/>
      <c r="HV833" s="73"/>
      <c r="HW833" s="73"/>
      <c r="HX833" s="73"/>
      <c r="HY833" s="73"/>
      <c r="HZ833" s="73"/>
      <c r="IA833" s="73"/>
      <c r="IB833" s="73"/>
      <c r="IC833" s="73"/>
      <c r="ID833" s="73"/>
      <c r="IE833" s="73"/>
      <c r="IF833" s="73"/>
      <c r="IG833" s="73"/>
      <c r="IH833" s="73"/>
      <c r="II833" s="73"/>
      <c r="IJ833" s="73"/>
      <c r="IK833" s="73"/>
      <c r="IL833" s="73"/>
      <c r="IM833" s="73"/>
      <c r="IN833" s="73"/>
      <c r="IO833" s="73"/>
      <c r="IP833" s="73"/>
      <c r="IQ833" s="73"/>
      <c r="IR833" s="73"/>
      <c r="IS833" s="73"/>
      <c r="IT833" s="73"/>
      <c r="IU833" s="73"/>
      <c r="IV833" s="73"/>
      <c r="IW833" s="73"/>
      <c r="IX833" s="73"/>
      <c r="IY833" s="73"/>
      <c r="IZ833" s="73"/>
      <c r="JA833" s="73"/>
      <c r="JB833" s="73"/>
      <c r="JC833" s="73"/>
    </row>
    <row r="834" spans="2:263" s="72" customFormat="1">
      <c r="B834" s="73"/>
      <c r="C834" s="73"/>
      <c r="D834" s="73"/>
      <c r="E834" s="73"/>
      <c r="F834" s="73"/>
      <c r="G834" s="73"/>
      <c r="H834" s="73"/>
      <c r="I834" s="73"/>
      <c r="J834" s="73"/>
      <c r="K834" s="73"/>
      <c r="L834" s="73"/>
      <c r="M834" s="73"/>
      <c r="N834" s="73"/>
      <c r="O834" s="73"/>
      <c r="P834" s="73"/>
      <c r="Q834" s="73"/>
      <c r="R834" s="73"/>
      <c r="S834" s="73"/>
      <c r="T834" s="73"/>
      <c r="U834" s="73"/>
      <c r="V834" s="73"/>
      <c r="W834" s="73"/>
      <c r="GL834" s="73"/>
      <c r="GM834" s="73"/>
      <c r="GN834" s="73"/>
      <c r="GO834" s="73"/>
      <c r="GP834" s="73"/>
      <c r="GQ834" s="73"/>
      <c r="GR834" s="73"/>
      <c r="GS834" s="73"/>
      <c r="GT834" s="73"/>
      <c r="GU834" s="73"/>
      <c r="GV834" s="73"/>
      <c r="GW834" s="73"/>
      <c r="GX834" s="73"/>
      <c r="GY834" s="73"/>
      <c r="GZ834" s="73"/>
      <c r="HA834" s="73"/>
      <c r="HB834" s="73"/>
      <c r="HC834" s="73"/>
      <c r="HD834" s="73"/>
      <c r="HE834" s="73"/>
      <c r="HF834" s="73"/>
      <c r="HG834" s="73"/>
      <c r="HH834" s="73"/>
      <c r="HI834" s="73"/>
      <c r="HJ834" s="73"/>
      <c r="HK834" s="73"/>
      <c r="HL834" s="73"/>
      <c r="HM834" s="73"/>
      <c r="HN834" s="73"/>
      <c r="HO834" s="73"/>
      <c r="HP834" s="73"/>
      <c r="HQ834" s="73"/>
      <c r="HR834" s="73"/>
      <c r="HS834" s="73"/>
      <c r="HT834" s="73"/>
      <c r="HU834" s="73"/>
      <c r="HV834" s="73"/>
      <c r="HW834" s="73"/>
      <c r="HX834" s="73"/>
      <c r="HY834" s="73"/>
      <c r="HZ834" s="73"/>
      <c r="IA834" s="73"/>
      <c r="IB834" s="73"/>
      <c r="IC834" s="73"/>
      <c r="ID834" s="73"/>
      <c r="IE834" s="73"/>
      <c r="IF834" s="73"/>
      <c r="IG834" s="73"/>
      <c r="IH834" s="73"/>
      <c r="II834" s="73"/>
      <c r="IJ834" s="73"/>
      <c r="IK834" s="73"/>
      <c r="IL834" s="73"/>
      <c r="IM834" s="73"/>
      <c r="IN834" s="73"/>
      <c r="IO834" s="73"/>
      <c r="IP834" s="73"/>
      <c r="IQ834" s="73"/>
      <c r="IR834" s="73"/>
      <c r="IS834" s="73"/>
      <c r="IT834" s="73"/>
      <c r="IU834" s="73"/>
      <c r="IV834" s="73"/>
      <c r="IW834" s="73"/>
      <c r="IX834" s="73"/>
      <c r="IY834" s="73"/>
      <c r="IZ834" s="73"/>
      <c r="JA834" s="73"/>
      <c r="JB834" s="73"/>
      <c r="JC834" s="73"/>
    </row>
    <row r="835" spans="2:263" s="72" customFormat="1">
      <c r="B835" s="73"/>
      <c r="C835" s="73"/>
      <c r="D835" s="73"/>
      <c r="E835" s="73"/>
      <c r="F835" s="73"/>
      <c r="G835" s="73"/>
      <c r="H835" s="73"/>
      <c r="I835" s="73"/>
      <c r="J835" s="73"/>
      <c r="K835" s="73"/>
      <c r="L835" s="73"/>
      <c r="M835" s="73"/>
      <c r="N835" s="73"/>
      <c r="O835" s="73"/>
      <c r="P835" s="73"/>
      <c r="Q835" s="73"/>
      <c r="R835" s="73"/>
      <c r="S835" s="73"/>
      <c r="T835" s="73"/>
      <c r="U835" s="73"/>
      <c r="V835" s="73"/>
      <c r="W835" s="73"/>
      <c r="GL835" s="73"/>
      <c r="GM835" s="73"/>
      <c r="GN835" s="73"/>
      <c r="GO835" s="73"/>
      <c r="GP835" s="73"/>
      <c r="GQ835" s="73"/>
      <c r="GR835" s="73"/>
      <c r="GS835" s="73"/>
      <c r="GT835" s="73"/>
      <c r="GU835" s="73"/>
      <c r="GV835" s="73"/>
      <c r="GW835" s="73"/>
      <c r="GX835" s="73"/>
      <c r="GY835" s="73"/>
      <c r="GZ835" s="73"/>
      <c r="HA835" s="73"/>
      <c r="HB835" s="73"/>
      <c r="HC835" s="73"/>
      <c r="HD835" s="73"/>
      <c r="HE835" s="73"/>
      <c r="HF835" s="73"/>
      <c r="HG835" s="73"/>
      <c r="HH835" s="73"/>
      <c r="HI835" s="73"/>
      <c r="HJ835" s="73"/>
      <c r="HK835" s="73"/>
      <c r="HL835" s="73"/>
      <c r="HM835" s="73"/>
      <c r="HN835" s="73"/>
      <c r="HO835" s="73"/>
      <c r="HP835" s="73"/>
      <c r="HQ835" s="73"/>
      <c r="HR835" s="73"/>
      <c r="HS835" s="73"/>
      <c r="HT835" s="73"/>
      <c r="HU835" s="73"/>
      <c r="HV835" s="73"/>
      <c r="HW835" s="73"/>
      <c r="HX835" s="73"/>
      <c r="HY835" s="73"/>
      <c r="HZ835" s="73"/>
      <c r="IA835" s="73"/>
      <c r="IB835" s="73"/>
      <c r="IC835" s="73"/>
      <c r="ID835" s="73"/>
      <c r="IE835" s="73"/>
      <c r="IF835" s="73"/>
      <c r="IG835" s="73"/>
      <c r="IH835" s="73"/>
      <c r="II835" s="73"/>
      <c r="IJ835" s="73"/>
      <c r="IK835" s="73"/>
      <c r="IL835" s="73"/>
      <c r="IM835" s="73"/>
      <c r="IN835" s="73"/>
      <c r="IO835" s="73"/>
      <c r="IP835" s="73"/>
      <c r="IQ835" s="73"/>
      <c r="IR835" s="73"/>
      <c r="IS835" s="73"/>
      <c r="IT835" s="73"/>
      <c r="IU835" s="73"/>
      <c r="IV835" s="73"/>
      <c r="IW835" s="73"/>
      <c r="IX835" s="73"/>
      <c r="IY835" s="73"/>
      <c r="IZ835" s="73"/>
      <c r="JA835" s="73"/>
      <c r="JB835" s="73"/>
      <c r="JC835" s="73"/>
    </row>
    <row r="836" spans="2:263" s="72" customFormat="1">
      <c r="B836" s="73"/>
      <c r="C836" s="73"/>
      <c r="D836" s="73"/>
      <c r="E836" s="73"/>
      <c r="F836" s="73"/>
      <c r="G836" s="73"/>
      <c r="H836" s="73"/>
      <c r="I836" s="73"/>
      <c r="J836" s="73"/>
      <c r="K836" s="73"/>
      <c r="L836" s="73"/>
      <c r="M836" s="73"/>
      <c r="N836" s="73"/>
      <c r="O836" s="73"/>
      <c r="P836" s="73"/>
      <c r="Q836" s="73"/>
      <c r="R836" s="73"/>
      <c r="S836" s="73"/>
      <c r="T836" s="73"/>
      <c r="U836" s="73"/>
      <c r="V836" s="73"/>
      <c r="W836" s="73"/>
      <c r="GL836" s="73"/>
      <c r="GM836" s="73"/>
      <c r="GN836" s="73"/>
      <c r="GO836" s="73"/>
      <c r="GP836" s="73"/>
      <c r="GQ836" s="73"/>
      <c r="GR836" s="73"/>
      <c r="GS836" s="73"/>
      <c r="GT836" s="73"/>
      <c r="GU836" s="73"/>
      <c r="GV836" s="73"/>
      <c r="GW836" s="73"/>
      <c r="GX836" s="73"/>
      <c r="GY836" s="73"/>
      <c r="GZ836" s="73"/>
      <c r="HA836" s="73"/>
      <c r="HB836" s="73"/>
      <c r="HC836" s="73"/>
      <c r="HD836" s="73"/>
      <c r="HE836" s="73"/>
      <c r="HF836" s="73"/>
      <c r="HG836" s="73"/>
      <c r="HH836" s="73"/>
      <c r="HI836" s="73"/>
      <c r="HJ836" s="73"/>
      <c r="HK836" s="73"/>
      <c r="HL836" s="73"/>
      <c r="HM836" s="73"/>
      <c r="HN836" s="73"/>
      <c r="HO836" s="73"/>
      <c r="HP836" s="73"/>
      <c r="HQ836" s="73"/>
      <c r="HR836" s="73"/>
      <c r="HS836" s="73"/>
      <c r="HT836" s="73"/>
      <c r="HU836" s="73"/>
      <c r="HV836" s="73"/>
      <c r="HW836" s="73"/>
      <c r="HX836" s="73"/>
      <c r="HY836" s="73"/>
      <c r="HZ836" s="73"/>
      <c r="IA836" s="73"/>
      <c r="IB836" s="73"/>
      <c r="IC836" s="73"/>
      <c r="ID836" s="73"/>
      <c r="IE836" s="73"/>
      <c r="IF836" s="73"/>
      <c r="IG836" s="73"/>
      <c r="IH836" s="73"/>
      <c r="II836" s="73"/>
      <c r="IJ836" s="73"/>
      <c r="IK836" s="73"/>
      <c r="IL836" s="73"/>
      <c r="IM836" s="73"/>
      <c r="IN836" s="73"/>
      <c r="IO836" s="73"/>
      <c r="IP836" s="73"/>
      <c r="IQ836" s="73"/>
      <c r="IR836" s="73"/>
      <c r="IS836" s="73"/>
      <c r="IT836" s="73"/>
      <c r="IU836" s="73"/>
      <c r="IV836" s="73"/>
      <c r="IW836" s="73"/>
      <c r="IX836" s="73"/>
      <c r="IY836" s="73"/>
      <c r="IZ836" s="73"/>
      <c r="JA836" s="73"/>
      <c r="JB836" s="73"/>
      <c r="JC836" s="73"/>
    </row>
    <row r="837" spans="2:263" s="72" customFormat="1">
      <c r="B837" s="73"/>
      <c r="C837" s="73"/>
      <c r="D837" s="73"/>
      <c r="E837" s="73"/>
      <c r="F837" s="73"/>
      <c r="G837" s="73"/>
      <c r="H837" s="73"/>
      <c r="I837" s="73"/>
      <c r="J837" s="73"/>
      <c r="K837" s="73"/>
      <c r="L837" s="73"/>
      <c r="M837" s="73"/>
      <c r="N837" s="73"/>
      <c r="O837" s="73"/>
      <c r="P837" s="73"/>
      <c r="Q837" s="73"/>
      <c r="R837" s="73"/>
      <c r="S837" s="73"/>
      <c r="T837" s="73"/>
      <c r="U837" s="73"/>
      <c r="V837" s="73"/>
      <c r="W837" s="73"/>
      <c r="GL837" s="73"/>
      <c r="GM837" s="73"/>
      <c r="GN837" s="73"/>
      <c r="GO837" s="73"/>
      <c r="GP837" s="73"/>
      <c r="GQ837" s="73"/>
      <c r="GR837" s="73"/>
      <c r="GS837" s="73"/>
      <c r="GT837" s="73"/>
      <c r="GU837" s="73"/>
      <c r="GV837" s="73"/>
      <c r="GW837" s="73"/>
      <c r="GX837" s="73"/>
      <c r="GY837" s="73"/>
      <c r="GZ837" s="73"/>
      <c r="HA837" s="73"/>
      <c r="HB837" s="73"/>
      <c r="HC837" s="73"/>
      <c r="HD837" s="73"/>
      <c r="HE837" s="73"/>
      <c r="HF837" s="73"/>
      <c r="HG837" s="73"/>
      <c r="HH837" s="73"/>
      <c r="HI837" s="73"/>
      <c r="HJ837" s="73"/>
      <c r="HK837" s="73"/>
      <c r="HL837" s="73"/>
      <c r="HM837" s="73"/>
      <c r="HN837" s="73"/>
      <c r="HO837" s="73"/>
      <c r="HP837" s="73"/>
      <c r="HQ837" s="73"/>
      <c r="HR837" s="73"/>
      <c r="HS837" s="73"/>
      <c r="HT837" s="73"/>
      <c r="HU837" s="73"/>
      <c r="HV837" s="73"/>
      <c r="HW837" s="73"/>
      <c r="HX837" s="73"/>
      <c r="HY837" s="73"/>
      <c r="HZ837" s="73"/>
      <c r="IA837" s="73"/>
      <c r="IB837" s="73"/>
      <c r="IC837" s="73"/>
      <c r="ID837" s="73"/>
      <c r="IE837" s="73"/>
      <c r="IF837" s="73"/>
      <c r="IG837" s="73"/>
      <c r="IH837" s="73"/>
      <c r="II837" s="73"/>
      <c r="IJ837" s="73"/>
      <c r="IK837" s="73"/>
      <c r="IL837" s="73"/>
      <c r="IM837" s="73"/>
      <c r="IN837" s="73"/>
      <c r="IO837" s="73"/>
      <c r="IP837" s="73"/>
      <c r="IQ837" s="73"/>
      <c r="IR837" s="73"/>
      <c r="IS837" s="73"/>
      <c r="IT837" s="73"/>
      <c r="IU837" s="73"/>
      <c r="IV837" s="73"/>
      <c r="IW837" s="73"/>
      <c r="IX837" s="73"/>
      <c r="IY837" s="73"/>
      <c r="IZ837" s="73"/>
      <c r="JA837" s="73"/>
      <c r="JB837" s="73"/>
      <c r="JC837" s="73"/>
    </row>
    <row r="838" spans="2:263" s="72" customFormat="1">
      <c r="B838" s="73"/>
      <c r="C838" s="73"/>
      <c r="D838" s="73"/>
      <c r="E838" s="73"/>
      <c r="F838" s="73"/>
      <c r="G838" s="73"/>
      <c r="H838" s="73"/>
      <c r="I838" s="73"/>
      <c r="J838" s="73"/>
      <c r="K838" s="73"/>
      <c r="L838" s="73"/>
      <c r="M838" s="73"/>
      <c r="N838" s="73"/>
      <c r="O838" s="73"/>
      <c r="P838" s="73"/>
      <c r="Q838" s="73"/>
      <c r="R838" s="73"/>
      <c r="S838" s="73"/>
      <c r="T838" s="73"/>
      <c r="U838" s="73"/>
      <c r="V838" s="73"/>
      <c r="W838" s="73"/>
      <c r="GL838" s="73"/>
      <c r="GM838" s="73"/>
      <c r="GN838" s="73"/>
      <c r="GO838" s="73"/>
      <c r="GP838" s="73"/>
      <c r="GQ838" s="73"/>
      <c r="GR838" s="73"/>
      <c r="GS838" s="73"/>
      <c r="GT838" s="73"/>
      <c r="GU838" s="73"/>
      <c r="GV838" s="73"/>
      <c r="GW838" s="73"/>
      <c r="GX838" s="73"/>
      <c r="GY838" s="73"/>
      <c r="GZ838" s="73"/>
      <c r="HA838" s="73"/>
      <c r="HB838" s="73"/>
      <c r="HC838" s="73"/>
      <c r="HD838" s="73"/>
      <c r="HE838" s="73"/>
      <c r="HF838" s="73"/>
      <c r="HG838" s="73"/>
      <c r="HH838" s="73"/>
      <c r="HI838" s="73"/>
      <c r="HJ838" s="73"/>
      <c r="HK838" s="73"/>
      <c r="HL838" s="73"/>
      <c r="HM838" s="73"/>
      <c r="HN838" s="73"/>
      <c r="HO838" s="73"/>
      <c r="HP838" s="73"/>
      <c r="HQ838" s="73"/>
      <c r="HR838" s="73"/>
      <c r="HS838" s="73"/>
      <c r="HT838" s="73"/>
      <c r="HU838" s="73"/>
      <c r="HV838" s="73"/>
      <c r="HW838" s="73"/>
      <c r="HX838" s="73"/>
      <c r="HY838" s="73"/>
      <c r="HZ838" s="73"/>
      <c r="IA838" s="73"/>
      <c r="IB838" s="73"/>
      <c r="IC838" s="73"/>
      <c r="ID838" s="73"/>
      <c r="IE838" s="73"/>
      <c r="IF838" s="73"/>
      <c r="IG838" s="73"/>
      <c r="IH838" s="73"/>
      <c r="II838" s="73"/>
      <c r="IJ838" s="73"/>
      <c r="IK838" s="73"/>
      <c r="IL838" s="73"/>
      <c r="IM838" s="73"/>
      <c r="IN838" s="73"/>
      <c r="IO838" s="73"/>
      <c r="IP838" s="73"/>
      <c r="IQ838" s="73"/>
      <c r="IR838" s="73"/>
      <c r="IS838" s="73"/>
      <c r="IT838" s="73"/>
      <c r="IU838" s="73"/>
      <c r="IV838" s="73"/>
      <c r="IW838" s="73"/>
      <c r="IX838" s="73"/>
      <c r="IY838" s="73"/>
      <c r="IZ838" s="73"/>
      <c r="JA838" s="73"/>
      <c r="JB838" s="73"/>
      <c r="JC838" s="73"/>
    </row>
    <row r="839" spans="2:263" s="72" customFormat="1">
      <c r="B839" s="73"/>
      <c r="C839" s="73"/>
      <c r="D839" s="73"/>
      <c r="E839" s="73"/>
      <c r="F839" s="73"/>
      <c r="G839" s="73"/>
      <c r="H839" s="73"/>
      <c r="I839" s="73"/>
      <c r="J839" s="73"/>
      <c r="K839" s="73"/>
      <c r="L839" s="73"/>
      <c r="M839" s="73"/>
      <c r="N839" s="73"/>
      <c r="O839" s="73"/>
      <c r="P839" s="73"/>
      <c r="Q839" s="73"/>
      <c r="R839" s="73"/>
      <c r="S839" s="73"/>
      <c r="T839" s="73"/>
      <c r="U839" s="73"/>
      <c r="V839" s="73"/>
      <c r="W839" s="73"/>
      <c r="GL839" s="73"/>
      <c r="GM839" s="73"/>
      <c r="GN839" s="73"/>
      <c r="GO839" s="73"/>
      <c r="GP839" s="73"/>
      <c r="GQ839" s="73"/>
      <c r="GR839" s="73"/>
      <c r="GS839" s="73"/>
      <c r="GT839" s="73"/>
      <c r="GU839" s="73"/>
      <c r="GV839" s="73"/>
      <c r="GW839" s="73"/>
      <c r="GX839" s="73"/>
      <c r="GY839" s="73"/>
      <c r="GZ839" s="73"/>
      <c r="HA839" s="73"/>
      <c r="HB839" s="73"/>
      <c r="HC839" s="73"/>
      <c r="HD839" s="73"/>
      <c r="HE839" s="73"/>
      <c r="HF839" s="73"/>
      <c r="HG839" s="73"/>
      <c r="HH839" s="73"/>
      <c r="HI839" s="73"/>
      <c r="HJ839" s="73"/>
      <c r="HK839" s="73"/>
      <c r="HL839" s="73"/>
      <c r="HM839" s="73"/>
      <c r="HN839" s="73"/>
      <c r="HO839" s="73"/>
      <c r="HP839" s="73"/>
      <c r="HQ839" s="73"/>
      <c r="HR839" s="73"/>
      <c r="HS839" s="73"/>
      <c r="HT839" s="73"/>
      <c r="HU839" s="73"/>
      <c r="HV839" s="73"/>
      <c r="HW839" s="73"/>
      <c r="HX839" s="73"/>
      <c r="HY839" s="73"/>
      <c r="HZ839" s="73"/>
      <c r="IA839" s="73"/>
      <c r="IB839" s="73"/>
      <c r="IC839" s="73"/>
      <c r="ID839" s="73"/>
      <c r="IE839" s="73"/>
      <c r="IF839" s="73"/>
      <c r="IG839" s="73"/>
      <c r="IH839" s="73"/>
      <c r="II839" s="73"/>
      <c r="IJ839" s="73"/>
      <c r="IK839" s="73"/>
      <c r="IL839" s="73"/>
      <c r="IM839" s="73"/>
      <c r="IN839" s="73"/>
      <c r="IO839" s="73"/>
      <c r="IP839" s="73"/>
      <c r="IQ839" s="73"/>
      <c r="IR839" s="73"/>
      <c r="IS839" s="73"/>
      <c r="IT839" s="73"/>
      <c r="IU839" s="73"/>
      <c r="IV839" s="73"/>
      <c r="IW839" s="73"/>
      <c r="IX839" s="73"/>
      <c r="IY839" s="73"/>
      <c r="IZ839" s="73"/>
      <c r="JA839" s="73"/>
      <c r="JB839" s="73"/>
      <c r="JC839" s="73"/>
    </row>
    <row r="840" spans="2:263" s="72" customFormat="1">
      <c r="B840" s="73"/>
      <c r="C840" s="73"/>
      <c r="D840" s="73"/>
      <c r="E840" s="73"/>
      <c r="F840" s="73"/>
      <c r="G840" s="73"/>
      <c r="H840" s="73"/>
      <c r="I840" s="73"/>
      <c r="J840" s="73"/>
      <c r="K840" s="73"/>
      <c r="L840" s="73"/>
      <c r="M840" s="73"/>
      <c r="N840" s="73"/>
      <c r="O840" s="73"/>
      <c r="P840" s="73"/>
      <c r="Q840" s="73"/>
      <c r="R840" s="73"/>
      <c r="S840" s="73"/>
      <c r="T840" s="73"/>
      <c r="U840" s="73"/>
      <c r="V840" s="73"/>
      <c r="W840" s="73"/>
      <c r="GL840" s="73"/>
      <c r="GM840" s="73"/>
      <c r="GN840" s="73"/>
      <c r="GO840" s="73"/>
      <c r="GP840" s="73"/>
      <c r="GQ840" s="73"/>
      <c r="GR840" s="73"/>
      <c r="GS840" s="73"/>
      <c r="GT840" s="73"/>
      <c r="GU840" s="73"/>
      <c r="GV840" s="73"/>
      <c r="GW840" s="73"/>
      <c r="GX840" s="73"/>
      <c r="GY840" s="73"/>
      <c r="GZ840" s="73"/>
      <c r="HA840" s="73"/>
      <c r="HB840" s="73"/>
      <c r="HC840" s="73"/>
      <c r="HD840" s="73"/>
      <c r="HE840" s="73"/>
      <c r="HF840" s="73"/>
      <c r="HG840" s="73"/>
      <c r="HH840" s="73"/>
      <c r="HI840" s="73"/>
      <c r="HJ840" s="73"/>
      <c r="HK840" s="73"/>
      <c r="HL840" s="73"/>
      <c r="HM840" s="73"/>
      <c r="HN840" s="73"/>
      <c r="HO840" s="73"/>
      <c r="HP840" s="73"/>
      <c r="HQ840" s="73"/>
      <c r="HR840" s="73"/>
      <c r="HS840" s="73"/>
      <c r="HT840" s="73"/>
      <c r="HU840" s="73"/>
      <c r="HV840" s="73"/>
      <c r="HW840" s="73"/>
      <c r="HX840" s="73"/>
      <c r="HY840" s="73"/>
      <c r="HZ840" s="73"/>
      <c r="IA840" s="73"/>
      <c r="IB840" s="73"/>
      <c r="IC840" s="73"/>
      <c r="ID840" s="73"/>
      <c r="IE840" s="73"/>
      <c r="IF840" s="73"/>
      <c r="IG840" s="73"/>
      <c r="IH840" s="73"/>
      <c r="II840" s="73"/>
      <c r="IJ840" s="73"/>
      <c r="IK840" s="73"/>
      <c r="IL840" s="73"/>
      <c r="IM840" s="73"/>
      <c r="IN840" s="73"/>
      <c r="IO840" s="73"/>
      <c r="IP840" s="73"/>
      <c r="IQ840" s="73"/>
      <c r="IR840" s="73"/>
      <c r="IS840" s="73"/>
      <c r="IT840" s="73"/>
      <c r="IU840" s="73"/>
      <c r="IV840" s="73"/>
      <c r="IW840" s="73"/>
      <c r="IX840" s="73"/>
      <c r="IY840" s="73"/>
      <c r="IZ840" s="73"/>
      <c r="JA840" s="73"/>
      <c r="JB840" s="73"/>
      <c r="JC840" s="73"/>
    </row>
    <row r="841" spans="2:263" s="72" customFormat="1">
      <c r="B841" s="73"/>
      <c r="C841" s="73"/>
      <c r="D841" s="73"/>
      <c r="E841" s="73"/>
      <c r="F841" s="73"/>
      <c r="G841" s="73"/>
      <c r="H841" s="73"/>
      <c r="I841" s="73"/>
      <c r="J841" s="73"/>
      <c r="K841" s="73"/>
      <c r="L841" s="73"/>
      <c r="M841" s="73"/>
      <c r="N841" s="73"/>
      <c r="O841" s="73"/>
      <c r="P841" s="73"/>
      <c r="Q841" s="73"/>
      <c r="R841" s="73"/>
      <c r="S841" s="73"/>
      <c r="T841" s="73"/>
      <c r="U841" s="73"/>
      <c r="V841" s="73"/>
      <c r="W841" s="73"/>
      <c r="GL841" s="73"/>
      <c r="GM841" s="73"/>
      <c r="GN841" s="73"/>
      <c r="GO841" s="73"/>
      <c r="GP841" s="73"/>
      <c r="GQ841" s="73"/>
      <c r="GR841" s="73"/>
      <c r="GS841" s="73"/>
      <c r="GT841" s="73"/>
      <c r="GU841" s="73"/>
      <c r="GV841" s="73"/>
      <c r="GW841" s="73"/>
      <c r="GX841" s="73"/>
      <c r="GY841" s="73"/>
      <c r="GZ841" s="73"/>
      <c r="HA841" s="73"/>
      <c r="HB841" s="73"/>
      <c r="HC841" s="73"/>
      <c r="HD841" s="73"/>
      <c r="HE841" s="73"/>
      <c r="HF841" s="73"/>
      <c r="HG841" s="73"/>
      <c r="HH841" s="73"/>
      <c r="HI841" s="73"/>
      <c r="HJ841" s="73"/>
      <c r="HK841" s="73"/>
      <c r="HL841" s="73"/>
      <c r="HM841" s="73"/>
      <c r="HN841" s="73"/>
      <c r="HO841" s="73"/>
      <c r="HP841" s="73"/>
      <c r="HQ841" s="73"/>
      <c r="HR841" s="73"/>
      <c r="HS841" s="73"/>
      <c r="HT841" s="73"/>
      <c r="HU841" s="73"/>
      <c r="HV841" s="73"/>
      <c r="HW841" s="73"/>
      <c r="HX841" s="73"/>
      <c r="HY841" s="73"/>
      <c r="HZ841" s="73"/>
      <c r="IA841" s="73"/>
      <c r="IB841" s="73"/>
      <c r="IC841" s="73"/>
      <c r="ID841" s="73"/>
      <c r="IE841" s="73"/>
      <c r="IF841" s="73"/>
      <c r="IG841" s="73"/>
      <c r="IH841" s="73"/>
      <c r="II841" s="73"/>
      <c r="IJ841" s="73"/>
      <c r="IK841" s="73"/>
      <c r="IL841" s="73"/>
      <c r="IM841" s="73"/>
      <c r="IN841" s="73"/>
      <c r="IO841" s="73"/>
      <c r="IP841" s="73"/>
      <c r="IQ841" s="73"/>
      <c r="IR841" s="73"/>
      <c r="IS841" s="73"/>
      <c r="IT841" s="73"/>
      <c r="IU841" s="73"/>
      <c r="IV841" s="73"/>
      <c r="IW841" s="73"/>
      <c r="IX841" s="73"/>
      <c r="IY841" s="73"/>
      <c r="IZ841" s="73"/>
      <c r="JA841" s="73"/>
      <c r="JB841" s="73"/>
      <c r="JC841" s="73"/>
    </row>
    <row r="842" spans="2:263" s="72" customFormat="1">
      <c r="B842" s="73"/>
      <c r="C842" s="73"/>
      <c r="D842" s="73"/>
      <c r="E842" s="73"/>
      <c r="F842" s="73"/>
      <c r="G842" s="73"/>
      <c r="H842" s="73"/>
      <c r="I842" s="73"/>
      <c r="J842" s="73"/>
      <c r="K842" s="73"/>
      <c r="L842" s="73"/>
      <c r="M842" s="73"/>
      <c r="N842" s="73"/>
      <c r="O842" s="73"/>
      <c r="P842" s="73"/>
      <c r="Q842" s="73"/>
      <c r="R842" s="73"/>
      <c r="S842" s="73"/>
      <c r="T842" s="73"/>
      <c r="U842" s="73"/>
      <c r="V842" s="73"/>
      <c r="W842" s="73"/>
      <c r="GL842" s="73"/>
      <c r="GM842" s="73"/>
      <c r="GN842" s="73"/>
      <c r="GO842" s="73"/>
      <c r="GP842" s="73"/>
      <c r="GQ842" s="73"/>
      <c r="GR842" s="73"/>
      <c r="GS842" s="73"/>
      <c r="GT842" s="73"/>
      <c r="GU842" s="73"/>
      <c r="GV842" s="73"/>
      <c r="GW842" s="73"/>
      <c r="GX842" s="73"/>
      <c r="GY842" s="73"/>
      <c r="GZ842" s="73"/>
      <c r="HA842" s="73"/>
      <c r="HB842" s="73"/>
      <c r="HC842" s="73"/>
      <c r="HD842" s="73"/>
      <c r="HE842" s="73"/>
      <c r="HF842" s="73"/>
      <c r="HG842" s="73"/>
      <c r="HH842" s="73"/>
      <c r="HI842" s="73"/>
      <c r="HJ842" s="73"/>
      <c r="HK842" s="73"/>
      <c r="HL842" s="73"/>
      <c r="HM842" s="73"/>
      <c r="HN842" s="73"/>
      <c r="HO842" s="73"/>
      <c r="HP842" s="73"/>
      <c r="HQ842" s="73"/>
      <c r="HR842" s="73"/>
      <c r="HS842" s="73"/>
      <c r="HT842" s="73"/>
      <c r="HU842" s="73"/>
      <c r="HV842" s="73"/>
      <c r="HW842" s="73"/>
      <c r="HX842" s="73"/>
      <c r="HY842" s="73"/>
      <c r="HZ842" s="73"/>
      <c r="IA842" s="73"/>
      <c r="IB842" s="73"/>
      <c r="IC842" s="73"/>
      <c r="ID842" s="73"/>
      <c r="IE842" s="73"/>
      <c r="IF842" s="73"/>
      <c r="IG842" s="73"/>
      <c r="IH842" s="73"/>
      <c r="II842" s="73"/>
      <c r="IJ842" s="73"/>
      <c r="IK842" s="73"/>
      <c r="IL842" s="73"/>
      <c r="IM842" s="73"/>
      <c r="IN842" s="73"/>
      <c r="IO842" s="73"/>
      <c r="IP842" s="73"/>
      <c r="IQ842" s="73"/>
      <c r="IR842" s="73"/>
      <c r="IS842" s="73"/>
      <c r="IT842" s="73"/>
      <c r="IU842" s="73"/>
      <c r="IV842" s="73"/>
      <c r="IW842" s="73"/>
      <c r="IX842" s="73"/>
      <c r="IY842" s="73"/>
      <c r="IZ842" s="73"/>
      <c r="JA842" s="73"/>
      <c r="JB842" s="73"/>
      <c r="JC842" s="73"/>
    </row>
    <row r="843" spans="2:263" s="72" customFormat="1">
      <c r="B843" s="73"/>
      <c r="C843" s="73"/>
      <c r="D843" s="73"/>
      <c r="E843" s="73"/>
      <c r="F843" s="73"/>
      <c r="G843" s="73"/>
      <c r="H843" s="73"/>
      <c r="I843" s="73"/>
      <c r="J843" s="73"/>
      <c r="K843" s="73"/>
      <c r="L843" s="73"/>
      <c r="M843" s="73"/>
      <c r="N843" s="73"/>
      <c r="O843" s="73"/>
      <c r="P843" s="73"/>
      <c r="Q843" s="73"/>
      <c r="R843" s="73"/>
      <c r="S843" s="73"/>
      <c r="T843" s="73"/>
      <c r="U843" s="73"/>
      <c r="V843" s="73"/>
      <c r="W843" s="73"/>
      <c r="GL843" s="73"/>
      <c r="GM843" s="73"/>
      <c r="GN843" s="73"/>
      <c r="GO843" s="73"/>
      <c r="GP843" s="73"/>
      <c r="GQ843" s="73"/>
      <c r="GR843" s="73"/>
      <c r="GS843" s="73"/>
      <c r="GT843" s="73"/>
      <c r="GU843" s="73"/>
      <c r="GV843" s="73"/>
      <c r="GW843" s="73"/>
      <c r="GX843" s="73"/>
      <c r="GY843" s="73"/>
      <c r="GZ843" s="73"/>
      <c r="HA843" s="73"/>
      <c r="HB843" s="73"/>
      <c r="HC843" s="73"/>
      <c r="HD843" s="73"/>
      <c r="HE843" s="73"/>
      <c r="HF843" s="73"/>
      <c r="HG843" s="73"/>
      <c r="HH843" s="73"/>
      <c r="HI843" s="73"/>
      <c r="HJ843" s="73"/>
      <c r="HK843" s="73"/>
      <c r="HL843" s="73"/>
      <c r="HM843" s="73"/>
      <c r="HN843" s="73"/>
      <c r="HO843" s="73"/>
      <c r="HP843" s="73"/>
      <c r="HQ843" s="73"/>
      <c r="HR843" s="73"/>
      <c r="HS843" s="73"/>
      <c r="HT843" s="73"/>
      <c r="HU843" s="73"/>
      <c r="HV843" s="73"/>
      <c r="HW843" s="73"/>
      <c r="HX843" s="73"/>
      <c r="HY843" s="73"/>
      <c r="HZ843" s="73"/>
      <c r="IA843" s="73"/>
      <c r="IB843" s="73"/>
      <c r="IC843" s="73"/>
      <c r="ID843" s="73"/>
      <c r="IE843" s="73"/>
      <c r="IF843" s="73"/>
      <c r="IG843" s="73"/>
      <c r="IH843" s="73"/>
      <c r="II843" s="73"/>
      <c r="IJ843" s="73"/>
      <c r="IK843" s="73"/>
      <c r="IL843" s="73"/>
      <c r="IM843" s="73"/>
      <c r="IN843" s="73"/>
      <c r="IO843" s="73"/>
      <c r="IP843" s="73"/>
      <c r="IQ843" s="73"/>
      <c r="IR843" s="73"/>
      <c r="IS843" s="73"/>
      <c r="IT843" s="73"/>
      <c r="IU843" s="73"/>
      <c r="IV843" s="73"/>
      <c r="IW843" s="73"/>
      <c r="IX843" s="73"/>
      <c r="IY843" s="73"/>
      <c r="IZ843" s="73"/>
      <c r="JA843" s="73"/>
      <c r="JB843" s="73"/>
      <c r="JC843" s="73"/>
    </row>
    <row r="844" spans="2:263" s="72" customFormat="1">
      <c r="B844" s="73"/>
      <c r="C844" s="73"/>
      <c r="D844" s="73"/>
      <c r="E844" s="73"/>
      <c r="F844" s="73"/>
      <c r="G844" s="73"/>
      <c r="H844" s="73"/>
      <c r="I844" s="73"/>
      <c r="J844" s="73"/>
      <c r="K844" s="73"/>
      <c r="L844" s="73"/>
      <c r="M844" s="73"/>
      <c r="N844" s="73"/>
      <c r="O844" s="73"/>
      <c r="P844" s="73"/>
      <c r="Q844" s="73"/>
      <c r="R844" s="73"/>
      <c r="S844" s="73"/>
      <c r="T844" s="73"/>
      <c r="U844" s="73"/>
      <c r="V844" s="73"/>
      <c r="W844" s="73"/>
      <c r="GL844" s="73"/>
      <c r="GM844" s="73"/>
      <c r="GN844" s="73"/>
      <c r="GO844" s="73"/>
      <c r="GP844" s="73"/>
      <c r="GQ844" s="73"/>
      <c r="GR844" s="73"/>
      <c r="GS844" s="73"/>
      <c r="GT844" s="73"/>
      <c r="GU844" s="73"/>
      <c r="GV844" s="73"/>
      <c r="GW844" s="73"/>
      <c r="GX844" s="73"/>
      <c r="GY844" s="73"/>
      <c r="GZ844" s="73"/>
      <c r="HA844" s="73"/>
      <c r="HB844" s="73"/>
      <c r="HC844" s="73"/>
      <c r="HD844" s="73"/>
      <c r="HE844" s="73"/>
      <c r="HF844" s="73"/>
      <c r="HG844" s="73"/>
      <c r="HH844" s="73"/>
      <c r="HI844" s="73"/>
      <c r="HJ844" s="73"/>
      <c r="HK844" s="73"/>
      <c r="HL844" s="73"/>
      <c r="HM844" s="73"/>
      <c r="HN844" s="73"/>
      <c r="HO844" s="73"/>
      <c r="HP844" s="73"/>
      <c r="HQ844" s="73"/>
      <c r="HR844" s="73"/>
      <c r="HS844" s="73"/>
      <c r="HT844" s="73"/>
      <c r="HU844" s="73"/>
      <c r="HV844" s="73"/>
      <c r="HW844" s="73"/>
      <c r="HX844" s="73"/>
      <c r="HY844" s="73"/>
      <c r="HZ844" s="73"/>
      <c r="IA844" s="73"/>
      <c r="IB844" s="73"/>
      <c r="IC844" s="73"/>
      <c r="ID844" s="73"/>
      <c r="IE844" s="73"/>
      <c r="IF844" s="73"/>
      <c r="IG844" s="73"/>
      <c r="IH844" s="73"/>
      <c r="II844" s="73"/>
      <c r="IJ844" s="73"/>
      <c r="IK844" s="73"/>
      <c r="IL844" s="73"/>
      <c r="IM844" s="73"/>
      <c r="IN844" s="73"/>
      <c r="IO844" s="73"/>
      <c r="IP844" s="73"/>
      <c r="IQ844" s="73"/>
      <c r="IR844" s="73"/>
      <c r="IS844" s="73"/>
      <c r="IT844" s="73"/>
      <c r="IU844" s="73"/>
      <c r="IV844" s="73"/>
      <c r="IW844" s="73"/>
      <c r="IX844" s="73"/>
      <c r="IY844" s="73"/>
      <c r="IZ844" s="73"/>
      <c r="JA844" s="73"/>
      <c r="JB844" s="73"/>
      <c r="JC844" s="73"/>
    </row>
    <row r="845" spans="2:263" s="72" customFormat="1">
      <c r="B845" s="73"/>
      <c r="C845" s="73"/>
      <c r="D845" s="73"/>
      <c r="E845" s="73"/>
      <c r="F845" s="73"/>
      <c r="G845" s="73"/>
      <c r="H845" s="73"/>
      <c r="I845" s="73"/>
      <c r="J845" s="73"/>
      <c r="K845" s="73"/>
      <c r="L845" s="73"/>
      <c r="M845" s="73"/>
      <c r="N845" s="73"/>
      <c r="O845" s="73"/>
      <c r="P845" s="73"/>
      <c r="Q845" s="73"/>
      <c r="R845" s="73"/>
      <c r="S845" s="73"/>
      <c r="T845" s="73"/>
      <c r="U845" s="73"/>
      <c r="V845" s="73"/>
      <c r="W845" s="73"/>
      <c r="GL845" s="73"/>
      <c r="GM845" s="73"/>
      <c r="GN845" s="73"/>
      <c r="GO845" s="73"/>
      <c r="GP845" s="73"/>
      <c r="GQ845" s="73"/>
      <c r="GR845" s="73"/>
      <c r="GS845" s="73"/>
      <c r="GT845" s="73"/>
      <c r="GU845" s="73"/>
      <c r="GV845" s="73"/>
      <c r="GW845" s="73"/>
      <c r="GX845" s="73"/>
      <c r="GY845" s="73"/>
      <c r="GZ845" s="73"/>
      <c r="HA845" s="73"/>
      <c r="HB845" s="73"/>
      <c r="HC845" s="73"/>
      <c r="HD845" s="73"/>
      <c r="HE845" s="73"/>
      <c r="HF845" s="73"/>
      <c r="HG845" s="73"/>
      <c r="HH845" s="73"/>
      <c r="HI845" s="73"/>
      <c r="HJ845" s="73"/>
      <c r="HK845" s="73"/>
      <c r="HL845" s="73"/>
      <c r="HM845" s="73"/>
      <c r="HN845" s="73"/>
      <c r="HO845" s="73"/>
      <c r="HP845" s="73"/>
      <c r="HQ845" s="73"/>
      <c r="HR845" s="73"/>
      <c r="HS845" s="73"/>
      <c r="HT845" s="73"/>
      <c r="HU845" s="73"/>
      <c r="HV845" s="73"/>
      <c r="HW845" s="73"/>
      <c r="HX845" s="73"/>
      <c r="HY845" s="73"/>
      <c r="HZ845" s="73"/>
      <c r="IA845" s="73"/>
      <c r="IB845" s="73"/>
      <c r="IC845" s="73"/>
      <c r="ID845" s="73"/>
      <c r="IE845" s="73"/>
      <c r="IF845" s="73"/>
      <c r="IG845" s="73"/>
      <c r="IH845" s="73"/>
      <c r="II845" s="73"/>
      <c r="IJ845" s="73"/>
      <c r="IK845" s="73"/>
      <c r="IL845" s="73"/>
      <c r="IM845" s="73"/>
      <c r="IN845" s="73"/>
      <c r="IO845" s="73"/>
      <c r="IP845" s="73"/>
      <c r="IQ845" s="73"/>
      <c r="IR845" s="73"/>
      <c r="IS845" s="73"/>
      <c r="IT845" s="73"/>
      <c r="IU845" s="73"/>
      <c r="IV845" s="73"/>
      <c r="IW845" s="73"/>
      <c r="IX845" s="73"/>
      <c r="IY845" s="73"/>
      <c r="IZ845" s="73"/>
      <c r="JA845" s="73"/>
      <c r="JB845" s="73"/>
      <c r="JC845" s="73"/>
    </row>
    <row r="846" spans="2:263" s="72" customFormat="1">
      <c r="B846" s="73"/>
      <c r="C846" s="73"/>
      <c r="D846" s="73"/>
      <c r="E846" s="73"/>
      <c r="F846" s="73"/>
      <c r="G846" s="73"/>
      <c r="H846" s="73"/>
      <c r="I846" s="73"/>
      <c r="J846" s="73"/>
      <c r="K846" s="73"/>
      <c r="L846" s="73"/>
      <c r="M846" s="73"/>
      <c r="N846" s="73"/>
      <c r="O846" s="73"/>
      <c r="P846" s="73"/>
      <c r="Q846" s="73"/>
      <c r="R846" s="73"/>
      <c r="S846" s="73"/>
      <c r="T846" s="73"/>
      <c r="U846" s="73"/>
      <c r="V846" s="73"/>
      <c r="W846" s="73"/>
      <c r="GL846" s="73"/>
      <c r="GM846" s="73"/>
      <c r="GN846" s="73"/>
      <c r="GO846" s="73"/>
      <c r="GP846" s="73"/>
      <c r="GQ846" s="73"/>
      <c r="GR846" s="73"/>
      <c r="GS846" s="73"/>
      <c r="GT846" s="73"/>
      <c r="GU846" s="73"/>
      <c r="GV846" s="73"/>
      <c r="GW846" s="73"/>
      <c r="GX846" s="73"/>
      <c r="GY846" s="73"/>
      <c r="GZ846" s="73"/>
      <c r="HA846" s="73"/>
      <c r="HB846" s="73"/>
      <c r="HC846" s="73"/>
      <c r="HD846" s="73"/>
      <c r="HE846" s="73"/>
      <c r="HF846" s="73"/>
      <c r="HG846" s="73"/>
      <c r="HH846" s="73"/>
      <c r="HI846" s="73"/>
      <c r="HJ846" s="73"/>
      <c r="HK846" s="73"/>
      <c r="HL846" s="73"/>
      <c r="HM846" s="73"/>
      <c r="HN846" s="73"/>
      <c r="HO846" s="73"/>
      <c r="HP846" s="73"/>
      <c r="HQ846" s="73"/>
      <c r="HR846" s="73"/>
      <c r="HS846" s="73"/>
      <c r="HT846" s="73"/>
      <c r="HU846" s="73"/>
      <c r="HV846" s="73"/>
      <c r="HW846" s="73"/>
      <c r="HX846" s="73"/>
      <c r="HY846" s="73"/>
      <c r="HZ846" s="73"/>
      <c r="IA846" s="73"/>
      <c r="IB846" s="73"/>
      <c r="IC846" s="73"/>
      <c r="ID846" s="73"/>
      <c r="IE846" s="73"/>
      <c r="IF846" s="73"/>
      <c r="IG846" s="73"/>
      <c r="IH846" s="73"/>
      <c r="II846" s="73"/>
      <c r="IJ846" s="73"/>
      <c r="IK846" s="73"/>
      <c r="IL846" s="73"/>
      <c r="IM846" s="73"/>
      <c r="IN846" s="73"/>
      <c r="IO846" s="73"/>
      <c r="IP846" s="73"/>
      <c r="IQ846" s="73"/>
      <c r="IR846" s="73"/>
      <c r="IS846" s="73"/>
      <c r="IT846" s="73"/>
      <c r="IU846" s="73"/>
      <c r="IV846" s="73"/>
      <c r="IW846" s="73"/>
      <c r="IX846" s="73"/>
      <c r="IY846" s="73"/>
      <c r="IZ846" s="73"/>
      <c r="JA846" s="73"/>
      <c r="JB846" s="73"/>
      <c r="JC846" s="73"/>
    </row>
    <row r="847" spans="2:263" s="72" customFormat="1">
      <c r="B847" s="73"/>
      <c r="C847" s="73"/>
      <c r="D847" s="73"/>
      <c r="E847" s="73"/>
      <c r="F847" s="73"/>
      <c r="G847" s="73"/>
      <c r="H847" s="73"/>
      <c r="I847" s="73"/>
      <c r="J847" s="73"/>
      <c r="K847" s="73"/>
      <c r="L847" s="73"/>
      <c r="M847" s="73"/>
      <c r="N847" s="73"/>
      <c r="O847" s="73"/>
      <c r="P847" s="73"/>
      <c r="Q847" s="73"/>
      <c r="R847" s="73"/>
      <c r="S847" s="73"/>
      <c r="T847" s="73"/>
      <c r="U847" s="73"/>
      <c r="V847" s="73"/>
      <c r="W847" s="73"/>
      <c r="GL847" s="73"/>
      <c r="GM847" s="73"/>
      <c r="GN847" s="73"/>
      <c r="GO847" s="73"/>
      <c r="GP847" s="73"/>
      <c r="GQ847" s="73"/>
      <c r="GR847" s="73"/>
      <c r="GS847" s="73"/>
      <c r="GT847" s="73"/>
      <c r="GU847" s="73"/>
      <c r="GV847" s="73"/>
      <c r="GW847" s="73"/>
      <c r="GX847" s="73"/>
      <c r="GY847" s="73"/>
      <c r="GZ847" s="73"/>
      <c r="HA847" s="73"/>
      <c r="HB847" s="73"/>
      <c r="HC847" s="73"/>
      <c r="HD847" s="73"/>
      <c r="HE847" s="73"/>
      <c r="HF847" s="73"/>
      <c r="HG847" s="73"/>
      <c r="HH847" s="73"/>
      <c r="HI847" s="73"/>
      <c r="HJ847" s="73"/>
      <c r="HK847" s="73"/>
      <c r="HL847" s="73"/>
      <c r="HM847" s="73"/>
      <c r="HN847" s="73"/>
      <c r="HO847" s="73"/>
      <c r="HP847" s="73"/>
      <c r="HQ847" s="73"/>
      <c r="HR847" s="73"/>
      <c r="HS847" s="73"/>
      <c r="HT847" s="73"/>
      <c r="HU847" s="73"/>
      <c r="HV847" s="73"/>
      <c r="HW847" s="73"/>
      <c r="HX847" s="73"/>
      <c r="HY847" s="73"/>
      <c r="HZ847" s="73"/>
      <c r="IA847" s="73"/>
      <c r="IB847" s="73"/>
      <c r="IC847" s="73"/>
      <c r="ID847" s="73"/>
      <c r="IE847" s="73"/>
      <c r="IF847" s="73"/>
      <c r="IG847" s="73"/>
      <c r="IH847" s="73"/>
      <c r="II847" s="73"/>
      <c r="IJ847" s="73"/>
      <c r="IK847" s="73"/>
      <c r="IL847" s="73"/>
      <c r="IM847" s="73"/>
      <c r="IN847" s="73"/>
      <c r="IO847" s="73"/>
      <c r="IP847" s="73"/>
      <c r="IQ847" s="73"/>
      <c r="IR847" s="73"/>
      <c r="IS847" s="73"/>
      <c r="IT847" s="73"/>
      <c r="IU847" s="73"/>
      <c r="IV847" s="73"/>
      <c r="IW847" s="73"/>
      <c r="IX847" s="73"/>
      <c r="IY847" s="73"/>
      <c r="IZ847" s="73"/>
      <c r="JA847" s="73"/>
      <c r="JB847" s="73"/>
      <c r="JC847" s="73"/>
    </row>
    <row r="848" spans="2:263" s="72" customFormat="1">
      <c r="B848" s="73"/>
      <c r="C848" s="73"/>
      <c r="D848" s="73"/>
      <c r="E848" s="73"/>
      <c r="F848" s="73"/>
      <c r="G848" s="73"/>
      <c r="H848" s="73"/>
      <c r="I848" s="73"/>
      <c r="J848" s="73"/>
      <c r="K848" s="73"/>
      <c r="L848" s="73"/>
      <c r="M848" s="73"/>
      <c r="N848" s="73"/>
      <c r="O848" s="73"/>
      <c r="P848" s="73"/>
      <c r="Q848" s="73"/>
      <c r="R848" s="73"/>
      <c r="S848" s="73"/>
      <c r="T848" s="73"/>
      <c r="U848" s="73"/>
      <c r="V848" s="73"/>
      <c r="W848" s="73"/>
      <c r="GL848" s="73"/>
      <c r="GM848" s="73"/>
      <c r="GN848" s="73"/>
      <c r="GO848" s="73"/>
      <c r="GP848" s="73"/>
      <c r="GQ848" s="73"/>
      <c r="GR848" s="73"/>
      <c r="GS848" s="73"/>
      <c r="GT848" s="73"/>
      <c r="GU848" s="73"/>
      <c r="GV848" s="73"/>
      <c r="GW848" s="73"/>
      <c r="GX848" s="73"/>
      <c r="GY848" s="73"/>
      <c r="GZ848" s="73"/>
      <c r="HA848" s="73"/>
      <c r="HB848" s="73"/>
      <c r="HC848" s="73"/>
      <c r="HD848" s="73"/>
      <c r="HE848" s="73"/>
      <c r="HF848" s="73"/>
      <c r="HG848" s="73"/>
      <c r="HH848" s="73"/>
      <c r="HI848" s="73"/>
      <c r="HJ848" s="73"/>
      <c r="HK848" s="73"/>
      <c r="HL848" s="73"/>
      <c r="HM848" s="73"/>
      <c r="HN848" s="73"/>
      <c r="HO848" s="73"/>
      <c r="HP848" s="73"/>
      <c r="HQ848" s="73"/>
      <c r="HR848" s="73"/>
      <c r="HS848" s="73"/>
      <c r="HT848" s="73"/>
      <c r="HU848" s="73"/>
      <c r="HV848" s="73"/>
      <c r="HW848" s="73"/>
      <c r="HX848" s="73"/>
      <c r="HY848" s="73"/>
      <c r="HZ848" s="73"/>
      <c r="IA848" s="73"/>
      <c r="IB848" s="73"/>
      <c r="IC848" s="73"/>
      <c r="ID848" s="73"/>
      <c r="IE848" s="73"/>
      <c r="IF848" s="73"/>
      <c r="IG848" s="73"/>
      <c r="IH848" s="73"/>
      <c r="II848" s="73"/>
      <c r="IJ848" s="73"/>
      <c r="IK848" s="73"/>
      <c r="IL848" s="73"/>
      <c r="IM848" s="73"/>
      <c r="IN848" s="73"/>
      <c r="IO848" s="73"/>
      <c r="IP848" s="73"/>
      <c r="IQ848" s="73"/>
      <c r="IR848" s="73"/>
      <c r="IS848" s="73"/>
      <c r="IT848" s="73"/>
      <c r="IU848" s="73"/>
      <c r="IV848" s="73"/>
      <c r="IW848" s="73"/>
      <c r="IX848" s="73"/>
      <c r="IY848" s="73"/>
      <c r="IZ848" s="73"/>
      <c r="JA848" s="73"/>
      <c r="JB848" s="73"/>
      <c r="JC848" s="73"/>
    </row>
    <row r="849" spans="2:263" s="72" customFormat="1">
      <c r="B849" s="73"/>
      <c r="C849" s="73"/>
      <c r="D849" s="73"/>
      <c r="E849" s="73"/>
      <c r="F849" s="73"/>
      <c r="G849" s="73"/>
      <c r="H849" s="73"/>
      <c r="I849" s="73"/>
      <c r="J849" s="73"/>
      <c r="K849" s="73"/>
      <c r="L849" s="73"/>
      <c r="M849" s="73"/>
      <c r="N849" s="73"/>
      <c r="O849" s="73"/>
      <c r="P849" s="73"/>
      <c r="Q849" s="73"/>
      <c r="R849" s="73"/>
      <c r="S849" s="73"/>
      <c r="T849" s="73"/>
      <c r="U849" s="73"/>
      <c r="V849" s="73"/>
      <c r="W849" s="73"/>
      <c r="GL849" s="73"/>
      <c r="GM849" s="73"/>
      <c r="GN849" s="73"/>
      <c r="GO849" s="73"/>
      <c r="GP849" s="73"/>
      <c r="GQ849" s="73"/>
      <c r="GR849" s="73"/>
      <c r="GS849" s="73"/>
      <c r="GT849" s="73"/>
      <c r="GU849" s="73"/>
      <c r="GV849" s="73"/>
      <c r="GW849" s="73"/>
      <c r="GX849" s="73"/>
      <c r="GY849" s="73"/>
      <c r="GZ849" s="73"/>
      <c r="HA849" s="73"/>
      <c r="HB849" s="73"/>
      <c r="HC849" s="73"/>
      <c r="HD849" s="73"/>
      <c r="HE849" s="73"/>
      <c r="HF849" s="73"/>
      <c r="HG849" s="73"/>
      <c r="HH849" s="73"/>
      <c r="HI849" s="73"/>
      <c r="HJ849" s="73"/>
      <c r="HK849" s="73"/>
      <c r="HL849" s="73"/>
      <c r="HM849" s="73"/>
      <c r="HN849" s="73"/>
      <c r="HO849" s="73"/>
      <c r="HP849" s="73"/>
      <c r="HQ849" s="73"/>
      <c r="HR849" s="73"/>
      <c r="HS849" s="73"/>
      <c r="HT849" s="73"/>
      <c r="HU849" s="73"/>
      <c r="HV849" s="73"/>
      <c r="HW849" s="73"/>
      <c r="HX849" s="73"/>
      <c r="HY849" s="73"/>
      <c r="HZ849" s="73"/>
      <c r="IA849" s="73"/>
      <c r="IB849" s="73"/>
      <c r="IC849" s="73"/>
      <c r="ID849" s="73"/>
      <c r="IE849" s="73"/>
      <c r="IF849" s="73"/>
      <c r="IG849" s="73"/>
      <c r="IH849" s="73"/>
      <c r="II849" s="73"/>
      <c r="IJ849" s="73"/>
      <c r="IK849" s="73"/>
      <c r="IL849" s="73"/>
      <c r="IM849" s="73"/>
      <c r="IN849" s="73"/>
      <c r="IO849" s="73"/>
      <c r="IP849" s="73"/>
      <c r="IQ849" s="73"/>
      <c r="IR849" s="73"/>
      <c r="IS849" s="73"/>
      <c r="IT849" s="73"/>
      <c r="IU849" s="73"/>
      <c r="IV849" s="73"/>
      <c r="IW849" s="73"/>
      <c r="IX849" s="73"/>
      <c r="IY849" s="73"/>
      <c r="IZ849" s="73"/>
      <c r="JA849" s="73"/>
      <c r="JB849" s="73"/>
      <c r="JC849" s="73"/>
    </row>
    <row r="850" spans="2:263" s="72" customFormat="1">
      <c r="B850" s="73"/>
      <c r="C850" s="73"/>
      <c r="D850" s="73"/>
      <c r="E850" s="73"/>
      <c r="F850" s="73"/>
      <c r="G850" s="73"/>
      <c r="H850" s="73"/>
      <c r="I850" s="73"/>
      <c r="J850" s="73"/>
      <c r="K850" s="73"/>
      <c r="L850" s="73"/>
      <c r="M850" s="73"/>
      <c r="N850" s="73"/>
      <c r="O850" s="73"/>
      <c r="P850" s="73"/>
      <c r="Q850" s="73"/>
      <c r="R850" s="73"/>
      <c r="S850" s="73"/>
      <c r="T850" s="73"/>
      <c r="U850" s="73"/>
      <c r="V850" s="73"/>
      <c r="W850" s="73"/>
      <c r="GL850" s="73"/>
      <c r="GM850" s="73"/>
      <c r="GN850" s="73"/>
      <c r="GO850" s="73"/>
      <c r="GP850" s="73"/>
      <c r="GQ850" s="73"/>
      <c r="GR850" s="73"/>
      <c r="GS850" s="73"/>
      <c r="GT850" s="73"/>
      <c r="GU850" s="73"/>
      <c r="GV850" s="73"/>
      <c r="GW850" s="73"/>
      <c r="GX850" s="73"/>
      <c r="GY850" s="73"/>
      <c r="GZ850" s="73"/>
      <c r="HA850" s="73"/>
      <c r="HB850" s="73"/>
      <c r="HC850" s="73"/>
      <c r="HD850" s="73"/>
      <c r="HE850" s="73"/>
      <c r="HF850" s="73"/>
      <c r="HG850" s="73"/>
      <c r="HH850" s="73"/>
      <c r="HI850" s="73"/>
      <c r="HJ850" s="73"/>
      <c r="HK850" s="73"/>
      <c r="HL850" s="73"/>
      <c r="HM850" s="73"/>
      <c r="HN850" s="73"/>
      <c r="HO850" s="73"/>
      <c r="HP850" s="73"/>
      <c r="HQ850" s="73"/>
      <c r="HR850" s="73"/>
      <c r="HS850" s="73"/>
      <c r="HT850" s="73"/>
      <c r="HU850" s="73"/>
      <c r="HV850" s="73"/>
      <c r="HW850" s="73"/>
      <c r="HX850" s="73"/>
      <c r="HY850" s="73"/>
      <c r="HZ850" s="73"/>
      <c r="IA850" s="73"/>
      <c r="IB850" s="73"/>
      <c r="IC850" s="73"/>
      <c r="ID850" s="73"/>
      <c r="IE850" s="73"/>
      <c r="IF850" s="73"/>
      <c r="IG850" s="73"/>
      <c r="IH850" s="73"/>
      <c r="II850" s="73"/>
      <c r="IJ850" s="73"/>
      <c r="IK850" s="73"/>
      <c r="IL850" s="73"/>
      <c r="IM850" s="73"/>
      <c r="IN850" s="73"/>
      <c r="IO850" s="73"/>
      <c r="IP850" s="73"/>
      <c r="IQ850" s="73"/>
      <c r="IR850" s="73"/>
      <c r="IS850" s="73"/>
      <c r="IT850" s="73"/>
      <c r="IU850" s="73"/>
      <c r="IV850" s="73"/>
      <c r="IW850" s="73"/>
      <c r="IX850" s="73"/>
      <c r="IY850" s="73"/>
      <c r="IZ850" s="73"/>
      <c r="JA850" s="73"/>
      <c r="JB850" s="73"/>
      <c r="JC850" s="73"/>
    </row>
    <row r="851" spans="2:263" s="72" customFormat="1">
      <c r="B851" s="73"/>
      <c r="C851" s="73"/>
      <c r="D851" s="73"/>
      <c r="E851" s="73"/>
      <c r="F851" s="73"/>
      <c r="G851" s="73"/>
      <c r="H851" s="73"/>
      <c r="I851" s="73"/>
      <c r="J851" s="73"/>
      <c r="K851" s="73"/>
      <c r="L851" s="73"/>
      <c r="M851" s="73"/>
      <c r="N851" s="73"/>
      <c r="O851" s="73"/>
      <c r="P851" s="73"/>
      <c r="Q851" s="73"/>
      <c r="R851" s="73"/>
      <c r="S851" s="73"/>
      <c r="T851" s="73"/>
      <c r="U851" s="73"/>
      <c r="V851" s="73"/>
      <c r="W851" s="73"/>
      <c r="GL851" s="73"/>
      <c r="GM851" s="73"/>
      <c r="GN851" s="73"/>
      <c r="GO851" s="73"/>
      <c r="GP851" s="73"/>
      <c r="GQ851" s="73"/>
      <c r="GR851" s="73"/>
      <c r="GS851" s="73"/>
      <c r="GT851" s="73"/>
      <c r="GU851" s="73"/>
      <c r="GV851" s="73"/>
      <c r="GW851" s="73"/>
      <c r="GX851" s="73"/>
      <c r="GY851" s="73"/>
      <c r="GZ851" s="73"/>
      <c r="HA851" s="73"/>
      <c r="HB851" s="73"/>
      <c r="HC851" s="73"/>
      <c r="HD851" s="73"/>
      <c r="HE851" s="73"/>
      <c r="HF851" s="73"/>
      <c r="HG851" s="73"/>
      <c r="HH851" s="73"/>
      <c r="HI851" s="73"/>
      <c r="HJ851" s="73"/>
      <c r="HK851" s="73"/>
      <c r="HL851" s="73"/>
      <c r="HM851" s="73"/>
      <c r="HN851" s="73"/>
      <c r="HO851" s="73"/>
      <c r="HP851" s="73"/>
      <c r="HQ851" s="73"/>
      <c r="HR851" s="73"/>
      <c r="HS851" s="73"/>
      <c r="HT851" s="73"/>
      <c r="HU851" s="73"/>
      <c r="HV851" s="73"/>
      <c r="HW851" s="73"/>
      <c r="HX851" s="73"/>
      <c r="HY851" s="73"/>
      <c r="HZ851" s="73"/>
      <c r="IA851" s="73"/>
      <c r="IB851" s="73"/>
      <c r="IC851" s="73"/>
      <c r="ID851" s="73"/>
      <c r="IE851" s="73"/>
      <c r="IF851" s="73"/>
      <c r="IG851" s="73"/>
      <c r="IH851" s="73"/>
      <c r="II851" s="73"/>
      <c r="IJ851" s="73"/>
      <c r="IK851" s="73"/>
      <c r="IL851" s="73"/>
      <c r="IM851" s="73"/>
      <c r="IN851" s="73"/>
      <c r="IO851" s="73"/>
      <c r="IP851" s="73"/>
      <c r="IQ851" s="73"/>
      <c r="IR851" s="73"/>
      <c r="IS851" s="73"/>
      <c r="IT851" s="73"/>
      <c r="IU851" s="73"/>
      <c r="IV851" s="73"/>
      <c r="IW851" s="73"/>
      <c r="IX851" s="73"/>
      <c r="IY851" s="73"/>
      <c r="IZ851" s="73"/>
      <c r="JA851" s="73"/>
      <c r="JB851" s="73"/>
      <c r="JC851" s="73"/>
    </row>
    <row r="852" spans="2:263" s="72" customFormat="1">
      <c r="B852" s="73"/>
      <c r="C852" s="73"/>
      <c r="D852" s="73"/>
      <c r="E852" s="73"/>
      <c r="F852" s="73"/>
      <c r="G852" s="73"/>
      <c r="H852" s="73"/>
      <c r="I852" s="73"/>
      <c r="J852" s="73"/>
      <c r="K852" s="73"/>
      <c r="L852" s="73"/>
      <c r="M852" s="73"/>
      <c r="N852" s="73"/>
      <c r="O852" s="73"/>
      <c r="P852" s="73"/>
      <c r="Q852" s="73"/>
      <c r="R852" s="73"/>
      <c r="S852" s="73"/>
      <c r="T852" s="73"/>
      <c r="U852" s="73"/>
      <c r="V852" s="73"/>
      <c r="W852" s="73"/>
      <c r="GL852" s="73"/>
      <c r="GM852" s="73"/>
      <c r="GN852" s="73"/>
      <c r="GO852" s="73"/>
      <c r="GP852" s="73"/>
      <c r="GQ852" s="73"/>
      <c r="GR852" s="73"/>
      <c r="GS852" s="73"/>
      <c r="GT852" s="73"/>
      <c r="GU852" s="73"/>
      <c r="GV852" s="73"/>
      <c r="GW852" s="73"/>
      <c r="GX852" s="73"/>
      <c r="GY852" s="73"/>
      <c r="GZ852" s="73"/>
      <c r="HA852" s="73"/>
      <c r="HB852" s="73"/>
      <c r="HC852" s="73"/>
      <c r="HD852" s="73"/>
      <c r="HE852" s="73"/>
      <c r="HF852" s="73"/>
      <c r="HG852" s="73"/>
      <c r="HH852" s="73"/>
      <c r="HI852" s="73"/>
      <c r="HJ852" s="73"/>
      <c r="HK852" s="73"/>
      <c r="HL852" s="73"/>
      <c r="HM852" s="73"/>
      <c r="HN852" s="73"/>
      <c r="HO852" s="73"/>
      <c r="HP852" s="73"/>
      <c r="HQ852" s="73"/>
      <c r="HR852" s="73"/>
      <c r="HS852" s="73"/>
      <c r="HT852" s="73"/>
      <c r="HU852" s="73"/>
      <c r="HV852" s="73"/>
      <c r="HW852" s="73"/>
      <c r="HX852" s="73"/>
      <c r="HY852" s="73"/>
      <c r="HZ852" s="73"/>
      <c r="IA852" s="73"/>
      <c r="IB852" s="73"/>
      <c r="IC852" s="73"/>
      <c r="ID852" s="73"/>
      <c r="IE852" s="73"/>
      <c r="IF852" s="73"/>
      <c r="IG852" s="73"/>
      <c r="IH852" s="73"/>
      <c r="II852" s="73"/>
      <c r="IJ852" s="73"/>
      <c r="IK852" s="73"/>
      <c r="IL852" s="73"/>
      <c r="IM852" s="73"/>
      <c r="IN852" s="73"/>
      <c r="IO852" s="73"/>
      <c r="IP852" s="73"/>
      <c r="IQ852" s="73"/>
      <c r="IR852" s="73"/>
      <c r="IS852" s="73"/>
      <c r="IT852" s="73"/>
      <c r="IU852" s="73"/>
      <c r="IV852" s="73"/>
      <c r="IW852" s="73"/>
      <c r="IX852" s="73"/>
      <c r="IY852" s="73"/>
      <c r="IZ852" s="73"/>
      <c r="JA852" s="73"/>
      <c r="JB852" s="73"/>
      <c r="JC852" s="73"/>
    </row>
    <row r="853" spans="2:263" s="72" customFormat="1">
      <c r="B853" s="73"/>
      <c r="C853" s="73"/>
      <c r="D853" s="73"/>
      <c r="E853" s="73"/>
      <c r="F853" s="73"/>
      <c r="G853" s="73"/>
      <c r="H853" s="73"/>
      <c r="I853" s="73"/>
      <c r="J853" s="73"/>
      <c r="K853" s="73"/>
      <c r="L853" s="73"/>
      <c r="M853" s="73"/>
      <c r="N853" s="73"/>
      <c r="O853" s="73"/>
      <c r="P853" s="73"/>
      <c r="Q853" s="73"/>
      <c r="R853" s="73"/>
      <c r="S853" s="73"/>
      <c r="T853" s="73"/>
      <c r="U853" s="73"/>
      <c r="V853" s="73"/>
      <c r="W853" s="73"/>
      <c r="GL853" s="73"/>
      <c r="GM853" s="73"/>
      <c r="GN853" s="73"/>
      <c r="GO853" s="73"/>
      <c r="GP853" s="73"/>
      <c r="GQ853" s="73"/>
      <c r="GR853" s="73"/>
      <c r="GS853" s="73"/>
      <c r="GT853" s="73"/>
      <c r="GU853" s="73"/>
      <c r="GV853" s="73"/>
      <c r="GW853" s="73"/>
      <c r="GX853" s="73"/>
      <c r="GY853" s="73"/>
      <c r="GZ853" s="73"/>
      <c r="HA853" s="73"/>
      <c r="HB853" s="73"/>
      <c r="HC853" s="73"/>
      <c r="HD853" s="73"/>
      <c r="HE853" s="73"/>
      <c r="HF853" s="73"/>
      <c r="HG853" s="73"/>
      <c r="HH853" s="73"/>
      <c r="HI853" s="73"/>
      <c r="HJ853" s="73"/>
      <c r="HK853" s="73"/>
      <c r="HL853" s="73"/>
      <c r="HM853" s="73"/>
      <c r="HN853" s="73"/>
      <c r="HO853" s="73"/>
      <c r="HP853" s="73"/>
      <c r="HQ853" s="73"/>
      <c r="HR853" s="73"/>
      <c r="HS853" s="73"/>
      <c r="HT853" s="73"/>
      <c r="HU853" s="73"/>
      <c r="HV853" s="73"/>
      <c r="HW853" s="73"/>
      <c r="HX853" s="73"/>
      <c r="HY853" s="73"/>
      <c r="HZ853" s="73"/>
      <c r="IA853" s="73"/>
      <c r="IB853" s="73"/>
      <c r="IC853" s="73"/>
      <c r="ID853" s="73"/>
      <c r="IE853" s="73"/>
      <c r="IF853" s="73"/>
      <c r="IG853" s="73"/>
      <c r="IH853" s="73"/>
      <c r="II853" s="73"/>
      <c r="IJ853" s="73"/>
      <c r="IK853" s="73"/>
      <c r="IL853" s="73"/>
      <c r="IM853" s="73"/>
      <c r="IN853" s="73"/>
      <c r="IO853" s="73"/>
      <c r="IP853" s="73"/>
      <c r="IQ853" s="73"/>
      <c r="IR853" s="73"/>
      <c r="IS853" s="73"/>
      <c r="IT853" s="73"/>
      <c r="IU853" s="73"/>
      <c r="IV853" s="73"/>
      <c r="IW853" s="73"/>
      <c r="IX853" s="73"/>
      <c r="IY853" s="73"/>
      <c r="IZ853" s="73"/>
      <c r="JA853" s="73"/>
      <c r="JB853" s="73"/>
      <c r="JC853" s="73"/>
    </row>
    <row r="854" spans="2:263" s="72" customFormat="1">
      <c r="B854" s="73"/>
      <c r="C854" s="73"/>
      <c r="D854" s="73"/>
      <c r="E854" s="73"/>
      <c r="F854" s="73"/>
      <c r="G854" s="73"/>
      <c r="H854" s="73"/>
      <c r="I854" s="73"/>
      <c r="J854" s="73"/>
      <c r="K854" s="73"/>
      <c r="L854" s="73"/>
      <c r="M854" s="73"/>
      <c r="N854" s="73"/>
      <c r="O854" s="73"/>
      <c r="P854" s="73"/>
      <c r="Q854" s="73"/>
      <c r="R854" s="73"/>
      <c r="S854" s="73"/>
      <c r="T854" s="73"/>
      <c r="U854" s="73"/>
      <c r="V854" s="73"/>
      <c r="W854" s="73"/>
      <c r="GL854" s="73"/>
      <c r="GM854" s="73"/>
      <c r="GN854" s="73"/>
      <c r="GO854" s="73"/>
      <c r="GP854" s="73"/>
      <c r="GQ854" s="73"/>
      <c r="GR854" s="73"/>
      <c r="GS854" s="73"/>
      <c r="GT854" s="73"/>
      <c r="GU854" s="73"/>
      <c r="GV854" s="73"/>
      <c r="GW854" s="73"/>
      <c r="GX854" s="73"/>
      <c r="GY854" s="73"/>
      <c r="GZ854" s="73"/>
      <c r="HA854" s="73"/>
      <c r="HB854" s="73"/>
      <c r="HC854" s="73"/>
      <c r="HD854" s="73"/>
      <c r="HE854" s="73"/>
      <c r="HF854" s="73"/>
      <c r="HG854" s="73"/>
      <c r="HH854" s="73"/>
      <c r="HI854" s="73"/>
      <c r="HJ854" s="73"/>
      <c r="HK854" s="73"/>
      <c r="HL854" s="73"/>
      <c r="HM854" s="73"/>
      <c r="HN854" s="73"/>
      <c r="HO854" s="73"/>
      <c r="HP854" s="73"/>
      <c r="HQ854" s="73"/>
      <c r="HR854" s="73"/>
      <c r="HS854" s="73"/>
      <c r="HT854" s="73"/>
      <c r="HU854" s="73"/>
      <c r="HV854" s="73"/>
      <c r="HW854" s="73"/>
      <c r="HX854" s="73"/>
      <c r="HY854" s="73"/>
      <c r="HZ854" s="73"/>
      <c r="IA854" s="73"/>
      <c r="IB854" s="73"/>
      <c r="IC854" s="73"/>
      <c r="ID854" s="73"/>
      <c r="IE854" s="73"/>
      <c r="IF854" s="73"/>
      <c r="IG854" s="73"/>
      <c r="IH854" s="73"/>
      <c r="II854" s="73"/>
      <c r="IJ854" s="73"/>
      <c r="IK854" s="73"/>
      <c r="IL854" s="73"/>
      <c r="IM854" s="73"/>
      <c r="IN854" s="73"/>
      <c r="IO854" s="73"/>
      <c r="IP854" s="73"/>
      <c r="IQ854" s="73"/>
      <c r="IR854" s="73"/>
      <c r="IS854" s="73"/>
      <c r="IT854" s="73"/>
      <c r="IU854" s="73"/>
      <c r="IV854" s="73"/>
      <c r="IW854" s="73"/>
      <c r="IX854" s="73"/>
      <c r="IY854" s="73"/>
      <c r="IZ854" s="73"/>
      <c r="JA854" s="73"/>
      <c r="JB854" s="73"/>
      <c r="JC854" s="73"/>
    </row>
    <row r="855" spans="2:263" s="72" customFormat="1">
      <c r="B855" s="73"/>
      <c r="C855" s="73"/>
      <c r="D855" s="73"/>
      <c r="E855" s="73"/>
      <c r="F855" s="73"/>
      <c r="G855" s="73"/>
      <c r="H855" s="73"/>
      <c r="I855" s="73"/>
      <c r="J855" s="73"/>
      <c r="K855" s="73"/>
      <c r="L855" s="73"/>
      <c r="M855" s="73"/>
      <c r="N855" s="73"/>
      <c r="O855" s="73"/>
      <c r="P855" s="73"/>
      <c r="Q855" s="73"/>
      <c r="R855" s="73"/>
      <c r="S855" s="73"/>
      <c r="T855" s="73"/>
      <c r="U855" s="73"/>
      <c r="V855" s="73"/>
      <c r="W855" s="73"/>
      <c r="GL855" s="73"/>
      <c r="GM855" s="73"/>
      <c r="GN855" s="73"/>
      <c r="GO855" s="73"/>
      <c r="GP855" s="73"/>
      <c r="GQ855" s="73"/>
      <c r="GR855" s="73"/>
      <c r="GS855" s="73"/>
      <c r="GT855" s="73"/>
      <c r="GU855" s="73"/>
      <c r="GV855" s="73"/>
      <c r="GW855" s="73"/>
      <c r="GX855" s="73"/>
      <c r="GY855" s="73"/>
      <c r="GZ855" s="73"/>
      <c r="HA855" s="73"/>
      <c r="HB855" s="73"/>
      <c r="HC855" s="73"/>
      <c r="HD855" s="73"/>
      <c r="HE855" s="73"/>
      <c r="HF855" s="73"/>
      <c r="HG855" s="73"/>
      <c r="HH855" s="73"/>
      <c r="HI855" s="73"/>
      <c r="HJ855" s="73"/>
      <c r="HK855" s="73"/>
      <c r="HL855" s="73"/>
      <c r="HM855" s="73"/>
      <c r="HN855" s="73"/>
      <c r="HO855" s="73"/>
      <c r="HP855" s="73"/>
      <c r="HQ855" s="73"/>
      <c r="HR855" s="73"/>
      <c r="HS855" s="73"/>
      <c r="HT855" s="73"/>
      <c r="HU855" s="73"/>
      <c r="HV855" s="73"/>
      <c r="HW855" s="73"/>
      <c r="HX855" s="73"/>
      <c r="HY855" s="73"/>
      <c r="HZ855" s="73"/>
      <c r="IA855" s="73"/>
      <c r="IB855" s="73"/>
      <c r="IC855" s="73"/>
      <c r="ID855" s="73"/>
      <c r="IE855" s="73"/>
      <c r="IF855" s="73"/>
      <c r="IG855" s="73"/>
      <c r="IH855" s="73"/>
      <c r="II855" s="73"/>
      <c r="IJ855" s="73"/>
      <c r="IK855" s="73"/>
      <c r="IL855" s="73"/>
      <c r="IM855" s="73"/>
      <c r="IN855" s="73"/>
      <c r="IO855" s="73"/>
      <c r="IP855" s="73"/>
      <c r="IQ855" s="73"/>
      <c r="IR855" s="73"/>
      <c r="IS855" s="73"/>
      <c r="IT855" s="73"/>
      <c r="IU855" s="73"/>
      <c r="IV855" s="73"/>
      <c r="IW855" s="73"/>
      <c r="IX855" s="73"/>
      <c r="IY855" s="73"/>
      <c r="IZ855" s="73"/>
      <c r="JA855" s="73"/>
      <c r="JB855" s="73"/>
      <c r="JC855" s="73"/>
    </row>
    <row r="856" spans="2:263" s="72" customFormat="1">
      <c r="B856" s="73"/>
      <c r="C856" s="73"/>
      <c r="D856" s="73"/>
      <c r="E856" s="73"/>
      <c r="F856" s="73"/>
      <c r="G856" s="73"/>
      <c r="H856" s="73"/>
      <c r="I856" s="73"/>
      <c r="J856" s="73"/>
      <c r="K856" s="73"/>
      <c r="L856" s="73"/>
      <c r="M856" s="73"/>
      <c r="N856" s="73"/>
      <c r="O856" s="73"/>
      <c r="P856" s="73"/>
      <c r="Q856" s="73"/>
      <c r="R856" s="73"/>
      <c r="S856" s="73"/>
      <c r="T856" s="73"/>
      <c r="U856" s="73"/>
      <c r="V856" s="73"/>
      <c r="W856" s="73"/>
      <c r="GL856" s="73"/>
      <c r="GM856" s="73"/>
      <c r="GN856" s="73"/>
      <c r="GO856" s="73"/>
      <c r="GP856" s="73"/>
      <c r="GQ856" s="73"/>
      <c r="GR856" s="73"/>
      <c r="GS856" s="73"/>
      <c r="GT856" s="73"/>
      <c r="GU856" s="73"/>
      <c r="GV856" s="73"/>
      <c r="GW856" s="73"/>
      <c r="GX856" s="73"/>
      <c r="GY856" s="73"/>
      <c r="GZ856" s="73"/>
      <c r="HA856" s="73"/>
      <c r="HB856" s="73"/>
      <c r="HC856" s="73"/>
      <c r="HD856" s="73"/>
      <c r="HE856" s="73"/>
      <c r="HF856" s="73"/>
      <c r="HG856" s="73"/>
      <c r="HH856" s="73"/>
      <c r="HI856" s="73"/>
      <c r="HJ856" s="73"/>
      <c r="HK856" s="73"/>
      <c r="HL856" s="73"/>
      <c r="HM856" s="73"/>
      <c r="HN856" s="73"/>
      <c r="HO856" s="73"/>
      <c r="HP856" s="73"/>
      <c r="HQ856" s="73"/>
      <c r="HR856" s="73"/>
      <c r="HS856" s="73"/>
      <c r="HT856" s="73"/>
      <c r="HU856" s="73"/>
      <c r="HV856" s="73"/>
      <c r="HW856" s="73"/>
      <c r="HX856" s="73"/>
      <c r="HY856" s="73"/>
      <c r="HZ856" s="73"/>
      <c r="IA856" s="73"/>
      <c r="IB856" s="73"/>
      <c r="IC856" s="73"/>
      <c r="ID856" s="73"/>
      <c r="IE856" s="73"/>
      <c r="IF856" s="73"/>
      <c r="IG856" s="73"/>
      <c r="IH856" s="73"/>
      <c r="II856" s="73"/>
      <c r="IJ856" s="73"/>
      <c r="IK856" s="73"/>
      <c r="IL856" s="73"/>
      <c r="IM856" s="73"/>
      <c r="IN856" s="73"/>
      <c r="IO856" s="73"/>
      <c r="IP856" s="73"/>
      <c r="IQ856" s="73"/>
      <c r="IR856" s="73"/>
      <c r="IS856" s="73"/>
      <c r="IT856" s="73"/>
      <c r="IU856" s="73"/>
      <c r="IV856" s="73"/>
      <c r="IW856" s="73"/>
      <c r="IX856" s="73"/>
      <c r="IY856" s="73"/>
      <c r="IZ856" s="73"/>
      <c r="JA856" s="73"/>
      <c r="JB856" s="73"/>
      <c r="JC856" s="73"/>
    </row>
    <row r="857" spans="2:263" s="72" customFormat="1">
      <c r="B857" s="73"/>
      <c r="C857" s="73"/>
      <c r="D857" s="73"/>
      <c r="E857" s="73"/>
      <c r="F857" s="73"/>
      <c r="G857" s="73"/>
      <c r="H857" s="73"/>
      <c r="I857" s="73"/>
      <c r="J857" s="73"/>
      <c r="K857" s="73"/>
      <c r="L857" s="73"/>
      <c r="M857" s="73"/>
      <c r="N857" s="73"/>
      <c r="O857" s="73"/>
      <c r="P857" s="73"/>
      <c r="Q857" s="73"/>
      <c r="R857" s="73"/>
      <c r="S857" s="73"/>
      <c r="T857" s="73"/>
      <c r="U857" s="73"/>
      <c r="V857" s="73"/>
      <c r="W857" s="73"/>
      <c r="GL857" s="73"/>
      <c r="GM857" s="73"/>
      <c r="GN857" s="73"/>
      <c r="GO857" s="73"/>
      <c r="GP857" s="73"/>
      <c r="GQ857" s="73"/>
      <c r="GR857" s="73"/>
      <c r="GS857" s="73"/>
      <c r="GT857" s="73"/>
      <c r="GU857" s="73"/>
      <c r="GV857" s="73"/>
      <c r="GW857" s="73"/>
      <c r="GX857" s="73"/>
      <c r="GY857" s="73"/>
      <c r="GZ857" s="73"/>
      <c r="HA857" s="73"/>
      <c r="HB857" s="73"/>
      <c r="HC857" s="73"/>
      <c r="HD857" s="73"/>
      <c r="HE857" s="73"/>
      <c r="HF857" s="73"/>
      <c r="HG857" s="73"/>
      <c r="HH857" s="73"/>
      <c r="HI857" s="73"/>
      <c r="HJ857" s="73"/>
      <c r="HK857" s="73"/>
      <c r="HL857" s="73"/>
      <c r="HM857" s="73"/>
      <c r="HN857" s="73"/>
      <c r="HO857" s="73"/>
      <c r="HP857" s="73"/>
      <c r="HQ857" s="73"/>
      <c r="HR857" s="73"/>
      <c r="HS857" s="73"/>
      <c r="HT857" s="73"/>
      <c r="HU857" s="73"/>
      <c r="HV857" s="73"/>
      <c r="HW857" s="73"/>
      <c r="HX857" s="73"/>
      <c r="HY857" s="73"/>
      <c r="HZ857" s="73"/>
      <c r="IA857" s="73"/>
      <c r="IB857" s="73"/>
      <c r="IC857" s="73"/>
      <c r="ID857" s="73"/>
      <c r="IE857" s="73"/>
      <c r="IF857" s="73"/>
      <c r="IG857" s="73"/>
      <c r="IH857" s="73"/>
      <c r="II857" s="73"/>
      <c r="IJ857" s="73"/>
      <c r="IK857" s="73"/>
      <c r="IL857" s="73"/>
      <c r="IM857" s="73"/>
      <c r="IN857" s="73"/>
      <c r="IO857" s="73"/>
      <c r="IP857" s="73"/>
      <c r="IQ857" s="73"/>
      <c r="IR857" s="73"/>
      <c r="IS857" s="73"/>
      <c r="IT857" s="73"/>
      <c r="IU857" s="73"/>
      <c r="IV857" s="73"/>
      <c r="IW857" s="73"/>
      <c r="IX857" s="73"/>
      <c r="IY857" s="73"/>
      <c r="IZ857" s="73"/>
      <c r="JA857" s="73"/>
      <c r="JB857" s="73"/>
      <c r="JC857" s="73"/>
    </row>
    <row r="858" spans="2:263" s="72" customFormat="1">
      <c r="B858" s="73"/>
      <c r="C858" s="73"/>
      <c r="D858" s="73"/>
      <c r="E858" s="73"/>
      <c r="F858" s="73"/>
      <c r="G858" s="73"/>
      <c r="H858" s="73"/>
      <c r="I858" s="73"/>
      <c r="J858" s="73"/>
      <c r="K858" s="73"/>
      <c r="L858" s="73"/>
      <c r="M858" s="73"/>
      <c r="N858" s="73"/>
      <c r="O858" s="73"/>
      <c r="P858" s="73"/>
      <c r="Q858" s="73"/>
      <c r="R858" s="73"/>
      <c r="S858" s="73"/>
      <c r="T858" s="73"/>
      <c r="U858" s="73"/>
      <c r="V858" s="73"/>
      <c r="W858" s="73"/>
      <c r="GL858" s="73"/>
      <c r="GM858" s="73"/>
      <c r="GN858" s="73"/>
      <c r="GO858" s="73"/>
      <c r="GP858" s="73"/>
      <c r="GQ858" s="73"/>
      <c r="GR858" s="73"/>
      <c r="GS858" s="73"/>
      <c r="GT858" s="73"/>
      <c r="GU858" s="73"/>
      <c r="GV858" s="73"/>
      <c r="GW858" s="73"/>
      <c r="GX858" s="73"/>
      <c r="GY858" s="73"/>
      <c r="GZ858" s="73"/>
      <c r="HA858" s="73"/>
      <c r="HB858" s="73"/>
      <c r="HC858" s="73"/>
      <c r="HD858" s="73"/>
      <c r="HE858" s="73"/>
      <c r="HF858" s="73"/>
      <c r="HG858" s="73"/>
      <c r="HH858" s="73"/>
      <c r="HI858" s="73"/>
      <c r="HJ858" s="73"/>
      <c r="HK858" s="73"/>
      <c r="HL858" s="73"/>
      <c r="HM858" s="73"/>
      <c r="HN858" s="73"/>
      <c r="HO858" s="73"/>
      <c r="HP858" s="73"/>
      <c r="HQ858" s="73"/>
      <c r="HR858" s="73"/>
      <c r="HS858" s="73"/>
      <c r="HT858" s="73"/>
      <c r="HU858" s="73"/>
      <c r="HV858" s="73"/>
      <c r="HW858" s="73"/>
      <c r="HX858" s="73"/>
      <c r="HY858" s="73"/>
      <c r="HZ858" s="73"/>
      <c r="IA858" s="73"/>
      <c r="IB858" s="73"/>
      <c r="IC858" s="73"/>
      <c r="ID858" s="73"/>
      <c r="IE858" s="73"/>
      <c r="IF858" s="73"/>
      <c r="IG858" s="73"/>
      <c r="IH858" s="73"/>
      <c r="II858" s="73"/>
      <c r="IJ858" s="73"/>
      <c r="IK858" s="73"/>
      <c r="IL858" s="73"/>
      <c r="IM858" s="73"/>
      <c r="IN858" s="73"/>
      <c r="IO858" s="73"/>
      <c r="IP858" s="73"/>
      <c r="IQ858" s="73"/>
      <c r="IR858" s="73"/>
      <c r="IS858" s="73"/>
      <c r="IT858" s="73"/>
      <c r="IU858" s="73"/>
      <c r="IV858" s="73"/>
      <c r="IW858" s="73"/>
      <c r="IX858" s="73"/>
      <c r="IY858" s="73"/>
      <c r="IZ858" s="73"/>
      <c r="JA858" s="73"/>
      <c r="JB858" s="73"/>
      <c r="JC858" s="73"/>
    </row>
    <row r="859" spans="2:263" s="72" customFormat="1">
      <c r="B859" s="73"/>
      <c r="C859" s="73"/>
      <c r="D859" s="73"/>
      <c r="E859" s="73"/>
      <c r="F859" s="73"/>
      <c r="G859" s="73"/>
      <c r="H859" s="73"/>
      <c r="I859" s="73"/>
      <c r="J859" s="73"/>
      <c r="K859" s="73"/>
      <c r="L859" s="73"/>
      <c r="M859" s="73"/>
      <c r="N859" s="73"/>
      <c r="O859" s="73"/>
      <c r="P859" s="73"/>
      <c r="Q859" s="73"/>
      <c r="R859" s="73"/>
      <c r="S859" s="73"/>
      <c r="T859" s="73"/>
      <c r="U859" s="73"/>
      <c r="V859" s="73"/>
      <c r="W859" s="73"/>
      <c r="GL859" s="73"/>
      <c r="GM859" s="73"/>
      <c r="GN859" s="73"/>
      <c r="GO859" s="73"/>
      <c r="GP859" s="73"/>
      <c r="GQ859" s="73"/>
      <c r="GR859" s="73"/>
      <c r="GS859" s="73"/>
      <c r="GT859" s="73"/>
      <c r="GU859" s="73"/>
      <c r="GV859" s="73"/>
      <c r="GW859" s="73"/>
      <c r="GX859" s="73"/>
      <c r="GY859" s="73"/>
      <c r="GZ859" s="73"/>
      <c r="HA859" s="73"/>
      <c r="HB859" s="73"/>
      <c r="HC859" s="73"/>
      <c r="HD859" s="73"/>
      <c r="HE859" s="73"/>
      <c r="HF859" s="73"/>
      <c r="HG859" s="73"/>
      <c r="HH859" s="73"/>
      <c r="HI859" s="73"/>
      <c r="HJ859" s="73"/>
      <c r="HK859" s="73"/>
      <c r="HL859" s="73"/>
      <c r="HM859" s="73"/>
      <c r="HN859" s="73"/>
      <c r="HO859" s="73"/>
      <c r="HP859" s="73"/>
      <c r="HQ859" s="73"/>
      <c r="HR859" s="73"/>
      <c r="HS859" s="73"/>
      <c r="HT859" s="73"/>
      <c r="HU859" s="73"/>
      <c r="HV859" s="73"/>
      <c r="HW859" s="73"/>
      <c r="HX859" s="73"/>
      <c r="HY859" s="73"/>
      <c r="HZ859" s="73"/>
      <c r="IA859" s="73"/>
      <c r="IB859" s="73"/>
      <c r="IC859" s="73"/>
      <c r="ID859" s="73"/>
      <c r="IE859" s="73"/>
      <c r="IF859" s="73"/>
      <c r="IG859" s="73"/>
      <c r="IH859" s="73"/>
      <c r="II859" s="73"/>
      <c r="IJ859" s="73"/>
      <c r="IK859" s="73"/>
      <c r="IL859" s="73"/>
      <c r="IM859" s="73"/>
      <c r="IN859" s="73"/>
      <c r="IO859" s="73"/>
      <c r="IP859" s="73"/>
      <c r="IQ859" s="73"/>
      <c r="IR859" s="73"/>
      <c r="IS859" s="73"/>
      <c r="IT859" s="73"/>
      <c r="IU859" s="73"/>
      <c r="IV859" s="73"/>
      <c r="IW859" s="73"/>
      <c r="IX859" s="73"/>
      <c r="IY859" s="73"/>
      <c r="IZ859" s="73"/>
      <c r="JA859" s="73"/>
      <c r="JB859" s="73"/>
      <c r="JC859" s="73"/>
    </row>
    <row r="860" spans="2:263" s="72" customFormat="1">
      <c r="B860" s="73"/>
      <c r="C860" s="73"/>
      <c r="D860" s="73"/>
      <c r="E860" s="73"/>
      <c r="F860" s="73"/>
      <c r="G860" s="73"/>
      <c r="H860" s="73"/>
      <c r="I860" s="73"/>
      <c r="J860" s="73"/>
      <c r="K860" s="73"/>
      <c r="L860" s="73"/>
      <c r="M860" s="73"/>
      <c r="N860" s="73"/>
      <c r="O860" s="73"/>
      <c r="P860" s="73"/>
      <c r="Q860" s="73"/>
      <c r="R860" s="73"/>
      <c r="S860" s="73"/>
      <c r="T860" s="73"/>
      <c r="U860" s="73"/>
      <c r="V860" s="73"/>
      <c r="W860" s="73"/>
      <c r="GL860" s="73"/>
      <c r="GM860" s="73"/>
      <c r="GN860" s="73"/>
      <c r="GO860" s="73"/>
      <c r="GP860" s="73"/>
      <c r="GQ860" s="73"/>
      <c r="GR860" s="73"/>
      <c r="GS860" s="73"/>
      <c r="GT860" s="73"/>
      <c r="GU860" s="73"/>
      <c r="GV860" s="73"/>
      <c r="GW860" s="73"/>
      <c r="GX860" s="73"/>
      <c r="GY860" s="73"/>
      <c r="GZ860" s="73"/>
      <c r="HA860" s="73"/>
      <c r="HB860" s="73"/>
      <c r="HC860" s="73"/>
      <c r="HD860" s="73"/>
      <c r="HE860" s="73"/>
      <c r="HF860" s="73"/>
      <c r="HG860" s="73"/>
      <c r="HH860" s="73"/>
      <c r="HI860" s="73"/>
      <c r="HJ860" s="73"/>
      <c r="HK860" s="73"/>
      <c r="HL860" s="73"/>
      <c r="HM860" s="73"/>
      <c r="HN860" s="73"/>
      <c r="HO860" s="73"/>
      <c r="HP860" s="73"/>
      <c r="HQ860" s="73"/>
      <c r="HR860" s="73"/>
      <c r="HS860" s="73"/>
      <c r="HT860" s="73"/>
      <c r="HU860" s="73"/>
      <c r="HV860" s="73"/>
      <c r="HW860" s="73"/>
      <c r="HX860" s="73"/>
      <c r="HY860" s="73"/>
      <c r="HZ860" s="73"/>
      <c r="IA860" s="73"/>
      <c r="IB860" s="73"/>
      <c r="IC860" s="73"/>
      <c r="ID860" s="73"/>
      <c r="IE860" s="73"/>
      <c r="IF860" s="73"/>
      <c r="IG860" s="73"/>
      <c r="IH860" s="73"/>
      <c r="II860" s="73"/>
      <c r="IJ860" s="73"/>
      <c r="IK860" s="73"/>
      <c r="IL860" s="73"/>
      <c r="IM860" s="73"/>
      <c r="IN860" s="73"/>
      <c r="IO860" s="73"/>
      <c r="IP860" s="73"/>
      <c r="IQ860" s="73"/>
      <c r="IR860" s="73"/>
      <c r="IS860" s="73"/>
      <c r="IT860" s="73"/>
      <c r="IU860" s="73"/>
      <c r="IV860" s="73"/>
      <c r="IW860" s="73"/>
      <c r="IX860" s="73"/>
      <c r="IY860" s="73"/>
      <c r="IZ860" s="73"/>
      <c r="JA860" s="73"/>
      <c r="JB860" s="73"/>
      <c r="JC860" s="73"/>
    </row>
    <row r="861" spans="2:263" s="72" customFormat="1">
      <c r="B861" s="73"/>
      <c r="C861" s="73"/>
      <c r="D861" s="73"/>
      <c r="E861" s="73"/>
      <c r="F861" s="73"/>
      <c r="G861" s="73"/>
      <c r="H861" s="73"/>
      <c r="I861" s="73"/>
      <c r="J861" s="73"/>
      <c r="K861" s="73"/>
      <c r="L861" s="73"/>
      <c r="M861" s="73"/>
      <c r="N861" s="73"/>
      <c r="O861" s="73"/>
      <c r="P861" s="73"/>
      <c r="Q861" s="73"/>
      <c r="R861" s="73"/>
      <c r="S861" s="73"/>
      <c r="T861" s="73"/>
      <c r="U861" s="73"/>
      <c r="V861" s="73"/>
      <c r="W861" s="73"/>
      <c r="GL861" s="73"/>
      <c r="GM861" s="73"/>
      <c r="GN861" s="73"/>
      <c r="GO861" s="73"/>
      <c r="GP861" s="73"/>
      <c r="GQ861" s="73"/>
      <c r="GR861" s="73"/>
      <c r="GS861" s="73"/>
      <c r="GT861" s="73"/>
      <c r="GU861" s="73"/>
      <c r="GV861" s="73"/>
      <c r="GW861" s="73"/>
      <c r="GX861" s="73"/>
      <c r="GY861" s="73"/>
      <c r="GZ861" s="73"/>
      <c r="HA861" s="73"/>
      <c r="HB861" s="73"/>
      <c r="HC861" s="73"/>
      <c r="HD861" s="73"/>
      <c r="HE861" s="73"/>
      <c r="HF861" s="73"/>
      <c r="HG861" s="73"/>
      <c r="HH861" s="73"/>
      <c r="HI861" s="73"/>
      <c r="HJ861" s="73"/>
      <c r="HK861" s="73"/>
      <c r="HL861" s="73"/>
      <c r="HM861" s="73"/>
      <c r="HN861" s="73"/>
      <c r="HO861" s="73"/>
      <c r="HP861" s="73"/>
      <c r="HQ861" s="73"/>
      <c r="HR861" s="73"/>
      <c r="HS861" s="73"/>
      <c r="HT861" s="73"/>
      <c r="HU861" s="73"/>
      <c r="HV861" s="73"/>
      <c r="HW861" s="73"/>
      <c r="HX861" s="73"/>
      <c r="HY861" s="73"/>
      <c r="HZ861" s="73"/>
      <c r="IA861" s="73"/>
      <c r="IB861" s="73"/>
      <c r="IC861" s="73"/>
      <c r="ID861" s="73"/>
      <c r="IE861" s="73"/>
      <c r="IF861" s="73"/>
      <c r="IG861" s="73"/>
      <c r="IH861" s="73"/>
      <c r="II861" s="73"/>
      <c r="IJ861" s="73"/>
      <c r="IK861" s="73"/>
      <c r="IL861" s="73"/>
      <c r="IM861" s="73"/>
      <c r="IN861" s="73"/>
      <c r="IO861" s="73"/>
      <c r="IP861" s="73"/>
      <c r="IQ861" s="73"/>
      <c r="IR861" s="73"/>
      <c r="IS861" s="73"/>
      <c r="IT861" s="73"/>
      <c r="IU861" s="73"/>
      <c r="IV861" s="73"/>
      <c r="IW861" s="73"/>
      <c r="IX861" s="73"/>
      <c r="IY861" s="73"/>
      <c r="IZ861" s="73"/>
      <c r="JA861" s="73"/>
      <c r="JB861" s="73"/>
      <c r="JC861" s="73"/>
    </row>
    <row r="862" spans="2:263" s="72" customFormat="1">
      <c r="B862" s="73"/>
      <c r="C862" s="73"/>
      <c r="D862" s="73"/>
      <c r="E862" s="73"/>
      <c r="F862" s="73"/>
      <c r="G862" s="73"/>
      <c r="H862" s="73"/>
      <c r="I862" s="73"/>
      <c r="J862" s="73"/>
      <c r="K862" s="73"/>
      <c r="L862" s="73"/>
      <c r="M862" s="73"/>
      <c r="N862" s="73"/>
      <c r="O862" s="73"/>
      <c r="P862" s="73"/>
      <c r="Q862" s="73"/>
      <c r="R862" s="73"/>
      <c r="S862" s="73"/>
      <c r="T862" s="73"/>
      <c r="U862" s="73"/>
      <c r="V862" s="73"/>
      <c r="W862" s="73"/>
      <c r="GL862" s="73"/>
      <c r="GM862" s="73"/>
      <c r="GN862" s="73"/>
      <c r="GO862" s="73"/>
      <c r="GP862" s="73"/>
      <c r="GQ862" s="73"/>
      <c r="GR862" s="73"/>
      <c r="GS862" s="73"/>
      <c r="GT862" s="73"/>
      <c r="GU862" s="73"/>
      <c r="GV862" s="73"/>
      <c r="GW862" s="73"/>
      <c r="GX862" s="73"/>
      <c r="GY862" s="73"/>
      <c r="GZ862" s="73"/>
      <c r="HA862" s="73"/>
      <c r="HB862" s="73"/>
      <c r="HC862" s="73"/>
      <c r="HD862" s="73"/>
      <c r="HE862" s="73"/>
      <c r="HF862" s="73"/>
      <c r="HG862" s="73"/>
      <c r="HH862" s="73"/>
      <c r="HI862" s="73"/>
      <c r="HJ862" s="73"/>
      <c r="HK862" s="73"/>
      <c r="HL862" s="73"/>
      <c r="HM862" s="73"/>
      <c r="HN862" s="73"/>
      <c r="HO862" s="73"/>
      <c r="HP862" s="73"/>
      <c r="HQ862" s="73"/>
      <c r="HR862" s="73"/>
      <c r="HS862" s="73"/>
      <c r="HT862" s="73"/>
      <c r="HU862" s="73"/>
      <c r="HV862" s="73"/>
      <c r="HW862" s="73"/>
      <c r="HX862" s="73"/>
      <c r="HY862" s="73"/>
      <c r="HZ862" s="73"/>
      <c r="IA862" s="73"/>
      <c r="IB862" s="73"/>
      <c r="IC862" s="73"/>
      <c r="ID862" s="73"/>
      <c r="IE862" s="73"/>
      <c r="IF862" s="73"/>
      <c r="IG862" s="73"/>
      <c r="IH862" s="73"/>
      <c r="II862" s="73"/>
      <c r="IJ862" s="73"/>
      <c r="IK862" s="73"/>
      <c r="IL862" s="73"/>
      <c r="IM862" s="73"/>
      <c r="IN862" s="73"/>
      <c r="IO862" s="73"/>
      <c r="IP862" s="73"/>
      <c r="IQ862" s="73"/>
      <c r="IR862" s="73"/>
      <c r="IS862" s="73"/>
      <c r="IT862" s="73"/>
      <c r="IU862" s="73"/>
      <c r="IV862" s="73"/>
      <c r="IW862" s="73"/>
      <c r="IX862" s="73"/>
      <c r="IY862" s="73"/>
      <c r="IZ862" s="73"/>
      <c r="JA862" s="73"/>
      <c r="JB862" s="73"/>
      <c r="JC862" s="73"/>
    </row>
    <row r="863" spans="2:263" s="72" customFormat="1">
      <c r="B863" s="73"/>
      <c r="C863" s="73"/>
      <c r="D863" s="73"/>
      <c r="E863" s="73"/>
      <c r="F863" s="73"/>
      <c r="G863" s="73"/>
      <c r="H863" s="73"/>
      <c r="I863" s="73"/>
      <c r="J863" s="73"/>
      <c r="K863" s="73"/>
      <c r="L863" s="73"/>
      <c r="M863" s="73"/>
      <c r="N863" s="73"/>
      <c r="O863" s="73"/>
      <c r="P863" s="73"/>
      <c r="Q863" s="73"/>
      <c r="R863" s="73"/>
      <c r="S863" s="73"/>
      <c r="T863" s="73"/>
      <c r="U863" s="73"/>
      <c r="V863" s="73"/>
      <c r="W863" s="73"/>
      <c r="GL863" s="73"/>
      <c r="GM863" s="73"/>
      <c r="GN863" s="73"/>
      <c r="GO863" s="73"/>
      <c r="GP863" s="73"/>
      <c r="GQ863" s="73"/>
      <c r="GR863" s="73"/>
      <c r="GS863" s="73"/>
      <c r="GT863" s="73"/>
      <c r="GU863" s="73"/>
      <c r="GV863" s="73"/>
      <c r="GW863" s="73"/>
      <c r="GX863" s="73"/>
      <c r="GY863" s="73"/>
      <c r="GZ863" s="73"/>
      <c r="HA863" s="73"/>
      <c r="HB863" s="73"/>
      <c r="HC863" s="73"/>
      <c r="HD863" s="73"/>
      <c r="HE863" s="73"/>
      <c r="HF863" s="73"/>
      <c r="HG863" s="73"/>
      <c r="HH863" s="73"/>
      <c r="HI863" s="73"/>
      <c r="HJ863" s="73"/>
      <c r="HK863" s="73"/>
      <c r="HL863" s="73"/>
      <c r="HM863" s="73"/>
      <c r="HN863" s="73"/>
      <c r="HO863" s="73"/>
      <c r="HP863" s="73"/>
      <c r="HQ863" s="73"/>
      <c r="HR863" s="73"/>
      <c r="HS863" s="73"/>
      <c r="HT863" s="73"/>
      <c r="HU863" s="73"/>
      <c r="HV863" s="73"/>
      <c r="HW863" s="73"/>
      <c r="HX863" s="73"/>
      <c r="HY863" s="73"/>
      <c r="HZ863" s="73"/>
      <c r="IA863" s="73"/>
      <c r="IB863" s="73"/>
      <c r="IC863" s="73"/>
      <c r="ID863" s="73"/>
      <c r="IE863" s="73"/>
      <c r="IF863" s="73"/>
      <c r="IG863" s="73"/>
      <c r="IH863" s="73"/>
      <c r="II863" s="73"/>
      <c r="IJ863" s="73"/>
      <c r="IK863" s="73"/>
      <c r="IL863" s="73"/>
      <c r="IM863" s="73"/>
      <c r="IN863" s="73"/>
      <c r="IO863" s="73"/>
      <c r="IP863" s="73"/>
      <c r="IQ863" s="73"/>
      <c r="IR863" s="73"/>
      <c r="IS863" s="73"/>
      <c r="IT863" s="73"/>
      <c r="IU863" s="73"/>
      <c r="IV863" s="73"/>
      <c r="IW863" s="73"/>
      <c r="IX863" s="73"/>
      <c r="IY863" s="73"/>
      <c r="IZ863" s="73"/>
      <c r="JA863" s="73"/>
      <c r="JB863" s="73"/>
      <c r="JC863" s="73"/>
    </row>
    <row r="864" spans="2:263" s="72" customFormat="1">
      <c r="B864" s="73"/>
      <c r="C864" s="73"/>
      <c r="D864" s="73"/>
      <c r="E864" s="73"/>
      <c r="F864" s="73"/>
      <c r="G864" s="73"/>
      <c r="H864" s="73"/>
      <c r="I864" s="73"/>
      <c r="J864" s="73"/>
      <c r="K864" s="73"/>
      <c r="L864" s="73"/>
      <c r="M864" s="73"/>
      <c r="N864" s="73"/>
      <c r="O864" s="73"/>
      <c r="P864" s="73"/>
      <c r="Q864" s="73"/>
      <c r="R864" s="73"/>
      <c r="S864" s="73"/>
      <c r="T864" s="73"/>
      <c r="U864" s="73"/>
      <c r="V864" s="73"/>
      <c r="W864" s="73"/>
      <c r="GL864" s="73"/>
      <c r="GM864" s="73"/>
      <c r="GN864" s="73"/>
      <c r="GO864" s="73"/>
      <c r="GP864" s="73"/>
      <c r="GQ864" s="73"/>
      <c r="GR864" s="73"/>
      <c r="GS864" s="73"/>
      <c r="GT864" s="73"/>
      <c r="GU864" s="73"/>
      <c r="GV864" s="73"/>
      <c r="GW864" s="73"/>
      <c r="GX864" s="73"/>
      <c r="GY864" s="73"/>
      <c r="GZ864" s="73"/>
      <c r="HA864" s="73"/>
      <c r="HB864" s="73"/>
      <c r="HC864" s="73"/>
      <c r="HD864" s="73"/>
      <c r="HE864" s="73"/>
      <c r="HF864" s="73"/>
      <c r="HG864" s="73"/>
      <c r="HH864" s="73"/>
      <c r="HI864" s="73"/>
      <c r="HJ864" s="73"/>
      <c r="HK864" s="73"/>
      <c r="HL864" s="73"/>
      <c r="HM864" s="73"/>
      <c r="HN864" s="73"/>
      <c r="HO864" s="73"/>
      <c r="HP864" s="73"/>
      <c r="HQ864" s="73"/>
      <c r="HR864" s="73"/>
      <c r="HS864" s="73"/>
      <c r="HT864" s="73"/>
      <c r="HU864" s="73"/>
      <c r="HV864" s="73"/>
      <c r="HW864" s="73"/>
      <c r="HX864" s="73"/>
      <c r="HY864" s="73"/>
      <c r="HZ864" s="73"/>
      <c r="IA864" s="73"/>
      <c r="IB864" s="73"/>
      <c r="IC864" s="73"/>
      <c r="ID864" s="73"/>
      <c r="IE864" s="73"/>
      <c r="IF864" s="73"/>
      <c r="IG864" s="73"/>
      <c r="IH864" s="73"/>
      <c r="II864" s="73"/>
      <c r="IJ864" s="73"/>
      <c r="IK864" s="73"/>
      <c r="IL864" s="73"/>
      <c r="IM864" s="73"/>
      <c r="IN864" s="73"/>
      <c r="IO864" s="73"/>
      <c r="IP864" s="73"/>
      <c r="IQ864" s="73"/>
      <c r="IR864" s="73"/>
      <c r="IS864" s="73"/>
      <c r="IT864" s="73"/>
      <c r="IU864" s="73"/>
      <c r="IV864" s="73"/>
      <c r="IW864" s="73"/>
      <c r="IX864" s="73"/>
      <c r="IY864" s="73"/>
      <c r="IZ864" s="73"/>
      <c r="JA864" s="73"/>
      <c r="JB864" s="73"/>
      <c r="JC864" s="73"/>
    </row>
    <row r="865" spans="2:263" s="72" customFormat="1">
      <c r="B865" s="73"/>
      <c r="C865" s="73"/>
      <c r="D865" s="73"/>
      <c r="E865" s="73"/>
      <c r="F865" s="73"/>
      <c r="G865" s="73"/>
      <c r="H865" s="73"/>
      <c r="I865" s="73"/>
      <c r="J865" s="73"/>
      <c r="K865" s="73"/>
      <c r="L865" s="73"/>
      <c r="M865" s="73"/>
      <c r="N865" s="73"/>
      <c r="O865" s="73"/>
      <c r="P865" s="73"/>
      <c r="Q865" s="73"/>
      <c r="R865" s="73"/>
      <c r="S865" s="73"/>
      <c r="T865" s="73"/>
      <c r="U865" s="73"/>
      <c r="V865" s="73"/>
      <c r="W865" s="73"/>
      <c r="GL865" s="73"/>
      <c r="GM865" s="73"/>
      <c r="GN865" s="73"/>
      <c r="GO865" s="73"/>
      <c r="GP865" s="73"/>
      <c r="GQ865" s="73"/>
      <c r="GR865" s="73"/>
      <c r="GS865" s="73"/>
      <c r="GT865" s="73"/>
      <c r="GU865" s="73"/>
      <c r="GV865" s="73"/>
      <c r="GW865" s="73"/>
      <c r="GX865" s="73"/>
      <c r="GY865" s="73"/>
      <c r="GZ865" s="73"/>
      <c r="HA865" s="73"/>
      <c r="HB865" s="73"/>
      <c r="HC865" s="73"/>
      <c r="HD865" s="73"/>
      <c r="HE865" s="73"/>
      <c r="HF865" s="73"/>
      <c r="HG865" s="73"/>
      <c r="HH865" s="73"/>
      <c r="HI865" s="73"/>
      <c r="HJ865" s="73"/>
      <c r="HK865" s="73"/>
      <c r="HL865" s="73"/>
      <c r="HM865" s="73"/>
      <c r="HN865" s="73"/>
      <c r="HO865" s="73"/>
      <c r="HP865" s="73"/>
      <c r="HQ865" s="73"/>
      <c r="HR865" s="73"/>
      <c r="HS865" s="73"/>
      <c r="HT865" s="73"/>
      <c r="HU865" s="73"/>
      <c r="HV865" s="73"/>
      <c r="HW865" s="73"/>
      <c r="HX865" s="73"/>
      <c r="HY865" s="73"/>
      <c r="HZ865" s="73"/>
      <c r="IA865" s="73"/>
      <c r="IB865" s="73"/>
      <c r="IC865" s="73"/>
      <c r="ID865" s="73"/>
      <c r="IE865" s="73"/>
      <c r="IF865" s="73"/>
      <c r="IG865" s="73"/>
      <c r="IH865" s="73"/>
      <c r="II865" s="73"/>
      <c r="IJ865" s="73"/>
      <c r="IK865" s="73"/>
      <c r="IL865" s="73"/>
      <c r="IM865" s="73"/>
      <c r="IN865" s="73"/>
      <c r="IO865" s="73"/>
      <c r="IP865" s="73"/>
      <c r="IQ865" s="73"/>
      <c r="IR865" s="73"/>
      <c r="IS865" s="73"/>
      <c r="IT865" s="73"/>
      <c r="IU865" s="73"/>
      <c r="IV865" s="73"/>
      <c r="IW865" s="73"/>
      <c r="IX865" s="73"/>
      <c r="IY865" s="73"/>
      <c r="IZ865" s="73"/>
      <c r="JA865" s="73"/>
      <c r="JB865" s="73"/>
      <c r="JC865" s="73"/>
    </row>
    <row r="866" spans="2:263" s="72" customFormat="1">
      <c r="B866" s="73"/>
      <c r="C866" s="73"/>
      <c r="D866" s="73"/>
      <c r="E866" s="73"/>
      <c r="F866" s="73"/>
      <c r="G866" s="73"/>
      <c r="H866" s="73"/>
      <c r="I866" s="73"/>
      <c r="J866" s="73"/>
      <c r="K866" s="73"/>
      <c r="L866" s="73"/>
      <c r="M866" s="73"/>
      <c r="N866" s="73"/>
      <c r="O866" s="73"/>
      <c r="P866" s="73"/>
      <c r="Q866" s="73"/>
      <c r="R866" s="73"/>
      <c r="S866" s="73"/>
      <c r="T866" s="73"/>
      <c r="U866" s="73"/>
      <c r="V866" s="73"/>
      <c r="W866" s="73"/>
      <c r="GL866" s="73"/>
      <c r="GM866" s="73"/>
      <c r="GN866" s="73"/>
      <c r="GO866" s="73"/>
      <c r="GP866" s="73"/>
      <c r="GQ866" s="73"/>
      <c r="GR866" s="73"/>
      <c r="GS866" s="73"/>
      <c r="GT866" s="73"/>
      <c r="GU866" s="73"/>
      <c r="GV866" s="73"/>
      <c r="GW866" s="73"/>
      <c r="GX866" s="73"/>
      <c r="GY866" s="73"/>
      <c r="GZ866" s="73"/>
      <c r="HA866" s="73"/>
      <c r="HB866" s="73"/>
      <c r="HC866" s="73"/>
      <c r="HD866" s="73"/>
      <c r="HE866" s="73"/>
      <c r="HF866" s="73"/>
      <c r="HG866" s="73"/>
      <c r="HH866" s="73"/>
      <c r="HI866" s="73"/>
      <c r="HJ866" s="73"/>
      <c r="HK866" s="73"/>
      <c r="HL866" s="73"/>
      <c r="HM866" s="73"/>
      <c r="HN866" s="73"/>
      <c r="HO866" s="73"/>
      <c r="HP866" s="73"/>
      <c r="HQ866" s="73"/>
      <c r="HR866" s="73"/>
      <c r="HS866" s="73"/>
      <c r="HT866" s="73"/>
      <c r="HU866" s="73"/>
      <c r="HV866" s="73"/>
      <c r="HW866" s="73"/>
      <c r="HX866" s="73"/>
      <c r="HY866" s="73"/>
      <c r="HZ866" s="73"/>
      <c r="IA866" s="73"/>
      <c r="IB866" s="73"/>
      <c r="IC866" s="73"/>
      <c r="ID866" s="73"/>
      <c r="IE866" s="73"/>
      <c r="IF866" s="73"/>
      <c r="IG866" s="73"/>
      <c r="IH866" s="73"/>
      <c r="II866" s="73"/>
      <c r="IJ866" s="73"/>
      <c r="IK866" s="73"/>
      <c r="IL866" s="73"/>
      <c r="IM866" s="73"/>
      <c r="IN866" s="73"/>
      <c r="IO866" s="73"/>
      <c r="IP866" s="73"/>
      <c r="IQ866" s="73"/>
      <c r="IR866" s="73"/>
      <c r="IS866" s="73"/>
      <c r="IT866" s="73"/>
      <c r="IU866" s="73"/>
      <c r="IV866" s="73"/>
      <c r="IW866" s="73"/>
      <c r="IX866" s="73"/>
      <c r="IY866" s="73"/>
      <c r="IZ866" s="73"/>
      <c r="JA866" s="73"/>
      <c r="JB866" s="73"/>
      <c r="JC866" s="73"/>
    </row>
    <row r="867" spans="2:263" s="72" customFormat="1">
      <c r="B867" s="73"/>
      <c r="C867" s="73"/>
      <c r="D867" s="73"/>
      <c r="E867" s="73"/>
      <c r="F867" s="73"/>
      <c r="G867" s="73"/>
      <c r="H867" s="73"/>
      <c r="I867" s="73"/>
      <c r="J867" s="73"/>
      <c r="K867" s="73"/>
      <c r="L867" s="73"/>
      <c r="M867" s="73"/>
      <c r="N867" s="73"/>
      <c r="O867" s="73"/>
      <c r="P867" s="73"/>
      <c r="Q867" s="73"/>
      <c r="R867" s="73"/>
      <c r="S867" s="73"/>
      <c r="T867" s="73"/>
      <c r="U867" s="73"/>
      <c r="V867" s="73"/>
      <c r="W867" s="73"/>
      <c r="GL867" s="73"/>
      <c r="GM867" s="73"/>
      <c r="GN867" s="73"/>
      <c r="GO867" s="73"/>
      <c r="GP867" s="73"/>
      <c r="GQ867" s="73"/>
      <c r="GR867" s="73"/>
      <c r="GS867" s="73"/>
      <c r="GT867" s="73"/>
      <c r="GU867" s="73"/>
      <c r="GV867" s="73"/>
      <c r="GW867" s="73"/>
      <c r="GX867" s="73"/>
      <c r="GY867" s="73"/>
      <c r="GZ867" s="73"/>
      <c r="HA867" s="73"/>
      <c r="HB867" s="73"/>
      <c r="HC867" s="73"/>
      <c r="HD867" s="73"/>
      <c r="HE867" s="73"/>
      <c r="HF867" s="73"/>
      <c r="HG867" s="73"/>
      <c r="HH867" s="73"/>
      <c r="HI867" s="73"/>
      <c r="HJ867" s="73"/>
      <c r="HK867" s="73"/>
      <c r="HL867" s="73"/>
      <c r="HM867" s="73"/>
      <c r="HN867" s="73"/>
      <c r="HO867" s="73"/>
      <c r="HP867" s="73"/>
      <c r="HQ867" s="73"/>
      <c r="HR867" s="73"/>
      <c r="HS867" s="73"/>
      <c r="HT867" s="73"/>
      <c r="HU867" s="73"/>
      <c r="HV867" s="73"/>
      <c r="HW867" s="73"/>
      <c r="HX867" s="73"/>
      <c r="HY867" s="73"/>
      <c r="HZ867" s="73"/>
      <c r="IA867" s="73"/>
      <c r="IB867" s="73"/>
      <c r="IC867" s="73"/>
      <c r="ID867" s="73"/>
      <c r="IE867" s="73"/>
      <c r="IF867" s="73"/>
      <c r="IG867" s="73"/>
      <c r="IH867" s="73"/>
      <c r="II867" s="73"/>
      <c r="IJ867" s="73"/>
      <c r="IK867" s="73"/>
      <c r="IL867" s="73"/>
      <c r="IM867" s="73"/>
      <c r="IN867" s="73"/>
      <c r="IO867" s="73"/>
      <c r="IP867" s="73"/>
      <c r="IQ867" s="73"/>
      <c r="IR867" s="73"/>
      <c r="IS867" s="73"/>
      <c r="IT867" s="73"/>
      <c r="IU867" s="73"/>
      <c r="IV867" s="73"/>
      <c r="IW867" s="73"/>
      <c r="IX867" s="73"/>
      <c r="IY867" s="73"/>
      <c r="IZ867" s="73"/>
      <c r="JA867" s="73"/>
      <c r="JB867" s="73"/>
      <c r="JC867" s="73"/>
    </row>
    <row r="868" spans="2:263" s="72" customFormat="1">
      <c r="B868" s="73"/>
      <c r="C868" s="73"/>
      <c r="D868" s="73"/>
      <c r="E868" s="73"/>
      <c r="F868" s="73"/>
      <c r="G868" s="73"/>
      <c r="H868" s="73"/>
      <c r="I868" s="73"/>
      <c r="J868" s="73"/>
      <c r="K868" s="73"/>
      <c r="L868" s="73"/>
      <c r="M868" s="73"/>
      <c r="N868" s="73"/>
      <c r="O868" s="73"/>
      <c r="P868" s="73"/>
      <c r="Q868" s="73"/>
      <c r="R868" s="73"/>
      <c r="S868" s="73"/>
      <c r="T868" s="73"/>
      <c r="U868" s="73"/>
      <c r="V868" s="73"/>
      <c r="W868" s="73"/>
      <c r="GL868" s="73"/>
      <c r="GM868" s="73"/>
      <c r="GN868" s="73"/>
      <c r="GO868" s="73"/>
      <c r="GP868" s="73"/>
      <c r="GQ868" s="73"/>
      <c r="GR868" s="73"/>
      <c r="GS868" s="73"/>
      <c r="GT868" s="73"/>
      <c r="GU868" s="73"/>
      <c r="GV868" s="73"/>
      <c r="GW868" s="73"/>
      <c r="GX868" s="73"/>
      <c r="GY868" s="73"/>
      <c r="GZ868" s="73"/>
      <c r="HA868" s="73"/>
      <c r="HB868" s="73"/>
      <c r="HC868" s="73"/>
      <c r="HD868" s="73"/>
      <c r="HE868" s="73"/>
      <c r="HF868" s="73"/>
      <c r="HG868" s="73"/>
      <c r="HH868" s="73"/>
      <c r="HI868" s="73"/>
      <c r="HJ868" s="73"/>
      <c r="HK868" s="73"/>
      <c r="HL868" s="73"/>
      <c r="HM868" s="73"/>
      <c r="HN868" s="73"/>
      <c r="HO868" s="73"/>
      <c r="HP868" s="73"/>
      <c r="HQ868" s="73"/>
      <c r="HR868" s="73"/>
      <c r="HS868" s="73"/>
      <c r="HT868" s="73"/>
      <c r="HU868" s="73"/>
      <c r="HV868" s="73"/>
      <c r="HW868" s="73"/>
      <c r="HX868" s="73"/>
      <c r="HY868" s="73"/>
      <c r="HZ868" s="73"/>
      <c r="IA868" s="73"/>
      <c r="IB868" s="73"/>
      <c r="IC868" s="73"/>
      <c r="ID868" s="73"/>
      <c r="IE868" s="73"/>
      <c r="IF868" s="73"/>
      <c r="IG868" s="73"/>
      <c r="IH868" s="73"/>
      <c r="II868" s="73"/>
      <c r="IJ868" s="73"/>
      <c r="IK868" s="73"/>
      <c r="IL868" s="73"/>
      <c r="IM868" s="73"/>
      <c r="IN868" s="73"/>
      <c r="IO868" s="73"/>
      <c r="IP868" s="73"/>
      <c r="IQ868" s="73"/>
      <c r="IR868" s="73"/>
      <c r="IS868" s="73"/>
      <c r="IT868" s="73"/>
      <c r="IU868" s="73"/>
      <c r="IV868" s="73"/>
      <c r="IW868" s="73"/>
      <c r="IX868" s="73"/>
      <c r="IY868" s="73"/>
      <c r="IZ868" s="73"/>
      <c r="JA868" s="73"/>
      <c r="JB868" s="73"/>
      <c r="JC868" s="73"/>
    </row>
    <row r="869" spans="2:263" s="72" customFormat="1">
      <c r="B869" s="73"/>
      <c r="C869" s="73"/>
      <c r="D869" s="73"/>
      <c r="E869" s="73"/>
      <c r="F869" s="73"/>
      <c r="G869" s="73"/>
      <c r="H869" s="73"/>
      <c r="I869" s="73"/>
      <c r="J869" s="73"/>
      <c r="K869" s="73"/>
      <c r="L869" s="73"/>
      <c r="M869" s="73"/>
      <c r="N869" s="73"/>
      <c r="O869" s="73"/>
      <c r="P869" s="73"/>
      <c r="Q869" s="73"/>
      <c r="R869" s="73"/>
      <c r="S869" s="73"/>
      <c r="T869" s="73"/>
      <c r="U869" s="73"/>
      <c r="V869" s="73"/>
      <c r="W869" s="73"/>
      <c r="GL869" s="73"/>
      <c r="GM869" s="73"/>
      <c r="GN869" s="73"/>
      <c r="GO869" s="73"/>
      <c r="GP869" s="73"/>
      <c r="GQ869" s="73"/>
      <c r="GR869" s="73"/>
      <c r="GS869" s="73"/>
      <c r="GT869" s="73"/>
      <c r="GU869" s="73"/>
      <c r="GV869" s="73"/>
      <c r="GW869" s="73"/>
      <c r="GX869" s="73"/>
      <c r="GY869" s="73"/>
      <c r="GZ869" s="73"/>
      <c r="HA869" s="73"/>
      <c r="HB869" s="73"/>
      <c r="HC869" s="73"/>
      <c r="HD869" s="73"/>
      <c r="HE869" s="73"/>
      <c r="HF869" s="73"/>
      <c r="HG869" s="73"/>
      <c r="HH869" s="73"/>
      <c r="HI869" s="73"/>
      <c r="HJ869" s="73"/>
      <c r="HK869" s="73"/>
      <c r="HL869" s="73"/>
      <c r="HM869" s="73"/>
      <c r="HN869" s="73"/>
      <c r="HO869" s="73"/>
      <c r="HP869" s="73"/>
      <c r="HQ869" s="73"/>
      <c r="HR869" s="73"/>
      <c r="HS869" s="73"/>
      <c r="HT869" s="73"/>
      <c r="HU869" s="73"/>
      <c r="HV869" s="73"/>
      <c r="HW869" s="73"/>
      <c r="HX869" s="73"/>
      <c r="HY869" s="73"/>
      <c r="HZ869" s="73"/>
      <c r="IA869" s="73"/>
      <c r="IB869" s="73"/>
      <c r="IC869" s="73"/>
      <c r="ID869" s="73"/>
      <c r="IE869" s="73"/>
      <c r="IF869" s="73"/>
      <c r="IG869" s="73"/>
      <c r="IH869" s="73"/>
      <c r="II869" s="73"/>
      <c r="IJ869" s="73"/>
      <c r="IK869" s="73"/>
      <c r="IL869" s="73"/>
      <c r="IM869" s="73"/>
      <c r="IN869" s="73"/>
      <c r="IO869" s="73"/>
      <c r="IP869" s="73"/>
      <c r="IQ869" s="73"/>
      <c r="IR869" s="73"/>
      <c r="IS869" s="73"/>
      <c r="IT869" s="73"/>
      <c r="IU869" s="73"/>
      <c r="IV869" s="73"/>
      <c r="IW869" s="73"/>
      <c r="IX869" s="73"/>
      <c r="IY869" s="73"/>
      <c r="IZ869" s="73"/>
      <c r="JA869" s="73"/>
      <c r="JB869" s="73"/>
      <c r="JC869" s="73"/>
    </row>
    <row r="870" spans="2:263" s="72" customFormat="1">
      <c r="B870" s="73"/>
      <c r="C870" s="73"/>
      <c r="D870" s="73"/>
      <c r="E870" s="73"/>
      <c r="F870" s="73"/>
      <c r="G870" s="73"/>
      <c r="H870" s="73"/>
      <c r="I870" s="73"/>
      <c r="J870" s="73"/>
      <c r="K870" s="73"/>
      <c r="L870" s="73"/>
      <c r="M870" s="73"/>
      <c r="N870" s="73"/>
      <c r="O870" s="73"/>
      <c r="P870" s="73"/>
      <c r="Q870" s="73"/>
      <c r="R870" s="73"/>
      <c r="S870" s="73"/>
      <c r="T870" s="73"/>
      <c r="U870" s="73"/>
      <c r="V870" s="73"/>
      <c r="W870" s="73"/>
      <c r="GL870" s="73"/>
      <c r="GM870" s="73"/>
      <c r="GN870" s="73"/>
      <c r="GO870" s="73"/>
      <c r="GP870" s="73"/>
      <c r="GQ870" s="73"/>
      <c r="GR870" s="73"/>
      <c r="GS870" s="73"/>
      <c r="GT870" s="73"/>
      <c r="GU870" s="73"/>
      <c r="GV870" s="73"/>
      <c r="GW870" s="73"/>
      <c r="GX870" s="73"/>
      <c r="GY870" s="73"/>
      <c r="GZ870" s="73"/>
      <c r="HA870" s="73"/>
      <c r="HB870" s="73"/>
      <c r="HC870" s="73"/>
      <c r="HD870" s="73"/>
      <c r="HE870" s="73"/>
      <c r="HF870" s="73"/>
      <c r="HG870" s="73"/>
      <c r="HH870" s="73"/>
      <c r="HI870" s="73"/>
      <c r="HJ870" s="73"/>
      <c r="HK870" s="73"/>
      <c r="HL870" s="73"/>
      <c r="HM870" s="73"/>
      <c r="HN870" s="73"/>
      <c r="HO870" s="73"/>
      <c r="HP870" s="73"/>
      <c r="HQ870" s="73"/>
      <c r="HR870" s="73"/>
      <c r="HS870" s="73"/>
      <c r="HT870" s="73"/>
      <c r="HU870" s="73"/>
      <c r="HV870" s="73"/>
      <c r="HW870" s="73"/>
      <c r="HX870" s="73"/>
      <c r="HY870" s="73"/>
      <c r="HZ870" s="73"/>
      <c r="IA870" s="73"/>
      <c r="IB870" s="73"/>
      <c r="IC870" s="73"/>
      <c r="ID870" s="73"/>
      <c r="IE870" s="73"/>
      <c r="IF870" s="73"/>
      <c r="IG870" s="73"/>
      <c r="IH870" s="73"/>
      <c r="II870" s="73"/>
      <c r="IJ870" s="73"/>
      <c r="IK870" s="73"/>
      <c r="IL870" s="73"/>
      <c r="IM870" s="73"/>
      <c r="IN870" s="73"/>
      <c r="IO870" s="73"/>
      <c r="IP870" s="73"/>
      <c r="IQ870" s="73"/>
      <c r="IR870" s="73"/>
      <c r="IS870" s="73"/>
      <c r="IT870" s="73"/>
      <c r="IU870" s="73"/>
      <c r="IV870" s="73"/>
      <c r="IW870" s="73"/>
      <c r="IX870" s="73"/>
      <c r="IY870" s="73"/>
      <c r="IZ870" s="73"/>
      <c r="JA870" s="73"/>
      <c r="JB870" s="73"/>
      <c r="JC870" s="73"/>
    </row>
    <row r="871" spans="2:263" s="72" customFormat="1">
      <c r="B871" s="73"/>
      <c r="C871" s="73"/>
      <c r="D871" s="73"/>
      <c r="E871" s="73"/>
      <c r="F871" s="73"/>
      <c r="G871" s="73"/>
      <c r="H871" s="73"/>
      <c r="I871" s="73"/>
      <c r="J871" s="73"/>
      <c r="K871" s="73"/>
      <c r="L871" s="73"/>
      <c r="M871" s="73"/>
      <c r="N871" s="73"/>
      <c r="O871" s="73"/>
      <c r="P871" s="73"/>
      <c r="Q871" s="73"/>
      <c r="R871" s="73"/>
      <c r="S871" s="73"/>
      <c r="T871" s="73"/>
      <c r="U871" s="73"/>
      <c r="V871" s="73"/>
      <c r="W871" s="73"/>
      <c r="GL871" s="73"/>
      <c r="GM871" s="73"/>
      <c r="GN871" s="73"/>
      <c r="GO871" s="73"/>
      <c r="GP871" s="73"/>
      <c r="GQ871" s="73"/>
      <c r="GR871" s="73"/>
      <c r="GS871" s="73"/>
      <c r="GT871" s="73"/>
      <c r="GU871" s="73"/>
      <c r="GV871" s="73"/>
      <c r="GW871" s="73"/>
      <c r="GX871" s="73"/>
      <c r="GY871" s="73"/>
      <c r="GZ871" s="73"/>
      <c r="HA871" s="73"/>
      <c r="HB871" s="73"/>
      <c r="HC871" s="73"/>
      <c r="HD871" s="73"/>
      <c r="HE871" s="73"/>
      <c r="HF871" s="73"/>
      <c r="HG871" s="73"/>
      <c r="HH871" s="73"/>
      <c r="HI871" s="73"/>
      <c r="HJ871" s="73"/>
      <c r="HK871" s="73"/>
      <c r="HL871" s="73"/>
      <c r="HM871" s="73"/>
      <c r="HN871" s="73"/>
      <c r="HO871" s="73"/>
      <c r="HP871" s="73"/>
      <c r="HQ871" s="73"/>
      <c r="HR871" s="73"/>
      <c r="HS871" s="73"/>
      <c r="HT871" s="73"/>
      <c r="HU871" s="73"/>
      <c r="HV871" s="73"/>
      <c r="HW871" s="73"/>
      <c r="HX871" s="73"/>
      <c r="HY871" s="73"/>
      <c r="HZ871" s="73"/>
      <c r="IA871" s="73"/>
      <c r="IB871" s="73"/>
      <c r="IC871" s="73"/>
      <c r="ID871" s="73"/>
      <c r="IE871" s="73"/>
      <c r="IF871" s="73"/>
      <c r="IG871" s="73"/>
      <c r="IH871" s="73"/>
      <c r="II871" s="73"/>
      <c r="IJ871" s="73"/>
      <c r="IK871" s="73"/>
      <c r="IL871" s="73"/>
      <c r="IM871" s="73"/>
      <c r="IN871" s="73"/>
      <c r="IO871" s="73"/>
      <c r="IP871" s="73"/>
      <c r="IQ871" s="73"/>
      <c r="IR871" s="73"/>
      <c r="IS871" s="73"/>
      <c r="IT871" s="73"/>
      <c r="IU871" s="73"/>
      <c r="IV871" s="73"/>
      <c r="IW871" s="73"/>
      <c r="IX871" s="73"/>
      <c r="IY871" s="73"/>
      <c r="IZ871" s="73"/>
      <c r="JA871" s="73"/>
      <c r="JB871" s="73"/>
      <c r="JC871" s="73"/>
    </row>
    <row r="872" spans="2:263" s="72" customFormat="1">
      <c r="B872" s="73"/>
      <c r="C872" s="73"/>
      <c r="D872" s="73"/>
      <c r="E872" s="73"/>
      <c r="F872" s="73"/>
      <c r="G872" s="73"/>
      <c r="H872" s="73"/>
      <c r="I872" s="73"/>
      <c r="J872" s="73"/>
      <c r="K872" s="73"/>
      <c r="L872" s="73"/>
      <c r="M872" s="73"/>
      <c r="N872" s="73"/>
      <c r="O872" s="73"/>
      <c r="P872" s="73"/>
      <c r="Q872" s="73"/>
      <c r="R872" s="73"/>
      <c r="S872" s="73"/>
      <c r="T872" s="73"/>
      <c r="U872" s="73"/>
      <c r="V872" s="73"/>
      <c r="W872" s="73"/>
      <c r="GL872" s="73"/>
      <c r="GM872" s="73"/>
      <c r="GN872" s="73"/>
      <c r="GO872" s="73"/>
      <c r="GP872" s="73"/>
      <c r="GQ872" s="73"/>
      <c r="GR872" s="73"/>
      <c r="GS872" s="73"/>
      <c r="GT872" s="73"/>
      <c r="GU872" s="73"/>
      <c r="GV872" s="73"/>
      <c r="GW872" s="73"/>
      <c r="GX872" s="73"/>
      <c r="GY872" s="73"/>
      <c r="GZ872" s="73"/>
      <c r="HA872" s="73"/>
      <c r="HB872" s="73"/>
      <c r="HC872" s="73"/>
      <c r="HD872" s="73"/>
      <c r="HE872" s="73"/>
      <c r="HF872" s="73"/>
      <c r="HG872" s="73"/>
      <c r="HH872" s="73"/>
      <c r="HI872" s="73"/>
      <c r="HJ872" s="73"/>
      <c r="HK872" s="73"/>
      <c r="HL872" s="73"/>
      <c r="HM872" s="73"/>
      <c r="HN872" s="73"/>
      <c r="HO872" s="73"/>
      <c r="HP872" s="73"/>
      <c r="HQ872" s="73"/>
      <c r="HR872" s="73"/>
      <c r="HS872" s="73"/>
      <c r="HT872" s="73"/>
      <c r="HU872" s="73"/>
      <c r="HV872" s="73"/>
      <c r="HW872" s="73"/>
      <c r="HX872" s="73"/>
      <c r="HY872" s="73"/>
      <c r="HZ872" s="73"/>
      <c r="IA872" s="73"/>
      <c r="IB872" s="73"/>
      <c r="IC872" s="73"/>
      <c r="ID872" s="73"/>
      <c r="IE872" s="73"/>
      <c r="IF872" s="73"/>
      <c r="IG872" s="73"/>
      <c r="IH872" s="73"/>
      <c r="II872" s="73"/>
      <c r="IJ872" s="73"/>
      <c r="IK872" s="73"/>
      <c r="IL872" s="73"/>
      <c r="IM872" s="73"/>
      <c r="IN872" s="73"/>
      <c r="IO872" s="73"/>
      <c r="IP872" s="73"/>
      <c r="IQ872" s="73"/>
      <c r="IR872" s="73"/>
      <c r="IS872" s="73"/>
      <c r="IT872" s="73"/>
      <c r="IU872" s="73"/>
      <c r="IV872" s="73"/>
      <c r="IW872" s="73"/>
      <c r="IX872" s="73"/>
      <c r="IY872" s="73"/>
      <c r="IZ872" s="73"/>
      <c r="JA872" s="73"/>
      <c r="JB872" s="73"/>
      <c r="JC872" s="73"/>
    </row>
    <row r="873" spans="2:263" s="72" customFormat="1">
      <c r="B873" s="73"/>
      <c r="C873" s="73"/>
      <c r="D873" s="73"/>
      <c r="E873" s="73"/>
      <c r="F873" s="73"/>
      <c r="G873" s="73"/>
      <c r="H873" s="73"/>
      <c r="I873" s="73"/>
      <c r="J873" s="73"/>
      <c r="K873" s="73"/>
      <c r="L873" s="73"/>
      <c r="M873" s="73"/>
      <c r="N873" s="73"/>
      <c r="O873" s="73"/>
      <c r="P873" s="73"/>
      <c r="Q873" s="73"/>
      <c r="R873" s="73"/>
      <c r="S873" s="73"/>
      <c r="T873" s="73"/>
      <c r="U873" s="73"/>
      <c r="V873" s="73"/>
      <c r="W873" s="73"/>
      <c r="GL873" s="73"/>
      <c r="GM873" s="73"/>
      <c r="GN873" s="73"/>
      <c r="GO873" s="73"/>
      <c r="GP873" s="73"/>
      <c r="GQ873" s="73"/>
      <c r="GR873" s="73"/>
      <c r="GS873" s="73"/>
      <c r="GT873" s="73"/>
      <c r="GU873" s="73"/>
      <c r="GV873" s="73"/>
      <c r="GW873" s="73"/>
      <c r="GX873" s="73"/>
      <c r="GY873" s="73"/>
      <c r="GZ873" s="73"/>
      <c r="HA873" s="73"/>
      <c r="HB873" s="73"/>
      <c r="HC873" s="73"/>
      <c r="HD873" s="73"/>
      <c r="HE873" s="73"/>
      <c r="HF873" s="73"/>
      <c r="HG873" s="73"/>
      <c r="HH873" s="73"/>
      <c r="HI873" s="73"/>
      <c r="HJ873" s="73"/>
      <c r="HK873" s="73"/>
      <c r="HL873" s="73"/>
      <c r="HM873" s="73"/>
      <c r="HN873" s="73"/>
      <c r="HO873" s="73"/>
      <c r="HP873" s="73"/>
      <c r="HQ873" s="73"/>
      <c r="HR873" s="73"/>
      <c r="HS873" s="73"/>
      <c r="HT873" s="73"/>
      <c r="HU873" s="73"/>
      <c r="HV873" s="73"/>
      <c r="HW873" s="73"/>
      <c r="HX873" s="73"/>
      <c r="HY873" s="73"/>
      <c r="HZ873" s="73"/>
      <c r="IA873" s="73"/>
      <c r="IB873" s="73"/>
      <c r="IC873" s="73"/>
      <c r="ID873" s="73"/>
      <c r="IE873" s="73"/>
      <c r="IF873" s="73"/>
      <c r="IG873" s="73"/>
      <c r="IH873" s="73"/>
      <c r="II873" s="73"/>
      <c r="IJ873" s="73"/>
      <c r="IK873" s="73"/>
      <c r="IL873" s="73"/>
      <c r="IM873" s="73"/>
      <c r="IN873" s="73"/>
      <c r="IO873" s="73"/>
      <c r="IP873" s="73"/>
      <c r="IQ873" s="73"/>
      <c r="IR873" s="73"/>
      <c r="IS873" s="73"/>
      <c r="IT873" s="73"/>
      <c r="IU873" s="73"/>
      <c r="IV873" s="73"/>
      <c r="IW873" s="73"/>
      <c r="IX873" s="73"/>
      <c r="IY873" s="73"/>
      <c r="IZ873" s="73"/>
      <c r="JA873" s="73"/>
      <c r="JB873" s="73"/>
      <c r="JC873" s="73"/>
    </row>
    <row r="874" spans="2:263" s="72" customFormat="1">
      <c r="B874" s="73"/>
      <c r="C874" s="73"/>
      <c r="D874" s="73"/>
      <c r="E874" s="73"/>
      <c r="F874" s="73"/>
      <c r="G874" s="73"/>
      <c r="H874" s="73"/>
      <c r="I874" s="73"/>
      <c r="J874" s="73"/>
      <c r="K874" s="73"/>
      <c r="L874" s="73"/>
      <c r="M874" s="73"/>
      <c r="N874" s="73"/>
      <c r="O874" s="73"/>
      <c r="P874" s="73"/>
      <c r="Q874" s="73"/>
      <c r="R874" s="73"/>
      <c r="S874" s="73"/>
      <c r="T874" s="73"/>
      <c r="U874" s="73"/>
      <c r="V874" s="73"/>
      <c r="W874" s="73"/>
      <c r="GL874" s="73"/>
      <c r="GM874" s="73"/>
      <c r="GN874" s="73"/>
      <c r="GO874" s="73"/>
      <c r="GP874" s="73"/>
      <c r="GQ874" s="73"/>
      <c r="GR874" s="73"/>
      <c r="GS874" s="73"/>
      <c r="GT874" s="73"/>
      <c r="GU874" s="73"/>
      <c r="GV874" s="73"/>
      <c r="GW874" s="73"/>
      <c r="GX874" s="73"/>
      <c r="GY874" s="73"/>
      <c r="GZ874" s="73"/>
      <c r="HA874" s="73"/>
      <c r="HB874" s="73"/>
      <c r="HC874" s="73"/>
      <c r="HD874" s="73"/>
      <c r="HE874" s="73"/>
      <c r="HF874" s="73"/>
      <c r="HG874" s="73"/>
      <c r="HH874" s="73"/>
      <c r="HI874" s="73"/>
      <c r="HJ874" s="73"/>
      <c r="HK874" s="73"/>
      <c r="HL874" s="73"/>
      <c r="HM874" s="73"/>
      <c r="HN874" s="73"/>
      <c r="HO874" s="73"/>
      <c r="HP874" s="73"/>
      <c r="HQ874" s="73"/>
      <c r="HR874" s="73"/>
      <c r="HS874" s="73"/>
      <c r="HT874" s="73"/>
      <c r="HU874" s="73"/>
      <c r="HV874" s="73"/>
      <c r="HW874" s="73"/>
      <c r="HX874" s="73"/>
      <c r="HY874" s="73"/>
      <c r="HZ874" s="73"/>
      <c r="IA874" s="73"/>
      <c r="IB874" s="73"/>
      <c r="IC874" s="73"/>
      <c r="ID874" s="73"/>
      <c r="IE874" s="73"/>
      <c r="IF874" s="73"/>
      <c r="IG874" s="73"/>
      <c r="IH874" s="73"/>
      <c r="II874" s="73"/>
      <c r="IJ874" s="73"/>
      <c r="IK874" s="73"/>
      <c r="IL874" s="73"/>
      <c r="IM874" s="73"/>
      <c r="IN874" s="73"/>
      <c r="IO874" s="73"/>
      <c r="IP874" s="73"/>
      <c r="IQ874" s="73"/>
      <c r="IR874" s="73"/>
      <c r="IS874" s="73"/>
      <c r="IT874" s="73"/>
      <c r="IU874" s="73"/>
      <c r="IV874" s="73"/>
      <c r="IW874" s="73"/>
      <c r="IX874" s="73"/>
      <c r="IY874" s="73"/>
      <c r="IZ874" s="73"/>
      <c r="JA874" s="73"/>
      <c r="JB874" s="73"/>
      <c r="JC874" s="73"/>
    </row>
    <row r="875" spans="2:263" s="72" customFormat="1">
      <c r="B875" s="73"/>
      <c r="C875" s="73"/>
      <c r="D875" s="73"/>
      <c r="E875" s="73"/>
      <c r="F875" s="73"/>
      <c r="G875" s="73"/>
      <c r="H875" s="73"/>
      <c r="I875" s="73"/>
      <c r="J875" s="73"/>
      <c r="K875" s="73"/>
      <c r="L875" s="73"/>
      <c r="M875" s="73"/>
      <c r="N875" s="73"/>
      <c r="O875" s="73"/>
      <c r="P875" s="73"/>
      <c r="Q875" s="73"/>
      <c r="R875" s="73"/>
      <c r="S875" s="73"/>
      <c r="T875" s="73"/>
      <c r="U875" s="73"/>
      <c r="V875" s="73"/>
      <c r="W875" s="73"/>
      <c r="GL875" s="73"/>
      <c r="GM875" s="73"/>
      <c r="GN875" s="73"/>
      <c r="GO875" s="73"/>
      <c r="GP875" s="73"/>
      <c r="GQ875" s="73"/>
      <c r="GR875" s="73"/>
      <c r="GS875" s="73"/>
      <c r="GT875" s="73"/>
      <c r="GU875" s="73"/>
      <c r="GV875" s="73"/>
      <c r="GW875" s="73"/>
      <c r="GX875" s="73"/>
      <c r="GY875" s="73"/>
      <c r="GZ875" s="73"/>
      <c r="HA875" s="73"/>
      <c r="HB875" s="73"/>
      <c r="HC875" s="73"/>
      <c r="HD875" s="73"/>
      <c r="HE875" s="73"/>
      <c r="HF875" s="73"/>
      <c r="HG875" s="73"/>
      <c r="HH875" s="73"/>
      <c r="HI875" s="73"/>
      <c r="HJ875" s="73"/>
      <c r="HK875" s="73"/>
      <c r="HL875" s="73"/>
      <c r="HM875" s="73"/>
      <c r="HN875" s="73"/>
      <c r="HO875" s="73"/>
      <c r="HP875" s="73"/>
      <c r="HQ875" s="73"/>
      <c r="HR875" s="73"/>
      <c r="HS875" s="73"/>
      <c r="HT875" s="73"/>
      <c r="HU875" s="73"/>
      <c r="HV875" s="73"/>
      <c r="HW875" s="73"/>
      <c r="HX875" s="73"/>
      <c r="HY875" s="73"/>
      <c r="HZ875" s="73"/>
      <c r="IA875" s="73"/>
      <c r="IB875" s="73"/>
      <c r="IC875" s="73"/>
      <c r="ID875" s="73"/>
      <c r="IE875" s="73"/>
      <c r="IF875" s="73"/>
      <c r="IG875" s="73"/>
      <c r="IH875" s="73"/>
      <c r="II875" s="73"/>
      <c r="IJ875" s="73"/>
      <c r="IK875" s="73"/>
      <c r="IL875" s="73"/>
      <c r="IM875" s="73"/>
      <c r="IN875" s="73"/>
      <c r="IO875" s="73"/>
      <c r="IP875" s="73"/>
      <c r="IQ875" s="73"/>
      <c r="IR875" s="73"/>
      <c r="IS875" s="73"/>
      <c r="IT875" s="73"/>
      <c r="IU875" s="73"/>
      <c r="IV875" s="73"/>
      <c r="IW875" s="73"/>
      <c r="IX875" s="73"/>
      <c r="IY875" s="73"/>
      <c r="IZ875" s="73"/>
      <c r="JA875" s="73"/>
      <c r="JB875" s="73"/>
      <c r="JC875" s="73"/>
    </row>
    <row r="876" spans="2:263" s="72" customFormat="1">
      <c r="B876" s="73"/>
      <c r="C876" s="73"/>
      <c r="D876" s="73"/>
      <c r="E876" s="73"/>
      <c r="F876" s="73"/>
      <c r="G876" s="73"/>
      <c r="H876" s="73"/>
      <c r="I876" s="73"/>
      <c r="J876" s="73"/>
      <c r="K876" s="73"/>
      <c r="L876" s="73"/>
      <c r="M876" s="73"/>
      <c r="N876" s="73"/>
      <c r="O876" s="73"/>
      <c r="P876" s="73"/>
      <c r="Q876" s="73"/>
      <c r="R876" s="73"/>
      <c r="S876" s="73"/>
      <c r="T876" s="73"/>
      <c r="U876" s="73"/>
      <c r="V876" s="73"/>
      <c r="W876" s="73"/>
      <c r="GL876" s="73"/>
      <c r="GM876" s="73"/>
      <c r="GN876" s="73"/>
      <c r="GO876" s="73"/>
      <c r="GP876" s="73"/>
      <c r="GQ876" s="73"/>
      <c r="GR876" s="73"/>
      <c r="GS876" s="73"/>
      <c r="GT876" s="73"/>
      <c r="GU876" s="73"/>
      <c r="GV876" s="73"/>
      <c r="GW876" s="73"/>
      <c r="GX876" s="73"/>
      <c r="GY876" s="73"/>
      <c r="GZ876" s="73"/>
      <c r="HA876" s="73"/>
      <c r="HB876" s="73"/>
      <c r="HC876" s="73"/>
      <c r="HD876" s="73"/>
      <c r="HE876" s="73"/>
      <c r="HF876" s="73"/>
      <c r="HG876" s="73"/>
      <c r="HH876" s="73"/>
      <c r="HI876" s="73"/>
      <c r="HJ876" s="73"/>
      <c r="HK876" s="73"/>
      <c r="HL876" s="73"/>
      <c r="HM876" s="73"/>
      <c r="HN876" s="73"/>
      <c r="HO876" s="73"/>
      <c r="HP876" s="73"/>
      <c r="HQ876" s="73"/>
      <c r="HR876" s="73"/>
      <c r="HS876" s="73"/>
      <c r="HT876" s="73"/>
      <c r="HU876" s="73"/>
      <c r="HV876" s="73"/>
      <c r="HW876" s="73"/>
      <c r="HX876" s="73"/>
      <c r="HY876" s="73"/>
      <c r="HZ876" s="73"/>
      <c r="IA876" s="73"/>
      <c r="IB876" s="73"/>
      <c r="IC876" s="73"/>
      <c r="ID876" s="73"/>
      <c r="IE876" s="73"/>
      <c r="IF876" s="73"/>
      <c r="IG876" s="73"/>
      <c r="IH876" s="73"/>
      <c r="II876" s="73"/>
      <c r="IJ876" s="73"/>
      <c r="IK876" s="73"/>
      <c r="IL876" s="73"/>
      <c r="IM876" s="73"/>
      <c r="IN876" s="73"/>
      <c r="IO876" s="73"/>
      <c r="IP876" s="73"/>
      <c r="IQ876" s="73"/>
      <c r="IR876" s="73"/>
      <c r="IS876" s="73"/>
      <c r="IT876" s="73"/>
      <c r="IU876" s="73"/>
      <c r="IV876" s="73"/>
      <c r="IW876" s="73"/>
      <c r="IX876" s="73"/>
      <c r="IY876" s="73"/>
      <c r="IZ876" s="73"/>
      <c r="JA876" s="73"/>
      <c r="JB876" s="73"/>
      <c r="JC876" s="73"/>
    </row>
    <row r="877" spans="2:263" s="72" customFormat="1">
      <c r="B877" s="73"/>
      <c r="C877" s="73"/>
      <c r="D877" s="73"/>
      <c r="E877" s="73"/>
      <c r="F877" s="73"/>
      <c r="G877" s="73"/>
      <c r="H877" s="73"/>
      <c r="I877" s="73"/>
      <c r="J877" s="73"/>
      <c r="K877" s="73"/>
      <c r="L877" s="73"/>
      <c r="M877" s="73"/>
      <c r="N877" s="73"/>
      <c r="O877" s="73"/>
      <c r="P877" s="73"/>
      <c r="Q877" s="73"/>
      <c r="R877" s="73"/>
      <c r="S877" s="73"/>
      <c r="T877" s="73"/>
      <c r="U877" s="73"/>
      <c r="V877" s="73"/>
      <c r="W877" s="73"/>
      <c r="GL877" s="73"/>
      <c r="GM877" s="73"/>
      <c r="GN877" s="73"/>
      <c r="GO877" s="73"/>
      <c r="GP877" s="73"/>
      <c r="GQ877" s="73"/>
      <c r="GR877" s="73"/>
      <c r="GS877" s="73"/>
      <c r="GT877" s="73"/>
      <c r="GU877" s="73"/>
      <c r="GV877" s="73"/>
      <c r="GW877" s="73"/>
      <c r="GX877" s="73"/>
      <c r="GY877" s="73"/>
      <c r="GZ877" s="73"/>
      <c r="HA877" s="73"/>
      <c r="HB877" s="73"/>
      <c r="HC877" s="73"/>
      <c r="HD877" s="73"/>
      <c r="HE877" s="73"/>
      <c r="HF877" s="73"/>
      <c r="HG877" s="73"/>
      <c r="HH877" s="73"/>
      <c r="HI877" s="73"/>
      <c r="HJ877" s="73"/>
      <c r="HK877" s="73"/>
      <c r="HL877" s="73"/>
      <c r="HM877" s="73"/>
      <c r="HN877" s="73"/>
      <c r="HO877" s="73"/>
      <c r="HP877" s="73"/>
      <c r="HQ877" s="73"/>
      <c r="HR877" s="73"/>
      <c r="HS877" s="73"/>
      <c r="HT877" s="73"/>
      <c r="HU877" s="73"/>
      <c r="HV877" s="73"/>
      <c r="HW877" s="73"/>
      <c r="HX877" s="73"/>
      <c r="HY877" s="73"/>
      <c r="HZ877" s="73"/>
      <c r="IA877" s="73"/>
      <c r="IB877" s="73"/>
      <c r="IC877" s="73"/>
      <c r="ID877" s="73"/>
      <c r="IE877" s="73"/>
      <c r="IF877" s="73"/>
      <c r="IG877" s="73"/>
      <c r="IH877" s="73"/>
      <c r="II877" s="73"/>
      <c r="IJ877" s="73"/>
      <c r="IK877" s="73"/>
      <c r="IL877" s="73"/>
      <c r="IM877" s="73"/>
      <c r="IN877" s="73"/>
      <c r="IO877" s="73"/>
      <c r="IP877" s="73"/>
      <c r="IQ877" s="73"/>
      <c r="IR877" s="73"/>
      <c r="IS877" s="73"/>
      <c r="IT877" s="73"/>
      <c r="IU877" s="73"/>
      <c r="IV877" s="73"/>
      <c r="IW877" s="73"/>
      <c r="IX877" s="73"/>
      <c r="IY877" s="73"/>
      <c r="IZ877" s="73"/>
      <c r="JA877" s="73"/>
      <c r="JB877" s="73"/>
      <c r="JC877" s="73"/>
    </row>
    <row r="878" spans="2:263" s="72" customFormat="1">
      <c r="B878" s="73"/>
      <c r="C878" s="73"/>
      <c r="D878" s="73"/>
      <c r="E878" s="73"/>
      <c r="F878" s="73"/>
      <c r="G878" s="73"/>
      <c r="H878" s="73"/>
      <c r="I878" s="73"/>
      <c r="J878" s="73"/>
      <c r="K878" s="73"/>
      <c r="L878" s="73"/>
      <c r="M878" s="73"/>
      <c r="N878" s="73"/>
      <c r="O878" s="73"/>
      <c r="P878" s="73"/>
      <c r="Q878" s="73"/>
      <c r="R878" s="73"/>
      <c r="S878" s="73"/>
      <c r="T878" s="73"/>
      <c r="U878" s="73"/>
      <c r="V878" s="73"/>
      <c r="W878" s="73"/>
      <c r="GL878" s="73"/>
      <c r="GM878" s="73"/>
      <c r="GN878" s="73"/>
      <c r="GO878" s="73"/>
      <c r="GP878" s="73"/>
      <c r="GQ878" s="73"/>
      <c r="GR878" s="73"/>
      <c r="GS878" s="73"/>
      <c r="GT878" s="73"/>
      <c r="GU878" s="73"/>
      <c r="GV878" s="73"/>
      <c r="GW878" s="73"/>
      <c r="GX878" s="73"/>
      <c r="GY878" s="73"/>
      <c r="GZ878" s="73"/>
      <c r="HA878" s="73"/>
      <c r="HB878" s="73"/>
      <c r="HC878" s="73"/>
      <c r="HD878" s="73"/>
      <c r="HE878" s="73"/>
      <c r="HF878" s="73"/>
      <c r="HG878" s="73"/>
      <c r="HH878" s="73"/>
      <c r="HI878" s="73"/>
      <c r="HJ878" s="73"/>
      <c r="HK878" s="73"/>
      <c r="HL878" s="73"/>
      <c r="HM878" s="73"/>
      <c r="HN878" s="73"/>
      <c r="HO878" s="73"/>
      <c r="HP878" s="73"/>
      <c r="HQ878" s="73"/>
      <c r="HR878" s="73"/>
      <c r="HS878" s="73"/>
      <c r="HT878" s="73"/>
      <c r="HU878" s="73"/>
      <c r="HV878" s="73"/>
      <c r="HW878" s="73"/>
      <c r="HX878" s="73"/>
      <c r="HY878" s="73"/>
      <c r="HZ878" s="73"/>
      <c r="IA878" s="73"/>
      <c r="IB878" s="73"/>
      <c r="IC878" s="73"/>
      <c r="ID878" s="73"/>
      <c r="IE878" s="73"/>
      <c r="IF878" s="73"/>
      <c r="IG878" s="73"/>
      <c r="IH878" s="73"/>
      <c r="II878" s="73"/>
      <c r="IJ878" s="73"/>
      <c r="IK878" s="73"/>
      <c r="IL878" s="73"/>
      <c r="IM878" s="73"/>
      <c r="IN878" s="73"/>
      <c r="IO878" s="73"/>
      <c r="IP878" s="73"/>
      <c r="IQ878" s="73"/>
      <c r="IR878" s="73"/>
      <c r="IS878" s="73"/>
      <c r="IT878" s="73"/>
      <c r="IU878" s="73"/>
      <c r="IV878" s="73"/>
      <c r="IW878" s="73"/>
      <c r="IX878" s="73"/>
      <c r="IY878" s="73"/>
      <c r="IZ878" s="73"/>
      <c r="JA878" s="73"/>
      <c r="JB878" s="73"/>
      <c r="JC878" s="73"/>
    </row>
    <row r="879" spans="2:263" s="72" customFormat="1">
      <c r="B879" s="73"/>
      <c r="C879" s="73"/>
      <c r="D879" s="73"/>
      <c r="E879" s="73"/>
      <c r="F879" s="73"/>
      <c r="G879" s="73"/>
      <c r="H879" s="73"/>
      <c r="I879" s="73"/>
      <c r="J879" s="73"/>
      <c r="K879" s="73"/>
      <c r="L879" s="73"/>
      <c r="M879" s="73"/>
      <c r="N879" s="73"/>
      <c r="O879" s="73"/>
      <c r="P879" s="73"/>
      <c r="Q879" s="73"/>
      <c r="R879" s="73"/>
      <c r="S879" s="73"/>
      <c r="T879" s="73"/>
      <c r="U879" s="73"/>
      <c r="V879" s="73"/>
      <c r="W879" s="73"/>
      <c r="GL879" s="73"/>
      <c r="GM879" s="73"/>
      <c r="GN879" s="73"/>
      <c r="GO879" s="73"/>
      <c r="GP879" s="73"/>
      <c r="GQ879" s="73"/>
      <c r="GR879" s="73"/>
      <c r="GS879" s="73"/>
      <c r="GT879" s="73"/>
      <c r="GU879" s="73"/>
      <c r="GV879" s="73"/>
      <c r="GW879" s="73"/>
      <c r="GX879" s="73"/>
      <c r="GY879" s="73"/>
      <c r="GZ879" s="73"/>
      <c r="HA879" s="73"/>
      <c r="HB879" s="73"/>
      <c r="HC879" s="73"/>
      <c r="HD879" s="73"/>
      <c r="HE879" s="73"/>
      <c r="HF879" s="73"/>
      <c r="HG879" s="73"/>
      <c r="HH879" s="73"/>
      <c r="HI879" s="73"/>
      <c r="HJ879" s="73"/>
      <c r="HK879" s="73"/>
      <c r="HL879" s="73"/>
      <c r="HM879" s="73"/>
      <c r="HN879" s="73"/>
      <c r="HO879" s="73"/>
      <c r="HP879" s="73"/>
      <c r="HQ879" s="73"/>
      <c r="HR879" s="73"/>
      <c r="HS879" s="73"/>
      <c r="HT879" s="73"/>
      <c r="HU879" s="73"/>
      <c r="HV879" s="73"/>
      <c r="HW879" s="73"/>
      <c r="HX879" s="73"/>
      <c r="HY879" s="73"/>
      <c r="HZ879" s="73"/>
      <c r="IA879" s="73"/>
      <c r="IB879" s="73"/>
      <c r="IC879" s="73"/>
      <c r="ID879" s="73"/>
      <c r="IE879" s="73"/>
      <c r="IF879" s="73"/>
      <c r="IG879" s="73"/>
      <c r="IH879" s="73"/>
      <c r="II879" s="73"/>
      <c r="IJ879" s="73"/>
      <c r="IK879" s="73"/>
      <c r="IL879" s="73"/>
      <c r="IM879" s="73"/>
      <c r="IN879" s="73"/>
      <c r="IO879" s="73"/>
      <c r="IP879" s="73"/>
      <c r="IQ879" s="73"/>
      <c r="IR879" s="73"/>
      <c r="IS879" s="73"/>
      <c r="IT879" s="73"/>
      <c r="IU879" s="73"/>
      <c r="IV879" s="73"/>
      <c r="IW879" s="73"/>
      <c r="IX879" s="73"/>
      <c r="IY879" s="73"/>
      <c r="IZ879" s="73"/>
      <c r="JA879" s="73"/>
      <c r="JB879" s="73"/>
      <c r="JC879" s="73"/>
    </row>
    <row r="880" spans="2:263" s="72" customFormat="1">
      <c r="B880" s="73"/>
      <c r="C880" s="73"/>
      <c r="D880" s="73"/>
      <c r="E880" s="73"/>
      <c r="F880" s="73"/>
      <c r="G880" s="73"/>
      <c r="H880" s="73"/>
      <c r="I880" s="73"/>
      <c r="J880" s="73"/>
      <c r="K880" s="73"/>
      <c r="L880" s="73"/>
      <c r="M880" s="73"/>
      <c r="N880" s="73"/>
      <c r="O880" s="73"/>
      <c r="P880" s="73"/>
      <c r="Q880" s="73"/>
      <c r="R880" s="73"/>
      <c r="S880" s="73"/>
      <c r="T880" s="73"/>
      <c r="U880" s="73"/>
      <c r="V880" s="73"/>
      <c r="W880" s="73"/>
      <c r="GL880" s="73"/>
      <c r="GM880" s="73"/>
      <c r="GN880" s="73"/>
      <c r="GO880" s="73"/>
      <c r="GP880" s="73"/>
      <c r="GQ880" s="73"/>
      <c r="GR880" s="73"/>
      <c r="GS880" s="73"/>
      <c r="GT880" s="73"/>
      <c r="GU880" s="73"/>
      <c r="GV880" s="73"/>
      <c r="GW880" s="73"/>
      <c r="GX880" s="73"/>
      <c r="GY880" s="73"/>
      <c r="GZ880" s="73"/>
      <c r="HA880" s="73"/>
      <c r="HB880" s="73"/>
      <c r="HC880" s="73"/>
      <c r="HD880" s="73"/>
      <c r="HE880" s="73"/>
      <c r="HF880" s="73"/>
      <c r="HG880" s="73"/>
      <c r="HH880" s="73"/>
      <c r="HI880" s="73"/>
      <c r="HJ880" s="73"/>
      <c r="HK880" s="73"/>
      <c r="HL880" s="73"/>
      <c r="HM880" s="73"/>
      <c r="HN880" s="73"/>
      <c r="HO880" s="73"/>
      <c r="HP880" s="73"/>
      <c r="HQ880" s="73"/>
      <c r="HR880" s="73"/>
      <c r="HS880" s="73"/>
      <c r="HT880" s="73"/>
      <c r="HU880" s="73"/>
      <c r="HV880" s="73"/>
      <c r="HW880" s="73"/>
      <c r="HX880" s="73"/>
      <c r="HY880" s="73"/>
      <c r="HZ880" s="73"/>
      <c r="IA880" s="73"/>
      <c r="IB880" s="73"/>
      <c r="IC880" s="73"/>
      <c r="ID880" s="73"/>
      <c r="IE880" s="73"/>
      <c r="IF880" s="73"/>
      <c r="IG880" s="73"/>
      <c r="IH880" s="73"/>
      <c r="II880" s="73"/>
      <c r="IJ880" s="73"/>
      <c r="IK880" s="73"/>
      <c r="IL880" s="73"/>
      <c r="IM880" s="73"/>
      <c r="IN880" s="73"/>
      <c r="IO880" s="73"/>
      <c r="IP880" s="73"/>
      <c r="IQ880" s="73"/>
      <c r="IR880" s="73"/>
      <c r="IS880" s="73"/>
      <c r="IT880" s="73"/>
      <c r="IU880" s="73"/>
      <c r="IV880" s="73"/>
      <c r="IW880" s="73"/>
      <c r="IX880" s="73"/>
      <c r="IY880" s="73"/>
      <c r="IZ880" s="73"/>
      <c r="JA880" s="73"/>
      <c r="JB880" s="73"/>
      <c r="JC880" s="73"/>
    </row>
    <row r="881" spans="2:263" s="72" customFormat="1">
      <c r="B881" s="73"/>
      <c r="C881" s="73"/>
      <c r="D881" s="73"/>
      <c r="E881" s="73"/>
      <c r="F881" s="73"/>
      <c r="G881" s="73"/>
      <c r="H881" s="73"/>
      <c r="I881" s="73"/>
      <c r="J881" s="73"/>
      <c r="K881" s="73"/>
      <c r="L881" s="73"/>
      <c r="M881" s="73"/>
      <c r="N881" s="73"/>
      <c r="O881" s="73"/>
      <c r="P881" s="73"/>
      <c r="Q881" s="73"/>
      <c r="R881" s="73"/>
      <c r="S881" s="73"/>
      <c r="T881" s="73"/>
      <c r="U881" s="73"/>
      <c r="V881" s="73"/>
      <c r="W881" s="73"/>
      <c r="GL881" s="73"/>
      <c r="GM881" s="73"/>
      <c r="GN881" s="73"/>
      <c r="GO881" s="73"/>
      <c r="GP881" s="73"/>
      <c r="GQ881" s="73"/>
      <c r="GR881" s="73"/>
      <c r="GS881" s="73"/>
      <c r="GT881" s="73"/>
      <c r="GU881" s="73"/>
      <c r="GV881" s="73"/>
      <c r="GW881" s="73"/>
      <c r="GX881" s="73"/>
      <c r="GY881" s="73"/>
      <c r="GZ881" s="73"/>
      <c r="HA881" s="73"/>
      <c r="HB881" s="73"/>
      <c r="HC881" s="73"/>
      <c r="HD881" s="73"/>
      <c r="HE881" s="73"/>
      <c r="HF881" s="73"/>
      <c r="HG881" s="73"/>
      <c r="HH881" s="73"/>
      <c r="HI881" s="73"/>
      <c r="HJ881" s="73"/>
      <c r="HK881" s="73"/>
      <c r="HL881" s="73"/>
      <c r="HM881" s="73"/>
      <c r="HN881" s="73"/>
      <c r="HO881" s="73"/>
      <c r="HP881" s="73"/>
      <c r="HQ881" s="73"/>
      <c r="HR881" s="73"/>
      <c r="HS881" s="73"/>
      <c r="HT881" s="73"/>
      <c r="HU881" s="73"/>
      <c r="HV881" s="73"/>
      <c r="HW881" s="73"/>
      <c r="HX881" s="73"/>
      <c r="HY881" s="73"/>
      <c r="HZ881" s="73"/>
      <c r="IA881" s="73"/>
      <c r="IB881" s="73"/>
      <c r="IC881" s="73"/>
      <c r="ID881" s="73"/>
      <c r="IE881" s="73"/>
      <c r="IF881" s="73"/>
      <c r="IG881" s="73"/>
      <c r="IH881" s="73"/>
      <c r="II881" s="73"/>
      <c r="IJ881" s="73"/>
      <c r="IK881" s="73"/>
      <c r="IL881" s="73"/>
      <c r="IM881" s="73"/>
      <c r="IN881" s="73"/>
      <c r="IO881" s="73"/>
      <c r="IP881" s="73"/>
      <c r="IQ881" s="73"/>
      <c r="IR881" s="73"/>
      <c r="IS881" s="73"/>
      <c r="IT881" s="73"/>
      <c r="IU881" s="73"/>
      <c r="IV881" s="73"/>
      <c r="IW881" s="73"/>
      <c r="IX881" s="73"/>
      <c r="IY881" s="73"/>
      <c r="IZ881" s="73"/>
      <c r="JA881" s="73"/>
      <c r="JB881" s="73"/>
      <c r="JC881" s="73"/>
    </row>
    <row r="882" spans="2:263" s="72" customFormat="1">
      <c r="B882" s="73"/>
      <c r="C882" s="73"/>
      <c r="D882" s="73"/>
      <c r="E882" s="73"/>
      <c r="F882" s="73"/>
      <c r="G882" s="73"/>
      <c r="H882" s="73"/>
      <c r="I882" s="73"/>
      <c r="J882" s="73"/>
      <c r="K882" s="73"/>
      <c r="L882" s="73"/>
      <c r="M882" s="73"/>
      <c r="N882" s="73"/>
      <c r="O882" s="73"/>
      <c r="P882" s="73"/>
      <c r="Q882" s="73"/>
      <c r="R882" s="73"/>
      <c r="S882" s="73"/>
      <c r="T882" s="73"/>
      <c r="U882" s="73"/>
      <c r="V882" s="73"/>
      <c r="W882" s="73"/>
      <c r="GL882" s="73"/>
      <c r="GM882" s="73"/>
      <c r="GN882" s="73"/>
      <c r="GO882" s="73"/>
      <c r="GP882" s="73"/>
      <c r="GQ882" s="73"/>
      <c r="GR882" s="73"/>
      <c r="GS882" s="73"/>
      <c r="GT882" s="73"/>
      <c r="GU882" s="73"/>
      <c r="GV882" s="73"/>
      <c r="GW882" s="73"/>
      <c r="GX882" s="73"/>
      <c r="GY882" s="73"/>
      <c r="GZ882" s="73"/>
      <c r="HA882" s="73"/>
      <c r="HB882" s="73"/>
      <c r="HC882" s="73"/>
      <c r="HD882" s="73"/>
      <c r="HE882" s="73"/>
      <c r="HF882" s="73"/>
      <c r="HG882" s="73"/>
      <c r="HH882" s="73"/>
      <c r="HI882" s="73"/>
      <c r="HJ882" s="73"/>
      <c r="HK882" s="73"/>
      <c r="HL882" s="73"/>
      <c r="HM882" s="73"/>
      <c r="HN882" s="73"/>
      <c r="HO882" s="73"/>
      <c r="HP882" s="73"/>
      <c r="HQ882" s="73"/>
      <c r="HR882" s="73"/>
      <c r="HS882" s="73"/>
      <c r="HT882" s="73"/>
      <c r="HU882" s="73"/>
      <c r="HV882" s="73"/>
      <c r="HW882" s="73"/>
      <c r="HX882" s="73"/>
      <c r="HY882" s="73"/>
      <c r="HZ882" s="73"/>
      <c r="IA882" s="73"/>
      <c r="IB882" s="73"/>
      <c r="IC882" s="73"/>
      <c r="ID882" s="73"/>
      <c r="IE882" s="73"/>
      <c r="IF882" s="73"/>
      <c r="IG882" s="73"/>
      <c r="IH882" s="73"/>
      <c r="II882" s="73"/>
      <c r="IJ882" s="73"/>
      <c r="IK882" s="73"/>
      <c r="IL882" s="73"/>
      <c r="IM882" s="73"/>
      <c r="IN882" s="73"/>
      <c r="IO882" s="73"/>
      <c r="IP882" s="73"/>
      <c r="IQ882" s="73"/>
      <c r="IR882" s="73"/>
      <c r="IS882" s="73"/>
      <c r="IT882" s="73"/>
      <c r="IU882" s="73"/>
      <c r="IV882" s="73"/>
      <c r="IW882" s="73"/>
      <c r="IX882" s="73"/>
      <c r="IY882" s="73"/>
      <c r="IZ882" s="73"/>
      <c r="JA882" s="73"/>
      <c r="JB882" s="73"/>
      <c r="JC882" s="73"/>
    </row>
    <row r="883" spans="2:263" s="72" customFormat="1">
      <c r="B883" s="73"/>
      <c r="C883" s="73"/>
      <c r="D883" s="73"/>
      <c r="E883" s="73"/>
      <c r="F883" s="73"/>
      <c r="G883" s="73"/>
      <c r="H883" s="73"/>
      <c r="I883" s="73"/>
      <c r="J883" s="73"/>
      <c r="K883" s="73"/>
      <c r="L883" s="73"/>
      <c r="M883" s="73"/>
      <c r="N883" s="73"/>
      <c r="O883" s="73"/>
      <c r="P883" s="73"/>
      <c r="Q883" s="73"/>
      <c r="R883" s="73"/>
      <c r="S883" s="73"/>
      <c r="T883" s="73"/>
      <c r="U883" s="73"/>
      <c r="V883" s="73"/>
      <c r="W883" s="73"/>
      <c r="GL883" s="73"/>
      <c r="GM883" s="73"/>
      <c r="GN883" s="73"/>
      <c r="GO883" s="73"/>
      <c r="GP883" s="73"/>
      <c r="GQ883" s="73"/>
      <c r="GR883" s="73"/>
      <c r="GS883" s="73"/>
      <c r="GT883" s="73"/>
      <c r="GU883" s="73"/>
      <c r="GV883" s="73"/>
      <c r="GW883" s="73"/>
      <c r="GX883" s="73"/>
      <c r="GY883" s="73"/>
      <c r="GZ883" s="73"/>
      <c r="HA883" s="73"/>
      <c r="HB883" s="73"/>
      <c r="HC883" s="73"/>
      <c r="HD883" s="73"/>
      <c r="HE883" s="73"/>
      <c r="HF883" s="73"/>
      <c r="HG883" s="73"/>
      <c r="HH883" s="73"/>
      <c r="HI883" s="73"/>
      <c r="HJ883" s="73"/>
      <c r="HK883" s="73"/>
      <c r="HL883" s="73"/>
      <c r="HM883" s="73"/>
      <c r="HN883" s="73"/>
      <c r="HO883" s="73"/>
      <c r="HP883" s="73"/>
      <c r="HQ883" s="73"/>
      <c r="HR883" s="73"/>
      <c r="HS883" s="73"/>
      <c r="HT883" s="73"/>
      <c r="HU883" s="73"/>
      <c r="HV883" s="73"/>
      <c r="HW883" s="73"/>
      <c r="HX883" s="73"/>
      <c r="HY883" s="73"/>
      <c r="HZ883" s="73"/>
      <c r="IA883" s="73"/>
      <c r="IB883" s="73"/>
      <c r="IC883" s="73"/>
      <c r="ID883" s="73"/>
      <c r="IE883" s="73"/>
      <c r="IF883" s="73"/>
      <c r="IG883" s="73"/>
      <c r="IH883" s="73"/>
      <c r="II883" s="73"/>
      <c r="IJ883" s="73"/>
      <c r="IK883" s="73"/>
      <c r="IL883" s="73"/>
      <c r="IM883" s="73"/>
      <c r="IN883" s="73"/>
      <c r="IO883" s="73"/>
      <c r="IP883" s="73"/>
      <c r="IQ883" s="73"/>
      <c r="IR883" s="73"/>
      <c r="IS883" s="73"/>
      <c r="IT883" s="73"/>
      <c r="IU883" s="73"/>
      <c r="IV883" s="73"/>
      <c r="IW883" s="73"/>
      <c r="IX883" s="73"/>
      <c r="IY883" s="73"/>
      <c r="IZ883" s="73"/>
      <c r="JA883" s="73"/>
      <c r="JB883" s="73"/>
      <c r="JC883" s="73"/>
    </row>
    <row r="884" spans="2:263" s="72" customFormat="1">
      <c r="B884" s="73"/>
      <c r="C884" s="73"/>
      <c r="D884" s="73"/>
      <c r="E884" s="73"/>
      <c r="F884" s="73"/>
      <c r="G884" s="73"/>
      <c r="H884" s="73"/>
      <c r="I884" s="73"/>
      <c r="J884" s="73"/>
      <c r="K884" s="73"/>
      <c r="L884" s="73"/>
      <c r="M884" s="73"/>
      <c r="N884" s="73"/>
      <c r="O884" s="73"/>
      <c r="P884" s="73"/>
      <c r="Q884" s="73"/>
      <c r="R884" s="73"/>
      <c r="S884" s="73"/>
      <c r="T884" s="73"/>
      <c r="U884" s="73"/>
      <c r="V884" s="73"/>
      <c r="W884" s="73"/>
      <c r="GL884" s="73"/>
      <c r="GM884" s="73"/>
      <c r="GN884" s="73"/>
      <c r="GO884" s="73"/>
      <c r="GP884" s="73"/>
      <c r="GQ884" s="73"/>
      <c r="GR884" s="73"/>
      <c r="GS884" s="73"/>
      <c r="GT884" s="73"/>
      <c r="GU884" s="73"/>
      <c r="GV884" s="73"/>
      <c r="GW884" s="73"/>
      <c r="GX884" s="73"/>
      <c r="GY884" s="73"/>
      <c r="GZ884" s="73"/>
      <c r="HA884" s="73"/>
      <c r="HB884" s="73"/>
      <c r="HC884" s="73"/>
      <c r="HD884" s="73"/>
      <c r="HE884" s="73"/>
      <c r="HF884" s="73"/>
      <c r="HG884" s="73"/>
      <c r="HH884" s="73"/>
      <c r="HI884" s="73"/>
      <c r="HJ884" s="73"/>
      <c r="HK884" s="73"/>
      <c r="HL884" s="73"/>
      <c r="HM884" s="73"/>
      <c r="HN884" s="73"/>
      <c r="HO884" s="73"/>
      <c r="HP884" s="73"/>
      <c r="HQ884" s="73"/>
      <c r="HR884" s="73"/>
      <c r="HS884" s="73"/>
      <c r="HT884" s="73"/>
      <c r="HU884" s="73"/>
      <c r="HV884" s="73"/>
      <c r="HW884" s="73"/>
      <c r="HX884" s="73"/>
      <c r="HY884" s="73"/>
      <c r="HZ884" s="73"/>
      <c r="IA884" s="73"/>
      <c r="IB884" s="73"/>
      <c r="IC884" s="73"/>
      <c r="ID884" s="73"/>
      <c r="IE884" s="73"/>
      <c r="IF884" s="73"/>
      <c r="IG884" s="73"/>
      <c r="IH884" s="73"/>
      <c r="II884" s="73"/>
      <c r="IJ884" s="73"/>
      <c r="IK884" s="73"/>
      <c r="IL884" s="73"/>
      <c r="IM884" s="73"/>
      <c r="IN884" s="73"/>
      <c r="IO884" s="73"/>
      <c r="IP884" s="73"/>
      <c r="IQ884" s="73"/>
      <c r="IR884" s="73"/>
      <c r="IS884" s="73"/>
      <c r="IT884" s="73"/>
      <c r="IU884" s="73"/>
      <c r="IV884" s="73"/>
      <c r="IW884" s="73"/>
      <c r="IX884" s="73"/>
      <c r="IY884" s="73"/>
      <c r="IZ884" s="73"/>
      <c r="JA884" s="73"/>
      <c r="JB884" s="73"/>
      <c r="JC884" s="73"/>
    </row>
    <row r="885" spans="2:263" s="72" customFormat="1">
      <c r="B885" s="73"/>
      <c r="C885" s="73"/>
      <c r="D885" s="73"/>
      <c r="E885" s="73"/>
      <c r="F885" s="73"/>
      <c r="G885" s="73"/>
      <c r="H885" s="73"/>
      <c r="I885" s="73"/>
      <c r="J885" s="73"/>
      <c r="K885" s="73"/>
      <c r="L885" s="73"/>
      <c r="M885" s="73"/>
      <c r="N885" s="73"/>
      <c r="O885" s="73"/>
      <c r="P885" s="73"/>
      <c r="Q885" s="73"/>
      <c r="R885" s="73"/>
      <c r="S885" s="73"/>
      <c r="T885" s="73"/>
      <c r="U885" s="73"/>
      <c r="V885" s="73"/>
      <c r="W885" s="73"/>
      <c r="GL885" s="73"/>
      <c r="GM885" s="73"/>
      <c r="GN885" s="73"/>
      <c r="GO885" s="73"/>
      <c r="GP885" s="73"/>
      <c r="GQ885" s="73"/>
      <c r="GR885" s="73"/>
      <c r="GS885" s="73"/>
      <c r="GT885" s="73"/>
      <c r="GU885" s="73"/>
      <c r="GV885" s="73"/>
      <c r="GW885" s="73"/>
      <c r="GX885" s="73"/>
      <c r="GY885" s="73"/>
      <c r="GZ885" s="73"/>
      <c r="HA885" s="73"/>
      <c r="HB885" s="73"/>
      <c r="HC885" s="73"/>
      <c r="HD885" s="73"/>
      <c r="HE885" s="73"/>
      <c r="HF885" s="73"/>
      <c r="HG885" s="73"/>
      <c r="HH885" s="73"/>
      <c r="HI885" s="73"/>
      <c r="HJ885" s="73"/>
      <c r="HK885" s="73"/>
      <c r="HL885" s="73"/>
      <c r="HM885" s="73"/>
      <c r="HN885" s="73"/>
      <c r="HO885" s="73"/>
      <c r="HP885" s="73"/>
      <c r="HQ885" s="73"/>
      <c r="HR885" s="73"/>
      <c r="HS885" s="73"/>
      <c r="HT885" s="73"/>
      <c r="HU885" s="73"/>
      <c r="HV885" s="73"/>
      <c r="HW885" s="73"/>
      <c r="HX885" s="73"/>
      <c r="HY885" s="73"/>
      <c r="HZ885" s="73"/>
      <c r="IA885" s="73"/>
      <c r="IB885" s="73"/>
      <c r="IC885" s="73"/>
      <c r="ID885" s="73"/>
      <c r="IE885" s="73"/>
      <c r="IF885" s="73"/>
      <c r="IG885" s="73"/>
      <c r="IH885" s="73"/>
      <c r="II885" s="73"/>
      <c r="IJ885" s="73"/>
      <c r="IK885" s="73"/>
      <c r="IL885" s="73"/>
      <c r="IM885" s="73"/>
      <c r="IN885" s="73"/>
      <c r="IO885" s="73"/>
      <c r="IP885" s="73"/>
      <c r="IQ885" s="73"/>
      <c r="IR885" s="73"/>
      <c r="IS885" s="73"/>
      <c r="IT885" s="73"/>
      <c r="IU885" s="73"/>
      <c r="IV885" s="73"/>
      <c r="IW885" s="73"/>
      <c r="IX885" s="73"/>
      <c r="IY885" s="73"/>
      <c r="IZ885" s="73"/>
      <c r="JA885" s="73"/>
      <c r="JB885" s="73"/>
      <c r="JC885" s="73"/>
    </row>
    <row r="886" spans="2:263" s="72" customFormat="1">
      <c r="B886" s="73"/>
      <c r="C886" s="73"/>
      <c r="D886" s="73"/>
      <c r="E886" s="73"/>
      <c r="F886" s="73"/>
      <c r="G886" s="73"/>
      <c r="H886" s="73"/>
      <c r="I886" s="73"/>
      <c r="J886" s="73"/>
      <c r="K886" s="73"/>
      <c r="L886" s="73"/>
      <c r="M886" s="73"/>
      <c r="N886" s="73"/>
      <c r="O886" s="73"/>
      <c r="P886" s="73"/>
      <c r="Q886" s="73"/>
      <c r="R886" s="73"/>
      <c r="S886" s="73"/>
      <c r="T886" s="73"/>
      <c r="U886" s="73"/>
      <c r="V886" s="73"/>
      <c r="W886" s="73"/>
      <c r="GL886" s="73"/>
      <c r="GM886" s="73"/>
      <c r="GN886" s="73"/>
      <c r="GO886" s="73"/>
      <c r="GP886" s="73"/>
      <c r="GQ886" s="73"/>
      <c r="GR886" s="73"/>
      <c r="GS886" s="73"/>
      <c r="GT886" s="73"/>
      <c r="GU886" s="73"/>
      <c r="GV886" s="73"/>
      <c r="GW886" s="73"/>
      <c r="GX886" s="73"/>
      <c r="GY886" s="73"/>
      <c r="GZ886" s="73"/>
      <c r="HA886" s="73"/>
      <c r="HB886" s="73"/>
      <c r="HC886" s="73"/>
      <c r="HD886" s="73"/>
      <c r="HE886" s="73"/>
      <c r="HF886" s="73"/>
      <c r="HG886" s="73"/>
      <c r="HH886" s="73"/>
      <c r="HI886" s="73"/>
      <c r="HJ886" s="73"/>
      <c r="HK886" s="73"/>
      <c r="HL886" s="73"/>
      <c r="HM886" s="73"/>
      <c r="HN886" s="73"/>
      <c r="HO886" s="73"/>
      <c r="HP886" s="73"/>
      <c r="HQ886" s="73"/>
      <c r="HR886" s="73"/>
      <c r="HS886" s="73"/>
      <c r="HT886" s="73"/>
      <c r="HU886" s="73"/>
      <c r="HV886" s="73"/>
      <c r="HW886" s="73"/>
      <c r="HX886" s="73"/>
      <c r="HY886" s="73"/>
      <c r="HZ886" s="73"/>
      <c r="IA886" s="73"/>
      <c r="IB886" s="73"/>
      <c r="IC886" s="73"/>
      <c r="ID886" s="73"/>
      <c r="IE886" s="73"/>
      <c r="IF886" s="73"/>
      <c r="IG886" s="73"/>
      <c r="IH886" s="73"/>
      <c r="II886" s="73"/>
      <c r="IJ886" s="73"/>
      <c r="IK886" s="73"/>
      <c r="IL886" s="73"/>
      <c r="IM886" s="73"/>
      <c r="IN886" s="73"/>
      <c r="IO886" s="73"/>
      <c r="IP886" s="73"/>
      <c r="IQ886" s="73"/>
      <c r="IR886" s="73"/>
      <c r="IS886" s="73"/>
      <c r="IT886" s="73"/>
      <c r="IU886" s="73"/>
      <c r="IV886" s="73"/>
      <c r="IW886" s="73"/>
      <c r="IX886" s="73"/>
      <c r="IY886" s="73"/>
      <c r="IZ886" s="73"/>
      <c r="JA886" s="73"/>
      <c r="JB886" s="73"/>
      <c r="JC886" s="73"/>
    </row>
    <row r="887" spans="2:263" s="72" customFormat="1">
      <c r="B887" s="73"/>
      <c r="C887" s="73"/>
      <c r="D887" s="73"/>
      <c r="E887" s="73"/>
      <c r="F887" s="73"/>
      <c r="G887" s="73"/>
      <c r="H887" s="73"/>
      <c r="I887" s="73"/>
      <c r="J887" s="73"/>
      <c r="K887" s="73"/>
      <c r="L887" s="73"/>
      <c r="M887" s="73"/>
      <c r="N887" s="73"/>
      <c r="O887" s="73"/>
      <c r="P887" s="73"/>
      <c r="Q887" s="73"/>
      <c r="R887" s="73"/>
      <c r="S887" s="73"/>
      <c r="T887" s="73"/>
      <c r="U887" s="73"/>
      <c r="V887" s="73"/>
      <c r="W887" s="73"/>
      <c r="GL887" s="73"/>
      <c r="GM887" s="73"/>
      <c r="GN887" s="73"/>
      <c r="GO887" s="73"/>
      <c r="GP887" s="73"/>
      <c r="GQ887" s="73"/>
      <c r="GR887" s="73"/>
      <c r="GS887" s="73"/>
      <c r="GT887" s="73"/>
      <c r="GU887" s="73"/>
      <c r="GV887" s="73"/>
      <c r="GW887" s="73"/>
      <c r="GX887" s="73"/>
      <c r="GY887" s="73"/>
      <c r="GZ887" s="73"/>
      <c r="HA887" s="73"/>
      <c r="HB887" s="73"/>
      <c r="HC887" s="73"/>
      <c r="HD887" s="73"/>
      <c r="HE887" s="73"/>
      <c r="HF887" s="73"/>
      <c r="HG887" s="73"/>
      <c r="HH887" s="73"/>
      <c r="HI887" s="73"/>
      <c r="HJ887" s="73"/>
      <c r="HK887" s="73"/>
      <c r="HL887" s="73"/>
      <c r="HM887" s="73"/>
      <c r="HN887" s="73"/>
      <c r="HO887" s="73"/>
      <c r="HP887" s="73"/>
      <c r="HQ887" s="73"/>
      <c r="HR887" s="73"/>
      <c r="HS887" s="73"/>
      <c r="HT887" s="73"/>
      <c r="HU887" s="73"/>
      <c r="HV887" s="73"/>
      <c r="HW887" s="73"/>
      <c r="HX887" s="73"/>
      <c r="HY887" s="73"/>
      <c r="HZ887" s="73"/>
      <c r="IA887" s="73"/>
      <c r="IB887" s="73"/>
      <c r="IC887" s="73"/>
      <c r="ID887" s="73"/>
      <c r="IE887" s="73"/>
      <c r="IF887" s="73"/>
      <c r="IG887" s="73"/>
      <c r="IH887" s="73"/>
      <c r="II887" s="73"/>
      <c r="IJ887" s="73"/>
      <c r="IK887" s="73"/>
      <c r="IL887" s="73"/>
      <c r="IM887" s="73"/>
      <c r="IN887" s="73"/>
      <c r="IO887" s="73"/>
      <c r="IP887" s="73"/>
      <c r="IQ887" s="73"/>
      <c r="IR887" s="73"/>
      <c r="IS887" s="73"/>
      <c r="IT887" s="73"/>
      <c r="IU887" s="73"/>
      <c r="IV887" s="73"/>
      <c r="IW887" s="73"/>
      <c r="IX887" s="73"/>
      <c r="IY887" s="73"/>
      <c r="IZ887" s="73"/>
      <c r="JA887" s="73"/>
      <c r="JB887" s="73"/>
      <c r="JC887" s="73"/>
    </row>
    <row r="888" spans="2:263" s="72" customFormat="1">
      <c r="B888" s="73"/>
      <c r="C888" s="73"/>
      <c r="D888" s="73"/>
      <c r="E888" s="73"/>
      <c r="F888" s="73"/>
      <c r="G888" s="73"/>
      <c r="H888" s="73"/>
      <c r="I888" s="73"/>
      <c r="J888" s="73"/>
      <c r="K888" s="73"/>
      <c r="L888" s="73"/>
      <c r="M888" s="73"/>
      <c r="N888" s="73"/>
      <c r="O888" s="73"/>
      <c r="P888" s="73"/>
      <c r="Q888" s="73"/>
      <c r="R888" s="73"/>
      <c r="S888" s="73"/>
      <c r="T888" s="73"/>
      <c r="U888" s="73"/>
      <c r="V888" s="73"/>
      <c r="W888" s="73"/>
      <c r="GL888" s="73"/>
      <c r="GM888" s="73"/>
      <c r="GN888" s="73"/>
      <c r="GO888" s="73"/>
      <c r="GP888" s="73"/>
      <c r="GQ888" s="73"/>
      <c r="GR888" s="73"/>
      <c r="GS888" s="73"/>
      <c r="GT888" s="73"/>
      <c r="GU888" s="73"/>
      <c r="GV888" s="73"/>
      <c r="GW888" s="73"/>
      <c r="GX888" s="73"/>
      <c r="GY888" s="73"/>
      <c r="GZ888" s="73"/>
      <c r="HA888" s="73"/>
      <c r="HB888" s="73"/>
      <c r="HC888" s="73"/>
      <c r="HD888" s="73"/>
      <c r="HE888" s="73"/>
      <c r="HF888" s="73"/>
      <c r="HG888" s="73"/>
      <c r="HH888" s="73"/>
      <c r="HI888" s="73"/>
      <c r="HJ888" s="73"/>
      <c r="HK888" s="73"/>
      <c r="HL888" s="73"/>
      <c r="HM888" s="73"/>
      <c r="HN888" s="73"/>
      <c r="HO888" s="73"/>
      <c r="HP888" s="73"/>
      <c r="HQ888" s="73"/>
      <c r="HR888" s="73"/>
      <c r="HS888" s="73"/>
      <c r="HT888" s="73"/>
      <c r="HU888" s="73"/>
      <c r="HV888" s="73"/>
      <c r="HW888" s="73"/>
      <c r="HX888" s="73"/>
      <c r="HY888" s="73"/>
      <c r="HZ888" s="73"/>
      <c r="IA888" s="73"/>
      <c r="IB888" s="73"/>
      <c r="IC888" s="73"/>
      <c r="ID888" s="73"/>
      <c r="IE888" s="73"/>
      <c r="IF888" s="73"/>
      <c r="IG888" s="73"/>
      <c r="IH888" s="73"/>
      <c r="II888" s="73"/>
      <c r="IJ888" s="73"/>
      <c r="IK888" s="73"/>
      <c r="IL888" s="73"/>
      <c r="IM888" s="73"/>
      <c r="IN888" s="73"/>
      <c r="IO888" s="73"/>
      <c r="IP888" s="73"/>
      <c r="IQ888" s="73"/>
      <c r="IR888" s="73"/>
      <c r="IS888" s="73"/>
      <c r="IT888" s="73"/>
      <c r="IU888" s="73"/>
      <c r="IV888" s="73"/>
      <c r="IW888" s="73"/>
      <c r="IX888" s="73"/>
      <c r="IY888" s="73"/>
      <c r="IZ888" s="73"/>
      <c r="JA888" s="73"/>
      <c r="JB888" s="73"/>
      <c r="JC888" s="73"/>
    </row>
    <row r="889" spans="2:263" s="72" customFormat="1">
      <c r="B889" s="73"/>
      <c r="C889" s="73"/>
      <c r="D889" s="73"/>
      <c r="E889" s="73"/>
      <c r="F889" s="73"/>
      <c r="G889" s="73"/>
      <c r="H889" s="73"/>
      <c r="I889" s="73"/>
      <c r="J889" s="73"/>
      <c r="K889" s="73"/>
      <c r="L889" s="73"/>
      <c r="M889" s="73"/>
      <c r="N889" s="73"/>
      <c r="O889" s="73"/>
      <c r="P889" s="73"/>
      <c r="Q889" s="73"/>
      <c r="R889" s="73"/>
      <c r="S889" s="73"/>
      <c r="T889" s="73"/>
      <c r="U889" s="73"/>
      <c r="V889" s="73"/>
      <c r="W889" s="73"/>
      <c r="GL889" s="73"/>
      <c r="GM889" s="73"/>
      <c r="GN889" s="73"/>
      <c r="GO889" s="73"/>
      <c r="GP889" s="73"/>
      <c r="GQ889" s="73"/>
      <c r="GR889" s="73"/>
      <c r="GS889" s="73"/>
      <c r="GT889" s="73"/>
      <c r="GU889" s="73"/>
      <c r="GV889" s="73"/>
      <c r="GW889" s="73"/>
      <c r="GX889" s="73"/>
      <c r="GY889" s="73"/>
      <c r="GZ889" s="73"/>
      <c r="HA889" s="73"/>
      <c r="HB889" s="73"/>
      <c r="HC889" s="73"/>
      <c r="HD889" s="73"/>
      <c r="HE889" s="73"/>
      <c r="HF889" s="73"/>
      <c r="HG889" s="73"/>
      <c r="HH889" s="73"/>
      <c r="HI889" s="73"/>
      <c r="HJ889" s="73"/>
      <c r="HK889" s="73"/>
      <c r="HL889" s="73"/>
      <c r="HM889" s="73"/>
      <c r="HN889" s="73"/>
      <c r="HO889" s="73"/>
      <c r="HP889" s="73"/>
      <c r="HQ889" s="73"/>
      <c r="HR889" s="73"/>
      <c r="HS889" s="73"/>
      <c r="HT889" s="73"/>
      <c r="HU889" s="73"/>
      <c r="HV889" s="73"/>
      <c r="HW889" s="73"/>
      <c r="HX889" s="73"/>
      <c r="HY889" s="73"/>
      <c r="HZ889" s="73"/>
      <c r="IA889" s="73"/>
      <c r="IB889" s="73"/>
      <c r="IC889" s="73"/>
      <c r="ID889" s="73"/>
      <c r="IE889" s="73"/>
      <c r="IF889" s="73"/>
      <c r="IG889" s="73"/>
      <c r="IH889" s="73"/>
      <c r="II889" s="73"/>
      <c r="IJ889" s="73"/>
      <c r="IK889" s="73"/>
      <c r="IL889" s="73"/>
      <c r="IM889" s="73"/>
      <c r="IN889" s="73"/>
      <c r="IO889" s="73"/>
      <c r="IP889" s="73"/>
      <c r="IQ889" s="73"/>
      <c r="IR889" s="73"/>
      <c r="IS889" s="73"/>
      <c r="IT889" s="73"/>
      <c r="IU889" s="73"/>
      <c r="IV889" s="73"/>
      <c r="IW889" s="73"/>
      <c r="IX889" s="73"/>
      <c r="IY889" s="73"/>
      <c r="IZ889" s="73"/>
      <c r="JA889" s="73"/>
      <c r="JB889" s="73"/>
      <c r="JC889" s="73"/>
    </row>
    <row r="890" spans="2:263" s="72" customFormat="1">
      <c r="B890" s="73"/>
      <c r="C890" s="73"/>
      <c r="D890" s="73"/>
      <c r="E890" s="73"/>
      <c r="F890" s="73"/>
      <c r="G890" s="73"/>
      <c r="H890" s="73"/>
      <c r="I890" s="73"/>
      <c r="J890" s="73"/>
      <c r="K890" s="73"/>
      <c r="L890" s="73"/>
      <c r="M890" s="73"/>
      <c r="N890" s="73"/>
      <c r="O890" s="73"/>
      <c r="P890" s="73"/>
      <c r="Q890" s="73"/>
      <c r="R890" s="73"/>
      <c r="S890" s="73"/>
      <c r="T890" s="73"/>
      <c r="U890" s="73"/>
      <c r="V890" s="73"/>
      <c r="W890" s="73"/>
      <c r="GL890" s="73"/>
      <c r="GM890" s="73"/>
      <c r="GN890" s="73"/>
      <c r="GO890" s="73"/>
      <c r="GP890" s="73"/>
      <c r="GQ890" s="73"/>
      <c r="GR890" s="73"/>
      <c r="GS890" s="73"/>
      <c r="GT890" s="73"/>
      <c r="GU890" s="73"/>
      <c r="GV890" s="73"/>
      <c r="GW890" s="73"/>
      <c r="GX890" s="73"/>
      <c r="GY890" s="73"/>
      <c r="GZ890" s="73"/>
      <c r="HA890" s="73"/>
      <c r="HB890" s="73"/>
      <c r="HC890" s="73"/>
      <c r="HD890" s="73"/>
      <c r="HE890" s="73"/>
      <c r="HF890" s="73"/>
      <c r="HG890" s="73"/>
      <c r="HH890" s="73"/>
      <c r="HI890" s="73"/>
      <c r="HJ890" s="73"/>
      <c r="HK890" s="73"/>
      <c r="HL890" s="73"/>
      <c r="HM890" s="73"/>
      <c r="HN890" s="73"/>
      <c r="HO890" s="73"/>
      <c r="HP890" s="73"/>
      <c r="HQ890" s="73"/>
      <c r="HR890" s="73"/>
      <c r="HS890" s="73"/>
      <c r="HT890" s="73"/>
      <c r="HU890" s="73"/>
      <c r="HV890" s="73"/>
      <c r="HW890" s="73"/>
      <c r="HX890" s="73"/>
      <c r="HY890" s="73"/>
      <c r="HZ890" s="73"/>
      <c r="IA890" s="73"/>
      <c r="IB890" s="73"/>
      <c r="IC890" s="73"/>
      <c r="ID890" s="73"/>
      <c r="IE890" s="73"/>
      <c r="IF890" s="73"/>
      <c r="IG890" s="73"/>
      <c r="IH890" s="73"/>
      <c r="II890" s="73"/>
      <c r="IJ890" s="73"/>
      <c r="IK890" s="73"/>
      <c r="IL890" s="73"/>
      <c r="IM890" s="73"/>
      <c r="IN890" s="73"/>
      <c r="IO890" s="73"/>
      <c r="IP890" s="73"/>
      <c r="IQ890" s="73"/>
      <c r="IR890" s="73"/>
      <c r="IS890" s="73"/>
      <c r="IT890" s="73"/>
      <c r="IU890" s="73"/>
      <c r="IV890" s="73"/>
      <c r="IW890" s="73"/>
      <c r="IX890" s="73"/>
      <c r="IY890" s="73"/>
      <c r="IZ890" s="73"/>
      <c r="JA890" s="73"/>
      <c r="JB890" s="73"/>
      <c r="JC890" s="73"/>
    </row>
    <row r="891" spans="2:263" s="72" customFormat="1">
      <c r="B891" s="73"/>
      <c r="C891" s="73"/>
      <c r="D891" s="73"/>
      <c r="E891" s="73"/>
      <c r="F891" s="73"/>
      <c r="G891" s="73"/>
      <c r="H891" s="73"/>
      <c r="I891" s="73"/>
      <c r="J891" s="73"/>
      <c r="K891" s="73"/>
      <c r="L891" s="73"/>
      <c r="M891" s="73"/>
      <c r="N891" s="73"/>
      <c r="O891" s="73"/>
      <c r="P891" s="73"/>
      <c r="Q891" s="73"/>
      <c r="R891" s="73"/>
      <c r="S891" s="73"/>
      <c r="T891" s="73"/>
      <c r="U891" s="73"/>
      <c r="V891" s="73"/>
      <c r="W891" s="73"/>
      <c r="GL891" s="73"/>
      <c r="GM891" s="73"/>
      <c r="GN891" s="73"/>
      <c r="GO891" s="73"/>
      <c r="GP891" s="73"/>
      <c r="GQ891" s="73"/>
      <c r="GR891" s="73"/>
      <c r="GS891" s="73"/>
      <c r="GT891" s="73"/>
      <c r="GU891" s="73"/>
      <c r="GV891" s="73"/>
      <c r="GW891" s="73"/>
      <c r="GX891" s="73"/>
      <c r="GY891" s="73"/>
      <c r="GZ891" s="73"/>
      <c r="HA891" s="73"/>
      <c r="HB891" s="73"/>
      <c r="HC891" s="73"/>
      <c r="HD891" s="73"/>
      <c r="HE891" s="73"/>
      <c r="HF891" s="73"/>
      <c r="HG891" s="73"/>
      <c r="HH891" s="73"/>
      <c r="HI891" s="73"/>
      <c r="HJ891" s="73"/>
      <c r="HK891" s="73"/>
      <c r="HL891" s="73"/>
      <c r="HM891" s="73"/>
      <c r="HN891" s="73"/>
      <c r="HO891" s="73"/>
      <c r="HP891" s="73"/>
      <c r="HQ891" s="73"/>
      <c r="HR891" s="73"/>
      <c r="HS891" s="73"/>
      <c r="HT891" s="73"/>
      <c r="HU891" s="73"/>
      <c r="HV891" s="73"/>
      <c r="HW891" s="73"/>
      <c r="HX891" s="73"/>
      <c r="HY891" s="73"/>
      <c r="HZ891" s="73"/>
      <c r="IA891" s="73"/>
      <c r="IB891" s="73"/>
      <c r="IC891" s="73"/>
      <c r="ID891" s="73"/>
      <c r="IE891" s="73"/>
      <c r="IF891" s="73"/>
      <c r="IG891" s="73"/>
      <c r="IH891" s="73"/>
      <c r="II891" s="73"/>
      <c r="IJ891" s="73"/>
      <c r="IK891" s="73"/>
      <c r="IL891" s="73"/>
      <c r="IM891" s="73"/>
      <c r="IN891" s="73"/>
      <c r="IO891" s="73"/>
      <c r="IP891" s="73"/>
      <c r="IQ891" s="73"/>
      <c r="IR891" s="73"/>
      <c r="IS891" s="73"/>
      <c r="IT891" s="73"/>
      <c r="IU891" s="73"/>
      <c r="IV891" s="73"/>
      <c r="IW891" s="73"/>
      <c r="IX891" s="73"/>
      <c r="IY891" s="73"/>
      <c r="IZ891" s="73"/>
      <c r="JA891" s="73"/>
      <c r="JB891" s="73"/>
      <c r="JC891" s="73"/>
    </row>
    <row r="892" spans="2:263" s="72" customFormat="1">
      <c r="B892" s="73"/>
      <c r="C892" s="73"/>
      <c r="D892" s="73"/>
      <c r="E892" s="73"/>
      <c r="F892" s="73"/>
      <c r="G892" s="73"/>
      <c r="H892" s="73"/>
      <c r="I892" s="73"/>
      <c r="J892" s="73"/>
      <c r="K892" s="73"/>
      <c r="L892" s="73"/>
      <c r="M892" s="73"/>
      <c r="N892" s="73"/>
      <c r="O892" s="73"/>
      <c r="P892" s="73"/>
      <c r="Q892" s="73"/>
      <c r="R892" s="73"/>
      <c r="S892" s="73"/>
      <c r="T892" s="73"/>
      <c r="U892" s="73"/>
      <c r="V892" s="73"/>
      <c r="W892" s="73"/>
      <c r="GL892" s="73"/>
      <c r="GM892" s="73"/>
      <c r="GN892" s="73"/>
      <c r="GO892" s="73"/>
      <c r="GP892" s="73"/>
      <c r="GQ892" s="73"/>
      <c r="GR892" s="73"/>
      <c r="GS892" s="73"/>
      <c r="GT892" s="73"/>
      <c r="GU892" s="73"/>
      <c r="GV892" s="73"/>
      <c r="GW892" s="73"/>
      <c r="GX892" s="73"/>
      <c r="GY892" s="73"/>
      <c r="GZ892" s="73"/>
      <c r="HA892" s="73"/>
      <c r="HB892" s="73"/>
      <c r="HC892" s="73"/>
      <c r="HD892" s="73"/>
      <c r="HE892" s="73"/>
      <c r="HF892" s="73"/>
      <c r="HG892" s="73"/>
      <c r="HH892" s="73"/>
      <c r="HI892" s="73"/>
      <c r="HJ892" s="73"/>
      <c r="HK892" s="73"/>
      <c r="HL892" s="73"/>
      <c r="HM892" s="73"/>
      <c r="HN892" s="73"/>
      <c r="HO892" s="73"/>
      <c r="HP892" s="73"/>
      <c r="HQ892" s="73"/>
      <c r="HR892" s="73"/>
      <c r="HS892" s="73"/>
      <c r="HT892" s="73"/>
      <c r="HU892" s="73"/>
      <c r="HV892" s="73"/>
      <c r="HW892" s="73"/>
      <c r="HX892" s="73"/>
      <c r="HY892" s="73"/>
      <c r="HZ892" s="73"/>
      <c r="IA892" s="73"/>
      <c r="IB892" s="73"/>
      <c r="IC892" s="73"/>
      <c r="ID892" s="73"/>
      <c r="IE892" s="73"/>
      <c r="IF892" s="73"/>
      <c r="IG892" s="73"/>
      <c r="IH892" s="73"/>
      <c r="II892" s="73"/>
      <c r="IJ892" s="73"/>
      <c r="IK892" s="73"/>
      <c r="IL892" s="73"/>
      <c r="IM892" s="73"/>
      <c r="IN892" s="73"/>
      <c r="IO892" s="73"/>
      <c r="IP892" s="73"/>
      <c r="IQ892" s="73"/>
      <c r="IR892" s="73"/>
      <c r="IS892" s="73"/>
      <c r="IT892" s="73"/>
      <c r="IU892" s="73"/>
      <c r="IV892" s="73"/>
      <c r="IW892" s="73"/>
      <c r="IX892" s="73"/>
      <c r="IY892" s="73"/>
      <c r="IZ892" s="73"/>
      <c r="JA892" s="73"/>
      <c r="JB892" s="73"/>
      <c r="JC892" s="73"/>
    </row>
    <row r="893" spans="2:263" s="72" customFormat="1">
      <c r="B893" s="73"/>
      <c r="C893" s="73"/>
      <c r="D893" s="73"/>
      <c r="E893" s="73"/>
      <c r="F893" s="73"/>
      <c r="G893" s="73"/>
      <c r="H893" s="73"/>
      <c r="I893" s="73"/>
      <c r="J893" s="73"/>
      <c r="K893" s="73"/>
      <c r="L893" s="73"/>
      <c r="M893" s="73"/>
      <c r="N893" s="73"/>
      <c r="O893" s="73"/>
      <c r="P893" s="73"/>
      <c r="Q893" s="73"/>
      <c r="R893" s="73"/>
      <c r="S893" s="73"/>
      <c r="T893" s="73"/>
      <c r="U893" s="73"/>
      <c r="V893" s="73"/>
      <c r="W893" s="73"/>
      <c r="GL893" s="73"/>
      <c r="GM893" s="73"/>
      <c r="GN893" s="73"/>
      <c r="GO893" s="73"/>
      <c r="GP893" s="73"/>
      <c r="GQ893" s="73"/>
      <c r="GR893" s="73"/>
      <c r="GS893" s="73"/>
      <c r="GT893" s="73"/>
      <c r="GU893" s="73"/>
      <c r="GV893" s="73"/>
      <c r="GW893" s="73"/>
      <c r="GX893" s="73"/>
      <c r="GY893" s="73"/>
      <c r="GZ893" s="73"/>
      <c r="HA893" s="73"/>
      <c r="HB893" s="73"/>
      <c r="HC893" s="73"/>
      <c r="HD893" s="73"/>
      <c r="HE893" s="73"/>
      <c r="HF893" s="73"/>
      <c r="HG893" s="73"/>
      <c r="HH893" s="73"/>
      <c r="HI893" s="73"/>
      <c r="HJ893" s="73"/>
      <c r="HK893" s="73"/>
      <c r="HL893" s="73"/>
      <c r="HM893" s="73"/>
      <c r="HN893" s="73"/>
      <c r="HO893" s="73"/>
      <c r="HP893" s="73"/>
      <c r="HQ893" s="73"/>
      <c r="HR893" s="73"/>
      <c r="HS893" s="73"/>
      <c r="HT893" s="73"/>
      <c r="HU893" s="73"/>
      <c r="HV893" s="73"/>
      <c r="HW893" s="73"/>
      <c r="HX893" s="73"/>
      <c r="HY893" s="73"/>
      <c r="HZ893" s="73"/>
      <c r="IA893" s="73"/>
      <c r="IB893" s="73"/>
      <c r="IC893" s="73"/>
      <c r="ID893" s="73"/>
      <c r="IE893" s="73"/>
      <c r="IF893" s="73"/>
      <c r="IG893" s="73"/>
      <c r="IH893" s="73"/>
      <c r="II893" s="73"/>
      <c r="IJ893" s="73"/>
      <c r="IK893" s="73"/>
      <c r="IL893" s="73"/>
      <c r="IM893" s="73"/>
      <c r="IN893" s="73"/>
      <c r="IO893" s="73"/>
      <c r="IP893" s="73"/>
      <c r="IQ893" s="73"/>
      <c r="IR893" s="73"/>
      <c r="IS893" s="73"/>
      <c r="IT893" s="73"/>
      <c r="IU893" s="73"/>
      <c r="IV893" s="73"/>
      <c r="IW893" s="73"/>
      <c r="IX893" s="73"/>
      <c r="IY893" s="73"/>
      <c r="IZ893" s="73"/>
      <c r="JA893" s="73"/>
      <c r="JB893" s="73"/>
      <c r="JC893" s="73"/>
    </row>
    <row r="894" spans="2:263" s="72" customFormat="1">
      <c r="B894" s="73"/>
      <c r="C894" s="73"/>
      <c r="D894" s="73"/>
      <c r="E894" s="73"/>
      <c r="F894" s="73"/>
      <c r="G894" s="73"/>
      <c r="H894" s="73"/>
      <c r="I894" s="73"/>
      <c r="J894" s="73"/>
      <c r="K894" s="73"/>
      <c r="L894" s="73"/>
      <c r="M894" s="73"/>
      <c r="N894" s="73"/>
      <c r="O894" s="73"/>
      <c r="P894" s="73"/>
      <c r="Q894" s="73"/>
      <c r="R894" s="73"/>
      <c r="S894" s="73"/>
      <c r="T894" s="73"/>
      <c r="U894" s="73"/>
      <c r="V894" s="73"/>
      <c r="W894" s="73"/>
      <c r="GL894" s="73"/>
      <c r="GM894" s="73"/>
      <c r="GN894" s="73"/>
      <c r="GO894" s="73"/>
      <c r="GP894" s="73"/>
      <c r="GQ894" s="73"/>
      <c r="GR894" s="73"/>
      <c r="GS894" s="73"/>
      <c r="GT894" s="73"/>
      <c r="GU894" s="73"/>
      <c r="GV894" s="73"/>
      <c r="GW894" s="73"/>
      <c r="GX894" s="73"/>
      <c r="GY894" s="73"/>
      <c r="GZ894" s="73"/>
      <c r="HA894" s="73"/>
      <c r="HB894" s="73"/>
      <c r="HC894" s="73"/>
      <c r="HD894" s="73"/>
      <c r="HE894" s="73"/>
      <c r="HF894" s="73"/>
      <c r="HG894" s="73"/>
      <c r="HH894" s="73"/>
      <c r="HI894" s="73"/>
      <c r="HJ894" s="73"/>
      <c r="HK894" s="73"/>
      <c r="HL894" s="73"/>
      <c r="HM894" s="73"/>
      <c r="HN894" s="73"/>
      <c r="HO894" s="73"/>
      <c r="HP894" s="73"/>
      <c r="HQ894" s="73"/>
      <c r="HR894" s="73"/>
      <c r="HS894" s="73"/>
      <c r="HT894" s="73"/>
      <c r="HU894" s="73"/>
      <c r="HV894" s="73"/>
      <c r="HW894" s="73"/>
      <c r="HX894" s="73"/>
      <c r="HY894" s="73"/>
      <c r="HZ894" s="73"/>
      <c r="IA894" s="73"/>
      <c r="IB894" s="73"/>
      <c r="IC894" s="73"/>
      <c r="ID894" s="73"/>
      <c r="IE894" s="73"/>
      <c r="IF894" s="73"/>
      <c r="IG894" s="73"/>
      <c r="IH894" s="73"/>
      <c r="II894" s="73"/>
      <c r="IJ894" s="73"/>
      <c r="IK894" s="73"/>
      <c r="IL894" s="73"/>
      <c r="IM894" s="73"/>
      <c r="IN894" s="73"/>
      <c r="IO894" s="73"/>
      <c r="IP894" s="73"/>
      <c r="IQ894" s="73"/>
      <c r="IR894" s="73"/>
      <c r="IS894" s="73"/>
      <c r="IT894" s="73"/>
      <c r="IU894" s="73"/>
      <c r="IV894" s="73"/>
      <c r="IW894" s="73"/>
      <c r="IX894" s="73"/>
      <c r="IY894" s="73"/>
      <c r="IZ894" s="73"/>
      <c r="JA894" s="73"/>
      <c r="JB894" s="73"/>
      <c r="JC894" s="73"/>
    </row>
    <row r="895" spans="2:263" s="72" customFormat="1">
      <c r="B895" s="73"/>
      <c r="C895" s="73"/>
      <c r="D895" s="73"/>
      <c r="E895" s="73"/>
      <c r="F895" s="73"/>
      <c r="G895" s="73"/>
      <c r="H895" s="73"/>
      <c r="I895" s="73"/>
      <c r="J895" s="73"/>
      <c r="K895" s="73"/>
      <c r="L895" s="73"/>
      <c r="M895" s="73"/>
      <c r="N895" s="73"/>
      <c r="O895" s="73"/>
      <c r="P895" s="73"/>
      <c r="Q895" s="73"/>
      <c r="R895" s="73"/>
      <c r="S895" s="73"/>
      <c r="T895" s="73"/>
      <c r="U895" s="73"/>
      <c r="V895" s="73"/>
      <c r="W895" s="73"/>
      <c r="GL895" s="73"/>
      <c r="GM895" s="73"/>
      <c r="GN895" s="73"/>
      <c r="GO895" s="73"/>
      <c r="GP895" s="73"/>
      <c r="GQ895" s="73"/>
      <c r="GR895" s="73"/>
      <c r="GS895" s="73"/>
      <c r="GT895" s="73"/>
      <c r="GU895" s="73"/>
      <c r="GV895" s="73"/>
      <c r="GW895" s="73"/>
      <c r="GX895" s="73"/>
      <c r="GY895" s="73"/>
      <c r="GZ895" s="73"/>
      <c r="HA895" s="73"/>
      <c r="HB895" s="73"/>
      <c r="HC895" s="73"/>
      <c r="HD895" s="73"/>
      <c r="HE895" s="73"/>
      <c r="HF895" s="73"/>
      <c r="HG895" s="73"/>
      <c r="HH895" s="73"/>
      <c r="HI895" s="73"/>
      <c r="HJ895" s="73"/>
      <c r="HK895" s="73"/>
      <c r="HL895" s="73"/>
      <c r="HM895" s="73"/>
      <c r="HN895" s="73"/>
      <c r="HO895" s="73"/>
      <c r="HP895" s="73"/>
      <c r="HQ895" s="73"/>
      <c r="HR895" s="73"/>
      <c r="HS895" s="73"/>
      <c r="HT895" s="73"/>
      <c r="HU895" s="73"/>
      <c r="HV895" s="73"/>
      <c r="HW895" s="73"/>
      <c r="HX895" s="73"/>
      <c r="HY895" s="73"/>
      <c r="HZ895" s="73"/>
      <c r="IA895" s="73"/>
      <c r="IB895" s="73"/>
      <c r="IC895" s="73"/>
      <c r="ID895" s="73"/>
      <c r="IE895" s="73"/>
      <c r="IF895" s="73"/>
      <c r="IG895" s="73"/>
      <c r="IH895" s="73"/>
      <c r="II895" s="73"/>
      <c r="IJ895" s="73"/>
      <c r="IK895" s="73"/>
      <c r="IL895" s="73"/>
      <c r="IM895" s="73"/>
      <c r="IN895" s="73"/>
      <c r="IO895" s="73"/>
      <c r="IP895" s="73"/>
      <c r="IQ895" s="73"/>
      <c r="IR895" s="73"/>
      <c r="IS895" s="73"/>
      <c r="IT895" s="73"/>
      <c r="IU895" s="73"/>
      <c r="IV895" s="73"/>
      <c r="IW895" s="73"/>
      <c r="IX895" s="73"/>
      <c r="IY895" s="73"/>
      <c r="IZ895" s="73"/>
      <c r="JA895" s="73"/>
      <c r="JB895" s="73"/>
      <c r="JC895" s="73"/>
    </row>
    <row r="896" spans="2:263" s="72" customFormat="1">
      <c r="B896" s="73"/>
      <c r="C896" s="73"/>
      <c r="D896" s="73"/>
      <c r="E896" s="73"/>
      <c r="F896" s="73"/>
      <c r="G896" s="73"/>
      <c r="H896" s="73"/>
      <c r="I896" s="73"/>
      <c r="J896" s="73"/>
      <c r="K896" s="73"/>
      <c r="L896" s="73"/>
      <c r="M896" s="73"/>
      <c r="N896" s="73"/>
      <c r="O896" s="73"/>
      <c r="P896" s="73"/>
      <c r="Q896" s="73"/>
      <c r="R896" s="73"/>
      <c r="S896" s="73"/>
      <c r="T896" s="73"/>
      <c r="U896" s="73"/>
      <c r="V896" s="73"/>
      <c r="W896" s="73"/>
      <c r="GL896" s="73"/>
      <c r="GM896" s="73"/>
      <c r="GN896" s="73"/>
      <c r="GO896" s="73"/>
      <c r="GP896" s="73"/>
      <c r="GQ896" s="73"/>
      <c r="GR896" s="73"/>
      <c r="GS896" s="73"/>
      <c r="GT896" s="73"/>
      <c r="GU896" s="73"/>
      <c r="GV896" s="73"/>
      <c r="GW896" s="73"/>
      <c r="GX896" s="73"/>
      <c r="GY896" s="73"/>
      <c r="GZ896" s="73"/>
      <c r="HA896" s="73"/>
      <c r="HB896" s="73"/>
      <c r="HC896" s="73"/>
      <c r="HD896" s="73"/>
      <c r="HE896" s="73"/>
      <c r="HF896" s="73"/>
      <c r="HG896" s="73"/>
      <c r="HH896" s="73"/>
      <c r="HI896" s="73"/>
      <c r="HJ896" s="73"/>
      <c r="HK896" s="73"/>
      <c r="HL896" s="73"/>
      <c r="HM896" s="73"/>
      <c r="HN896" s="73"/>
      <c r="HO896" s="73"/>
      <c r="HP896" s="73"/>
      <c r="HQ896" s="73"/>
      <c r="HR896" s="73"/>
      <c r="HS896" s="73"/>
      <c r="HT896" s="73"/>
      <c r="HU896" s="73"/>
      <c r="HV896" s="73"/>
      <c r="HW896" s="73"/>
      <c r="HX896" s="73"/>
      <c r="HY896" s="73"/>
      <c r="HZ896" s="73"/>
      <c r="IA896" s="73"/>
      <c r="IB896" s="73"/>
      <c r="IC896" s="73"/>
      <c r="ID896" s="73"/>
      <c r="IE896" s="73"/>
      <c r="IF896" s="73"/>
      <c r="IG896" s="73"/>
      <c r="IH896" s="73"/>
      <c r="II896" s="73"/>
      <c r="IJ896" s="73"/>
      <c r="IK896" s="73"/>
      <c r="IL896" s="73"/>
      <c r="IM896" s="73"/>
      <c r="IN896" s="73"/>
      <c r="IO896" s="73"/>
      <c r="IP896" s="73"/>
      <c r="IQ896" s="73"/>
      <c r="IR896" s="73"/>
      <c r="IS896" s="73"/>
      <c r="IT896" s="73"/>
      <c r="IU896" s="73"/>
      <c r="IV896" s="73"/>
      <c r="IW896" s="73"/>
      <c r="IX896" s="73"/>
      <c r="IY896" s="73"/>
      <c r="IZ896" s="73"/>
      <c r="JA896" s="73"/>
      <c r="JB896" s="73"/>
      <c r="JC896" s="73"/>
    </row>
    <row r="897" spans="2:263" s="72" customFormat="1">
      <c r="B897" s="73"/>
      <c r="C897" s="73"/>
      <c r="D897" s="73"/>
      <c r="E897" s="73"/>
      <c r="F897" s="73"/>
      <c r="G897" s="73"/>
      <c r="H897" s="73"/>
      <c r="I897" s="73"/>
      <c r="J897" s="73"/>
      <c r="K897" s="73"/>
      <c r="L897" s="73"/>
      <c r="M897" s="73"/>
      <c r="N897" s="73"/>
      <c r="O897" s="73"/>
      <c r="P897" s="73"/>
      <c r="Q897" s="73"/>
      <c r="R897" s="73"/>
      <c r="S897" s="73"/>
      <c r="T897" s="73"/>
      <c r="U897" s="73"/>
      <c r="V897" s="73"/>
      <c r="W897" s="73"/>
      <c r="GL897" s="73"/>
      <c r="GM897" s="73"/>
      <c r="GN897" s="73"/>
      <c r="GO897" s="73"/>
      <c r="GP897" s="73"/>
      <c r="GQ897" s="73"/>
      <c r="GR897" s="73"/>
      <c r="GS897" s="73"/>
      <c r="GT897" s="73"/>
      <c r="GU897" s="73"/>
      <c r="GV897" s="73"/>
      <c r="GW897" s="73"/>
      <c r="GX897" s="73"/>
      <c r="GY897" s="73"/>
      <c r="GZ897" s="73"/>
      <c r="HA897" s="73"/>
      <c r="HB897" s="73"/>
      <c r="HC897" s="73"/>
      <c r="HD897" s="73"/>
      <c r="HE897" s="73"/>
      <c r="HF897" s="73"/>
      <c r="HG897" s="73"/>
      <c r="HH897" s="73"/>
      <c r="HI897" s="73"/>
      <c r="HJ897" s="73"/>
      <c r="HK897" s="73"/>
      <c r="HL897" s="73"/>
      <c r="HM897" s="73"/>
      <c r="HN897" s="73"/>
      <c r="HO897" s="73"/>
      <c r="HP897" s="73"/>
      <c r="HQ897" s="73"/>
      <c r="HR897" s="73"/>
      <c r="HS897" s="73"/>
      <c r="HT897" s="73"/>
      <c r="HU897" s="73"/>
      <c r="HV897" s="73"/>
      <c r="HW897" s="73"/>
      <c r="HX897" s="73"/>
      <c r="HY897" s="73"/>
      <c r="HZ897" s="73"/>
      <c r="IA897" s="73"/>
      <c r="IB897" s="73"/>
      <c r="IC897" s="73"/>
      <c r="ID897" s="73"/>
      <c r="IE897" s="73"/>
      <c r="IF897" s="73"/>
      <c r="IG897" s="73"/>
      <c r="IH897" s="73"/>
      <c r="II897" s="73"/>
      <c r="IJ897" s="73"/>
      <c r="IK897" s="73"/>
      <c r="IL897" s="73"/>
      <c r="IM897" s="73"/>
      <c r="IN897" s="73"/>
      <c r="IO897" s="73"/>
      <c r="IP897" s="73"/>
      <c r="IQ897" s="73"/>
      <c r="IR897" s="73"/>
      <c r="IS897" s="73"/>
      <c r="IT897" s="73"/>
      <c r="IU897" s="73"/>
      <c r="IV897" s="73"/>
      <c r="IW897" s="73"/>
      <c r="IX897" s="73"/>
      <c r="IY897" s="73"/>
      <c r="IZ897" s="73"/>
      <c r="JA897" s="73"/>
      <c r="JB897" s="73"/>
      <c r="JC897" s="73"/>
    </row>
    <row r="898" spans="2:263" s="72" customFormat="1">
      <c r="B898" s="73"/>
      <c r="C898" s="73"/>
      <c r="D898" s="73"/>
      <c r="E898" s="73"/>
      <c r="F898" s="73"/>
      <c r="G898" s="73"/>
      <c r="H898" s="73"/>
      <c r="I898" s="73"/>
      <c r="J898" s="73"/>
      <c r="K898" s="73"/>
      <c r="L898" s="73"/>
      <c r="M898" s="73"/>
      <c r="N898" s="73"/>
      <c r="O898" s="73"/>
      <c r="P898" s="73"/>
      <c r="Q898" s="73"/>
      <c r="R898" s="73"/>
      <c r="S898" s="73"/>
      <c r="T898" s="73"/>
      <c r="U898" s="73"/>
      <c r="V898" s="73"/>
      <c r="W898" s="73"/>
      <c r="GL898" s="73"/>
      <c r="GM898" s="73"/>
      <c r="GN898" s="73"/>
      <c r="GO898" s="73"/>
      <c r="GP898" s="73"/>
      <c r="GQ898" s="73"/>
      <c r="GR898" s="73"/>
      <c r="GS898" s="73"/>
      <c r="GT898" s="73"/>
      <c r="GU898" s="73"/>
      <c r="GV898" s="73"/>
      <c r="GW898" s="73"/>
      <c r="GX898" s="73"/>
      <c r="GY898" s="73"/>
      <c r="GZ898" s="73"/>
      <c r="HA898" s="73"/>
      <c r="HB898" s="73"/>
      <c r="HC898" s="73"/>
      <c r="HD898" s="73"/>
      <c r="HE898" s="73"/>
      <c r="HF898" s="73"/>
      <c r="HG898" s="73"/>
      <c r="HH898" s="73"/>
      <c r="HI898" s="73"/>
      <c r="HJ898" s="73"/>
      <c r="HK898" s="73"/>
      <c r="HL898" s="73"/>
      <c r="HM898" s="73"/>
      <c r="HN898" s="73"/>
      <c r="HO898" s="73"/>
      <c r="HP898" s="73"/>
      <c r="HQ898" s="73"/>
      <c r="HR898" s="73"/>
      <c r="HS898" s="73"/>
      <c r="HT898" s="73"/>
      <c r="HU898" s="73"/>
      <c r="HV898" s="73"/>
      <c r="HW898" s="73"/>
      <c r="HX898" s="73"/>
      <c r="HY898" s="73"/>
      <c r="HZ898" s="73"/>
      <c r="IA898" s="73"/>
      <c r="IB898" s="73"/>
      <c r="IC898" s="73"/>
      <c r="ID898" s="73"/>
      <c r="IE898" s="73"/>
      <c r="IF898" s="73"/>
      <c r="IG898" s="73"/>
      <c r="IH898" s="73"/>
      <c r="II898" s="73"/>
      <c r="IJ898" s="73"/>
      <c r="IK898" s="73"/>
      <c r="IL898" s="73"/>
      <c r="IM898" s="73"/>
      <c r="IN898" s="73"/>
      <c r="IO898" s="73"/>
      <c r="IP898" s="73"/>
      <c r="IQ898" s="73"/>
      <c r="IR898" s="73"/>
      <c r="IS898" s="73"/>
      <c r="IT898" s="73"/>
      <c r="IU898" s="73"/>
      <c r="IV898" s="73"/>
      <c r="IW898" s="73"/>
      <c r="IX898" s="73"/>
      <c r="IY898" s="73"/>
      <c r="IZ898" s="73"/>
      <c r="JA898" s="73"/>
      <c r="JB898" s="73"/>
      <c r="JC898" s="73"/>
    </row>
    <row r="899" spans="2:263" s="72" customFormat="1">
      <c r="B899" s="73"/>
      <c r="C899" s="73"/>
      <c r="D899" s="73"/>
      <c r="E899" s="73"/>
      <c r="F899" s="73"/>
      <c r="G899" s="73"/>
      <c r="H899" s="73"/>
      <c r="I899" s="73"/>
      <c r="J899" s="73"/>
      <c r="K899" s="73"/>
      <c r="L899" s="73"/>
      <c r="M899" s="73"/>
      <c r="N899" s="73"/>
      <c r="O899" s="73"/>
      <c r="P899" s="73"/>
      <c r="Q899" s="73"/>
      <c r="R899" s="73"/>
      <c r="S899" s="73"/>
      <c r="T899" s="73"/>
      <c r="U899" s="73"/>
      <c r="V899" s="73"/>
      <c r="W899" s="73"/>
      <c r="GL899" s="73"/>
      <c r="GM899" s="73"/>
      <c r="GN899" s="73"/>
      <c r="GO899" s="73"/>
      <c r="GP899" s="73"/>
      <c r="GQ899" s="73"/>
      <c r="GR899" s="73"/>
      <c r="GS899" s="73"/>
      <c r="GT899" s="73"/>
      <c r="GU899" s="73"/>
      <c r="GV899" s="73"/>
      <c r="GW899" s="73"/>
      <c r="GX899" s="73"/>
      <c r="GY899" s="73"/>
      <c r="GZ899" s="73"/>
      <c r="HA899" s="73"/>
      <c r="HB899" s="73"/>
      <c r="HC899" s="73"/>
      <c r="HD899" s="73"/>
      <c r="HE899" s="73"/>
      <c r="HF899" s="73"/>
      <c r="HG899" s="73"/>
      <c r="HH899" s="73"/>
      <c r="HI899" s="73"/>
      <c r="HJ899" s="73"/>
      <c r="HK899" s="73"/>
      <c r="HL899" s="73"/>
      <c r="HM899" s="73"/>
      <c r="HN899" s="73"/>
      <c r="HO899" s="73"/>
      <c r="HP899" s="73"/>
      <c r="HQ899" s="73"/>
      <c r="HR899" s="73"/>
      <c r="HS899" s="73"/>
      <c r="HT899" s="73"/>
      <c r="HU899" s="73"/>
      <c r="HV899" s="73"/>
      <c r="HW899" s="73"/>
      <c r="HX899" s="73"/>
      <c r="HY899" s="73"/>
      <c r="HZ899" s="73"/>
      <c r="IA899" s="73"/>
      <c r="IB899" s="73"/>
      <c r="IC899" s="73"/>
      <c r="ID899" s="73"/>
      <c r="IE899" s="73"/>
      <c r="IF899" s="73"/>
      <c r="IG899" s="73"/>
      <c r="IH899" s="73"/>
      <c r="II899" s="73"/>
      <c r="IJ899" s="73"/>
      <c r="IK899" s="73"/>
      <c r="IL899" s="73"/>
      <c r="IM899" s="73"/>
      <c r="IN899" s="73"/>
      <c r="IO899" s="73"/>
      <c r="IP899" s="73"/>
      <c r="IQ899" s="73"/>
      <c r="IR899" s="73"/>
      <c r="IS899" s="73"/>
      <c r="IT899" s="73"/>
      <c r="IU899" s="73"/>
      <c r="IV899" s="73"/>
      <c r="IW899" s="73"/>
      <c r="IX899" s="73"/>
      <c r="IY899" s="73"/>
      <c r="IZ899" s="73"/>
      <c r="JA899" s="73"/>
      <c r="JB899" s="73"/>
      <c r="JC899" s="73"/>
    </row>
    <row r="900" spans="2:263" s="72" customFormat="1">
      <c r="B900" s="73"/>
      <c r="C900" s="73"/>
      <c r="D900" s="73"/>
      <c r="E900" s="73"/>
      <c r="F900" s="73"/>
      <c r="G900" s="73"/>
      <c r="H900" s="73"/>
      <c r="I900" s="73"/>
      <c r="J900" s="73"/>
      <c r="K900" s="73"/>
      <c r="L900" s="73"/>
      <c r="M900" s="73"/>
      <c r="N900" s="73"/>
      <c r="O900" s="73"/>
      <c r="P900" s="73"/>
      <c r="Q900" s="73"/>
      <c r="R900" s="73"/>
      <c r="S900" s="73"/>
      <c r="T900" s="73"/>
      <c r="U900" s="73"/>
      <c r="V900" s="73"/>
      <c r="W900" s="73"/>
      <c r="GL900" s="73"/>
      <c r="GM900" s="73"/>
      <c r="GN900" s="73"/>
      <c r="GO900" s="73"/>
      <c r="GP900" s="73"/>
      <c r="GQ900" s="73"/>
      <c r="GR900" s="73"/>
      <c r="GS900" s="73"/>
      <c r="GT900" s="73"/>
      <c r="GU900" s="73"/>
      <c r="GV900" s="73"/>
      <c r="GW900" s="73"/>
      <c r="GX900" s="73"/>
      <c r="GY900" s="73"/>
      <c r="GZ900" s="73"/>
      <c r="HA900" s="73"/>
      <c r="HB900" s="73"/>
      <c r="HC900" s="73"/>
      <c r="HD900" s="73"/>
      <c r="HE900" s="73"/>
      <c r="HF900" s="73"/>
      <c r="HG900" s="73"/>
      <c r="HH900" s="73"/>
      <c r="HI900" s="73"/>
      <c r="HJ900" s="73"/>
      <c r="HK900" s="73"/>
      <c r="HL900" s="73"/>
      <c r="HM900" s="73"/>
      <c r="HN900" s="73"/>
      <c r="HO900" s="73"/>
      <c r="HP900" s="73"/>
      <c r="HQ900" s="73"/>
      <c r="HR900" s="73"/>
      <c r="HS900" s="73"/>
      <c r="HT900" s="73"/>
      <c r="HU900" s="73"/>
      <c r="HV900" s="73"/>
      <c r="HW900" s="73"/>
      <c r="HX900" s="73"/>
      <c r="HY900" s="73"/>
      <c r="HZ900" s="73"/>
      <c r="IA900" s="73"/>
      <c r="IB900" s="73"/>
      <c r="IC900" s="73"/>
      <c r="ID900" s="73"/>
      <c r="IE900" s="73"/>
      <c r="IF900" s="73"/>
      <c r="IG900" s="73"/>
      <c r="IH900" s="73"/>
      <c r="II900" s="73"/>
      <c r="IJ900" s="73"/>
      <c r="IK900" s="73"/>
      <c r="IL900" s="73"/>
      <c r="IM900" s="73"/>
      <c r="IN900" s="73"/>
      <c r="IO900" s="73"/>
      <c r="IP900" s="73"/>
      <c r="IQ900" s="73"/>
      <c r="IR900" s="73"/>
      <c r="IS900" s="73"/>
      <c r="IT900" s="73"/>
      <c r="IU900" s="73"/>
      <c r="IV900" s="73"/>
      <c r="IW900" s="73"/>
      <c r="IX900" s="73"/>
      <c r="IY900" s="73"/>
      <c r="IZ900" s="73"/>
      <c r="JA900" s="73"/>
      <c r="JB900" s="73"/>
      <c r="JC900" s="73"/>
    </row>
    <row r="901" spans="2:263" s="72" customFormat="1">
      <c r="B901" s="73"/>
      <c r="C901" s="73"/>
      <c r="D901" s="73"/>
      <c r="E901" s="73"/>
      <c r="F901" s="73"/>
      <c r="G901" s="73"/>
      <c r="H901" s="73"/>
      <c r="I901" s="73"/>
      <c r="J901" s="73"/>
      <c r="K901" s="73"/>
      <c r="L901" s="73"/>
      <c r="M901" s="73"/>
      <c r="N901" s="73"/>
      <c r="O901" s="73"/>
      <c r="P901" s="73"/>
      <c r="Q901" s="73"/>
      <c r="R901" s="73"/>
      <c r="S901" s="73"/>
      <c r="T901" s="73"/>
      <c r="U901" s="73"/>
      <c r="V901" s="73"/>
      <c r="W901" s="73"/>
      <c r="GL901" s="73"/>
      <c r="GM901" s="73"/>
      <c r="GN901" s="73"/>
      <c r="GO901" s="73"/>
      <c r="GP901" s="73"/>
      <c r="GQ901" s="73"/>
      <c r="GR901" s="73"/>
      <c r="GS901" s="73"/>
      <c r="GT901" s="73"/>
      <c r="GU901" s="73"/>
      <c r="GV901" s="73"/>
      <c r="GW901" s="73"/>
      <c r="GX901" s="73"/>
      <c r="GY901" s="73"/>
      <c r="GZ901" s="73"/>
      <c r="HA901" s="73"/>
      <c r="HB901" s="73"/>
      <c r="HC901" s="73"/>
      <c r="HD901" s="73"/>
      <c r="HE901" s="73"/>
      <c r="HF901" s="73"/>
      <c r="HG901" s="73"/>
      <c r="HH901" s="73"/>
      <c r="HI901" s="73"/>
      <c r="HJ901" s="73"/>
      <c r="HK901" s="73"/>
      <c r="HL901" s="73"/>
      <c r="HM901" s="73"/>
      <c r="HN901" s="73"/>
      <c r="HO901" s="73"/>
      <c r="HP901" s="73"/>
      <c r="HQ901" s="73"/>
      <c r="HR901" s="73"/>
      <c r="HS901" s="73"/>
      <c r="HT901" s="73"/>
      <c r="HU901" s="73"/>
      <c r="HV901" s="73"/>
      <c r="HW901" s="73"/>
      <c r="HX901" s="73"/>
      <c r="HY901" s="73"/>
      <c r="HZ901" s="73"/>
      <c r="IA901" s="73"/>
      <c r="IB901" s="73"/>
      <c r="IC901" s="73"/>
      <c r="ID901" s="73"/>
      <c r="IE901" s="73"/>
      <c r="IF901" s="73"/>
      <c r="IG901" s="73"/>
      <c r="IH901" s="73"/>
      <c r="II901" s="73"/>
      <c r="IJ901" s="73"/>
      <c r="IK901" s="73"/>
      <c r="IL901" s="73"/>
      <c r="IM901" s="73"/>
      <c r="IN901" s="73"/>
      <c r="IO901" s="73"/>
      <c r="IP901" s="73"/>
      <c r="IQ901" s="73"/>
      <c r="IR901" s="73"/>
      <c r="IS901" s="73"/>
      <c r="IT901" s="73"/>
      <c r="IU901" s="73"/>
      <c r="IV901" s="73"/>
      <c r="IW901" s="73"/>
      <c r="IX901" s="73"/>
      <c r="IY901" s="73"/>
      <c r="IZ901" s="73"/>
      <c r="JA901" s="73"/>
      <c r="JB901" s="73"/>
      <c r="JC901" s="73"/>
    </row>
    <row r="902" spans="2:263" s="72" customFormat="1">
      <c r="B902" s="73"/>
      <c r="C902" s="73"/>
      <c r="D902" s="73"/>
      <c r="E902" s="73"/>
      <c r="F902" s="73"/>
      <c r="G902" s="73"/>
      <c r="H902" s="73"/>
      <c r="I902" s="73"/>
      <c r="J902" s="73"/>
      <c r="K902" s="73"/>
      <c r="L902" s="73"/>
      <c r="M902" s="73"/>
      <c r="N902" s="73"/>
      <c r="O902" s="73"/>
      <c r="P902" s="73"/>
      <c r="Q902" s="73"/>
      <c r="R902" s="73"/>
      <c r="S902" s="73"/>
      <c r="T902" s="73"/>
      <c r="U902" s="73"/>
      <c r="V902" s="73"/>
      <c r="W902" s="73"/>
      <c r="GL902" s="73"/>
      <c r="GM902" s="73"/>
      <c r="GN902" s="73"/>
      <c r="GO902" s="73"/>
      <c r="GP902" s="73"/>
      <c r="GQ902" s="73"/>
      <c r="GR902" s="73"/>
      <c r="GS902" s="73"/>
      <c r="GT902" s="73"/>
      <c r="GU902" s="73"/>
      <c r="GV902" s="73"/>
      <c r="GW902" s="73"/>
      <c r="GX902" s="73"/>
      <c r="GY902" s="73"/>
      <c r="GZ902" s="73"/>
      <c r="HA902" s="73"/>
      <c r="HB902" s="73"/>
      <c r="HC902" s="73"/>
      <c r="HD902" s="73"/>
      <c r="HE902" s="73"/>
      <c r="HF902" s="73"/>
      <c r="HG902" s="73"/>
      <c r="HH902" s="73"/>
      <c r="HI902" s="73"/>
      <c r="HJ902" s="73"/>
      <c r="HK902" s="73"/>
      <c r="HL902" s="73"/>
      <c r="HM902" s="73"/>
      <c r="HN902" s="73"/>
      <c r="HO902" s="73"/>
      <c r="HP902" s="73"/>
      <c r="HQ902" s="73"/>
      <c r="HR902" s="73"/>
      <c r="HS902" s="73"/>
      <c r="HT902" s="73"/>
      <c r="HU902" s="73"/>
      <c r="HV902" s="73"/>
      <c r="HW902" s="73"/>
      <c r="HX902" s="73"/>
      <c r="HY902" s="73"/>
      <c r="HZ902" s="73"/>
      <c r="IA902" s="73"/>
      <c r="IB902" s="73"/>
      <c r="IC902" s="73"/>
      <c r="ID902" s="73"/>
      <c r="IE902" s="73"/>
      <c r="IF902" s="73"/>
      <c r="IG902" s="73"/>
      <c r="IH902" s="73"/>
      <c r="II902" s="73"/>
      <c r="IJ902" s="73"/>
      <c r="IK902" s="73"/>
      <c r="IL902" s="73"/>
      <c r="IM902" s="73"/>
      <c r="IN902" s="73"/>
      <c r="IO902" s="73"/>
      <c r="IP902" s="73"/>
      <c r="IQ902" s="73"/>
      <c r="IR902" s="73"/>
      <c r="IS902" s="73"/>
      <c r="IT902" s="73"/>
      <c r="IU902" s="73"/>
      <c r="IV902" s="73"/>
      <c r="IW902" s="73"/>
      <c r="IX902" s="73"/>
      <c r="IY902" s="73"/>
      <c r="IZ902" s="73"/>
      <c r="JA902" s="73"/>
      <c r="JB902" s="73"/>
      <c r="JC902" s="73"/>
    </row>
    <row r="903" spans="2:263" s="72" customFormat="1">
      <c r="B903" s="73"/>
      <c r="C903" s="73"/>
      <c r="D903" s="73"/>
      <c r="E903" s="73"/>
      <c r="F903" s="73"/>
      <c r="G903" s="73"/>
      <c r="H903" s="73"/>
      <c r="I903" s="73"/>
      <c r="J903" s="73"/>
      <c r="K903" s="73"/>
      <c r="L903" s="73"/>
      <c r="M903" s="73"/>
      <c r="N903" s="73"/>
      <c r="O903" s="73"/>
      <c r="P903" s="73"/>
      <c r="Q903" s="73"/>
      <c r="R903" s="73"/>
      <c r="S903" s="73"/>
      <c r="T903" s="73"/>
      <c r="U903" s="73"/>
      <c r="V903" s="73"/>
      <c r="W903" s="73"/>
      <c r="GL903" s="73"/>
      <c r="GM903" s="73"/>
      <c r="GN903" s="73"/>
      <c r="GO903" s="73"/>
      <c r="GP903" s="73"/>
      <c r="GQ903" s="73"/>
      <c r="GR903" s="73"/>
      <c r="GS903" s="73"/>
      <c r="GT903" s="73"/>
      <c r="GU903" s="73"/>
      <c r="GV903" s="73"/>
      <c r="GW903" s="73"/>
      <c r="GX903" s="73"/>
      <c r="GY903" s="73"/>
      <c r="GZ903" s="73"/>
      <c r="HA903" s="73"/>
      <c r="HB903" s="73"/>
      <c r="HC903" s="73"/>
      <c r="HD903" s="73"/>
      <c r="HE903" s="73"/>
      <c r="HF903" s="73"/>
      <c r="HG903" s="73"/>
      <c r="HH903" s="73"/>
      <c r="HI903" s="73"/>
      <c r="HJ903" s="73"/>
      <c r="HK903" s="73"/>
      <c r="HL903" s="73"/>
      <c r="HM903" s="73"/>
      <c r="HN903" s="73"/>
      <c r="HO903" s="73"/>
      <c r="HP903" s="73"/>
      <c r="HQ903" s="73"/>
      <c r="HR903" s="73"/>
      <c r="HS903" s="73"/>
      <c r="HT903" s="73"/>
      <c r="HU903" s="73"/>
      <c r="HV903" s="73"/>
      <c r="HW903" s="73"/>
      <c r="HX903" s="73"/>
      <c r="HY903" s="73"/>
      <c r="HZ903" s="73"/>
      <c r="IA903" s="73"/>
      <c r="IB903" s="73"/>
      <c r="IC903" s="73"/>
      <c r="ID903" s="73"/>
      <c r="IE903" s="73"/>
      <c r="IF903" s="73"/>
      <c r="IG903" s="73"/>
      <c r="IH903" s="73"/>
      <c r="II903" s="73"/>
      <c r="IJ903" s="73"/>
      <c r="IK903" s="73"/>
      <c r="IL903" s="73"/>
      <c r="IM903" s="73"/>
      <c r="IN903" s="73"/>
      <c r="IO903" s="73"/>
      <c r="IP903" s="73"/>
      <c r="IQ903" s="73"/>
      <c r="IR903" s="73"/>
      <c r="IS903" s="73"/>
      <c r="IT903" s="73"/>
      <c r="IU903" s="73"/>
      <c r="IV903" s="73"/>
      <c r="IW903" s="73"/>
      <c r="IX903" s="73"/>
      <c r="IY903" s="73"/>
      <c r="IZ903" s="73"/>
      <c r="JA903" s="73"/>
      <c r="JB903" s="73"/>
      <c r="JC903" s="73"/>
    </row>
    <row r="904" spans="2:263" s="72" customFormat="1">
      <c r="B904" s="73"/>
      <c r="C904" s="73"/>
      <c r="D904" s="73"/>
      <c r="E904" s="73"/>
      <c r="F904" s="73"/>
      <c r="G904" s="73"/>
      <c r="H904" s="73"/>
      <c r="I904" s="73"/>
      <c r="J904" s="73"/>
      <c r="K904" s="73"/>
      <c r="L904" s="73"/>
      <c r="M904" s="73"/>
      <c r="N904" s="73"/>
      <c r="O904" s="73"/>
      <c r="P904" s="73"/>
      <c r="Q904" s="73"/>
      <c r="R904" s="73"/>
      <c r="S904" s="73"/>
      <c r="T904" s="73"/>
      <c r="U904" s="73"/>
      <c r="V904" s="73"/>
      <c r="W904" s="73"/>
      <c r="GL904" s="73"/>
      <c r="GM904" s="73"/>
      <c r="GN904" s="73"/>
      <c r="GO904" s="73"/>
      <c r="GP904" s="73"/>
      <c r="GQ904" s="73"/>
      <c r="GR904" s="73"/>
      <c r="GS904" s="73"/>
      <c r="GT904" s="73"/>
      <c r="GU904" s="73"/>
      <c r="GV904" s="73"/>
      <c r="GW904" s="73"/>
      <c r="GX904" s="73"/>
      <c r="GY904" s="73"/>
      <c r="GZ904" s="73"/>
      <c r="HA904" s="73"/>
      <c r="HB904" s="73"/>
      <c r="HC904" s="73"/>
      <c r="HD904" s="73"/>
      <c r="HE904" s="73"/>
      <c r="HF904" s="73"/>
      <c r="HG904" s="73"/>
      <c r="HH904" s="73"/>
      <c r="HI904" s="73"/>
      <c r="HJ904" s="73"/>
      <c r="HK904" s="73"/>
      <c r="HL904" s="73"/>
      <c r="HM904" s="73"/>
      <c r="HN904" s="73"/>
      <c r="HO904" s="73"/>
      <c r="HP904" s="73"/>
      <c r="HQ904" s="73"/>
      <c r="HR904" s="73"/>
      <c r="HS904" s="73"/>
      <c r="HT904" s="73"/>
      <c r="HU904" s="73"/>
      <c r="HV904" s="73"/>
      <c r="HW904" s="73"/>
      <c r="HX904" s="73"/>
      <c r="HY904" s="73"/>
      <c r="HZ904" s="73"/>
      <c r="IA904" s="73"/>
      <c r="IB904" s="73"/>
      <c r="IC904" s="73"/>
      <c r="ID904" s="73"/>
      <c r="IE904" s="73"/>
      <c r="IF904" s="73"/>
      <c r="IG904" s="73"/>
      <c r="IH904" s="73"/>
      <c r="II904" s="73"/>
      <c r="IJ904" s="73"/>
      <c r="IK904" s="73"/>
      <c r="IL904" s="73"/>
      <c r="IM904" s="73"/>
      <c r="IN904" s="73"/>
      <c r="IO904" s="73"/>
      <c r="IP904" s="73"/>
      <c r="IQ904" s="73"/>
      <c r="IR904" s="73"/>
      <c r="IS904" s="73"/>
      <c r="IT904" s="73"/>
      <c r="IU904" s="73"/>
      <c r="IV904" s="73"/>
      <c r="IW904" s="73"/>
      <c r="IX904" s="73"/>
      <c r="IY904" s="73"/>
      <c r="IZ904" s="73"/>
      <c r="JA904" s="73"/>
      <c r="JB904" s="73"/>
      <c r="JC904" s="73"/>
    </row>
    <row r="905" spans="2:263" s="72" customFormat="1">
      <c r="B905" s="73"/>
      <c r="C905" s="73"/>
      <c r="D905" s="73"/>
      <c r="E905" s="73"/>
      <c r="F905" s="73"/>
      <c r="G905" s="73"/>
      <c r="H905" s="73"/>
      <c r="I905" s="73"/>
      <c r="J905" s="73"/>
      <c r="K905" s="73"/>
      <c r="L905" s="73"/>
      <c r="M905" s="73"/>
      <c r="N905" s="73"/>
      <c r="O905" s="73"/>
      <c r="P905" s="73"/>
      <c r="Q905" s="73"/>
      <c r="R905" s="73"/>
      <c r="S905" s="73"/>
      <c r="T905" s="73"/>
      <c r="U905" s="73"/>
      <c r="V905" s="73"/>
      <c r="W905" s="73"/>
      <c r="GL905" s="73"/>
      <c r="GM905" s="73"/>
      <c r="GN905" s="73"/>
      <c r="GO905" s="73"/>
      <c r="GP905" s="73"/>
      <c r="GQ905" s="73"/>
      <c r="GR905" s="73"/>
      <c r="GS905" s="73"/>
      <c r="GT905" s="73"/>
      <c r="GU905" s="73"/>
      <c r="GV905" s="73"/>
      <c r="GW905" s="73"/>
      <c r="GX905" s="73"/>
      <c r="GY905" s="73"/>
      <c r="GZ905" s="73"/>
      <c r="HA905" s="73"/>
      <c r="HB905" s="73"/>
      <c r="HC905" s="73"/>
      <c r="HD905" s="73"/>
      <c r="HE905" s="73"/>
      <c r="HF905" s="73"/>
      <c r="HG905" s="73"/>
      <c r="HH905" s="73"/>
      <c r="HI905" s="73"/>
      <c r="HJ905" s="73"/>
      <c r="HK905" s="73"/>
      <c r="HL905" s="73"/>
      <c r="HM905" s="73"/>
      <c r="HN905" s="73"/>
      <c r="HO905" s="73"/>
      <c r="HP905" s="73"/>
      <c r="HQ905" s="73"/>
      <c r="HR905" s="73"/>
      <c r="HS905" s="73"/>
      <c r="HT905" s="73"/>
      <c r="HU905" s="73"/>
      <c r="HV905" s="73"/>
      <c r="HW905" s="73"/>
      <c r="HX905" s="73"/>
      <c r="HY905" s="73"/>
      <c r="HZ905" s="73"/>
      <c r="IA905" s="73"/>
      <c r="IB905" s="73"/>
      <c r="IC905" s="73"/>
      <c r="ID905" s="73"/>
      <c r="IE905" s="73"/>
      <c r="IF905" s="73"/>
      <c r="IG905" s="73"/>
      <c r="IH905" s="73"/>
      <c r="II905" s="73"/>
      <c r="IJ905" s="73"/>
      <c r="IK905" s="73"/>
      <c r="IL905" s="73"/>
      <c r="IM905" s="73"/>
      <c r="IN905" s="73"/>
      <c r="IO905" s="73"/>
      <c r="IP905" s="73"/>
      <c r="IQ905" s="73"/>
      <c r="IR905" s="73"/>
      <c r="IS905" s="73"/>
      <c r="IT905" s="73"/>
      <c r="IU905" s="73"/>
      <c r="IV905" s="73"/>
      <c r="IW905" s="73"/>
      <c r="IX905" s="73"/>
      <c r="IY905" s="73"/>
      <c r="IZ905" s="73"/>
      <c r="JA905" s="73"/>
      <c r="JB905" s="73"/>
      <c r="JC905" s="73"/>
    </row>
    <row r="906" spans="2:263" s="72" customFormat="1">
      <c r="B906" s="73"/>
      <c r="C906" s="73"/>
      <c r="D906" s="73"/>
      <c r="E906" s="73"/>
      <c r="F906" s="73"/>
      <c r="G906" s="73"/>
      <c r="H906" s="73"/>
      <c r="I906" s="73"/>
      <c r="J906" s="73"/>
      <c r="K906" s="73"/>
      <c r="L906" s="73"/>
      <c r="M906" s="73"/>
      <c r="N906" s="73"/>
      <c r="O906" s="73"/>
      <c r="P906" s="73"/>
      <c r="Q906" s="73"/>
      <c r="R906" s="73"/>
      <c r="S906" s="73"/>
      <c r="T906" s="73"/>
      <c r="U906" s="73"/>
      <c r="V906" s="73"/>
      <c r="W906" s="73"/>
      <c r="GL906" s="73"/>
      <c r="GM906" s="73"/>
      <c r="GN906" s="73"/>
      <c r="GO906" s="73"/>
      <c r="GP906" s="73"/>
      <c r="GQ906" s="73"/>
      <c r="GR906" s="73"/>
      <c r="GS906" s="73"/>
      <c r="GT906" s="73"/>
      <c r="GU906" s="73"/>
      <c r="GV906" s="73"/>
      <c r="GW906" s="73"/>
      <c r="GX906" s="73"/>
      <c r="GY906" s="73"/>
      <c r="GZ906" s="73"/>
      <c r="HA906" s="73"/>
      <c r="HB906" s="73"/>
      <c r="HC906" s="73"/>
      <c r="HD906" s="73"/>
      <c r="HE906" s="73"/>
      <c r="HF906" s="73"/>
      <c r="HG906" s="73"/>
      <c r="HH906" s="73"/>
      <c r="HI906" s="73"/>
      <c r="HJ906" s="73"/>
      <c r="HK906" s="73"/>
      <c r="HL906" s="73"/>
      <c r="HM906" s="73"/>
      <c r="HN906" s="73"/>
      <c r="HO906" s="73"/>
      <c r="HP906" s="73"/>
      <c r="HQ906" s="73"/>
      <c r="HR906" s="73"/>
      <c r="HS906" s="73"/>
      <c r="HT906" s="73"/>
      <c r="HU906" s="73"/>
      <c r="HV906" s="73"/>
      <c r="HW906" s="73"/>
      <c r="HX906" s="73"/>
      <c r="HY906" s="73"/>
      <c r="HZ906" s="73"/>
      <c r="IA906" s="73"/>
      <c r="IB906" s="73"/>
      <c r="IC906" s="73"/>
      <c r="ID906" s="73"/>
      <c r="IE906" s="73"/>
      <c r="IF906" s="73"/>
      <c r="IG906" s="73"/>
      <c r="IH906" s="73"/>
      <c r="II906" s="73"/>
      <c r="IJ906" s="73"/>
      <c r="IK906" s="73"/>
      <c r="IL906" s="73"/>
      <c r="IM906" s="73"/>
      <c r="IN906" s="73"/>
      <c r="IO906" s="73"/>
      <c r="IP906" s="73"/>
      <c r="IQ906" s="73"/>
      <c r="IR906" s="73"/>
      <c r="IS906" s="73"/>
      <c r="IT906" s="73"/>
      <c r="IU906" s="73"/>
      <c r="IV906" s="73"/>
      <c r="IW906" s="73"/>
      <c r="IX906" s="73"/>
      <c r="IY906" s="73"/>
      <c r="IZ906" s="73"/>
      <c r="JA906" s="73"/>
      <c r="JB906" s="73"/>
      <c r="JC906" s="73"/>
    </row>
    <row r="907" spans="2:263" s="72" customFormat="1">
      <c r="B907" s="73"/>
      <c r="C907" s="73"/>
      <c r="D907" s="73"/>
      <c r="E907" s="73"/>
      <c r="F907" s="73"/>
      <c r="G907" s="73"/>
      <c r="H907" s="73"/>
      <c r="I907" s="73"/>
      <c r="J907" s="73"/>
      <c r="K907" s="73"/>
      <c r="L907" s="73"/>
      <c r="M907" s="73"/>
      <c r="N907" s="73"/>
      <c r="O907" s="73"/>
      <c r="P907" s="73"/>
      <c r="Q907" s="73"/>
      <c r="R907" s="73"/>
      <c r="S907" s="73"/>
      <c r="T907" s="73"/>
      <c r="U907" s="73"/>
      <c r="V907" s="73"/>
      <c r="W907" s="73"/>
      <c r="GL907" s="73"/>
      <c r="GM907" s="73"/>
      <c r="GN907" s="73"/>
      <c r="GO907" s="73"/>
      <c r="GP907" s="73"/>
      <c r="GQ907" s="73"/>
      <c r="GR907" s="73"/>
      <c r="GS907" s="73"/>
      <c r="GT907" s="73"/>
      <c r="GU907" s="73"/>
      <c r="GV907" s="73"/>
      <c r="GW907" s="73"/>
      <c r="GX907" s="73"/>
      <c r="GY907" s="73"/>
      <c r="GZ907" s="73"/>
      <c r="HA907" s="73"/>
      <c r="HB907" s="73"/>
      <c r="HC907" s="73"/>
      <c r="HD907" s="73"/>
      <c r="HE907" s="73"/>
      <c r="HF907" s="73"/>
      <c r="HG907" s="73"/>
      <c r="HH907" s="73"/>
      <c r="HI907" s="73"/>
      <c r="HJ907" s="73"/>
      <c r="HK907" s="73"/>
      <c r="HL907" s="73"/>
      <c r="HM907" s="73"/>
      <c r="HN907" s="73"/>
      <c r="HO907" s="73"/>
      <c r="HP907" s="73"/>
      <c r="HQ907" s="73"/>
      <c r="HR907" s="73"/>
      <c r="HS907" s="73"/>
      <c r="HT907" s="73"/>
      <c r="HU907" s="73"/>
      <c r="HV907" s="73"/>
      <c r="HW907" s="73"/>
      <c r="HX907" s="73"/>
      <c r="HY907" s="73"/>
      <c r="HZ907" s="73"/>
      <c r="IA907" s="73"/>
      <c r="IB907" s="73"/>
      <c r="IC907" s="73"/>
      <c r="ID907" s="73"/>
      <c r="IE907" s="73"/>
      <c r="IF907" s="73"/>
      <c r="IG907" s="73"/>
      <c r="IH907" s="73"/>
      <c r="II907" s="73"/>
      <c r="IJ907" s="73"/>
      <c r="IK907" s="73"/>
      <c r="IL907" s="73"/>
      <c r="IM907" s="73"/>
      <c r="IN907" s="73"/>
      <c r="IO907" s="73"/>
      <c r="IP907" s="73"/>
      <c r="IQ907" s="73"/>
      <c r="IR907" s="73"/>
      <c r="IS907" s="73"/>
      <c r="IT907" s="73"/>
      <c r="IU907" s="73"/>
      <c r="IV907" s="73"/>
      <c r="IW907" s="73"/>
      <c r="IX907" s="73"/>
      <c r="IY907" s="73"/>
      <c r="IZ907" s="73"/>
      <c r="JA907" s="73"/>
      <c r="JB907" s="73"/>
      <c r="JC907" s="73"/>
    </row>
    <row r="908" spans="2:263" s="72" customFormat="1">
      <c r="B908" s="73"/>
      <c r="C908" s="73"/>
      <c r="D908" s="73"/>
      <c r="E908" s="73"/>
      <c r="F908" s="73"/>
      <c r="G908" s="73"/>
      <c r="H908" s="73"/>
      <c r="I908" s="73"/>
      <c r="J908" s="73"/>
      <c r="K908" s="73"/>
      <c r="L908" s="73"/>
      <c r="M908" s="73"/>
      <c r="N908" s="73"/>
      <c r="O908" s="73"/>
      <c r="P908" s="73"/>
      <c r="Q908" s="73"/>
      <c r="R908" s="73"/>
      <c r="S908" s="73"/>
      <c r="T908" s="73"/>
      <c r="U908" s="73"/>
      <c r="V908" s="73"/>
      <c r="W908" s="73"/>
      <c r="GL908" s="73"/>
      <c r="GM908" s="73"/>
      <c r="GN908" s="73"/>
      <c r="GO908" s="73"/>
      <c r="GP908" s="73"/>
      <c r="GQ908" s="73"/>
      <c r="GR908" s="73"/>
      <c r="GS908" s="73"/>
      <c r="GT908" s="73"/>
      <c r="GU908" s="73"/>
      <c r="GV908" s="73"/>
      <c r="GW908" s="73"/>
      <c r="GX908" s="73"/>
      <c r="GY908" s="73"/>
      <c r="GZ908" s="73"/>
      <c r="HA908" s="73"/>
      <c r="HB908" s="73"/>
      <c r="HC908" s="73"/>
      <c r="HD908" s="73"/>
      <c r="HE908" s="73"/>
      <c r="HF908" s="73"/>
      <c r="HG908" s="73"/>
      <c r="HH908" s="73"/>
      <c r="HI908" s="73"/>
      <c r="HJ908" s="73"/>
      <c r="HK908" s="73"/>
      <c r="HL908" s="73"/>
      <c r="HM908" s="73"/>
      <c r="HN908" s="73"/>
      <c r="HO908" s="73"/>
      <c r="HP908" s="73"/>
      <c r="HQ908" s="73"/>
      <c r="HR908" s="73"/>
      <c r="HS908" s="73"/>
      <c r="HT908" s="73"/>
      <c r="HU908" s="73"/>
      <c r="HV908" s="73"/>
      <c r="HW908" s="73"/>
      <c r="HX908" s="73"/>
      <c r="HY908" s="73"/>
      <c r="HZ908" s="73"/>
      <c r="IA908" s="73"/>
      <c r="IB908" s="73"/>
      <c r="IC908" s="73"/>
      <c r="ID908" s="73"/>
      <c r="IE908" s="73"/>
      <c r="IF908" s="73"/>
      <c r="IG908" s="73"/>
      <c r="IH908" s="73"/>
      <c r="II908" s="73"/>
      <c r="IJ908" s="73"/>
      <c r="IK908" s="73"/>
      <c r="IL908" s="73"/>
      <c r="IM908" s="73"/>
      <c r="IN908" s="73"/>
      <c r="IO908" s="73"/>
      <c r="IP908" s="73"/>
      <c r="IQ908" s="73"/>
      <c r="IR908" s="73"/>
      <c r="IS908" s="73"/>
      <c r="IT908" s="73"/>
      <c r="IU908" s="73"/>
      <c r="IV908" s="73"/>
      <c r="IW908" s="73"/>
      <c r="IX908" s="73"/>
      <c r="IY908" s="73"/>
      <c r="IZ908" s="73"/>
      <c r="JA908" s="73"/>
      <c r="JB908" s="73"/>
      <c r="JC908" s="73"/>
    </row>
    <row r="909" spans="2:263" s="72" customFormat="1">
      <c r="B909" s="73"/>
      <c r="C909" s="73"/>
      <c r="D909" s="73"/>
      <c r="E909" s="73"/>
      <c r="F909" s="73"/>
      <c r="G909" s="73"/>
      <c r="H909" s="73"/>
      <c r="I909" s="73"/>
      <c r="J909" s="73"/>
      <c r="K909" s="73"/>
      <c r="L909" s="73"/>
      <c r="M909" s="73"/>
      <c r="N909" s="73"/>
      <c r="O909" s="73"/>
      <c r="P909" s="73"/>
      <c r="Q909" s="73"/>
      <c r="R909" s="73"/>
      <c r="S909" s="73"/>
      <c r="T909" s="73"/>
      <c r="U909" s="73"/>
      <c r="V909" s="73"/>
      <c r="W909" s="73"/>
      <c r="GL909" s="73"/>
      <c r="GM909" s="73"/>
      <c r="GN909" s="73"/>
      <c r="GO909" s="73"/>
      <c r="GP909" s="73"/>
      <c r="GQ909" s="73"/>
      <c r="GR909" s="73"/>
      <c r="GS909" s="73"/>
      <c r="GT909" s="73"/>
      <c r="GU909" s="73"/>
      <c r="GV909" s="73"/>
      <c r="GW909" s="73"/>
      <c r="GX909" s="73"/>
      <c r="GY909" s="73"/>
      <c r="GZ909" s="73"/>
      <c r="HA909" s="73"/>
      <c r="HB909" s="73"/>
      <c r="HC909" s="73"/>
      <c r="HD909" s="73"/>
      <c r="HE909" s="73"/>
      <c r="HF909" s="73"/>
      <c r="HG909" s="73"/>
      <c r="HH909" s="73"/>
      <c r="HI909" s="73"/>
      <c r="HJ909" s="73"/>
      <c r="HK909" s="73"/>
      <c r="HL909" s="73"/>
      <c r="HM909" s="73"/>
      <c r="HN909" s="73"/>
      <c r="HO909" s="73"/>
      <c r="HP909" s="73"/>
      <c r="HQ909" s="73"/>
      <c r="HR909" s="73"/>
      <c r="HS909" s="73"/>
      <c r="HT909" s="73"/>
      <c r="HU909" s="73"/>
      <c r="HV909" s="73"/>
      <c r="HW909" s="73"/>
      <c r="HX909" s="73"/>
      <c r="HY909" s="73"/>
      <c r="HZ909" s="73"/>
      <c r="IA909" s="73"/>
      <c r="IB909" s="73"/>
      <c r="IC909" s="73"/>
      <c r="ID909" s="73"/>
      <c r="IE909" s="73"/>
      <c r="IF909" s="73"/>
      <c r="IG909" s="73"/>
      <c r="IH909" s="73"/>
      <c r="II909" s="73"/>
      <c r="IJ909" s="73"/>
      <c r="IK909" s="73"/>
      <c r="IL909" s="73"/>
      <c r="IM909" s="73"/>
      <c r="IN909" s="73"/>
      <c r="IO909" s="73"/>
      <c r="IP909" s="73"/>
      <c r="IQ909" s="73"/>
      <c r="IR909" s="73"/>
      <c r="IS909" s="73"/>
      <c r="IT909" s="73"/>
      <c r="IU909" s="73"/>
      <c r="IV909" s="73"/>
      <c r="IW909" s="73"/>
      <c r="IX909" s="73"/>
      <c r="IY909" s="73"/>
      <c r="IZ909" s="73"/>
      <c r="JA909" s="73"/>
      <c r="JB909" s="73"/>
      <c r="JC909" s="73"/>
    </row>
    <row r="910" spans="2:263" s="72" customFormat="1">
      <c r="B910" s="73"/>
      <c r="C910" s="73"/>
      <c r="D910" s="73"/>
      <c r="E910" s="73"/>
      <c r="F910" s="73"/>
      <c r="G910" s="73"/>
      <c r="H910" s="73"/>
      <c r="I910" s="73"/>
      <c r="J910" s="73"/>
      <c r="K910" s="73"/>
      <c r="L910" s="73"/>
      <c r="M910" s="73"/>
      <c r="N910" s="73"/>
      <c r="O910" s="73"/>
      <c r="P910" s="73"/>
      <c r="Q910" s="73"/>
      <c r="R910" s="73"/>
      <c r="S910" s="73"/>
      <c r="T910" s="73"/>
      <c r="U910" s="73"/>
      <c r="V910" s="73"/>
      <c r="W910" s="73"/>
      <c r="GL910" s="73"/>
      <c r="GM910" s="73"/>
      <c r="GN910" s="73"/>
      <c r="GO910" s="73"/>
      <c r="GP910" s="73"/>
      <c r="GQ910" s="73"/>
      <c r="GR910" s="73"/>
      <c r="GS910" s="73"/>
      <c r="GT910" s="73"/>
      <c r="GU910" s="73"/>
      <c r="GV910" s="73"/>
      <c r="GW910" s="73"/>
      <c r="GX910" s="73"/>
      <c r="GY910" s="73"/>
      <c r="GZ910" s="73"/>
      <c r="HA910" s="73"/>
      <c r="HB910" s="73"/>
      <c r="HC910" s="73"/>
      <c r="HD910" s="73"/>
      <c r="HE910" s="73"/>
      <c r="HF910" s="73"/>
      <c r="HG910" s="73"/>
      <c r="HH910" s="73"/>
      <c r="HI910" s="73"/>
      <c r="HJ910" s="73"/>
      <c r="HK910" s="73"/>
      <c r="HL910" s="73"/>
      <c r="HM910" s="73"/>
      <c r="HN910" s="73"/>
      <c r="HO910" s="73"/>
      <c r="HP910" s="73"/>
      <c r="HQ910" s="73"/>
      <c r="HR910" s="73"/>
      <c r="HS910" s="73"/>
      <c r="HT910" s="73"/>
      <c r="HU910" s="73"/>
      <c r="HV910" s="73"/>
      <c r="HW910" s="73"/>
      <c r="HX910" s="73"/>
      <c r="HY910" s="73"/>
      <c r="HZ910" s="73"/>
      <c r="IA910" s="73"/>
      <c r="IB910" s="73"/>
      <c r="IC910" s="73"/>
      <c r="ID910" s="73"/>
      <c r="IE910" s="73"/>
      <c r="IF910" s="73"/>
      <c r="IG910" s="73"/>
      <c r="IH910" s="73"/>
      <c r="II910" s="73"/>
      <c r="IJ910" s="73"/>
      <c r="IK910" s="73"/>
      <c r="IL910" s="73"/>
      <c r="IM910" s="73"/>
      <c r="IN910" s="73"/>
      <c r="IO910" s="73"/>
      <c r="IP910" s="73"/>
      <c r="IQ910" s="73"/>
      <c r="IR910" s="73"/>
      <c r="IS910" s="73"/>
      <c r="IT910" s="73"/>
      <c r="IU910" s="73"/>
      <c r="IV910" s="73"/>
      <c r="IW910" s="73"/>
      <c r="IX910" s="73"/>
      <c r="IY910" s="73"/>
      <c r="IZ910" s="73"/>
      <c r="JA910" s="73"/>
      <c r="JB910" s="73"/>
      <c r="JC910" s="73"/>
    </row>
    <row r="911" spans="2:263" s="72" customFormat="1">
      <c r="B911" s="73"/>
      <c r="C911" s="73"/>
      <c r="D911" s="73"/>
      <c r="E911" s="73"/>
      <c r="F911" s="73"/>
      <c r="G911" s="73"/>
      <c r="H911" s="73"/>
      <c r="I911" s="73"/>
      <c r="J911" s="73"/>
      <c r="K911" s="73"/>
      <c r="L911" s="73"/>
      <c r="M911" s="73"/>
      <c r="N911" s="73"/>
      <c r="O911" s="73"/>
      <c r="P911" s="73"/>
      <c r="Q911" s="73"/>
      <c r="R911" s="73"/>
      <c r="S911" s="73"/>
      <c r="T911" s="73"/>
      <c r="U911" s="73"/>
      <c r="V911" s="73"/>
      <c r="W911" s="73"/>
      <c r="GL911" s="73"/>
      <c r="GM911" s="73"/>
      <c r="GN911" s="73"/>
      <c r="GO911" s="73"/>
      <c r="GP911" s="73"/>
      <c r="GQ911" s="73"/>
      <c r="GR911" s="73"/>
      <c r="GS911" s="73"/>
      <c r="GT911" s="73"/>
      <c r="GU911" s="73"/>
      <c r="GV911" s="73"/>
      <c r="GW911" s="73"/>
      <c r="GX911" s="73"/>
      <c r="GY911" s="73"/>
      <c r="GZ911" s="73"/>
      <c r="HA911" s="73"/>
      <c r="HB911" s="73"/>
      <c r="HC911" s="73"/>
      <c r="HD911" s="73"/>
      <c r="HE911" s="73"/>
      <c r="HF911" s="73"/>
      <c r="HG911" s="73"/>
      <c r="HH911" s="73"/>
      <c r="HI911" s="73"/>
      <c r="HJ911" s="73"/>
      <c r="HK911" s="73"/>
      <c r="HL911" s="73"/>
      <c r="HM911" s="73"/>
      <c r="HN911" s="73"/>
      <c r="HO911" s="73"/>
      <c r="HP911" s="73"/>
      <c r="HQ911" s="73"/>
      <c r="HR911" s="73"/>
      <c r="HS911" s="73"/>
      <c r="HT911" s="73"/>
      <c r="HU911" s="73"/>
      <c r="HV911" s="73"/>
      <c r="HW911" s="73"/>
      <c r="HX911" s="73"/>
      <c r="HY911" s="73"/>
      <c r="HZ911" s="73"/>
      <c r="IA911" s="73"/>
      <c r="IB911" s="73"/>
      <c r="IC911" s="73"/>
      <c r="ID911" s="73"/>
      <c r="IE911" s="73"/>
      <c r="IF911" s="73"/>
      <c r="IG911" s="73"/>
      <c r="IH911" s="73"/>
      <c r="II911" s="73"/>
      <c r="IJ911" s="73"/>
      <c r="IK911" s="73"/>
      <c r="IL911" s="73"/>
      <c r="IM911" s="73"/>
      <c r="IN911" s="73"/>
      <c r="IO911" s="73"/>
      <c r="IP911" s="73"/>
      <c r="IQ911" s="73"/>
      <c r="IR911" s="73"/>
      <c r="IS911" s="73"/>
      <c r="IT911" s="73"/>
      <c r="IU911" s="73"/>
      <c r="IV911" s="73"/>
      <c r="IW911" s="73"/>
      <c r="IX911" s="73"/>
      <c r="IY911" s="73"/>
      <c r="IZ911" s="73"/>
      <c r="JA911" s="73"/>
      <c r="JB911" s="73"/>
      <c r="JC911" s="73"/>
    </row>
    <row r="912" spans="2:263" s="72" customFormat="1">
      <c r="B912" s="73"/>
      <c r="C912" s="73"/>
      <c r="D912" s="73"/>
      <c r="E912" s="73"/>
      <c r="F912" s="73"/>
      <c r="G912" s="73"/>
      <c r="H912" s="73"/>
      <c r="I912" s="73"/>
      <c r="J912" s="73"/>
      <c r="K912" s="73"/>
      <c r="L912" s="73"/>
      <c r="M912" s="73"/>
      <c r="N912" s="73"/>
      <c r="O912" s="73"/>
      <c r="P912" s="73"/>
      <c r="Q912" s="73"/>
      <c r="R912" s="73"/>
      <c r="S912" s="73"/>
      <c r="T912" s="73"/>
      <c r="U912" s="73"/>
      <c r="V912" s="73"/>
      <c r="W912" s="73"/>
      <c r="GL912" s="73"/>
      <c r="GM912" s="73"/>
      <c r="GN912" s="73"/>
      <c r="GO912" s="73"/>
      <c r="GP912" s="73"/>
      <c r="GQ912" s="73"/>
      <c r="GR912" s="73"/>
      <c r="GS912" s="73"/>
      <c r="GT912" s="73"/>
      <c r="GU912" s="73"/>
      <c r="GV912" s="73"/>
      <c r="GW912" s="73"/>
      <c r="GX912" s="73"/>
      <c r="GY912" s="73"/>
      <c r="GZ912" s="73"/>
      <c r="HA912" s="73"/>
      <c r="HB912" s="73"/>
      <c r="HC912" s="73"/>
      <c r="HD912" s="73"/>
      <c r="HE912" s="73"/>
      <c r="HF912" s="73"/>
      <c r="HG912" s="73"/>
      <c r="HH912" s="73"/>
      <c r="HI912" s="73"/>
      <c r="HJ912" s="73"/>
      <c r="HK912" s="73"/>
      <c r="HL912" s="73"/>
      <c r="HM912" s="73"/>
      <c r="HN912" s="73"/>
      <c r="HO912" s="73"/>
      <c r="HP912" s="73"/>
      <c r="HQ912" s="73"/>
      <c r="HR912" s="73"/>
      <c r="HS912" s="73"/>
      <c r="HT912" s="73"/>
      <c r="HU912" s="73"/>
      <c r="HV912" s="73"/>
      <c r="HW912" s="73"/>
      <c r="HX912" s="73"/>
      <c r="HY912" s="73"/>
      <c r="HZ912" s="73"/>
      <c r="IA912" s="73"/>
      <c r="IB912" s="73"/>
      <c r="IC912" s="73"/>
      <c r="ID912" s="73"/>
      <c r="IE912" s="73"/>
      <c r="IF912" s="73"/>
      <c r="IG912" s="73"/>
      <c r="IH912" s="73"/>
      <c r="II912" s="73"/>
      <c r="IJ912" s="73"/>
      <c r="IK912" s="73"/>
      <c r="IL912" s="73"/>
      <c r="IM912" s="73"/>
      <c r="IN912" s="73"/>
      <c r="IO912" s="73"/>
      <c r="IP912" s="73"/>
      <c r="IQ912" s="73"/>
      <c r="IR912" s="73"/>
      <c r="IS912" s="73"/>
      <c r="IT912" s="73"/>
      <c r="IU912" s="73"/>
      <c r="IV912" s="73"/>
      <c r="IW912" s="73"/>
      <c r="IX912" s="73"/>
      <c r="IY912" s="73"/>
      <c r="IZ912" s="73"/>
      <c r="JA912" s="73"/>
      <c r="JB912" s="73"/>
      <c r="JC912" s="73"/>
    </row>
    <row r="913" spans="2:263" s="72" customFormat="1">
      <c r="B913" s="73"/>
      <c r="C913" s="73"/>
      <c r="D913" s="73"/>
      <c r="E913" s="73"/>
      <c r="F913" s="73"/>
      <c r="G913" s="73"/>
      <c r="H913" s="73"/>
      <c r="I913" s="73"/>
      <c r="J913" s="73"/>
      <c r="K913" s="73"/>
      <c r="L913" s="73"/>
      <c r="M913" s="73"/>
      <c r="N913" s="73"/>
      <c r="O913" s="73"/>
      <c r="P913" s="73"/>
      <c r="Q913" s="73"/>
      <c r="R913" s="73"/>
      <c r="S913" s="73"/>
      <c r="T913" s="73"/>
      <c r="U913" s="73"/>
      <c r="V913" s="73"/>
      <c r="W913" s="73"/>
      <c r="GL913" s="73"/>
      <c r="GM913" s="73"/>
      <c r="GN913" s="73"/>
      <c r="GO913" s="73"/>
      <c r="GP913" s="73"/>
      <c r="GQ913" s="73"/>
      <c r="GR913" s="73"/>
      <c r="GS913" s="73"/>
      <c r="GT913" s="73"/>
      <c r="GU913" s="73"/>
      <c r="GV913" s="73"/>
      <c r="GW913" s="73"/>
      <c r="GX913" s="73"/>
      <c r="GY913" s="73"/>
      <c r="GZ913" s="73"/>
      <c r="HA913" s="73"/>
      <c r="HB913" s="73"/>
      <c r="HC913" s="73"/>
      <c r="HD913" s="73"/>
      <c r="HE913" s="73"/>
      <c r="HF913" s="73"/>
      <c r="HG913" s="73"/>
      <c r="HH913" s="73"/>
      <c r="HI913" s="73"/>
      <c r="HJ913" s="73"/>
      <c r="HK913" s="73"/>
      <c r="HL913" s="73"/>
      <c r="HM913" s="73"/>
      <c r="HN913" s="73"/>
      <c r="HO913" s="73"/>
      <c r="HP913" s="73"/>
      <c r="HQ913" s="73"/>
      <c r="HR913" s="73"/>
      <c r="HS913" s="73"/>
      <c r="HT913" s="73"/>
      <c r="HU913" s="73"/>
      <c r="HV913" s="73"/>
      <c r="HW913" s="73"/>
      <c r="HX913" s="73"/>
      <c r="HY913" s="73"/>
      <c r="HZ913" s="73"/>
      <c r="IA913" s="73"/>
      <c r="IB913" s="73"/>
      <c r="IC913" s="73"/>
      <c r="ID913" s="73"/>
      <c r="IE913" s="73"/>
      <c r="IF913" s="73"/>
      <c r="IG913" s="73"/>
      <c r="IH913" s="73"/>
      <c r="II913" s="73"/>
      <c r="IJ913" s="73"/>
      <c r="IK913" s="73"/>
      <c r="IL913" s="73"/>
      <c r="IM913" s="73"/>
      <c r="IN913" s="73"/>
      <c r="IO913" s="73"/>
      <c r="IP913" s="73"/>
      <c r="IQ913" s="73"/>
      <c r="IR913" s="73"/>
      <c r="IS913" s="73"/>
      <c r="IT913" s="73"/>
      <c r="IU913" s="73"/>
      <c r="IV913" s="73"/>
      <c r="IW913" s="73"/>
      <c r="IX913" s="73"/>
      <c r="IY913" s="73"/>
      <c r="IZ913" s="73"/>
      <c r="JA913" s="73"/>
      <c r="JB913" s="73"/>
      <c r="JC913" s="73"/>
    </row>
    <row r="914" spans="2:263" s="72" customFormat="1">
      <c r="B914" s="73"/>
      <c r="C914" s="73"/>
      <c r="D914" s="73"/>
      <c r="E914" s="73"/>
      <c r="F914" s="73"/>
      <c r="G914" s="73"/>
      <c r="H914" s="73"/>
      <c r="I914" s="73"/>
      <c r="J914" s="73"/>
      <c r="K914" s="73"/>
      <c r="L914" s="73"/>
      <c r="M914" s="73"/>
      <c r="N914" s="73"/>
      <c r="O914" s="73"/>
      <c r="P914" s="73"/>
      <c r="Q914" s="73"/>
      <c r="R914" s="73"/>
      <c r="S914" s="73"/>
      <c r="T914" s="73"/>
      <c r="U914" s="73"/>
      <c r="V914" s="73"/>
      <c r="W914" s="73"/>
      <c r="GL914" s="73"/>
      <c r="GM914" s="73"/>
      <c r="GN914" s="73"/>
      <c r="GO914" s="73"/>
      <c r="GP914" s="73"/>
      <c r="GQ914" s="73"/>
      <c r="GR914" s="73"/>
      <c r="GS914" s="73"/>
      <c r="GT914" s="73"/>
      <c r="GU914" s="73"/>
      <c r="GV914" s="73"/>
      <c r="GW914" s="73"/>
      <c r="GX914" s="73"/>
      <c r="GY914" s="73"/>
      <c r="GZ914" s="73"/>
      <c r="HA914" s="73"/>
      <c r="HB914" s="73"/>
      <c r="HC914" s="73"/>
      <c r="HD914" s="73"/>
      <c r="HE914" s="73"/>
      <c r="HF914" s="73"/>
      <c r="HG914" s="73"/>
      <c r="HH914" s="73"/>
      <c r="HI914" s="73"/>
      <c r="HJ914" s="73"/>
      <c r="HK914" s="73"/>
      <c r="HL914" s="73"/>
      <c r="HM914" s="73"/>
      <c r="HN914" s="73"/>
      <c r="HO914" s="73"/>
      <c r="HP914" s="73"/>
      <c r="HQ914" s="73"/>
      <c r="HR914" s="73"/>
      <c r="HS914" s="73"/>
      <c r="HT914" s="73"/>
      <c r="HU914" s="73"/>
      <c r="HV914" s="73"/>
      <c r="HW914" s="73"/>
      <c r="HX914" s="73"/>
      <c r="HY914" s="73"/>
      <c r="HZ914" s="73"/>
      <c r="IA914" s="73"/>
      <c r="IB914" s="73"/>
      <c r="IC914" s="73"/>
      <c r="ID914" s="73"/>
      <c r="IE914" s="73"/>
      <c r="IF914" s="73"/>
      <c r="IG914" s="73"/>
      <c r="IH914" s="73"/>
      <c r="II914" s="73"/>
      <c r="IJ914" s="73"/>
      <c r="IK914" s="73"/>
      <c r="IL914" s="73"/>
      <c r="IM914" s="73"/>
      <c r="IN914" s="73"/>
      <c r="IO914" s="73"/>
      <c r="IP914" s="73"/>
      <c r="IQ914" s="73"/>
      <c r="IR914" s="73"/>
      <c r="IS914" s="73"/>
      <c r="IT914" s="73"/>
      <c r="IU914" s="73"/>
      <c r="IV914" s="73"/>
      <c r="IW914" s="73"/>
      <c r="IX914" s="73"/>
      <c r="IY914" s="73"/>
      <c r="IZ914" s="73"/>
      <c r="JA914" s="73"/>
      <c r="JB914" s="73"/>
      <c r="JC914" s="73"/>
    </row>
    <row r="915" spans="2:263" s="72" customFormat="1">
      <c r="B915" s="73"/>
      <c r="C915" s="73"/>
      <c r="D915" s="73"/>
      <c r="E915" s="73"/>
      <c r="F915" s="73"/>
      <c r="G915" s="73"/>
      <c r="H915" s="73"/>
      <c r="I915" s="73"/>
      <c r="J915" s="73"/>
      <c r="K915" s="73"/>
      <c r="L915" s="73"/>
      <c r="M915" s="73"/>
      <c r="N915" s="73"/>
      <c r="O915" s="73"/>
      <c r="P915" s="73"/>
      <c r="Q915" s="73"/>
      <c r="R915" s="73"/>
      <c r="S915" s="73"/>
      <c r="T915" s="73"/>
      <c r="U915" s="73"/>
      <c r="V915" s="73"/>
      <c r="W915" s="73"/>
      <c r="GL915" s="73"/>
      <c r="GM915" s="73"/>
      <c r="GN915" s="73"/>
      <c r="GO915" s="73"/>
      <c r="GP915" s="73"/>
      <c r="GQ915" s="73"/>
      <c r="GR915" s="73"/>
      <c r="GS915" s="73"/>
      <c r="GT915" s="73"/>
      <c r="GU915" s="73"/>
      <c r="GV915" s="73"/>
      <c r="GW915" s="73"/>
      <c r="GX915" s="73"/>
      <c r="GY915" s="73"/>
      <c r="GZ915" s="73"/>
      <c r="HA915" s="73"/>
      <c r="HB915" s="73"/>
      <c r="HC915" s="73"/>
      <c r="HD915" s="73"/>
      <c r="HE915" s="73"/>
      <c r="HF915" s="73"/>
      <c r="HG915" s="73"/>
      <c r="HH915" s="73"/>
      <c r="HI915" s="73"/>
      <c r="HJ915" s="73"/>
      <c r="HK915" s="73"/>
      <c r="HL915" s="73"/>
      <c r="HM915" s="73"/>
      <c r="HN915" s="73"/>
      <c r="HO915" s="73"/>
      <c r="HP915" s="73"/>
      <c r="HQ915" s="73"/>
      <c r="HR915" s="73"/>
      <c r="HS915" s="73"/>
      <c r="HT915" s="73"/>
      <c r="HU915" s="73"/>
      <c r="HV915" s="73"/>
      <c r="HW915" s="73"/>
      <c r="HX915" s="73"/>
      <c r="HY915" s="73"/>
      <c r="HZ915" s="73"/>
      <c r="IA915" s="73"/>
      <c r="IB915" s="73"/>
      <c r="IC915" s="73"/>
      <c r="ID915" s="73"/>
      <c r="IE915" s="73"/>
      <c r="IF915" s="73"/>
      <c r="IG915" s="73"/>
      <c r="IH915" s="73"/>
      <c r="II915" s="73"/>
      <c r="IJ915" s="73"/>
      <c r="IK915" s="73"/>
      <c r="IL915" s="73"/>
      <c r="IM915" s="73"/>
      <c r="IN915" s="73"/>
      <c r="IO915" s="73"/>
      <c r="IP915" s="73"/>
      <c r="IQ915" s="73"/>
      <c r="IR915" s="73"/>
      <c r="IS915" s="73"/>
      <c r="IT915" s="73"/>
      <c r="IU915" s="73"/>
      <c r="IV915" s="73"/>
      <c r="IW915" s="73"/>
      <c r="IX915" s="73"/>
      <c r="IY915" s="73"/>
      <c r="IZ915" s="73"/>
      <c r="JA915" s="73"/>
      <c r="JB915" s="73"/>
      <c r="JC915" s="73"/>
    </row>
    <row r="916" spans="2:263" s="72" customFormat="1">
      <c r="B916" s="73"/>
      <c r="C916" s="73"/>
      <c r="D916" s="73"/>
      <c r="E916" s="73"/>
      <c r="F916" s="73"/>
      <c r="G916" s="73"/>
      <c r="H916" s="73"/>
      <c r="I916" s="73"/>
      <c r="J916" s="73"/>
      <c r="K916" s="73"/>
      <c r="L916" s="73"/>
      <c r="M916" s="73"/>
      <c r="N916" s="73"/>
      <c r="O916" s="73"/>
      <c r="P916" s="73"/>
      <c r="Q916" s="73"/>
      <c r="R916" s="73"/>
      <c r="S916" s="73"/>
      <c r="T916" s="73"/>
      <c r="U916" s="73"/>
      <c r="V916" s="73"/>
      <c r="W916" s="73"/>
      <c r="GL916" s="73"/>
      <c r="GM916" s="73"/>
      <c r="GN916" s="73"/>
      <c r="GO916" s="73"/>
      <c r="GP916" s="73"/>
      <c r="GQ916" s="73"/>
      <c r="GR916" s="73"/>
      <c r="GS916" s="73"/>
      <c r="GT916" s="73"/>
      <c r="GU916" s="73"/>
      <c r="GV916" s="73"/>
      <c r="GW916" s="73"/>
      <c r="GX916" s="73"/>
      <c r="GY916" s="73"/>
      <c r="GZ916" s="73"/>
      <c r="HA916" s="73"/>
      <c r="HB916" s="73"/>
      <c r="HC916" s="73"/>
      <c r="HD916" s="73"/>
      <c r="HE916" s="73"/>
      <c r="HF916" s="73"/>
      <c r="HG916" s="73"/>
      <c r="HH916" s="73"/>
      <c r="HI916" s="73"/>
      <c r="HJ916" s="73"/>
      <c r="HK916" s="73"/>
      <c r="HL916" s="73"/>
      <c r="HM916" s="73"/>
      <c r="HN916" s="73"/>
      <c r="HO916" s="73"/>
      <c r="HP916" s="73"/>
      <c r="HQ916" s="73"/>
      <c r="HR916" s="73"/>
      <c r="HS916" s="73"/>
      <c r="HT916" s="73"/>
      <c r="HU916" s="73"/>
      <c r="HV916" s="73"/>
      <c r="HW916" s="73"/>
      <c r="HX916" s="73"/>
      <c r="HY916" s="73"/>
      <c r="HZ916" s="73"/>
      <c r="IA916" s="73"/>
      <c r="IB916" s="73"/>
      <c r="IC916" s="73"/>
      <c r="ID916" s="73"/>
      <c r="IE916" s="73"/>
      <c r="IF916" s="73"/>
      <c r="IG916" s="73"/>
      <c r="IH916" s="73"/>
      <c r="II916" s="73"/>
      <c r="IJ916" s="73"/>
      <c r="IK916" s="73"/>
      <c r="IL916" s="73"/>
      <c r="IM916" s="73"/>
      <c r="IN916" s="73"/>
      <c r="IO916" s="73"/>
      <c r="IP916" s="73"/>
      <c r="IQ916" s="73"/>
      <c r="IR916" s="73"/>
      <c r="IS916" s="73"/>
      <c r="IT916" s="73"/>
      <c r="IU916" s="73"/>
      <c r="IV916" s="73"/>
      <c r="IW916" s="73"/>
      <c r="IX916" s="73"/>
      <c r="IY916" s="73"/>
      <c r="IZ916" s="73"/>
      <c r="JA916" s="73"/>
      <c r="JB916" s="73"/>
      <c r="JC916" s="73"/>
    </row>
    <row r="917" spans="2:263" s="72" customFormat="1">
      <c r="B917" s="73"/>
      <c r="C917" s="73"/>
      <c r="D917" s="73"/>
      <c r="E917" s="73"/>
      <c r="F917" s="73"/>
      <c r="G917" s="73"/>
      <c r="H917" s="73"/>
      <c r="I917" s="73"/>
      <c r="J917" s="73"/>
      <c r="K917" s="73"/>
      <c r="L917" s="73"/>
      <c r="M917" s="73"/>
      <c r="N917" s="73"/>
      <c r="O917" s="73"/>
      <c r="P917" s="73"/>
      <c r="Q917" s="73"/>
      <c r="R917" s="73"/>
      <c r="S917" s="73"/>
      <c r="T917" s="73"/>
      <c r="U917" s="73"/>
      <c r="V917" s="73"/>
      <c r="W917" s="73"/>
      <c r="GL917" s="73"/>
      <c r="GM917" s="73"/>
      <c r="GN917" s="73"/>
      <c r="GO917" s="73"/>
      <c r="GP917" s="73"/>
      <c r="GQ917" s="73"/>
      <c r="GR917" s="73"/>
      <c r="GS917" s="73"/>
      <c r="GT917" s="73"/>
      <c r="GU917" s="73"/>
      <c r="GV917" s="73"/>
      <c r="GW917" s="73"/>
      <c r="GX917" s="73"/>
      <c r="GY917" s="73"/>
      <c r="GZ917" s="73"/>
      <c r="HA917" s="73"/>
      <c r="HB917" s="73"/>
      <c r="HC917" s="73"/>
      <c r="HD917" s="73"/>
      <c r="HE917" s="73"/>
      <c r="HF917" s="73"/>
      <c r="HG917" s="73"/>
      <c r="HH917" s="73"/>
      <c r="HI917" s="73"/>
      <c r="HJ917" s="73"/>
      <c r="HK917" s="73"/>
      <c r="HL917" s="73"/>
      <c r="HM917" s="73"/>
      <c r="HN917" s="73"/>
      <c r="HO917" s="73"/>
      <c r="HP917" s="73"/>
      <c r="HQ917" s="73"/>
      <c r="HR917" s="73"/>
      <c r="HS917" s="73"/>
      <c r="HT917" s="73"/>
      <c r="HU917" s="73"/>
      <c r="HV917" s="73"/>
      <c r="HW917" s="73"/>
      <c r="HX917" s="73"/>
      <c r="HY917" s="73"/>
      <c r="HZ917" s="73"/>
      <c r="IA917" s="73"/>
      <c r="IB917" s="73"/>
      <c r="IC917" s="73"/>
      <c r="ID917" s="73"/>
      <c r="IE917" s="73"/>
      <c r="IF917" s="73"/>
      <c r="IG917" s="73"/>
      <c r="IH917" s="73"/>
      <c r="II917" s="73"/>
      <c r="IJ917" s="73"/>
      <c r="IK917" s="73"/>
      <c r="IL917" s="73"/>
      <c r="IM917" s="73"/>
      <c r="IN917" s="73"/>
      <c r="IO917" s="73"/>
      <c r="IP917" s="73"/>
      <c r="IQ917" s="73"/>
      <c r="IR917" s="73"/>
      <c r="IS917" s="73"/>
      <c r="IT917" s="73"/>
      <c r="IU917" s="73"/>
      <c r="IV917" s="73"/>
      <c r="IW917" s="73"/>
      <c r="IX917" s="73"/>
      <c r="IY917" s="73"/>
      <c r="IZ917" s="73"/>
      <c r="JA917" s="73"/>
      <c r="JB917" s="73"/>
      <c r="JC917" s="73"/>
    </row>
    <row r="918" spans="2:263" s="72" customFormat="1">
      <c r="B918" s="73"/>
      <c r="C918" s="73"/>
      <c r="D918" s="73"/>
      <c r="E918" s="73"/>
      <c r="F918" s="73"/>
      <c r="G918" s="73"/>
      <c r="H918" s="73"/>
      <c r="I918" s="73"/>
      <c r="J918" s="73"/>
      <c r="K918" s="73"/>
      <c r="L918" s="73"/>
      <c r="M918" s="73"/>
      <c r="N918" s="73"/>
      <c r="O918" s="73"/>
      <c r="P918" s="73"/>
      <c r="Q918" s="73"/>
      <c r="R918" s="73"/>
      <c r="S918" s="73"/>
      <c r="T918" s="73"/>
      <c r="U918" s="73"/>
      <c r="V918" s="73"/>
      <c r="W918" s="73"/>
      <c r="GL918" s="73"/>
      <c r="GM918" s="73"/>
      <c r="GN918" s="73"/>
      <c r="GO918" s="73"/>
      <c r="GP918" s="73"/>
      <c r="GQ918" s="73"/>
      <c r="GR918" s="73"/>
      <c r="GS918" s="73"/>
      <c r="GT918" s="73"/>
      <c r="GU918" s="73"/>
      <c r="GV918" s="73"/>
      <c r="GW918" s="73"/>
      <c r="GX918" s="73"/>
      <c r="GY918" s="73"/>
      <c r="GZ918" s="73"/>
      <c r="HA918" s="73"/>
      <c r="HB918" s="73"/>
      <c r="HC918" s="73"/>
      <c r="HD918" s="73"/>
      <c r="HE918" s="73"/>
      <c r="HF918" s="73"/>
      <c r="HG918" s="73"/>
      <c r="HH918" s="73"/>
      <c r="HI918" s="73"/>
      <c r="HJ918" s="73"/>
      <c r="HK918" s="73"/>
      <c r="HL918" s="73"/>
      <c r="HM918" s="73"/>
      <c r="HN918" s="73"/>
      <c r="HO918" s="73"/>
      <c r="HP918" s="73"/>
      <c r="HQ918" s="73"/>
      <c r="HR918" s="73"/>
      <c r="HS918" s="73"/>
      <c r="HT918" s="73"/>
      <c r="HU918" s="73"/>
      <c r="HV918" s="73"/>
      <c r="HW918" s="73"/>
      <c r="HX918" s="73"/>
      <c r="HY918" s="73"/>
      <c r="HZ918" s="73"/>
      <c r="IA918" s="73"/>
      <c r="IB918" s="73"/>
      <c r="IC918" s="73"/>
      <c r="ID918" s="73"/>
      <c r="IE918" s="73"/>
      <c r="IF918" s="73"/>
      <c r="IG918" s="73"/>
      <c r="IH918" s="73"/>
      <c r="II918" s="73"/>
      <c r="IJ918" s="73"/>
      <c r="IK918" s="73"/>
      <c r="IL918" s="73"/>
      <c r="IM918" s="73"/>
      <c r="IN918" s="73"/>
      <c r="IO918" s="73"/>
      <c r="IP918" s="73"/>
      <c r="IQ918" s="73"/>
      <c r="IR918" s="73"/>
      <c r="IS918" s="73"/>
      <c r="IT918" s="73"/>
      <c r="IU918" s="73"/>
      <c r="IV918" s="73"/>
      <c r="IW918" s="73"/>
      <c r="IX918" s="73"/>
      <c r="IY918" s="73"/>
      <c r="IZ918" s="73"/>
      <c r="JA918" s="73"/>
      <c r="JB918" s="73"/>
      <c r="JC918" s="73"/>
    </row>
    <row r="919" spans="2:263" s="72" customFormat="1">
      <c r="B919" s="73"/>
      <c r="C919" s="73"/>
      <c r="D919" s="73"/>
      <c r="E919" s="73"/>
      <c r="F919" s="73"/>
      <c r="G919" s="73"/>
      <c r="H919" s="73"/>
      <c r="I919" s="73"/>
      <c r="J919" s="73"/>
      <c r="K919" s="73"/>
      <c r="L919" s="73"/>
      <c r="M919" s="73"/>
      <c r="N919" s="73"/>
      <c r="O919" s="73"/>
      <c r="P919" s="73"/>
      <c r="Q919" s="73"/>
      <c r="R919" s="73"/>
      <c r="S919" s="73"/>
      <c r="T919" s="73"/>
      <c r="U919" s="73"/>
      <c r="V919" s="73"/>
      <c r="W919" s="73"/>
      <c r="GL919" s="73"/>
      <c r="GM919" s="73"/>
      <c r="GN919" s="73"/>
      <c r="GO919" s="73"/>
      <c r="GP919" s="73"/>
      <c r="GQ919" s="73"/>
      <c r="GR919" s="73"/>
      <c r="GS919" s="73"/>
      <c r="GT919" s="73"/>
      <c r="GU919" s="73"/>
      <c r="GV919" s="73"/>
      <c r="GW919" s="73"/>
      <c r="GX919" s="73"/>
      <c r="GY919" s="73"/>
      <c r="GZ919" s="73"/>
      <c r="HA919" s="73"/>
      <c r="HB919" s="73"/>
      <c r="HC919" s="73"/>
      <c r="HD919" s="73"/>
      <c r="HE919" s="73"/>
      <c r="HF919" s="73"/>
      <c r="HG919" s="73"/>
      <c r="HH919" s="73"/>
      <c r="HI919" s="73"/>
      <c r="HJ919" s="73"/>
      <c r="HK919" s="73"/>
      <c r="HL919" s="73"/>
      <c r="HM919" s="73"/>
      <c r="HN919" s="73"/>
      <c r="HO919" s="73"/>
      <c r="HP919" s="73"/>
      <c r="HQ919" s="73"/>
      <c r="HR919" s="73"/>
      <c r="HS919" s="73"/>
      <c r="HT919" s="73"/>
      <c r="HU919" s="73"/>
      <c r="HV919" s="73"/>
      <c r="HW919" s="73"/>
      <c r="HX919" s="73"/>
      <c r="HY919" s="73"/>
      <c r="HZ919" s="73"/>
      <c r="IA919" s="73"/>
      <c r="IB919" s="73"/>
      <c r="IC919" s="73"/>
      <c r="ID919" s="73"/>
      <c r="IE919" s="73"/>
      <c r="IF919" s="73"/>
      <c r="IG919" s="73"/>
      <c r="IH919" s="73"/>
      <c r="II919" s="73"/>
      <c r="IJ919" s="73"/>
      <c r="IK919" s="73"/>
      <c r="IL919" s="73"/>
      <c r="IM919" s="73"/>
      <c r="IN919" s="73"/>
      <c r="IO919" s="73"/>
      <c r="IP919" s="73"/>
      <c r="IQ919" s="73"/>
      <c r="IR919" s="73"/>
      <c r="IS919" s="73"/>
      <c r="IT919" s="73"/>
      <c r="IU919" s="73"/>
      <c r="IV919" s="73"/>
      <c r="IW919" s="73"/>
      <c r="IX919" s="73"/>
      <c r="IY919" s="73"/>
      <c r="IZ919" s="73"/>
      <c r="JA919" s="73"/>
      <c r="JB919" s="73"/>
      <c r="JC919" s="73"/>
    </row>
    <row r="920" spans="2:263" s="72" customFormat="1">
      <c r="B920" s="73"/>
      <c r="C920" s="73"/>
      <c r="D920" s="73"/>
      <c r="E920" s="73"/>
      <c r="F920" s="73"/>
      <c r="G920" s="73"/>
      <c r="H920" s="73"/>
      <c r="I920" s="73"/>
      <c r="J920" s="73"/>
      <c r="K920" s="73"/>
      <c r="L920" s="73"/>
      <c r="M920" s="73"/>
      <c r="N920" s="73"/>
      <c r="O920" s="73"/>
      <c r="P920" s="73"/>
      <c r="Q920" s="73"/>
      <c r="R920" s="73"/>
      <c r="S920" s="73"/>
      <c r="T920" s="73"/>
      <c r="U920" s="73"/>
      <c r="V920" s="73"/>
      <c r="W920" s="73"/>
      <c r="GL920" s="73"/>
      <c r="GM920" s="73"/>
      <c r="GN920" s="73"/>
      <c r="GO920" s="73"/>
      <c r="GP920" s="73"/>
      <c r="GQ920" s="73"/>
      <c r="GR920" s="73"/>
      <c r="GS920" s="73"/>
      <c r="GT920" s="73"/>
      <c r="GU920" s="73"/>
      <c r="GV920" s="73"/>
      <c r="GW920" s="73"/>
      <c r="GX920" s="73"/>
      <c r="GY920" s="73"/>
      <c r="GZ920" s="73"/>
      <c r="HA920" s="73"/>
      <c r="HB920" s="73"/>
      <c r="HC920" s="73"/>
      <c r="HD920" s="73"/>
      <c r="HE920" s="73"/>
      <c r="HF920" s="73"/>
      <c r="HG920" s="73"/>
      <c r="HH920" s="73"/>
      <c r="HI920" s="73"/>
      <c r="HJ920" s="73"/>
      <c r="HK920" s="73"/>
      <c r="HL920" s="73"/>
      <c r="HM920" s="73"/>
      <c r="HN920" s="73"/>
      <c r="HO920" s="73"/>
      <c r="HP920" s="73"/>
      <c r="HQ920" s="73"/>
      <c r="HR920" s="73"/>
      <c r="HS920" s="73"/>
      <c r="HT920" s="73"/>
      <c r="HU920" s="73"/>
      <c r="HV920" s="73"/>
      <c r="HW920" s="73"/>
      <c r="HX920" s="73"/>
      <c r="HY920" s="73"/>
      <c r="HZ920" s="73"/>
      <c r="IA920" s="73"/>
      <c r="IB920" s="73"/>
      <c r="IC920" s="73"/>
      <c r="ID920" s="73"/>
      <c r="IE920" s="73"/>
      <c r="IF920" s="73"/>
      <c r="IG920" s="73"/>
      <c r="IH920" s="73"/>
      <c r="II920" s="73"/>
      <c r="IJ920" s="73"/>
      <c r="IK920" s="73"/>
      <c r="IL920" s="73"/>
      <c r="IM920" s="73"/>
      <c r="IN920" s="73"/>
      <c r="IO920" s="73"/>
      <c r="IP920" s="73"/>
      <c r="IQ920" s="73"/>
      <c r="IR920" s="73"/>
      <c r="IS920" s="73"/>
      <c r="IT920" s="73"/>
      <c r="IU920" s="73"/>
      <c r="IV920" s="73"/>
      <c r="IW920" s="73"/>
      <c r="IX920" s="73"/>
      <c r="IY920" s="73"/>
      <c r="IZ920" s="73"/>
      <c r="JA920" s="73"/>
      <c r="JB920" s="73"/>
      <c r="JC920" s="73"/>
    </row>
    <row r="921" spans="2:263" s="72" customFormat="1">
      <c r="B921" s="73"/>
      <c r="C921" s="73"/>
      <c r="D921" s="73"/>
      <c r="E921" s="73"/>
      <c r="F921" s="73"/>
      <c r="G921" s="73"/>
      <c r="H921" s="73"/>
      <c r="I921" s="73"/>
      <c r="J921" s="73"/>
      <c r="K921" s="73"/>
      <c r="L921" s="73"/>
      <c r="M921" s="73"/>
      <c r="N921" s="73"/>
      <c r="O921" s="73"/>
      <c r="P921" s="73"/>
      <c r="Q921" s="73"/>
      <c r="R921" s="73"/>
      <c r="S921" s="73"/>
      <c r="T921" s="73"/>
      <c r="U921" s="73"/>
      <c r="V921" s="73"/>
      <c r="W921" s="73"/>
      <c r="GL921" s="73"/>
      <c r="GM921" s="73"/>
      <c r="GN921" s="73"/>
      <c r="GO921" s="73"/>
      <c r="GP921" s="73"/>
      <c r="GQ921" s="73"/>
      <c r="GR921" s="73"/>
      <c r="GS921" s="73"/>
      <c r="GT921" s="73"/>
      <c r="GU921" s="73"/>
      <c r="GV921" s="73"/>
      <c r="GW921" s="73"/>
      <c r="GX921" s="73"/>
      <c r="GY921" s="73"/>
      <c r="GZ921" s="73"/>
      <c r="HA921" s="73"/>
      <c r="HB921" s="73"/>
      <c r="HC921" s="73"/>
      <c r="HD921" s="73"/>
      <c r="HE921" s="73"/>
      <c r="HF921" s="73"/>
      <c r="HG921" s="73"/>
      <c r="HH921" s="73"/>
      <c r="HI921" s="73"/>
      <c r="HJ921" s="73"/>
      <c r="HK921" s="73"/>
      <c r="HL921" s="73"/>
      <c r="HM921" s="73"/>
      <c r="HN921" s="73"/>
      <c r="HO921" s="73"/>
      <c r="HP921" s="73"/>
      <c r="HQ921" s="73"/>
      <c r="HR921" s="73"/>
      <c r="HS921" s="73"/>
      <c r="HT921" s="73"/>
      <c r="HU921" s="73"/>
      <c r="HV921" s="73"/>
      <c r="HW921" s="73"/>
      <c r="HX921" s="73"/>
      <c r="HY921" s="73"/>
      <c r="HZ921" s="73"/>
      <c r="IA921" s="73"/>
      <c r="IB921" s="73"/>
      <c r="IC921" s="73"/>
      <c r="ID921" s="73"/>
      <c r="IE921" s="73"/>
      <c r="IF921" s="73"/>
      <c r="IG921" s="73"/>
      <c r="IH921" s="73"/>
      <c r="II921" s="73"/>
      <c r="IJ921" s="73"/>
      <c r="IK921" s="73"/>
      <c r="IL921" s="73"/>
      <c r="IM921" s="73"/>
      <c r="IN921" s="73"/>
      <c r="IO921" s="73"/>
      <c r="IP921" s="73"/>
      <c r="IQ921" s="73"/>
      <c r="IR921" s="73"/>
      <c r="IS921" s="73"/>
      <c r="IT921" s="73"/>
      <c r="IU921" s="73"/>
      <c r="IV921" s="73"/>
      <c r="IW921" s="73"/>
      <c r="IX921" s="73"/>
      <c r="IY921" s="73"/>
      <c r="IZ921" s="73"/>
      <c r="JA921" s="73"/>
      <c r="JB921" s="73"/>
      <c r="JC921" s="73"/>
    </row>
    <row r="922" spans="2:263" s="72" customFormat="1">
      <c r="B922" s="73"/>
      <c r="C922" s="73"/>
      <c r="D922" s="73"/>
      <c r="E922" s="73"/>
      <c r="F922" s="73"/>
      <c r="G922" s="73"/>
      <c r="H922" s="73"/>
      <c r="I922" s="73"/>
      <c r="J922" s="73"/>
      <c r="K922" s="73"/>
      <c r="L922" s="73"/>
      <c r="M922" s="73"/>
      <c r="N922" s="73"/>
      <c r="O922" s="73"/>
      <c r="P922" s="73"/>
      <c r="Q922" s="73"/>
      <c r="R922" s="73"/>
      <c r="S922" s="73"/>
      <c r="T922" s="73"/>
      <c r="U922" s="73"/>
      <c r="V922" s="73"/>
      <c r="W922" s="73"/>
      <c r="GL922" s="73"/>
      <c r="GM922" s="73"/>
      <c r="GN922" s="73"/>
      <c r="GO922" s="73"/>
      <c r="GP922" s="73"/>
      <c r="GQ922" s="73"/>
      <c r="GR922" s="73"/>
      <c r="GS922" s="73"/>
      <c r="GT922" s="73"/>
      <c r="GU922" s="73"/>
      <c r="GV922" s="73"/>
      <c r="GW922" s="73"/>
      <c r="GX922" s="73"/>
      <c r="GY922" s="73"/>
      <c r="GZ922" s="73"/>
      <c r="HA922" s="73"/>
      <c r="HB922" s="73"/>
      <c r="HC922" s="73"/>
      <c r="HD922" s="73"/>
      <c r="HE922" s="73"/>
      <c r="HF922" s="73"/>
      <c r="HG922" s="73"/>
      <c r="HH922" s="73"/>
      <c r="HI922" s="73"/>
      <c r="HJ922" s="73"/>
      <c r="HK922" s="73"/>
      <c r="HL922" s="73"/>
      <c r="HM922" s="73"/>
      <c r="HN922" s="73"/>
      <c r="HO922" s="73"/>
      <c r="HP922" s="73"/>
      <c r="HQ922" s="73"/>
      <c r="HR922" s="73"/>
      <c r="HS922" s="73"/>
      <c r="HT922" s="73"/>
      <c r="HU922" s="73"/>
      <c r="HV922" s="73"/>
      <c r="HW922" s="73"/>
      <c r="HX922" s="73"/>
      <c r="HY922" s="73"/>
      <c r="HZ922" s="73"/>
      <c r="IA922" s="73"/>
      <c r="IB922" s="73"/>
      <c r="IC922" s="73"/>
      <c r="ID922" s="73"/>
      <c r="IE922" s="73"/>
      <c r="IF922" s="73"/>
      <c r="IG922" s="73"/>
      <c r="IH922" s="73"/>
      <c r="II922" s="73"/>
      <c r="IJ922" s="73"/>
      <c r="IK922" s="73"/>
      <c r="IL922" s="73"/>
      <c r="IM922" s="73"/>
      <c r="IN922" s="73"/>
      <c r="IO922" s="73"/>
      <c r="IP922" s="73"/>
      <c r="IQ922" s="73"/>
      <c r="IR922" s="73"/>
      <c r="IS922" s="73"/>
      <c r="IT922" s="73"/>
      <c r="IU922" s="73"/>
      <c r="IV922" s="73"/>
      <c r="IW922" s="73"/>
      <c r="IX922" s="73"/>
      <c r="IY922" s="73"/>
      <c r="IZ922" s="73"/>
      <c r="JA922" s="73"/>
      <c r="JB922" s="73"/>
      <c r="JC922" s="73"/>
    </row>
    <row r="923" spans="2:263" s="72" customFormat="1">
      <c r="B923" s="73"/>
      <c r="C923" s="73"/>
      <c r="D923" s="73"/>
      <c r="E923" s="73"/>
      <c r="F923" s="73"/>
      <c r="G923" s="73"/>
      <c r="H923" s="73"/>
      <c r="I923" s="73"/>
      <c r="J923" s="73"/>
      <c r="K923" s="73"/>
      <c r="L923" s="73"/>
      <c r="M923" s="73"/>
      <c r="N923" s="73"/>
      <c r="O923" s="73"/>
      <c r="P923" s="73"/>
      <c r="Q923" s="73"/>
      <c r="R923" s="73"/>
      <c r="S923" s="73"/>
      <c r="T923" s="73"/>
      <c r="U923" s="73"/>
      <c r="V923" s="73"/>
      <c r="W923" s="73"/>
      <c r="GL923" s="73"/>
      <c r="GM923" s="73"/>
      <c r="GN923" s="73"/>
      <c r="GO923" s="73"/>
      <c r="GP923" s="73"/>
      <c r="GQ923" s="73"/>
      <c r="GR923" s="73"/>
      <c r="GS923" s="73"/>
      <c r="GT923" s="73"/>
      <c r="GU923" s="73"/>
      <c r="GV923" s="73"/>
      <c r="GW923" s="73"/>
      <c r="GX923" s="73"/>
      <c r="GY923" s="73"/>
      <c r="GZ923" s="73"/>
      <c r="HA923" s="73"/>
      <c r="HB923" s="73"/>
      <c r="HC923" s="73"/>
      <c r="HD923" s="73"/>
      <c r="HE923" s="73"/>
      <c r="HF923" s="73"/>
      <c r="HG923" s="73"/>
      <c r="HH923" s="73"/>
      <c r="HI923" s="73"/>
      <c r="HJ923" s="73"/>
      <c r="HK923" s="73"/>
      <c r="HL923" s="73"/>
      <c r="HM923" s="73"/>
      <c r="HN923" s="73"/>
      <c r="HO923" s="73"/>
      <c r="HP923" s="73"/>
      <c r="HQ923" s="73"/>
      <c r="HR923" s="73"/>
      <c r="HS923" s="73"/>
      <c r="HT923" s="73"/>
      <c r="HU923" s="73"/>
      <c r="HV923" s="73"/>
      <c r="HW923" s="73"/>
      <c r="HX923" s="73"/>
      <c r="HY923" s="73"/>
      <c r="HZ923" s="73"/>
      <c r="IA923" s="73"/>
      <c r="IB923" s="73"/>
      <c r="IC923" s="73"/>
      <c r="ID923" s="73"/>
      <c r="IE923" s="73"/>
      <c r="IF923" s="73"/>
      <c r="IG923" s="73"/>
      <c r="IH923" s="73"/>
      <c r="II923" s="73"/>
      <c r="IJ923" s="73"/>
      <c r="IK923" s="73"/>
      <c r="IL923" s="73"/>
      <c r="IM923" s="73"/>
      <c r="IN923" s="73"/>
      <c r="IO923" s="73"/>
      <c r="IP923" s="73"/>
      <c r="IQ923" s="73"/>
      <c r="IR923" s="73"/>
      <c r="IS923" s="73"/>
      <c r="IT923" s="73"/>
      <c r="IU923" s="73"/>
      <c r="IV923" s="73"/>
      <c r="IW923" s="73"/>
      <c r="IX923" s="73"/>
      <c r="IY923" s="73"/>
      <c r="IZ923" s="73"/>
      <c r="JA923" s="73"/>
      <c r="JB923" s="73"/>
      <c r="JC923" s="73"/>
    </row>
    <row r="924" spans="2:263" s="72" customFormat="1">
      <c r="B924" s="73"/>
      <c r="C924" s="73"/>
      <c r="D924" s="73"/>
      <c r="E924" s="73"/>
      <c r="F924" s="73"/>
      <c r="G924" s="73"/>
      <c r="H924" s="73"/>
      <c r="I924" s="73"/>
      <c r="J924" s="73"/>
      <c r="K924" s="73"/>
      <c r="L924" s="73"/>
      <c r="M924" s="73"/>
      <c r="N924" s="73"/>
      <c r="O924" s="73"/>
      <c r="P924" s="73"/>
      <c r="Q924" s="73"/>
      <c r="R924" s="73"/>
      <c r="S924" s="73"/>
      <c r="T924" s="73"/>
      <c r="U924" s="73"/>
      <c r="V924" s="73"/>
      <c r="W924" s="73"/>
      <c r="GL924" s="73"/>
      <c r="GM924" s="73"/>
      <c r="GN924" s="73"/>
      <c r="GO924" s="73"/>
      <c r="GP924" s="73"/>
      <c r="GQ924" s="73"/>
      <c r="GR924" s="73"/>
      <c r="GS924" s="73"/>
      <c r="GT924" s="73"/>
      <c r="GU924" s="73"/>
      <c r="GV924" s="73"/>
      <c r="GW924" s="73"/>
      <c r="GX924" s="73"/>
      <c r="GY924" s="73"/>
      <c r="GZ924" s="73"/>
      <c r="HA924" s="73"/>
      <c r="HB924" s="73"/>
      <c r="HC924" s="73"/>
      <c r="HD924" s="73"/>
      <c r="HE924" s="73"/>
      <c r="HF924" s="73"/>
      <c r="HG924" s="73"/>
      <c r="HH924" s="73"/>
      <c r="HI924" s="73"/>
      <c r="HJ924" s="73"/>
      <c r="HK924" s="73"/>
      <c r="HL924" s="73"/>
      <c r="HM924" s="73"/>
      <c r="HN924" s="73"/>
      <c r="HO924" s="73"/>
      <c r="HP924" s="73"/>
      <c r="HQ924" s="73"/>
      <c r="HR924" s="73"/>
      <c r="HS924" s="73"/>
      <c r="HT924" s="73"/>
      <c r="HU924" s="73"/>
      <c r="HV924" s="73"/>
      <c r="HW924" s="73"/>
      <c r="HX924" s="73"/>
      <c r="HY924" s="73"/>
      <c r="HZ924" s="73"/>
      <c r="IA924" s="73"/>
      <c r="IB924" s="73"/>
      <c r="IC924" s="73"/>
      <c r="ID924" s="73"/>
      <c r="IE924" s="73"/>
      <c r="IF924" s="73"/>
      <c r="IG924" s="73"/>
      <c r="IH924" s="73"/>
      <c r="II924" s="73"/>
      <c r="IJ924" s="73"/>
      <c r="IK924" s="73"/>
      <c r="IL924" s="73"/>
      <c r="IM924" s="73"/>
      <c r="IN924" s="73"/>
      <c r="IO924" s="73"/>
      <c r="IP924" s="73"/>
      <c r="IQ924" s="73"/>
      <c r="IR924" s="73"/>
      <c r="IS924" s="73"/>
      <c r="IT924" s="73"/>
      <c r="IU924" s="73"/>
      <c r="IV924" s="73"/>
      <c r="IW924" s="73"/>
      <c r="IX924" s="73"/>
      <c r="IY924" s="73"/>
      <c r="IZ924" s="73"/>
      <c r="JA924" s="73"/>
      <c r="JB924" s="73"/>
      <c r="JC924" s="73"/>
    </row>
    <row r="925" spans="2:263" s="72" customFormat="1">
      <c r="B925" s="73"/>
      <c r="C925" s="73"/>
      <c r="D925" s="73"/>
      <c r="E925" s="73"/>
      <c r="F925" s="73"/>
      <c r="G925" s="73"/>
      <c r="H925" s="73"/>
      <c r="I925" s="73"/>
      <c r="J925" s="73"/>
      <c r="K925" s="73"/>
      <c r="L925" s="73"/>
      <c r="M925" s="73"/>
      <c r="N925" s="73"/>
      <c r="O925" s="73"/>
      <c r="P925" s="73"/>
      <c r="Q925" s="73"/>
      <c r="R925" s="73"/>
      <c r="S925" s="73"/>
      <c r="T925" s="73"/>
      <c r="U925" s="73"/>
      <c r="V925" s="73"/>
      <c r="W925" s="73"/>
      <c r="GL925" s="73"/>
      <c r="GM925" s="73"/>
      <c r="GN925" s="73"/>
      <c r="GO925" s="73"/>
      <c r="GP925" s="73"/>
      <c r="GQ925" s="73"/>
      <c r="GR925" s="73"/>
      <c r="GS925" s="73"/>
      <c r="GT925" s="73"/>
      <c r="GU925" s="73"/>
      <c r="GV925" s="73"/>
      <c r="GW925" s="73"/>
      <c r="GX925" s="73"/>
      <c r="GY925" s="73"/>
      <c r="GZ925" s="73"/>
      <c r="HA925" s="73"/>
      <c r="HB925" s="73"/>
      <c r="HC925" s="73"/>
      <c r="HD925" s="73"/>
      <c r="HE925" s="73"/>
      <c r="HF925" s="73"/>
      <c r="HG925" s="73"/>
      <c r="HH925" s="73"/>
      <c r="HI925" s="73"/>
      <c r="HJ925" s="73"/>
      <c r="HK925" s="73"/>
      <c r="HL925" s="73"/>
      <c r="HM925" s="73"/>
      <c r="HN925" s="73"/>
      <c r="HO925" s="73"/>
      <c r="HP925" s="73"/>
      <c r="HQ925" s="73"/>
      <c r="HR925" s="73"/>
      <c r="HS925" s="73"/>
      <c r="HT925" s="73"/>
      <c r="HU925" s="73"/>
      <c r="HV925" s="73"/>
      <c r="HW925" s="73"/>
      <c r="HX925" s="73"/>
      <c r="HY925" s="73"/>
      <c r="HZ925" s="73"/>
      <c r="IA925" s="73"/>
      <c r="IB925" s="73"/>
      <c r="IC925" s="73"/>
      <c r="ID925" s="73"/>
      <c r="IE925" s="73"/>
      <c r="IF925" s="73"/>
      <c r="IG925" s="73"/>
      <c r="IH925" s="73"/>
      <c r="II925" s="73"/>
      <c r="IJ925" s="73"/>
      <c r="IK925" s="73"/>
      <c r="IL925" s="73"/>
      <c r="IM925" s="73"/>
      <c r="IN925" s="73"/>
      <c r="IO925" s="73"/>
      <c r="IP925" s="73"/>
      <c r="IQ925" s="73"/>
      <c r="IR925" s="73"/>
      <c r="IS925" s="73"/>
      <c r="IT925" s="73"/>
      <c r="IU925" s="73"/>
      <c r="IV925" s="73"/>
      <c r="IW925" s="73"/>
      <c r="IX925" s="73"/>
      <c r="IY925" s="73"/>
      <c r="IZ925" s="73"/>
      <c r="JA925" s="73"/>
      <c r="JB925" s="73"/>
      <c r="JC925" s="73"/>
    </row>
    <row r="926" spans="2:263" s="72" customFormat="1">
      <c r="B926" s="73"/>
      <c r="C926" s="73"/>
      <c r="D926" s="73"/>
      <c r="E926" s="73"/>
      <c r="F926" s="73"/>
      <c r="G926" s="73"/>
      <c r="H926" s="73"/>
      <c r="I926" s="73"/>
      <c r="J926" s="73"/>
      <c r="K926" s="73"/>
      <c r="L926" s="73"/>
      <c r="M926" s="73"/>
      <c r="N926" s="73"/>
      <c r="O926" s="73"/>
      <c r="P926" s="73"/>
      <c r="Q926" s="73"/>
      <c r="R926" s="73"/>
      <c r="S926" s="73"/>
      <c r="T926" s="73"/>
      <c r="U926" s="73"/>
      <c r="V926" s="73"/>
      <c r="W926" s="73"/>
      <c r="GL926" s="73"/>
      <c r="GM926" s="73"/>
      <c r="GN926" s="73"/>
      <c r="GO926" s="73"/>
      <c r="GP926" s="73"/>
      <c r="GQ926" s="73"/>
      <c r="GR926" s="73"/>
      <c r="GS926" s="73"/>
      <c r="GT926" s="73"/>
      <c r="GU926" s="73"/>
      <c r="GV926" s="73"/>
      <c r="GW926" s="73"/>
      <c r="GX926" s="73"/>
      <c r="GY926" s="73"/>
      <c r="GZ926" s="73"/>
      <c r="HA926" s="73"/>
      <c r="HB926" s="73"/>
      <c r="HC926" s="73"/>
      <c r="HD926" s="73"/>
      <c r="HE926" s="73"/>
      <c r="HF926" s="73"/>
      <c r="HG926" s="73"/>
      <c r="HH926" s="73"/>
      <c r="HI926" s="73"/>
      <c r="HJ926" s="73"/>
      <c r="HK926" s="73"/>
      <c r="HL926" s="73"/>
      <c r="HM926" s="73"/>
      <c r="HN926" s="73"/>
      <c r="HO926" s="73"/>
      <c r="HP926" s="73"/>
      <c r="HQ926" s="73"/>
      <c r="HR926" s="73"/>
      <c r="HS926" s="73"/>
      <c r="HT926" s="73"/>
      <c r="HU926" s="73"/>
      <c r="HV926" s="73"/>
      <c r="HW926" s="73"/>
      <c r="HX926" s="73"/>
      <c r="HY926" s="73"/>
      <c r="HZ926" s="73"/>
      <c r="IA926" s="73"/>
      <c r="IB926" s="73"/>
      <c r="IC926" s="73"/>
      <c r="ID926" s="73"/>
      <c r="IE926" s="73"/>
      <c r="IF926" s="73"/>
      <c r="IG926" s="73"/>
      <c r="IH926" s="73"/>
      <c r="II926" s="73"/>
      <c r="IJ926" s="73"/>
      <c r="IK926" s="73"/>
      <c r="IL926" s="73"/>
      <c r="IM926" s="73"/>
      <c r="IN926" s="73"/>
      <c r="IO926" s="73"/>
      <c r="IP926" s="73"/>
      <c r="IQ926" s="73"/>
      <c r="IR926" s="73"/>
      <c r="IS926" s="73"/>
      <c r="IT926" s="73"/>
      <c r="IU926" s="73"/>
      <c r="IV926" s="73"/>
      <c r="IW926" s="73"/>
      <c r="IX926" s="73"/>
      <c r="IY926" s="73"/>
      <c r="IZ926" s="73"/>
      <c r="JA926" s="73"/>
      <c r="JB926" s="73"/>
      <c r="JC926" s="73"/>
    </row>
    <row r="927" spans="2:263" s="72" customFormat="1">
      <c r="B927" s="73"/>
      <c r="C927" s="73"/>
      <c r="D927" s="73"/>
      <c r="E927" s="73"/>
      <c r="F927" s="73"/>
      <c r="G927" s="73"/>
      <c r="H927" s="73"/>
      <c r="I927" s="73"/>
      <c r="J927" s="73"/>
      <c r="K927" s="73"/>
      <c r="L927" s="73"/>
      <c r="M927" s="73"/>
      <c r="N927" s="73"/>
      <c r="O927" s="73"/>
      <c r="P927" s="73"/>
      <c r="Q927" s="73"/>
      <c r="R927" s="73"/>
      <c r="S927" s="73"/>
      <c r="T927" s="73"/>
      <c r="U927" s="73"/>
      <c r="V927" s="73"/>
      <c r="W927" s="73"/>
      <c r="GL927" s="73"/>
      <c r="GM927" s="73"/>
      <c r="GN927" s="73"/>
      <c r="GO927" s="73"/>
      <c r="GP927" s="73"/>
      <c r="GQ927" s="73"/>
      <c r="GR927" s="73"/>
      <c r="GS927" s="73"/>
      <c r="GT927" s="73"/>
      <c r="GU927" s="73"/>
      <c r="GV927" s="73"/>
      <c r="GW927" s="73"/>
      <c r="GX927" s="73"/>
      <c r="GY927" s="73"/>
      <c r="GZ927" s="73"/>
      <c r="HA927" s="73"/>
      <c r="HB927" s="73"/>
      <c r="HC927" s="73"/>
      <c r="HD927" s="73"/>
      <c r="HE927" s="73"/>
      <c r="HF927" s="73"/>
      <c r="HG927" s="73"/>
      <c r="HH927" s="73"/>
      <c r="HI927" s="73"/>
      <c r="HJ927" s="73"/>
      <c r="HK927" s="73"/>
      <c r="HL927" s="73"/>
      <c r="HM927" s="73"/>
      <c r="HN927" s="73"/>
      <c r="HO927" s="73"/>
      <c r="HP927" s="73"/>
      <c r="HQ927" s="73"/>
      <c r="HR927" s="73"/>
      <c r="HS927" s="73"/>
      <c r="HT927" s="73"/>
      <c r="HU927" s="73"/>
      <c r="HV927" s="73"/>
      <c r="HW927" s="73"/>
      <c r="HX927" s="73"/>
      <c r="HY927" s="73"/>
      <c r="HZ927" s="73"/>
      <c r="IA927" s="73"/>
      <c r="IB927" s="73"/>
      <c r="IC927" s="73"/>
      <c r="ID927" s="73"/>
      <c r="IE927" s="73"/>
      <c r="IF927" s="73"/>
      <c r="IG927" s="73"/>
      <c r="IH927" s="73"/>
      <c r="II927" s="73"/>
      <c r="IJ927" s="73"/>
      <c r="IK927" s="73"/>
      <c r="IL927" s="73"/>
      <c r="IM927" s="73"/>
      <c r="IN927" s="73"/>
      <c r="IO927" s="73"/>
      <c r="IP927" s="73"/>
      <c r="IQ927" s="73"/>
      <c r="IR927" s="73"/>
      <c r="IS927" s="73"/>
      <c r="IT927" s="73"/>
      <c r="IU927" s="73"/>
      <c r="IV927" s="73"/>
      <c r="IW927" s="73"/>
      <c r="IX927" s="73"/>
      <c r="IY927" s="73"/>
      <c r="IZ927" s="73"/>
      <c r="JA927" s="73"/>
      <c r="JB927" s="73"/>
      <c r="JC927" s="73"/>
    </row>
    <row r="928" spans="2:263" s="72" customFormat="1">
      <c r="B928" s="73"/>
      <c r="C928" s="73"/>
      <c r="D928" s="73"/>
      <c r="E928" s="73"/>
      <c r="F928" s="73"/>
      <c r="G928" s="73"/>
      <c r="H928" s="73"/>
      <c r="I928" s="73"/>
      <c r="J928" s="73"/>
      <c r="K928" s="73"/>
      <c r="L928" s="73"/>
      <c r="M928" s="73"/>
      <c r="N928" s="73"/>
      <c r="O928" s="73"/>
      <c r="P928" s="73"/>
      <c r="Q928" s="73"/>
      <c r="R928" s="73"/>
      <c r="S928" s="73"/>
      <c r="T928" s="73"/>
      <c r="U928" s="73"/>
      <c r="V928" s="73"/>
      <c r="W928" s="73"/>
      <c r="GL928" s="73"/>
      <c r="GM928" s="73"/>
      <c r="GN928" s="73"/>
      <c r="GO928" s="73"/>
      <c r="GP928" s="73"/>
      <c r="GQ928" s="73"/>
      <c r="GR928" s="73"/>
      <c r="GS928" s="73"/>
      <c r="GT928" s="73"/>
      <c r="GU928" s="73"/>
      <c r="GV928" s="73"/>
      <c r="GW928" s="73"/>
      <c r="GX928" s="73"/>
      <c r="GY928" s="73"/>
      <c r="GZ928" s="73"/>
      <c r="HA928" s="73"/>
      <c r="HB928" s="73"/>
      <c r="HC928" s="73"/>
      <c r="HD928" s="73"/>
      <c r="HE928" s="73"/>
      <c r="HF928" s="73"/>
      <c r="HG928" s="73"/>
      <c r="HH928" s="73"/>
      <c r="HI928" s="73"/>
      <c r="HJ928" s="73"/>
      <c r="HK928" s="73"/>
      <c r="HL928" s="73"/>
      <c r="HM928" s="73"/>
      <c r="HN928" s="73"/>
      <c r="HO928" s="73"/>
      <c r="HP928" s="73"/>
      <c r="HQ928" s="73"/>
      <c r="HR928" s="73"/>
      <c r="HS928" s="73"/>
      <c r="HT928" s="73"/>
      <c r="HU928" s="73"/>
      <c r="HV928" s="73"/>
      <c r="HW928" s="73"/>
      <c r="HX928" s="73"/>
      <c r="HY928" s="73"/>
      <c r="HZ928" s="73"/>
      <c r="IA928" s="73"/>
      <c r="IB928" s="73"/>
      <c r="IC928" s="73"/>
      <c r="ID928" s="73"/>
      <c r="IE928" s="73"/>
      <c r="IF928" s="73"/>
      <c r="IG928" s="73"/>
      <c r="IH928" s="73"/>
      <c r="II928" s="73"/>
      <c r="IJ928" s="73"/>
      <c r="IK928" s="73"/>
      <c r="IL928" s="73"/>
      <c r="IM928" s="73"/>
      <c r="IN928" s="73"/>
      <c r="IO928" s="73"/>
      <c r="IP928" s="73"/>
      <c r="IQ928" s="73"/>
      <c r="IR928" s="73"/>
      <c r="IS928" s="73"/>
      <c r="IT928" s="73"/>
      <c r="IU928" s="73"/>
      <c r="IV928" s="73"/>
      <c r="IW928" s="73"/>
      <c r="IX928" s="73"/>
      <c r="IY928" s="73"/>
      <c r="IZ928" s="73"/>
      <c r="JA928" s="73"/>
      <c r="JB928" s="73"/>
      <c r="JC928" s="73"/>
    </row>
    <row r="929" spans="2:263" s="72" customFormat="1">
      <c r="B929" s="73"/>
      <c r="C929" s="73"/>
      <c r="D929" s="73"/>
      <c r="E929" s="73"/>
      <c r="F929" s="73"/>
      <c r="G929" s="73"/>
      <c r="H929" s="73"/>
      <c r="I929" s="73"/>
      <c r="J929" s="73"/>
      <c r="K929" s="73"/>
      <c r="L929" s="73"/>
      <c r="M929" s="73"/>
      <c r="N929" s="73"/>
      <c r="O929" s="73"/>
      <c r="P929" s="73"/>
      <c r="Q929" s="73"/>
      <c r="R929" s="73"/>
      <c r="S929" s="73"/>
      <c r="T929" s="73"/>
      <c r="U929" s="73"/>
      <c r="V929" s="73"/>
      <c r="W929" s="73"/>
      <c r="GL929" s="73"/>
      <c r="GM929" s="73"/>
      <c r="GN929" s="73"/>
      <c r="GO929" s="73"/>
      <c r="GP929" s="73"/>
      <c r="GQ929" s="73"/>
      <c r="GR929" s="73"/>
      <c r="GS929" s="73"/>
      <c r="GT929" s="73"/>
      <c r="GU929" s="73"/>
      <c r="GV929" s="73"/>
      <c r="GW929" s="73"/>
      <c r="GX929" s="73"/>
      <c r="GY929" s="73"/>
      <c r="GZ929" s="73"/>
      <c r="HA929" s="73"/>
      <c r="HB929" s="73"/>
      <c r="HC929" s="73"/>
      <c r="HD929" s="73"/>
      <c r="HE929" s="73"/>
      <c r="HF929" s="73"/>
      <c r="HG929" s="73"/>
      <c r="HH929" s="73"/>
      <c r="HI929" s="73"/>
      <c r="HJ929" s="73"/>
      <c r="HK929" s="73"/>
      <c r="HL929" s="73"/>
      <c r="HM929" s="73"/>
      <c r="HN929" s="73"/>
      <c r="HO929" s="73"/>
      <c r="HP929" s="73"/>
      <c r="HQ929" s="73"/>
      <c r="HR929" s="73"/>
      <c r="HS929" s="73"/>
      <c r="HT929" s="73"/>
      <c r="HU929" s="73"/>
      <c r="HV929" s="73"/>
      <c r="HW929" s="73"/>
      <c r="HX929" s="73"/>
      <c r="HY929" s="73"/>
      <c r="HZ929" s="73"/>
      <c r="IA929" s="73"/>
      <c r="IB929" s="73"/>
      <c r="IC929" s="73"/>
      <c r="ID929" s="73"/>
      <c r="IE929" s="73"/>
      <c r="IF929" s="73"/>
      <c r="IG929" s="73"/>
      <c r="IH929" s="73"/>
      <c r="II929" s="73"/>
      <c r="IJ929" s="73"/>
      <c r="IK929" s="73"/>
      <c r="IL929" s="73"/>
      <c r="IM929" s="73"/>
      <c r="IN929" s="73"/>
      <c r="IO929" s="73"/>
      <c r="IP929" s="73"/>
      <c r="IQ929" s="73"/>
      <c r="IR929" s="73"/>
      <c r="IS929" s="73"/>
      <c r="IT929" s="73"/>
      <c r="IU929" s="73"/>
      <c r="IV929" s="73"/>
      <c r="IW929" s="73"/>
      <c r="IX929" s="73"/>
      <c r="IY929" s="73"/>
      <c r="IZ929" s="73"/>
      <c r="JA929" s="73"/>
      <c r="JB929" s="73"/>
      <c r="JC929" s="73"/>
    </row>
    <row r="930" spans="2:263" s="72" customFormat="1">
      <c r="B930" s="73"/>
      <c r="C930" s="73"/>
      <c r="D930" s="73"/>
      <c r="E930" s="73"/>
      <c r="F930" s="73"/>
      <c r="G930" s="73"/>
      <c r="H930" s="73"/>
      <c r="I930" s="73"/>
      <c r="J930" s="73"/>
      <c r="K930" s="73"/>
      <c r="L930" s="73"/>
      <c r="M930" s="73"/>
      <c r="N930" s="73"/>
      <c r="O930" s="73"/>
      <c r="P930" s="73"/>
      <c r="Q930" s="73"/>
      <c r="R930" s="73"/>
      <c r="S930" s="73"/>
      <c r="T930" s="73"/>
      <c r="U930" s="73"/>
      <c r="V930" s="73"/>
      <c r="W930" s="73"/>
      <c r="GL930" s="73"/>
      <c r="GM930" s="73"/>
      <c r="GN930" s="73"/>
      <c r="GO930" s="73"/>
      <c r="GP930" s="73"/>
      <c r="GQ930" s="73"/>
      <c r="GR930" s="73"/>
      <c r="GS930" s="73"/>
      <c r="GT930" s="73"/>
      <c r="GU930" s="73"/>
      <c r="GV930" s="73"/>
      <c r="GW930" s="73"/>
      <c r="GX930" s="73"/>
      <c r="GY930" s="73"/>
      <c r="GZ930" s="73"/>
      <c r="HA930" s="73"/>
      <c r="HB930" s="73"/>
      <c r="HC930" s="73"/>
      <c r="HD930" s="73"/>
      <c r="HE930" s="73"/>
      <c r="HF930" s="73"/>
      <c r="HG930" s="73"/>
      <c r="HH930" s="73"/>
      <c r="HI930" s="73"/>
      <c r="HJ930" s="73"/>
      <c r="HK930" s="73"/>
      <c r="HL930" s="73"/>
      <c r="HM930" s="73"/>
      <c r="HN930" s="73"/>
      <c r="HO930" s="73"/>
      <c r="HP930" s="73"/>
      <c r="HQ930" s="73"/>
      <c r="HR930" s="73"/>
      <c r="HS930" s="73"/>
      <c r="HT930" s="73"/>
      <c r="HU930" s="73"/>
      <c r="HV930" s="73"/>
      <c r="HW930" s="73"/>
      <c r="HX930" s="73"/>
      <c r="HY930" s="73"/>
      <c r="HZ930" s="73"/>
      <c r="IA930" s="73"/>
      <c r="IB930" s="73"/>
      <c r="IC930" s="73"/>
      <c r="ID930" s="73"/>
      <c r="IE930" s="73"/>
      <c r="IF930" s="73"/>
      <c r="IG930" s="73"/>
      <c r="IH930" s="73"/>
      <c r="II930" s="73"/>
      <c r="IJ930" s="73"/>
      <c r="IK930" s="73"/>
      <c r="IL930" s="73"/>
      <c r="IM930" s="73"/>
      <c r="IN930" s="73"/>
      <c r="IO930" s="73"/>
      <c r="IP930" s="73"/>
      <c r="IQ930" s="73"/>
      <c r="IR930" s="73"/>
      <c r="IS930" s="73"/>
      <c r="IT930" s="73"/>
      <c r="IU930" s="73"/>
      <c r="IV930" s="73"/>
      <c r="IW930" s="73"/>
      <c r="IX930" s="73"/>
      <c r="IY930" s="73"/>
      <c r="IZ930" s="73"/>
      <c r="JA930" s="73"/>
      <c r="JB930" s="73"/>
      <c r="JC930" s="73"/>
    </row>
    <row r="931" spans="2:263" s="72" customFormat="1">
      <c r="B931" s="73"/>
      <c r="C931" s="73"/>
      <c r="D931" s="73"/>
      <c r="E931" s="73"/>
      <c r="F931" s="73"/>
      <c r="G931" s="73"/>
      <c r="H931" s="73"/>
      <c r="I931" s="73"/>
      <c r="J931" s="73"/>
      <c r="K931" s="73"/>
      <c r="L931" s="73"/>
      <c r="M931" s="73"/>
      <c r="N931" s="73"/>
      <c r="O931" s="73"/>
      <c r="P931" s="73"/>
      <c r="Q931" s="73"/>
      <c r="R931" s="73"/>
      <c r="S931" s="73"/>
      <c r="T931" s="73"/>
      <c r="U931" s="73"/>
      <c r="V931" s="73"/>
      <c r="W931" s="73"/>
      <c r="GL931" s="73"/>
      <c r="GM931" s="73"/>
      <c r="GN931" s="73"/>
      <c r="GO931" s="73"/>
      <c r="GP931" s="73"/>
      <c r="GQ931" s="73"/>
      <c r="GR931" s="73"/>
      <c r="GS931" s="73"/>
      <c r="GT931" s="73"/>
      <c r="GU931" s="73"/>
      <c r="GV931" s="73"/>
      <c r="GW931" s="73"/>
      <c r="GX931" s="73"/>
      <c r="GY931" s="73"/>
      <c r="GZ931" s="73"/>
      <c r="HA931" s="73"/>
      <c r="HB931" s="73"/>
      <c r="HC931" s="73"/>
      <c r="HD931" s="73"/>
      <c r="HE931" s="73"/>
      <c r="HF931" s="73"/>
      <c r="HG931" s="73"/>
      <c r="HH931" s="73"/>
      <c r="HI931" s="73"/>
      <c r="HJ931" s="73"/>
      <c r="HK931" s="73"/>
      <c r="HL931" s="73"/>
      <c r="HM931" s="73"/>
      <c r="HN931" s="73"/>
      <c r="HO931" s="73"/>
      <c r="HP931" s="73"/>
      <c r="HQ931" s="73"/>
      <c r="HR931" s="73"/>
      <c r="HS931" s="73"/>
      <c r="HT931" s="73"/>
      <c r="HU931" s="73"/>
      <c r="HV931" s="73"/>
      <c r="HW931" s="73"/>
      <c r="HX931" s="73"/>
      <c r="HY931" s="73"/>
      <c r="HZ931" s="73"/>
      <c r="IA931" s="73"/>
      <c r="IB931" s="73"/>
      <c r="IC931" s="73"/>
      <c r="ID931" s="73"/>
      <c r="IE931" s="73"/>
      <c r="IF931" s="73"/>
      <c r="IG931" s="73"/>
      <c r="IH931" s="73"/>
      <c r="II931" s="73"/>
      <c r="IJ931" s="73"/>
      <c r="IK931" s="73"/>
      <c r="IL931" s="73"/>
      <c r="IM931" s="73"/>
      <c r="IN931" s="73"/>
      <c r="IO931" s="73"/>
      <c r="IP931" s="73"/>
      <c r="IQ931" s="73"/>
      <c r="IR931" s="73"/>
      <c r="IS931" s="73"/>
      <c r="IT931" s="73"/>
      <c r="IU931" s="73"/>
      <c r="IV931" s="73"/>
      <c r="IW931" s="73"/>
      <c r="IX931" s="73"/>
      <c r="IY931" s="73"/>
      <c r="IZ931" s="73"/>
      <c r="JA931" s="73"/>
      <c r="JB931" s="73"/>
      <c r="JC931" s="73"/>
    </row>
    <row r="932" spans="2:263" s="72" customFormat="1">
      <c r="B932" s="73"/>
      <c r="C932" s="73"/>
      <c r="D932" s="73"/>
      <c r="E932" s="73"/>
      <c r="F932" s="73"/>
      <c r="G932" s="73"/>
      <c r="H932" s="73"/>
      <c r="I932" s="73"/>
      <c r="J932" s="73"/>
      <c r="K932" s="73"/>
      <c r="L932" s="73"/>
      <c r="M932" s="73"/>
      <c r="N932" s="73"/>
      <c r="O932" s="73"/>
      <c r="P932" s="73"/>
      <c r="Q932" s="73"/>
      <c r="R932" s="73"/>
      <c r="S932" s="73"/>
      <c r="T932" s="73"/>
      <c r="U932" s="73"/>
      <c r="V932" s="73"/>
      <c r="W932" s="73"/>
      <c r="GL932" s="73"/>
      <c r="GM932" s="73"/>
      <c r="GN932" s="73"/>
      <c r="GO932" s="73"/>
      <c r="GP932" s="73"/>
      <c r="GQ932" s="73"/>
      <c r="GR932" s="73"/>
      <c r="GS932" s="73"/>
      <c r="GT932" s="73"/>
      <c r="GU932" s="73"/>
      <c r="GV932" s="73"/>
      <c r="GW932" s="73"/>
      <c r="GX932" s="73"/>
      <c r="GY932" s="73"/>
      <c r="GZ932" s="73"/>
      <c r="HA932" s="73"/>
      <c r="HB932" s="73"/>
      <c r="HC932" s="73"/>
      <c r="HD932" s="73"/>
      <c r="HE932" s="73"/>
      <c r="HF932" s="73"/>
      <c r="HG932" s="73"/>
      <c r="HH932" s="73"/>
      <c r="HI932" s="73"/>
      <c r="HJ932" s="73"/>
      <c r="HK932" s="73"/>
      <c r="HL932" s="73"/>
      <c r="HM932" s="73"/>
      <c r="HN932" s="73"/>
      <c r="HO932" s="73"/>
      <c r="HP932" s="73"/>
      <c r="HQ932" s="73"/>
      <c r="HR932" s="73"/>
      <c r="HS932" s="73"/>
      <c r="HT932" s="73"/>
      <c r="HU932" s="73"/>
      <c r="HV932" s="73"/>
      <c r="HW932" s="73"/>
      <c r="HX932" s="73"/>
      <c r="HY932" s="73"/>
      <c r="HZ932" s="73"/>
      <c r="IA932" s="73"/>
      <c r="IB932" s="73"/>
      <c r="IC932" s="73"/>
      <c r="ID932" s="73"/>
      <c r="IE932" s="73"/>
      <c r="IF932" s="73"/>
      <c r="IG932" s="73"/>
      <c r="IH932" s="73"/>
      <c r="II932" s="73"/>
      <c r="IJ932" s="73"/>
      <c r="IK932" s="73"/>
      <c r="IL932" s="73"/>
      <c r="IM932" s="73"/>
      <c r="IN932" s="73"/>
      <c r="IO932" s="73"/>
      <c r="IP932" s="73"/>
      <c r="IQ932" s="73"/>
      <c r="IR932" s="73"/>
      <c r="IS932" s="73"/>
      <c r="IT932" s="73"/>
      <c r="IU932" s="73"/>
      <c r="IV932" s="73"/>
      <c r="IW932" s="73"/>
      <c r="IX932" s="73"/>
      <c r="IY932" s="73"/>
      <c r="IZ932" s="73"/>
      <c r="JA932" s="73"/>
      <c r="JB932" s="73"/>
      <c r="JC932" s="73"/>
    </row>
    <row r="933" spans="2:263" s="72" customFormat="1">
      <c r="B933" s="73"/>
      <c r="C933" s="73"/>
      <c r="D933" s="73"/>
      <c r="E933" s="73"/>
      <c r="F933" s="73"/>
      <c r="G933" s="73"/>
      <c r="H933" s="73"/>
      <c r="I933" s="73"/>
      <c r="J933" s="73"/>
      <c r="K933" s="73"/>
      <c r="L933" s="73"/>
      <c r="M933" s="73"/>
      <c r="N933" s="73"/>
      <c r="O933" s="73"/>
      <c r="P933" s="73"/>
      <c r="Q933" s="73"/>
      <c r="R933" s="73"/>
      <c r="S933" s="73"/>
      <c r="T933" s="73"/>
      <c r="U933" s="73"/>
      <c r="V933" s="73"/>
      <c r="W933" s="73"/>
      <c r="GL933" s="73"/>
      <c r="GM933" s="73"/>
      <c r="GN933" s="73"/>
      <c r="GO933" s="73"/>
      <c r="GP933" s="73"/>
      <c r="GQ933" s="73"/>
      <c r="GR933" s="73"/>
      <c r="GS933" s="73"/>
      <c r="GT933" s="73"/>
      <c r="GU933" s="73"/>
      <c r="GV933" s="73"/>
      <c r="GW933" s="73"/>
      <c r="GX933" s="73"/>
      <c r="GY933" s="73"/>
      <c r="GZ933" s="73"/>
      <c r="HA933" s="73"/>
      <c r="HB933" s="73"/>
      <c r="HC933" s="73"/>
      <c r="HD933" s="73"/>
      <c r="HE933" s="73"/>
      <c r="HF933" s="73"/>
      <c r="HG933" s="73"/>
      <c r="HH933" s="73"/>
      <c r="HI933" s="73"/>
      <c r="HJ933" s="73"/>
      <c r="HK933" s="73"/>
      <c r="HL933" s="73"/>
      <c r="HM933" s="73"/>
      <c r="HN933" s="73"/>
      <c r="HO933" s="73"/>
      <c r="HP933" s="73"/>
      <c r="HQ933" s="73"/>
      <c r="HR933" s="73"/>
      <c r="HS933" s="73"/>
      <c r="HT933" s="73"/>
      <c r="HU933" s="73"/>
      <c r="HV933" s="73"/>
      <c r="HW933" s="73"/>
      <c r="HX933" s="73"/>
      <c r="HY933" s="73"/>
      <c r="HZ933" s="73"/>
      <c r="IA933" s="73"/>
      <c r="IB933" s="73"/>
      <c r="IC933" s="73"/>
      <c r="ID933" s="73"/>
      <c r="IE933" s="73"/>
      <c r="IF933" s="73"/>
      <c r="IG933" s="73"/>
      <c r="IH933" s="73"/>
      <c r="II933" s="73"/>
      <c r="IJ933" s="73"/>
      <c r="IK933" s="73"/>
      <c r="IL933" s="73"/>
      <c r="IM933" s="73"/>
      <c r="IN933" s="73"/>
      <c r="IO933" s="73"/>
      <c r="IP933" s="73"/>
      <c r="IQ933" s="73"/>
      <c r="IR933" s="73"/>
      <c r="IS933" s="73"/>
      <c r="IT933" s="73"/>
      <c r="IU933" s="73"/>
      <c r="IV933" s="73"/>
      <c r="IW933" s="73"/>
      <c r="IX933" s="73"/>
      <c r="IY933" s="73"/>
      <c r="IZ933" s="73"/>
      <c r="JA933" s="73"/>
      <c r="JB933" s="73"/>
      <c r="JC933" s="73"/>
    </row>
    <row r="934" spans="2:263" s="72" customFormat="1">
      <c r="B934" s="73"/>
      <c r="C934" s="73"/>
      <c r="D934" s="73"/>
      <c r="E934" s="73"/>
      <c r="F934" s="73"/>
      <c r="G934" s="73"/>
      <c r="H934" s="73"/>
      <c r="I934" s="73"/>
      <c r="J934" s="73"/>
      <c r="K934" s="73"/>
      <c r="L934" s="73"/>
      <c r="M934" s="73"/>
      <c r="N934" s="73"/>
      <c r="O934" s="73"/>
      <c r="P934" s="73"/>
      <c r="Q934" s="73"/>
      <c r="R934" s="73"/>
      <c r="S934" s="73"/>
      <c r="T934" s="73"/>
      <c r="U934" s="73"/>
      <c r="V934" s="73"/>
      <c r="W934" s="73"/>
      <c r="GL934" s="73"/>
      <c r="GM934" s="73"/>
      <c r="GN934" s="73"/>
      <c r="GO934" s="73"/>
      <c r="GP934" s="73"/>
      <c r="GQ934" s="73"/>
      <c r="GR934" s="73"/>
      <c r="GS934" s="73"/>
      <c r="GT934" s="73"/>
      <c r="GU934" s="73"/>
      <c r="GV934" s="73"/>
      <c r="GW934" s="73"/>
      <c r="GX934" s="73"/>
      <c r="GY934" s="73"/>
      <c r="GZ934" s="73"/>
      <c r="HA934" s="73"/>
      <c r="HB934" s="73"/>
      <c r="HC934" s="73"/>
      <c r="HD934" s="73"/>
      <c r="HE934" s="73"/>
      <c r="HF934" s="73"/>
      <c r="HG934" s="73"/>
      <c r="HH934" s="73"/>
      <c r="HI934" s="73"/>
      <c r="HJ934" s="73"/>
      <c r="HK934" s="73"/>
      <c r="HL934" s="73"/>
      <c r="HM934" s="73"/>
      <c r="HN934" s="73"/>
      <c r="HO934" s="73"/>
      <c r="HP934" s="73"/>
      <c r="HQ934" s="73"/>
      <c r="HR934" s="73"/>
      <c r="HS934" s="73"/>
      <c r="HT934" s="73"/>
      <c r="HU934" s="73"/>
      <c r="HV934" s="73"/>
      <c r="HW934" s="73"/>
      <c r="HX934" s="73"/>
      <c r="HY934" s="73"/>
      <c r="HZ934" s="73"/>
      <c r="IA934" s="73"/>
      <c r="IB934" s="73"/>
      <c r="IC934" s="73"/>
      <c r="ID934" s="73"/>
      <c r="IE934" s="73"/>
      <c r="IF934" s="73"/>
      <c r="IG934" s="73"/>
      <c r="IH934" s="73"/>
      <c r="II934" s="73"/>
      <c r="IJ934" s="73"/>
      <c r="IK934" s="73"/>
      <c r="IL934" s="73"/>
      <c r="IM934" s="73"/>
      <c r="IN934" s="73"/>
      <c r="IO934" s="73"/>
      <c r="IP934" s="73"/>
      <c r="IQ934" s="73"/>
      <c r="IR934" s="73"/>
      <c r="IS934" s="73"/>
      <c r="IT934" s="73"/>
      <c r="IU934" s="73"/>
      <c r="IV934" s="73"/>
      <c r="IW934" s="73"/>
      <c r="IX934" s="73"/>
      <c r="IY934" s="73"/>
      <c r="IZ934" s="73"/>
      <c r="JA934" s="73"/>
      <c r="JB934" s="73"/>
      <c r="JC934" s="73"/>
    </row>
    <row r="935" spans="2:263" s="72" customFormat="1">
      <c r="B935" s="73"/>
      <c r="C935" s="73"/>
      <c r="D935" s="73"/>
      <c r="E935" s="73"/>
      <c r="F935" s="73"/>
      <c r="G935" s="73"/>
      <c r="H935" s="73"/>
      <c r="I935" s="73"/>
      <c r="J935" s="73"/>
      <c r="K935" s="73"/>
      <c r="L935" s="73"/>
      <c r="M935" s="73"/>
      <c r="N935" s="73"/>
      <c r="O935" s="73"/>
      <c r="P935" s="73"/>
      <c r="Q935" s="73"/>
      <c r="R935" s="73"/>
      <c r="S935" s="73"/>
      <c r="T935" s="73"/>
      <c r="U935" s="73"/>
      <c r="V935" s="73"/>
      <c r="W935" s="73"/>
      <c r="GL935" s="73"/>
      <c r="GM935" s="73"/>
      <c r="GN935" s="73"/>
      <c r="GO935" s="73"/>
      <c r="GP935" s="73"/>
      <c r="GQ935" s="73"/>
      <c r="GR935" s="73"/>
      <c r="GS935" s="73"/>
      <c r="GT935" s="73"/>
      <c r="GU935" s="73"/>
      <c r="GV935" s="73"/>
      <c r="GW935" s="73"/>
      <c r="GX935" s="73"/>
      <c r="GY935" s="73"/>
      <c r="GZ935" s="73"/>
      <c r="HA935" s="73"/>
      <c r="HB935" s="73"/>
      <c r="HC935" s="73"/>
      <c r="HD935" s="73"/>
      <c r="HE935" s="73"/>
      <c r="HF935" s="73"/>
      <c r="HG935" s="73"/>
      <c r="HH935" s="73"/>
      <c r="HI935" s="73"/>
      <c r="HJ935" s="73"/>
      <c r="HK935" s="73"/>
      <c r="HL935" s="73"/>
      <c r="HM935" s="73"/>
      <c r="HN935" s="73"/>
      <c r="HO935" s="73"/>
      <c r="HP935" s="73"/>
      <c r="HQ935" s="73"/>
      <c r="HR935" s="73"/>
      <c r="HS935" s="73"/>
      <c r="HT935" s="73"/>
      <c r="HU935" s="73"/>
      <c r="HV935" s="73"/>
      <c r="HW935" s="73"/>
      <c r="HX935" s="73"/>
      <c r="HY935" s="73"/>
      <c r="HZ935" s="73"/>
      <c r="IA935" s="73"/>
      <c r="IB935" s="73"/>
      <c r="IC935" s="73"/>
      <c r="ID935" s="73"/>
      <c r="IE935" s="73"/>
      <c r="IF935" s="73"/>
      <c r="IG935" s="73"/>
      <c r="IH935" s="73"/>
      <c r="II935" s="73"/>
      <c r="IJ935" s="73"/>
      <c r="IK935" s="73"/>
      <c r="IL935" s="73"/>
      <c r="IM935" s="73"/>
      <c r="IN935" s="73"/>
      <c r="IO935" s="73"/>
      <c r="IP935" s="73"/>
      <c r="IQ935" s="73"/>
      <c r="IR935" s="73"/>
      <c r="IS935" s="73"/>
      <c r="IT935" s="73"/>
      <c r="IU935" s="73"/>
      <c r="IV935" s="73"/>
      <c r="IW935" s="73"/>
      <c r="IX935" s="73"/>
      <c r="IY935" s="73"/>
      <c r="IZ935" s="73"/>
      <c r="JA935" s="73"/>
      <c r="JB935" s="73"/>
      <c r="JC935" s="73"/>
    </row>
    <row r="936" spans="2:263" s="72" customFormat="1">
      <c r="B936" s="73"/>
      <c r="C936" s="73"/>
      <c r="D936" s="73"/>
      <c r="E936" s="73"/>
      <c r="F936" s="73"/>
      <c r="G936" s="73"/>
      <c r="H936" s="73"/>
      <c r="I936" s="73"/>
      <c r="J936" s="73"/>
      <c r="K936" s="73"/>
      <c r="L936" s="73"/>
      <c r="M936" s="73"/>
      <c r="N936" s="73"/>
      <c r="O936" s="73"/>
      <c r="P936" s="73"/>
      <c r="Q936" s="73"/>
      <c r="R936" s="73"/>
      <c r="S936" s="73"/>
      <c r="T936" s="73"/>
      <c r="U936" s="73"/>
      <c r="V936" s="73"/>
      <c r="W936" s="73"/>
      <c r="GL936" s="73"/>
      <c r="GM936" s="73"/>
      <c r="GN936" s="73"/>
      <c r="GO936" s="73"/>
      <c r="GP936" s="73"/>
      <c r="GQ936" s="73"/>
      <c r="GR936" s="73"/>
      <c r="GS936" s="73"/>
      <c r="GT936" s="73"/>
      <c r="GU936" s="73"/>
      <c r="GV936" s="73"/>
      <c r="GW936" s="73"/>
      <c r="GX936" s="73"/>
      <c r="GY936" s="73"/>
      <c r="GZ936" s="73"/>
      <c r="HA936" s="73"/>
      <c r="HB936" s="73"/>
      <c r="HC936" s="73"/>
      <c r="HD936" s="73"/>
      <c r="HE936" s="73"/>
      <c r="HF936" s="73"/>
      <c r="HG936" s="73"/>
      <c r="HH936" s="73"/>
      <c r="HI936" s="73"/>
      <c r="HJ936" s="73"/>
      <c r="HK936" s="73"/>
      <c r="HL936" s="73"/>
      <c r="HM936" s="73"/>
      <c r="HN936" s="73"/>
      <c r="HO936" s="73"/>
      <c r="HP936" s="73"/>
      <c r="HQ936" s="73"/>
      <c r="HR936" s="73"/>
      <c r="HS936" s="73"/>
      <c r="HT936" s="73"/>
      <c r="HU936" s="73"/>
      <c r="HV936" s="73"/>
      <c r="HW936" s="73"/>
      <c r="HX936" s="73"/>
      <c r="HY936" s="73"/>
      <c r="HZ936" s="73"/>
      <c r="IA936" s="73"/>
      <c r="IB936" s="73"/>
      <c r="IC936" s="73"/>
      <c r="ID936" s="73"/>
      <c r="IE936" s="73"/>
      <c r="IF936" s="73"/>
      <c r="IG936" s="73"/>
      <c r="IH936" s="73"/>
      <c r="II936" s="73"/>
      <c r="IJ936" s="73"/>
      <c r="IK936" s="73"/>
      <c r="IL936" s="73"/>
      <c r="IM936" s="73"/>
      <c r="IN936" s="73"/>
      <c r="IO936" s="73"/>
      <c r="IP936" s="73"/>
      <c r="IQ936" s="73"/>
      <c r="IR936" s="73"/>
      <c r="IS936" s="73"/>
      <c r="IT936" s="73"/>
      <c r="IU936" s="73"/>
      <c r="IV936" s="73"/>
      <c r="IW936" s="73"/>
      <c r="IX936" s="73"/>
      <c r="IY936" s="73"/>
      <c r="IZ936" s="73"/>
      <c r="JA936" s="73"/>
      <c r="JB936" s="73"/>
      <c r="JC936" s="73"/>
    </row>
    <row r="937" spans="2:263" s="72" customFormat="1">
      <c r="B937" s="73"/>
      <c r="C937" s="73"/>
      <c r="D937" s="73"/>
      <c r="E937" s="73"/>
      <c r="F937" s="73"/>
      <c r="G937" s="73"/>
      <c r="H937" s="73"/>
      <c r="I937" s="73"/>
      <c r="J937" s="73"/>
      <c r="K937" s="73"/>
      <c r="L937" s="73"/>
      <c r="M937" s="73"/>
      <c r="N937" s="73"/>
      <c r="O937" s="73"/>
      <c r="P937" s="73"/>
      <c r="Q937" s="73"/>
      <c r="R937" s="73"/>
      <c r="S937" s="73"/>
      <c r="T937" s="73"/>
      <c r="U937" s="73"/>
      <c r="V937" s="73"/>
      <c r="W937" s="73"/>
      <c r="GL937" s="73"/>
      <c r="GM937" s="73"/>
      <c r="GN937" s="73"/>
      <c r="GO937" s="73"/>
      <c r="GP937" s="73"/>
      <c r="GQ937" s="73"/>
      <c r="GR937" s="73"/>
      <c r="GS937" s="73"/>
      <c r="GT937" s="73"/>
      <c r="GU937" s="73"/>
      <c r="GV937" s="73"/>
      <c r="GW937" s="73"/>
      <c r="GX937" s="73"/>
      <c r="GY937" s="73"/>
      <c r="GZ937" s="73"/>
      <c r="HA937" s="73"/>
      <c r="HB937" s="73"/>
      <c r="HC937" s="73"/>
      <c r="HD937" s="73"/>
      <c r="HE937" s="73"/>
      <c r="HF937" s="73"/>
      <c r="HG937" s="73"/>
      <c r="HH937" s="73"/>
      <c r="HI937" s="73"/>
      <c r="HJ937" s="73"/>
      <c r="HK937" s="73"/>
      <c r="HL937" s="73"/>
      <c r="HM937" s="73"/>
      <c r="HN937" s="73"/>
      <c r="HO937" s="73"/>
      <c r="HP937" s="73"/>
      <c r="HQ937" s="73"/>
      <c r="HR937" s="73"/>
      <c r="HS937" s="73"/>
      <c r="HT937" s="73"/>
      <c r="HU937" s="73"/>
      <c r="HV937" s="73"/>
      <c r="HW937" s="73"/>
      <c r="HX937" s="73"/>
      <c r="HY937" s="73"/>
      <c r="HZ937" s="73"/>
      <c r="IA937" s="73"/>
      <c r="IB937" s="73"/>
      <c r="IC937" s="73"/>
      <c r="ID937" s="73"/>
      <c r="IE937" s="73"/>
      <c r="IF937" s="73"/>
      <c r="IG937" s="73"/>
      <c r="IH937" s="73"/>
      <c r="II937" s="73"/>
      <c r="IJ937" s="73"/>
      <c r="IK937" s="73"/>
      <c r="IL937" s="73"/>
      <c r="IM937" s="73"/>
      <c r="IN937" s="73"/>
      <c r="IO937" s="73"/>
      <c r="IP937" s="73"/>
      <c r="IQ937" s="73"/>
      <c r="IR937" s="73"/>
      <c r="IS937" s="73"/>
      <c r="IT937" s="73"/>
      <c r="IU937" s="73"/>
      <c r="IV937" s="73"/>
      <c r="IW937" s="73"/>
      <c r="IX937" s="73"/>
      <c r="IY937" s="73"/>
      <c r="IZ937" s="73"/>
      <c r="JA937" s="73"/>
      <c r="JB937" s="73"/>
      <c r="JC937" s="73"/>
    </row>
    <row r="938" spans="2:263" s="72" customFormat="1">
      <c r="B938" s="73"/>
      <c r="C938" s="73"/>
      <c r="D938" s="73"/>
      <c r="E938" s="73"/>
      <c r="F938" s="73"/>
      <c r="G938" s="73"/>
      <c r="H938" s="73"/>
      <c r="I938" s="73"/>
      <c r="J938" s="73"/>
      <c r="K938" s="73"/>
      <c r="L938" s="73"/>
      <c r="M938" s="73"/>
      <c r="N938" s="73"/>
      <c r="O938" s="73"/>
      <c r="P938" s="73"/>
      <c r="Q938" s="73"/>
      <c r="R938" s="73"/>
      <c r="S938" s="73"/>
      <c r="T938" s="73"/>
      <c r="U938" s="73"/>
      <c r="V938" s="73"/>
      <c r="W938" s="73"/>
      <c r="GL938" s="73"/>
      <c r="GM938" s="73"/>
      <c r="GN938" s="73"/>
      <c r="GO938" s="73"/>
      <c r="GP938" s="73"/>
      <c r="GQ938" s="73"/>
      <c r="GR938" s="73"/>
      <c r="GS938" s="73"/>
      <c r="GT938" s="73"/>
      <c r="GU938" s="73"/>
      <c r="GV938" s="73"/>
      <c r="GW938" s="73"/>
      <c r="GX938" s="73"/>
      <c r="GY938" s="73"/>
      <c r="GZ938" s="73"/>
      <c r="HA938" s="73"/>
      <c r="HB938" s="73"/>
      <c r="HC938" s="73"/>
      <c r="HD938" s="73"/>
      <c r="HE938" s="73"/>
      <c r="HF938" s="73"/>
      <c r="HG938" s="73"/>
      <c r="HH938" s="73"/>
      <c r="HI938" s="73"/>
      <c r="HJ938" s="73"/>
      <c r="HK938" s="73"/>
      <c r="HL938" s="73"/>
      <c r="HM938" s="73"/>
      <c r="HN938" s="73"/>
      <c r="HO938" s="73"/>
      <c r="HP938" s="73"/>
      <c r="HQ938" s="73"/>
      <c r="HR938" s="73"/>
      <c r="HS938" s="73"/>
      <c r="HT938" s="73"/>
      <c r="HU938" s="73"/>
      <c r="HV938" s="73"/>
      <c r="HW938" s="73"/>
      <c r="HX938" s="73"/>
      <c r="HY938" s="73"/>
      <c r="HZ938" s="73"/>
      <c r="IA938" s="73"/>
      <c r="IB938" s="73"/>
      <c r="IC938" s="73"/>
      <c r="ID938" s="73"/>
      <c r="IE938" s="73"/>
      <c r="IF938" s="73"/>
      <c r="IG938" s="73"/>
      <c r="IH938" s="73"/>
      <c r="II938" s="73"/>
      <c r="IJ938" s="73"/>
      <c r="IK938" s="73"/>
      <c r="IL938" s="73"/>
      <c r="IM938" s="73"/>
      <c r="IN938" s="73"/>
      <c r="IO938" s="73"/>
      <c r="IP938" s="73"/>
      <c r="IQ938" s="73"/>
      <c r="IR938" s="73"/>
      <c r="IS938" s="73"/>
      <c r="IT938" s="73"/>
      <c r="IU938" s="73"/>
      <c r="IV938" s="73"/>
      <c r="IW938" s="73"/>
      <c r="IX938" s="73"/>
      <c r="IY938" s="73"/>
      <c r="IZ938" s="73"/>
      <c r="JA938" s="73"/>
      <c r="JB938" s="73"/>
      <c r="JC938" s="73"/>
    </row>
    <row r="939" spans="2:263" s="72" customFormat="1">
      <c r="B939" s="73"/>
      <c r="C939" s="73"/>
      <c r="D939" s="73"/>
      <c r="E939" s="73"/>
      <c r="F939" s="73"/>
      <c r="G939" s="73"/>
      <c r="H939" s="73"/>
      <c r="I939" s="73"/>
      <c r="J939" s="73"/>
      <c r="K939" s="73"/>
      <c r="L939" s="73"/>
      <c r="M939" s="73"/>
      <c r="N939" s="73"/>
      <c r="O939" s="73"/>
      <c r="P939" s="73"/>
      <c r="Q939" s="73"/>
      <c r="R939" s="73"/>
      <c r="S939" s="73"/>
      <c r="T939" s="73"/>
      <c r="U939" s="73"/>
      <c r="V939" s="73"/>
      <c r="W939" s="73"/>
      <c r="GL939" s="73"/>
      <c r="GM939" s="73"/>
      <c r="GN939" s="73"/>
      <c r="GO939" s="73"/>
      <c r="GP939" s="73"/>
      <c r="GQ939" s="73"/>
      <c r="GR939" s="73"/>
      <c r="GS939" s="73"/>
      <c r="GT939" s="73"/>
      <c r="GU939" s="73"/>
      <c r="GV939" s="73"/>
      <c r="GW939" s="73"/>
      <c r="GX939" s="73"/>
      <c r="GY939" s="73"/>
      <c r="GZ939" s="73"/>
      <c r="HA939" s="73"/>
      <c r="HB939" s="73"/>
      <c r="HC939" s="73"/>
      <c r="HD939" s="73"/>
      <c r="HE939" s="73"/>
      <c r="HF939" s="73"/>
      <c r="HG939" s="73"/>
      <c r="HH939" s="73"/>
      <c r="HI939" s="73"/>
      <c r="HJ939" s="73"/>
      <c r="HK939" s="73"/>
      <c r="HL939" s="73"/>
      <c r="HM939" s="73"/>
      <c r="HN939" s="73"/>
      <c r="HO939" s="73"/>
      <c r="HP939" s="73"/>
      <c r="HQ939" s="73"/>
      <c r="HR939" s="73"/>
      <c r="HS939" s="73"/>
      <c r="HT939" s="73"/>
      <c r="HU939" s="73"/>
      <c r="HV939" s="73"/>
      <c r="HW939" s="73"/>
      <c r="HX939" s="73"/>
      <c r="HY939" s="73"/>
      <c r="HZ939" s="73"/>
      <c r="IA939" s="73"/>
      <c r="IB939" s="73"/>
      <c r="IC939" s="73"/>
      <c r="ID939" s="73"/>
      <c r="IE939" s="73"/>
      <c r="IF939" s="73"/>
      <c r="IG939" s="73"/>
      <c r="IH939" s="73"/>
      <c r="II939" s="73"/>
      <c r="IJ939" s="73"/>
      <c r="IK939" s="73"/>
      <c r="IL939" s="73"/>
      <c r="IM939" s="73"/>
      <c r="IN939" s="73"/>
      <c r="IO939" s="73"/>
      <c r="IP939" s="73"/>
      <c r="IQ939" s="73"/>
      <c r="IR939" s="73"/>
      <c r="IS939" s="73"/>
      <c r="IT939" s="73"/>
      <c r="IU939" s="73"/>
      <c r="IV939" s="73"/>
      <c r="IW939" s="73"/>
      <c r="IX939" s="73"/>
      <c r="IY939" s="73"/>
      <c r="IZ939" s="73"/>
      <c r="JA939" s="73"/>
      <c r="JB939" s="73"/>
      <c r="JC939" s="73"/>
    </row>
    <row r="940" spans="2:263" s="72" customFormat="1">
      <c r="B940" s="73"/>
      <c r="C940" s="73"/>
      <c r="D940" s="73"/>
      <c r="E940" s="73"/>
      <c r="F940" s="73"/>
      <c r="G940" s="73"/>
      <c r="H940" s="73"/>
      <c r="I940" s="73"/>
      <c r="J940" s="73"/>
      <c r="K940" s="73"/>
      <c r="L940" s="73"/>
      <c r="M940" s="73"/>
      <c r="N940" s="73"/>
      <c r="O940" s="73"/>
      <c r="P940" s="73"/>
      <c r="Q940" s="73"/>
      <c r="R940" s="73"/>
      <c r="S940" s="73"/>
      <c r="T940" s="73"/>
      <c r="U940" s="73"/>
      <c r="V940" s="73"/>
      <c r="W940" s="73"/>
      <c r="GL940" s="73"/>
      <c r="GM940" s="73"/>
      <c r="GN940" s="73"/>
      <c r="GO940" s="73"/>
      <c r="GP940" s="73"/>
      <c r="GQ940" s="73"/>
      <c r="GR940" s="73"/>
      <c r="GS940" s="73"/>
      <c r="GT940" s="73"/>
      <c r="GU940" s="73"/>
      <c r="GV940" s="73"/>
      <c r="GW940" s="73"/>
      <c r="GX940" s="73"/>
      <c r="GY940" s="73"/>
      <c r="GZ940" s="73"/>
      <c r="HA940" s="73"/>
      <c r="HB940" s="73"/>
      <c r="HC940" s="73"/>
      <c r="HD940" s="73"/>
      <c r="HE940" s="73"/>
      <c r="HF940" s="73"/>
      <c r="HG940" s="73"/>
      <c r="HH940" s="73"/>
      <c r="HI940" s="73"/>
      <c r="HJ940" s="73"/>
      <c r="HK940" s="73"/>
      <c r="HL940" s="73"/>
      <c r="HM940" s="73"/>
      <c r="HN940" s="73"/>
      <c r="HO940" s="73"/>
      <c r="HP940" s="73"/>
      <c r="HQ940" s="73"/>
      <c r="HR940" s="73"/>
      <c r="HS940" s="73"/>
      <c r="HT940" s="73"/>
      <c r="HU940" s="73"/>
      <c r="HV940" s="73"/>
      <c r="HW940" s="73"/>
      <c r="HX940" s="73"/>
      <c r="HY940" s="73"/>
      <c r="HZ940" s="73"/>
      <c r="IA940" s="73"/>
      <c r="IB940" s="73"/>
      <c r="IC940" s="73"/>
      <c r="ID940" s="73"/>
      <c r="IE940" s="73"/>
      <c r="IF940" s="73"/>
      <c r="IG940" s="73"/>
      <c r="IH940" s="73"/>
      <c r="II940" s="73"/>
      <c r="IJ940" s="73"/>
      <c r="IK940" s="73"/>
      <c r="IL940" s="73"/>
      <c r="IM940" s="73"/>
      <c r="IN940" s="73"/>
      <c r="IO940" s="73"/>
      <c r="IP940" s="73"/>
      <c r="IQ940" s="73"/>
      <c r="IR940" s="73"/>
      <c r="IS940" s="73"/>
      <c r="IT940" s="73"/>
      <c r="IU940" s="73"/>
      <c r="IV940" s="73"/>
      <c r="IW940" s="73"/>
      <c r="IX940" s="73"/>
      <c r="IY940" s="73"/>
      <c r="IZ940" s="73"/>
      <c r="JA940" s="73"/>
      <c r="JB940" s="73"/>
      <c r="JC940" s="73"/>
    </row>
    <row r="941" spans="2:263" s="72" customFormat="1">
      <c r="B941" s="73"/>
      <c r="C941" s="73"/>
      <c r="D941" s="73"/>
      <c r="E941" s="73"/>
      <c r="F941" s="73"/>
      <c r="G941" s="73"/>
      <c r="H941" s="73"/>
      <c r="I941" s="73"/>
      <c r="J941" s="73"/>
      <c r="K941" s="73"/>
      <c r="L941" s="73"/>
      <c r="M941" s="73"/>
      <c r="N941" s="73"/>
      <c r="O941" s="73"/>
      <c r="P941" s="73"/>
      <c r="Q941" s="73"/>
      <c r="R941" s="73"/>
      <c r="S941" s="73"/>
      <c r="T941" s="73"/>
      <c r="U941" s="73"/>
      <c r="V941" s="73"/>
      <c r="W941" s="73"/>
      <c r="GL941" s="73"/>
      <c r="GM941" s="73"/>
      <c r="GN941" s="73"/>
      <c r="GO941" s="73"/>
      <c r="GP941" s="73"/>
      <c r="GQ941" s="73"/>
      <c r="GR941" s="73"/>
      <c r="GS941" s="73"/>
      <c r="GT941" s="73"/>
      <c r="GU941" s="73"/>
      <c r="GV941" s="73"/>
      <c r="GW941" s="73"/>
      <c r="GX941" s="73"/>
      <c r="GY941" s="73"/>
      <c r="GZ941" s="73"/>
      <c r="HA941" s="73"/>
      <c r="HB941" s="73"/>
      <c r="HC941" s="73"/>
      <c r="HD941" s="73"/>
      <c r="HE941" s="73"/>
      <c r="HF941" s="73"/>
      <c r="HG941" s="73"/>
      <c r="HH941" s="73"/>
      <c r="HI941" s="73"/>
      <c r="HJ941" s="73"/>
      <c r="HK941" s="73"/>
      <c r="HL941" s="73"/>
      <c r="HM941" s="73"/>
      <c r="HN941" s="73"/>
      <c r="HO941" s="73"/>
      <c r="HP941" s="73"/>
      <c r="HQ941" s="73"/>
      <c r="HR941" s="73"/>
      <c r="HS941" s="73"/>
      <c r="HT941" s="73"/>
      <c r="HU941" s="73"/>
      <c r="HV941" s="73"/>
      <c r="HW941" s="73"/>
      <c r="HX941" s="73"/>
      <c r="HY941" s="73"/>
      <c r="HZ941" s="73"/>
      <c r="IA941" s="73"/>
      <c r="IB941" s="73"/>
      <c r="IC941" s="73"/>
      <c r="ID941" s="73"/>
      <c r="IE941" s="73"/>
      <c r="IF941" s="73"/>
      <c r="IG941" s="73"/>
      <c r="IH941" s="73"/>
      <c r="II941" s="73"/>
      <c r="IJ941" s="73"/>
      <c r="IK941" s="73"/>
      <c r="IL941" s="73"/>
      <c r="IM941" s="73"/>
      <c r="IN941" s="73"/>
      <c r="IO941" s="73"/>
      <c r="IP941" s="73"/>
      <c r="IQ941" s="73"/>
      <c r="IR941" s="73"/>
      <c r="IS941" s="73"/>
      <c r="IT941" s="73"/>
      <c r="IU941" s="73"/>
      <c r="IV941" s="73"/>
      <c r="IW941" s="73"/>
      <c r="IX941" s="73"/>
      <c r="IY941" s="73"/>
      <c r="IZ941" s="73"/>
      <c r="JA941" s="73"/>
      <c r="JB941" s="73"/>
      <c r="JC941" s="73"/>
    </row>
    <row r="942" spans="2:263" s="72" customFormat="1">
      <c r="B942" s="73"/>
      <c r="C942" s="73"/>
      <c r="D942" s="73"/>
      <c r="E942" s="73"/>
      <c r="F942" s="73"/>
      <c r="G942" s="73"/>
      <c r="H942" s="73"/>
      <c r="I942" s="73"/>
      <c r="J942" s="73"/>
      <c r="K942" s="73"/>
      <c r="L942" s="73"/>
      <c r="M942" s="73"/>
      <c r="N942" s="73"/>
      <c r="O942" s="73"/>
      <c r="P942" s="73"/>
      <c r="Q942" s="73"/>
      <c r="R942" s="73"/>
      <c r="S942" s="73"/>
      <c r="T942" s="73"/>
      <c r="U942" s="73"/>
      <c r="V942" s="73"/>
      <c r="W942" s="73"/>
      <c r="GL942" s="73"/>
      <c r="GM942" s="73"/>
      <c r="GN942" s="73"/>
      <c r="GO942" s="73"/>
      <c r="GP942" s="73"/>
      <c r="GQ942" s="73"/>
      <c r="GR942" s="73"/>
      <c r="GS942" s="73"/>
      <c r="GT942" s="73"/>
      <c r="GU942" s="73"/>
      <c r="GV942" s="73"/>
      <c r="GW942" s="73"/>
      <c r="GX942" s="73"/>
      <c r="GY942" s="73"/>
      <c r="GZ942" s="73"/>
      <c r="HA942" s="73"/>
      <c r="HB942" s="73"/>
      <c r="HC942" s="73"/>
      <c r="HD942" s="73"/>
      <c r="HE942" s="73"/>
      <c r="HF942" s="73"/>
      <c r="HG942" s="73"/>
      <c r="HH942" s="73"/>
      <c r="HI942" s="73"/>
      <c r="HJ942" s="73"/>
      <c r="HK942" s="73"/>
      <c r="HL942" s="73"/>
      <c r="HM942" s="73"/>
      <c r="HN942" s="73"/>
      <c r="HO942" s="73"/>
      <c r="HP942" s="73"/>
      <c r="HQ942" s="73"/>
      <c r="HR942" s="73"/>
      <c r="HS942" s="73"/>
      <c r="HT942" s="73"/>
      <c r="HU942" s="73"/>
      <c r="HV942" s="73"/>
      <c r="HW942" s="73"/>
      <c r="HX942" s="73"/>
      <c r="HY942" s="73"/>
      <c r="HZ942" s="73"/>
      <c r="IA942" s="73"/>
      <c r="IB942" s="73"/>
      <c r="IC942" s="73"/>
      <c r="ID942" s="73"/>
      <c r="IE942" s="73"/>
      <c r="IF942" s="73"/>
      <c r="IG942" s="73"/>
      <c r="IH942" s="73"/>
      <c r="II942" s="73"/>
      <c r="IJ942" s="73"/>
      <c r="IK942" s="73"/>
      <c r="IL942" s="73"/>
      <c r="IM942" s="73"/>
      <c r="IN942" s="73"/>
      <c r="IO942" s="73"/>
      <c r="IP942" s="73"/>
      <c r="IQ942" s="73"/>
      <c r="IR942" s="73"/>
      <c r="IS942" s="73"/>
      <c r="IT942" s="73"/>
      <c r="IU942" s="73"/>
      <c r="IV942" s="73"/>
      <c r="IW942" s="73"/>
      <c r="IX942" s="73"/>
      <c r="IY942" s="73"/>
      <c r="IZ942" s="73"/>
      <c r="JA942" s="73"/>
      <c r="JB942" s="73"/>
      <c r="JC942" s="73"/>
    </row>
    <row r="943" spans="2:263" s="72" customFormat="1">
      <c r="B943" s="73"/>
      <c r="C943" s="73"/>
      <c r="D943" s="73"/>
      <c r="E943" s="73"/>
      <c r="F943" s="73"/>
      <c r="G943" s="73"/>
      <c r="H943" s="73"/>
      <c r="I943" s="73"/>
      <c r="J943" s="73"/>
      <c r="K943" s="73"/>
      <c r="L943" s="73"/>
      <c r="M943" s="73"/>
      <c r="N943" s="73"/>
      <c r="O943" s="73"/>
      <c r="P943" s="73"/>
      <c r="Q943" s="73"/>
      <c r="R943" s="73"/>
      <c r="S943" s="73"/>
      <c r="T943" s="73"/>
      <c r="U943" s="73"/>
      <c r="V943" s="73"/>
      <c r="W943" s="73"/>
      <c r="GL943" s="73"/>
      <c r="GM943" s="73"/>
      <c r="GN943" s="73"/>
      <c r="GO943" s="73"/>
      <c r="GP943" s="73"/>
      <c r="GQ943" s="73"/>
      <c r="GR943" s="73"/>
      <c r="GS943" s="73"/>
      <c r="GT943" s="73"/>
      <c r="GU943" s="73"/>
      <c r="GV943" s="73"/>
      <c r="GW943" s="73"/>
      <c r="GX943" s="73"/>
      <c r="GY943" s="73"/>
      <c r="GZ943" s="73"/>
      <c r="HA943" s="73"/>
      <c r="HB943" s="73"/>
      <c r="HC943" s="73"/>
      <c r="HD943" s="73"/>
      <c r="HE943" s="73"/>
      <c r="HF943" s="73"/>
      <c r="HG943" s="73"/>
      <c r="HH943" s="73"/>
      <c r="HI943" s="73"/>
      <c r="HJ943" s="73"/>
      <c r="HK943" s="73"/>
      <c r="HL943" s="73"/>
      <c r="HM943" s="73"/>
      <c r="HN943" s="73"/>
      <c r="HO943" s="73"/>
      <c r="HP943" s="73"/>
      <c r="HQ943" s="73"/>
      <c r="HR943" s="73"/>
      <c r="HS943" s="73"/>
      <c r="HT943" s="73"/>
      <c r="HU943" s="73"/>
      <c r="HV943" s="73"/>
      <c r="HW943" s="73"/>
      <c r="HX943" s="73"/>
      <c r="HY943" s="73"/>
      <c r="HZ943" s="73"/>
      <c r="IA943" s="73"/>
      <c r="IB943" s="73"/>
      <c r="IC943" s="73"/>
      <c r="ID943" s="73"/>
      <c r="IE943" s="73"/>
      <c r="IF943" s="73"/>
      <c r="IG943" s="73"/>
      <c r="IH943" s="73"/>
      <c r="II943" s="73"/>
      <c r="IJ943" s="73"/>
      <c r="IK943" s="73"/>
      <c r="IL943" s="73"/>
      <c r="IM943" s="73"/>
      <c r="IN943" s="73"/>
      <c r="IO943" s="73"/>
      <c r="IP943" s="73"/>
      <c r="IQ943" s="73"/>
      <c r="IR943" s="73"/>
      <c r="IS943" s="73"/>
      <c r="IT943" s="73"/>
      <c r="IU943" s="73"/>
      <c r="IV943" s="73"/>
      <c r="IW943" s="73"/>
      <c r="IX943" s="73"/>
      <c r="IY943" s="73"/>
      <c r="IZ943" s="73"/>
      <c r="JA943" s="73"/>
      <c r="JB943" s="73"/>
      <c r="JC943" s="73"/>
    </row>
    <row r="944" spans="2:263" s="72" customFormat="1">
      <c r="B944" s="73"/>
      <c r="C944" s="73"/>
      <c r="D944" s="73"/>
      <c r="E944" s="73"/>
      <c r="F944" s="73"/>
      <c r="G944" s="73"/>
      <c r="H944" s="73"/>
      <c r="I944" s="73"/>
      <c r="J944" s="73"/>
      <c r="K944" s="73"/>
      <c r="L944" s="73"/>
      <c r="M944" s="73"/>
      <c r="N944" s="73"/>
      <c r="O944" s="73"/>
      <c r="P944" s="73"/>
      <c r="Q944" s="73"/>
      <c r="R944" s="73"/>
      <c r="S944" s="73"/>
      <c r="T944" s="73"/>
      <c r="U944" s="73"/>
      <c r="V944" s="73"/>
      <c r="W944" s="73"/>
      <c r="GL944" s="73"/>
      <c r="GM944" s="73"/>
      <c r="GN944" s="73"/>
      <c r="GO944" s="73"/>
      <c r="GP944" s="73"/>
      <c r="GQ944" s="73"/>
      <c r="GR944" s="73"/>
      <c r="GS944" s="73"/>
      <c r="GT944" s="73"/>
      <c r="GU944" s="73"/>
      <c r="GV944" s="73"/>
      <c r="GW944" s="73"/>
      <c r="GX944" s="73"/>
      <c r="GY944" s="73"/>
      <c r="GZ944" s="73"/>
      <c r="HA944" s="73"/>
      <c r="HB944" s="73"/>
      <c r="HC944" s="73"/>
      <c r="HD944" s="73"/>
      <c r="HE944" s="73"/>
      <c r="HF944" s="73"/>
      <c r="HG944" s="73"/>
      <c r="HH944" s="73"/>
      <c r="HI944" s="73"/>
      <c r="HJ944" s="73"/>
      <c r="HK944" s="73"/>
      <c r="HL944" s="73"/>
      <c r="HM944" s="73"/>
      <c r="HN944" s="73"/>
      <c r="HO944" s="73"/>
      <c r="HP944" s="73"/>
      <c r="HQ944" s="73"/>
      <c r="HR944" s="73"/>
      <c r="HS944" s="73"/>
      <c r="HT944" s="73"/>
      <c r="HU944" s="73"/>
      <c r="HV944" s="73"/>
      <c r="HW944" s="73"/>
      <c r="HX944" s="73"/>
      <c r="HY944" s="73"/>
      <c r="HZ944" s="73"/>
      <c r="IA944" s="73"/>
      <c r="IB944" s="73"/>
      <c r="IC944" s="73"/>
      <c r="ID944" s="73"/>
      <c r="IE944" s="73"/>
      <c r="IF944" s="73"/>
      <c r="IG944" s="73"/>
      <c r="IH944" s="73"/>
      <c r="II944" s="73"/>
      <c r="IJ944" s="73"/>
      <c r="IK944" s="73"/>
      <c r="IL944" s="73"/>
      <c r="IM944" s="73"/>
      <c r="IN944" s="73"/>
      <c r="IO944" s="73"/>
      <c r="IP944" s="73"/>
      <c r="IQ944" s="73"/>
      <c r="IR944" s="73"/>
      <c r="IS944" s="73"/>
      <c r="IT944" s="73"/>
      <c r="IU944" s="73"/>
      <c r="IV944" s="73"/>
      <c r="IW944" s="73"/>
      <c r="IX944" s="73"/>
      <c r="IY944" s="73"/>
      <c r="IZ944" s="73"/>
      <c r="JA944" s="73"/>
      <c r="JB944" s="73"/>
      <c r="JC944" s="73"/>
    </row>
    <row r="945" spans="2:263" s="72" customFormat="1">
      <c r="B945" s="73"/>
      <c r="C945" s="73"/>
      <c r="D945" s="73"/>
      <c r="E945" s="73"/>
      <c r="F945" s="73"/>
      <c r="G945" s="73"/>
      <c r="H945" s="73"/>
      <c r="I945" s="73"/>
      <c r="J945" s="73"/>
      <c r="K945" s="73"/>
      <c r="L945" s="73"/>
      <c r="M945" s="73"/>
      <c r="N945" s="73"/>
      <c r="O945" s="73"/>
      <c r="P945" s="73"/>
      <c r="Q945" s="73"/>
      <c r="R945" s="73"/>
      <c r="S945" s="73"/>
      <c r="T945" s="73"/>
      <c r="U945" s="73"/>
      <c r="V945" s="73"/>
      <c r="W945" s="73"/>
      <c r="GL945" s="73"/>
      <c r="GM945" s="73"/>
      <c r="GN945" s="73"/>
      <c r="GO945" s="73"/>
      <c r="GP945" s="73"/>
      <c r="GQ945" s="73"/>
      <c r="GR945" s="73"/>
      <c r="GS945" s="73"/>
      <c r="GT945" s="73"/>
      <c r="GU945" s="73"/>
      <c r="GV945" s="73"/>
      <c r="GW945" s="73"/>
      <c r="GX945" s="73"/>
      <c r="GY945" s="73"/>
      <c r="GZ945" s="73"/>
      <c r="HA945" s="73"/>
      <c r="HB945" s="73"/>
      <c r="HC945" s="73"/>
      <c r="HD945" s="73"/>
      <c r="HE945" s="73"/>
      <c r="HF945" s="73"/>
      <c r="HG945" s="73"/>
      <c r="HH945" s="73"/>
      <c r="HI945" s="73"/>
      <c r="HJ945" s="73"/>
      <c r="HK945" s="73"/>
      <c r="HL945" s="73"/>
      <c r="HM945" s="73"/>
      <c r="HN945" s="73"/>
      <c r="HO945" s="73"/>
      <c r="HP945" s="73"/>
      <c r="HQ945" s="73"/>
      <c r="HR945" s="73"/>
      <c r="HS945" s="73"/>
      <c r="HT945" s="73"/>
      <c r="HU945" s="73"/>
      <c r="HV945" s="73"/>
      <c r="HW945" s="73"/>
      <c r="HX945" s="73"/>
      <c r="HY945" s="73"/>
      <c r="HZ945" s="73"/>
      <c r="IA945" s="73"/>
      <c r="IB945" s="73"/>
      <c r="IC945" s="73"/>
      <c r="ID945" s="73"/>
      <c r="IE945" s="73"/>
      <c r="IF945" s="73"/>
      <c r="IG945" s="73"/>
      <c r="IH945" s="73"/>
      <c r="II945" s="73"/>
      <c r="IJ945" s="73"/>
      <c r="IK945" s="73"/>
      <c r="IL945" s="73"/>
      <c r="IM945" s="73"/>
      <c r="IN945" s="73"/>
      <c r="IO945" s="73"/>
      <c r="IP945" s="73"/>
      <c r="IQ945" s="73"/>
      <c r="IR945" s="73"/>
      <c r="IS945" s="73"/>
      <c r="IT945" s="73"/>
      <c r="IU945" s="73"/>
      <c r="IV945" s="73"/>
      <c r="IW945" s="73"/>
      <c r="IX945" s="73"/>
      <c r="IY945" s="73"/>
      <c r="IZ945" s="73"/>
      <c r="JA945" s="73"/>
      <c r="JB945" s="73"/>
      <c r="JC945" s="73"/>
    </row>
    <row r="946" spans="2:263" s="72" customFormat="1">
      <c r="B946" s="73"/>
      <c r="C946" s="73"/>
      <c r="D946" s="73"/>
      <c r="E946" s="73"/>
      <c r="F946" s="73"/>
      <c r="G946" s="73"/>
      <c r="H946" s="73"/>
      <c r="I946" s="73"/>
      <c r="J946" s="73"/>
      <c r="K946" s="73"/>
      <c r="L946" s="73"/>
      <c r="M946" s="73"/>
      <c r="N946" s="73"/>
      <c r="O946" s="73"/>
      <c r="P946" s="73"/>
      <c r="Q946" s="73"/>
      <c r="R946" s="73"/>
      <c r="S946" s="73"/>
      <c r="T946" s="73"/>
      <c r="U946" s="73"/>
      <c r="V946" s="73"/>
      <c r="W946" s="73"/>
      <c r="GL946" s="73"/>
      <c r="GM946" s="73"/>
      <c r="GN946" s="73"/>
      <c r="GO946" s="73"/>
      <c r="GP946" s="73"/>
      <c r="GQ946" s="73"/>
      <c r="GR946" s="73"/>
      <c r="GS946" s="73"/>
      <c r="GT946" s="73"/>
      <c r="GU946" s="73"/>
      <c r="GV946" s="73"/>
      <c r="GW946" s="73"/>
      <c r="GX946" s="73"/>
      <c r="GY946" s="73"/>
      <c r="GZ946" s="73"/>
      <c r="HA946" s="73"/>
      <c r="HB946" s="73"/>
      <c r="HC946" s="73"/>
      <c r="HD946" s="73"/>
      <c r="HE946" s="73"/>
      <c r="HF946" s="73"/>
      <c r="HG946" s="73"/>
      <c r="HH946" s="73"/>
      <c r="HI946" s="73"/>
      <c r="HJ946" s="73"/>
      <c r="HK946" s="73"/>
      <c r="HL946" s="73"/>
      <c r="HM946" s="73"/>
      <c r="HN946" s="73"/>
      <c r="HO946" s="73"/>
      <c r="HP946" s="73"/>
      <c r="HQ946" s="73"/>
      <c r="HR946" s="73"/>
      <c r="HS946" s="73"/>
      <c r="HT946" s="73"/>
      <c r="HU946" s="73"/>
      <c r="HV946" s="73"/>
      <c r="HW946" s="73"/>
      <c r="HX946" s="73"/>
      <c r="HY946" s="73"/>
      <c r="HZ946" s="73"/>
      <c r="IA946" s="73"/>
      <c r="IB946" s="73"/>
      <c r="IC946" s="73"/>
      <c r="ID946" s="73"/>
      <c r="IE946" s="73"/>
      <c r="IF946" s="73"/>
      <c r="IG946" s="73"/>
      <c r="IH946" s="73"/>
      <c r="II946" s="73"/>
      <c r="IJ946" s="73"/>
      <c r="IK946" s="73"/>
      <c r="IL946" s="73"/>
      <c r="IM946" s="73"/>
      <c r="IN946" s="73"/>
      <c r="IO946" s="73"/>
      <c r="IP946" s="73"/>
      <c r="IQ946" s="73"/>
      <c r="IR946" s="73"/>
      <c r="IS946" s="73"/>
      <c r="IT946" s="73"/>
      <c r="IU946" s="73"/>
      <c r="IV946" s="73"/>
      <c r="IW946" s="73"/>
      <c r="IX946" s="73"/>
      <c r="IY946" s="73"/>
      <c r="IZ946" s="73"/>
      <c r="JA946" s="73"/>
      <c r="JB946" s="73"/>
      <c r="JC946" s="73"/>
    </row>
    <row r="947" spans="2:263" s="72" customFormat="1">
      <c r="B947" s="73"/>
      <c r="C947" s="73"/>
      <c r="D947" s="73"/>
      <c r="E947" s="73"/>
      <c r="F947" s="73"/>
      <c r="G947" s="73"/>
      <c r="H947" s="73"/>
      <c r="I947" s="73"/>
      <c r="J947" s="73"/>
      <c r="K947" s="73"/>
      <c r="L947" s="73"/>
      <c r="M947" s="73"/>
      <c r="N947" s="73"/>
      <c r="O947" s="73"/>
      <c r="P947" s="73"/>
      <c r="Q947" s="73"/>
      <c r="R947" s="73"/>
      <c r="S947" s="73"/>
      <c r="T947" s="73"/>
      <c r="U947" s="73"/>
      <c r="V947" s="73"/>
      <c r="W947" s="73"/>
      <c r="GL947" s="73"/>
      <c r="GM947" s="73"/>
      <c r="GN947" s="73"/>
      <c r="GO947" s="73"/>
      <c r="GP947" s="73"/>
      <c r="GQ947" s="73"/>
      <c r="GR947" s="73"/>
      <c r="GS947" s="73"/>
      <c r="GT947" s="73"/>
      <c r="GU947" s="73"/>
      <c r="GV947" s="73"/>
      <c r="GW947" s="73"/>
      <c r="GX947" s="73"/>
      <c r="GY947" s="73"/>
      <c r="GZ947" s="73"/>
      <c r="HA947" s="73"/>
      <c r="HB947" s="73"/>
      <c r="HC947" s="73"/>
      <c r="HD947" s="73"/>
      <c r="HE947" s="73"/>
      <c r="HF947" s="73"/>
      <c r="HG947" s="73"/>
      <c r="HH947" s="73"/>
      <c r="HI947" s="73"/>
      <c r="HJ947" s="73"/>
      <c r="HK947" s="73"/>
      <c r="HL947" s="73"/>
      <c r="HM947" s="73"/>
      <c r="HN947" s="73"/>
      <c r="HO947" s="73"/>
      <c r="HP947" s="73"/>
      <c r="HQ947" s="73"/>
      <c r="HR947" s="73"/>
      <c r="HS947" s="73"/>
      <c r="HT947" s="73"/>
      <c r="HU947" s="73"/>
      <c r="HV947" s="73"/>
      <c r="HW947" s="73"/>
      <c r="HX947" s="73"/>
      <c r="HY947" s="73"/>
      <c r="HZ947" s="73"/>
      <c r="IA947" s="73"/>
      <c r="IB947" s="73"/>
      <c r="IC947" s="73"/>
      <c r="ID947" s="73"/>
      <c r="IE947" s="73"/>
      <c r="IF947" s="73"/>
      <c r="IG947" s="73"/>
      <c r="IH947" s="73"/>
      <c r="II947" s="73"/>
      <c r="IJ947" s="73"/>
      <c r="IK947" s="73"/>
      <c r="IL947" s="73"/>
      <c r="IM947" s="73"/>
      <c r="IN947" s="73"/>
      <c r="IO947" s="73"/>
      <c r="IP947" s="73"/>
      <c r="IQ947" s="73"/>
      <c r="IR947" s="73"/>
      <c r="IS947" s="73"/>
      <c r="IT947" s="73"/>
      <c r="IU947" s="73"/>
      <c r="IV947" s="73"/>
      <c r="IW947" s="73"/>
      <c r="IX947" s="73"/>
      <c r="IY947" s="73"/>
      <c r="IZ947" s="73"/>
      <c r="JA947" s="73"/>
      <c r="JB947" s="73"/>
      <c r="JC947" s="73"/>
    </row>
    <row r="948" spans="2:263" s="72" customFormat="1">
      <c r="B948" s="73"/>
      <c r="C948" s="73"/>
      <c r="D948" s="73"/>
      <c r="E948" s="73"/>
      <c r="F948" s="73"/>
      <c r="G948" s="73"/>
      <c r="H948" s="73"/>
      <c r="I948" s="73"/>
      <c r="J948" s="73"/>
      <c r="K948" s="73"/>
      <c r="L948" s="73"/>
      <c r="M948" s="73"/>
      <c r="N948" s="73"/>
      <c r="O948" s="73"/>
      <c r="P948" s="73"/>
      <c r="Q948" s="73"/>
      <c r="R948" s="73"/>
      <c r="S948" s="73"/>
      <c r="T948" s="73"/>
      <c r="U948" s="73"/>
      <c r="V948" s="73"/>
      <c r="W948" s="73"/>
      <c r="GL948" s="73"/>
      <c r="GM948" s="73"/>
      <c r="GN948" s="73"/>
      <c r="GO948" s="73"/>
      <c r="GP948" s="73"/>
      <c r="GQ948" s="73"/>
      <c r="GR948" s="73"/>
      <c r="GS948" s="73"/>
      <c r="GT948" s="73"/>
      <c r="GU948" s="73"/>
      <c r="GV948" s="73"/>
      <c r="GW948" s="73"/>
      <c r="GX948" s="73"/>
      <c r="GY948" s="73"/>
      <c r="GZ948" s="73"/>
      <c r="HA948" s="73"/>
      <c r="HB948" s="73"/>
      <c r="HC948" s="73"/>
      <c r="HD948" s="73"/>
      <c r="HE948" s="73"/>
      <c r="HF948" s="73"/>
      <c r="HG948" s="73"/>
      <c r="HH948" s="73"/>
      <c r="HI948" s="73"/>
      <c r="HJ948" s="73"/>
      <c r="HK948" s="73"/>
      <c r="HL948" s="73"/>
      <c r="HM948" s="73"/>
      <c r="HN948" s="73"/>
      <c r="HO948" s="73"/>
      <c r="HP948" s="73"/>
      <c r="HQ948" s="73"/>
      <c r="HR948" s="73"/>
      <c r="HS948" s="73"/>
      <c r="HT948" s="73"/>
      <c r="HU948" s="73"/>
      <c r="HV948" s="73"/>
      <c r="HW948" s="73"/>
      <c r="HX948" s="73"/>
      <c r="HY948" s="73"/>
      <c r="HZ948" s="73"/>
      <c r="IA948" s="73"/>
      <c r="IB948" s="73"/>
      <c r="IC948" s="73"/>
      <c r="ID948" s="73"/>
      <c r="IE948" s="73"/>
      <c r="IF948" s="73"/>
      <c r="IG948" s="73"/>
      <c r="IH948" s="73"/>
      <c r="II948" s="73"/>
      <c r="IJ948" s="73"/>
      <c r="IK948" s="73"/>
      <c r="IL948" s="73"/>
      <c r="IM948" s="73"/>
      <c r="IN948" s="73"/>
      <c r="IO948" s="73"/>
      <c r="IP948" s="73"/>
      <c r="IQ948" s="73"/>
      <c r="IR948" s="73"/>
      <c r="IS948" s="73"/>
      <c r="IT948" s="73"/>
      <c r="IU948" s="73"/>
      <c r="IV948" s="73"/>
      <c r="IW948" s="73"/>
      <c r="IX948" s="73"/>
      <c r="IY948" s="73"/>
      <c r="IZ948" s="73"/>
      <c r="JA948" s="73"/>
      <c r="JB948" s="73"/>
      <c r="JC948" s="73"/>
    </row>
    <row r="949" spans="2:263" s="72" customFormat="1">
      <c r="B949" s="73"/>
      <c r="C949" s="73"/>
      <c r="D949" s="73"/>
      <c r="E949" s="73"/>
      <c r="F949" s="73"/>
      <c r="G949" s="73"/>
      <c r="H949" s="73"/>
      <c r="I949" s="73"/>
      <c r="J949" s="73"/>
      <c r="K949" s="73"/>
      <c r="L949" s="73"/>
      <c r="M949" s="73"/>
      <c r="N949" s="73"/>
      <c r="O949" s="73"/>
      <c r="P949" s="73"/>
      <c r="Q949" s="73"/>
      <c r="R949" s="73"/>
      <c r="S949" s="73"/>
      <c r="T949" s="73"/>
      <c r="U949" s="73"/>
      <c r="V949" s="73"/>
      <c r="W949" s="73"/>
      <c r="GL949" s="73"/>
      <c r="GM949" s="73"/>
      <c r="GN949" s="73"/>
      <c r="GO949" s="73"/>
      <c r="GP949" s="73"/>
      <c r="GQ949" s="73"/>
      <c r="GR949" s="73"/>
      <c r="GS949" s="73"/>
      <c r="GT949" s="73"/>
      <c r="GU949" s="73"/>
      <c r="GV949" s="73"/>
      <c r="GW949" s="73"/>
      <c r="GX949" s="73"/>
      <c r="GY949" s="73"/>
      <c r="GZ949" s="73"/>
      <c r="HA949" s="73"/>
      <c r="HB949" s="73"/>
      <c r="HC949" s="73"/>
      <c r="HD949" s="73"/>
      <c r="HE949" s="73"/>
      <c r="HF949" s="73"/>
      <c r="HG949" s="73"/>
      <c r="HH949" s="73"/>
      <c r="HI949" s="73"/>
      <c r="HJ949" s="73"/>
      <c r="HK949" s="73"/>
      <c r="HL949" s="73"/>
      <c r="HM949" s="73"/>
      <c r="HN949" s="73"/>
      <c r="HO949" s="73"/>
      <c r="HP949" s="73"/>
      <c r="HQ949" s="73"/>
      <c r="HR949" s="73"/>
      <c r="HS949" s="73"/>
      <c r="HT949" s="73"/>
      <c r="HU949" s="73"/>
      <c r="HV949" s="73"/>
      <c r="HW949" s="73"/>
      <c r="HX949" s="73"/>
      <c r="HY949" s="73"/>
      <c r="HZ949" s="73"/>
      <c r="IA949" s="73"/>
      <c r="IB949" s="73"/>
      <c r="IC949" s="73"/>
      <c r="ID949" s="73"/>
      <c r="IE949" s="73"/>
      <c r="IF949" s="73"/>
      <c r="IG949" s="73"/>
      <c r="IH949" s="73"/>
      <c r="II949" s="73"/>
      <c r="IJ949" s="73"/>
      <c r="IK949" s="73"/>
      <c r="IL949" s="73"/>
      <c r="IM949" s="73"/>
      <c r="IN949" s="73"/>
      <c r="IO949" s="73"/>
      <c r="IP949" s="73"/>
      <c r="IQ949" s="73"/>
      <c r="IR949" s="73"/>
      <c r="IS949" s="73"/>
      <c r="IT949" s="73"/>
      <c r="IU949" s="73"/>
      <c r="IV949" s="73"/>
      <c r="IW949" s="73"/>
      <c r="IX949" s="73"/>
      <c r="IY949" s="73"/>
      <c r="IZ949" s="73"/>
      <c r="JA949" s="73"/>
      <c r="JB949" s="73"/>
      <c r="JC949" s="73"/>
    </row>
    <row r="950" spans="2:263" s="72" customFormat="1">
      <c r="B950" s="73"/>
      <c r="C950" s="73"/>
      <c r="D950" s="73"/>
      <c r="E950" s="73"/>
      <c r="F950" s="73"/>
      <c r="G950" s="73"/>
      <c r="H950" s="73"/>
      <c r="I950" s="73"/>
      <c r="J950" s="73"/>
      <c r="K950" s="73"/>
      <c r="L950" s="73"/>
      <c r="M950" s="73"/>
      <c r="N950" s="73"/>
      <c r="O950" s="73"/>
      <c r="P950" s="73"/>
      <c r="Q950" s="73"/>
      <c r="R950" s="73"/>
      <c r="S950" s="73"/>
      <c r="T950" s="73"/>
      <c r="U950" s="73"/>
      <c r="V950" s="73"/>
      <c r="W950" s="73"/>
      <c r="GL950" s="73"/>
      <c r="GM950" s="73"/>
      <c r="GN950" s="73"/>
      <c r="GO950" s="73"/>
      <c r="GP950" s="73"/>
      <c r="GQ950" s="73"/>
      <c r="GR950" s="73"/>
      <c r="GS950" s="73"/>
      <c r="GT950" s="73"/>
      <c r="GU950" s="73"/>
      <c r="GV950" s="73"/>
      <c r="GW950" s="73"/>
      <c r="GX950" s="73"/>
      <c r="GY950" s="73"/>
      <c r="GZ950" s="73"/>
      <c r="HA950" s="73"/>
      <c r="HB950" s="73"/>
      <c r="HC950" s="73"/>
      <c r="HD950" s="73"/>
      <c r="HE950" s="73"/>
      <c r="HF950" s="73"/>
      <c r="HG950" s="73"/>
      <c r="HH950" s="73"/>
      <c r="HI950" s="73"/>
      <c r="HJ950" s="73"/>
      <c r="HK950" s="73"/>
      <c r="HL950" s="73"/>
      <c r="HM950" s="73"/>
      <c r="HN950" s="73"/>
      <c r="HO950" s="73"/>
      <c r="HP950" s="73"/>
      <c r="HQ950" s="73"/>
      <c r="HR950" s="73"/>
      <c r="HS950" s="73"/>
      <c r="HT950" s="73"/>
      <c r="HU950" s="73"/>
      <c r="HV950" s="73"/>
      <c r="HW950" s="73"/>
      <c r="HX950" s="73"/>
      <c r="HY950" s="73"/>
      <c r="HZ950" s="73"/>
      <c r="IA950" s="73"/>
      <c r="IB950" s="73"/>
      <c r="IC950" s="73"/>
      <c r="ID950" s="73"/>
      <c r="IE950" s="73"/>
      <c r="IF950" s="73"/>
      <c r="IG950" s="73"/>
      <c r="IH950" s="73"/>
      <c r="II950" s="73"/>
      <c r="IJ950" s="73"/>
      <c r="IK950" s="73"/>
      <c r="IL950" s="73"/>
      <c r="IM950" s="73"/>
      <c r="IN950" s="73"/>
      <c r="IO950" s="73"/>
      <c r="IP950" s="73"/>
      <c r="IQ950" s="73"/>
      <c r="IR950" s="73"/>
      <c r="IS950" s="73"/>
      <c r="IT950" s="73"/>
      <c r="IU950" s="73"/>
      <c r="IV950" s="73"/>
      <c r="IW950" s="73"/>
      <c r="IX950" s="73"/>
      <c r="IY950" s="73"/>
      <c r="IZ950" s="73"/>
      <c r="JA950" s="73"/>
      <c r="JB950" s="73"/>
      <c r="JC950" s="73"/>
    </row>
    <row r="951" spans="2:263" s="72" customFormat="1">
      <c r="B951" s="73"/>
      <c r="C951" s="73"/>
      <c r="D951" s="73"/>
      <c r="E951" s="73"/>
      <c r="F951" s="73"/>
      <c r="G951" s="73"/>
      <c r="H951" s="73"/>
      <c r="I951" s="73"/>
      <c r="J951" s="73"/>
      <c r="K951" s="73"/>
      <c r="L951" s="73"/>
      <c r="M951" s="73"/>
      <c r="N951" s="73"/>
      <c r="O951" s="73"/>
      <c r="P951" s="73"/>
      <c r="Q951" s="73"/>
      <c r="R951" s="73"/>
      <c r="S951" s="73"/>
      <c r="T951" s="73"/>
      <c r="U951" s="73"/>
      <c r="V951" s="73"/>
      <c r="W951" s="73"/>
      <c r="GL951" s="73"/>
      <c r="GM951" s="73"/>
      <c r="GN951" s="73"/>
      <c r="GO951" s="73"/>
      <c r="GP951" s="73"/>
      <c r="GQ951" s="73"/>
      <c r="GR951" s="73"/>
      <c r="GS951" s="73"/>
      <c r="GT951" s="73"/>
      <c r="GU951" s="73"/>
      <c r="GV951" s="73"/>
      <c r="GW951" s="73"/>
      <c r="GX951" s="73"/>
      <c r="GY951" s="73"/>
      <c r="GZ951" s="73"/>
      <c r="HA951" s="73"/>
      <c r="HB951" s="73"/>
      <c r="HC951" s="73"/>
      <c r="HD951" s="73"/>
      <c r="HE951" s="73"/>
      <c r="HF951" s="73"/>
      <c r="HG951" s="73"/>
      <c r="HH951" s="73"/>
      <c r="HI951" s="73"/>
      <c r="HJ951" s="73"/>
      <c r="HK951" s="73"/>
      <c r="HL951" s="73"/>
      <c r="HM951" s="73"/>
      <c r="HN951" s="73"/>
      <c r="HO951" s="73"/>
      <c r="HP951" s="73"/>
      <c r="HQ951" s="73"/>
      <c r="HR951" s="73"/>
      <c r="HS951" s="73"/>
      <c r="HT951" s="73"/>
      <c r="HU951" s="73"/>
      <c r="HV951" s="73"/>
      <c r="HW951" s="73"/>
      <c r="HX951" s="73"/>
      <c r="HY951" s="73"/>
      <c r="HZ951" s="73"/>
      <c r="IA951" s="73"/>
      <c r="IB951" s="73"/>
      <c r="IC951" s="73"/>
      <c r="ID951" s="73"/>
      <c r="IE951" s="73"/>
      <c r="IF951" s="73"/>
      <c r="IG951" s="73"/>
      <c r="IH951" s="73"/>
      <c r="II951" s="73"/>
      <c r="IJ951" s="73"/>
      <c r="IK951" s="73"/>
      <c r="IL951" s="73"/>
      <c r="IM951" s="73"/>
      <c r="IN951" s="73"/>
      <c r="IO951" s="73"/>
      <c r="IP951" s="73"/>
      <c r="IQ951" s="73"/>
      <c r="IR951" s="73"/>
      <c r="IS951" s="73"/>
      <c r="IT951" s="73"/>
      <c r="IU951" s="73"/>
      <c r="IV951" s="73"/>
      <c r="IW951" s="73"/>
      <c r="IX951" s="73"/>
      <c r="IY951" s="73"/>
      <c r="IZ951" s="73"/>
      <c r="JA951" s="73"/>
      <c r="JB951" s="73"/>
      <c r="JC951" s="73"/>
    </row>
    <row r="952" spans="2:263" s="72" customFormat="1">
      <c r="B952" s="73"/>
      <c r="C952" s="73"/>
      <c r="D952" s="73"/>
      <c r="E952" s="73"/>
      <c r="F952" s="73"/>
      <c r="G952" s="73"/>
      <c r="H952" s="73"/>
      <c r="I952" s="73"/>
      <c r="J952" s="73"/>
      <c r="K952" s="73"/>
      <c r="L952" s="73"/>
      <c r="M952" s="73"/>
      <c r="N952" s="73"/>
      <c r="O952" s="73"/>
      <c r="P952" s="73"/>
      <c r="Q952" s="73"/>
      <c r="R952" s="73"/>
      <c r="S952" s="73"/>
      <c r="T952" s="73"/>
      <c r="U952" s="73"/>
      <c r="V952" s="73"/>
      <c r="W952" s="73"/>
      <c r="GL952" s="73"/>
      <c r="GM952" s="73"/>
      <c r="GN952" s="73"/>
      <c r="GO952" s="73"/>
      <c r="GP952" s="73"/>
      <c r="GQ952" s="73"/>
      <c r="GR952" s="73"/>
      <c r="GS952" s="73"/>
      <c r="GT952" s="73"/>
      <c r="GU952" s="73"/>
      <c r="GV952" s="73"/>
      <c r="GW952" s="73"/>
      <c r="GX952" s="73"/>
      <c r="GY952" s="73"/>
      <c r="GZ952" s="73"/>
      <c r="HA952" s="73"/>
      <c r="HB952" s="73"/>
      <c r="HC952" s="73"/>
      <c r="HD952" s="73"/>
      <c r="HE952" s="73"/>
      <c r="HF952" s="73"/>
      <c r="HG952" s="73"/>
      <c r="HH952" s="73"/>
      <c r="HI952" s="73"/>
      <c r="HJ952" s="73"/>
      <c r="HK952" s="73"/>
      <c r="HL952" s="73"/>
      <c r="HM952" s="73"/>
      <c r="HN952" s="73"/>
      <c r="HO952" s="73"/>
      <c r="HP952" s="73"/>
      <c r="HQ952" s="73"/>
      <c r="HR952" s="73"/>
      <c r="HS952" s="73"/>
      <c r="HT952" s="73"/>
      <c r="HU952" s="73"/>
      <c r="HV952" s="73"/>
      <c r="HW952" s="73"/>
      <c r="HX952" s="73"/>
      <c r="HY952" s="73"/>
      <c r="HZ952" s="73"/>
      <c r="IA952" s="73"/>
      <c r="IB952" s="73"/>
      <c r="IC952" s="73"/>
      <c r="ID952" s="73"/>
      <c r="IE952" s="73"/>
      <c r="IF952" s="73"/>
      <c r="IG952" s="73"/>
      <c r="IH952" s="73"/>
      <c r="II952" s="73"/>
      <c r="IJ952" s="73"/>
      <c r="IK952" s="73"/>
      <c r="IL952" s="73"/>
      <c r="IM952" s="73"/>
      <c r="IN952" s="73"/>
      <c r="IO952" s="73"/>
      <c r="IP952" s="73"/>
      <c r="IQ952" s="73"/>
      <c r="IR952" s="73"/>
      <c r="IS952" s="73"/>
      <c r="IT952" s="73"/>
      <c r="IU952" s="73"/>
      <c r="IV952" s="73"/>
      <c r="IW952" s="73"/>
      <c r="IX952" s="73"/>
      <c r="IY952" s="73"/>
      <c r="IZ952" s="73"/>
      <c r="JA952" s="73"/>
      <c r="JB952" s="73"/>
      <c r="JC952" s="73"/>
    </row>
    <row r="953" spans="2:263" s="72" customFormat="1">
      <c r="B953" s="73"/>
      <c r="C953" s="73"/>
      <c r="D953" s="73"/>
      <c r="E953" s="73"/>
      <c r="F953" s="73"/>
      <c r="G953" s="73"/>
      <c r="H953" s="73"/>
      <c r="I953" s="73"/>
      <c r="J953" s="73"/>
      <c r="K953" s="73"/>
      <c r="L953" s="73"/>
      <c r="M953" s="73"/>
      <c r="N953" s="73"/>
      <c r="O953" s="73"/>
      <c r="P953" s="73"/>
      <c r="Q953" s="73"/>
      <c r="R953" s="73"/>
      <c r="S953" s="73"/>
      <c r="T953" s="73"/>
      <c r="U953" s="73"/>
      <c r="V953" s="73"/>
      <c r="W953" s="73"/>
      <c r="GL953" s="73"/>
      <c r="GM953" s="73"/>
      <c r="GN953" s="73"/>
      <c r="GO953" s="73"/>
      <c r="GP953" s="73"/>
      <c r="GQ953" s="73"/>
      <c r="GR953" s="73"/>
      <c r="GS953" s="73"/>
      <c r="GT953" s="73"/>
      <c r="GU953" s="73"/>
      <c r="GV953" s="73"/>
      <c r="GW953" s="73"/>
      <c r="GX953" s="73"/>
      <c r="GY953" s="73"/>
      <c r="GZ953" s="73"/>
      <c r="HA953" s="73"/>
      <c r="HB953" s="73"/>
      <c r="HC953" s="73"/>
      <c r="HD953" s="73"/>
      <c r="HE953" s="73"/>
      <c r="HF953" s="73"/>
      <c r="HG953" s="73"/>
      <c r="HH953" s="73"/>
      <c r="HI953" s="73"/>
      <c r="HJ953" s="73"/>
      <c r="HK953" s="73"/>
      <c r="HL953" s="73"/>
      <c r="HM953" s="73"/>
      <c r="HN953" s="73"/>
      <c r="HO953" s="73"/>
      <c r="HP953" s="73"/>
      <c r="HQ953" s="73"/>
      <c r="HR953" s="73"/>
      <c r="HS953" s="73"/>
      <c r="HT953" s="73"/>
      <c r="HU953" s="73"/>
      <c r="HV953" s="73"/>
      <c r="HW953" s="73"/>
      <c r="HX953" s="73"/>
      <c r="HY953" s="73"/>
      <c r="HZ953" s="73"/>
      <c r="IA953" s="73"/>
      <c r="IB953" s="73"/>
      <c r="IC953" s="73"/>
      <c r="ID953" s="73"/>
      <c r="IE953" s="73"/>
      <c r="IF953" s="73"/>
      <c r="IG953" s="73"/>
      <c r="IH953" s="73"/>
      <c r="II953" s="73"/>
      <c r="IJ953" s="73"/>
      <c r="IK953" s="73"/>
      <c r="IL953" s="73"/>
      <c r="IM953" s="73"/>
      <c r="IN953" s="73"/>
      <c r="IO953" s="73"/>
      <c r="IP953" s="73"/>
      <c r="IQ953" s="73"/>
      <c r="IR953" s="73"/>
      <c r="IS953" s="73"/>
      <c r="IT953" s="73"/>
      <c r="IU953" s="73"/>
      <c r="IV953" s="73"/>
      <c r="IW953" s="73"/>
      <c r="IX953" s="73"/>
      <c r="IY953" s="73"/>
      <c r="IZ953" s="73"/>
      <c r="JA953" s="73"/>
      <c r="JB953" s="73"/>
      <c r="JC953" s="73"/>
    </row>
    <row r="954" spans="2:263" s="72" customFormat="1">
      <c r="B954" s="73"/>
      <c r="C954" s="73"/>
      <c r="D954" s="73"/>
      <c r="E954" s="73"/>
      <c r="F954" s="73"/>
      <c r="G954" s="73"/>
      <c r="H954" s="73"/>
      <c r="I954" s="73"/>
      <c r="J954" s="73"/>
      <c r="K954" s="73"/>
      <c r="L954" s="73"/>
      <c r="M954" s="73"/>
      <c r="N954" s="73"/>
      <c r="O954" s="73"/>
      <c r="P954" s="73"/>
      <c r="Q954" s="73"/>
      <c r="R954" s="73"/>
      <c r="S954" s="73"/>
      <c r="T954" s="73"/>
      <c r="U954" s="73"/>
      <c r="V954" s="73"/>
      <c r="W954" s="73"/>
      <c r="GL954" s="73"/>
      <c r="GM954" s="73"/>
      <c r="GN954" s="73"/>
      <c r="GO954" s="73"/>
      <c r="GP954" s="73"/>
      <c r="GQ954" s="73"/>
      <c r="GR954" s="73"/>
      <c r="GS954" s="73"/>
      <c r="GT954" s="73"/>
      <c r="GU954" s="73"/>
      <c r="GV954" s="73"/>
      <c r="GW954" s="73"/>
      <c r="GX954" s="73"/>
      <c r="GY954" s="73"/>
      <c r="GZ954" s="73"/>
      <c r="HA954" s="73"/>
      <c r="HB954" s="73"/>
      <c r="HC954" s="73"/>
      <c r="HD954" s="73"/>
      <c r="HE954" s="73"/>
      <c r="HF954" s="73"/>
      <c r="HG954" s="73"/>
      <c r="HH954" s="73"/>
      <c r="HI954" s="73"/>
      <c r="HJ954" s="73"/>
      <c r="HK954" s="73"/>
      <c r="HL954" s="73"/>
      <c r="HM954" s="73"/>
      <c r="HN954" s="73"/>
      <c r="HO954" s="73"/>
      <c r="HP954" s="73"/>
      <c r="HQ954" s="73"/>
      <c r="HR954" s="73"/>
      <c r="HS954" s="73"/>
      <c r="HT954" s="73"/>
      <c r="HU954" s="73"/>
      <c r="HV954" s="73"/>
      <c r="HW954" s="73"/>
      <c r="HX954" s="73"/>
      <c r="HY954" s="73"/>
      <c r="HZ954" s="73"/>
      <c r="IA954" s="73"/>
      <c r="IB954" s="73"/>
      <c r="IC954" s="73"/>
      <c r="ID954" s="73"/>
      <c r="IE954" s="73"/>
      <c r="IF954" s="73"/>
      <c r="IG954" s="73"/>
      <c r="IH954" s="73"/>
      <c r="II954" s="73"/>
      <c r="IJ954" s="73"/>
      <c r="IK954" s="73"/>
      <c r="IL954" s="73"/>
      <c r="IM954" s="73"/>
      <c r="IN954" s="73"/>
      <c r="IO954" s="73"/>
      <c r="IP954" s="73"/>
      <c r="IQ954" s="73"/>
      <c r="IR954" s="73"/>
      <c r="IS954" s="73"/>
      <c r="IT954" s="73"/>
      <c r="IU954" s="73"/>
      <c r="IV954" s="73"/>
      <c r="IW954" s="73"/>
      <c r="IX954" s="73"/>
      <c r="IY954" s="73"/>
      <c r="IZ954" s="73"/>
      <c r="JA954" s="73"/>
      <c r="JB954" s="73"/>
      <c r="JC954" s="73"/>
    </row>
    <row r="955" spans="2:263" s="72" customFormat="1">
      <c r="B955" s="73"/>
      <c r="C955" s="73"/>
      <c r="D955" s="73"/>
      <c r="E955" s="73"/>
      <c r="F955" s="73"/>
      <c r="G955" s="73"/>
      <c r="H955" s="73"/>
      <c r="I955" s="73"/>
      <c r="J955" s="73"/>
      <c r="K955" s="73"/>
      <c r="L955" s="73"/>
      <c r="M955" s="73"/>
      <c r="N955" s="73"/>
      <c r="O955" s="73"/>
      <c r="P955" s="73"/>
      <c r="Q955" s="73"/>
      <c r="R955" s="73"/>
      <c r="S955" s="73"/>
      <c r="T955" s="73"/>
      <c r="U955" s="73"/>
      <c r="V955" s="73"/>
      <c r="W955" s="73"/>
      <c r="GL955" s="73"/>
      <c r="GM955" s="73"/>
      <c r="GN955" s="73"/>
      <c r="GO955" s="73"/>
      <c r="GP955" s="73"/>
      <c r="GQ955" s="73"/>
      <c r="GR955" s="73"/>
      <c r="GS955" s="73"/>
      <c r="GT955" s="73"/>
      <c r="GU955" s="73"/>
      <c r="GV955" s="73"/>
      <c r="GW955" s="73"/>
      <c r="GX955" s="73"/>
      <c r="GY955" s="73"/>
      <c r="GZ955" s="73"/>
      <c r="HA955" s="73"/>
      <c r="HB955" s="73"/>
      <c r="HC955" s="73"/>
      <c r="HD955" s="73"/>
      <c r="HE955" s="73"/>
      <c r="HF955" s="73"/>
      <c r="HG955" s="73"/>
      <c r="HH955" s="73"/>
      <c r="HI955" s="73"/>
      <c r="HJ955" s="73"/>
      <c r="HK955" s="73"/>
      <c r="HL955" s="73"/>
      <c r="HM955" s="73"/>
      <c r="HN955" s="73"/>
      <c r="HO955" s="73"/>
      <c r="HP955" s="73"/>
      <c r="HQ955" s="73"/>
      <c r="HR955" s="73"/>
      <c r="HS955" s="73"/>
      <c r="HT955" s="73"/>
      <c r="HU955" s="73"/>
      <c r="HV955" s="73"/>
      <c r="HW955" s="73"/>
      <c r="HX955" s="73"/>
      <c r="HY955" s="73"/>
      <c r="HZ955" s="73"/>
      <c r="IA955" s="73"/>
      <c r="IB955" s="73"/>
      <c r="IC955" s="73"/>
      <c r="ID955" s="73"/>
      <c r="IE955" s="73"/>
      <c r="IF955" s="73"/>
      <c r="IG955" s="73"/>
      <c r="IH955" s="73"/>
      <c r="II955" s="73"/>
      <c r="IJ955" s="73"/>
      <c r="IK955" s="73"/>
      <c r="IL955" s="73"/>
      <c r="IM955" s="73"/>
      <c r="IN955" s="73"/>
      <c r="IO955" s="73"/>
      <c r="IP955" s="73"/>
      <c r="IQ955" s="73"/>
      <c r="IR955" s="73"/>
      <c r="IS955" s="73"/>
      <c r="IT955" s="73"/>
      <c r="IU955" s="73"/>
      <c r="IV955" s="73"/>
      <c r="IW955" s="73"/>
      <c r="IX955" s="73"/>
      <c r="IY955" s="73"/>
      <c r="IZ955" s="73"/>
      <c r="JA955" s="73"/>
      <c r="JB955" s="73"/>
      <c r="JC955" s="73"/>
    </row>
    <row r="956" spans="2:263" s="72" customFormat="1">
      <c r="B956" s="73"/>
      <c r="C956" s="73"/>
      <c r="D956" s="73"/>
      <c r="E956" s="73"/>
      <c r="F956" s="73"/>
      <c r="G956" s="73"/>
      <c r="H956" s="73"/>
      <c r="I956" s="73"/>
      <c r="J956" s="73"/>
      <c r="K956" s="73"/>
      <c r="L956" s="73"/>
      <c r="M956" s="73"/>
      <c r="N956" s="73"/>
      <c r="O956" s="73"/>
      <c r="P956" s="73"/>
      <c r="Q956" s="73"/>
      <c r="R956" s="73"/>
      <c r="S956" s="73"/>
      <c r="T956" s="73"/>
      <c r="U956" s="73"/>
      <c r="V956" s="73"/>
      <c r="W956" s="73"/>
      <c r="GL956" s="73"/>
      <c r="GM956" s="73"/>
      <c r="GN956" s="73"/>
      <c r="GO956" s="73"/>
      <c r="GP956" s="73"/>
      <c r="GQ956" s="73"/>
      <c r="GR956" s="73"/>
      <c r="GS956" s="73"/>
      <c r="GT956" s="73"/>
      <c r="GU956" s="73"/>
      <c r="GV956" s="73"/>
      <c r="GW956" s="73"/>
      <c r="GX956" s="73"/>
      <c r="GY956" s="73"/>
      <c r="GZ956" s="73"/>
      <c r="HA956" s="73"/>
      <c r="HB956" s="73"/>
      <c r="HC956" s="73"/>
      <c r="HD956" s="73"/>
      <c r="HE956" s="73"/>
      <c r="HF956" s="73"/>
      <c r="HG956" s="73"/>
      <c r="HH956" s="73"/>
      <c r="HI956" s="73"/>
      <c r="HJ956" s="73"/>
      <c r="HK956" s="73"/>
      <c r="HL956" s="73"/>
      <c r="HM956" s="73"/>
      <c r="HN956" s="73"/>
      <c r="HO956" s="73"/>
      <c r="HP956" s="73"/>
      <c r="HQ956" s="73"/>
      <c r="HR956" s="73"/>
      <c r="HS956" s="73"/>
      <c r="HT956" s="73"/>
      <c r="HU956" s="73"/>
      <c r="HV956" s="73"/>
      <c r="HW956" s="73"/>
      <c r="HX956" s="73"/>
      <c r="HY956" s="73"/>
      <c r="HZ956" s="73"/>
      <c r="IA956" s="73"/>
      <c r="IB956" s="73"/>
      <c r="IC956" s="73"/>
      <c r="ID956" s="73"/>
      <c r="IE956" s="73"/>
      <c r="IF956" s="73"/>
      <c r="IG956" s="73"/>
      <c r="IH956" s="73"/>
      <c r="II956" s="73"/>
      <c r="IJ956" s="73"/>
      <c r="IK956" s="73"/>
      <c r="IL956" s="73"/>
      <c r="IM956" s="73"/>
      <c r="IN956" s="73"/>
      <c r="IO956" s="73"/>
      <c r="IP956" s="73"/>
      <c r="IQ956" s="73"/>
      <c r="IR956" s="73"/>
      <c r="IS956" s="73"/>
      <c r="IT956" s="73"/>
      <c r="IU956" s="73"/>
      <c r="IV956" s="73"/>
      <c r="IW956" s="73"/>
      <c r="IX956" s="73"/>
      <c r="IY956" s="73"/>
      <c r="IZ956" s="73"/>
      <c r="JA956" s="73"/>
      <c r="JB956" s="73"/>
      <c r="JC956" s="73"/>
    </row>
    <row r="957" spans="2:263" s="72" customFormat="1">
      <c r="B957" s="73"/>
      <c r="C957" s="73"/>
      <c r="D957" s="73"/>
      <c r="E957" s="73"/>
      <c r="F957" s="73"/>
      <c r="G957" s="73"/>
      <c r="H957" s="73"/>
      <c r="I957" s="73"/>
      <c r="J957" s="73"/>
      <c r="K957" s="73"/>
      <c r="L957" s="73"/>
      <c r="M957" s="73"/>
      <c r="N957" s="73"/>
      <c r="O957" s="73"/>
      <c r="P957" s="73"/>
      <c r="Q957" s="73"/>
      <c r="R957" s="73"/>
      <c r="S957" s="73"/>
      <c r="T957" s="73"/>
      <c r="U957" s="73"/>
      <c r="V957" s="73"/>
      <c r="W957" s="73"/>
      <c r="GL957" s="73"/>
      <c r="GM957" s="73"/>
      <c r="GN957" s="73"/>
      <c r="GO957" s="73"/>
      <c r="GP957" s="73"/>
      <c r="GQ957" s="73"/>
      <c r="GR957" s="73"/>
      <c r="GS957" s="73"/>
      <c r="GT957" s="73"/>
      <c r="GU957" s="73"/>
      <c r="GV957" s="73"/>
      <c r="GW957" s="73"/>
      <c r="GX957" s="73"/>
      <c r="GY957" s="73"/>
      <c r="GZ957" s="73"/>
      <c r="HA957" s="73"/>
      <c r="HB957" s="73"/>
      <c r="HC957" s="73"/>
      <c r="HD957" s="73"/>
      <c r="HE957" s="73"/>
      <c r="HF957" s="73"/>
      <c r="HG957" s="73"/>
      <c r="HH957" s="73"/>
      <c r="HI957" s="73"/>
      <c r="HJ957" s="73"/>
      <c r="HK957" s="73"/>
      <c r="HL957" s="73"/>
      <c r="HM957" s="73"/>
      <c r="HN957" s="73"/>
      <c r="HO957" s="73"/>
      <c r="HP957" s="73"/>
      <c r="HQ957" s="73"/>
      <c r="HR957" s="73"/>
      <c r="HS957" s="73"/>
      <c r="HT957" s="73"/>
      <c r="HU957" s="73"/>
      <c r="HV957" s="73"/>
      <c r="HW957" s="73"/>
      <c r="HX957" s="73"/>
      <c r="HY957" s="73"/>
      <c r="HZ957" s="73"/>
      <c r="IA957" s="73"/>
      <c r="IB957" s="73"/>
      <c r="IC957" s="73"/>
      <c r="ID957" s="73"/>
      <c r="IE957" s="73"/>
      <c r="IF957" s="73"/>
      <c r="IG957" s="73"/>
      <c r="IH957" s="73"/>
      <c r="II957" s="73"/>
      <c r="IJ957" s="73"/>
      <c r="IK957" s="73"/>
      <c r="IL957" s="73"/>
      <c r="IM957" s="73"/>
      <c r="IN957" s="73"/>
      <c r="IO957" s="73"/>
      <c r="IP957" s="73"/>
      <c r="IQ957" s="73"/>
      <c r="IR957" s="73"/>
      <c r="IS957" s="73"/>
      <c r="IT957" s="73"/>
      <c r="IU957" s="73"/>
      <c r="IV957" s="73"/>
      <c r="IW957" s="73"/>
      <c r="IX957" s="73"/>
      <c r="IY957" s="73"/>
      <c r="IZ957" s="73"/>
      <c r="JA957" s="73"/>
      <c r="JB957" s="73"/>
      <c r="JC957" s="73"/>
    </row>
    <row r="958" spans="2:263" s="72" customFormat="1">
      <c r="B958" s="73"/>
      <c r="C958" s="73"/>
      <c r="D958" s="73"/>
      <c r="E958" s="73"/>
      <c r="F958" s="73"/>
      <c r="G958" s="73"/>
      <c r="H958" s="73"/>
      <c r="I958" s="73"/>
      <c r="J958" s="73"/>
      <c r="K958" s="73"/>
      <c r="L958" s="73"/>
      <c r="M958" s="73"/>
      <c r="N958" s="73"/>
      <c r="O958" s="73"/>
      <c r="P958" s="73"/>
      <c r="Q958" s="73"/>
      <c r="R958" s="73"/>
      <c r="S958" s="73"/>
      <c r="T958" s="73"/>
      <c r="U958" s="73"/>
      <c r="V958" s="73"/>
      <c r="W958" s="73"/>
      <c r="GL958" s="73"/>
      <c r="GM958" s="73"/>
      <c r="GN958" s="73"/>
      <c r="GO958" s="73"/>
      <c r="GP958" s="73"/>
      <c r="GQ958" s="73"/>
      <c r="GR958" s="73"/>
      <c r="GS958" s="73"/>
      <c r="GT958" s="73"/>
      <c r="GU958" s="73"/>
      <c r="GV958" s="73"/>
      <c r="GW958" s="73"/>
      <c r="GX958" s="73"/>
      <c r="GY958" s="73"/>
      <c r="GZ958" s="73"/>
      <c r="HA958" s="73"/>
      <c r="HB958" s="73"/>
      <c r="HC958" s="73"/>
      <c r="HD958" s="73"/>
      <c r="HE958" s="73"/>
      <c r="HF958" s="73"/>
      <c r="HG958" s="73"/>
      <c r="HH958" s="73"/>
      <c r="HI958" s="73"/>
      <c r="HJ958" s="73"/>
      <c r="HK958" s="73"/>
      <c r="HL958" s="73"/>
      <c r="HM958" s="73"/>
      <c r="HN958" s="73"/>
      <c r="HO958" s="73"/>
      <c r="HP958" s="73"/>
      <c r="HQ958" s="73"/>
      <c r="HR958" s="73"/>
      <c r="HS958" s="73"/>
      <c r="HT958" s="73"/>
      <c r="HU958" s="73"/>
      <c r="HV958" s="73"/>
      <c r="HW958" s="73"/>
      <c r="HX958" s="73"/>
      <c r="HY958" s="73"/>
      <c r="HZ958" s="73"/>
      <c r="IA958" s="73"/>
      <c r="IB958" s="73"/>
      <c r="IC958" s="73"/>
      <c r="ID958" s="73"/>
      <c r="IE958" s="73"/>
      <c r="IF958" s="73"/>
      <c r="IG958" s="73"/>
      <c r="IH958" s="73"/>
      <c r="II958" s="73"/>
      <c r="IJ958" s="73"/>
      <c r="IK958" s="73"/>
      <c r="IL958" s="73"/>
      <c r="IM958" s="73"/>
      <c r="IN958" s="73"/>
      <c r="IO958" s="73"/>
      <c r="IP958" s="73"/>
      <c r="IQ958" s="73"/>
      <c r="IR958" s="73"/>
      <c r="IS958" s="73"/>
      <c r="IT958" s="73"/>
      <c r="IU958" s="73"/>
      <c r="IV958" s="73"/>
      <c r="IW958" s="73"/>
      <c r="IX958" s="73"/>
      <c r="IY958" s="73"/>
      <c r="IZ958" s="73"/>
      <c r="JA958" s="73"/>
      <c r="JB958" s="73"/>
      <c r="JC958" s="73"/>
    </row>
    <row r="959" spans="2:263" s="72" customFormat="1">
      <c r="B959" s="73"/>
      <c r="C959" s="73"/>
      <c r="D959" s="73"/>
      <c r="E959" s="73"/>
      <c r="F959" s="73"/>
      <c r="G959" s="73"/>
      <c r="H959" s="73"/>
      <c r="I959" s="73"/>
      <c r="J959" s="73"/>
      <c r="K959" s="73"/>
      <c r="L959" s="73"/>
      <c r="M959" s="73"/>
      <c r="N959" s="73"/>
      <c r="O959" s="73"/>
      <c r="P959" s="73"/>
      <c r="Q959" s="73"/>
      <c r="R959" s="73"/>
      <c r="S959" s="73"/>
      <c r="T959" s="73"/>
      <c r="U959" s="73"/>
      <c r="V959" s="73"/>
      <c r="W959" s="73"/>
      <c r="GL959" s="73"/>
      <c r="GM959" s="73"/>
      <c r="GN959" s="73"/>
      <c r="GO959" s="73"/>
      <c r="GP959" s="73"/>
      <c r="GQ959" s="73"/>
      <c r="GR959" s="73"/>
      <c r="GS959" s="73"/>
      <c r="GT959" s="73"/>
      <c r="GU959" s="73"/>
      <c r="GV959" s="73"/>
      <c r="GW959" s="73"/>
      <c r="GX959" s="73"/>
      <c r="GY959" s="73"/>
      <c r="GZ959" s="73"/>
      <c r="HA959" s="73"/>
      <c r="HB959" s="73"/>
      <c r="HC959" s="73"/>
      <c r="HD959" s="73"/>
      <c r="HE959" s="73"/>
      <c r="HF959" s="73"/>
      <c r="HG959" s="73"/>
      <c r="HH959" s="73"/>
      <c r="HI959" s="73"/>
      <c r="HJ959" s="73"/>
      <c r="HK959" s="73"/>
      <c r="HL959" s="73"/>
      <c r="HM959" s="73"/>
      <c r="HN959" s="73"/>
      <c r="HO959" s="73"/>
      <c r="HP959" s="73"/>
      <c r="HQ959" s="73"/>
      <c r="HR959" s="73"/>
      <c r="HS959" s="73"/>
      <c r="HT959" s="73"/>
      <c r="HU959" s="73"/>
      <c r="HV959" s="73"/>
      <c r="HW959" s="73"/>
      <c r="HX959" s="73"/>
      <c r="HY959" s="73"/>
      <c r="HZ959" s="73"/>
      <c r="IA959" s="73"/>
      <c r="IB959" s="73"/>
      <c r="IC959" s="73"/>
      <c r="ID959" s="73"/>
      <c r="IE959" s="73"/>
      <c r="IF959" s="73"/>
      <c r="IG959" s="73"/>
      <c r="IH959" s="73"/>
      <c r="II959" s="73"/>
      <c r="IJ959" s="73"/>
      <c r="IK959" s="73"/>
      <c r="IL959" s="73"/>
      <c r="IM959" s="73"/>
      <c r="IN959" s="73"/>
      <c r="IO959" s="73"/>
      <c r="IP959" s="73"/>
      <c r="IQ959" s="73"/>
      <c r="IR959" s="73"/>
      <c r="IS959" s="73"/>
      <c r="IT959" s="73"/>
      <c r="IU959" s="73"/>
      <c r="IV959" s="73"/>
      <c r="IW959" s="73"/>
      <c r="IX959" s="73"/>
      <c r="IY959" s="73"/>
      <c r="IZ959" s="73"/>
      <c r="JA959" s="73"/>
      <c r="JB959" s="73"/>
      <c r="JC959" s="73"/>
    </row>
    <row r="960" spans="2:263" s="72" customFormat="1">
      <c r="B960" s="73"/>
      <c r="C960" s="73"/>
      <c r="D960" s="73"/>
      <c r="E960" s="73"/>
      <c r="F960" s="73"/>
      <c r="G960" s="73"/>
      <c r="H960" s="73"/>
      <c r="I960" s="73"/>
      <c r="J960" s="73"/>
      <c r="K960" s="73"/>
      <c r="L960" s="73"/>
      <c r="M960" s="73"/>
      <c r="N960" s="73"/>
      <c r="O960" s="73"/>
      <c r="P960" s="73"/>
      <c r="Q960" s="73"/>
      <c r="R960" s="73"/>
      <c r="S960" s="73"/>
      <c r="T960" s="73"/>
      <c r="U960" s="73"/>
      <c r="V960" s="73"/>
      <c r="W960" s="73"/>
      <c r="GL960" s="73"/>
      <c r="GM960" s="73"/>
      <c r="GN960" s="73"/>
      <c r="GO960" s="73"/>
      <c r="GP960" s="73"/>
      <c r="GQ960" s="73"/>
      <c r="GR960" s="73"/>
      <c r="GS960" s="73"/>
      <c r="GT960" s="73"/>
      <c r="GU960" s="73"/>
      <c r="GV960" s="73"/>
      <c r="GW960" s="73"/>
      <c r="GX960" s="73"/>
      <c r="GY960" s="73"/>
      <c r="GZ960" s="73"/>
      <c r="HA960" s="73"/>
      <c r="HB960" s="73"/>
      <c r="HC960" s="73"/>
      <c r="HD960" s="73"/>
      <c r="HE960" s="73"/>
      <c r="HF960" s="73"/>
      <c r="HG960" s="73"/>
      <c r="HH960" s="73"/>
      <c r="HI960" s="73"/>
      <c r="HJ960" s="73"/>
      <c r="HK960" s="73"/>
      <c r="HL960" s="73"/>
      <c r="HM960" s="73"/>
      <c r="HN960" s="73"/>
      <c r="HO960" s="73"/>
      <c r="HP960" s="73"/>
      <c r="HQ960" s="73"/>
      <c r="HR960" s="73"/>
      <c r="HS960" s="73"/>
      <c r="HT960" s="73"/>
      <c r="HU960" s="73"/>
      <c r="HV960" s="73"/>
      <c r="HW960" s="73"/>
      <c r="HX960" s="73"/>
      <c r="HY960" s="73"/>
      <c r="HZ960" s="73"/>
      <c r="IA960" s="73"/>
      <c r="IB960" s="73"/>
      <c r="IC960" s="73"/>
      <c r="ID960" s="73"/>
      <c r="IE960" s="73"/>
      <c r="IF960" s="73"/>
      <c r="IG960" s="73"/>
      <c r="IH960" s="73"/>
      <c r="II960" s="73"/>
      <c r="IJ960" s="73"/>
      <c r="IK960" s="73"/>
      <c r="IL960" s="73"/>
      <c r="IM960" s="73"/>
      <c r="IN960" s="73"/>
      <c r="IO960" s="73"/>
      <c r="IP960" s="73"/>
      <c r="IQ960" s="73"/>
      <c r="IR960" s="73"/>
      <c r="IS960" s="73"/>
      <c r="IT960" s="73"/>
      <c r="IU960" s="73"/>
      <c r="IV960" s="73"/>
      <c r="IW960" s="73"/>
      <c r="IX960" s="73"/>
      <c r="IY960" s="73"/>
      <c r="IZ960" s="73"/>
      <c r="JA960" s="73"/>
      <c r="JB960" s="73"/>
      <c r="JC960" s="73"/>
    </row>
    <row r="961" spans="2:263" s="72" customFormat="1">
      <c r="B961" s="73"/>
      <c r="C961" s="73"/>
      <c r="D961" s="73"/>
      <c r="E961" s="73"/>
      <c r="F961" s="73"/>
      <c r="G961" s="73"/>
      <c r="H961" s="73"/>
      <c r="I961" s="73"/>
      <c r="J961" s="73"/>
      <c r="K961" s="73"/>
      <c r="L961" s="73"/>
      <c r="M961" s="73"/>
      <c r="N961" s="73"/>
      <c r="O961" s="73"/>
      <c r="P961" s="73"/>
      <c r="Q961" s="73"/>
      <c r="R961" s="73"/>
      <c r="S961" s="73"/>
      <c r="T961" s="73"/>
      <c r="U961" s="73"/>
      <c r="V961" s="73"/>
      <c r="W961" s="73"/>
      <c r="GL961" s="73"/>
      <c r="GM961" s="73"/>
      <c r="GN961" s="73"/>
      <c r="GO961" s="73"/>
      <c r="GP961" s="73"/>
      <c r="GQ961" s="73"/>
      <c r="GR961" s="73"/>
      <c r="GS961" s="73"/>
      <c r="GT961" s="73"/>
      <c r="GU961" s="73"/>
      <c r="GV961" s="73"/>
      <c r="GW961" s="73"/>
      <c r="GX961" s="73"/>
      <c r="GY961" s="73"/>
      <c r="GZ961" s="73"/>
      <c r="HA961" s="73"/>
      <c r="HB961" s="73"/>
      <c r="HC961" s="73"/>
      <c r="HD961" s="73"/>
      <c r="HE961" s="73"/>
      <c r="HF961" s="73"/>
      <c r="HG961" s="73"/>
      <c r="HH961" s="73"/>
      <c r="HI961" s="73"/>
      <c r="HJ961" s="73"/>
      <c r="HK961" s="73"/>
      <c r="HL961" s="73"/>
      <c r="HM961" s="73"/>
      <c r="HN961" s="73"/>
      <c r="HO961" s="73"/>
      <c r="HP961" s="73"/>
      <c r="HQ961" s="73"/>
      <c r="HR961" s="73"/>
      <c r="HS961" s="73"/>
      <c r="HT961" s="73"/>
      <c r="HU961" s="73"/>
      <c r="HV961" s="73"/>
      <c r="HW961" s="73"/>
      <c r="HX961" s="73"/>
      <c r="HY961" s="73"/>
      <c r="HZ961" s="73"/>
      <c r="IA961" s="73"/>
      <c r="IB961" s="73"/>
      <c r="IC961" s="73"/>
      <c r="ID961" s="73"/>
      <c r="IE961" s="73"/>
      <c r="IF961" s="73"/>
      <c r="IG961" s="73"/>
      <c r="IH961" s="73"/>
      <c r="II961" s="73"/>
      <c r="IJ961" s="73"/>
      <c r="IK961" s="73"/>
      <c r="IL961" s="73"/>
      <c r="IM961" s="73"/>
      <c r="IN961" s="73"/>
      <c r="IO961" s="73"/>
      <c r="IP961" s="73"/>
      <c r="IQ961" s="73"/>
      <c r="IR961" s="73"/>
      <c r="IS961" s="73"/>
      <c r="IT961" s="73"/>
      <c r="IU961" s="73"/>
      <c r="IV961" s="73"/>
      <c r="IW961" s="73"/>
      <c r="IX961" s="73"/>
      <c r="IY961" s="73"/>
      <c r="IZ961" s="73"/>
      <c r="JA961" s="73"/>
      <c r="JB961" s="73"/>
      <c r="JC961" s="73"/>
    </row>
    <row r="962" spans="2:263" s="72" customFormat="1">
      <c r="B962" s="73"/>
      <c r="C962" s="73"/>
      <c r="D962" s="73"/>
      <c r="E962" s="73"/>
      <c r="F962" s="73"/>
      <c r="G962" s="73"/>
      <c r="H962" s="73"/>
      <c r="I962" s="73"/>
      <c r="J962" s="73"/>
      <c r="K962" s="73"/>
      <c r="L962" s="73"/>
      <c r="M962" s="73"/>
      <c r="N962" s="73"/>
      <c r="O962" s="73"/>
      <c r="P962" s="73"/>
      <c r="Q962" s="73"/>
      <c r="R962" s="73"/>
      <c r="S962" s="73"/>
      <c r="T962" s="73"/>
      <c r="U962" s="73"/>
      <c r="V962" s="73"/>
      <c r="W962" s="73"/>
      <c r="GL962" s="73"/>
      <c r="GM962" s="73"/>
      <c r="GN962" s="73"/>
      <c r="GO962" s="73"/>
      <c r="GP962" s="73"/>
      <c r="GQ962" s="73"/>
      <c r="GR962" s="73"/>
      <c r="GS962" s="73"/>
      <c r="GT962" s="73"/>
      <c r="GU962" s="73"/>
      <c r="GV962" s="73"/>
      <c r="GW962" s="73"/>
      <c r="GX962" s="73"/>
      <c r="GY962" s="73"/>
      <c r="GZ962" s="73"/>
      <c r="HA962" s="73"/>
      <c r="HB962" s="73"/>
      <c r="HC962" s="73"/>
      <c r="HD962" s="73"/>
      <c r="HE962" s="73"/>
      <c r="HF962" s="73"/>
      <c r="HG962" s="73"/>
      <c r="HH962" s="73"/>
      <c r="HI962" s="73"/>
      <c r="HJ962" s="73"/>
      <c r="HK962" s="73"/>
      <c r="HL962" s="73"/>
      <c r="HM962" s="73"/>
      <c r="HN962" s="73"/>
      <c r="HO962" s="73"/>
      <c r="HP962" s="73"/>
      <c r="HQ962" s="73"/>
      <c r="HR962" s="73"/>
      <c r="HS962" s="73"/>
      <c r="HT962" s="73"/>
      <c r="HU962" s="73"/>
      <c r="HV962" s="73"/>
      <c r="HW962" s="73"/>
      <c r="HX962" s="73"/>
      <c r="HY962" s="73"/>
      <c r="HZ962" s="73"/>
      <c r="IA962" s="73"/>
      <c r="IB962" s="73"/>
      <c r="IC962" s="73"/>
      <c r="ID962" s="73"/>
      <c r="IE962" s="73"/>
      <c r="IF962" s="73"/>
      <c r="IG962" s="73"/>
      <c r="IH962" s="73"/>
      <c r="II962" s="73"/>
      <c r="IJ962" s="73"/>
      <c r="IK962" s="73"/>
      <c r="IL962" s="73"/>
      <c r="IM962" s="73"/>
      <c r="IN962" s="73"/>
      <c r="IO962" s="73"/>
      <c r="IP962" s="73"/>
      <c r="IQ962" s="73"/>
      <c r="IR962" s="73"/>
      <c r="IS962" s="73"/>
      <c r="IT962" s="73"/>
      <c r="IU962" s="73"/>
      <c r="IV962" s="73"/>
      <c r="IW962" s="73"/>
      <c r="IX962" s="73"/>
      <c r="IY962" s="73"/>
      <c r="IZ962" s="73"/>
      <c r="JA962" s="73"/>
      <c r="JB962" s="73"/>
      <c r="JC962" s="73"/>
    </row>
    <row r="963" spans="2:263" s="72" customFormat="1">
      <c r="B963" s="73"/>
      <c r="C963" s="73"/>
      <c r="D963" s="73"/>
      <c r="E963" s="73"/>
      <c r="F963" s="73"/>
      <c r="G963" s="73"/>
      <c r="H963" s="73"/>
      <c r="I963" s="73"/>
      <c r="J963" s="73"/>
      <c r="K963" s="73"/>
      <c r="L963" s="73"/>
      <c r="M963" s="73"/>
      <c r="N963" s="73"/>
      <c r="O963" s="73"/>
      <c r="P963" s="73"/>
      <c r="Q963" s="73"/>
      <c r="R963" s="73"/>
      <c r="S963" s="73"/>
      <c r="T963" s="73"/>
      <c r="U963" s="73"/>
      <c r="V963" s="73"/>
      <c r="W963" s="73"/>
      <c r="GL963" s="73"/>
      <c r="GM963" s="73"/>
      <c r="GN963" s="73"/>
      <c r="GO963" s="73"/>
      <c r="GP963" s="73"/>
      <c r="GQ963" s="73"/>
      <c r="GR963" s="73"/>
      <c r="GS963" s="73"/>
      <c r="GT963" s="73"/>
      <c r="GU963" s="73"/>
      <c r="GV963" s="73"/>
      <c r="GW963" s="73"/>
      <c r="GX963" s="73"/>
      <c r="GY963" s="73"/>
      <c r="GZ963" s="73"/>
      <c r="HA963" s="73"/>
      <c r="HB963" s="73"/>
      <c r="HC963" s="73"/>
      <c r="HD963" s="73"/>
      <c r="HE963" s="73"/>
      <c r="HF963" s="73"/>
      <c r="HG963" s="73"/>
      <c r="HH963" s="73"/>
      <c r="HI963" s="73"/>
      <c r="HJ963" s="73"/>
      <c r="HK963" s="73"/>
      <c r="HL963" s="73"/>
      <c r="HM963" s="73"/>
      <c r="HN963" s="73"/>
      <c r="HO963" s="73"/>
      <c r="HP963" s="73"/>
      <c r="HQ963" s="73"/>
      <c r="HR963" s="73"/>
      <c r="HS963" s="73"/>
      <c r="HT963" s="73"/>
      <c r="HU963" s="73"/>
      <c r="HV963" s="73"/>
      <c r="HW963" s="73"/>
      <c r="HX963" s="73"/>
      <c r="HY963" s="73"/>
      <c r="HZ963" s="73"/>
      <c r="IA963" s="73"/>
      <c r="IB963" s="73"/>
      <c r="IC963" s="73"/>
      <c r="ID963" s="73"/>
      <c r="IE963" s="73"/>
      <c r="IF963" s="73"/>
      <c r="IG963" s="73"/>
      <c r="IH963" s="73"/>
      <c r="II963" s="73"/>
      <c r="IJ963" s="73"/>
      <c r="IK963" s="73"/>
      <c r="IL963" s="73"/>
      <c r="IM963" s="73"/>
      <c r="IN963" s="73"/>
      <c r="IO963" s="73"/>
      <c r="IP963" s="73"/>
      <c r="IQ963" s="73"/>
      <c r="IR963" s="73"/>
      <c r="IS963" s="73"/>
      <c r="IT963" s="73"/>
      <c r="IU963" s="73"/>
      <c r="IV963" s="73"/>
      <c r="IW963" s="73"/>
      <c r="IX963" s="73"/>
      <c r="IY963" s="73"/>
      <c r="IZ963" s="73"/>
      <c r="JA963" s="73"/>
      <c r="JB963" s="73"/>
      <c r="JC963" s="73"/>
    </row>
    <row r="964" spans="2:263" s="72" customFormat="1">
      <c r="B964" s="73"/>
      <c r="C964" s="73"/>
      <c r="D964" s="73"/>
      <c r="E964" s="73"/>
      <c r="F964" s="73"/>
      <c r="G964" s="73"/>
      <c r="H964" s="73"/>
      <c r="I964" s="73"/>
      <c r="J964" s="73"/>
      <c r="K964" s="73"/>
      <c r="L964" s="73"/>
      <c r="M964" s="73"/>
      <c r="N964" s="73"/>
      <c r="O964" s="73"/>
      <c r="P964" s="73"/>
      <c r="Q964" s="73"/>
      <c r="R964" s="73"/>
      <c r="S964" s="73"/>
      <c r="T964" s="73"/>
      <c r="U964" s="73"/>
      <c r="V964" s="73"/>
      <c r="W964" s="73"/>
      <c r="GL964" s="73"/>
      <c r="GM964" s="73"/>
      <c r="GN964" s="73"/>
      <c r="GO964" s="73"/>
      <c r="GP964" s="73"/>
      <c r="GQ964" s="73"/>
      <c r="GR964" s="73"/>
      <c r="GS964" s="73"/>
      <c r="GT964" s="73"/>
      <c r="GU964" s="73"/>
      <c r="GV964" s="73"/>
      <c r="GW964" s="73"/>
      <c r="GX964" s="73"/>
      <c r="GY964" s="73"/>
      <c r="GZ964" s="73"/>
      <c r="HA964" s="73"/>
      <c r="HB964" s="73"/>
      <c r="HC964" s="73"/>
      <c r="HD964" s="73"/>
      <c r="HE964" s="73"/>
      <c r="HF964" s="73"/>
      <c r="HG964" s="73"/>
      <c r="HH964" s="73"/>
      <c r="HI964" s="73"/>
      <c r="HJ964" s="73"/>
      <c r="HK964" s="73"/>
      <c r="HL964" s="73"/>
      <c r="HM964" s="73"/>
      <c r="HN964" s="73"/>
      <c r="HO964" s="73"/>
      <c r="HP964" s="73"/>
      <c r="HQ964" s="73"/>
      <c r="HR964" s="73"/>
      <c r="HS964" s="73"/>
      <c r="HT964" s="73"/>
      <c r="HU964" s="73"/>
      <c r="HV964" s="73"/>
      <c r="HW964" s="73"/>
      <c r="HX964" s="73"/>
      <c r="HY964" s="73"/>
      <c r="HZ964" s="73"/>
      <c r="IA964" s="73"/>
      <c r="IB964" s="73"/>
      <c r="IC964" s="73"/>
      <c r="ID964" s="73"/>
      <c r="IE964" s="73"/>
      <c r="IF964" s="73"/>
      <c r="IG964" s="73"/>
      <c r="IH964" s="73"/>
      <c r="II964" s="73"/>
      <c r="IJ964" s="73"/>
      <c r="IK964" s="73"/>
      <c r="IL964" s="73"/>
      <c r="IM964" s="73"/>
      <c r="IN964" s="73"/>
      <c r="IO964" s="73"/>
      <c r="IP964" s="73"/>
      <c r="IQ964" s="73"/>
      <c r="IR964" s="73"/>
      <c r="IS964" s="73"/>
      <c r="IT964" s="73"/>
      <c r="IU964" s="73"/>
      <c r="IV964" s="73"/>
      <c r="IW964" s="73"/>
      <c r="IX964" s="73"/>
      <c r="IY964" s="73"/>
      <c r="IZ964" s="73"/>
      <c r="JA964" s="73"/>
      <c r="JB964" s="73"/>
      <c r="JC964" s="73"/>
    </row>
    <row r="965" spans="2:263" s="72" customFormat="1">
      <c r="B965" s="73"/>
      <c r="C965" s="73"/>
      <c r="D965" s="73"/>
      <c r="E965" s="73"/>
      <c r="F965" s="73"/>
      <c r="G965" s="73"/>
      <c r="H965" s="73"/>
      <c r="I965" s="73"/>
      <c r="J965" s="73"/>
      <c r="K965" s="73"/>
      <c r="L965" s="73"/>
      <c r="M965" s="73"/>
      <c r="N965" s="73"/>
      <c r="O965" s="73"/>
      <c r="P965" s="73"/>
      <c r="Q965" s="73"/>
      <c r="R965" s="73"/>
      <c r="S965" s="73"/>
      <c r="T965" s="73"/>
      <c r="U965" s="73"/>
      <c r="V965" s="73"/>
      <c r="W965" s="73"/>
      <c r="GL965" s="73"/>
      <c r="GM965" s="73"/>
      <c r="GN965" s="73"/>
      <c r="GO965" s="73"/>
      <c r="GP965" s="73"/>
      <c r="GQ965" s="73"/>
      <c r="GR965" s="73"/>
      <c r="GS965" s="73"/>
      <c r="GT965" s="73"/>
      <c r="GU965" s="73"/>
      <c r="GV965" s="73"/>
      <c r="GW965" s="73"/>
      <c r="GX965" s="73"/>
      <c r="GY965" s="73"/>
      <c r="GZ965" s="73"/>
      <c r="HA965" s="73"/>
      <c r="HB965" s="73"/>
      <c r="HC965" s="73"/>
      <c r="HD965" s="73"/>
      <c r="HE965" s="73"/>
      <c r="HF965" s="73"/>
      <c r="HG965" s="73"/>
      <c r="HH965" s="73"/>
      <c r="HI965" s="73"/>
      <c r="HJ965" s="73"/>
      <c r="HK965" s="73"/>
      <c r="HL965" s="73"/>
      <c r="HM965" s="73"/>
      <c r="HN965" s="73"/>
      <c r="HO965" s="73"/>
      <c r="HP965" s="73"/>
      <c r="HQ965" s="73"/>
      <c r="HR965" s="73"/>
      <c r="HS965" s="73"/>
      <c r="HT965" s="73"/>
      <c r="HU965" s="73"/>
      <c r="HV965" s="73"/>
      <c r="HW965" s="73"/>
      <c r="HX965" s="73"/>
      <c r="HY965" s="73"/>
      <c r="HZ965" s="73"/>
      <c r="IA965" s="73"/>
      <c r="IB965" s="73"/>
      <c r="IC965" s="73"/>
      <c r="ID965" s="73"/>
      <c r="IE965" s="73"/>
      <c r="IF965" s="73"/>
      <c r="IG965" s="73"/>
      <c r="IH965" s="73"/>
      <c r="II965" s="73"/>
      <c r="IJ965" s="73"/>
      <c r="IK965" s="73"/>
      <c r="IL965" s="73"/>
      <c r="IM965" s="73"/>
      <c r="IN965" s="73"/>
      <c r="IO965" s="73"/>
      <c r="IP965" s="73"/>
      <c r="IQ965" s="73"/>
      <c r="IR965" s="73"/>
      <c r="IS965" s="73"/>
      <c r="IT965" s="73"/>
      <c r="IU965" s="73"/>
      <c r="IV965" s="73"/>
      <c r="IW965" s="73"/>
      <c r="IX965" s="73"/>
      <c r="IY965" s="73"/>
      <c r="IZ965" s="73"/>
      <c r="JA965" s="73"/>
      <c r="JB965" s="73"/>
      <c r="JC965" s="73"/>
    </row>
    <row r="966" spans="2:263" s="72" customFormat="1">
      <c r="B966" s="73"/>
      <c r="C966" s="73"/>
      <c r="D966" s="73"/>
      <c r="E966" s="73"/>
      <c r="F966" s="73"/>
      <c r="G966" s="73"/>
      <c r="H966" s="73"/>
      <c r="I966" s="73"/>
      <c r="J966" s="73"/>
      <c r="K966" s="73"/>
      <c r="L966" s="73"/>
      <c r="M966" s="73"/>
      <c r="N966" s="73"/>
      <c r="O966" s="73"/>
      <c r="P966" s="73"/>
      <c r="Q966" s="73"/>
      <c r="R966" s="73"/>
      <c r="S966" s="73"/>
      <c r="T966" s="73"/>
      <c r="U966" s="73"/>
      <c r="V966" s="73"/>
      <c r="W966" s="73"/>
      <c r="GL966" s="73"/>
      <c r="GM966" s="73"/>
      <c r="GN966" s="73"/>
      <c r="GO966" s="73"/>
      <c r="GP966" s="73"/>
      <c r="GQ966" s="73"/>
      <c r="GR966" s="73"/>
      <c r="GS966" s="73"/>
      <c r="GT966" s="73"/>
      <c r="GU966" s="73"/>
      <c r="GV966" s="73"/>
      <c r="GW966" s="73"/>
      <c r="GX966" s="73"/>
      <c r="GY966" s="73"/>
      <c r="GZ966" s="73"/>
      <c r="HA966" s="73"/>
      <c r="HB966" s="73"/>
      <c r="HC966" s="73"/>
      <c r="HD966" s="73"/>
      <c r="HE966" s="73"/>
      <c r="HF966" s="73"/>
      <c r="HG966" s="73"/>
      <c r="HH966" s="73"/>
      <c r="HI966" s="73"/>
      <c r="HJ966" s="73"/>
      <c r="HK966" s="73"/>
      <c r="HL966" s="73"/>
      <c r="HM966" s="73"/>
      <c r="HN966" s="73"/>
      <c r="HO966" s="73"/>
      <c r="HP966" s="73"/>
      <c r="HQ966" s="73"/>
      <c r="HR966" s="73"/>
      <c r="HS966" s="73"/>
      <c r="HT966" s="73"/>
      <c r="HU966" s="73"/>
      <c r="HV966" s="73"/>
      <c r="HW966" s="73"/>
      <c r="HX966" s="73"/>
      <c r="HY966" s="73"/>
      <c r="HZ966" s="73"/>
      <c r="IA966" s="73"/>
      <c r="IB966" s="73"/>
      <c r="IC966" s="73"/>
      <c r="ID966" s="73"/>
      <c r="IE966" s="73"/>
      <c r="IF966" s="73"/>
      <c r="IG966" s="73"/>
      <c r="IH966" s="73"/>
      <c r="II966" s="73"/>
      <c r="IJ966" s="73"/>
      <c r="IK966" s="73"/>
      <c r="IL966" s="73"/>
      <c r="IM966" s="73"/>
      <c r="IN966" s="73"/>
      <c r="IO966" s="73"/>
      <c r="IP966" s="73"/>
      <c r="IQ966" s="73"/>
      <c r="IR966" s="73"/>
      <c r="IS966" s="73"/>
      <c r="IT966" s="73"/>
      <c r="IU966" s="73"/>
      <c r="IV966" s="73"/>
      <c r="IW966" s="73"/>
      <c r="IX966" s="73"/>
      <c r="IY966" s="73"/>
      <c r="IZ966" s="73"/>
      <c r="JA966" s="73"/>
      <c r="JB966" s="73"/>
      <c r="JC966" s="73"/>
    </row>
    <row r="967" spans="2:263" s="72" customFormat="1">
      <c r="B967" s="73"/>
      <c r="C967" s="73"/>
      <c r="D967" s="73"/>
      <c r="E967" s="73"/>
      <c r="F967" s="73"/>
      <c r="G967" s="73"/>
      <c r="H967" s="73"/>
      <c r="I967" s="73"/>
      <c r="J967" s="73"/>
      <c r="K967" s="73"/>
      <c r="L967" s="73"/>
      <c r="M967" s="73"/>
      <c r="N967" s="73"/>
      <c r="O967" s="73"/>
      <c r="P967" s="73"/>
      <c r="Q967" s="73"/>
      <c r="R967" s="73"/>
      <c r="S967" s="73"/>
      <c r="T967" s="73"/>
      <c r="U967" s="73"/>
      <c r="V967" s="73"/>
      <c r="W967" s="73"/>
      <c r="GL967" s="73"/>
      <c r="GM967" s="73"/>
      <c r="GN967" s="73"/>
      <c r="GO967" s="73"/>
      <c r="GP967" s="73"/>
      <c r="GQ967" s="73"/>
      <c r="GR967" s="73"/>
      <c r="GS967" s="73"/>
      <c r="GT967" s="73"/>
      <c r="GU967" s="73"/>
      <c r="GV967" s="73"/>
      <c r="GW967" s="73"/>
      <c r="GX967" s="73"/>
      <c r="GY967" s="73"/>
      <c r="GZ967" s="73"/>
      <c r="HA967" s="73"/>
      <c r="HB967" s="73"/>
      <c r="HC967" s="73"/>
      <c r="HD967" s="73"/>
      <c r="HE967" s="73"/>
      <c r="HF967" s="73"/>
      <c r="HG967" s="73"/>
      <c r="HH967" s="73"/>
      <c r="HI967" s="73"/>
      <c r="HJ967" s="73"/>
      <c r="HK967" s="73"/>
      <c r="HL967" s="73"/>
      <c r="HM967" s="73"/>
      <c r="HN967" s="73"/>
      <c r="HO967" s="73"/>
      <c r="HP967" s="73"/>
      <c r="HQ967" s="73"/>
      <c r="HR967" s="73"/>
      <c r="HS967" s="73"/>
      <c r="HT967" s="73"/>
      <c r="HU967" s="73"/>
      <c r="HV967" s="73"/>
      <c r="HW967" s="73"/>
      <c r="HX967" s="73"/>
      <c r="HY967" s="73"/>
      <c r="HZ967" s="73"/>
      <c r="IA967" s="73"/>
      <c r="IB967" s="73"/>
      <c r="IC967" s="73"/>
      <c r="ID967" s="73"/>
      <c r="IE967" s="73"/>
      <c r="IF967" s="73"/>
      <c r="IG967" s="73"/>
      <c r="IH967" s="73"/>
      <c r="II967" s="73"/>
      <c r="IJ967" s="73"/>
      <c r="IK967" s="73"/>
      <c r="IL967" s="73"/>
      <c r="IM967" s="73"/>
      <c r="IN967" s="73"/>
      <c r="IO967" s="73"/>
      <c r="IP967" s="73"/>
      <c r="IQ967" s="73"/>
      <c r="IR967" s="73"/>
      <c r="IS967" s="73"/>
      <c r="IT967" s="73"/>
      <c r="IU967" s="73"/>
      <c r="IV967" s="73"/>
      <c r="IW967" s="73"/>
      <c r="IX967" s="73"/>
      <c r="IY967" s="73"/>
      <c r="IZ967" s="73"/>
      <c r="JA967" s="73"/>
      <c r="JB967" s="73"/>
      <c r="JC967" s="73"/>
    </row>
    <row r="968" spans="2:263" s="72" customFormat="1">
      <c r="B968" s="73"/>
      <c r="C968" s="73"/>
      <c r="D968" s="73"/>
      <c r="E968" s="73"/>
      <c r="F968" s="73"/>
      <c r="G968" s="73"/>
      <c r="H968" s="73"/>
      <c r="I968" s="73"/>
      <c r="J968" s="73"/>
      <c r="K968" s="73"/>
      <c r="L968" s="73"/>
      <c r="M968" s="73"/>
      <c r="N968" s="73"/>
      <c r="O968" s="73"/>
      <c r="P968" s="73"/>
      <c r="Q968" s="73"/>
      <c r="R968" s="73"/>
      <c r="S968" s="73"/>
      <c r="T968" s="73"/>
      <c r="U968" s="73"/>
      <c r="V968" s="73"/>
      <c r="W968" s="73"/>
      <c r="GL968" s="73"/>
      <c r="GM968" s="73"/>
      <c r="GN968" s="73"/>
      <c r="GO968" s="73"/>
      <c r="GP968" s="73"/>
      <c r="GQ968" s="73"/>
      <c r="GR968" s="73"/>
      <c r="GS968" s="73"/>
      <c r="GT968" s="73"/>
      <c r="GU968" s="73"/>
      <c r="GV968" s="73"/>
      <c r="GW968" s="73"/>
      <c r="GX968" s="73"/>
      <c r="GY968" s="73"/>
      <c r="GZ968" s="73"/>
      <c r="HA968" s="73"/>
      <c r="HB968" s="73"/>
      <c r="HC968" s="73"/>
      <c r="HD968" s="73"/>
      <c r="HE968" s="73"/>
      <c r="HF968" s="73"/>
      <c r="HG968" s="73"/>
      <c r="HH968" s="73"/>
      <c r="HI968" s="73"/>
      <c r="HJ968" s="73"/>
      <c r="HK968" s="73"/>
      <c r="HL968" s="73"/>
      <c r="HM968" s="73"/>
      <c r="HN968" s="73"/>
      <c r="HO968" s="73"/>
      <c r="HP968" s="73"/>
      <c r="HQ968" s="73"/>
      <c r="HR968" s="73"/>
      <c r="HS968" s="73"/>
      <c r="HT968" s="73"/>
      <c r="HU968" s="73"/>
      <c r="HV968" s="73"/>
      <c r="HW968" s="73"/>
      <c r="HX968" s="73"/>
      <c r="HY968" s="73"/>
      <c r="HZ968" s="73"/>
      <c r="IA968" s="73"/>
      <c r="IB968" s="73"/>
      <c r="IC968" s="73"/>
      <c r="ID968" s="73"/>
      <c r="IE968" s="73"/>
      <c r="IF968" s="73"/>
      <c r="IG968" s="73"/>
      <c r="IH968" s="73"/>
      <c r="II968" s="73"/>
      <c r="IJ968" s="73"/>
      <c r="IK968" s="73"/>
      <c r="IL968" s="73"/>
      <c r="IM968" s="73"/>
      <c r="IN968" s="73"/>
      <c r="IO968" s="73"/>
      <c r="IP968" s="73"/>
      <c r="IQ968" s="73"/>
      <c r="IR968" s="73"/>
      <c r="IS968" s="73"/>
      <c r="IT968" s="73"/>
      <c r="IU968" s="73"/>
      <c r="IV968" s="73"/>
      <c r="IW968" s="73"/>
      <c r="IX968" s="73"/>
      <c r="IY968" s="73"/>
      <c r="IZ968" s="73"/>
      <c r="JA968" s="73"/>
      <c r="JB968" s="73"/>
      <c r="JC968" s="73"/>
    </row>
    <row r="969" spans="2:263" s="72" customFormat="1">
      <c r="B969" s="73"/>
      <c r="C969" s="73"/>
      <c r="D969" s="73"/>
      <c r="E969" s="73"/>
      <c r="F969" s="73"/>
      <c r="G969" s="73"/>
      <c r="H969" s="73"/>
      <c r="I969" s="73"/>
      <c r="J969" s="73"/>
      <c r="K969" s="73"/>
      <c r="L969" s="73"/>
      <c r="M969" s="73"/>
      <c r="N969" s="73"/>
      <c r="O969" s="73"/>
      <c r="P969" s="73"/>
      <c r="Q969" s="73"/>
      <c r="R969" s="73"/>
      <c r="S969" s="73"/>
      <c r="T969" s="73"/>
      <c r="U969" s="73"/>
      <c r="V969" s="73"/>
      <c r="W969" s="73"/>
      <c r="GL969" s="73"/>
      <c r="GM969" s="73"/>
      <c r="GN969" s="73"/>
      <c r="GO969" s="73"/>
      <c r="GP969" s="73"/>
      <c r="GQ969" s="73"/>
      <c r="GR969" s="73"/>
      <c r="GS969" s="73"/>
      <c r="GT969" s="73"/>
      <c r="GU969" s="73"/>
      <c r="GV969" s="73"/>
      <c r="GW969" s="73"/>
      <c r="GX969" s="73"/>
      <c r="GY969" s="73"/>
      <c r="GZ969" s="73"/>
      <c r="HA969" s="73"/>
      <c r="HB969" s="73"/>
      <c r="HC969" s="73"/>
      <c r="HD969" s="73"/>
      <c r="HE969" s="73"/>
      <c r="HF969" s="73"/>
      <c r="HG969" s="73"/>
      <c r="HH969" s="73"/>
      <c r="HI969" s="73"/>
      <c r="HJ969" s="73"/>
      <c r="HK969" s="73"/>
      <c r="HL969" s="73"/>
      <c r="HM969" s="73"/>
      <c r="HN969" s="73"/>
      <c r="HO969" s="73"/>
      <c r="HP969" s="73"/>
      <c r="HQ969" s="73"/>
      <c r="HR969" s="73"/>
      <c r="HS969" s="73"/>
      <c r="HT969" s="73"/>
      <c r="HU969" s="73"/>
      <c r="HV969" s="73"/>
      <c r="HW969" s="73"/>
      <c r="HX969" s="73"/>
      <c r="HY969" s="73"/>
      <c r="HZ969" s="73"/>
      <c r="IA969" s="73"/>
      <c r="IB969" s="73"/>
      <c r="IC969" s="73"/>
      <c r="ID969" s="73"/>
      <c r="IE969" s="73"/>
      <c r="IF969" s="73"/>
      <c r="IG969" s="73"/>
      <c r="IH969" s="73"/>
      <c r="II969" s="73"/>
      <c r="IJ969" s="73"/>
      <c r="IK969" s="73"/>
      <c r="IL969" s="73"/>
      <c r="IM969" s="73"/>
      <c r="IN969" s="73"/>
      <c r="IO969" s="73"/>
      <c r="IP969" s="73"/>
      <c r="IQ969" s="73"/>
      <c r="IR969" s="73"/>
      <c r="IS969" s="73"/>
      <c r="IT969" s="73"/>
      <c r="IU969" s="73"/>
      <c r="IV969" s="73"/>
      <c r="IW969" s="73"/>
      <c r="IX969" s="73"/>
      <c r="IY969" s="73"/>
      <c r="IZ969" s="73"/>
      <c r="JA969" s="73"/>
      <c r="JB969" s="73"/>
      <c r="JC969" s="73"/>
    </row>
    <row r="970" spans="2:263" s="72" customFormat="1">
      <c r="B970" s="73"/>
      <c r="C970" s="73"/>
      <c r="D970" s="73"/>
      <c r="E970" s="73"/>
      <c r="F970" s="73"/>
      <c r="G970" s="73"/>
      <c r="H970" s="73"/>
      <c r="I970" s="73"/>
      <c r="J970" s="73"/>
      <c r="K970" s="73"/>
      <c r="L970" s="73"/>
      <c r="M970" s="73"/>
      <c r="N970" s="73"/>
      <c r="O970" s="73"/>
      <c r="P970" s="73"/>
      <c r="Q970" s="73"/>
      <c r="R970" s="73"/>
      <c r="S970" s="73"/>
      <c r="T970" s="73"/>
      <c r="U970" s="73"/>
      <c r="V970" s="73"/>
      <c r="W970" s="73"/>
      <c r="GL970" s="73"/>
      <c r="GM970" s="73"/>
      <c r="GN970" s="73"/>
      <c r="GO970" s="73"/>
      <c r="GP970" s="73"/>
      <c r="GQ970" s="73"/>
      <c r="GR970" s="73"/>
      <c r="GS970" s="73"/>
      <c r="GT970" s="73"/>
      <c r="GU970" s="73"/>
      <c r="GV970" s="73"/>
      <c r="GW970" s="73"/>
      <c r="GX970" s="73"/>
      <c r="GY970" s="73"/>
      <c r="GZ970" s="73"/>
      <c r="HA970" s="73"/>
      <c r="HB970" s="73"/>
      <c r="HC970" s="73"/>
      <c r="HD970" s="73"/>
      <c r="HE970" s="73"/>
      <c r="HF970" s="73"/>
      <c r="HG970" s="73"/>
      <c r="HH970" s="73"/>
      <c r="HI970" s="73"/>
      <c r="HJ970" s="73"/>
      <c r="HK970" s="73"/>
      <c r="HL970" s="73"/>
      <c r="HM970" s="73"/>
      <c r="HN970" s="73"/>
      <c r="HO970" s="73"/>
      <c r="HP970" s="73"/>
      <c r="HQ970" s="73"/>
      <c r="HR970" s="73"/>
      <c r="HS970" s="73"/>
      <c r="HT970" s="73"/>
      <c r="HU970" s="73"/>
      <c r="HV970" s="73"/>
      <c r="HW970" s="73"/>
      <c r="HX970" s="73"/>
      <c r="HY970" s="73"/>
      <c r="HZ970" s="73"/>
      <c r="IA970" s="73"/>
      <c r="IB970" s="73"/>
      <c r="IC970" s="73"/>
      <c r="ID970" s="73"/>
      <c r="IE970" s="73"/>
      <c r="IF970" s="73"/>
      <c r="IG970" s="73"/>
      <c r="IH970" s="73"/>
      <c r="II970" s="73"/>
      <c r="IJ970" s="73"/>
      <c r="IK970" s="73"/>
      <c r="IL970" s="73"/>
      <c r="IM970" s="73"/>
      <c r="IN970" s="73"/>
      <c r="IO970" s="73"/>
      <c r="IP970" s="73"/>
      <c r="IQ970" s="73"/>
      <c r="IR970" s="73"/>
      <c r="IS970" s="73"/>
      <c r="IT970" s="73"/>
      <c r="IU970" s="73"/>
      <c r="IV970" s="73"/>
      <c r="IW970" s="73"/>
      <c r="IX970" s="73"/>
      <c r="IY970" s="73"/>
      <c r="IZ970" s="73"/>
      <c r="JA970" s="73"/>
      <c r="JB970" s="73"/>
      <c r="JC970" s="73"/>
    </row>
    <row r="971" spans="2:263" s="72" customFormat="1">
      <c r="B971" s="73"/>
      <c r="C971" s="73"/>
      <c r="D971" s="73"/>
      <c r="E971" s="73"/>
      <c r="F971" s="73"/>
      <c r="G971" s="73"/>
      <c r="H971" s="73"/>
      <c r="I971" s="73"/>
      <c r="J971" s="73"/>
      <c r="K971" s="73"/>
      <c r="L971" s="73"/>
      <c r="M971" s="73"/>
      <c r="N971" s="73"/>
      <c r="O971" s="73"/>
      <c r="P971" s="73"/>
      <c r="Q971" s="73"/>
      <c r="R971" s="73"/>
      <c r="S971" s="73"/>
      <c r="T971" s="73"/>
      <c r="U971" s="73"/>
      <c r="V971" s="73"/>
      <c r="W971" s="73"/>
      <c r="GL971" s="73"/>
      <c r="GM971" s="73"/>
      <c r="GN971" s="73"/>
      <c r="GO971" s="73"/>
      <c r="GP971" s="73"/>
      <c r="GQ971" s="73"/>
      <c r="GR971" s="73"/>
      <c r="GS971" s="73"/>
      <c r="GT971" s="73"/>
      <c r="GU971" s="73"/>
      <c r="GV971" s="73"/>
      <c r="GW971" s="73"/>
      <c r="GX971" s="73"/>
      <c r="GY971" s="73"/>
      <c r="GZ971" s="73"/>
      <c r="HA971" s="73"/>
      <c r="HB971" s="73"/>
      <c r="HC971" s="73"/>
      <c r="HD971" s="73"/>
      <c r="HE971" s="73"/>
      <c r="HF971" s="73"/>
      <c r="HG971" s="73"/>
      <c r="HH971" s="73"/>
      <c r="HI971" s="73"/>
      <c r="HJ971" s="73"/>
      <c r="HK971" s="73"/>
      <c r="HL971" s="73"/>
      <c r="HM971" s="73"/>
      <c r="HN971" s="73"/>
      <c r="HO971" s="73"/>
      <c r="HP971" s="73"/>
      <c r="HQ971" s="73"/>
      <c r="HR971" s="73"/>
      <c r="HS971" s="73"/>
      <c r="HT971" s="73"/>
      <c r="HU971" s="73"/>
      <c r="HV971" s="73"/>
      <c r="HW971" s="73"/>
      <c r="HX971" s="73"/>
      <c r="HY971" s="73"/>
      <c r="HZ971" s="73"/>
      <c r="IA971" s="73"/>
      <c r="IB971" s="73"/>
      <c r="IC971" s="73"/>
      <c r="ID971" s="73"/>
      <c r="IE971" s="73"/>
      <c r="IF971" s="73"/>
      <c r="IG971" s="73"/>
      <c r="IH971" s="73"/>
      <c r="II971" s="73"/>
      <c r="IJ971" s="73"/>
      <c r="IK971" s="73"/>
      <c r="IL971" s="73"/>
      <c r="IM971" s="73"/>
      <c r="IN971" s="73"/>
      <c r="IO971" s="73"/>
      <c r="IP971" s="73"/>
      <c r="IQ971" s="73"/>
      <c r="IR971" s="73"/>
      <c r="IS971" s="73"/>
      <c r="IT971" s="73"/>
      <c r="IU971" s="73"/>
      <c r="IV971" s="73"/>
      <c r="IW971" s="73"/>
      <c r="IX971" s="73"/>
      <c r="IY971" s="73"/>
      <c r="IZ971" s="73"/>
      <c r="JA971" s="73"/>
      <c r="JB971" s="73"/>
      <c r="JC971" s="73"/>
    </row>
    <row r="972" spans="2:263" s="72" customFormat="1">
      <c r="B972" s="73"/>
      <c r="C972" s="73"/>
      <c r="D972" s="73"/>
      <c r="E972" s="73"/>
      <c r="F972" s="73"/>
      <c r="G972" s="73"/>
      <c r="H972" s="73"/>
      <c r="I972" s="73"/>
      <c r="J972" s="73"/>
      <c r="K972" s="73"/>
      <c r="L972" s="73"/>
      <c r="M972" s="73"/>
      <c r="N972" s="73"/>
      <c r="O972" s="73"/>
      <c r="P972" s="73"/>
      <c r="Q972" s="73"/>
      <c r="R972" s="73"/>
      <c r="S972" s="73"/>
      <c r="T972" s="73"/>
      <c r="U972" s="73"/>
      <c r="V972" s="73"/>
      <c r="W972" s="73"/>
      <c r="GL972" s="73"/>
      <c r="GM972" s="73"/>
      <c r="GN972" s="73"/>
      <c r="GO972" s="73"/>
      <c r="GP972" s="73"/>
      <c r="GQ972" s="73"/>
      <c r="GR972" s="73"/>
      <c r="GS972" s="73"/>
      <c r="GT972" s="73"/>
      <c r="GU972" s="73"/>
      <c r="GV972" s="73"/>
      <c r="GW972" s="73"/>
      <c r="GX972" s="73"/>
      <c r="GY972" s="73"/>
      <c r="GZ972" s="73"/>
      <c r="HA972" s="73"/>
      <c r="HB972" s="73"/>
      <c r="HC972" s="73"/>
      <c r="HD972" s="73"/>
      <c r="HE972" s="73"/>
      <c r="HF972" s="73"/>
      <c r="HG972" s="73"/>
      <c r="HH972" s="73"/>
      <c r="HI972" s="73"/>
      <c r="HJ972" s="73"/>
      <c r="HK972" s="73"/>
      <c r="HL972" s="73"/>
      <c r="HM972" s="73"/>
      <c r="HN972" s="73"/>
      <c r="HO972" s="73"/>
      <c r="HP972" s="73"/>
      <c r="HQ972" s="73"/>
      <c r="HR972" s="73"/>
      <c r="HS972" s="73"/>
      <c r="HT972" s="73"/>
      <c r="HU972" s="73"/>
      <c r="HV972" s="73"/>
      <c r="HW972" s="73"/>
      <c r="HX972" s="73"/>
      <c r="HY972" s="73"/>
      <c r="HZ972" s="73"/>
      <c r="IA972" s="73"/>
      <c r="IB972" s="73"/>
      <c r="IC972" s="73"/>
      <c r="ID972" s="73"/>
      <c r="IE972" s="73"/>
      <c r="IF972" s="73"/>
      <c r="IG972" s="73"/>
      <c r="IH972" s="73"/>
      <c r="II972" s="73"/>
      <c r="IJ972" s="73"/>
      <c r="IK972" s="73"/>
      <c r="IL972" s="73"/>
      <c r="IM972" s="73"/>
      <c r="IN972" s="73"/>
      <c r="IO972" s="73"/>
      <c r="IP972" s="73"/>
      <c r="IQ972" s="73"/>
      <c r="IR972" s="73"/>
      <c r="IS972" s="73"/>
      <c r="IT972" s="73"/>
      <c r="IU972" s="73"/>
      <c r="IV972" s="73"/>
      <c r="IW972" s="73"/>
      <c r="IX972" s="73"/>
      <c r="IY972" s="73"/>
      <c r="IZ972" s="73"/>
      <c r="JA972" s="73"/>
      <c r="JB972" s="73"/>
      <c r="JC972" s="73"/>
    </row>
    <row r="973" spans="2:263" s="72" customFormat="1">
      <c r="B973" s="73"/>
      <c r="C973" s="73"/>
      <c r="D973" s="73"/>
      <c r="E973" s="73"/>
      <c r="F973" s="73"/>
      <c r="G973" s="73"/>
      <c r="H973" s="73"/>
      <c r="I973" s="73"/>
      <c r="J973" s="73"/>
      <c r="K973" s="73"/>
      <c r="L973" s="73"/>
      <c r="M973" s="73"/>
      <c r="N973" s="73"/>
      <c r="O973" s="73"/>
      <c r="P973" s="73"/>
      <c r="Q973" s="73"/>
      <c r="R973" s="73"/>
      <c r="S973" s="73"/>
      <c r="T973" s="73"/>
      <c r="U973" s="73"/>
      <c r="V973" s="73"/>
      <c r="W973" s="73"/>
      <c r="GL973" s="73"/>
      <c r="GM973" s="73"/>
      <c r="GN973" s="73"/>
      <c r="GO973" s="73"/>
      <c r="GP973" s="73"/>
      <c r="GQ973" s="73"/>
      <c r="GR973" s="73"/>
      <c r="GS973" s="73"/>
      <c r="GT973" s="73"/>
      <c r="GU973" s="73"/>
      <c r="GV973" s="73"/>
      <c r="GW973" s="73"/>
      <c r="GX973" s="73"/>
      <c r="GY973" s="73"/>
      <c r="GZ973" s="73"/>
      <c r="HA973" s="73"/>
      <c r="HB973" s="73"/>
      <c r="HC973" s="73"/>
      <c r="HD973" s="73"/>
      <c r="HE973" s="73"/>
      <c r="HF973" s="73"/>
      <c r="HG973" s="73"/>
      <c r="HH973" s="73"/>
      <c r="HI973" s="73"/>
      <c r="HJ973" s="73"/>
      <c r="HK973" s="73"/>
      <c r="HL973" s="73"/>
      <c r="HM973" s="73"/>
      <c r="HN973" s="73"/>
      <c r="HO973" s="73"/>
      <c r="HP973" s="73"/>
      <c r="HQ973" s="73"/>
      <c r="HR973" s="73"/>
      <c r="HS973" s="73"/>
      <c r="HT973" s="73"/>
      <c r="HU973" s="73"/>
      <c r="HV973" s="73"/>
      <c r="HW973" s="73"/>
      <c r="HX973" s="73"/>
      <c r="HY973" s="73"/>
      <c r="HZ973" s="73"/>
      <c r="IA973" s="73"/>
      <c r="IB973" s="73"/>
      <c r="IC973" s="73"/>
      <c r="ID973" s="73"/>
      <c r="IE973" s="73"/>
      <c r="IF973" s="73"/>
      <c r="IG973" s="73"/>
      <c r="IH973" s="73"/>
      <c r="II973" s="73"/>
      <c r="IJ973" s="73"/>
      <c r="IK973" s="73"/>
      <c r="IL973" s="73"/>
      <c r="IM973" s="73"/>
      <c r="IN973" s="73"/>
      <c r="IO973" s="73"/>
      <c r="IP973" s="73"/>
      <c r="IQ973" s="73"/>
      <c r="IR973" s="73"/>
      <c r="IS973" s="73"/>
      <c r="IT973" s="73"/>
      <c r="IU973" s="73"/>
      <c r="IV973" s="73"/>
      <c r="IW973" s="73"/>
      <c r="IX973" s="73"/>
      <c r="IY973" s="73"/>
      <c r="IZ973" s="73"/>
      <c r="JA973" s="73"/>
      <c r="JB973" s="73"/>
      <c r="JC973" s="73"/>
    </row>
    <row r="974" spans="2:263" s="72" customFormat="1">
      <c r="B974" s="73"/>
      <c r="C974" s="73"/>
      <c r="D974" s="73"/>
      <c r="E974" s="73"/>
      <c r="F974" s="73"/>
      <c r="G974" s="73"/>
      <c r="H974" s="73"/>
      <c r="I974" s="73"/>
      <c r="J974" s="73"/>
      <c r="K974" s="73"/>
      <c r="L974" s="73"/>
      <c r="M974" s="73"/>
      <c r="N974" s="73"/>
      <c r="O974" s="73"/>
      <c r="P974" s="73"/>
      <c r="Q974" s="73"/>
      <c r="R974" s="73"/>
      <c r="S974" s="73"/>
      <c r="T974" s="73"/>
      <c r="U974" s="73"/>
      <c r="V974" s="73"/>
      <c r="W974" s="73"/>
      <c r="GL974" s="73"/>
      <c r="GM974" s="73"/>
      <c r="GN974" s="73"/>
      <c r="GO974" s="73"/>
      <c r="GP974" s="73"/>
      <c r="GQ974" s="73"/>
      <c r="GR974" s="73"/>
      <c r="GS974" s="73"/>
      <c r="GT974" s="73"/>
      <c r="GU974" s="73"/>
      <c r="GV974" s="73"/>
      <c r="GW974" s="73"/>
      <c r="GX974" s="73"/>
      <c r="GY974" s="73"/>
      <c r="GZ974" s="73"/>
      <c r="HA974" s="73"/>
      <c r="HB974" s="73"/>
      <c r="HC974" s="73"/>
      <c r="HD974" s="73"/>
      <c r="HE974" s="73"/>
      <c r="HF974" s="73"/>
      <c r="HG974" s="73"/>
      <c r="HH974" s="73"/>
      <c r="HI974" s="73"/>
      <c r="HJ974" s="73"/>
      <c r="HK974" s="73"/>
      <c r="HL974" s="73"/>
      <c r="HM974" s="73"/>
      <c r="HN974" s="73"/>
      <c r="HO974" s="73"/>
      <c r="HP974" s="73"/>
      <c r="HQ974" s="73"/>
      <c r="HR974" s="73"/>
      <c r="HS974" s="73"/>
      <c r="HT974" s="73"/>
      <c r="HU974" s="73"/>
      <c r="HV974" s="73"/>
      <c r="HW974" s="73"/>
      <c r="HX974" s="73"/>
      <c r="HY974" s="73"/>
      <c r="HZ974" s="73"/>
      <c r="IA974" s="73"/>
      <c r="IB974" s="73"/>
      <c r="IC974" s="73"/>
      <c r="ID974" s="73"/>
      <c r="IE974" s="73"/>
      <c r="IF974" s="73"/>
      <c r="IG974" s="73"/>
      <c r="IH974" s="73"/>
      <c r="II974" s="73"/>
      <c r="IJ974" s="73"/>
      <c r="IK974" s="73"/>
      <c r="IL974" s="73"/>
      <c r="IM974" s="73"/>
      <c r="IN974" s="73"/>
      <c r="IO974" s="73"/>
      <c r="IP974" s="73"/>
      <c r="IQ974" s="73"/>
      <c r="IR974" s="73"/>
      <c r="IS974" s="73"/>
      <c r="IT974" s="73"/>
      <c r="IU974" s="73"/>
      <c r="IV974" s="73"/>
      <c r="IW974" s="73"/>
      <c r="IX974" s="73"/>
      <c r="IY974" s="73"/>
      <c r="IZ974" s="73"/>
      <c r="JA974" s="73"/>
      <c r="JB974" s="73"/>
      <c r="JC974" s="73"/>
    </row>
    <row r="975" spans="2:263" s="72" customFormat="1">
      <c r="B975" s="73"/>
      <c r="C975" s="73"/>
      <c r="D975" s="73"/>
      <c r="E975" s="73"/>
      <c r="F975" s="73"/>
      <c r="G975" s="73"/>
      <c r="H975" s="73"/>
      <c r="I975" s="73"/>
      <c r="J975" s="73"/>
      <c r="K975" s="73"/>
      <c r="L975" s="73"/>
      <c r="M975" s="73"/>
      <c r="N975" s="73"/>
      <c r="O975" s="73"/>
      <c r="P975" s="73"/>
      <c r="Q975" s="73"/>
      <c r="R975" s="73"/>
      <c r="S975" s="73"/>
      <c r="T975" s="73"/>
      <c r="U975" s="73"/>
      <c r="V975" s="73"/>
      <c r="W975" s="73"/>
      <c r="GL975" s="73"/>
      <c r="GM975" s="73"/>
      <c r="GN975" s="73"/>
      <c r="GO975" s="73"/>
      <c r="GP975" s="73"/>
      <c r="GQ975" s="73"/>
      <c r="GR975" s="73"/>
      <c r="GS975" s="73"/>
      <c r="GT975" s="73"/>
      <c r="GU975" s="73"/>
      <c r="GV975" s="73"/>
      <c r="GW975" s="73"/>
      <c r="GX975" s="73"/>
      <c r="GY975" s="73"/>
      <c r="GZ975" s="73"/>
      <c r="HA975" s="73"/>
      <c r="HB975" s="73"/>
      <c r="HC975" s="73"/>
      <c r="HD975" s="73"/>
      <c r="HE975" s="73"/>
      <c r="HF975" s="73"/>
      <c r="HG975" s="73"/>
      <c r="HH975" s="73"/>
      <c r="HI975" s="73"/>
      <c r="HJ975" s="73"/>
      <c r="HK975" s="73"/>
      <c r="HL975" s="73"/>
      <c r="HM975" s="73"/>
      <c r="HN975" s="73"/>
      <c r="HO975" s="73"/>
      <c r="HP975" s="73"/>
      <c r="HQ975" s="73"/>
      <c r="HR975" s="73"/>
      <c r="HS975" s="73"/>
      <c r="HT975" s="73"/>
      <c r="HU975" s="73"/>
      <c r="HV975" s="73"/>
      <c r="HW975" s="73"/>
      <c r="HX975" s="73"/>
      <c r="HY975" s="73"/>
      <c r="HZ975" s="73"/>
      <c r="IA975" s="73"/>
      <c r="IB975" s="73"/>
      <c r="IC975" s="73"/>
      <c r="ID975" s="73"/>
      <c r="IE975" s="73"/>
      <c r="IF975" s="73"/>
      <c r="IG975" s="73"/>
      <c r="IH975" s="73"/>
      <c r="II975" s="73"/>
      <c r="IJ975" s="73"/>
      <c r="IK975" s="73"/>
      <c r="IL975" s="73"/>
      <c r="IM975" s="73"/>
      <c r="IN975" s="73"/>
      <c r="IO975" s="73"/>
      <c r="IP975" s="73"/>
      <c r="IQ975" s="73"/>
      <c r="IR975" s="73"/>
      <c r="IS975" s="73"/>
      <c r="IT975" s="73"/>
      <c r="IU975" s="73"/>
      <c r="IV975" s="73"/>
      <c r="IW975" s="73"/>
      <c r="IX975" s="73"/>
      <c r="IY975" s="73"/>
      <c r="IZ975" s="73"/>
      <c r="JA975" s="73"/>
      <c r="JB975" s="73"/>
      <c r="JC975" s="73"/>
    </row>
    <row r="976" spans="2:263" s="72" customFormat="1">
      <c r="B976" s="73"/>
      <c r="C976" s="73"/>
      <c r="D976" s="73"/>
      <c r="E976" s="73"/>
      <c r="F976" s="73"/>
      <c r="G976" s="73"/>
      <c r="H976" s="73"/>
      <c r="I976" s="73"/>
      <c r="J976" s="73"/>
      <c r="K976" s="73"/>
      <c r="L976" s="73"/>
      <c r="M976" s="73"/>
      <c r="N976" s="73"/>
      <c r="O976" s="73"/>
      <c r="P976" s="73"/>
      <c r="Q976" s="73"/>
      <c r="R976" s="73"/>
      <c r="S976" s="73"/>
      <c r="T976" s="73"/>
      <c r="U976" s="73"/>
      <c r="V976" s="73"/>
      <c r="W976" s="73"/>
      <c r="GL976" s="73"/>
      <c r="GM976" s="73"/>
      <c r="GN976" s="73"/>
      <c r="GO976" s="73"/>
      <c r="GP976" s="73"/>
      <c r="GQ976" s="73"/>
      <c r="GR976" s="73"/>
      <c r="GS976" s="73"/>
      <c r="GT976" s="73"/>
      <c r="GU976" s="73"/>
      <c r="GV976" s="73"/>
      <c r="GW976" s="73"/>
      <c r="GX976" s="73"/>
      <c r="GY976" s="73"/>
      <c r="GZ976" s="73"/>
      <c r="HA976" s="73"/>
      <c r="HB976" s="73"/>
      <c r="HC976" s="73"/>
      <c r="HD976" s="73"/>
      <c r="HE976" s="73"/>
      <c r="HF976" s="73"/>
      <c r="HG976" s="73"/>
      <c r="HH976" s="73"/>
      <c r="HI976" s="73"/>
      <c r="HJ976" s="73"/>
      <c r="HK976" s="73"/>
      <c r="HL976" s="73"/>
      <c r="HM976" s="73"/>
      <c r="HN976" s="73"/>
      <c r="HO976" s="73"/>
      <c r="HP976" s="73"/>
      <c r="HQ976" s="73"/>
      <c r="HR976" s="73"/>
      <c r="HS976" s="73"/>
      <c r="HT976" s="73"/>
      <c r="HU976" s="73"/>
      <c r="HV976" s="73"/>
      <c r="HW976" s="73"/>
      <c r="HX976" s="73"/>
      <c r="HY976" s="73"/>
      <c r="HZ976" s="73"/>
      <c r="IA976" s="73"/>
      <c r="IB976" s="73"/>
      <c r="IC976" s="73"/>
      <c r="ID976" s="73"/>
      <c r="IE976" s="73"/>
      <c r="IF976" s="73"/>
      <c r="IG976" s="73"/>
      <c r="IH976" s="73"/>
      <c r="II976" s="73"/>
      <c r="IJ976" s="73"/>
      <c r="IK976" s="73"/>
      <c r="IL976" s="73"/>
      <c r="IM976" s="73"/>
      <c r="IN976" s="73"/>
      <c r="IO976" s="73"/>
      <c r="IP976" s="73"/>
      <c r="IQ976" s="73"/>
      <c r="IR976" s="73"/>
      <c r="IS976" s="73"/>
      <c r="IT976" s="73"/>
      <c r="IU976" s="73"/>
      <c r="IV976" s="73"/>
      <c r="IW976" s="73"/>
      <c r="IX976" s="73"/>
      <c r="IY976" s="73"/>
      <c r="IZ976" s="73"/>
      <c r="JA976" s="73"/>
      <c r="JB976" s="73"/>
      <c r="JC976" s="73"/>
    </row>
    <row r="977" spans="2:263" s="72" customFormat="1">
      <c r="B977" s="73"/>
      <c r="C977" s="73"/>
      <c r="D977" s="73"/>
      <c r="E977" s="73"/>
      <c r="F977" s="73"/>
      <c r="G977" s="73"/>
      <c r="H977" s="73"/>
      <c r="I977" s="73"/>
      <c r="J977" s="73"/>
      <c r="K977" s="73"/>
      <c r="L977" s="73"/>
      <c r="M977" s="73"/>
      <c r="N977" s="73"/>
      <c r="O977" s="73"/>
      <c r="P977" s="73"/>
      <c r="Q977" s="73"/>
      <c r="R977" s="73"/>
      <c r="S977" s="73"/>
      <c r="T977" s="73"/>
      <c r="U977" s="73"/>
      <c r="V977" s="73"/>
      <c r="W977" s="73"/>
      <c r="GL977" s="73"/>
      <c r="GM977" s="73"/>
      <c r="GN977" s="73"/>
      <c r="GO977" s="73"/>
      <c r="GP977" s="73"/>
      <c r="GQ977" s="73"/>
      <c r="GR977" s="73"/>
      <c r="GS977" s="73"/>
      <c r="GT977" s="73"/>
      <c r="GU977" s="73"/>
      <c r="GV977" s="73"/>
      <c r="GW977" s="73"/>
      <c r="GX977" s="73"/>
      <c r="GY977" s="73"/>
      <c r="GZ977" s="73"/>
      <c r="HA977" s="73"/>
      <c r="HB977" s="73"/>
      <c r="HC977" s="73"/>
      <c r="HD977" s="73"/>
      <c r="HE977" s="73"/>
      <c r="HF977" s="73"/>
      <c r="HG977" s="73"/>
      <c r="HH977" s="73"/>
      <c r="HI977" s="73"/>
      <c r="HJ977" s="73"/>
      <c r="HK977" s="73"/>
      <c r="HL977" s="73"/>
      <c r="HM977" s="73"/>
      <c r="HN977" s="73"/>
      <c r="HO977" s="73"/>
      <c r="HP977" s="73"/>
      <c r="HQ977" s="73"/>
      <c r="HR977" s="73"/>
      <c r="HS977" s="73"/>
      <c r="HT977" s="73"/>
      <c r="HU977" s="73"/>
      <c r="HV977" s="73"/>
      <c r="HW977" s="73"/>
      <c r="HX977" s="73"/>
      <c r="HY977" s="73"/>
      <c r="HZ977" s="73"/>
      <c r="IA977" s="73"/>
      <c r="IB977" s="73"/>
      <c r="IC977" s="73"/>
      <c r="ID977" s="73"/>
      <c r="IE977" s="73"/>
      <c r="IF977" s="73"/>
      <c r="IG977" s="73"/>
      <c r="IH977" s="73"/>
      <c r="II977" s="73"/>
      <c r="IJ977" s="73"/>
      <c r="IK977" s="73"/>
      <c r="IL977" s="73"/>
      <c r="IM977" s="73"/>
      <c r="IN977" s="73"/>
      <c r="IO977" s="73"/>
      <c r="IP977" s="73"/>
      <c r="IQ977" s="73"/>
      <c r="IR977" s="73"/>
      <c r="IS977" s="73"/>
      <c r="IT977" s="73"/>
      <c r="IU977" s="73"/>
      <c r="IV977" s="73"/>
      <c r="IW977" s="73"/>
      <c r="IX977" s="73"/>
      <c r="IY977" s="73"/>
      <c r="IZ977" s="73"/>
      <c r="JA977" s="73"/>
      <c r="JB977" s="73"/>
      <c r="JC977" s="73"/>
    </row>
    <row r="978" spans="2:263" s="72" customFormat="1">
      <c r="B978" s="73"/>
      <c r="C978" s="73"/>
      <c r="D978" s="73"/>
      <c r="E978" s="73"/>
      <c r="F978" s="73"/>
      <c r="G978" s="73"/>
      <c r="H978" s="73"/>
      <c r="I978" s="73"/>
      <c r="J978" s="73"/>
      <c r="K978" s="73"/>
      <c r="L978" s="73"/>
      <c r="M978" s="73"/>
      <c r="N978" s="73"/>
      <c r="O978" s="73"/>
      <c r="P978" s="73"/>
      <c r="Q978" s="73"/>
      <c r="R978" s="73"/>
      <c r="S978" s="73"/>
      <c r="T978" s="73"/>
      <c r="U978" s="73"/>
      <c r="V978" s="73"/>
      <c r="W978" s="73"/>
      <c r="GL978" s="73"/>
      <c r="GM978" s="73"/>
      <c r="GN978" s="73"/>
      <c r="GO978" s="73"/>
      <c r="GP978" s="73"/>
      <c r="GQ978" s="73"/>
      <c r="GR978" s="73"/>
      <c r="GS978" s="73"/>
      <c r="GT978" s="73"/>
      <c r="GU978" s="73"/>
      <c r="GV978" s="73"/>
      <c r="GW978" s="73"/>
      <c r="GX978" s="73"/>
      <c r="GY978" s="73"/>
      <c r="GZ978" s="73"/>
      <c r="HA978" s="73"/>
      <c r="HB978" s="73"/>
      <c r="HC978" s="73"/>
      <c r="HD978" s="73"/>
      <c r="HE978" s="73"/>
      <c r="HF978" s="73"/>
      <c r="HG978" s="73"/>
      <c r="HH978" s="73"/>
      <c r="HI978" s="73"/>
      <c r="HJ978" s="73"/>
      <c r="HK978" s="73"/>
      <c r="HL978" s="73"/>
      <c r="HM978" s="73"/>
      <c r="HN978" s="73"/>
      <c r="HO978" s="73"/>
      <c r="HP978" s="73"/>
      <c r="HQ978" s="73"/>
      <c r="HR978" s="73"/>
      <c r="HS978" s="73"/>
      <c r="HT978" s="73"/>
      <c r="HU978" s="73"/>
      <c r="HV978" s="73"/>
      <c r="HW978" s="73"/>
      <c r="HX978" s="73"/>
      <c r="HY978" s="73"/>
      <c r="HZ978" s="73"/>
      <c r="IA978" s="73"/>
      <c r="IB978" s="73"/>
      <c r="IC978" s="73"/>
      <c r="ID978" s="73"/>
      <c r="IE978" s="73"/>
      <c r="IF978" s="73"/>
      <c r="IG978" s="73"/>
      <c r="IH978" s="73"/>
      <c r="II978" s="73"/>
      <c r="IJ978" s="73"/>
      <c r="IK978" s="73"/>
      <c r="IL978" s="73"/>
      <c r="IM978" s="73"/>
      <c r="IN978" s="73"/>
      <c r="IO978" s="73"/>
      <c r="IP978" s="73"/>
      <c r="IQ978" s="73"/>
      <c r="IR978" s="73"/>
      <c r="IS978" s="73"/>
      <c r="IT978" s="73"/>
      <c r="IU978" s="73"/>
      <c r="IV978" s="73"/>
      <c r="IW978" s="73"/>
      <c r="IX978" s="73"/>
      <c r="IY978" s="73"/>
      <c r="IZ978" s="73"/>
      <c r="JA978" s="73"/>
      <c r="JB978" s="73"/>
      <c r="JC978" s="73"/>
    </row>
    <row r="979" spans="2:263" s="72" customFormat="1">
      <c r="B979" s="73"/>
      <c r="C979" s="73"/>
      <c r="D979" s="73"/>
      <c r="E979" s="73"/>
      <c r="F979" s="73"/>
      <c r="G979" s="73"/>
      <c r="H979" s="73"/>
      <c r="I979" s="73"/>
      <c r="J979" s="73"/>
      <c r="K979" s="73"/>
      <c r="L979" s="73"/>
      <c r="M979" s="73"/>
      <c r="N979" s="73"/>
      <c r="O979" s="73"/>
      <c r="P979" s="73"/>
      <c r="Q979" s="73"/>
      <c r="R979" s="73"/>
      <c r="S979" s="73"/>
      <c r="T979" s="73"/>
      <c r="U979" s="73"/>
      <c r="V979" s="73"/>
      <c r="W979" s="73"/>
      <c r="GL979" s="73"/>
      <c r="GM979" s="73"/>
      <c r="GN979" s="73"/>
      <c r="GO979" s="73"/>
      <c r="GP979" s="73"/>
      <c r="GQ979" s="73"/>
      <c r="GR979" s="73"/>
      <c r="GS979" s="73"/>
      <c r="GT979" s="73"/>
      <c r="GU979" s="73"/>
      <c r="GV979" s="73"/>
      <c r="GW979" s="73"/>
      <c r="GX979" s="73"/>
      <c r="GY979" s="73"/>
      <c r="GZ979" s="73"/>
      <c r="HA979" s="73"/>
      <c r="HB979" s="73"/>
      <c r="HC979" s="73"/>
      <c r="HD979" s="73"/>
      <c r="HE979" s="73"/>
      <c r="HF979" s="73"/>
      <c r="HG979" s="73"/>
      <c r="HH979" s="73"/>
      <c r="HI979" s="73"/>
      <c r="HJ979" s="73"/>
      <c r="HK979" s="73"/>
      <c r="HL979" s="73"/>
      <c r="HM979" s="73"/>
      <c r="HN979" s="73"/>
      <c r="HO979" s="73"/>
      <c r="HP979" s="73"/>
      <c r="HQ979" s="73"/>
      <c r="HR979" s="73"/>
      <c r="HS979" s="73"/>
      <c r="HT979" s="73"/>
      <c r="HU979" s="73"/>
      <c r="HV979" s="73"/>
      <c r="HW979" s="73"/>
      <c r="HX979" s="73"/>
      <c r="HY979" s="73"/>
      <c r="HZ979" s="73"/>
      <c r="IA979" s="73"/>
      <c r="IB979" s="73"/>
      <c r="IC979" s="73"/>
      <c r="ID979" s="73"/>
      <c r="IE979" s="73"/>
      <c r="IF979" s="73"/>
      <c r="IG979" s="73"/>
      <c r="IH979" s="73"/>
      <c r="II979" s="73"/>
      <c r="IJ979" s="73"/>
      <c r="IK979" s="73"/>
      <c r="IL979" s="73"/>
      <c r="IM979" s="73"/>
      <c r="IN979" s="73"/>
      <c r="IO979" s="73"/>
      <c r="IP979" s="73"/>
      <c r="IQ979" s="73"/>
      <c r="IR979" s="73"/>
      <c r="IS979" s="73"/>
      <c r="IT979" s="73"/>
      <c r="IU979" s="73"/>
      <c r="IV979" s="73"/>
      <c r="IW979" s="73"/>
      <c r="IX979" s="73"/>
      <c r="IY979" s="73"/>
      <c r="IZ979" s="73"/>
      <c r="JA979" s="73"/>
      <c r="JB979" s="73"/>
      <c r="JC979" s="73"/>
    </row>
    <row r="980" spans="2:263" s="72" customFormat="1">
      <c r="B980" s="73"/>
      <c r="C980" s="73"/>
      <c r="D980" s="73"/>
      <c r="E980" s="73"/>
      <c r="F980" s="73"/>
      <c r="G980" s="73"/>
      <c r="H980" s="73"/>
      <c r="I980" s="73"/>
      <c r="J980" s="73"/>
      <c r="K980" s="73"/>
      <c r="L980" s="73"/>
      <c r="M980" s="73"/>
      <c r="N980" s="73"/>
      <c r="O980" s="73"/>
      <c r="P980" s="73"/>
      <c r="Q980" s="73"/>
      <c r="R980" s="73"/>
      <c r="S980" s="73"/>
      <c r="T980" s="73"/>
      <c r="U980" s="73"/>
      <c r="V980" s="73"/>
      <c r="W980" s="73"/>
      <c r="GL980" s="73"/>
      <c r="GM980" s="73"/>
      <c r="GN980" s="73"/>
      <c r="GO980" s="73"/>
      <c r="GP980" s="73"/>
      <c r="GQ980" s="73"/>
      <c r="GR980" s="73"/>
      <c r="GS980" s="73"/>
      <c r="GT980" s="73"/>
      <c r="GU980" s="73"/>
      <c r="GV980" s="73"/>
      <c r="GW980" s="73"/>
      <c r="GX980" s="73"/>
      <c r="GY980" s="73"/>
      <c r="GZ980" s="73"/>
      <c r="HA980" s="73"/>
      <c r="HB980" s="73"/>
      <c r="HC980" s="73"/>
      <c r="HD980" s="73"/>
      <c r="HE980" s="73"/>
      <c r="HF980" s="73"/>
      <c r="HG980" s="73"/>
      <c r="HH980" s="73"/>
      <c r="HI980" s="73"/>
      <c r="HJ980" s="73"/>
      <c r="HK980" s="73"/>
      <c r="HL980" s="73"/>
      <c r="HM980" s="73"/>
      <c r="HN980" s="73"/>
      <c r="HO980" s="73"/>
      <c r="HP980" s="73"/>
      <c r="HQ980" s="73"/>
      <c r="HR980" s="73"/>
      <c r="HS980" s="73"/>
      <c r="HT980" s="73"/>
      <c r="HU980" s="73"/>
      <c r="HV980" s="73"/>
      <c r="HW980" s="73"/>
      <c r="HX980" s="73"/>
      <c r="HY980" s="73"/>
      <c r="HZ980" s="73"/>
      <c r="IA980" s="73"/>
      <c r="IB980" s="73"/>
      <c r="IC980" s="73"/>
      <c r="ID980" s="73"/>
      <c r="IE980" s="73"/>
      <c r="IF980" s="73"/>
      <c r="IG980" s="73"/>
      <c r="IH980" s="73"/>
      <c r="II980" s="73"/>
      <c r="IJ980" s="73"/>
      <c r="IK980" s="73"/>
      <c r="IL980" s="73"/>
      <c r="IM980" s="73"/>
      <c r="IN980" s="73"/>
      <c r="IO980" s="73"/>
      <c r="IP980" s="73"/>
      <c r="IQ980" s="73"/>
      <c r="IR980" s="73"/>
      <c r="IS980" s="73"/>
      <c r="IT980" s="73"/>
      <c r="IU980" s="73"/>
      <c r="IV980" s="73"/>
      <c r="IW980" s="73"/>
      <c r="IX980" s="73"/>
      <c r="IY980" s="73"/>
      <c r="IZ980" s="73"/>
      <c r="JA980" s="73"/>
      <c r="JB980" s="73"/>
      <c r="JC980" s="73"/>
    </row>
    <row r="981" spans="2:263" s="72" customFormat="1">
      <c r="B981" s="73"/>
      <c r="C981" s="73"/>
      <c r="D981" s="73"/>
      <c r="E981" s="73"/>
      <c r="F981" s="73"/>
      <c r="G981" s="73"/>
      <c r="H981" s="73"/>
      <c r="I981" s="73"/>
      <c r="J981" s="73"/>
      <c r="K981" s="73"/>
      <c r="L981" s="73"/>
      <c r="M981" s="73"/>
      <c r="N981" s="73"/>
      <c r="O981" s="73"/>
      <c r="P981" s="73"/>
      <c r="Q981" s="73"/>
      <c r="R981" s="73"/>
      <c r="S981" s="73"/>
      <c r="T981" s="73"/>
      <c r="U981" s="73"/>
      <c r="V981" s="73"/>
      <c r="W981" s="73"/>
      <c r="GL981" s="73"/>
      <c r="GM981" s="73"/>
      <c r="GN981" s="73"/>
      <c r="GO981" s="73"/>
      <c r="GP981" s="73"/>
      <c r="GQ981" s="73"/>
      <c r="GR981" s="73"/>
      <c r="GS981" s="73"/>
      <c r="GT981" s="73"/>
      <c r="GU981" s="73"/>
      <c r="GV981" s="73"/>
      <c r="GW981" s="73"/>
      <c r="GX981" s="73"/>
      <c r="GY981" s="73"/>
      <c r="GZ981" s="73"/>
      <c r="HA981" s="73"/>
      <c r="HB981" s="73"/>
      <c r="HC981" s="73"/>
      <c r="HD981" s="73"/>
      <c r="HE981" s="73"/>
      <c r="HF981" s="73"/>
      <c r="HG981" s="73"/>
      <c r="HH981" s="73"/>
      <c r="HI981" s="73"/>
      <c r="HJ981" s="73"/>
      <c r="HK981" s="73"/>
      <c r="HL981" s="73"/>
      <c r="HM981" s="73"/>
      <c r="HN981" s="73"/>
      <c r="HO981" s="73"/>
      <c r="HP981" s="73"/>
      <c r="HQ981" s="73"/>
      <c r="HR981" s="73"/>
      <c r="HS981" s="73"/>
      <c r="HT981" s="73"/>
      <c r="HU981" s="73"/>
      <c r="HV981" s="73"/>
      <c r="HW981" s="73"/>
      <c r="HX981" s="73"/>
      <c r="HY981" s="73"/>
      <c r="HZ981" s="73"/>
      <c r="IA981" s="73"/>
      <c r="IB981" s="73"/>
      <c r="IC981" s="73"/>
      <c r="ID981" s="73"/>
      <c r="IE981" s="73"/>
      <c r="IF981" s="73"/>
      <c r="IG981" s="73"/>
      <c r="IH981" s="73"/>
      <c r="II981" s="73"/>
      <c r="IJ981" s="73"/>
      <c r="IK981" s="73"/>
      <c r="IL981" s="73"/>
      <c r="IM981" s="73"/>
      <c r="IN981" s="73"/>
      <c r="IO981" s="73"/>
      <c r="IP981" s="73"/>
      <c r="IQ981" s="73"/>
      <c r="IR981" s="73"/>
      <c r="IS981" s="73"/>
      <c r="IT981" s="73"/>
      <c r="IU981" s="73"/>
      <c r="IV981" s="73"/>
      <c r="IW981" s="73"/>
      <c r="IX981" s="73"/>
      <c r="IY981" s="73"/>
      <c r="IZ981" s="73"/>
      <c r="JA981" s="73"/>
      <c r="JB981" s="73"/>
      <c r="JC981" s="73"/>
    </row>
    <row r="982" spans="2:263" s="72" customFormat="1">
      <c r="B982" s="73"/>
      <c r="C982" s="73"/>
      <c r="D982" s="73"/>
      <c r="E982" s="73"/>
      <c r="F982" s="73"/>
      <c r="G982" s="73"/>
      <c r="H982" s="73"/>
      <c r="I982" s="73"/>
      <c r="J982" s="73"/>
      <c r="K982" s="73"/>
      <c r="L982" s="73"/>
      <c r="M982" s="73"/>
      <c r="N982" s="73"/>
      <c r="O982" s="73"/>
      <c r="P982" s="73"/>
      <c r="Q982" s="73"/>
      <c r="R982" s="73"/>
      <c r="S982" s="73"/>
      <c r="T982" s="73"/>
      <c r="U982" s="73"/>
      <c r="V982" s="73"/>
      <c r="W982" s="73"/>
      <c r="GL982" s="73"/>
      <c r="GM982" s="73"/>
      <c r="GN982" s="73"/>
      <c r="GO982" s="73"/>
      <c r="GP982" s="73"/>
      <c r="GQ982" s="73"/>
      <c r="GR982" s="73"/>
      <c r="GS982" s="73"/>
      <c r="GT982" s="73"/>
      <c r="GU982" s="73"/>
      <c r="GV982" s="73"/>
      <c r="GW982" s="73"/>
      <c r="GX982" s="73"/>
      <c r="GY982" s="73"/>
      <c r="GZ982" s="73"/>
      <c r="HA982" s="73"/>
      <c r="HB982" s="73"/>
      <c r="HC982" s="73"/>
      <c r="HD982" s="73"/>
      <c r="HE982" s="73"/>
      <c r="HF982" s="73"/>
      <c r="HG982" s="73"/>
      <c r="HH982" s="73"/>
      <c r="HI982" s="73"/>
      <c r="HJ982" s="73"/>
      <c r="HK982" s="73"/>
      <c r="HL982" s="73"/>
      <c r="HM982" s="73"/>
      <c r="HN982" s="73"/>
      <c r="HO982" s="73"/>
      <c r="HP982" s="73"/>
      <c r="HQ982" s="73"/>
      <c r="HR982" s="73"/>
      <c r="HS982" s="73"/>
      <c r="HT982" s="73"/>
      <c r="HU982" s="73"/>
      <c r="HV982" s="73"/>
      <c r="HW982" s="73"/>
      <c r="HX982" s="73"/>
      <c r="HY982" s="73"/>
      <c r="HZ982" s="73"/>
      <c r="IA982" s="73"/>
      <c r="IB982" s="73"/>
      <c r="IC982" s="73"/>
      <c r="ID982" s="73"/>
      <c r="IE982" s="73"/>
      <c r="IF982" s="73"/>
      <c r="IG982" s="73"/>
      <c r="IH982" s="73"/>
      <c r="II982" s="73"/>
      <c r="IJ982" s="73"/>
      <c r="IK982" s="73"/>
      <c r="IL982" s="73"/>
      <c r="IM982" s="73"/>
      <c r="IN982" s="73"/>
      <c r="IO982" s="73"/>
      <c r="IP982" s="73"/>
      <c r="IQ982" s="73"/>
      <c r="IR982" s="73"/>
      <c r="IS982" s="73"/>
      <c r="IT982" s="73"/>
      <c r="IU982" s="73"/>
      <c r="IV982" s="73"/>
      <c r="IW982" s="73"/>
      <c r="IX982" s="73"/>
      <c r="IY982" s="73"/>
      <c r="IZ982" s="73"/>
      <c r="JA982" s="73"/>
      <c r="JB982" s="73"/>
      <c r="JC982" s="73"/>
    </row>
    <row r="983" spans="2:263" s="72" customFormat="1">
      <c r="B983" s="73"/>
      <c r="C983" s="73"/>
      <c r="D983" s="73"/>
      <c r="E983" s="73"/>
      <c r="F983" s="73"/>
      <c r="G983" s="73"/>
      <c r="H983" s="73"/>
      <c r="I983" s="73"/>
      <c r="J983" s="73"/>
      <c r="K983" s="73"/>
      <c r="L983" s="73"/>
      <c r="M983" s="73"/>
      <c r="N983" s="73"/>
      <c r="O983" s="73"/>
      <c r="P983" s="73"/>
      <c r="Q983" s="73"/>
      <c r="R983" s="73"/>
      <c r="S983" s="73"/>
      <c r="T983" s="73"/>
      <c r="U983" s="73"/>
      <c r="V983" s="73"/>
      <c r="W983" s="73"/>
      <c r="GL983" s="73"/>
      <c r="GM983" s="73"/>
      <c r="GN983" s="73"/>
      <c r="GO983" s="73"/>
      <c r="GP983" s="73"/>
      <c r="GQ983" s="73"/>
      <c r="GR983" s="73"/>
      <c r="GS983" s="73"/>
      <c r="GT983" s="73"/>
      <c r="GU983" s="73"/>
      <c r="GV983" s="73"/>
      <c r="GW983" s="73"/>
      <c r="GX983" s="73"/>
      <c r="GY983" s="73"/>
      <c r="GZ983" s="73"/>
      <c r="HA983" s="73"/>
      <c r="HB983" s="73"/>
      <c r="HC983" s="73"/>
      <c r="HD983" s="73"/>
      <c r="HE983" s="73"/>
      <c r="HF983" s="73"/>
      <c r="HG983" s="73"/>
      <c r="HH983" s="73"/>
      <c r="HI983" s="73"/>
      <c r="HJ983" s="73"/>
      <c r="HK983" s="73"/>
      <c r="HL983" s="73"/>
      <c r="HM983" s="73"/>
      <c r="HN983" s="73"/>
      <c r="HO983" s="73"/>
      <c r="HP983" s="73"/>
      <c r="HQ983" s="73"/>
      <c r="HR983" s="73"/>
      <c r="HS983" s="73"/>
      <c r="HT983" s="73"/>
      <c r="HU983" s="73"/>
      <c r="HV983" s="73"/>
      <c r="HW983" s="73"/>
      <c r="HX983" s="73"/>
      <c r="HY983" s="73"/>
      <c r="HZ983" s="73"/>
      <c r="IA983" s="73"/>
      <c r="IB983" s="73"/>
      <c r="IC983" s="73"/>
      <c r="ID983" s="73"/>
      <c r="IE983" s="73"/>
      <c r="IF983" s="73"/>
      <c r="IG983" s="73"/>
      <c r="IH983" s="73"/>
      <c r="II983" s="73"/>
      <c r="IJ983" s="73"/>
      <c r="IK983" s="73"/>
      <c r="IL983" s="73"/>
      <c r="IM983" s="73"/>
      <c r="IN983" s="73"/>
      <c r="IO983" s="73"/>
      <c r="IP983" s="73"/>
      <c r="IQ983" s="73"/>
      <c r="IR983" s="73"/>
      <c r="IS983" s="73"/>
      <c r="IT983" s="73"/>
      <c r="IU983" s="73"/>
      <c r="IV983" s="73"/>
      <c r="IW983" s="73"/>
      <c r="IX983" s="73"/>
      <c r="IY983" s="73"/>
      <c r="IZ983" s="73"/>
      <c r="JA983" s="73"/>
      <c r="JB983" s="73"/>
      <c r="JC983" s="73"/>
    </row>
    <row r="984" spans="2:263" s="72" customFormat="1">
      <c r="B984" s="73"/>
      <c r="C984" s="73"/>
      <c r="D984" s="73"/>
      <c r="E984" s="73"/>
      <c r="F984" s="73"/>
      <c r="G984" s="73"/>
      <c r="H984" s="73"/>
      <c r="I984" s="73"/>
      <c r="J984" s="73"/>
      <c r="K984" s="73"/>
      <c r="L984" s="73"/>
      <c r="M984" s="73"/>
      <c r="N984" s="73"/>
      <c r="O984" s="73"/>
      <c r="P984" s="73"/>
      <c r="Q984" s="73"/>
      <c r="R984" s="73"/>
      <c r="S984" s="73"/>
      <c r="T984" s="73"/>
      <c r="U984" s="73"/>
      <c r="V984" s="73"/>
      <c r="W984" s="73"/>
      <c r="GL984" s="73"/>
      <c r="GM984" s="73"/>
      <c r="GN984" s="73"/>
      <c r="GO984" s="73"/>
      <c r="GP984" s="73"/>
      <c r="GQ984" s="73"/>
      <c r="GR984" s="73"/>
      <c r="GS984" s="73"/>
      <c r="GT984" s="73"/>
      <c r="GU984" s="73"/>
      <c r="GV984" s="73"/>
      <c r="GW984" s="73"/>
      <c r="GX984" s="73"/>
      <c r="GY984" s="73"/>
      <c r="GZ984" s="73"/>
      <c r="HA984" s="73"/>
      <c r="HB984" s="73"/>
      <c r="HC984" s="73"/>
      <c r="HD984" s="73"/>
      <c r="HE984" s="73"/>
      <c r="HF984" s="73"/>
      <c r="HG984" s="73"/>
      <c r="HH984" s="73"/>
      <c r="HI984" s="73"/>
      <c r="HJ984" s="73"/>
      <c r="HK984" s="73"/>
      <c r="HL984" s="73"/>
      <c r="HM984" s="73"/>
      <c r="HN984" s="73"/>
      <c r="HO984" s="73"/>
      <c r="HP984" s="73"/>
      <c r="HQ984" s="73"/>
      <c r="HR984" s="73"/>
      <c r="HS984" s="73"/>
      <c r="HT984" s="73"/>
      <c r="HU984" s="73"/>
      <c r="HV984" s="73"/>
      <c r="HW984" s="73"/>
      <c r="HX984" s="73"/>
      <c r="HY984" s="73"/>
      <c r="HZ984" s="73"/>
      <c r="IA984" s="73"/>
      <c r="IB984" s="73"/>
      <c r="IC984" s="73"/>
      <c r="ID984" s="73"/>
      <c r="IE984" s="73"/>
      <c r="IF984" s="73"/>
      <c r="IG984" s="73"/>
      <c r="IH984" s="73"/>
      <c r="II984" s="73"/>
      <c r="IJ984" s="73"/>
      <c r="IK984" s="73"/>
      <c r="IL984" s="73"/>
      <c r="IM984" s="73"/>
      <c r="IN984" s="73"/>
      <c r="IO984" s="73"/>
      <c r="IP984" s="73"/>
      <c r="IQ984" s="73"/>
      <c r="IR984" s="73"/>
      <c r="IS984" s="73"/>
      <c r="IT984" s="73"/>
      <c r="IU984" s="73"/>
      <c r="IV984" s="73"/>
      <c r="IW984" s="73"/>
      <c r="IX984" s="73"/>
      <c r="IY984" s="73"/>
      <c r="IZ984" s="73"/>
      <c r="JA984" s="73"/>
      <c r="JB984" s="73"/>
      <c r="JC984" s="73"/>
    </row>
    <row r="985" spans="2:263" s="72" customFormat="1">
      <c r="B985" s="73"/>
      <c r="C985" s="73"/>
      <c r="D985" s="73"/>
      <c r="E985" s="73"/>
      <c r="F985" s="73"/>
      <c r="G985" s="73"/>
      <c r="H985" s="73"/>
      <c r="I985" s="73"/>
      <c r="J985" s="73"/>
      <c r="K985" s="73"/>
      <c r="L985" s="73"/>
      <c r="M985" s="73"/>
      <c r="N985" s="73"/>
      <c r="O985" s="73"/>
      <c r="P985" s="73"/>
      <c r="Q985" s="73"/>
      <c r="R985" s="73"/>
      <c r="S985" s="73"/>
      <c r="T985" s="73"/>
      <c r="U985" s="73"/>
      <c r="V985" s="73"/>
      <c r="W985" s="73"/>
      <c r="GL985" s="73"/>
      <c r="GM985" s="73"/>
      <c r="GN985" s="73"/>
      <c r="GO985" s="73"/>
      <c r="GP985" s="73"/>
      <c r="GQ985" s="73"/>
      <c r="GR985" s="73"/>
      <c r="GS985" s="73"/>
      <c r="GT985" s="73"/>
      <c r="GU985" s="73"/>
      <c r="GV985" s="73"/>
      <c r="GW985" s="73"/>
      <c r="GX985" s="73"/>
      <c r="GY985" s="73"/>
      <c r="GZ985" s="73"/>
      <c r="HA985" s="73"/>
      <c r="HB985" s="73"/>
      <c r="HC985" s="73"/>
      <c r="HD985" s="73"/>
      <c r="HE985" s="73"/>
      <c r="HF985" s="73"/>
      <c r="HG985" s="73"/>
      <c r="HH985" s="73"/>
      <c r="HI985" s="73"/>
      <c r="HJ985" s="73"/>
      <c r="HK985" s="73"/>
      <c r="HL985" s="73"/>
      <c r="HM985" s="73"/>
      <c r="HN985" s="73"/>
      <c r="HO985" s="73"/>
      <c r="HP985" s="73"/>
      <c r="HQ985" s="73"/>
      <c r="HR985" s="73"/>
      <c r="HS985" s="73"/>
      <c r="HT985" s="73"/>
      <c r="HU985" s="73"/>
      <c r="HV985" s="73"/>
      <c r="HW985" s="73"/>
      <c r="HX985" s="73"/>
      <c r="HY985" s="73"/>
      <c r="HZ985" s="73"/>
      <c r="IA985" s="73"/>
      <c r="IB985" s="73"/>
      <c r="IC985" s="73"/>
      <c r="ID985" s="73"/>
      <c r="IE985" s="73"/>
      <c r="IF985" s="73"/>
      <c r="IG985" s="73"/>
      <c r="IH985" s="73"/>
      <c r="II985" s="73"/>
      <c r="IJ985" s="73"/>
      <c r="IK985" s="73"/>
      <c r="IL985" s="73"/>
      <c r="IM985" s="73"/>
      <c r="IN985" s="73"/>
      <c r="IO985" s="73"/>
      <c r="IP985" s="73"/>
      <c r="IQ985" s="73"/>
      <c r="IR985" s="73"/>
      <c r="IS985" s="73"/>
      <c r="IT985" s="73"/>
      <c r="IU985" s="73"/>
      <c r="IV985" s="73"/>
      <c r="IW985" s="73"/>
      <c r="IX985" s="73"/>
      <c r="IY985" s="73"/>
      <c r="IZ985" s="73"/>
      <c r="JA985" s="73"/>
      <c r="JB985" s="73"/>
      <c r="JC985" s="73"/>
    </row>
    <row r="986" spans="2:263" s="72" customFormat="1">
      <c r="B986" s="73"/>
      <c r="C986" s="73"/>
      <c r="D986" s="73"/>
      <c r="E986" s="73"/>
      <c r="F986" s="73"/>
      <c r="G986" s="73"/>
      <c r="H986" s="73"/>
      <c r="I986" s="73"/>
      <c r="J986" s="73"/>
      <c r="K986" s="73"/>
      <c r="L986" s="73"/>
      <c r="M986" s="73"/>
      <c r="N986" s="73"/>
      <c r="O986" s="73"/>
      <c r="P986" s="73"/>
      <c r="Q986" s="73"/>
      <c r="R986" s="73"/>
      <c r="S986" s="73"/>
      <c r="T986" s="73"/>
      <c r="U986" s="73"/>
      <c r="V986" s="73"/>
      <c r="W986" s="73"/>
      <c r="GL986" s="73"/>
      <c r="GM986" s="73"/>
      <c r="GN986" s="73"/>
      <c r="GO986" s="73"/>
      <c r="GP986" s="73"/>
      <c r="GQ986" s="73"/>
      <c r="GR986" s="73"/>
      <c r="GS986" s="73"/>
      <c r="GT986" s="73"/>
      <c r="GU986" s="73"/>
      <c r="GV986" s="73"/>
      <c r="GW986" s="73"/>
      <c r="GX986" s="73"/>
      <c r="GY986" s="73"/>
      <c r="GZ986" s="73"/>
      <c r="HA986" s="73"/>
      <c r="HB986" s="73"/>
      <c r="HC986" s="73"/>
      <c r="HD986" s="73"/>
      <c r="HE986" s="73"/>
      <c r="HF986" s="73"/>
      <c r="HG986" s="73"/>
      <c r="HH986" s="73"/>
      <c r="HI986" s="73"/>
      <c r="HJ986" s="73"/>
      <c r="HK986" s="73"/>
      <c r="HL986" s="73"/>
      <c r="HM986" s="73"/>
      <c r="HN986" s="73"/>
      <c r="HO986" s="73"/>
      <c r="HP986" s="73"/>
      <c r="HQ986" s="73"/>
      <c r="HR986" s="73"/>
      <c r="HS986" s="73"/>
      <c r="HT986" s="73"/>
      <c r="HU986" s="73"/>
      <c r="HV986" s="73"/>
      <c r="HW986" s="73"/>
      <c r="HX986" s="73"/>
      <c r="HY986" s="73"/>
      <c r="HZ986" s="73"/>
      <c r="IA986" s="73"/>
      <c r="IB986" s="73"/>
      <c r="IC986" s="73"/>
      <c r="ID986" s="73"/>
      <c r="IE986" s="73"/>
      <c r="IF986" s="73"/>
      <c r="IG986" s="73"/>
      <c r="IH986" s="73"/>
      <c r="II986" s="73"/>
      <c r="IJ986" s="73"/>
      <c r="IK986" s="73"/>
      <c r="IL986" s="73"/>
      <c r="IM986" s="73"/>
      <c r="IN986" s="73"/>
      <c r="IO986" s="73"/>
      <c r="IP986" s="73"/>
      <c r="IQ986" s="73"/>
      <c r="IR986" s="73"/>
      <c r="IS986" s="73"/>
      <c r="IT986" s="73"/>
      <c r="IU986" s="73"/>
      <c r="IV986" s="73"/>
      <c r="IW986" s="73"/>
      <c r="IX986" s="73"/>
      <c r="IY986" s="73"/>
      <c r="IZ986" s="73"/>
      <c r="JA986" s="73"/>
      <c r="JB986" s="73"/>
      <c r="JC986" s="73"/>
    </row>
    <row r="987" spans="2:263" s="72" customFormat="1">
      <c r="B987" s="73"/>
      <c r="C987" s="73"/>
      <c r="D987" s="73"/>
      <c r="E987" s="73"/>
      <c r="F987" s="73"/>
      <c r="G987" s="73"/>
      <c r="H987" s="73"/>
      <c r="I987" s="73"/>
      <c r="J987" s="73"/>
      <c r="K987" s="73"/>
      <c r="L987" s="73"/>
      <c r="M987" s="73"/>
      <c r="N987" s="73"/>
      <c r="O987" s="73"/>
      <c r="P987" s="73"/>
      <c r="Q987" s="73"/>
      <c r="R987" s="73"/>
      <c r="S987" s="73"/>
      <c r="T987" s="73"/>
      <c r="U987" s="73"/>
      <c r="V987" s="73"/>
      <c r="W987" s="73"/>
      <c r="GL987" s="73"/>
      <c r="GM987" s="73"/>
      <c r="GN987" s="73"/>
      <c r="GO987" s="73"/>
      <c r="GP987" s="73"/>
      <c r="GQ987" s="73"/>
      <c r="GR987" s="73"/>
      <c r="GS987" s="73"/>
      <c r="GT987" s="73"/>
      <c r="GU987" s="73"/>
      <c r="GV987" s="73"/>
      <c r="GW987" s="73"/>
      <c r="GX987" s="73"/>
      <c r="GY987" s="73"/>
      <c r="GZ987" s="73"/>
      <c r="HA987" s="73"/>
      <c r="HB987" s="73"/>
      <c r="HC987" s="73"/>
      <c r="HD987" s="73"/>
      <c r="HE987" s="73"/>
      <c r="HF987" s="73"/>
      <c r="HG987" s="73"/>
      <c r="HH987" s="73"/>
      <c r="HI987" s="73"/>
      <c r="HJ987" s="73"/>
      <c r="HK987" s="73"/>
      <c r="HL987" s="73"/>
      <c r="HM987" s="73"/>
      <c r="HN987" s="73"/>
      <c r="HO987" s="73"/>
      <c r="HP987" s="73"/>
      <c r="HQ987" s="73"/>
      <c r="HR987" s="73"/>
      <c r="HS987" s="73"/>
      <c r="HT987" s="73"/>
      <c r="HU987" s="73"/>
      <c r="HV987" s="73"/>
      <c r="HW987" s="73"/>
      <c r="HX987" s="73"/>
      <c r="HY987" s="73"/>
      <c r="HZ987" s="73"/>
      <c r="IA987" s="73"/>
      <c r="IB987" s="73"/>
      <c r="IC987" s="73"/>
      <c r="ID987" s="73"/>
      <c r="IE987" s="73"/>
      <c r="IF987" s="73"/>
      <c r="IG987" s="73"/>
      <c r="IH987" s="73"/>
      <c r="II987" s="73"/>
      <c r="IJ987" s="73"/>
      <c r="IK987" s="73"/>
      <c r="IL987" s="73"/>
      <c r="IM987" s="73"/>
      <c r="IN987" s="73"/>
      <c r="IO987" s="73"/>
      <c r="IP987" s="73"/>
      <c r="IQ987" s="73"/>
      <c r="IR987" s="73"/>
      <c r="IS987" s="73"/>
      <c r="IT987" s="73"/>
      <c r="IU987" s="73"/>
      <c r="IV987" s="73"/>
      <c r="IW987" s="73"/>
      <c r="IX987" s="73"/>
      <c r="IY987" s="73"/>
      <c r="IZ987" s="73"/>
      <c r="JA987" s="73"/>
      <c r="JB987" s="73"/>
      <c r="JC987" s="73"/>
    </row>
    <row r="988" spans="2:263" s="72" customFormat="1">
      <c r="B988" s="73"/>
      <c r="C988" s="73"/>
      <c r="D988" s="73"/>
      <c r="E988" s="73"/>
      <c r="F988" s="73"/>
      <c r="G988" s="73"/>
      <c r="H988" s="73"/>
      <c r="I988" s="73"/>
      <c r="J988" s="73"/>
      <c r="K988" s="73"/>
      <c r="L988" s="73"/>
      <c r="M988" s="73"/>
      <c r="N988" s="73"/>
      <c r="O988" s="73"/>
      <c r="P988" s="73"/>
      <c r="Q988" s="73"/>
      <c r="R988" s="73"/>
      <c r="S988" s="73"/>
      <c r="T988" s="73"/>
      <c r="U988" s="73"/>
      <c r="V988" s="73"/>
      <c r="W988" s="73"/>
      <c r="GL988" s="73"/>
      <c r="GM988" s="73"/>
      <c r="GN988" s="73"/>
      <c r="GO988" s="73"/>
      <c r="GP988" s="73"/>
      <c r="GQ988" s="73"/>
      <c r="GR988" s="73"/>
      <c r="GS988" s="73"/>
      <c r="GT988" s="73"/>
      <c r="GU988" s="73"/>
      <c r="GV988" s="73"/>
      <c r="GW988" s="73"/>
      <c r="GX988" s="73"/>
      <c r="GY988" s="73"/>
      <c r="GZ988" s="73"/>
      <c r="HA988" s="73"/>
      <c r="HB988" s="73"/>
      <c r="HC988" s="73"/>
      <c r="HD988" s="73"/>
      <c r="HE988" s="73"/>
      <c r="HF988" s="73"/>
      <c r="HG988" s="73"/>
      <c r="HH988" s="73"/>
      <c r="HI988" s="73"/>
      <c r="HJ988" s="73"/>
      <c r="HK988" s="73"/>
      <c r="HL988" s="73"/>
      <c r="HM988" s="73"/>
      <c r="HN988" s="73"/>
      <c r="HO988" s="73"/>
      <c r="HP988" s="73"/>
      <c r="HQ988" s="73"/>
      <c r="HR988" s="73"/>
      <c r="HS988" s="73"/>
      <c r="HT988" s="73"/>
      <c r="HU988" s="73"/>
      <c r="HV988" s="73"/>
      <c r="HW988" s="73"/>
      <c r="HX988" s="73"/>
      <c r="HY988" s="73"/>
      <c r="HZ988" s="73"/>
      <c r="IA988" s="73"/>
      <c r="IB988" s="73"/>
      <c r="IC988" s="73"/>
      <c r="ID988" s="73"/>
      <c r="IE988" s="73"/>
      <c r="IF988" s="73"/>
      <c r="IG988" s="73"/>
      <c r="IH988" s="73"/>
      <c r="II988" s="73"/>
      <c r="IJ988" s="73"/>
      <c r="IK988" s="73"/>
      <c r="IL988" s="73"/>
      <c r="IM988" s="73"/>
      <c r="IN988" s="73"/>
      <c r="IO988" s="73"/>
      <c r="IP988" s="73"/>
      <c r="IQ988" s="73"/>
      <c r="IR988" s="73"/>
      <c r="IS988" s="73"/>
      <c r="IT988" s="73"/>
      <c r="IU988" s="73"/>
      <c r="IV988" s="73"/>
      <c r="IW988" s="73"/>
      <c r="IX988" s="73"/>
      <c r="IY988" s="73"/>
      <c r="IZ988" s="73"/>
      <c r="JA988" s="73"/>
      <c r="JB988" s="73"/>
      <c r="JC988" s="73"/>
    </row>
    <row r="989" spans="2:263" s="72" customFormat="1">
      <c r="B989" s="73"/>
      <c r="C989" s="73"/>
      <c r="D989" s="73"/>
      <c r="E989" s="73"/>
      <c r="F989" s="73"/>
      <c r="G989" s="73"/>
      <c r="H989" s="73"/>
      <c r="I989" s="73"/>
      <c r="J989" s="73"/>
      <c r="K989" s="73"/>
      <c r="L989" s="73"/>
      <c r="M989" s="73"/>
      <c r="N989" s="73"/>
      <c r="O989" s="73"/>
      <c r="P989" s="73"/>
      <c r="Q989" s="73"/>
      <c r="R989" s="73"/>
      <c r="S989" s="73"/>
      <c r="T989" s="73"/>
      <c r="U989" s="73"/>
      <c r="V989" s="73"/>
      <c r="W989" s="73"/>
      <c r="GL989" s="73"/>
      <c r="GM989" s="73"/>
      <c r="GN989" s="73"/>
      <c r="GO989" s="73"/>
      <c r="GP989" s="73"/>
      <c r="GQ989" s="73"/>
      <c r="GR989" s="73"/>
      <c r="GS989" s="73"/>
      <c r="GT989" s="73"/>
      <c r="GU989" s="73"/>
      <c r="GV989" s="73"/>
      <c r="GW989" s="73"/>
      <c r="GX989" s="73"/>
      <c r="GY989" s="73"/>
      <c r="GZ989" s="73"/>
      <c r="HA989" s="73"/>
      <c r="HB989" s="73"/>
      <c r="HC989" s="73"/>
      <c r="HD989" s="73"/>
      <c r="HE989" s="73"/>
      <c r="HF989" s="73"/>
      <c r="HG989" s="73"/>
      <c r="HH989" s="73"/>
      <c r="HI989" s="73"/>
      <c r="HJ989" s="73"/>
      <c r="HK989" s="73"/>
      <c r="HL989" s="73"/>
      <c r="HM989" s="73"/>
      <c r="HN989" s="73"/>
      <c r="HO989" s="73"/>
      <c r="HP989" s="73"/>
      <c r="HQ989" s="73"/>
      <c r="HR989" s="73"/>
      <c r="HS989" s="73"/>
      <c r="HT989" s="73"/>
      <c r="HU989" s="73"/>
      <c r="HV989" s="73"/>
      <c r="HW989" s="73"/>
      <c r="HX989" s="73"/>
      <c r="HY989" s="73"/>
      <c r="HZ989" s="73"/>
      <c r="IA989" s="73"/>
      <c r="IB989" s="73"/>
      <c r="IC989" s="73"/>
      <c r="ID989" s="73"/>
      <c r="IE989" s="73"/>
      <c r="IF989" s="73"/>
      <c r="IG989" s="73"/>
      <c r="IH989" s="73"/>
      <c r="II989" s="73"/>
      <c r="IJ989" s="73"/>
      <c r="IK989" s="73"/>
      <c r="IL989" s="73"/>
      <c r="IM989" s="73"/>
      <c r="IN989" s="73"/>
      <c r="IO989" s="73"/>
      <c r="IP989" s="73"/>
      <c r="IQ989" s="73"/>
      <c r="IR989" s="73"/>
      <c r="IS989" s="73"/>
      <c r="IT989" s="73"/>
      <c r="IU989" s="73"/>
      <c r="IV989" s="73"/>
      <c r="IW989" s="73"/>
      <c r="IX989" s="73"/>
      <c r="IY989" s="73"/>
      <c r="IZ989" s="73"/>
      <c r="JA989" s="73"/>
      <c r="JB989" s="73"/>
      <c r="JC989" s="73"/>
    </row>
    <row r="990" spans="2:263" s="72" customFormat="1">
      <c r="B990" s="73"/>
      <c r="C990" s="73"/>
      <c r="D990" s="73"/>
      <c r="E990" s="73"/>
      <c r="F990" s="73"/>
      <c r="G990" s="73"/>
      <c r="H990" s="73"/>
      <c r="I990" s="73"/>
      <c r="J990" s="73"/>
      <c r="K990" s="73"/>
      <c r="L990" s="73"/>
      <c r="M990" s="73"/>
      <c r="N990" s="73"/>
      <c r="O990" s="73"/>
      <c r="P990" s="73"/>
      <c r="Q990" s="73"/>
      <c r="R990" s="73"/>
      <c r="S990" s="73"/>
      <c r="T990" s="73"/>
      <c r="U990" s="73"/>
      <c r="V990" s="73"/>
      <c r="W990" s="73"/>
      <c r="GL990" s="73"/>
      <c r="GM990" s="73"/>
      <c r="GN990" s="73"/>
      <c r="GO990" s="73"/>
      <c r="GP990" s="73"/>
      <c r="GQ990" s="73"/>
      <c r="GR990" s="73"/>
      <c r="GS990" s="73"/>
      <c r="GT990" s="73"/>
      <c r="GU990" s="73"/>
      <c r="GV990" s="73"/>
      <c r="GW990" s="73"/>
      <c r="GX990" s="73"/>
      <c r="GY990" s="73"/>
      <c r="GZ990" s="73"/>
      <c r="HA990" s="73"/>
      <c r="HB990" s="73"/>
      <c r="HC990" s="73"/>
      <c r="HD990" s="73"/>
      <c r="HE990" s="73"/>
      <c r="HF990" s="73"/>
      <c r="HG990" s="73"/>
      <c r="HH990" s="73"/>
      <c r="HI990" s="73"/>
      <c r="HJ990" s="73"/>
      <c r="HK990" s="73"/>
      <c r="HL990" s="73"/>
      <c r="HM990" s="73"/>
      <c r="HN990" s="73"/>
      <c r="HO990" s="73"/>
      <c r="HP990" s="73"/>
      <c r="HQ990" s="73"/>
      <c r="HR990" s="73"/>
      <c r="HS990" s="73"/>
      <c r="HT990" s="73"/>
      <c r="HU990" s="73"/>
      <c r="HV990" s="73"/>
      <c r="HW990" s="73"/>
      <c r="HX990" s="73"/>
      <c r="HY990" s="73"/>
      <c r="HZ990" s="73"/>
      <c r="IA990" s="73"/>
      <c r="IB990" s="73"/>
      <c r="IC990" s="73"/>
      <c r="ID990" s="73"/>
      <c r="IE990" s="73"/>
      <c r="IF990" s="73"/>
      <c r="IG990" s="73"/>
      <c r="IH990" s="73"/>
      <c r="II990" s="73"/>
      <c r="IJ990" s="73"/>
      <c r="IK990" s="73"/>
      <c r="IL990" s="73"/>
      <c r="IM990" s="73"/>
      <c r="IN990" s="73"/>
      <c r="IO990" s="73"/>
      <c r="IP990" s="73"/>
      <c r="IQ990" s="73"/>
      <c r="IR990" s="73"/>
      <c r="IS990" s="73"/>
      <c r="IT990" s="73"/>
      <c r="IU990" s="73"/>
      <c r="IV990" s="73"/>
      <c r="IW990" s="73"/>
      <c r="IX990" s="73"/>
      <c r="IY990" s="73"/>
      <c r="IZ990" s="73"/>
      <c r="JA990" s="73"/>
      <c r="JB990" s="73"/>
      <c r="JC990" s="73"/>
    </row>
    <row r="991" spans="2:263" s="72" customFormat="1">
      <c r="B991" s="73"/>
      <c r="C991" s="73"/>
      <c r="D991" s="73"/>
      <c r="E991" s="73"/>
      <c r="F991" s="73"/>
      <c r="G991" s="73"/>
      <c r="H991" s="73"/>
      <c r="I991" s="73"/>
      <c r="J991" s="73"/>
      <c r="K991" s="73"/>
      <c r="L991" s="73"/>
      <c r="M991" s="73"/>
      <c r="N991" s="73"/>
      <c r="O991" s="73"/>
      <c r="P991" s="73"/>
      <c r="Q991" s="73"/>
      <c r="R991" s="73"/>
      <c r="S991" s="73"/>
      <c r="T991" s="73"/>
      <c r="U991" s="73"/>
      <c r="V991" s="73"/>
      <c r="W991" s="73"/>
      <c r="GL991" s="73"/>
      <c r="GM991" s="73"/>
      <c r="GN991" s="73"/>
      <c r="GO991" s="73"/>
      <c r="GP991" s="73"/>
      <c r="GQ991" s="73"/>
      <c r="GR991" s="73"/>
      <c r="GS991" s="73"/>
      <c r="GT991" s="73"/>
      <c r="GU991" s="73"/>
      <c r="GV991" s="73"/>
      <c r="GW991" s="73"/>
      <c r="GX991" s="73"/>
      <c r="GY991" s="73"/>
      <c r="GZ991" s="73"/>
      <c r="HA991" s="73"/>
      <c r="HB991" s="73"/>
      <c r="HC991" s="73"/>
      <c r="HD991" s="73"/>
      <c r="HE991" s="73"/>
      <c r="HF991" s="73"/>
      <c r="HG991" s="73"/>
      <c r="HH991" s="73"/>
      <c r="HI991" s="73"/>
      <c r="HJ991" s="73"/>
      <c r="HK991" s="73"/>
      <c r="HL991" s="73"/>
      <c r="HM991" s="73"/>
      <c r="HN991" s="73"/>
      <c r="HO991" s="73"/>
      <c r="HP991" s="73"/>
      <c r="HQ991" s="73"/>
      <c r="HR991" s="73"/>
      <c r="HS991" s="73"/>
      <c r="HT991" s="73"/>
      <c r="HU991" s="73"/>
      <c r="HV991" s="73"/>
      <c r="HW991" s="73"/>
      <c r="HX991" s="73"/>
      <c r="HY991" s="73"/>
      <c r="HZ991" s="73"/>
      <c r="IA991" s="73"/>
      <c r="IB991" s="73"/>
      <c r="IC991" s="73"/>
      <c r="ID991" s="73"/>
      <c r="IE991" s="73"/>
      <c r="IF991" s="73"/>
      <c r="IG991" s="73"/>
      <c r="IH991" s="73"/>
      <c r="II991" s="73"/>
      <c r="IJ991" s="73"/>
      <c r="IK991" s="73"/>
      <c r="IL991" s="73"/>
      <c r="IM991" s="73"/>
      <c r="IN991" s="73"/>
      <c r="IO991" s="73"/>
      <c r="IP991" s="73"/>
      <c r="IQ991" s="73"/>
      <c r="IR991" s="73"/>
      <c r="IS991" s="73"/>
      <c r="IT991" s="73"/>
      <c r="IU991" s="73"/>
      <c r="IV991" s="73"/>
      <c r="IW991" s="73"/>
      <c r="IX991" s="73"/>
      <c r="IY991" s="73"/>
      <c r="IZ991" s="73"/>
      <c r="JA991" s="73"/>
      <c r="JB991" s="73"/>
      <c r="JC991" s="73"/>
    </row>
    <row r="992" spans="2:263" s="72" customFormat="1">
      <c r="B992" s="73"/>
      <c r="C992" s="73"/>
      <c r="D992" s="73"/>
      <c r="E992" s="73"/>
      <c r="F992" s="73"/>
      <c r="G992" s="73"/>
      <c r="H992" s="73"/>
      <c r="I992" s="73"/>
      <c r="J992" s="73"/>
      <c r="K992" s="73"/>
      <c r="L992" s="73"/>
      <c r="M992" s="73"/>
      <c r="N992" s="73"/>
      <c r="O992" s="73"/>
      <c r="P992" s="73"/>
      <c r="Q992" s="73"/>
      <c r="R992" s="73"/>
      <c r="S992" s="73"/>
      <c r="T992" s="73"/>
      <c r="U992" s="73"/>
      <c r="V992" s="73"/>
      <c r="W992" s="73"/>
      <c r="GL992" s="73"/>
      <c r="GM992" s="73"/>
      <c r="GN992" s="73"/>
      <c r="GO992" s="73"/>
      <c r="GP992" s="73"/>
      <c r="GQ992" s="73"/>
      <c r="GR992" s="73"/>
      <c r="GS992" s="73"/>
      <c r="GT992" s="73"/>
      <c r="GU992" s="73"/>
      <c r="GV992" s="73"/>
      <c r="GW992" s="73"/>
      <c r="GX992" s="73"/>
      <c r="GY992" s="73"/>
      <c r="GZ992" s="73"/>
      <c r="HA992" s="73"/>
      <c r="HB992" s="73"/>
      <c r="HC992" s="73"/>
      <c r="HD992" s="73"/>
      <c r="HE992" s="73"/>
      <c r="HF992" s="73"/>
      <c r="HG992" s="73"/>
      <c r="HH992" s="73"/>
      <c r="HI992" s="73"/>
      <c r="HJ992" s="73"/>
      <c r="HK992" s="73"/>
      <c r="HL992" s="73"/>
      <c r="HM992" s="73"/>
      <c r="HN992" s="73"/>
      <c r="HO992" s="73"/>
      <c r="HP992" s="73"/>
      <c r="HQ992" s="73"/>
      <c r="HR992" s="73"/>
      <c r="HS992" s="73"/>
      <c r="HT992" s="73"/>
      <c r="HU992" s="73"/>
      <c r="HV992" s="73"/>
      <c r="HW992" s="73"/>
      <c r="HX992" s="73"/>
      <c r="HY992" s="73"/>
      <c r="HZ992" s="73"/>
      <c r="IA992" s="73"/>
      <c r="IB992" s="73"/>
      <c r="IC992" s="73"/>
      <c r="ID992" s="73"/>
      <c r="IE992" s="73"/>
      <c r="IF992" s="73"/>
      <c r="IG992" s="73"/>
      <c r="IH992" s="73"/>
      <c r="II992" s="73"/>
      <c r="IJ992" s="73"/>
      <c r="IK992" s="73"/>
      <c r="IL992" s="73"/>
      <c r="IM992" s="73"/>
      <c r="IN992" s="73"/>
      <c r="IO992" s="73"/>
      <c r="IP992" s="73"/>
      <c r="IQ992" s="73"/>
      <c r="IR992" s="73"/>
      <c r="IS992" s="73"/>
      <c r="IT992" s="73"/>
      <c r="IU992" s="73"/>
      <c r="IV992" s="73"/>
      <c r="IW992" s="73"/>
      <c r="IX992" s="73"/>
      <c r="IY992" s="73"/>
      <c r="IZ992" s="73"/>
      <c r="JA992" s="73"/>
      <c r="JB992" s="73"/>
      <c r="JC992" s="73"/>
    </row>
    <row r="993" spans="2:263" s="72" customFormat="1">
      <c r="B993" s="73"/>
      <c r="C993" s="73"/>
      <c r="D993" s="73"/>
      <c r="E993" s="73"/>
      <c r="F993" s="73"/>
      <c r="G993" s="73"/>
      <c r="H993" s="73"/>
      <c r="I993" s="73"/>
      <c r="J993" s="73"/>
      <c r="K993" s="73"/>
      <c r="L993" s="73"/>
      <c r="M993" s="73"/>
      <c r="N993" s="73"/>
      <c r="O993" s="73"/>
      <c r="P993" s="73"/>
      <c r="Q993" s="73"/>
      <c r="R993" s="73"/>
      <c r="S993" s="73"/>
      <c r="T993" s="73"/>
      <c r="U993" s="73"/>
      <c r="V993" s="73"/>
      <c r="W993" s="73"/>
      <c r="GL993" s="73"/>
      <c r="GM993" s="73"/>
      <c r="GN993" s="73"/>
      <c r="GO993" s="73"/>
      <c r="GP993" s="73"/>
      <c r="GQ993" s="73"/>
      <c r="GR993" s="73"/>
      <c r="GS993" s="73"/>
      <c r="GT993" s="73"/>
      <c r="GU993" s="73"/>
      <c r="GV993" s="73"/>
      <c r="GW993" s="73"/>
      <c r="GX993" s="73"/>
      <c r="GY993" s="73"/>
      <c r="GZ993" s="73"/>
      <c r="HA993" s="73"/>
      <c r="HB993" s="73"/>
      <c r="HC993" s="73"/>
      <c r="HD993" s="73"/>
      <c r="HE993" s="73"/>
      <c r="HF993" s="73"/>
      <c r="HG993" s="73"/>
      <c r="HH993" s="73"/>
      <c r="HI993" s="73"/>
      <c r="HJ993" s="73"/>
      <c r="HK993" s="73"/>
      <c r="HL993" s="73"/>
      <c r="HM993" s="73"/>
      <c r="HN993" s="73"/>
      <c r="HO993" s="73"/>
      <c r="HP993" s="73"/>
      <c r="HQ993" s="73"/>
      <c r="HR993" s="73"/>
      <c r="HS993" s="73"/>
      <c r="HT993" s="73"/>
      <c r="HU993" s="73"/>
      <c r="HV993" s="73"/>
      <c r="HW993" s="73"/>
      <c r="HX993" s="73"/>
      <c r="HY993" s="73"/>
      <c r="HZ993" s="73"/>
      <c r="IA993" s="73"/>
      <c r="IB993" s="73"/>
      <c r="IC993" s="73"/>
      <c r="ID993" s="73"/>
      <c r="IE993" s="73"/>
      <c r="IF993" s="73"/>
      <c r="IG993" s="73"/>
      <c r="IH993" s="73"/>
      <c r="II993" s="73"/>
      <c r="IJ993" s="73"/>
      <c r="IK993" s="73"/>
      <c r="IL993" s="73"/>
      <c r="IM993" s="73"/>
      <c r="IN993" s="73"/>
      <c r="IO993" s="73"/>
      <c r="IP993" s="73"/>
      <c r="IQ993" s="73"/>
      <c r="IR993" s="73"/>
      <c r="IS993" s="73"/>
      <c r="IT993" s="73"/>
      <c r="IU993" s="73"/>
      <c r="IV993" s="73"/>
      <c r="IW993" s="73"/>
      <c r="IX993" s="73"/>
      <c r="IY993" s="73"/>
      <c r="IZ993" s="73"/>
      <c r="JA993" s="73"/>
      <c r="JB993" s="73"/>
      <c r="JC993" s="73"/>
    </row>
    <row r="994" spans="2:263" s="72" customFormat="1">
      <c r="B994" s="73"/>
      <c r="C994" s="73"/>
      <c r="D994" s="73"/>
      <c r="E994" s="73"/>
      <c r="F994" s="73"/>
      <c r="G994" s="73"/>
      <c r="H994" s="73"/>
      <c r="I994" s="73"/>
      <c r="J994" s="73"/>
      <c r="K994" s="73"/>
      <c r="L994" s="73"/>
      <c r="M994" s="73"/>
      <c r="N994" s="73"/>
      <c r="O994" s="73"/>
      <c r="P994" s="73"/>
      <c r="Q994" s="73"/>
      <c r="R994" s="73"/>
      <c r="S994" s="73"/>
      <c r="T994" s="73"/>
      <c r="U994" s="73"/>
      <c r="V994" s="73"/>
      <c r="W994" s="73"/>
      <c r="GL994" s="73"/>
      <c r="GM994" s="73"/>
      <c r="GN994" s="73"/>
      <c r="GO994" s="73"/>
      <c r="GP994" s="73"/>
      <c r="GQ994" s="73"/>
      <c r="GR994" s="73"/>
      <c r="GS994" s="73"/>
      <c r="GT994" s="73"/>
      <c r="GU994" s="73"/>
      <c r="GV994" s="73"/>
      <c r="GW994" s="73"/>
      <c r="GX994" s="73"/>
      <c r="GY994" s="73"/>
      <c r="GZ994" s="73"/>
      <c r="HA994" s="73"/>
      <c r="HB994" s="73"/>
      <c r="HC994" s="73"/>
      <c r="HD994" s="73"/>
      <c r="HE994" s="73"/>
      <c r="HF994" s="73"/>
      <c r="HG994" s="73"/>
      <c r="HH994" s="73"/>
      <c r="HI994" s="73"/>
      <c r="HJ994" s="73"/>
      <c r="HK994" s="73"/>
      <c r="HL994" s="73"/>
      <c r="HM994" s="73"/>
      <c r="HN994" s="73"/>
      <c r="HO994" s="73"/>
      <c r="HP994" s="73"/>
      <c r="HQ994" s="73"/>
      <c r="HR994" s="73"/>
      <c r="HS994" s="73"/>
      <c r="HT994" s="73"/>
      <c r="HU994" s="73"/>
      <c r="HV994" s="73"/>
      <c r="HW994" s="73"/>
      <c r="HX994" s="73"/>
      <c r="HY994" s="73"/>
      <c r="HZ994" s="73"/>
      <c r="IA994" s="73"/>
      <c r="IB994" s="73"/>
      <c r="IC994" s="73"/>
      <c r="ID994" s="73"/>
      <c r="IE994" s="73"/>
      <c r="IF994" s="73"/>
      <c r="IG994" s="73"/>
      <c r="IH994" s="73"/>
      <c r="II994" s="73"/>
      <c r="IJ994" s="73"/>
      <c r="IK994" s="73"/>
      <c r="IL994" s="73"/>
      <c r="IM994" s="73"/>
      <c r="IN994" s="73"/>
      <c r="IO994" s="73"/>
      <c r="IP994" s="73"/>
      <c r="IQ994" s="73"/>
      <c r="IR994" s="73"/>
      <c r="IS994" s="73"/>
      <c r="IT994" s="73"/>
      <c r="IU994" s="73"/>
      <c r="IV994" s="73"/>
      <c r="IW994" s="73"/>
      <c r="IX994" s="73"/>
      <c r="IY994" s="73"/>
      <c r="IZ994" s="73"/>
      <c r="JA994" s="73"/>
      <c r="JB994" s="73"/>
      <c r="JC994" s="73"/>
    </row>
    <row r="995" spans="2:263" s="72" customFormat="1">
      <c r="B995" s="73"/>
      <c r="C995" s="73"/>
      <c r="D995" s="73"/>
      <c r="E995" s="73"/>
      <c r="F995" s="73"/>
      <c r="G995" s="73"/>
      <c r="H995" s="73"/>
      <c r="I995" s="73"/>
      <c r="J995" s="73"/>
      <c r="K995" s="73"/>
      <c r="L995" s="73"/>
      <c r="M995" s="73"/>
      <c r="N995" s="73"/>
      <c r="O995" s="73"/>
      <c r="P995" s="73"/>
      <c r="Q995" s="73"/>
      <c r="R995" s="73"/>
      <c r="S995" s="73"/>
      <c r="T995" s="73"/>
      <c r="U995" s="73"/>
      <c r="V995" s="73"/>
      <c r="W995" s="73"/>
      <c r="GL995" s="73"/>
      <c r="GM995" s="73"/>
      <c r="GN995" s="73"/>
      <c r="GO995" s="73"/>
      <c r="GP995" s="73"/>
      <c r="GQ995" s="73"/>
      <c r="GR995" s="73"/>
      <c r="GS995" s="73"/>
      <c r="GT995" s="73"/>
      <c r="GU995" s="73"/>
      <c r="GV995" s="73"/>
      <c r="GW995" s="73"/>
      <c r="GX995" s="73"/>
      <c r="GY995" s="73"/>
      <c r="GZ995" s="73"/>
      <c r="HA995" s="73"/>
      <c r="HB995" s="73"/>
      <c r="HC995" s="73"/>
      <c r="HD995" s="73"/>
      <c r="HE995" s="73"/>
      <c r="HF995" s="73"/>
      <c r="HG995" s="73"/>
      <c r="HH995" s="73"/>
      <c r="HI995" s="73"/>
      <c r="HJ995" s="73"/>
      <c r="HK995" s="73"/>
      <c r="HL995" s="73"/>
      <c r="HM995" s="73"/>
      <c r="HN995" s="73"/>
      <c r="HO995" s="73"/>
      <c r="HP995" s="73"/>
      <c r="HQ995" s="73"/>
      <c r="HR995" s="73"/>
      <c r="HS995" s="73"/>
      <c r="HT995" s="73"/>
      <c r="HU995" s="73"/>
      <c r="HV995" s="73"/>
      <c r="HW995" s="73"/>
      <c r="HX995" s="73"/>
      <c r="HY995" s="73"/>
      <c r="HZ995" s="73"/>
      <c r="IA995" s="73"/>
      <c r="IB995" s="73"/>
      <c r="IC995" s="73"/>
      <c r="ID995" s="73"/>
      <c r="IE995" s="73"/>
      <c r="IF995" s="73"/>
      <c r="IG995" s="73"/>
      <c r="IH995" s="73"/>
      <c r="II995" s="73"/>
      <c r="IJ995" s="73"/>
      <c r="IK995" s="73"/>
      <c r="IL995" s="73"/>
      <c r="IM995" s="73"/>
      <c r="IN995" s="73"/>
      <c r="IO995" s="73"/>
      <c r="IP995" s="73"/>
      <c r="IQ995" s="73"/>
      <c r="IR995" s="73"/>
      <c r="IS995" s="73"/>
      <c r="IT995" s="73"/>
      <c r="IU995" s="73"/>
      <c r="IV995" s="73"/>
      <c r="IW995" s="73"/>
      <c r="IX995" s="73"/>
      <c r="IY995" s="73"/>
      <c r="IZ995" s="73"/>
      <c r="JA995" s="73"/>
      <c r="JB995" s="73"/>
      <c r="JC995" s="73"/>
    </row>
    <row r="996" spans="2:263" s="72" customFormat="1">
      <c r="B996" s="73"/>
      <c r="C996" s="73"/>
      <c r="D996" s="73"/>
      <c r="E996" s="73"/>
      <c r="F996" s="73"/>
      <c r="G996" s="73"/>
      <c r="H996" s="73"/>
      <c r="I996" s="73"/>
      <c r="J996" s="73"/>
      <c r="K996" s="73"/>
      <c r="L996" s="73"/>
      <c r="M996" s="73"/>
      <c r="N996" s="73"/>
      <c r="O996" s="73"/>
      <c r="P996" s="73"/>
      <c r="Q996" s="73"/>
      <c r="R996" s="73"/>
      <c r="S996" s="73"/>
      <c r="T996" s="73"/>
      <c r="U996" s="73"/>
      <c r="V996" s="73"/>
      <c r="W996" s="73"/>
      <c r="GL996" s="73"/>
      <c r="GM996" s="73"/>
      <c r="GN996" s="73"/>
      <c r="GO996" s="73"/>
      <c r="GP996" s="73"/>
      <c r="GQ996" s="73"/>
      <c r="GR996" s="73"/>
      <c r="GS996" s="73"/>
      <c r="GT996" s="73"/>
      <c r="GU996" s="73"/>
      <c r="GV996" s="73"/>
      <c r="GW996" s="73"/>
      <c r="GX996" s="73"/>
      <c r="GY996" s="73"/>
      <c r="GZ996" s="73"/>
      <c r="HA996" s="73"/>
      <c r="HB996" s="73"/>
      <c r="HC996" s="73"/>
      <c r="HD996" s="73"/>
      <c r="HE996" s="73"/>
      <c r="HF996" s="73"/>
      <c r="HG996" s="73"/>
      <c r="HH996" s="73"/>
      <c r="HI996" s="73"/>
      <c r="HJ996" s="73"/>
      <c r="HK996" s="73"/>
      <c r="HL996" s="73"/>
      <c r="HM996" s="73"/>
      <c r="HN996" s="73"/>
      <c r="HO996" s="73"/>
      <c r="HP996" s="73"/>
      <c r="HQ996" s="73"/>
      <c r="HR996" s="73"/>
      <c r="HS996" s="73"/>
      <c r="HT996" s="73"/>
      <c r="HU996" s="73"/>
      <c r="HV996" s="73"/>
      <c r="HW996" s="73"/>
      <c r="HX996" s="73"/>
      <c r="HY996" s="73"/>
      <c r="HZ996" s="73"/>
      <c r="IA996" s="73"/>
      <c r="IB996" s="73"/>
      <c r="IC996" s="73"/>
      <c r="ID996" s="73"/>
      <c r="IE996" s="73"/>
      <c r="IF996" s="73"/>
      <c r="IG996" s="73"/>
      <c r="IH996" s="73"/>
      <c r="II996" s="73"/>
      <c r="IJ996" s="73"/>
      <c r="IK996" s="73"/>
      <c r="IL996" s="73"/>
      <c r="IM996" s="73"/>
      <c r="IN996" s="73"/>
      <c r="IO996" s="73"/>
      <c r="IP996" s="73"/>
      <c r="IQ996" s="73"/>
      <c r="IR996" s="73"/>
      <c r="IS996" s="73"/>
      <c r="IT996" s="73"/>
      <c r="IU996" s="73"/>
      <c r="IV996" s="73"/>
      <c r="IW996" s="73"/>
      <c r="IX996" s="73"/>
      <c r="IY996" s="73"/>
      <c r="IZ996" s="73"/>
      <c r="JA996" s="73"/>
      <c r="JB996" s="73"/>
      <c r="JC996" s="73"/>
    </row>
    <row r="997" spans="2:263" s="72" customFormat="1">
      <c r="B997" s="73"/>
      <c r="C997" s="73"/>
      <c r="D997" s="73"/>
      <c r="E997" s="73"/>
      <c r="F997" s="73"/>
      <c r="G997" s="73"/>
      <c r="H997" s="73"/>
      <c r="I997" s="73"/>
      <c r="J997" s="73"/>
      <c r="K997" s="73"/>
      <c r="L997" s="73"/>
      <c r="M997" s="73"/>
      <c r="N997" s="73"/>
      <c r="O997" s="73"/>
      <c r="P997" s="73"/>
      <c r="Q997" s="73"/>
      <c r="R997" s="73"/>
      <c r="S997" s="73"/>
      <c r="T997" s="73"/>
      <c r="U997" s="73"/>
      <c r="V997" s="73"/>
      <c r="W997" s="73"/>
      <c r="GL997" s="73"/>
      <c r="GM997" s="73"/>
      <c r="GN997" s="73"/>
      <c r="GO997" s="73"/>
      <c r="GP997" s="73"/>
      <c r="GQ997" s="73"/>
      <c r="GR997" s="73"/>
      <c r="GS997" s="73"/>
      <c r="GT997" s="73"/>
      <c r="GU997" s="73"/>
      <c r="GV997" s="73"/>
      <c r="GW997" s="73"/>
      <c r="GX997" s="73"/>
      <c r="GY997" s="73"/>
      <c r="GZ997" s="73"/>
      <c r="HA997" s="73"/>
      <c r="HB997" s="73"/>
      <c r="HC997" s="73"/>
      <c r="HD997" s="73"/>
      <c r="HE997" s="73"/>
      <c r="HF997" s="73"/>
      <c r="HG997" s="73"/>
      <c r="HH997" s="73"/>
      <c r="HI997" s="73"/>
      <c r="HJ997" s="73"/>
      <c r="HK997" s="73"/>
      <c r="HL997" s="73"/>
      <c r="HM997" s="73"/>
      <c r="HN997" s="73"/>
      <c r="HO997" s="73"/>
      <c r="HP997" s="73"/>
      <c r="HQ997" s="73"/>
      <c r="HR997" s="73"/>
      <c r="HS997" s="73"/>
      <c r="HT997" s="73"/>
      <c r="HU997" s="73"/>
      <c r="HV997" s="73"/>
      <c r="HW997" s="73"/>
      <c r="HX997" s="73"/>
      <c r="HY997" s="73"/>
      <c r="HZ997" s="73"/>
      <c r="IA997" s="73"/>
      <c r="IB997" s="73"/>
      <c r="IC997" s="73"/>
      <c r="ID997" s="73"/>
      <c r="IE997" s="73"/>
      <c r="IF997" s="73"/>
      <c r="IG997" s="73"/>
      <c r="IH997" s="73"/>
      <c r="II997" s="73"/>
      <c r="IJ997" s="73"/>
      <c r="IK997" s="73"/>
      <c r="IL997" s="73"/>
      <c r="IM997" s="73"/>
      <c r="IN997" s="73"/>
      <c r="IO997" s="73"/>
      <c r="IP997" s="73"/>
      <c r="IQ997" s="73"/>
      <c r="IR997" s="73"/>
      <c r="IS997" s="73"/>
      <c r="IT997" s="73"/>
      <c r="IU997" s="73"/>
      <c r="IV997" s="73"/>
      <c r="IW997" s="73"/>
      <c r="IX997" s="73"/>
      <c r="IY997" s="73"/>
      <c r="IZ997" s="73"/>
      <c r="JA997" s="73"/>
      <c r="JB997" s="73"/>
      <c r="JC997" s="73"/>
    </row>
    <row r="998" spans="2:263" s="72" customFormat="1">
      <c r="B998" s="73"/>
      <c r="C998" s="73"/>
      <c r="D998" s="73"/>
      <c r="E998" s="73"/>
      <c r="F998" s="73"/>
      <c r="G998" s="73"/>
      <c r="H998" s="73"/>
      <c r="I998" s="73"/>
      <c r="J998" s="73"/>
      <c r="K998" s="73"/>
      <c r="L998" s="73"/>
      <c r="M998" s="73"/>
      <c r="N998" s="73"/>
      <c r="O998" s="73"/>
      <c r="P998" s="73"/>
      <c r="Q998" s="73"/>
      <c r="R998" s="73"/>
      <c r="S998" s="73"/>
      <c r="T998" s="73"/>
      <c r="U998" s="73"/>
      <c r="V998" s="73"/>
      <c r="W998" s="73"/>
      <c r="GL998" s="73"/>
      <c r="GM998" s="73"/>
      <c r="GN998" s="73"/>
      <c r="GO998" s="73"/>
      <c r="GP998" s="73"/>
      <c r="GQ998" s="73"/>
      <c r="GR998" s="73"/>
      <c r="GS998" s="73"/>
      <c r="GT998" s="73"/>
      <c r="GU998" s="73"/>
      <c r="GV998" s="73"/>
      <c r="GW998" s="73"/>
      <c r="GX998" s="73"/>
      <c r="GY998" s="73"/>
      <c r="GZ998" s="73"/>
      <c r="HA998" s="73"/>
      <c r="HB998" s="73"/>
      <c r="HC998" s="73"/>
      <c r="HD998" s="73"/>
      <c r="HE998" s="73"/>
      <c r="HF998" s="73"/>
      <c r="HG998" s="73"/>
      <c r="HH998" s="73"/>
      <c r="HI998" s="73"/>
      <c r="HJ998" s="73"/>
      <c r="HK998" s="73"/>
      <c r="HL998" s="73"/>
      <c r="HM998" s="73"/>
      <c r="HN998" s="73"/>
      <c r="HO998" s="73"/>
      <c r="HP998" s="73"/>
      <c r="HQ998" s="73"/>
      <c r="HR998" s="73"/>
      <c r="HS998" s="73"/>
      <c r="HT998" s="73"/>
      <c r="HU998" s="73"/>
      <c r="HV998" s="73"/>
      <c r="HW998" s="73"/>
      <c r="HX998" s="73"/>
      <c r="HY998" s="73"/>
      <c r="HZ998" s="73"/>
      <c r="IA998" s="73"/>
      <c r="IB998" s="73"/>
      <c r="IC998" s="73"/>
      <c r="ID998" s="73"/>
      <c r="IE998" s="73"/>
      <c r="IF998" s="73"/>
      <c r="IG998" s="73"/>
      <c r="IH998" s="73"/>
      <c r="II998" s="73"/>
      <c r="IJ998" s="73"/>
      <c r="IK998" s="73"/>
      <c r="IL998" s="73"/>
      <c r="IM998" s="73"/>
      <c r="IN998" s="73"/>
      <c r="IO998" s="73"/>
      <c r="IP998" s="73"/>
      <c r="IQ998" s="73"/>
      <c r="IR998" s="73"/>
      <c r="IS998" s="73"/>
      <c r="IT998" s="73"/>
      <c r="IU998" s="73"/>
      <c r="IV998" s="73"/>
      <c r="IW998" s="73"/>
      <c r="IX998" s="73"/>
      <c r="IY998" s="73"/>
      <c r="IZ998" s="73"/>
      <c r="JA998" s="73"/>
      <c r="JB998" s="73"/>
      <c r="JC998" s="73"/>
    </row>
    <row r="999" spans="2:263" s="72" customFormat="1">
      <c r="B999" s="73"/>
      <c r="C999" s="73"/>
      <c r="D999" s="73"/>
      <c r="E999" s="73"/>
      <c r="F999" s="73"/>
      <c r="G999" s="73"/>
      <c r="H999" s="73"/>
      <c r="I999" s="73"/>
      <c r="J999" s="73"/>
      <c r="K999" s="73"/>
      <c r="L999" s="73"/>
      <c r="M999" s="73"/>
      <c r="N999" s="73"/>
      <c r="O999" s="73"/>
      <c r="P999" s="73"/>
      <c r="Q999" s="73"/>
      <c r="R999" s="73"/>
      <c r="S999" s="73"/>
      <c r="T999" s="73"/>
      <c r="U999" s="73"/>
      <c r="V999" s="73"/>
      <c r="W999" s="73"/>
      <c r="GL999" s="73"/>
      <c r="GM999" s="73"/>
      <c r="GN999" s="73"/>
      <c r="GO999" s="73"/>
      <c r="GP999" s="73"/>
      <c r="GQ999" s="73"/>
      <c r="GR999" s="73"/>
      <c r="GS999" s="73"/>
      <c r="GT999" s="73"/>
      <c r="GU999" s="73"/>
      <c r="GV999" s="73"/>
      <c r="GW999" s="73"/>
      <c r="GX999" s="73"/>
      <c r="GY999" s="73"/>
      <c r="GZ999" s="73"/>
      <c r="HA999" s="73"/>
      <c r="HB999" s="73"/>
      <c r="HC999" s="73"/>
      <c r="HD999" s="73"/>
      <c r="HE999" s="73"/>
      <c r="HF999" s="73"/>
      <c r="HG999" s="73"/>
      <c r="HH999" s="73"/>
      <c r="HI999" s="73"/>
      <c r="HJ999" s="73"/>
      <c r="HK999" s="73"/>
      <c r="HL999" s="73"/>
      <c r="HM999" s="73"/>
      <c r="HN999" s="73"/>
      <c r="HO999" s="73"/>
      <c r="HP999" s="73"/>
      <c r="HQ999" s="73"/>
      <c r="HR999" s="73"/>
      <c r="HS999" s="73"/>
      <c r="HT999" s="73"/>
      <c r="HU999" s="73"/>
      <c r="HV999" s="73"/>
      <c r="HW999" s="73"/>
      <c r="HX999" s="73"/>
      <c r="HY999" s="73"/>
      <c r="HZ999" s="73"/>
      <c r="IA999" s="73"/>
      <c r="IB999" s="73"/>
      <c r="IC999" s="73"/>
      <c r="ID999" s="73"/>
      <c r="IE999" s="73"/>
      <c r="IF999" s="73"/>
      <c r="IG999" s="73"/>
      <c r="IH999" s="73"/>
      <c r="II999" s="73"/>
      <c r="IJ999" s="73"/>
      <c r="IK999" s="73"/>
      <c r="IL999" s="73"/>
      <c r="IM999" s="73"/>
      <c r="IN999" s="73"/>
      <c r="IO999" s="73"/>
      <c r="IP999" s="73"/>
      <c r="IQ999" s="73"/>
      <c r="IR999" s="73"/>
      <c r="IS999" s="73"/>
      <c r="IT999" s="73"/>
      <c r="IU999" s="73"/>
      <c r="IV999" s="73"/>
      <c r="IW999" s="73"/>
      <c r="IX999" s="73"/>
      <c r="IY999" s="73"/>
      <c r="IZ999" s="73"/>
      <c r="JA999" s="73"/>
      <c r="JB999" s="73"/>
      <c r="JC999" s="73"/>
    </row>
    <row r="1000" spans="2:263" s="72" customFormat="1">
      <c r="B1000" s="73"/>
      <c r="C1000" s="73"/>
      <c r="D1000" s="73"/>
      <c r="E1000" s="73"/>
      <c r="F1000" s="73"/>
      <c r="G1000" s="73"/>
      <c r="H1000" s="73"/>
      <c r="I1000" s="73"/>
      <c r="J1000" s="73"/>
      <c r="K1000" s="73"/>
      <c r="L1000" s="73"/>
      <c r="M1000" s="73"/>
      <c r="N1000" s="73"/>
      <c r="O1000" s="73"/>
      <c r="P1000" s="73"/>
      <c r="Q1000" s="73"/>
      <c r="R1000" s="73"/>
      <c r="S1000" s="73"/>
      <c r="T1000" s="73"/>
      <c r="U1000" s="73"/>
      <c r="V1000" s="73"/>
      <c r="W1000" s="73"/>
      <c r="GL1000" s="73"/>
      <c r="GM1000" s="73"/>
      <c r="GN1000" s="73"/>
      <c r="GO1000" s="73"/>
      <c r="GP1000" s="73"/>
      <c r="GQ1000" s="73"/>
      <c r="GR1000" s="73"/>
      <c r="GS1000" s="73"/>
      <c r="GT1000" s="73"/>
      <c r="GU1000" s="73"/>
      <c r="GV1000" s="73"/>
      <c r="GW1000" s="73"/>
      <c r="GX1000" s="73"/>
      <c r="GY1000" s="73"/>
      <c r="GZ1000" s="73"/>
      <c r="HA1000" s="73"/>
      <c r="HB1000" s="73"/>
      <c r="HC1000" s="73"/>
      <c r="HD1000" s="73"/>
      <c r="HE1000" s="73"/>
      <c r="HF1000" s="73"/>
      <c r="HG1000" s="73"/>
      <c r="HH1000" s="73"/>
      <c r="HI1000" s="73"/>
      <c r="HJ1000" s="73"/>
      <c r="HK1000" s="73"/>
      <c r="HL1000" s="73"/>
      <c r="HM1000" s="73"/>
      <c r="HN1000" s="73"/>
      <c r="HO1000" s="73"/>
      <c r="HP1000" s="73"/>
      <c r="HQ1000" s="73"/>
      <c r="HR1000" s="73"/>
      <c r="HS1000" s="73"/>
      <c r="HT1000" s="73"/>
      <c r="HU1000" s="73"/>
      <c r="HV1000" s="73"/>
      <c r="HW1000" s="73"/>
      <c r="HX1000" s="73"/>
      <c r="HY1000" s="73"/>
      <c r="HZ1000" s="73"/>
      <c r="IA1000" s="73"/>
      <c r="IB1000" s="73"/>
      <c r="IC1000" s="73"/>
      <c r="ID1000" s="73"/>
      <c r="IE1000" s="73"/>
      <c r="IF1000" s="73"/>
      <c r="IG1000" s="73"/>
      <c r="IH1000" s="73"/>
      <c r="II1000" s="73"/>
      <c r="IJ1000" s="73"/>
      <c r="IK1000" s="73"/>
      <c r="IL1000" s="73"/>
      <c r="IM1000" s="73"/>
      <c r="IN1000" s="73"/>
      <c r="IO1000" s="73"/>
      <c r="IP1000" s="73"/>
      <c r="IQ1000" s="73"/>
      <c r="IR1000" s="73"/>
      <c r="IS1000" s="73"/>
      <c r="IT1000" s="73"/>
      <c r="IU1000" s="73"/>
      <c r="IV1000" s="73"/>
      <c r="IW1000" s="73"/>
      <c r="IX1000" s="73"/>
      <c r="IY1000" s="73"/>
      <c r="IZ1000" s="73"/>
      <c r="JA1000" s="73"/>
      <c r="JB1000" s="73"/>
      <c r="JC1000" s="73"/>
    </row>
    <row r="1001" spans="2:263" s="72" customFormat="1">
      <c r="B1001" s="73"/>
      <c r="C1001" s="73"/>
      <c r="D1001" s="73"/>
      <c r="E1001" s="73"/>
      <c r="F1001" s="73"/>
      <c r="G1001" s="73"/>
      <c r="H1001" s="73"/>
      <c r="I1001" s="73"/>
      <c r="J1001" s="73"/>
      <c r="K1001" s="73"/>
      <c r="L1001" s="73"/>
      <c r="M1001" s="73"/>
      <c r="N1001" s="73"/>
      <c r="O1001" s="73"/>
      <c r="P1001" s="73"/>
      <c r="Q1001" s="73"/>
      <c r="R1001" s="73"/>
      <c r="S1001" s="73"/>
      <c r="T1001" s="73"/>
      <c r="U1001" s="73"/>
      <c r="V1001" s="73"/>
      <c r="W1001" s="73"/>
      <c r="GL1001" s="73"/>
      <c r="GM1001" s="73"/>
      <c r="GN1001" s="73"/>
      <c r="GO1001" s="73"/>
      <c r="GP1001" s="73"/>
      <c r="GQ1001" s="73"/>
      <c r="GR1001" s="73"/>
      <c r="GS1001" s="73"/>
      <c r="GT1001" s="73"/>
      <c r="GU1001" s="73"/>
      <c r="GV1001" s="73"/>
      <c r="GW1001" s="73"/>
      <c r="GX1001" s="73"/>
      <c r="GY1001" s="73"/>
      <c r="GZ1001" s="73"/>
      <c r="HA1001" s="73"/>
      <c r="HB1001" s="73"/>
      <c r="HC1001" s="73"/>
      <c r="HD1001" s="73"/>
      <c r="HE1001" s="73"/>
      <c r="HF1001" s="73"/>
      <c r="HG1001" s="73"/>
      <c r="HH1001" s="73"/>
      <c r="HI1001" s="73"/>
      <c r="HJ1001" s="73"/>
      <c r="HK1001" s="73"/>
      <c r="HL1001" s="73"/>
      <c r="HM1001" s="73"/>
      <c r="HN1001" s="73"/>
      <c r="HO1001" s="73"/>
      <c r="HP1001" s="73"/>
      <c r="HQ1001" s="73"/>
      <c r="HR1001" s="73"/>
      <c r="HS1001" s="73"/>
      <c r="HT1001" s="73"/>
      <c r="HU1001" s="73"/>
      <c r="HV1001" s="73"/>
      <c r="HW1001" s="73"/>
      <c r="HX1001" s="73"/>
      <c r="HY1001" s="73"/>
      <c r="HZ1001" s="73"/>
      <c r="IA1001" s="73"/>
      <c r="IB1001" s="73"/>
      <c r="IC1001" s="73"/>
      <c r="ID1001" s="73"/>
      <c r="IE1001" s="73"/>
      <c r="IF1001" s="73"/>
      <c r="IG1001" s="73"/>
      <c r="IH1001" s="73"/>
      <c r="II1001" s="73"/>
      <c r="IJ1001" s="73"/>
      <c r="IK1001" s="73"/>
      <c r="IL1001" s="73"/>
      <c r="IM1001" s="73"/>
      <c r="IN1001" s="73"/>
      <c r="IO1001" s="73"/>
      <c r="IP1001" s="73"/>
      <c r="IQ1001" s="73"/>
      <c r="IR1001" s="73"/>
      <c r="IS1001" s="73"/>
      <c r="IT1001" s="73"/>
      <c r="IU1001" s="73"/>
      <c r="IV1001" s="73"/>
      <c r="IW1001" s="73"/>
      <c r="IX1001" s="73"/>
      <c r="IY1001" s="73"/>
      <c r="IZ1001" s="73"/>
      <c r="JA1001" s="73"/>
      <c r="JB1001" s="73"/>
      <c r="JC1001" s="73"/>
    </row>
    <row r="1002" spans="2:263" s="72" customFormat="1">
      <c r="B1002" s="73"/>
      <c r="C1002" s="73"/>
      <c r="D1002" s="73"/>
      <c r="E1002" s="73"/>
      <c r="F1002" s="73"/>
      <c r="G1002" s="73"/>
      <c r="H1002" s="73"/>
      <c r="I1002" s="73"/>
      <c r="J1002" s="73"/>
      <c r="K1002" s="73"/>
      <c r="L1002" s="73"/>
      <c r="M1002" s="73"/>
      <c r="N1002" s="73"/>
      <c r="O1002" s="73"/>
      <c r="P1002" s="73"/>
      <c r="Q1002" s="73"/>
      <c r="R1002" s="73"/>
      <c r="S1002" s="73"/>
      <c r="T1002" s="73"/>
      <c r="U1002" s="73"/>
      <c r="V1002" s="73"/>
      <c r="W1002" s="73"/>
      <c r="GL1002" s="73"/>
      <c r="GM1002" s="73"/>
      <c r="GN1002" s="73"/>
      <c r="GO1002" s="73"/>
      <c r="GP1002" s="73"/>
      <c r="GQ1002" s="73"/>
      <c r="GR1002" s="73"/>
      <c r="GS1002" s="73"/>
      <c r="GT1002" s="73"/>
      <c r="GU1002" s="73"/>
      <c r="GV1002" s="73"/>
      <c r="GW1002" s="73"/>
      <c r="GX1002" s="73"/>
      <c r="GY1002" s="73"/>
      <c r="GZ1002" s="73"/>
      <c r="HA1002" s="73"/>
      <c r="HB1002" s="73"/>
      <c r="HC1002" s="73"/>
      <c r="HD1002" s="73"/>
      <c r="HE1002" s="73"/>
      <c r="HF1002" s="73"/>
      <c r="HG1002" s="73"/>
      <c r="HH1002" s="73"/>
      <c r="HI1002" s="73"/>
      <c r="HJ1002" s="73"/>
      <c r="HK1002" s="73"/>
      <c r="HL1002" s="73"/>
      <c r="HM1002" s="73"/>
      <c r="HN1002" s="73"/>
      <c r="HO1002" s="73"/>
      <c r="HP1002" s="73"/>
      <c r="HQ1002" s="73"/>
      <c r="HR1002" s="73"/>
      <c r="HS1002" s="73"/>
      <c r="HT1002" s="73"/>
      <c r="HU1002" s="73"/>
      <c r="HV1002" s="73"/>
      <c r="HW1002" s="73"/>
      <c r="HX1002" s="73"/>
      <c r="HY1002" s="73"/>
      <c r="HZ1002" s="73"/>
      <c r="IA1002" s="73"/>
      <c r="IB1002" s="73"/>
      <c r="IC1002" s="73"/>
      <c r="ID1002" s="73"/>
      <c r="IE1002" s="73"/>
      <c r="IF1002" s="73"/>
      <c r="IG1002" s="73"/>
      <c r="IH1002" s="73"/>
      <c r="II1002" s="73"/>
      <c r="IJ1002" s="73"/>
      <c r="IK1002" s="73"/>
      <c r="IL1002" s="73"/>
      <c r="IM1002" s="73"/>
      <c r="IN1002" s="73"/>
      <c r="IO1002" s="73"/>
      <c r="IP1002" s="73"/>
      <c r="IQ1002" s="73"/>
      <c r="IR1002" s="73"/>
      <c r="IS1002" s="73"/>
      <c r="IT1002" s="73"/>
      <c r="IU1002" s="73"/>
      <c r="IV1002" s="73"/>
      <c r="IW1002" s="73"/>
      <c r="IX1002" s="73"/>
      <c r="IY1002" s="73"/>
      <c r="IZ1002" s="73"/>
      <c r="JA1002" s="73"/>
      <c r="JB1002" s="73"/>
      <c r="JC1002" s="73"/>
    </row>
    <row r="1003" spans="2:263" s="72" customFormat="1">
      <c r="B1003" s="73"/>
      <c r="C1003" s="73"/>
      <c r="D1003" s="73"/>
      <c r="E1003" s="73"/>
      <c r="F1003" s="73"/>
      <c r="G1003" s="73"/>
      <c r="H1003" s="73"/>
      <c r="I1003" s="73"/>
      <c r="J1003" s="73"/>
      <c r="K1003" s="73"/>
      <c r="L1003" s="73"/>
      <c r="M1003" s="73"/>
      <c r="N1003" s="73"/>
      <c r="O1003" s="73"/>
      <c r="P1003" s="73"/>
      <c r="Q1003" s="73"/>
      <c r="R1003" s="73"/>
      <c r="S1003" s="73"/>
      <c r="T1003" s="73"/>
      <c r="U1003" s="73"/>
      <c r="V1003" s="73"/>
      <c r="W1003" s="73"/>
      <c r="GL1003" s="73"/>
      <c r="GM1003" s="73"/>
      <c r="GN1003" s="73"/>
      <c r="GO1003" s="73"/>
      <c r="GP1003" s="73"/>
      <c r="GQ1003" s="73"/>
      <c r="GR1003" s="73"/>
      <c r="GS1003" s="73"/>
      <c r="GT1003" s="73"/>
      <c r="GU1003" s="73"/>
      <c r="GV1003" s="73"/>
      <c r="GW1003" s="73"/>
      <c r="GX1003" s="73"/>
      <c r="GY1003" s="73"/>
      <c r="GZ1003" s="73"/>
      <c r="HA1003" s="73"/>
      <c r="HB1003" s="73"/>
      <c r="HC1003" s="73"/>
      <c r="HD1003" s="73"/>
      <c r="HE1003" s="73"/>
      <c r="HF1003" s="73"/>
      <c r="HG1003" s="73"/>
      <c r="HH1003" s="73"/>
      <c r="HI1003" s="73"/>
      <c r="HJ1003" s="73"/>
      <c r="HK1003" s="73"/>
      <c r="HL1003" s="73"/>
      <c r="HM1003" s="73"/>
      <c r="HN1003" s="73"/>
      <c r="HO1003" s="73"/>
      <c r="HP1003" s="73"/>
      <c r="HQ1003" s="73"/>
      <c r="HR1003" s="73"/>
      <c r="HS1003" s="73"/>
      <c r="HT1003" s="73"/>
      <c r="HU1003" s="73"/>
      <c r="HV1003" s="73"/>
      <c r="HW1003" s="73"/>
      <c r="HX1003" s="73"/>
      <c r="HY1003" s="73"/>
      <c r="HZ1003" s="73"/>
      <c r="IA1003" s="73"/>
      <c r="IB1003" s="73"/>
      <c r="IC1003" s="73"/>
      <c r="ID1003" s="73"/>
      <c r="IE1003" s="73"/>
      <c r="IF1003" s="73"/>
      <c r="IG1003" s="73"/>
      <c r="IH1003" s="73"/>
      <c r="II1003" s="73"/>
      <c r="IJ1003" s="73"/>
      <c r="IK1003" s="73"/>
      <c r="IL1003" s="73"/>
      <c r="IM1003" s="73"/>
      <c r="IN1003" s="73"/>
      <c r="IO1003" s="73"/>
      <c r="IP1003" s="73"/>
      <c r="IQ1003" s="73"/>
      <c r="IR1003" s="73"/>
      <c r="IS1003" s="73"/>
      <c r="IT1003" s="73"/>
      <c r="IU1003" s="73"/>
      <c r="IV1003" s="73"/>
      <c r="IW1003" s="73"/>
      <c r="IX1003" s="73"/>
      <c r="IY1003" s="73"/>
      <c r="IZ1003" s="73"/>
      <c r="JA1003" s="73"/>
      <c r="JB1003" s="73"/>
      <c r="JC1003" s="73"/>
    </row>
    <row r="1004" spans="2:263" s="72" customFormat="1">
      <c r="B1004" s="73"/>
      <c r="C1004" s="73"/>
      <c r="D1004" s="73"/>
      <c r="E1004" s="73"/>
      <c r="F1004" s="73"/>
      <c r="G1004" s="73"/>
      <c r="H1004" s="73"/>
      <c r="I1004" s="73"/>
      <c r="J1004" s="73"/>
      <c r="K1004" s="73"/>
      <c r="L1004" s="73"/>
      <c r="M1004" s="73"/>
      <c r="N1004" s="73"/>
      <c r="O1004" s="73"/>
      <c r="P1004" s="73"/>
      <c r="Q1004" s="73"/>
      <c r="R1004" s="73"/>
      <c r="S1004" s="73"/>
      <c r="T1004" s="73"/>
      <c r="U1004" s="73"/>
      <c r="V1004" s="73"/>
      <c r="W1004" s="73"/>
      <c r="GL1004" s="73"/>
      <c r="GM1004" s="73"/>
      <c r="GN1004" s="73"/>
      <c r="GO1004" s="73"/>
      <c r="GP1004" s="73"/>
      <c r="GQ1004" s="73"/>
      <c r="GR1004" s="73"/>
      <c r="GS1004" s="73"/>
      <c r="GT1004" s="73"/>
      <c r="GU1004" s="73"/>
      <c r="GV1004" s="73"/>
      <c r="GW1004" s="73"/>
      <c r="GX1004" s="73"/>
      <c r="GY1004" s="73"/>
      <c r="GZ1004" s="73"/>
      <c r="HA1004" s="73"/>
      <c r="HB1004" s="73"/>
      <c r="HC1004" s="73"/>
      <c r="HD1004" s="73"/>
      <c r="HE1004" s="73"/>
      <c r="HF1004" s="73"/>
      <c r="HG1004" s="73"/>
      <c r="HH1004" s="73"/>
      <c r="HI1004" s="73"/>
      <c r="HJ1004" s="73"/>
      <c r="HK1004" s="73"/>
      <c r="HL1004" s="73"/>
      <c r="HM1004" s="73"/>
      <c r="HN1004" s="73"/>
      <c r="HO1004" s="73"/>
      <c r="HP1004" s="73"/>
      <c r="HQ1004" s="73"/>
      <c r="HR1004" s="73"/>
      <c r="HS1004" s="73"/>
      <c r="HT1004" s="73"/>
      <c r="HU1004" s="73"/>
      <c r="HV1004" s="73"/>
      <c r="HW1004" s="73"/>
      <c r="HX1004" s="73"/>
      <c r="HY1004" s="73"/>
      <c r="HZ1004" s="73"/>
      <c r="IA1004" s="73"/>
      <c r="IB1004" s="73"/>
      <c r="IC1004" s="73"/>
      <c r="ID1004" s="73"/>
      <c r="IE1004" s="73"/>
      <c r="IF1004" s="73"/>
      <c r="IG1004" s="73"/>
      <c r="IH1004" s="73"/>
      <c r="II1004" s="73"/>
      <c r="IJ1004" s="73"/>
      <c r="IK1004" s="73"/>
      <c r="IL1004" s="73"/>
      <c r="IM1004" s="73"/>
      <c r="IN1004" s="73"/>
      <c r="IO1004" s="73"/>
      <c r="IP1004" s="73"/>
      <c r="IQ1004" s="73"/>
      <c r="IR1004" s="73"/>
      <c r="IS1004" s="73"/>
      <c r="IT1004" s="73"/>
      <c r="IU1004" s="73"/>
      <c r="IV1004" s="73"/>
      <c r="IW1004" s="73"/>
      <c r="IX1004" s="73"/>
      <c r="IY1004" s="73"/>
      <c r="IZ1004" s="73"/>
      <c r="JA1004" s="73"/>
      <c r="JB1004" s="73"/>
      <c r="JC1004" s="73"/>
    </row>
    <row r="1005" spans="2:263" s="72" customFormat="1">
      <c r="B1005" s="73"/>
      <c r="C1005" s="73"/>
      <c r="D1005" s="73"/>
      <c r="E1005" s="73"/>
      <c r="F1005" s="73"/>
      <c r="G1005" s="73"/>
      <c r="H1005" s="73"/>
      <c r="I1005" s="73"/>
      <c r="J1005" s="73"/>
      <c r="K1005" s="73"/>
      <c r="L1005" s="73"/>
      <c r="M1005" s="73"/>
      <c r="N1005" s="73"/>
      <c r="O1005" s="73"/>
      <c r="P1005" s="73"/>
      <c r="Q1005" s="73"/>
      <c r="R1005" s="73"/>
      <c r="S1005" s="73"/>
      <c r="T1005" s="73"/>
      <c r="U1005" s="73"/>
      <c r="V1005" s="73"/>
      <c r="W1005" s="73"/>
      <c r="GL1005" s="73"/>
      <c r="GM1005" s="73"/>
      <c r="GN1005" s="73"/>
      <c r="GO1005" s="73"/>
      <c r="GP1005" s="73"/>
      <c r="GQ1005" s="73"/>
      <c r="GR1005" s="73"/>
      <c r="GS1005" s="73"/>
      <c r="GT1005" s="73"/>
      <c r="GU1005" s="73"/>
      <c r="GV1005" s="73"/>
      <c r="GW1005" s="73"/>
      <c r="GX1005" s="73"/>
      <c r="GY1005" s="73"/>
      <c r="GZ1005" s="73"/>
      <c r="HA1005" s="73"/>
      <c r="HB1005" s="73"/>
      <c r="HC1005" s="73"/>
      <c r="HD1005" s="73"/>
      <c r="HE1005" s="73"/>
      <c r="HF1005" s="73"/>
      <c r="HG1005" s="73"/>
      <c r="HH1005" s="73"/>
      <c r="HI1005" s="73"/>
      <c r="HJ1005" s="73"/>
      <c r="HK1005" s="73"/>
      <c r="HL1005" s="73"/>
      <c r="HM1005" s="73"/>
      <c r="HN1005" s="73"/>
      <c r="HO1005" s="73"/>
      <c r="HP1005" s="73"/>
      <c r="HQ1005" s="73"/>
      <c r="HR1005" s="73"/>
      <c r="HS1005" s="73"/>
      <c r="HT1005" s="73"/>
      <c r="HU1005" s="73"/>
      <c r="HV1005" s="73"/>
      <c r="HW1005" s="73"/>
      <c r="HX1005" s="73"/>
      <c r="HY1005" s="73"/>
      <c r="HZ1005" s="73"/>
      <c r="IA1005" s="73"/>
      <c r="IB1005" s="73"/>
      <c r="IC1005" s="73"/>
      <c r="ID1005" s="73"/>
      <c r="IE1005" s="73"/>
      <c r="IF1005" s="73"/>
      <c r="IG1005" s="73"/>
      <c r="IH1005" s="73"/>
      <c r="II1005" s="73"/>
      <c r="IJ1005" s="73"/>
      <c r="IK1005" s="73"/>
      <c r="IL1005" s="73"/>
      <c r="IM1005" s="73"/>
      <c r="IN1005" s="73"/>
      <c r="IO1005" s="73"/>
      <c r="IP1005" s="73"/>
      <c r="IQ1005" s="73"/>
      <c r="IR1005" s="73"/>
      <c r="IS1005" s="73"/>
      <c r="IT1005" s="73"/>
      <c r="IU1005" s="73"/>
      <c r="IV1005" s="73"/>
      <c r="IW1005" s="73"/>
      <c r="IX1005" s="73"/>
      <c r="IY1005" s="73"/>
      <c r="IZ1005" s="73"/>
      <c r="JA1005" s="73"/>
      <c r="JB1005" s="73"/>
      <c r="JC1005" s="73"/>
    </row>
    <row r="1006" spans="2:263" s="72" customFormat="1">
      <c r="B1006" s="73"/>
      <c r="C1006" s="73"/>
      <c r="D1006" s="73"/>
      <c r="E1006" s="73"/>
      <c r="F1006" s="73"/>
      <c r="G1006" s="73"/>
      <c r="H1006" s="73"/>
      <c r="I1006" s="73"/>
      <c r="J1006" s="73"/>
      <c r="K1006" s="73"/>
      <c r="L1006" s="73"/>
      <c r="M1006" s="73"/>
      <c r="N1006" s="73"/>
      <c r="O1006" s="73"/>
      <c r="P1006" s="73"/>
      <c r="Q1006" s="73"/>
      <c r="R1006" s="73"/>
      <c r="S1006" s="73"/>
      <c r="T1006" s="73"/>
      <c r="U1006" s="73"/>
      <c r="V1006" s="73"/>
      <c r="W1006" s="73"/>
      <c r="GL1006" s="73"/>
      <c r="GM1006" s="73"/>
      <c r="GN1006" s="73"/>
      <c r="GO1006" s="73"/>
      <c r="GP1006" s="73"/>
      <c r="GQ1006" s="73"/>
      <c r="GR1006" s="73"/>
      <c r="GS1006" s="73"/>
      <c r="GT1006" s="73"/>
      <c r="GU1006" s="73"/>
      <c r="GV1006" s="73"/>
      <c r="GW1006" s="73"/>
      <c r="GX1006" s="73"/>
      <c r="GY1006" s="73"/>
      <c r="GZ1006" s="73"/>
      <c r="HA1006" s="73"/>
      <c r="HB1006" s="73"/>
      <c r="HC1006" s="73"/>
      <c r="HD1006" s="73"/>
      <c r="HE1006" s="73"/>
      <c r="HF1006" s="73"/>
      <c r="HG1006" s="73"/>
      <c r="HH1006" s="73"/>
      <c r="HI1006" s="73"/>
      <c r="HJ1006" s="73"/>
      <c r="HK1006" s="73"/>
      <c r="HL1006" s="73"/>
      <c r="HM1006" s="73"/>
      <c r="HN1006" s="73"/>
      <c r="HO1006" s="73"/>
      <c r="HP1006" s="73"/>
      <c r="HQ1006" s="73"/>
      <c r="HR1006" s="73"/>
      <c r="HS1006" s="73"/>
      <c r="HT1006" s="73"/>
      <c r="HU1006" s="73"/>
      <c r="HV1006" s="73"/>
      <c r="HW1006" s="73"/>
      <c r="HX1006" s="73"/>
      <c r="HY1006" s="73"/>
      <c r="HZ1006" s="73"/>
      <c r="IA1006" s="73"/>
      <c r="IB1006" s="73"/>
      <c r="IC1006" s="73"/>
      <c r="ID1006" s="73"/>
      <c r="IE1006" s="73"/>
      <c r="IF1006" s="73"/>
      <c r="IG1006" s="73"/>
      <c r="IH1006" s="73"/>
      <c r="II1006" s="73"/>
      <c r="IJ1006" s="73"/>
      <c r="IK1006" s="73"/>
      <c r="IL1006" s="73"/>
      <c r="IM1006" s="73"/>
      <c r="IN1006" s="73"/>
      <c r="IO1006" s="73"/>
      <c r="IP1006" s="73"/>
      <c r="IQ1006" s="73"/>
      <c r="IR1006" s="73"/>
      <c r="IS1006" s="73"/>
      <c r="IT1006" s="73"/>
      <c r="IU1006" s="73"/>
      <c r="IV1006" s="73"/>
      <c r="IW1006" s="73"/>
      <c r="IX1006" s="73"/>
      <c r="IY1006" s="73"/>
      <c r="IZ1006" s="73"/>
      <c r="JA1006" s="73"/>
      <c r="JB1006" s="73"/>
      <c r="JC1006" s="73"/>
    </row>
    <row r="1007" spans="2:263" s="72" customFormat="1">
      <c r="B1007" s="73"/>
      <c r="C1007" s="73"/>
      <c r="D1007" s="73"/>
      <c r="E1007" s="73"/>
      <c r="F1007" s="73"/>
      <c r="G1007" s="73"/>
      <c r="H1007" s="73"/>
      <c r="I1007" s="73"/>
      <c r="J1007" s="73"/>
      <c r="K1007" s="73"/>
      <c r="L1007" s="73"/>
      <c r="M1007" s="73"/>
      <c r="N1007" s="73"/>
      <c r="O1007" s="73"/>
      <c r="P1007" s="73"/>
      <c r="Q1007" s="73"/>
      <c r="R1007" s="73"/>
      <c r="S1007" s="73"/>
      <c r="T1007" s="73"/>
      <c r="U1007" s="73"/>
      <c r="V1007" s="73"/>
      <c r="W1007" s="73"/>
      <c r="GL1007" s="73"/>
      <c r="GM1007" s="73"/>
      <c r="GN1007" s="73"/>
      <c r="GO1007" s="73"/>
      <c r="GP1007" s="73"/>
      <c r="GQ1007" s="73"/>
      <c r="GR1007" s="73"/>
      <c r="GS1007" s="73"/>
      <c r="GT1007" s="73"/>
      <c r="GU1007" s="73"/>
      <c r="GV1007" s="73"/>
      <c r="GW1007" s="73"/>
      <c r="GX1007" s="73"/>
      <c r="GY1007" s="73"/>
      <c r="GZ1007" s="73"/>
      <c r="HA1007" s="73"/>
      <c r="HB1007" s="73"/>
      <c r="HC1007" s="73"/>
      <c r="HD1007" s="73"/>
      <c r="HE1007" s="73"/>
      <c r="HF1007" s="73"/>
      <c r="HG1007" s="73"/>
      <c r="HH1007" s="73"/>
      <c r="HI1007" s="73"/>
      <c r="HJ1007" s="73"/>
      <c r="HK1007" s="73"/>
      <c r="HL1007" s="73"/>
      <c r="HM1007" s="73"/>
      <c r="HN1007" s="73"/>
      <c r="HO1007" s="73"/>
      <c r="HP1007" s="73"/>
      <c r="HQ1007" s="73"/>
      <c r="HR1007" s="73"/>
      <c r="HS1007" s="73"/>
      <c r="HT1007" s="73"/>
      <c r="HU1007" s="73"/>
      <c r="HV1007" s="73"/>
      <c r="HW1007" s="73"/>
      <c r="HX1007" s="73"/>
      <c r="HY1007" s="73"/>
      <c r="HZ1007" s="73"/>
      <c r="IA1007" s="73"/>
      <c r="IB1007" s="73"/>
      <c r="IC1007" s="73"/>
      <c r="ID1007" s="73"/>
      <c r="IE1007" s="73"/>
      <c r="IF1007" s="73"/>
      <c r="IG1007" s="73"/>
      <c r="IH1007" s="73"/>
      <c r="II1007" s="73"/>
      <c r="IJ1007" s="73"/>
      <c r="IK1007" s="73"/>
      <c r="IL1007" s="73"/>
      <c r="IM1007" s="73"/>
      <c r="IN1007" s="73"/>
      <c r="IO1007" s="73"/>
      <c r="IP1007" s="73"/>
      <c r="IQ1007" s="73"/>
      <c r="IR1007" s="73"/>
      <c r="IS1007" s="73"/>
      <c r="IT1007" s="73"/>
      <c r="IU1007" s="73"/>
      <c r="IV1007" s="73"/>
      <c r="IW1007" s="73"/>
      <c r="IX1007" s="73"/>
      <c r="IY1007" s="73"/>
      <c r="IZ1007" s="73"/>
      <c r="JA1007" s="73"/>
      <c r="JB1007" s="73"/>
      <c r="JC1007" s="73"/>
    </row>
    <row r="1008" spans="2:263" s="72" customFormat="1">
      <c r="B1008" s="73"/>
      <c r="C1008" s="73"/>
      <c r="D1008" s="73"/>
      <c r="E1008" s="73"/>
      <c r="F1008" s="73"/>
      <c r="G1008" s="73"/>
      <c r="H1008" s="73"/>
      <c r="I1008" s="73"/>
      <c r="J1008" s="73"/>
      <c r="K1008" s="73"/>
      <c r="L1008" s="73"/>
      <c r="M1008" s="73"/>
      <c r="N1008" s="73"/>
      <c r="O1008" s="73"/>
      <c r="P1008" s="73"/>
      <c r="Q1008" s="73"/>
      <c r="R1008" s="73"/>
      <c r="S1008" s="73"/>
      <c r="T1008" s="73"/>
      <c r="U1008" s="73"/>
      <c r="V1008" s="73"/>
      <c r="W1008" s="73"/>
      <c r="GL1008" s="73"/>
      <c r="GM1008" s="73"/>
      <c r="GN1008" s="73"/>
      <c r="GO1008" s="73"/>
      <c r="GP1008" s="73"/>
      <c r="GQ1008" s="73"/>
      <c r="GR1008" s="73"/>
      <c r="GS1008" s="73"/>
      <c r="GT1008" s="73"/>
      <c r="GU1008" s="73"/>
      <c r="GV1008" s="73"/>
      <c r="GW1008" s="73"/>
      <c r="GX1008" s="73"/>
      <c r="GY1008" s="73"/>
      <c r="GZ1008" s="73"/>
      <c r="HA1008" s="73"/>
      <c r="HB1008" s="73"/>
      <c r="HC1008" s="73"/>
      <c r="HD1008" s="73"/>
      <c r="HE1008" s="73"/>
      <c r="HF1008" s="73"/>
      <c r="HG1008" s="73"/>
      <c r="HH1008" s="73"/>
      <c r="HI1008" s="73"/>
      <c r="HJ1008" s="73"/>
      <c r="HK1008" s="73"/>
      <c r="HL1008" s="73"/>
      <c r="HM1008" s="73"/>
      <c r="HN1008" s="73"/>
      <c r="HO1008" s="73"/>
      <c r="HP1008" s="73"/>
      <c r="HQ1008" s="73"/>
      <c r="HR1008" s="73"/>
      <c r="HS1008" s="73"/>
      <c r="HT1008" s="73"/>
      <c r="HU1008" s="73"/>
      <c r="HV1008" s="73"/>
      <c r="HW1008" s="73"/>
      <c r="HX1008" s="73"/>
      <c r="HY1008" s="73"/>
      <c r="HZ1008" s="73"/>
      <c r="IA1008" s="73"/>
      <c r="IB1008" s="73"/>
      <c r="IC1008" s="73"/>
      <c r="ID1008" s="73"/>
      <c r="IE1008" s="73"/>
      <c r="IF1008" s="73"/>
      <c r="IG1008" s="73"/>
      <c r="IH1008" s="73"/>
      <c r="II1008" s="73"/>
      <c r="IJ1008" s="73"/>
      <c r="IK1008" s="73"/>
      <c r="IL1008" s="73"/>
      <c r="IM1008" s="73"/>
      <c r="IN1008" s="73"/>
      <c r="IO1008" s="73"/>
      <c r="IP1008" s="73"/>
      <c r="IQ1008" s="73"/>
      <c r="IR1008" s="73"/>
      <c r="IS1008" s="73"/>
      <c r="IT1008" s="73"/>
      <c r="IU1008" s="73"/>
      <c r="IV1008" s="73"/>
      <c r="IW1008" s="73"/>
      <c r="IX1008" s="73"/>
      <c r="IY1008" s="73"/>
      <c r="IZ1008" s="73"/>
      <c r="JA1008" s="73"/>
      <c r="JB1008" s="73"/>
      <c r="JC1008" s="73"/>
    </row>
    <row r="1009" spans="2:263" s="72" customFormat="1">
      <c r="B1009" s="73"/>
      <c r="C1009" s="73"/>
      <c r="D1009" s="73"/>
      <c r="E1009" s="73"/>
      <c r="F1009" s="73"/>
      <c r="G1009" s="73"/>
      <c r="H1009" s="73"/>
      <c r="I1009" s="73"/>
      <c r="J1009" s="73"/>
      <c r="K1009" s="73"/>
      <c r="L1009" s="73"/>
      <c r="M1009" s="73"/>
      <c r="N1009" s="73"/>
      <c r="O1009" s="73"/>
      <c r="P1009" s="73"/>
      <c r="Q1009" s="73"/>
      <c r="R1009" s="73"/>
      <c r="S1009" s="73"/>
      <c r="T1009" s="73"/>
      <c r="U1009" s="73"/>
      <c r="V1009" s="73"/>
      <c r="W1009" s="73"/>
      <c r="GL1009" s="73"/>
      <c r="GM1009" s="73"/>
      <c r="GN1009" s="73"/>
      <c r="GO1009" s="73"/>
      <c r="GP1009" s="73"/>
      <c r="GQ1009" s="73"/>
      <c r="GR1009" s="73"/>
      <c r="GS1009" s="73"/>
      <c r="GT1009" s="73"/>
      <c r="GU1009" s="73"/>
      <c r="GV1009" s="73"/>
      <c r="GW1009" s="73"/>
      <c r="GX1009" s="73"/>
      <c r="GY1009" s="73"/>
      <c r="GZ1009" s="73"/>
      <c r="HA1009" s="73"/>
      <c r="HB1009" s="73"/>
      <c r="HC1009" s="73"/>
      <c r="HD1009" s="73"/>
      <c r="HE1009" s="73"/>
      <c r="HF1009" s="73"/>
      <c r="HG1009" s="73"/>
      <c r="HH1009" s="73"/>
      <c r="HI1009" s="73"/>
      <c r="HJ1009" s="73"/>
      <c r="HK1009" s="73"/>
      <c r="HL1009" s="73"/>
      <c r="HM1009" s="73"/>
      <c r="HN1009" s="73"/>
      <c r="HO1009" s="73"/>
      <c r="HP1009" s="73"/>
      <c r="HQ1009" s="73"/>
      <c r="HR1009" s="73"/>
      <c r="HS1009" s="73"/>
      <c r="HT1009" s="73"/>
      <c r="HU1009" s="73"/>
      <c r="HV1009" s="73"/>
      <c r="HW1009" s="73"/>
      <c r="HX1009" s="73"/>
      <c r="HY1009" s="73"/>
      <c r="HZ1009" s="73"/>
      <c r="IA1009" s="73"/>
      <c r="IB1009" s="73"/>
      <c r="IC1009" s="73"/>
      <c r="ID1009" s="73"/>
      <c r="IE1009" s="73"/>
      <c r="IF1009" s="73"/>
      <c r="IG1009" s="73"/>
      <c r="IH1009" s="73"/>
      <c r="II1009" s="73"/>
      <c r="IJ1009" s="73"/>
      <c r="IK1009" s="73"/>
      <c r="IL1009" s="73"/>
      <c r="IM1009" s="73"/>
      <c r="IN1009" s="73"/>
      <c r="IO1009" s="73"/>
      <c r="IP1009" s="73"/>
      <c r="IQ1009" s="73"/>
      <c r="IR1009" s="73"/>
      <c r="IS1009" s="73"/>
      <c r="IT1009" s="73"/>
      <c r="IU1009" s="73"/>
      <c r="IV1009" s="73"/>
      <c r="IW1009" s="73"/>
      <c r="IX1009" s="73"/>
      <c r="IY1009" s="73"/>
      <c r="IZ1009" s="73"/>
      <c r="JA1009" s="73"/>
      <c r="JB1009" s="73"/>
      <c r="JC1009" s="73"/>
    </row>
    <row r="1010" spans="2:263" s="72" customFormat="1">
      <c r="B1010" s="73"/>
      <c r="C1010" s="73"/>
      <c r="D1010" s="73"/>
      <c r="E1010" s="73"/>
      <c r="F1010" s="73"/>
      <c r="G1010" s="73"/>
      <c r="H1010" s="73"/>
      <c r="I1010" s="73"/>
      <c r="J1010" s="73"/>
      <c r="K1010" s="73"/>
      <c r="L1010" s="73"/>
      <c r="M1010" s="73"/>
      <c r="N1010" s="73"/>
      <c r="O1010" s="73"/>
      <c r="P1010" s="73"/>
      <c r="Q1010" s="73"/>
      <c r="R1010" s="73"/>
      <c r="S1010" s="73"/>
      <c r="T1010" s="73"/>
      <c r="U1010" s="73"/>
      <c r="V1010" s="73"/>
      <c r="W1010" s="73"/>
      <c r="GL1010" s="73"/>
      <c r="GM1010" s="73"/>
      <c r="GN1010" s="73"/>
      <c r="GO1010" s="73"/>
      <c r="GP1010" s="73"/>
      <c r="GQ1010" s="73"/>
      <c r="GR1010" s="73"/>
      <c r="GS1010" s="73"/>
      <c r="GT1010" s="73"/>
      <c r="GU1010" s="73"/>
      <c r="GV1010" s="73"/>
      <c r="GW1010" s="73"/>
      <c r="GX1010" s="73"/>
      <c r="GY1010" s="73"/>
      <c r="GZ1010" s="73"/>
      <c r="HA1010" s="73"/>
      <c r="HB1010" s="73"/>
      <c r="HC1010" s="73"/>
      <c r="HD1010" s="73"/>
      <c r="HE1010" s="73"/>
      <c r="HF1010" s="73"/>
      <c r="HG1010" s="73"/>
      <c r="HH1010" s="73"/>
      <c r="HI1010" s="73"/>
      <c r="HJ1010" s="73"/>
      <c r="HK1010" s="73"/>
      <c r="HL1010" s="73"/>
      <c r="HM1010" s="73"/>
      <c r="HN1010" s="73"/>
      <c r="HO1010" s="73"/>
      <c r="HP1010" s="73"/>
      <c r="HQ1010" s="73"/>
      <c r="HR1010" s="73"/>
      <c r="HS1010" s="73"/>
      <c r="HT1010" s="73"/>
      <c r="HU1010" s="73"/>
      <c r="HV1010" s="73"/>
      <c r="HW1010" s="73"/>
      <c r="HX1010" s="73"/>
      <c r="HY1010" s="73"/>
      <c r="HZ1010" s="73"/>
      <c r="IA1010" s="73"/>
      <c r="IB1010" s="73"/>
      <c r="IC1010" s="73"/>
      <c r="ID1010" s="73"/>
      <c r="IE1010" s="73"/>
      <c r="IF1010" s="73"/>
      <c r="IG1010" s="73"/>
      <c r="IH1010" s="73"/>
      <c r="II1010" s="73"/>
      <c r="IJ1010" s="73"/>
      <c r="IK1010" s="73"/>
      <c r="IL1010" s="73"/>
      <c r="IM1010" s="73"/>
      <c r="IN1010" s="73"/>
      <c r="IO1010" s="73"/>
      <c r="IP1010" s="73"/>
      <c r="IQ1010" s="73"/>
      <c r="IR1010" s="73"/>
      <c r="IS1010" s="73"/>
      <c r="IT1010" s="73"/>
      <c r="IU1010" s="73"/>
      <c r="IV1010" s="73"/>
      <c r="IW1010" s="73"/>
      <c r="IX1010" s="73"/>
      <c r="IY1010" s="73"/>
      <c r="IZ1010" s="73"/>
      <c r="JA1010" s="73"/>
      <c r="JB1010" s="73"/>
      <c r="JC1010" s="73"/>
    </row>
    <row r="1011" spans="2:263" s="72" customFormat="1">
      <c r="B1011" s="73"/>
      <c r="C1011" s="73"/>
      <c r="D1011" s="73"/>
      <c r="E1011" s="73"/>
      <c r="F1011" s="73"/>
      <c r="G1011" s="73"/>
      <c r="H1011" s="73"/>
      <c r="I1011" s="73"/>
      <c r="J1011" s="73"/>
      <c r="K1011" s="73"/>
      <c r="L1011" s="73"/>
      <c r="M1011" s="73"/>
      <c r="N1011" s="73"/>
      <c r="O1011" s="73"/>
      <c r="P1011" s="73"/>
      <c r="Q1011" s="73"/>
      <c r="R1011" s="73"/>
      <c r="S1011" s="73"/>
      <c r="T1011" s="73"/>
      <c r="U1011" s="73"/>
      <c r="V1011" s="73"/>
      <c r="W1011" s="73"/>
      <c r="GL1011" s="73"/>
      <c r="GM1011" s="73"/>
      <c r="GN1011" s="73"/>
      <c r="GO1011" s="73"/>
      <c r="GP1011" s="73"/>
      <c r="GQ1011" s="73"/>
      <c r="GR1011" s="73"/>
      <c r="GS1011" s="73"/>
      <c r="GT1011" s="73"/>
      <c r="GU1011" s="73"/>
      <c r="GV1011" s="73"/>
      <c r="GW1011" s="73"/>
      <c r="GX1011" s="73"/>
      <c r="GY1011" s="73"/>
      <c r="GZ1011" s="73"/>
      <c r="HA1011" s="73"/>
      <c r="HB1011" s="73"/>
      <c r="HC1011" s="73"/>
      <c r="HD1011" s="73"/>
      <c r="HE1011" s="73"/>
      <c r="HF1011" s="73"/>
      <c r="HG1011" s="73"/>
      <c r="HH1011" s="73"/>
      <c r="HI1011" s="73"/>
      <c r="HJ1011" s="73"/>
      <c r="HK1011" s="73"/>
      <c r="HL1011" s="73"/>
      <c r="HM1011" s="73"/>
      <c r="HN1011" s="73"/>
      <c r="HO1011" s="73"/>
      <c r="HP1011" s="73"/>
      <c r="HQ1011" s="73"/>
      <c r="HR1011" s="73"/>
      <c r="HS1011" s="73"/>
      <c r="HT1011" s="73"/>
      <c r="HU1011" s="73"/>
      <c r="HV1011" s="73"/>
      <c r="HW1011" s="73"/>
      <c r="HX1011" s="73"/>
      <c r="HY1011" s="73"/>
      <c r="HZ1011" s="73"/>
      <c r="IA1011" s="73"/>
      <c r="IB1011" s="73"/>
      <c r="IC1011" s="73"/>
      <c r="ID1011" s="73"/>
      <c r="IE1011" s="73"/>
      <c r="IF1011" s="73"/>
      <c r="IG1011" s="73"/>
      <c r="IH1011" s="73"/>
      <c r="II1011" s="73"/>
      <c r="IJ1011" s="73"/>
      <c r="IK1011" s="73"/>
      <c r="IL1011" s="73"/>
      <c r="IM1011" s="73"/>
      <c r="IN1011" s="73"/>
      <c r="IO1011" s="73"/>
      <c r="IP1011" s="73"/>
      <c r="IQ1011" s="73"/>
      <c r="IR1011" s="73"/>
      <c r="IS1011" s="73"/>
      <c r="IT1011" s="73"/>
      <c r="IU1011" s="73"/>
      <c r="IV1011" s="73"/>
      <c r="IW1011" s="73"/>
      <c r="IX1011" s="73"/>
      <c r="IY1011" s="73"/>
      <c r="IZ1011" s="73"/>
      <c r="JA1011" s="73"/>
      <c r="JB1011" s="73"/>
      <c r="JC1011" s="73"/>
    </row>
    <row r="1012" spans="2:263" s="72" customFormat="1">
      <c r="B1012" s="73"/>
      <c r="C1012" s="73"/>
      <c r="D1012" s="73"/>
      <c r="E1012" s="73"/>
      <c r="F1012" s="73"/>
      <c r="G1012" s="73"/>
      <c r="H1012" s="73"/>
      <c r="I1012" s="73"/>
      <c r="J1012" s="73"/>
      <c r="K1012" s="73"/>
      <c r="L1012" s="73"/>
      <c r="M1012" s="73"/>
      <c r="N1012" s="73"/>
      <c r="O1012" s="73"/>
      <c r="P1012" s="73"/>
      <c r="Q1012" s="73"/>
      <c r="R1012" s="73"/>
      <c r="S1012" s="73"/>
      <c r="T1012" s="73"/>
      <c r="U1012" s="73"/>
      <c r="V1012" s="73"/>
      <c r="W1012" s="73"/>
      <c r="GL1012" s="73"/>
      <c r="GM1012" s="73"/>
      <c r="GN1012" s="73"/>
      <c r="GO1012" s="73"/>
      <c r="GP1012" s="73"/>
      <c r="GQ1012" s="73"/>
      <c r="GR1012" s="73"/>
      <c r="GS1012" s="73"/>
      <c r="GT1012" s="73"/>
      <c r="GU1012" s="73"/>
      <c r="GV1012" s="73"/>
      <c r="GW1012" s="73"/>
      <c r="GX1012" s="73"/>
      <c r="GY1012" s="73"/>
      <c r="GZ1012" s="73"/>
      <c r="HA1012" s="73"/>
      <c r="HB1012" s="73"/>
      <c r="HC1012" s="73"/>
      <c r="HD1012" s="73"/>
      <c r="HE1012" s="73"/>
      <c r="HF1012" s="73"/>
      <c r="HG1012" s="73"/>
      <c r="HH1012" s="73"/>
      <c r="HI1012" s="73"/>
      <c r="HJ1012" s="73"/>
      <c r="HK1012" s="73"/>
      <c r="HL1012" s="73"/>
      <c r="HM1012" s="73"/>
      <c r="HN1012" s="73"/>
      <c r="HO1012" s="73"/>
      <c r="HP1012" s="73"/>
      <c r="HQ1012" s="73"/>
      <c r="HR1012" s="73"/>
      <c r="HS1012" s="73"/>
      <c r="HT1012" s="73"/>
      <c r="HU1012" s="73"/>
      <c r="HV1012" s="73"/>
      <c r="HW1012" s="73"/>
      <c r="HX1012" s="73"/>
      <c r="HY1012" s="73"/>
      <c r="HZ1012" s="73"/>
      <c r="IA1012" s="73"/>
      <c r="IB1012" s="73"/>
      <c r="IC1012" s="73"/>
      <c r="ID1012" s="73"/>
      <c r="IE1012" s="73"/>
      <c r="IF1012" s="73"/>
      <c r="IG1012" s="73"/>
      <c r="IH1012" s="73"/>
      <c r="II1012" s="73"/>
      <c r="IJ1012" s="73"/>
      <c r="IK1012" s="73"/>
      <c r="IL1012" s="73"/>
      <c r="IM1012" s="73"/>
      <c r="IN1012" s="73"/>
      <c r="IO1012" s="73"/>
      <c r="IP1012" s="73"/>
      <c r="IQ1012" s="73"/>
      <c r="IR1012" s="73"/>
      <c r="IS1012" s="73"/>
      <c r="IT1012" s="73"/>
      <c r="IU1012" s="73"/>
      <c r="IV1012" s="73"/>
      <c r="IW1012" s="73"/>
      <c r="IX1012" s="73"/>
      <c r="IY1012" s="73"/>
      <c r="IZ1012" s="73"/>
      <c r="JA1012" s="73"/>
      <c r="JB1012" s="73"/>
      <c r="JC1012" s="73"/>
    </row>
    <row r="1013" spans="2:263" s="72" customFormat="1">
      <c r="B1013" s="73"/>
      <c r="C1013" s="73"/>
      <c r="D1013" s="73"/>
      <c r="E1013" s="73"/>
      <c r="F1013" s="73"/>
      <c r="G1013" s="73"/>
      <c r="H1013" s="73"/>
      <c r="I1013" s="73"/>
      <c r="J1013" s="73"/>
      <c r="K1013" s="73"/>
      <c r="L1013" s="73"/>
      <c r="M1013" s="73"/>
      <c r="N1013" s="73"/>
      <c r="O1013" s="73"/>
      <c r="P1013" s="73"/>
      <c r="Q1013" s="73"/>
      <c r="R1013" s="73"/>
      <c r="S1013" s="73"/>
      <c r="T1013" s="73"/>
      <c r="U1013" s="73"/>
      <c r="V1013" s="73"/>
      <c r="W1013" s="73"/>
      <c r="GL1013" s="73"/>
      <c r="GM1013" s="73"/>
      <c r="GN1013" s="73"/>
      <c r="GO1013" s="73"/>
      <c r="GP1013" s="73"/>
      <c r="GQ1013" s="73"/>
      <c r="GR1013" s="73"/>
      <c r="GS1013" s="73"/>
      <c r="GT1013" s="73"/>
      <c r="GU1013" s="73"/>
      <c r="GV1013" s="73"/>
      <c r="GW1013" s="73"/>
      <c r="GX1013" s="73"/>
      <c r="GY1013" s="73"/>
      <c r="GZ1013" s="73"/>
      <c r="HA1013" s="73"/>
      <c r="HB1013" s="73"/>
      <c r="HC1013" s="73"/>
      <c r="HD1013" s="73"/>
      <c r="HE1013" s="73"/>
      <c r="HF1013" s="73"/>
      <c r="HG1013" s="73"/>
      <c r="HH1013" s="73"/>
      <c r="HI1013" s="73"/>
      <c r="HJ1013" s="73"/>
      <c r="HK1013" s="73"/>
      <c r="HL1013" s="73"/>
      <c r="HM1013" s="73"/>
      <c r="HN1013" s="73"/>
      <c r="HO1013" s="73"/>
      <c r="HP1013" s="73"/>
      <c r="HQ1013" s="73"/>
      <c r="HR1013" s="73"/>
      <c r="HS1013" s="73"/>
      <c r="HT1013" s="73"/>
      <c r="HU1013" s="73"/>
      <c r="HV1013" s="73"/>
      <c r="HW1013" s="73"/>
      <c r="HX1013" s="73"/>
      <c r="HY1013" s="73"/>
      <c r="HZ1013" s="73"/>
      <c r="IA1013" s="73"/>
      <c r="IB1013" s="73"/>
      <c r="IC1013" s="73"/>
      <c r="ID1013" s="73"/>
      <c r="IE1013" s="73"/>
      <c r="IF1013" s="73"/>
      <c r="IG1013" s="73"/>
      <c r="IH1013" s="73"/>
      <c r="II1013" s="73"/>
      <c r="IJ1013" s="73"/>
      <c r="IK1013" s="73"/>
      <c r="IL1013" s="73"/>
      <c r="IM1013" s="73"/>
      <c r="IN1013" s="73"/>
      <c r="IO1013" s="73"/>
      <c r="IP1013" s="73"/>
      <c r="IQ1013" s="73"/>
      <c r="IR1013" s="73"/>
      <c r="IS1013" s="73"/>
      <c r="IT1013" s="73"/>
      <c r="IU1013" s="73"/>
      <c r="IV1013" s="73"/>
      <c r="IW1013" s="73"/>
      <c r="IX1013" s="73"/>
      <c r="IY1013" s="73"/>
      <c r="IZ1013" s="73"/>
      <c r="JA1013" s="73"/>
      <c r="JB1013" s="73"/>
      <c r="JC1013" s="73"/>
    </row>
    <row r="1014" spans="2:263" s="72" customFormat="1">
      <c r="B1014" s="73"/>
      <c r="C1014" s="73"/>
      <c r="D1014" s="73"/>
      <c r="E1014" s="73"/>
      <c r="F1014" s="73"/>
      <c r="G1014" s="73"/>
      <c r="H1014" s="73"/>
      <c r="I1014" s="73"/>
      <c r="J1014" s="73"/>
      <c r="K1014" s="73"/>
      <c r="L1014" s="73"/>
      <c r="M1014" s="73"/>
      <c r="N1014" s="73"/>
      <c r="O1014" s="73"/>
      <c r="P1014" s="73"/>
      <c r="Q1014" s="73"/>
      <c r="R1014" s="73"/>
      <c r="S1014" s="73"/>
      <c r="T1014" s="73"/>
      <c r="U1014" s="73"/>
      <c r="V1014" s="73"/>
      <c r="W1014" s="73"/>
      <c r="GL1014" s="73"/>
      <c r="GM1014" s="73"/>
      <c r="GN1014" s="73"/>
      <c r="GO1014" s="73"/>
      <c r="GP1014" s="73"/>
      <c r="GQ1014" s="73"/>
      <c r="GR1014" s="73"/>
      <c r="GS1014" s="73"/>
      <c r="GT1014" s="73"/>
      <c r="GU1014" s="73"/>
      <c r="GV1014" s="73"/>
      <c r="GW1014" s="73"/>
      <c r="GX1014" s="73"/>
      <c r="GY1014" s="73"/>
      <c r="GZ1014" s="73"/>
      <c r="HA1014" s="73"/>
      <c r="HB1014" s="73"/>
      <c r="HC1014" s="73"/>
      <c r="HD1014" s="73"/>
      <c r="HE1014" s="73"/>
      <c r="HF1014" s="73"/>
      <c r="HG1014" s="73"/>
      <c r="HH1014" s="73"/>
      <c r="HI1014" s="73"/>
      <c r="HJ1014" s="73"/>
      <c r="HK1014" s="73"/>
      <c r="HL1014" s="73"/>
      <c r="HM1014" s="73"/>
      <c r="HN1014" s="73"/>
      <c r="HO1014" s="73"/>
      <c r="HP1014" s="73"/>
      <c r="HQ1014" s="73"/>
      <c r="HR1014" s="73"/>
      <c r="HS1014" s="73"/>
      <c r="HT1014" s="73"/>
      <c r="HU1014" s="73"/>
      <c r="HV1014" s="73"/>
      <c r="HW1014" s="73"/>
      <c r="HX1014" s="73"/>
      <c r="HY1014" s="73"/>
      <c r="HZ1014" s="73"/>
      <c r="IA1014" s="73"/>
      <c r="IB1014" s="73"/>
      <c r="IC1014" s="73"/>
      <c r="ID1014" s="73"/>
      <c r="IE1014" s="73"/>
      <c r="IF1014" s="73"/>
      <c r="IG1014" s="73"/>
      <c r="IH1014" s="73"/>
      <c r="II1014" s="73"/>
      <c r="IJ1014" s="73"/>
      <c r="IK1014" s="73"/>
      <c r="IL1014" s="73"/>
      <c r="IM1014" s="73"/>
      <c r="IN1014" s="73"/>
      <c r="IO1014" s="73"/>
      <c r="IP1014" s="73"/>
      <c r="IQ1014" s="73"/>
      <c r="IR1014" s="73"/>
      <c r="IS1014" s="73"/>
      <c r="IT1014" s="73"/>
      <c r="IU1014" s="73"/>
      <c r="IV1014" s="73"/>
      <c r="IW1014" s="73"/>
      <c r="IX1014" s="73"/>
      <c r="IY1014" s="73"/>
      <c r="IZ1014" s="73"/>
      <c r="JA1014" s="73"/>
      <c r="JB1014" s="73"/>
      <c r="JC1014" s="73"/>
    </row>
    <row r="1015" spans="2:263" s="72" customFormat="1">
      <c r="B1015" s="73"/>
      <c r="C1015" s="73"/>
      <c r="D1015" s="73"/>
      <c r="E1015" s="73"/>
      <c r="F1015" s="73"/>
      <c r="G1015" s="73"/>
      <c r="H1015" s="73"/>
      <c r="I1015" s="73"/>
      <c r="J1015" s="73"/>
      <c r="K1015" s="73"/>
      <c r="L1015" s="73"/>
      <c r="M1015" s="73"/>
      <c r="N1015" s="73"/>
      <c r="O1015" s="73"/>
      <c r="P1015" s="73"/>
      <c r="Q1015" s="73"/>
      <c r="R1015" s="73"/>
      <c r="S1015" s="73"/>
      <c r="T1015" s="73"/>
      <c r="U1015" s="73"/>
      <c r="V1015" s="73"/>
      <c r="W1015" s="73"/>
      <c r="GL1015" s="73"/>
      <c r="GM1015" s="73"/>
      <c r="GN1015" s="73"/>
      <c r="GO1015" s="73"/>
      <c r="GP1015" s="73"/>
      <c r="GQ1015" s="73"/>
      <c r="GR1015" s="73"/>
      <c r="GS1015" s="73"/>
      <c r="GT1015" s="73"/>
      <c r="GU1015" s="73"/>
      <c r="GV1015" s="73"/>
      <c r="GW1015" s="73"/>
      <c r="GX1015" s="73"/>
      <c r="GY1015" s="73"/>
      <c r="GZ1015" s="73"/>
      <c r="HA1015" s="73"/>
      <c r="HB1015" s="73"/>
      <c r="HC1015" s="73"/>
      <c r="HD1015" s="73"/>
      <c r="HE1015" s="73"/>
      <c r="HF1015" s="73"/>
      <c r="HG1015" s="73"/>
      <c r="HH1015" s="73"/>
      <c r="HI1015" s="73"/>
      <c r="HJ1015" s="73"/>
      <c r="HK1015" s="73"/>
      <c r="HL1015" s="73"/>
      <c r="HM1015" s="73"/>
      <c r="HN1015" s="73"/>
      <c r="HO1015" s="73"/>
      <c r="HP1015" s="73"/>
      <c r="HQ1015" s="73"/>
      <c r="HR1015" s="73"/>
      <c r="HS1015" s="73"/>
      <c r="HT1015" s="73"/>
      <c r="HU1015" s="73"/>
      <c r="HV1015" s="73"/>
      <c r="HW1015" s="73"/>
      <c r="HX1015" s="73"/>
      <c r="HY1015" s="73"/>
      <c r="HZ1015" s="73"/>
      <c r="IA1015" s="73"/>
      <c r="IB1015" s="73"/>
      <c r="IC1015" s="73"/>
      <c r="ID1015" s="73"/>
      <c r="IE1015" s="73"/>
      <c r="IF1015" s="73"/>
      <c r="IG1015" s="73"/>
      <c r="IH1015" s="73"/>
      <c r="II1015" s="73"/>
      <c r="IJ1015" s="73"/>
      <c r="IK1015" s="73"/>
      <c r="IL1015" s="73"/>
      <c r="IM1015" s="73"/>
      <c r="IN1015" s="73"/>
      <c r="IO1015" s="73"/>
      <c r="IP1015" s="73"/>
      <c r="IQ1015" s="73"/>
      <c r="IR1015" s="73"/>
      <c r="IS1015" s="73"/>
      <c r="IT1015" s="73"/>
      <c r="IU1015" s="73"/>
      <c r="IV1015" s="73"/>
      <c r="IW1015" s="73"/>
      <c r="IX1015" s="73"/>
      <c r="IY1015" s="73"/>
      <c r="IZ1015" s="73"/>
      <c r="JA1015" s="73"/>
      <c r="JB1015" s="73"/>
      <c r="JC1015" s="73"/>
    </row>
    <row r="1016" spans="2:263" s="72" customFormat="1">
      <c r="B1016" s="73"/>
      <c r="C1016" s="73"/>
      <c r="D1016" s="73"/>
      <c r="E1016" s="73"/>
      <c r="F1016" s="73"/>
      <c r="G1016" s="73"/>
      <c r="H1016" s="73"/>
      <c r="I1016" s="73"/>
      <c r="J1016" s="73"/>
      <c r="K1016" s="73"/>
      <c r="L1016" s="73"/>
      <c r="M1016" s="73"/>
      <c r="N1016" s="73"/>
      <c r="O1016" s="73"/>
      <c r="P1016" s="73"/>
      <c r="Q1016" s="73"/>
      <c r="R1016" s="73"/>
      <c r="S1016" s="73"/>
      <c r="T1016" s="73"/>
      <c r="U1016" s="73"/>
      <c r="V1016" s="73"/>
      <c r="W1016" s="73"/>
      <c r="GL1016" s="73"/>
      <c r="GM1016" s="73"/>
      <c r="GN1016" s="73"/>
      <c r="GO1016" s="73"/>
      <c r="GP1016" s="73"/>
      <c r="GQ1016" s="73"/>
      <c r="GR1016" s="73"/>
      <c r="GS1016" s="73"/>
      <c r="GT1016" s="73"/>
      <c r="GU1016" s="73"/>
      <c r="GV1016" s="73"/>
      <c r="GW1016" s="73"/>
      <c r="GX1016" s="73"/>
      <c r="GY1016" s="73"/>
      <c r="GZ1016" s="73"/>
      <c r="HA1016" s="73"/>
      <c r="HB1016" s="73"/>
      <c r="HC1016" s="73"/>
      <c r="HD1016" s="73"/>
      <c r="HE1016" s="73"/>
      <c r="HF1016" s="73"/>
      <c r="HG1016" s="73"/>
      <c r="HH1016" s="73"/>
      <c r="HI1016" s="73"/>
      <c r="HJ1016" s="73"/>
      <c r="HK1016" s="73"/>
      <c r="HL1016" s="73"/>
      <c r="HM1016" s="73"/>
      <c r="HN1016" s="73"/>
      <c r="HO1016" s="73"/>
      <c r="HP1016" s="73"/>
      <c r="HQ1016" s="73"/>
      <c r="HR1016" s="73"/>
      <c r="HS1016" s="73"/>
      <c r="HT1016" s="73"/>
      <c r="HU1016" s="73"/>
      <c r="HV1016" s="73"/>
      <c r="HW1016" s="73"/>
      <c r="HX1016" s="73"/>
      <c r="HY1016" s="73"/>
      <c r="HZ1016" s="73"/>
      <c r="IA1016" s="73"/>
      <c r="IB1016" s="73"/>
      <c r="IC1016" s="73"/>
      <c r="ID1016" s="73"/>
      <c r="IE1016" s="73"/>
      <c r="IF1016" s="73"/>
      <c r="IG1016" s="73"/>
      <c r="IH1016" s="73"/>
      <c r="II1016" s="73"/>
      <c r="IJ1016" s="73"/>
      <c r="IK1016" s="73"/>
      <c r="IL1016" s="73"/>
      <c r="IM1016" s="73"/>
      <c r="IN1016" s="73"/>
      <c r="IO1016" s="73"/>
      <c r="IP1016" s="73"/>
      <c r="IQ1016" s="73"/>
      <c r="IR1016" s="73"/>
      <c r="IS1016" s="73"/>
      <c r="IT1016" s="73"/>
      <c r="IU1016" s="73"/>
      <c r="IV1016" s="73"/>
      <c r="IW1016" s="73"/>
      <c r="IX1016" s="73"/>
      <c r="IY1016" s="73"/>
      <c r="IZ1016" s="73"/>
      <c r="JA1016" s="73"/>
      <c r="JB1016" s="73"/>
      <c r="JC1016" s="73"/>
    </row>
    <row r="1017" spans="2:263" s="72" customFormat="1">
      <c r="B1017" s="73"/>
      <c r="C1017" s="73"/>
      <c r="D1017" s="73"/>
      <c r="E1017" s="73"/>
      <c r="F1017" s="73"/>
      <c r="G1017" s="73"/>
      <c r="H1017" s="73"/>
      <c r="I1017" s="73"/>
      <c r="J1017" s="73"/>
      <c r="K1017" s="73"/>
      <c r="L1017" s="73"/>
      <c r="M1017" s="73"/>
      <c r="N1017" s="73"/>
      <c r="O1017" s="73"/>
      <c r="P1017" s="73"/>
      <c r="Q1017" s="73"/>
      <c r="R1017" s="73"/>
      <c r="S1017" s="73"/>
      <c r="T1017" s="73"/>
      <c r="U1017" s="73"/>
      <c r="V1017" s="73"/>
      <c r="W1017" s="73"/>
      <c r="GL1017" s="73"/>
      <c r="GM1017" s="73"/>
      <c r="GN1017" s="73"/>
      <c r="GO1017" s="73"/>
      <c r="GP1017" s="73"/>
      <c r="GQ1017" s="73"/>
      <c r="GR1017" s="73"/>
      <c r="GS1017" s="73"/>
      <c r="GT1017" s="73"/>
      <c r="GU1017" s="73"/>
      <c r="GV1017" s="73"/>
      <c r="GW1017" s="73"/>
      <c r="GX1017" s="73"/>
      <c r="GY1017" s="73"/>
      <c r="GZ1017" s="73"/>
      <c r="HA1017" s="73"/>
      <c r="HB1017" s="73"/>
      <c r="HC1017" s="73"/>
      <c r="HD1017" s="73"/>
      <c r="HE1017" s="73"/>
      <c r="HF1017" s="73"/>
      <c r="HG1017" s="73"/>
      <c r="HH1017" s="73"/>
      <c r="HI1017" s="73"/>
      <c r="HJ1017" s="73"/>
      <c r="HK1017" s="73"/>
      <c r="HL1017" s="73"/>
      <c r="HM1017" s="73"/>
      <c r="HN1017" s="73"/>
      <c r="HO1017" s="73"/>
      <c r="HP1017" s="73"/>
      <c r="HQ1017" s="73"/>
      <c r="HR1017" s="73"/>
      <c r="HS1017" s="73"/>
      <c r="HT1017" s="73"/>
      <c r="HU1017" s="73"/>
      <c r="HV1017" s="73"/>
      <c r="HW1017" s="73"/>
      <c r="HX1017" s="73"/>
      <c r="HY1017" s="73"/>
      <c r="HZ1017" s="73"/>
      <c r="IA1017" s="73"/>
      <c r="IB1017" s="73"/>
      <c r="IC1017" s="73"/>
      <c r="ID1017" s="73"/>
      <c r="IE1017" s="73"/>
      <c r="IF1017" s="73"/>
      <c r="IG1017" s="73"/>
      <c r="IH1017" s="73"/>
      <c r="II1017" s="73"/>
      <c r="IJ1017" s="73"/>
      <c r="IK1017" s="73"/>
      <c r="IL1017" s="73"/>
      <c r="IM1017" s="73"/>
      <c r="IN1017" s="73"/>
      <c r="IO1017" s="73"/>
      <c r="IP1017" s="73"/>
      <c r="IQ1017" s="73"/>
      <c r="IR1017" s="73"/>
      <c r="IS1017" s="73"/>
      <c r="IT1017" s="73"/>
      <c r="IU1017" s="73"/>
      <c r="IV1017" s="73"/>
      <c r="IW1017" s="73"/>
      <c r="IX1017" s="73"/>
      <c r="IY1017" s="73"/>
      <c r="IZ1017" s="73"/>
      <c r="JA1017" s="73"/>
      <c r="JB1017" s="73"/>
      <c r="JC1017" s="73"/>
    </row>
    <row r="1018" spans="2:263" s="72" customFormat="1">
      <c r="B1018" s="73"/>
      <c r="C1018" s="73"/>
      <c r="D1018" s="73"/>
      <c r="E1018" s="73"/>
      <c r="F1018" s="73"/>
      <c r="G1018" s="73"/>
      <c r="H1018" s="73"/>
      <c r="I1018" s="73"/>
      <c r="J1018" s="73"/>
      <c r="K1018" s="73"/>
      <c r="L1018" s="73"/>
      <c r="M1018" s="73"/>
      <c r="N1018" s="73"/>
      <c r="O1018" s="73"/>
      <c r="P1018" s="73"/>
      <c r="Q1018" s="73"/>
      <c r="R1018" s="73"/>
      <c r="S1018" s="73"/>
      <c r="T1018" s="73"/>
      <c r="U1018" s="73"/>
      <c r="V1018" s="73"/>
      <c r="W1018" s="73"/>
      <c r="GL1018" s="73"/>
      <c r="GM1018" s="73"/>
      <c r="GN1018" s="73"/>
      <c r="GO1018" s="73"/>
      <c r="GP1018" s="73"/>
      <c r="GQ1018" s="73"/>
      <c r="GR1018" s="73"/>
      <c r="GS1018" s="73"/>
      <c r="GT1018" s="73"/>
      <c r="GU1018" s="73"/>
      <c r="GV1018" s="73"/>
      <c r="GW1018" s="73"/>
      <c r="GX1018" s="73"/>
      <c r="GY1018" s="73"/>
      <c r="GZ1018" s="73"/>
      <c r="HA1018" s="73"/>
      <c r="HB1018" s="73"/>
      <c r="HC1018" s="73"/>
      <c r="HD1018" s="73"/>
      <c r="HE1018" s="73"/>
      <c r="HF1018" s="73"/>
      <c r="HG1018" s="73"/>
      <c r="HH1018" s="73"/>
      <c r="HI1018" s="73"/>
      <c r="HJ1018" s="73"/>
      <c r="HK1018" s="73"/>
      <c r="HL1018" s="73"/>
      <c r="HM1018" s="73"/>
      <c r="HN1018" s="73"/>
      <c r="HO1018" s="73"/>
      <c r="HP1018" s="73"/>
      <c r="HQ1018" s="73"/>
      <c r="HR1018" s="73"/>
      <c r="HS1018" s="73"/>
      <c r="HT1018" s="73"/>
      <c r="HU1018" s="73"/>
      <c r="HV1018" s="73"/>
      <c r="HW1018" s="73"/>
      <c r="HX1018" s="73"/>
      <c r="HY1018" s="73"/>
      <c r="HZ1018" s="73"/>
      <c r="IA1018" s="73"/>
      <c r="IB1018" s="73"/>
      <c r="IC1018" s="73"/>
      <c r="ID1018" s="73"/>
      <c r="IE1018" s="73"/>
      <c r="IF1018" s="73"/>
      <c r="IG1018" s="73"/>
      <c r="IH1018" s="73"/>
      <c r="II1018" s="73"/>
      <c r="IJ1018" s="73"/>
      <c r="IK1018" s="73"/>
      <c r="IL1018" s="73"/>
      <c r="IM1018" s="73"/>
      <c r="IN1018" s="73"/>
      <c r="IO1018" s="73"/>
      <c r="IP1018" s="73"/>
      <c r="IQ1018" s="73"/>
      <c r="IR1018" s="73"/>
      <c r="IS1018" s="73"/>
      <c r="IT1018" s="73"/>
      <c r="IU1018" s="73"/>
      <c r="IV1018" s="73"/>
      <c r="IW1018" s="73"/>
      <c r="IX1018" s="73"/>
      <c r="IY1018" s="73"/>
      <c r="IZ1018" s="73"/>
      <c r="JA1018" s="73"/>
      <c r="JB1018" s="73"/>
      <c r="JC1018" s="73"/>
    </row>
    <row r="1019" spans="2:263" s="72" customFormat="1">
      <c r="B1019" s="73"/>
      <c r="C1019" s="73"/>
      <c r="D1019" s="73"/>
      <c r="E1019" s="73"/>
      <c r="F1019" s="73"/>
      <c r="G1019" s="73"/>
      <c r="H1019" s="73"/>
      <c r="I1019" s="73"/>
      <c r="J1019" s="73"/>
      <c r="K1019" s="73"/>
      <c r="L1019" s="73"/>
      <c r="M1019" s="73"/>
      <c r="N1019" s="73"/>
      <c r="O1019" s="73"/>
      <c r="P1019" s="73"/>
      <c r="Q1019" s="73"/>
      <c r="R1019" s="73"/>
      <c r="S1019" s="73"/>
      <c r="T1019" s="73"/>
      <c r="U1019" s="73"/>
      <c r="V1019" s="73"/>
      <c r="W1019" s="73"/>
      <c r="GL1019" s="73"/>
      <c r="GM1019" s="73"/>
      <c r="GN1019" s="73"/>
      <c r="GO1019" s="73"/>
      <c r="GP1019" s="73"/>
      <c r="GQ1019" s="73"/>
      <c r="GR1019" s="73"/>
      <c r="GS1019" s="73"/>
      <c r="GT1019" s="73"/>
      <c r="GU1019" s="73"/>
      <c r="GV1019" s="73"/>
      <c r="GW1019" s="73"/>
      <c r="GX1019" s="73"/>
      <c r="GY1019" s="73"/>
      <c r="GZ1019" s="73"/>
      <c r="HA1019" s="73"/>
      <c r="HB1019" s="73"/>
      <c r="HC1019" s="73"/>
      <c r="HD1019" s="73"/>
      <c r="HE1019" s="73"/>
      <c r="HF1019" s="73"/>
      <c r="HG1019" s="73"/>
      <c r="HH1019" s="73"/>
      <c r="HI1019" s="73"/>
      <c r="HJ1019" s="73"/>
      <c r="HK1019" s="73"/>
      <c r="HL1019" s="73"/>
      <c r="HM1019" s="73"/>
      <c r="HN1019" s="73"/>
      <c r="HO1019" s="73"/>
      <c r="HP1019" s="73"/>
      <c r="HQ1019" s="73"/>
      <c r="HR1019" s="73"/>
      <c r="HS1019" s="73"/>
      <c r="HT1019" s="73"/>
      <c r="HU1019" s="73"/>
      <c r="HV1019" s="73"/>
      <c r="HW1019" s="73"/>
      <c r="HX1019" s="73"/>
      <c r="HY1019" s="73"/>
      <c r="HZ1019" s="73"/>
      <c r="IA1019" s="73"/>
      <c r="IB1019" s="73"/>
      <c r="IC1019" s="73"/>
      <c r="ID1019" s="73"/>
      <c r="IE1019" s="73"/>
      <c r="IF1019" s="73"/>
      <c r="IG1019" s="73"/>
      <c r="IH1019" s="73"/>
      <c r="II1019" s="73"/>
      <c r="IJ1019" s="73"/>
      <c r="IK1019" s="73"/>
      <c r="IL1019" s="73"/>
      <c r="IM1019" s="73"/>
      <c r="IN1019" s="73"/>
      <c r="IO1019" s="73"/>
      <c r="IP1019" s="73"/>
      <c r="IQ1019" s="73"/>
      <c r="IR1019" s="73"/>
      <c r="IS1019" s="73"/>
      <c r="IT1019" s="73"/>
      <c r="IU1019" s="73"/>
      <c r="IV1019" s="73"/>
      <c r="IW1019" s="73"/>
      <c r="IX1019" s="73"/>
      <c r="IY1019" s="73"/>
      <c r="IZ1019" s="73"/>
      <c r="JA1019" s="73"/>
      <c r="JB1019" s="73"/>
      <c r="JC1019" s="73"/>
    </row>
    <row r="1020" spans="2:263" s="72" customFormat="1">
      <c r="B1020" s="73"/>
      <c r="C1020" s="73"/>
      <c r="D1020" s="73"/>
      <c r="E1020" s="73"/>
      <c r="F1020" s="73"/>
      <c r="G1020" s="73"/>
      <c r="H1020" s="73"/>
      <c r="I1020" s="73"/>
      <c r="J1020" s="73"/>
      <c r="K1020" s="73"/>
      <c r="L1020" s="73"/>
      <c r="M1020" s="73"/>
      <c r="N1020" s="73"/>
      <c r="O1020" s="73"/>
      <c r="P1020" s="73"/>
      <c r="Q1020" s="73"/>
      <c r="R1020" s="73"/>
      <c r="S1020" s="73"/>
      <c r="T1020" s="73"/>
      <c r="U1020" s="73"/>
      <c r="V1020" s="73"/>
      <c r="W1020" s="73"/>
      <c r="GL1020" s="73"/>
      <c r="GM1020" s="73"/>
      <c r="GN1020" s="73"/>
      <c r="GO1020" s="73"/>
      <c r="GP1020" s="73"/>
      <c r="GQ1020" s="73"/>
      <c r="GR1020" s="73"/>
      <c r="GS1020" s="73"/>
      <c r="GT1020" s="73"/>
      <c r="GU1020" s="73"/>
      <c r="GV1020" s="73"/>
      <c r="GW1020" s="73"/>
      <c r="GX1020" s="73"/>
      <c r="GY1020" s="73"/>
      <c r="GZ1020" s="73"/>
      <c r="HA1020" s="73"/>
      <c r="HB1020" s="73"/>
      <c r="HC1020" s="73"/>
      <c r="HD1020" s="73"/>
      <c r="HE1020" s="73"/>
      <c r="HF1020" s="73"/>
      <c r="HG1020" s="73"/>
      <c r="HH1020" s="73"/>
      <c r="HI1020" s="73"/>
      <c r="HJ1020" s="73"/>
      <c r="HK1020" s="73"/>
      <c r="HL1020" s="73"/>
      <c r="HM1020" s="73"/>
      <c r="HN1020" s="73"/>
      <c r="HO1020" s="73"/>
      <c r="HP1020" s="73"/>
      <c r="HQ1020" s="73"/>
      <c r="HR1020" s="73"/>
      <c r="HS1020" s="73"/>
      <c r="HT1020" s="73"/>
      <c r="HU1020" s="73"/>
      <c r="HV1020" s="73"/>
      <c r="HW1020" s="73"/>
      <c r="HX1020" s="73"/>
      <c r="HY1020" s="73"/>
      <c r="HZ1020" s="73"/>
      <c r="IA1020" s="73"/>
      <c r="IB1020" s="73"/>
      <c r="IC1020" s="73"/>
      <c r="ID1020" s="73"/>
      <c r="IE1020" s="73"/>
      <c r="IF1020" s="73"/>
      <c r="IG1020" s="73"/>
      <c r="IH1020" s="73"/>
      <c r="II1020" s="73"/>
      <c r="IJ1020" s="73"/>
      <c r="IK1020" s="73"/>
      <c r="IL1020" s="73"/>
      <c r="IM1020" s="73"/>
      <c r="IN1020" s="73"/>
      <c r="IO1020" s="73"/>
      <c r="IP1020" s="73"/>
      <c r="IQ1020" s="73"/>
      <c r="IR1020" s="73"/>
      <c r="IS1020" s="73"/>
      <c r="IT1020" s="73"/>
      <c r="IU1020" s="73"/>
      <c r="IV1020" s="73"/>
      <c r="IW1020" s="73"/>
      <c r="IX1020" s="73"/>
      <c r="IY1020" s="73"/>
      <c r="IZ1020" s="73"/>
      <c r="JA1020" s="73"/>
      <c r="JB1020" s="73"/>
      <c r="JC1020" s="73"/>
    </row>
    <row r="1021" spans="2:263" s="72" customFormat="1">
      <c r="B1021" s="73"/>
      <c r="C1021" s="73"/>
      <c r="D1021" s="73"/>
      <c r="E1021" s="73"/>
      <c r="F1021" s="73"/>
      <c r="G1021" s="73"/>
      <c r="H1021" s="73"/>
      <c r="I1021" s="73"/>
      <c r="J1021" s="73"/>
      <c r="K1021" s="73"/>
      <c r="L1021" s="73"/>
      <c r="M1021" s="73"/>
      <c r="N1021" s="73"/>
      <c r="O1021" s="73"/>
      <c r="P1021" s="73"/>
      <c r="Q1021" s="73"/>
      <c r="R1021" s="73"/>
      <c r="S1021" s="73"/>
      <c r="T1021" s="73"/>
      <c r="U1021" s="73"/>
      <c r="V1021" s="73"/>
      <c r="W1021" s="73"/>
      <c r="GL1021" s="73"/>
      <c r="GM1021" s="73"/>
      <c r="GN1021" s="73"/>
      <c r="GO1021" s="73"/>
      <c r="GP1021" s="73"/>
      <c r="GQ1021" s="73"/>
      <c r="GR1021" s="73"/>
      <c r="GS1021" s="73"/>
      <c r="GT1021" s="73"/>
      <c r="GU1021" s="73"/>
      <c r="GV1021" s="73"/>
      <c r="GW1021" s="73"/>
      <c r="GX1021" s="73"/>
      <c r="GY1021" s="73"/>
      <c r="GZ1021" s="73"/>
      <c r="HA1021" s="73"/>
      <c r="HB1021" s="73"/>
      <c r="HC1021" s="73"/>
      <c r="HD1021" s="73"/>
      <c r="HE1021" s="73"/>
      <c r="HF1021" s="73"/>
      <c r="HG1021" s="73"/>
      <c r="HH1021" s="73"/>
      <c r="HI1021" s="73"/>
      <c r="HJ1021" s="73"/>
      <c r="HK1021" s="73"/>
      <c r="HL1021" s="73"/>
      <c r="HM1021" s="73"/>
      <c r="HN1021" s="73"/>
      <c r="HO1021" s="73"/>
      <c r="HP1021" s="73"/>
      <c r="HQ1021" s="73"/>
      <c r="HR1021" s="73"/>
      <c r="HS1021" s="73"/>
      <c r="HT1021" s="73"/>
      <c r="HU1021" s="73"/>
      <c r="HV1021" s="73"/>
      <c r="HW1021" s="73"/>
      <c r="HX1021" s="73"/>
      <c r="HY1021" s="73"/>
      <c r="HZ1021" s="73"/>
      <c r="IA1021" s="73"/>
      <c r="IB1021" s="73"/>
      <c r="IC1021" s="73"/>
      <c r="ID1021" s="73"/>
      <c r="IE1021" s="73"/>
      <c r="IF1021" s="73"/>
      <c r="IG1021" s="73"/>
      <c r="IH1021" s="73"/>
      <c r="II1021" s="73"/>
      <c r="IJ1021" s="73"/>
      <c r="IK1021" s="73"/>
      <c r="IL1021" s="73"/>
      <c r="IM1021" s="73"/>
      <c r="IN1021" s="73"/>
      <c r="IO1021" s="73"/>
      <c r="IP1021" s="73"/>
      <c r="IQ1021" s="73"/>
      <c r="IR1021" s="73"/>
      <c r="IS1021" s="73"/>
      <c r="IT1021" s="73"/>
      <c r="IU1021" s="73"/>
      <c r="IV1021" s="73"/>
      <c r="IW1021" s="73"/>
      <c r="IX1021" s="73"/>
      <c r="IY1021" s="73"/>
      <c r="IZ1021" s="73"/>
      <c r="JA1021" s="73"/>
      <c r="JB1021" s="73"/>
      <c r="JC1021" s="73"/>
    </row>
    <row r="1022" spans="2:263" s="72" customFormat="1">
      <c r="B1022" s="73"/>
      <c r="C1022" s="73"/>
      <c r="D1022" s="73"/>
      <c r="E1022" s="73"/>
      <c r="F1022" s="73"/>
      <c r="G1022" s="73"/>
      <c r="H1022" s="73"/>
      <c r="I1022" s="73"/>
      <c r="J1022" s="73"/>
      <c r="K1022" s="73"/>
      <c r="L1022" s="73"/>
      <c r="M1022" s="73"/>
      <c r="N1022" s="73"/>
      <c r="O1022" s="73"/>
      <c r="P1022" s="73"/>
      <c r="Q1022" s="73"/>
      <c r="R1022" s="73"/>
      <c r="S1022" s="73"/>
      <c r="T1022" s="73"/>
      <c r="U1022" s="73"/>
      <c r="V1022" s="73"/>
      <c r="W1022" s="73"/>
      <c r="GL1022" s="73"/>
      <c r="GM1022" s="73"/>
      <c r="GN1022" s="73"/>
      <c r="GO1022" s="73"/>
      <c r="GP1022" s="73"/>
      <c r="GQ1022" s="73"/>
      <c r="GR1022" s="73"/>
      <c r="GS1022" s="73"/>
      <c r="GT1022" s="73"/>
      <c r="GU1022" s="73"/>
      <c r="GV1022" s="73"/>
      <c r="GW1022" s="73"/>
      <c r="GX1022" s="73"/>
      <c r="GY1022" s="73"/>
      <c r="GZ1022" s="73"/>
      <c r="HA1022" s="73"/>
      <c r="HB1022" s="73"/>
      <c r="HC1022" s="73"/>
      <c r="HD1022" s="73"/>
      <c r="HE1022" s="73"/>
      <c r="HF1022" s="73"/>
      <c r="HG1022" s="73"/>
      <c r="HH1022" s="73"/>
      <c r="HI1022" s="73"/>
      <c r="HJ1022" s="73"/>
      <c r="HK1022" s="73"/>
      <c r="HL1022" s="73"/>
      <c r="HM1022" s="73"/>
      <c r="HN1022" s="73"/>
      <c r="HO1022" s="73"/>
      <c r="HP1022" s="73"/>
      <c r="HQ1022" s="73"/>
      <c r="HR1022" s="73"/>
      <c r="HS1022" s="73"/>
      <c r="HT1022" s="73"/>
      <c r="HU1022" s="73"/>
      <c r="HV1022" s="73"/>
      <c r="HW1022" s="73"/>
      <c r="HX1022" s="73"/>
      <c r="HY1022" s="73"/>
      <c r="HZ1022" s="73"/>
      <c r="IA1022" s="73"/>
      <c r="IB1022" s="73"/>
      <c r="IC1022" s="73"/>
      <c r="ID1022" s="73"/>
      <c r="IE1022" s="73"/>
      <c r="IF1022" s="73"/>
      <c r="IG1022" s="73"/>
      <c r="IH1022" s="73"/>
      <c r="II1022" s="73"/>
      <c r="IJ1022" s="73"/>
      <c r="IK1022" s="73"/>
      <c r="IL1022" s="73"/>
      <c r="IM1022" s="73"/>
      <c r="IN1022" s="73"/>
      <c r="IO1022" s="73"/>
      <c r="IP1022" s="73"/>
      <c r="IQ1022" s="73"/>
      <c r="IR1022" s="73"/>
      <c r="IS1022" s="73"/>
      <c r="IT1022" s="73"/>
      <c r="IU1022" s="73"/>
      <c r="IV1022" s="73"/>
      <c r="IW1022" s="73"/>
      <c r="IX1022" s="73"/>
      <c r="IY1022" s="73"/>
      <c r="IZ1022" s="73"/>
      <c r="JA1022" s="73"/>
      <c r="JB1022" s="73"/>
      <c r="JC1022" s="73"/>
    </row>
    <row r="1023" spans="2:263" s="72" customFormat="1">
      <c r="B1023" s="73"/>
      <c r="C1023" s="73"/>
      <c r="D1023" s="73"/>
      <c r="E1023" s="73"/>
      <c r="F1023" s="73"/>
      <c r="G1023" s="73"/>
      <c r="H1023" s="73"/>
      <c r="I1023" s="73"/>
      <c r="J1023" s="73"/>
      <c r="K1023" s="73"/>
      <c r="L1023" s="73"/>
      <c r="M1023" s="73"/>
      <c r="N1023" s="73"/>
      <c r="O1023" s="73"/>
      <c r="P1023" s="73"/>
      <c r="Q1023" s="73"/>
      <c r="R1023" s="73"/>
      <c r="S1023" s="73"/>
      <c r="T1023" s="73"/>
      <c r="U1023" s="73"/>
      <c r="V1023" s="73"/>
      <c r="W1023" s="73"/>
      <c r="GL1023" s="73"/>
      <c r="GM1023" s="73"/>
      <c r="GN1023" s="73"/>
      <c r="GO1023" s="73"/>
      <c r="GP1023" s="73"/>
      <c r="GQ1023" s="73"/>
      <c r="GR1023" s="73"/>
      <c r="GS1023" s="73"/>
      <c r="GT1023" s="73"/>
      <c r="GU1023" s="73"/>
      <c r="GV1023" s="73"/>
      <c r="GW1023" s="73"/>
      <c r="GX1023" s="73"/>
      <c r="GY1023" s="73"/>
      <c r="GZ1023" s="73"/>
      <c r="HA1023" s="73"/>
      <c r="HB1023" s="73"/>
      <c r="HC1023" s="73"/>
      <c r="HD1023" s="73"/>
      <c r="HE1023" s="73"/>
      <c r="HF1023" s="73"/>
      <c r="HG1023" s="73"/>
      <c r="HH1023" s="73"/>
      <c r="HI1023" s="73"/>
      <c r="HJ1023" s="73"/>
      <c r="HK1023" s="73"/>
      <c r="HL1023" s="73"/>
      <c r="HM1023" s="73"/>
      <c r="HN1023" s="73"/>
      <c r="HO1023" s="73"/>
      <c r="HP1023" s="73"/>
      <c r="HQ1023" s="73"/>
      <c r="HR1023" s="73"/>
      <c r="HS1023" s="73"/>
      <c r="HT1023" s="73"/>
      <c r="HU1023" s="73"/>
      <c r="HV1023" s="73"/>
      <c r="HW1023" s="73"/>
      <c r="HX1023" s="73"/>
      <c r="HY1023" s="73"/>
      <c r="HZ1023" s="73"/>
      <c r="IA1023" s="73"/>
      <c r="IB1023" s="73"/>
      <c r="IC1023" s="73"/>
      <c r="ID1023" s="73"/>
      <c r="IE1023" s="73"/>
      <c r="IF1023" s="73"/>
      <c r="IG1023" s="73"/>
      <c r="IH1023" s="73"/>
      <c r="II1023" s="73"/>
      <c r="IJ1023" s="73"/>
      <c r="IK1023" s="73"/>
      <c r="IL1023" s="73"/>
      <c r="IM1023" s="73"/>
      <c r="IN1023" s="73"/>
      <c r="IO1023" s="73"/>
      <c r="IP1023" s="73"/>
      <c r="IQ1023" s="73"/>
      <c r="IR1023" s="73"/>
      <c r="IS1023" s="73"/>
      <c r="IT1023" s="73"/>
      <c r="IU1023" s="73"/>
      <c r="IV1023" s="73"/>
      <c r="IW1023" s="73"/>
      <c r="IX1023" s="73"/>
      <c r="IY1023" s="73"/>
      <c r="IZ1023" s="73"/>
      <c r="JA1023" s="73"/>
      <c r="JB1023" s="73"/>
      <c r="JC1023" s="73"/>
    </row>
    <row r="1024" spans="2:263" s="72" customFormat="1">
      <c r="B1024" s="73"/>
      <c r="C1024" s="73"/>
      <c r="D1024" s="73"/>
      <c r="E1024" s="73"/>
      <c r="F1024" s="73"/>
      <c r="G1024" s="73"/>
      <c r="H1024" s="73"/>
      <c r="I1024" s="73"/>
      <c r="J1024" s="73"/>
      <c r="K1024" s="73"/>
      <c r="L1024" s="73"/>
      <c r="M1024" s="73"/>
      <c r="N1024" s="73"/>
      <c r="O1024" s="73"/>
      <c r="P1024" s="73"/>
      <c r="Q1024" s="73"/>
      <c r="R1024" s="73"/>
      <c r="S1024" s="73"/>
      <c r="T1024" s="73"/>
      <c r="U1024" s="73"/>
      <c r="V1024" s="73"/>
      <c r="W1024" s="73"/>
      <c r="GL1024" s="73"/>
      <c r="GM1024" s="73"/>
      <c r="GN1024" s="73"/>
      <c r="GO1024" s="73"/>
      <c r="GP1024" s="73"/>
      <c r="GQ1024" s="73"/>
      <c r="GR1024" s="73"/>
      <c r="GS1024" s="73"/>
      <c r="GT1024" s="73"/>
      <c r="GU1024" s="73"/>
      <c r="GV1024" s="73"/>
      <c r="GW1024" s="73"/>
      <c r="GX1024" s="73"/>
      <c r="GY1024" s="73"/>
      <c r="GZ1024" s="73"/>
      <c r="HA1024" s="73"/>
      <c r="HB1024" s="73"/>
      <c r="HC1024" s="73"/>
      <c r="HD1024" s="73"/>
      <c r="HE1024" s="73"/>
      <c r="HF1024" s="73"/>
      <c r="HG1024" s="73"/>
      <c r="HH1024" s="73"/>
      <c r="HI1024" s="73"/>
      <c r="HJ1024" s="73"/>
      <c r="HK1024" s="73"/>
      <c r="HL1024" s="73"/>
      <c r="HM1024" s="73"/>
      <c r="HN1024" s="73"/>
      <c r="HO1024" s="73"/>
      <c r="HP1024" s="73"/>
      <c r="HQ1024" s="73"/>
      <c r="HR1024" s="73"/>
      <c r="HS1024" s="73"/>
      <c r="HT1024" s="73"/>
      <c r="HU1024" s="73"/>
      <c r="HV1024" s="73"/>
      <c r="HW1024" s="73"/>
      <c r="HX1024" s="73"/>
      <c r="HY1024" s="73"/>
      <c r="HZ1024" s="73"/>
      <c r="IA1024" s="73"/>
      <c r="IB1024" s="73"/>
      <c r="IC1024" s="73"/>
      <c r="ID1024" s="73"/>
      <c r="IE1024" s="73"/>
      <c r="IF1024" s="73"/>
      <c r="IG1024" s="73"/>
      <c r="IH1024" s="73"/>
      <c r="II1024" s="73"/>
      <c r="IJ1024" s="73"/>
      <c r="IK1024" s="73"/>
      <c r="IL1024" s="73"/>
      <c r="IM1024" s="73"/>
      <c r="IN1024" s="73"/>
      <c r="IO1024" s="73"/>
      <c r="IP1024" s="73"/>
      <c r="IQ1024" s="73"/>
      <c r="IR1024" s="73"/>
      <c r="IS1024" s="73"/>
      <c r="IT1024" s="73"/>
      <c r="IU1024" s="73"/>
      <c r="IV1024" s="73"/>
      <c r="IW1024" s="73"/>
      <c r="IX1024" s="73"/>
      <c r="IY1024" s="73"/>
      <c r="IZ1024" s="73"/>
      <c r="JA1024" s="73"/>
      <c r="JB1024" s="73"/>
      <c r="JC1024" s="73"/>
    </row>
    <row r="1025" spans="2:263" s="72" customFormat="1">
      <c r="B1025" s="73"/>
      <c r="C1025" s="73"/>
      <c r="D1025" s="73"/>
      <c r="E1025" s="73"/>
      <c r="F1025" s="73"/>
      <c r="G1025" s="73"/>
      <c r="H1025" s="73"/>
      <c r="I1025" s="73"/>
      <c r="J1025" s="73"/>
      <c r="K1025" s="73"/>
      <c r="L1025" s="73"/>
      <c r="M1025" s="73"/>
      <c r="N1025" s="73"/>
      <c r="O1025" s="73"/>
      <c r="P1025" s="73"/>
      <c r="Q1025" s="73"/>
      <c r="R1025" s="73"/>
      <c r="S1025" s="73"/>
      <c r="T1025" s="73"/>
      <c r="U1025" s="73"/>
      <c r="V1025" s="73"/>
      <c r="W1025" s="73"/>
      <c r="GL1025" s="73"/>
      <c r="GM1025" s="73"/>
      <c r="GN1025" s="73"/>
      <c r="GO1025" s="73"/>
      <c r="GP1025" s="73"/>
      <c r="GQ1025" s="73"/>
      <c r="GR1025" s="73"/>
      <c r="GS1025" s="73"/>
      <c r="GT1025" s="73"/>
      <c r="GU1025" s="73"/>
      <c r="GV1025" s="73"/>
      <c r="GW1025" s="73"/>
      <c r="GX1025" s="73"/>
      <c r="GY1025" s="73"/>
      <c r="GZ1025" s="73"/>
      <c r="HA1025" s="73"/>
      <c r="HB1025" s="73"/>
      <c r="HC1025" s="73"/>
      <c r="HD1025" s="73"/>
      <c r="HE1025" s="73"/>
      <c r="HF1025" s="73"/>
      <c r="HG1025" s="73"/>
      <c r="HH1025" s="73"/>
      <c r="HI1025" s="73"/>
      <c r="HJ1025" s="73"/>
      <c r="HK1025" s="73"/>
      <c r="HL1025" s="73"/>
      <c r="HM1025" s="73"/>
      <c r="HN1025" s="73"/>
      <c r="HO1025" s="73"/>
      <c r="HP1025" s="73"/>
      <c r="HQ1025" s="73"/>
      <c r="HR1025" s="73"/>
      <c r="HS1025" s="73"/>
      <c r="HT1025" s="73"/>
      <c r="HU1025" s="73"/>
      <c r="HV1025" s="73"/>
      <c r="HW1025" s="73"/>
      <c r="HX1025" s="73"/>
      <c r="HY1025" s="73"/>
      <c r="HZ1025" s="73"/>
      <c r="IA1025" s="73"/>
      <c r="IB1025" s="73"/>
      <c r="IC1025" s="73"/>
      <c r="ID1025" s="73"/>
      <c r="IE1025" s="73"/>
      <c r="IF1025" s="73"/>
      <c r="IG1025" s="73"/>
      <c r="IH1025" s="73"/>
      <c r="II1025" s="73"/>
      <c r="IJ1025" s="73"/>
      <c r="IK1025" s="73"/>
      <c r="IL1025" s="73"/>
      <c r="IM1025" s="73"/>
      <c r="IN1025" s="73"/>
      <c r="IO1025" s="73"/>
      <c r="IP1025" s="73"/>
      <c r="IQ1025" s="73"/>
      <c r="IR1025" s="73"/>
      <c r="IS1025" s="73"/>
      <c r="IT1025" s="73"/>
      <c r="IU1025" s="73"/>
      <c r="IV1025" s="73"/>
      <c r="IW1025" s="73"/>
      <c r="IX1025" s="73"/>
      <c r="IY1025" s="73"/>
      <c r="IZ1025" s="73"/>
      <c r="JA1025" s="73"/>
      <c r="JB1025" s="73"/>
      <c r="JC1025" s="73"/>
    </row>
    <row r="1026" spans="2:263" s="72" customFormat="1">
      <c r="B1026" s="73"/>
      <c r="C1026" s="73"/>
      <c r="D1026" s="73"/>
      <c r="E1026" s="73"/>
      <c r="F1026" s="73"/>
      <c r="G1026" s="73"/>
      <c r="H1026" s="73"/>
      <c r="I1026" s="73"/>
      <c r="J1026" s="73"/>
      <c r="K1026" s="73"/>
      <c r="L1026" s="73"/>
      <c r="M1026" s="73"/>
      <c r="N1026" s="73"/>
      <c r="O1026" s="73"/>
      <c r="P1026" s="73"/>
      <c r="Q1026" s="73"/>
      <c r="R1026" s="73"/>
      <c r="S1026" s="73"/>
      <c r="T1026" s="73"/>
      <c r="U1026" s="73"/>
      <c r="V1026" s="73"/>
      <c r="W1026" s="73"/>
      <c r="GL1026" s="73"/>
      <c r="GM1026" s="73"/>
      <c r="GN1026" s="73"/>
      <c r="GO1026" s="73"/>
      <c r="GP1026" s="73"/>
      <c r="GQ1026" s="73"/>
      <c r="GR1026" s="73"/>
      <c r="GS1026" s="73"/>
      <c r="GT1026" s="73"/>
      <c r="GU1026" s="73"/>
      <c r="GV1026" s="73"/>
      <c r="GW1026" s="73"/>
      <c r="GX1026" s="73"/>
      <c r="GY1026" s="73"/>
      <c r="GZ1026" s="73"/>
      <c r="HA1026" s="73"/>
      <c r="HB1026" s="73"/>
      <c r="HC1026" s="73"/>
      <c r="HD1026" s="73"/>
      <c r="HE1026" s="73"/>
      <c r="HF1026" s="73"/>
      <c r="HG1026" s="73"/>
      <c r="HH1026" s="73"/>
      <c r="HI1026" s="73"/>
      <c r="HJ1026" s="73"/>
      <c r="HK1026" s="73"/>
      <c r="HL1026" s="73"/>
      <c r="HM1026" s="73"/>
      <c r="HN1026" s="73"/>
      <c r="HO1026" s="73"/>
      <c r="HP1026" s="73"/>
      <c r="HQ1026" s="73"/>
      <c r="HR1026" s="73"/>
      <c r="HS1026" s="73"/>
      <c r="HT1026" s="73"/>
      <c r="HU1026" s="73"/>
      <c r="HV1026" s="73"/>
      <c r="HW1026" s="73"/>
      <c r="HX1026" s="73"/>
      <c r="HY1026" s="73"/>
      <c r="HZ1026" s="73"/>
      <c r="IA1026" s="73"/>
      <c r="IB1026" s="73"/>
      <c r="IC1026" s="73"/>
      <c r="ID1026" s="73"/>
      <c r="IE1026" s="73"/>
      <c r="IF1026" s="73"/>
      <c r="IG1026" s="73"/>
      <c r="IH1026" s="73"/>
      <c r="II1026" s="73"/>
      <c r="IJ1026" s="73"/>
      <c r="IK1026" s="73"/>
      <c r="IL1026" s="73"/>
      <c r="IM1026" s="73"/>
      <c r="IN1026" s="73"/>
      <c r="IO1026" s="73"/>
      <c r="IP1026" s="73"/>
      <c r="IQ1026" s="73"/>
      <c r="IR1026" s="73"/>
      <c r="IS1026" s="73"/>
      <c r="IT1026" s="73"/>
      <c r="IU1026" s="73"/>
      <c r="IV1026" s="73"/>
      <c r="IW1026" s="73"/>
      <c r="IX1026" s="73"/>
      <c r="IY1026" s="73"/>
      <c r="IZ1026" s="73"/>
      <c r="JA1026" s="73"/>
      <c r="JB1026" s="73"/>
      <c r="JC1026" s="73"/>
    </row>
    <row r="1027" spans="2:263" s="72" customFormat="1">
      <c r="B1027" s="73"/>
      <c r="C1027" s="73"/>
      <c r="D1027" s="73"/>
      <c r="E1027" s="73"/>
      <c r="F1027" s="73"/>
      <c r="G1027" s="73"/>
      <c r="H1027" s="73"/>
      <c r="I1027" s="73"/>
      <c r="J1027" s="73"/>
      <c r="K1027" s="73"/>
      <c r="L1027" s="73"/>
      <c r="M1027" s="73"/>
      <c r="N1027" s="73"/>
      <c r="O1027" s="73"/>
      <c r="P1027" s="73"/>
      <c r="Q1027" s="73"/>
      <c r="R1027" s="73"/>
      <c r="S1027" s="73"/>
      <c r="T1027" s="73"/>
      <c r="U1027" s="73"/>
      <c r="V1027" s="73"/>
      <c r="W1027" s="73"/>
      <c r="GL1027" s="73"/>
      <c r="GM1027" s="73"/>
      <c r="GN1027" s="73"/>
      <c r="GO1027" s="73"/>
      <c r="GP1027" s="73"/>
      <c r="GQ1027" s="73"/>
      <c r="GR1027" s="73"/>
      <c r="GS1027" s="73"/>
      <c r="GT1027" s="73"/>
      <c r="GU1027" s="73"/>
      <c r="GV1027" s="73"/>
      <c r="GW1027" s="73"/>
      <c r="GX1027" s="73"/>
      <c r="GY1027" s="73"/>
      <c r="GZ1027" s="73"/>
      <c r="HA1027" s="73"/>
      <c r="HB1027" s="73"/>
      <c r="HC1027" s="73"/>
      <c r="HD1027" s="73"/>
      <c r="HE1027" s="73"/>
      <c r="HF1027" s="73"/>
      <c r="HG1027" s="73"/>
      <c r="HH1027" s="73"/>
      <c r="HI1027" s="73"/>
      <c r="HJ1027" s="73"/>
      <c r="HK1027" s="73"/>
      <c r="HL1027" s="73"/>
      <c r="HM1027" s="73"/>
      <c r="HN1027" s="73"/>
      <c r="HO1027" s="73"/>
      <c r="HP1027" s="73"/>
      <c r="HQ1027" s="73"/>
      <c r="HR1027" s="73"/>
      <c r="HS1027" s="73"/>
      <c r="HT1027" s="73"/>
      <c r="HU1027" s="73"/>
      <c r="HV1027" s="73"/>
      <c r="HW1027" s="73"/>
      <c r="HX1027" s="73"/>
      <c r="HY1027" s="73"/>
      <c r="HZ1027" s="73"/>
      <c r="IA1027" s="73"/>
      <c r="IB1027" s="73"/>
      <c r="IC1027" s="73"/>
      <c r="ID1027" s="73"/>
      <c r="IE1027" s="73"/>
      <c r="IF1027" s="73"/>
      <c r="IG1027" s="73"/>
      <c r="IH1027" s="73"/>
      <c r="II1027" s="73"/>
      <c r="IJ1027" s="73"/>
      <c r="IK1027" s="73"/>
      <c r="IL1027" s="73"/>
      <c r="IM1027" s="73"/>
      <c r="IN1027" s="73"/>
      <c r="IO1027" s="73"/>
      <c r="IP1027" s="73"/>
      <c r="IQ1027" s="73"/>
      <c r="IR1027" s="73"/>
      <c r="IS1027" s="73"/>
      <c r="IT1027" s="73"/>
      <c r="IU1027" s="73"/>
      <c r="IV1027" s="73"/>
      <c r="IW1027" s="73"/>
      <c r="IX1027" s="73"/>
      <c r="IY1027" s="73"/>
      <c r="IZ1027" s="73"/>
      <c r="JA1027" s="73"/>
      <c r="JB1027" s="73"/>
      <c r="JC1027" s="73"/>
    </row>
    <row r="1028" spans="2:263" s="72" customFormat="1">
      <c r="B1028" s="73"/>
      <c r="C1028" s="73"/>
      <c r="D1028" s="73"/>
      <c r="E1028" s="73"/>
      <c r="F1028" s="73"/>
      <c r="G1028" s="73"/>
      <c r="H1028" s="73"/>
      <c r="I1028" s="73"/>
      <c r="J1028" s="73"/>
      <c r="K1028" s="73"/>
      <c r="L1028" s="73"/>
      <c r="M1028" s="73"/>
      <c r="N1028" s="73"/>
      <c r="O1028" s="73"/>
      <c r="P1028" s="73"/>
      <c r="Q1028" s="73"/>
      <c r="R1028" s="73"/>
      <c r="S1028" s="73"/>
      <c r="T1028" s="73"/>
      <c r="U1028" s="73"/>
      <c r="V1028" s="73"/>
      <c r="W1028" s="73"/>
      <c r="GL1028" s="73"/>
      <c r="GM1028" s="73"/>
      <c r="GN1028" s="73"/>
      <c r="GO1028" s="73"/>
      <c r="GP1028" s="73"/>
      <c r="GQ1028" s="73"/>
      <c r="GR1028" s="73"/>
      <c r="GS1028" s="73"/>
      <c r="GT1028" s="73"/>
      <c r="GU1028" s="73"/>
      <c r="GV1028" s="73"/>
      <c r="GW1028" s="73"/>
      <c r="GX1028" s="73"/>
      <c r="GY1028" s="73"/>
      <c r="GZ1028" s="73"/>
      <c r="HA1028" s="73"/>
      <c r="HB1028" s="73"/>
      <c r="HC1028" s="73"/>
      <c r="HD1028" s="73"/>
      <c r="HE1028" s="73"/>
      <c r="HF1028" s="73"/>
      <c r="HG1028" s="73"/>
      <c r="HH1028" s="73"/>
      <c r="HI1028" s="73"/>
      <c r="HJ1028" s="73"/>
      <c r="HK1028" s="73"/>
      <c r="HL1028" s="73"/>
      <c r="HM1028" s="73"/>
      <c r="HN1028" s="73"/>
      <c r="HO1028" s="73"/>
      <c r="HP1028" s="73"/>
      <c r="HQ1028" s="73"/>
      <c r="HR1028" s="73"/>
      <c r="HS1028" s="73"/>
      <c r="HT1028" s="73"/>
      <c r="HU1028" s="73"/>
      <c r="HV1028" s="73"/>
      <c r="HW1028" s="73"/>
      <c r="HX1028" s="73"/>
      <c r="HY1028" s="73"/>
      <c r="HZ1028" s="73"/>
      <c r="IA1028" s="73"/>
      <c r="IB1028" s="73"/>
      <c r="IC1028" s="73"/>
      <c r="ID1028" s="73"/>
      <c r="IE1028" s="73"/>
      <c r="IF1028" s="73"/>
      <c r="IG1028" s="73"/>
      <c r="IH1028" s="73"/>
      <c r="II1028" s="73"/>
      <c r="IJ1028" s="73"/>
      <c r="IK1028" s="73"/>
      <c r="IL1028" s="73"/>
      <c r="IM1028" s="73"/>
      <c r="IN1028" s="73"/>
      <c r="IO1028" s="73"/>
      <c r="IP1028" s="73"/>
      <c r="IQ1028" s="73"/>
      <c r="IR1028" s="73"/>
      <c r="IS1028" s="73"/>
      <c r="IT1028" s="73"/>
      <c r="IU1028" s="73"/>
      <c r="IV1028" s="73"/>
      <c r="IW1028" s="73"/>
      <c r="IX1028" s="73"/>
      <c r="IY1028" s="73"/>
      <c r="IZ1028" s="73"/>
      <c r="JA1028" s="73"/>
      <c r="JB1028" s="73"/>
      <c r="JC1028" s="73"/>
    </row>
    <row r="1029" spans="2:263" s="72" customFormat="1">
      <c r="B1029" s="73"/>
      <c r="C1029" s="73"/>
      <c r="D1029" s="73"/>
      <c r="E1029" s="73"/>
      <c r="F1029" s="73"/>
      <c r="G1029" s="73"/>
      <c r="H1029" s="73"/>
      <c r="I1029" s="73"/>
      <c r="J1029" s="73"/>
      <c r="K1029" s="73"/>
      <c r="L1029" s="73"/>
      <c r="M1029" s="73"/>
      <c r="N1029" s="73"/>
      <c r="O1029" s="73"/>
      <c r="P1029" s="73"/>
      <c r="Q1029" s="73"/>
      <c r="R1029" s="73"/>
      <c r="S1029" s="73"/>
      <c r="T1029" s="73"/>
      <c r="U1029" s="73"/>
      <c r="V1029" s="73"/>
      <c r="W1029" s="73"/>
      <c r="GL1029" s="73"/>
      <c r="GM1029" s="73"/>
      <c r="GN1029" s="73"/>
      <c r="GO1029" s="73"/>
      <c r="GP1029" s="73"/>
      <c r="GQ1029" s="73"/>
      <c r="GR1029" s="73"/>
      <c r="GS1029" s="73"/>
      <c r="GT1029" s="73"/>
      <c r="GU1029" s="73"/>
      <c r="GV1029" s="73"/>
      <c r="GW1029" s="73"/>
      <c r="GX1029" s="73"/>
      <c r="GY1029" s="73"/>
      <c r="GZ1029" s="73"/>
      <c r="HA1029" s="73"/>
      <c r="HB1029" s="73"/>
      <c r="HC1029" s="73"/>
      <c r="HD1029" s="73"/>
      <c r="HE1029" s="73"/>
      <c r="HF1029" s="73"/>
      <c r="HG1029" s="73"/>
      <c r="HH1029" s="73"/>
      <c r="HI1029" s="73"/>
      <c r="HJ1029" s="73"/>
      <c r="HK1029" s="73"/>
      <c r="HL1029" s="73"/>
      <c r="HM1029" s="73"/>
      <c r="HN1029" s="73"/>
      <c r="HO1029" s="73"/>
      <c r="HP1029" s="73"/>
      <c r="HQ1029" s="73"/>
      <c r="HR1029" s="73"/>
      <c r="HS1029" s="73"/>
      <c r="HT1029" s="73"/>
      <c r="HU1029" s="73"/>
      <c r="HV1029" s="73"/>
      <c r="HW1029" s="73"/>
      <c r="HX1029" s="73"/>
      <c r="HY1029" s="73"/>
      <c r="HZ1029" s="73"/>
      <c r="IA1029" s="73"/>
      <c r="IB1029" s="73"/>
      <c r="IC1029" s="73"/>
      <c r="ID1029" s="73"/>
      <c r="IE1029" s="73"/>
      <c r="IF1029" s="73"/>
      <c r="IG1029" s="73"/>
      <c r="IH1029" s="73"/>
      <c r="II1029" s="73"/>
      <c r="IJ1029" s="73"/>
      <c r="IK1029" s="73"/>
      <c r="IL1029" s="73"/>
      <c r="IM1029" s="73"/>
      <c r="IN1029" s="73"/>
      <c r="IO1029" s="73"/>
      <c r="IP1029" s="73"/>
      <c r="IQ1029" s="73"/>
      <c r="IR1029" s="73"/>
      <c r="IS1029" s="73"/>
      <c r="IT1029" s="73"/>
      <c r="IU1029" s="73"/>
      <c r="IV1029" s="73"/>
      <c r="IW1029" s="73"/>
      <c r="IX1029" s="73"/>
      <c r="IY1029" s="73"/>
      <c r="IZ1029" s="73"/>
      <c r="JA1029" s="73"/>
      <c r="JB1029" s="73"/>
      <c r="JC1029" s="73"/>
    </row>
    <row r="1030" spans="2:263" s="72" customFormat="1">
      <c r="B1030" s="73"/>
      <c r="C1030" s="73"/>
      <c r="D1030" s="73"/>
      <c r="E1030" s="73"/>
      <c r="F1030" s="73"/>
      <c r="G1030" s="73"/>
      <c r="H1030" s="73"/>
      <c r="I1030" s="73"/>
      <c r="J1030" s="73"/>
      <c r="K1030" s="73"/>
      <c r="L1030" s="73"/>
      <c r="M1030" s="73"/>
      <c r="N1030" s="73"/>
      <c r="O1030" s="73"/>
      <c r="P1030" s="73"/>
      <c r="Q1030" s="73"/>
      <c r="R1030" s="73"/>
      <c r="S1030" s="73"/>
      <c r="T1030" s="73"/>
      <c r="U1030" s="73"/>
      <c r="V1030" s="73"/>
      <c r="W1030" s="73"/>
      <c r="GL1030" s="73"/>
      <c r="GM1030" s="73"/>
      <c r="GN1030" s="73"/>
      <c r="GO1030" s="73"/>
      <c r="GP1030" s="73"/>
      <c r="GQ1030" s="73"/>
      <c r="GR1030" s="73"/>
      <c r="GS1030" s="73"/>
      <c r="GT1030" s="73"/>
      <c r="GU1030" s="73"/>
      <c r="GV1030" s="73"/>
      <c r="GW1030" s="73"/>
      <c r="GX1030" s="73"/>
      <c r="GY1030" s="73"/>
      <c r="GZ1030" s="73"/>
      <c r="HA1030" s="73"/>
      <c r="HB1030" s="73"/>
      <c r="HC1030" s="73"/>
      <c r="HD1030" s="73"/>
      <c r="HE1030" s="73"/>
      <c r="HF1030" s="73"/>
      <c r="HG1030" s="73"/>
      <c r="HH1030" s="73"/>
      <c r="HI1030" s="73"/>
      <c r="HJ1030" s="73"/>
      <c r="HK1030" s="73"/>
      <c r="HL1030" s="73"/>
      <c r="HM1030" s="73"/>
      <c r="HN1030" s="73"/>
      <c r="HO1030" s="73"/>
      <c r="HP1030" s="73"/>
      <c r="HQ1030" s="73"/>
      <c r="HR1030" s="73"/>
      <c r="HS1030" s="73"/>
      <c r="HT1030" s="73"/>
      <c r="HU1030" s="73"/>
      <c r="HV1030" s="73"/>
      <c r="HW1030" s="73"/>
      <c r="HX1030" s="73"/>
      <c r="HY1030" s="73"/>
      <c r="HZ1030" s="73"/>
      <c r="IA1030" s="73"/>
      <c r="IB1030" s="73"/>
      <c r="IC1030" s="73"/>
      <c r="ID1030" s="73"/>
      <c r="IE1030" s="73"/>
      <c r="IF1030" s="73"/>
      <c r="IG1030" s="73"/>
      <c r="IH1030" s="73"/>
      <c r="II1030" s="73"/>
      <c r="IJ1030" s="73"/>
      <c r="IK1030" s="73"/>
      <c r="IL1030" s="73"/>
      <c r="IM1030" s="73"/>
      <c r="IN1030" s="73"/>
      <c r="IO1030" s="73"/>
      <c r="IP1030" s="73"/>
      <c r="IQ1030" s="73"/>
      <c r="IR1030" s="73"/>
      <c r="IS1030" s="73"/>
      <c r="IT1030" s="73"/>
      <c r="IU1030" s="73"/>
      <c r="IV1030" s="73"/>
      <c r="IW1030" s="73"/>
      <c r="IX1030" s="73"/>
      <c r="IY1030" s="73"/>
      <c r="IZ1030" s="73"/>
      <c r="JA1030" s="73"/>
      <c r="JB1030" s="73"/>
      <c r="JC1030" s="73"/>
    </row>
    <row r="1031" spans="2:263" s="72" customFormat="1">
      <c r="B1031" s="73"/>
      <c r="C1031" s="73"/>
      <c r="D1031" s="73"/>
      <c r="E1031" s="73"/>
      <c r="F1031" s="73"/>
      <c r="G1031" s="73"/>
      <c r="H1031" s="73"/>
      <c r="I1031" s="73"/>
      <c r="J1031" s="73"/>
      <c r="K1031" s="73"/>
      <c r="L1031" s="73"/>
      <c r="M1031" s="73"/>
      <c r="N1031" s="73"/>
      <c r="O1031" s="73"/>
      <c r="P1031" s="73"/>
      <c r="Q1031" s="73"/>
      <c r="R1031" s="73"/>
      <c r="S1031" s="73"/>
      <c r="T1031" s="73"/>
      <c r="U1031" s="73"/>
      <c r="V1031" s="73"/>
      <c r="W1031" s="73"/>
      <c r="GL1031" s="73"/>
      <c r="GM1031" s="73"/>
      <c r="GN1031" s="73"/>
      <c r="GO1031" s="73"/>
      <c r="GP1031" s="73"/>
      <c r="GQ1031" s="73"/>
      <c r="GR1031" s="73"/>
      <c r="GS1031" s="73"/>
      <c r="GT1031" s="73"/>
      <c r="GU1031" s="73"/>
      <c r="GV1031" s="73"/>
      <c r="GW1031" s="73"/>
      <c r="GX1031" s="73"/>
      <c r="GY1031" s="73"/>
      <c r="GZ1031" s="73"/>
      <c r="HA1031" s="73"/>
      <c r="HB1031" s="73"/>
      <c r="HC1031" s="73"/>
      <c r="HD1031" s="73"/>
      <c r="HE1031" s="73"/>
      <c r="HF1031" s="73"/>
      <c r="HG1031" s="73"/>
      <c r="HH1031" s="73"/>
      <c r="HI1031" s="73"/>
      <c r="HJ1031" s="73"/>
      <c r="HK1031" s="73"/>
      <c r="HL1031" s="73"/>
      <c r="HM1031" s="73"/>
      <c r="HN1031" s="73"/>
      <c r="HO1031" s="73"/>
      <c r="HP1031" s="73"/>
      <c r="HQ1031" s="73"/>
      <c r="HR1031" s="73"/>
      <c r="HS1031" s="73"/>
      <c r="HT1031" s="73"/>
      <c r="HU1031" s="73"/>
      <c r="HV1031" s="73"/>
      <c r="HW1031" s="73"/>
      <c r="HX1031" s="73"/>
      <c r="HY1031" s="73"/>
      <c r="HZ1031" s="73"/>
      <c r="IA1031" s="73"/>
      <c r="IB1031" s="73"/>
      <c r="IC1031" s="73"/>
      <c r="ID1031" s="73"/>
      <c r="IE1031" s="73"/>
      <c r="IF1031" s="73"/>
      <c r="IG1031" s="73"/>
      <c r="IH1031" s="73"/>
      <c r="II1031" s="73"/>
      <c r="IJ1031" s="73"/>
      <c r="IK1031" s="73"/>
      <c r="IL1031" s="73"/>
      <c r="IM1031" s="73"/>
      <c r="IN1031" s="73"/>
      <c r="IO1031" s="73"/>
      <c r="IP1031" s="73"/>
      <c r="IQ1031" s="73"/>
      <c r="IR1031" s="73"/>
      <c r="IS1031" s="73"/>
      <c r="IT1031" s="73"/>
      <c r="IU1031" s="73"/>
      <c r="IV1031" s="73"/>
      <c r="IW1031" s="73"/>
      <c r="IX1031" s="73"/>
      <c r="IY1031" s="73"/>
      <c r="IZ1031" s="73"/>
      <c r="JA1031" s="73"/>
      <c r="JB1031" s="73"/>
      <c r="JC1031" s="73"/>
    </row>
    <row r="1032" spans="2:263" s="72" customFormat="1">
      <c r="B1032" s="73"/>
      <c r="C1032" s="73"/>
      <c r="D1032" s="73"/>
      <c r="E1032" s="73"/>
      <c r="F1032" s="73"/>
      <c r="G1032" s="73"/>
      <c r="H1032" s="73"/>
      <c r="I1032" s="73"/>
      <c r="J1032" s="73"/>
      <c r="K1032" s="73"/>
      <c r="L1032" s="73"/>
      <c r="M1032" s="73"/>
      <c r="N1032" s="73"/>
      <c r="O1032" s="73"/>
      <c r="P1032" s="73"/>
      <c r="Q1032" s="73"/>
      <c r="R1032" s="73"/>
      <c r="S1032" s="73"/>
      <c r="T1032" s="73"/>
      <c r="U1032" s="73"/>
      <c r="V1032" s="73"/>
      <c r="W1032" s="73"/>
      <c r="GL1032" s="73"/>
      <c r="GM1032" s="73"/>
      <c r="GN1032" s="73"/>
      <c r="GO1032" s="73"/>
      <c r="GP1032" s="73"/>
      <c r="GQ1032" s="73"/>
      <c r="GR1032" s="73"/>
      <c r="GS1032" s="73"/>
      <c r="GT1032" s="73"/>
      <c r="GU1032" s="73"/>
      <c r="GV1032" s="73"/>
      <c r="GW1032" s="73"/>
      <c r="GX1032" s="73"/>
      <c r="GY1032" s="73"/>
      <c r="GZ1032" s="73"/>
      <c r="HA1032" s="73"/>
      <c r="HB1032" s="73"/>
      <c r="HC1032" s="73"/>
      <c r="HD1032" s="73"/>
      <c r="HE1032" s="73"/>
      <c r="HF1032" s="73"/>
      <c r="HG1032" s="73"/>
      <c r="HH1032" s="73"/>
      <c r="HI1032" s="73"/>
      <c r="HJ1032" s="73"/>
      <c r="HK1032" s="73"/>
      <c r="HL1032" s="73"/>
      <c r="HM1032" s="73"/>
      <c r="HN1032" s="73"/>
      <c r="HO1032" s="73"/>
      <c r="HP1032" s="73"/>
      <c r="HQ1032" s="73"/>
      <c r="HR1032" s="73"/>
      <c r="HS1032" s="73"/>
      <c r="HT1032" s="73"/>
      <c r="HU1032" s="73"/>
      <c r="HV1032" s="73"/>
      <c r="HW1032" s="73"/>
      <c r="HX1032" s="73"/>
      <c r="HY1032" s="73"/>
      <c r="HZ1032" s="73"/>
      <c r="IA1032" s="73"/>
      <c r="IB1032" s="73"/>
      <c r="IC1032" s="73"/>
      <c r="ID1032" s="73"/>
      <c r="IE1032" s="73"/>
      <c r="IF1032" s="73"/>
      <c r="IG1032" s="73"/>
      <c r="IH1032" s="73"/>
      <c r="II1032" s="73"/>
      <c r="IJ1032" s="73"/>
      <c r="IK1032" s="73"/>
      <c r="IL1032" s="73"/>
      <c r="IM1032" s="73"/>
      <c r="IN1032" s="73"/>
      <c r="IO1032" s="73"/>
      <c r="IP1032" s="73"/>
      <c r="IQ1032" s="73"/>
      <c r="IR1032" s="73"/>
      <c r="IS1032" s="73"/>
      <c r="IT1032" s="73"/>
      <c r="IU1032" s="73"/>
      <c r="IV1032" s="73"/>
      <c r="IW1032" s="73"/>
      <c r="IX1032" s="73"/>
      <c r="IY1032" s="73"/>
      <c r="IZ1032" s="73"/>
      <c r="JA1032" s="73"/>
      <c r="JB1032" s="73"/>
      <c r="JC1032" s="73"/>
    </row>
    <row r="1033" spans="2:263" s="72" customFormat="1">
      <c r="B1033" s="73"/>
      <c r="C1033" s="73"/>
      <c r="D1033" s="73"/>
      <c r="E1033" s="73"/>
      <c r="F1033" s="73"/>
      <c r="G1033" s="73"/>
      <c r="H1033" s="73"/>
      <c r="I1033" s="73"/>
      <c r="J1033" s="73"/>
      <c r="K1033" s="73"/>
      <c r="L1033" s="73"/>
      <c r="M1033" s="73"/>
      <c r="N1033" s="73"/>
      <c r="O1033" s="73"/>
      <c r="P1033" s="73"/>
      <c r="Q1033" s="73"/>
      <c r="R1033" s="73"/>
      <c r="S1033" s="73"/>
      <c r="T1033" s="73"/>
      <c r="U1033" s="73"/>
      <c r="V1033" s="73"/>
      <c r="W1033" s="73"/>
      <c r="GL1033" s="73"/>
      <c r="GM1033" s="73"/>
      <c r="GN1033" s="73"/>
      <c r="GO1033" s="73"/>
      <c r="GP1033" s="73"/>
      <c r="GQ1033" s="73"/>
      <c r="GR1033" s="73"/>
      <c r="GS1033" s="73"/>
      <c r="GT1033" s="73"/>
      <c r="GU1033" s="73"/>
      <c r="GV1033" s="73"/>
      <c r="GW1033" s="73"/>
      <c r="GX1033" s="73"/>
      <c r="GY1033" s="73"/>
      <c r="GZ1033" s="73"/>
      <c r="HA1033" s="73"/>
      <c r="HB1033" s="73"/>
      <c r="HC1033" s="73"/>
      <c r="HD1033" s="73"/>
      <c r="HE1033" s="73"/>
      <c r="HF1033" s="73"/>
      <c r="HG1033" s="73"/>
      <c r="HH1033" s="73"/>
      <c r="HI1033" s="73"/>
      <c r="HJ1033" s="73"/>
      <c r="HK1033" s="73"/>
      <c r="HL1033" s="73"/>
      <c r="HM1033" s="73"/>
      <c r="HN1033" s="73"/>
      <c r="HO1033" s="73"/>
      <c r="HP1033" s="73"/>
      <c r="HQ1033" s="73"/>
      <c r="HR1033" s="73"/>
      <c r="HS1033" s="73"/>
      <c r="HT1033" s="73"/>
      <c r="HU1033" s="73"/>
      <c r="HV1033" s="73"/>
      <c r="HW1033" s="73"/>
      <c r="HX1033" s="73"/>
      <c r="HY1033" s="73"/>
      <c r="HZ1033" s="73"/>
      <c r="IA1033" s="73"/>
      <c r="IB1033" s="73"/>
      <c r="IC1033" s="73"/>
      <c r="ID1033" s="73"/>
      <c r="IE1033" s="73"/>
      <c r="IF1033" s="73"/>
      <c r="IG1033" s="73"/>
      <c r="IH1033" s="73"/>
      <c r="II1033" s="73"/>
      <c r="IJ1033" s="73"/>
      <c r="IK1033" s="73"/>
      <c r="IL1033" s="73"/>
      <c r="IM1033" s="73"/>
      <c r="IN1033" s="73"/>
      <c r="IO1033" s="73"/>
      <c r="IP1033" s="73"/>
      <c r="IQ1033" s="73"/>
      <c r="IR1033" s="73"/>
      <c r="IS1033" s="73"/>
      <c r="IT1033" s="73"/>
      <c r="IU1033" s="73"/>
      <c r="IV1033" s="73"/>
      <c r="IW1033" s="73"/>
      <c r="IX1033" s="73"/>
      <c r="IY1033" s="73"/>
      <c r="IZ1033" s="73"/>
      <c r="JA1033" s="73"/>
      <c r="JB1033" s="73"/>
      <c r="JC1033" s="73"/>
    </row>
    <row r="1034" spans="2:263" s="72" customFormat="1">
      <c r="B1034" s="73"/>
      <c r="C1034" s="73"/>
      <c r="D1034" s="73"/>
      <c r="E1034" s="73"/>
      <c r="F1034" s="73"/>
      <c r="G1034" s="73"/>
      <c r="H1034" s="73"/>
      <c r="I1034" s="73"/>
      <c r="J1034" s="73"/>
      <c r="K1034" s="73"/>
      <c r="L1034" s="73"/>
      <c r="M1034" s="73"/>
      <c r="N1034" s="73"/>
      <c r="O1034" s="73"/>
      <c r="P1034" s="73"/>
      <c r="Q1034" s="73"/>
      <c r="R1034" s="73"/>
      <c r="S1034" s="73"/>
      <c r="T1034" s="73"/>
      <c r="U1034" s="73"/>
      <c r="V1034" s="73"/>
      <c r="W1034" s="73"/>
      <c r="GL1034" s="73"/>
      <c r="GM1034" s="73"/>
      <c r="GN1034" s="73"/>
      <c r="GO1034" s="73"/>
      <c r="GP1034" s="73"/>
      <c r="GQ1034" s="73"/>
      <c r="GR1034" s="73"/>
      <c r="GS1034" s="73"/>
      <c r="GT1034" s="73"/>
      <c r="GU1034" s="73"/>
      <c r="GV1034" s="73"/>
      <c r="GW1034" s="73"/>
      <c r="GX1034" s="73"/>
      <c r="GY1034" s="73"/>
      <c r="GZ1034" s="73"/>
      <c r="HA1034" s="73"/>
      <c r="HB1034" s="73"/>
      <c r="HC1034" s="73"/>
      <c r="HD1034" s="73"/>
      <c r="HE1034" s="73"/>
      <c r="HF1034" s="73"/>
      <c r="HG1034" s="73"/>
      <c r="HH1034" s="73"/>
      <c r="HI1034" s="73"/>
      <c r="HJ1034" s="73"/>
      <c r="HK1034" s="73"/>
      <c r="HL1034" s="73"/>
      <c r="HM1034" s="73"/>
      <c r="HN1034" s="73"/>
      <c r="HO1034" s="73"/>
      <c r="HP1034" s="73"/>
      <c r="HQ1034" s="73"/>
      <c r="HR1034" s="73"/>
      <c r="HS1034" s="73"/>
      <c r="HT1034" s="73"/>
      <c r="HU1034" s="73"/>
      <c r="HV1034" s="73"/>
      <c r="HW1034" s="73"/>
      <c r="HX1034" s="73"/>
      <c r="HY1034" s="73"/>
      <c r="HZ1034" s="73"/>
      <c r="IA1034" s="73"/>
      <c r="IB1034" s="73"/>
      <c r="IC1034" s="73"/>
      <c r="ID1034" s="73"/>
      <c r="IE1034" s="73"/>
      <c r="IF1034" s="73"/>
      <c r="IG1034" s="73"/>
      <c r="IH1034" s="73"/>
      <c r="II1034" s="73"/>
      <c r="IJ1034" s="73"/>
      <c r="IK1034" s="73"/>
      <c r="IL1034" s="73"/>
      <c r="IM1034" s="73"/>
      <c r="IN1034" s="73"/>
      <c r="IO1034" s="73"/>
      <c r="IP1034" s="73"/>
      <c r="IQ1034" s="73"/>
      <c r="IR1034" s="73"/>
      <c r="IS1034" s="73"/>
      <c r="IT1034" s="73"/>
      <c r="IU1034" s="73"/>
      <c r="IV1034" s="73"/>
      <c r="IW1034" s="73"/>
      <c r="IX1034" s="73"/>
      <c r="IY1034" s="73"/>
      <c r="IZ1034" s="73"/>
      <c r="JA1034" s="73"/>
      <c r="JB1034" s="73"/>
      <c r="JC1034" s="73"/>
    </row>
    <row r="1035" spans="2:263" s="72" customFormat="1">
      <c r="B1035" s="73"/>
      <c r="C1035" s="73"/>
      <c r="D1035" s="73"/>
      <c r="E1035" s="73"/>
      <c r="F1035" s="73"/>
      <c r="G1035" s="73"/>
      <c r="H1035" s="73"/>
      <c r="I1035" s="73"/>
      <c r="J1035" s="73"/>
      <c r="K1035" s="73"/>
      <c r="L1035" s="73"/>
      <c r="M1035" s="73"/>
      <c r="N1035" s="73"/>
      <c r="O1035" s="73"/>
      <c r="P1035" s="73"/>
      <c r="Q1035" s="73"/>
      <c r="R1035" s="73"/>
      <c r="S1035" s="73"/>
      <c r="T1035" s="73"/>
      <c r="U1035" s="73"/>
      <c r="V1035" s="73"/>
      <c r="W1035" s="73"/>
      <c r="GL1035" s="73"/>
      <c r="GM1035" s="73"/>
      <c r="GN1035" s="73"/>
      <c r="GO1035" s="73"/>
      <c r="GP1035" s="73"/>
      <c r="GQ1035" s="73"/>
      <c r="GR1035" s="73"/>
      <c r="GS1035" s="73"/>
      <c r="GT1035" s="73"/>
      <c r="GU1035" s="73"/>
      <c r="GV1035" s="73"/>
      <c r="GW1035" s="73"/>
      <c r="GX1035" s="73"/>
      <c r="GY1035" s="73"/>
      <c r="GZ1035" s="73"/>
      <c r="HA1035" s="73"/>
      <c r="HB1035" s="73"/>
      <c r="HC1035" s="73"/>
      <c r="HD1035" s="73"/>
      <c r="HE1035" s="73"/>
      <c r="HF1035" s="73"/>
      <c r="HG1035" s="73"/>
      <c r="HH1035" s="73"/>
      <c r="HI1035" s="73"/>
      <c r="HJ1035" s="73"/>
      <c r="HK1035" s="73"/>
      <c r="HL1035" s="73"/>
      <c r="HM1035" s="73"/>
      <c r="HN1035" s="73"/>
      <c r="HO1035" s="73"/>
      <c r="HP1035" s="73"/>
      <c r="HQ1035" s="73"/>
      <c r="HR1035" s="73"/>
      <c r="HS1035" s="73"/>
      <c r="HT1035" s="73"/>
      <c r="HU1035" s="73"/>
      <c r="HV1035" s="73"/>
      <c r="HW1035" s="73"/>
      <c r="HX1035" s="73"/>
      <c r="HY1035" s="73"/>
      <c r="HZ1035" s="73"/>
      <c r="IA1035" s="73"/>
      <c r="IB1035" s="73"/>
      <c r="IC1035" s="73"/>
      <c r="ID1035" s="73"/>
      <c r="IE1035" s="73"/>
      <c r="IF1035" s="73"/>
      <c r="IG1035" s="73"/>
      <c r="IH1035" s="73"/>
      <c r="II1035" s="73"/>
      <c r="IJ1035" s="73"/>
      <c r="IK1035" s="73"/>
      <c r="IL1035" s="73"/>
      <c r="IM1035" s="73"/>
      <c r="IN1035" s="73"/>
      <c r="IO1035" s="73"/>
      <c r="IP1035" s="73"/>
      <c r="IQ1035" s="73"/>
      <c r="IR1035" s="73"/>
      <c r="IS1035" s="73"/>
      <c r="IT1035" s="73"/>
      <c r="IU1035" s="73"/>
      <c r="IV1035" s="73"/>
      <c r="IW1035" s="73"/>
      <c r="IX1035" s="73"/>
      <c r="IY1035" s="73"/>
      <c r="IZ1035" s="73"/>
      <c r="JA1035" s="73"/>
      <c r="JB1035" s="73"/>
      <c r="JC1035" s="73"/>
    </row>
    <row r="1036" spans="2:263" s="72" customFormat="1">
      <c r="B1036" s="73"/>
      <c r="C1036" s="73"/>
      <c r="D1036" s="73"/>
      <c r="E1036" s="73"/>
      <c r="F1036" s="73"/>
      <c r="G1036" s="73"/>
      <c r="H1036" s="73"/>
      <c r="I1036" s="73"/>
      <c r="J1036" s="73"/>
      <c r="K1036" s="73"/>
      <c r="L1036" s="73"/>
      <c r="M1036" s="73"/>
      <c r="N1036" s="73"/>
      <c r="O1036" s="73"/>
      <c r="P1036" s="73"/>
      <c r="Q1036" s="73"/>
      <c r="R1036" s="73"/>
      <c r="S1036" s="73"/>
      <c r="T1036" s="73"/>
      <c r="U1036" s="73"/>
      <c r="V1036" s="73"/>
      <c r="W1036" s="73"/>
      <c r="GL1036" s="73"/>
      <c r="GM1036" s="73"/>
      <c r="GN1036" s="73"/>
      <c r="GO1036" s="73"/>
      <c r="GP1036" s="73"/>
      <c r="GQ1036" s="73"/>
      <c r="GR1036" s="73"/>
      <c r="GS1036" s="73"/>
      <c r="GT1036" s="73"/>
      <c r="GU1036" s="73"/>
      <c r="GV1036" s="73"/>
      <c r="GW1036" s="73"/>
      <c r="GX1036" s="73"/>
      <c r="GY1036" s="73"/>
      <c r="GZ1036" s="73"/>
      <c r="HA1036" s="73"/>
      <c r="HB1036" s="73"/>
      <c r="HC1036" s="73"/>
      <c r="HD1036" s="73"/>
      <c r="HE1036" s="73"/>
      <c r="HF1036" s="73"/>
      <c r="HG1036" s="73"/>
      <c r="HH1036" s="73"/>
      <c r="HI1036" s="73"/>
      <c r="HJ1036" s="73"/>
      <c r="HK1036" s="73"/>
      <c r="HL1036" s="73"/>
      <c r="HM1036" s="73"/>
      <c r="HN1036" s="73"/>
      <c r="HO1036" s="73"/>
      <c r="HP1036" s="73"/>
      <c r="HQ1036" s="73"/>
      <c r="HR1036" s="73"/>
      <c r="HS1036" s="73"/>
      <c r="HT1036" s="73"/>
      <c r="HU1036" s="73"/>
      <c r="HV1036" s="73"/>
      <c r="HW1036" s="73"/>
      <c r="HX1036" s="73"/>
      <c r="HY1036" s="73"/>
      <c r="HZ1036" s="73"/>
      <c r="IA1036" s="73"/>
      <c r="IB1036" s="73"/>
      <c r="IC1036" s="73"/>
      <c r="ID1036" s="73"/>
      <c r="IE1036" s="73"/>
      <c r="IF1036" s="73"/>
      <c r="IG1036" s="73"/>
      <c r="IH1036" s="73"/>
      <c r="II1036" s="73"/>
      <c r="IJ1036" s="73"/>
      <c r="IK1036" s="73"/>
      <c r="IL1036" s="73"/>
      <c r="IM1036" s="73"/>
      <c r="IN1036" s="73"/>
      <c r="IO1036" s="73"/>
      <c r="IP1036" s="73"/>
      <c r="IQ1036" s="73"/>
      <c r="IR1036" s="73"/>
      <c r="IS1036" s="73"/>
      <c r="IT1036" s="73"/>
      <c r="IU1036" s="73"/>
      <c r="IV1036" s="73"/>
      <c r="IW1036" s="73"/>
      <c r="IX1036" s="73"/>
      <c r="IY1036" s="73"/>
      <c r="IZ1036" s="73"/>
      <c r="JA1036" s="73"/>
      <c r="JB1036" s="73"/>
      <c r="JC1036" s="73"/>
    </row>
    <row r="1037" spans="2:263" s="72" customFormat="1">
      <c r="B1037" s="73"/>
      <c r="C1037" s="73"/>
      <c r="D1037" s="73"/>
      <c r="E1037" s="73"/>
      <c r="F1037" s="73"/>
      <c r="G1037" s="73"/>
      <c r="H1037" s="73"/>
      <c r="I1037" s="73"/>
      <c r="J1037" s="73"/>
      <c r="K1037" s="73"/>
      <c r="L1037" s="73"/>
      <c r="M1037" s="73"/>
      <c r="N1037" s="73"/>
      <c r="O1037" s="73"/>
      <c r="P1037" s="73"/>
      <c r="Q1037" s="73"/>
      <c r="R1037" s="73"/>
      <c r="S1037" s="73"/>
      <c r="T1037" s="73"/>
      <c r="U1037" s="73"/>
      <c r="V1037" s="73"/>
      <c r="W1037" s="73"/>
      <c r="GL1037" s="73"/>
      <c r="GM1037" s="73"/>
      <c r="GN1037" s="73"/>
      <c r="GO1037" s="73"/>
      <c r="GP1037" s="73"/>
      <c r="GQ1037" s="73"/>
      <c r="GR1037" s="73"/>
      <c r="GS1037" s="73"/>
      <c r="GT1037" s="73"/>
      <c r="GU1037" s="73"/>
      <c r="GV1037" s="73"/>
      <c r="GW1037" s="73"/>
      <c r="GX1037" s="73"/>
      <c r="GY1037" s="73"/>
      <c r="GZ1037" s="73"/>
      <c r="HA1037" s="73"/>
      <c r="HB1037" s="73"/>
      <c r="HC1037" s="73"/>
      <c r="HD1037" s="73"/>
      <c r="HE1037" s="73"/>
      <c r="HF1037" s="73"/>
      <c r="HG1037" s="73"/>
      <c r="HH1037" s="73"/>
      <c r="HI1037" s="73"/>
      <c r="HJ1037" s="73"/>
      <c r="HK1037" s="73"/>
      <c r="HL1037" s="73"/>
      <c r="HM1037" s="73"/>
      <c r="HN1037" s="73"/>
      <c r="HO1037" s="73"/>
      <c r="HP1037" s="73"/>
      <c r="HQ1037" s="73"/>
      <c r="HR1037" s="73"/>
      <c r="HS1037" s="73"/>
      <c r="HT1037" s="73"/>
      <c r="HU1037" s="73"/>
      <c r="HV1037" s="73"/>
      <c r="HW1037" s="73"/>
      <c r="HX1037" s="73"/>
      <c r="HY1037" s="73"/>
      <c r="HZ1037" s="73"/>
      <c r="IA1037" s="73"/>
      <c r="IB1037" s="73"/>
      <c r="IC1037" s="73"/>
      <c r="ID1037" s="73"/>
      <c r="IE1037" s="73"/>
      <c r="IF1037" s="73"/>
      <c r="IG1037" s="73"/>
      <c r="IH1037" s="73"/>
      <c r="II1037" s="73"/>
      <c r="IJ1037" s="73"/>
      <c r="IK1037" s="73"/>
      <c r="IL1037" s="73"/>
      <c r="IM1037" s="73"/>
      <c r="IN1037" s="73"/>
      <c r="IO1037" s="73"/>
      <c r="IP1037" s="73"/>
      <c r="IQ1037" s="73"/>
      <c r="IR1037" s="73"/>
      <c r="IS1037" s="73"/>
      <c r="IT1037" s="73"/>
      <c r="IU1037" s="73"/>
      <c r="IV1037" s="73"/>
      <c r="IW1037" s="73"/>
      <c r="IX1037" s="73"/>
      <c r="IY1037" s="73"/>
      <c r="IZ1037" s="73"/>
      <c r="JA1037" s="73"/>
      <c r="JB1037" s="73"/>
      <c r="JC1037" s="73"/>
    </row>
    <row r="1038" spans="2:263" s="72" customFormat="1">
      <c r="B1038" s="73"/>
      <c r="C1038" s="73"/>
      <c r="D1038" s="73"/>
      <c r="E1038" s="73"/>
      <c r="F1038" s="73"/>
      <c r="G1038" s="73"/>
      <c r="H1038" s="73"/>
      <c r="I1038" s="73"/>
      <c r="J1038" s="73"/>
      <c r="K1038" s="73"/>
      <c r="L1038" s="73"/>
      <c r="M1038" s="73"/>
      <c r="N1038" s="73"/>
      <c r="O1038" s="73"/>
      <c r="P1038" s="73"/>
      <c r="Q1038" s="73"/>
      <c r="R1038" s="73"/>
      <c r="S1038" s="73"/>
      <c r="T1038" s="73"/>
      <c r="U1038" s="73"/>
      <c r="V1038" s="73"/>
      <c r="W1038" s="73"/>
      <c r="GL1038" s="73"/>
      <c r="GM1038" s="73"/>
      <c r="GN1038" s="73"/>
      <c r="GO1038" s="73"/>
      <c r="GP1038" s="73"/>
      <c r="GQ1038" s="73"/>
      <c r="GR1038" s="73"/>
      <c r="GS1038" s="73"/>
      <c r="GT1038" s="73"/>
      <c r="GU1038" s="73"/>
      <c r="GV1038" s="73"/>
      <c r="GW1038" s="73"/>
      <c r="GX1038" s="73"/>
      <c r="GY1038" s="73"/>
      <c r="GZ1038" s="73"/>
      <c r="HA1038" s="73"/>
      <c r="HB1038" s="73"/>
      <c r="HC1038" s="73"/>
      <c r="HD1038" s="73"/>
      <c r="HE1038" s="73"/>
      <c r="HF1038" s="73"/>
      <c r="HG1038" s="73"/>
      <c r="HH1038" s="73"/>
      <c r="HI1038" s="73"/>
      <c r="HJ1038" s="73"/>
      <c r="HK1038" s="73"/>
      <c r="HL1038" s="73"/>
      <c r="HM1038" s="73"/>
      <c r="HN1038" s="73"/>
      <c r="HO1038" s="73"/>
      <c r="HP1038" s="73"/>
      <c r="HQ1038" s="73"/>
      <c r="HR1038" s="73"/>
      <c r="HS1038" s="73"/>
      <c r="HT1038" s="73"/>
      <c r="HU1038" s="73"/>
      <c r="HV1038" s="73"/>
      <c r="HW1038" s="73"/>
      <c r="HX1038" s="73"/>
      <c r="HY1038" s="73"/>
      <c r="HZ1038" s="73"/>
      <c r="IA1038" s="73"/>
      <c r="IB1038" s="73"/>
      <c r="IC1038" s="73"/>
      <c r="ID1038" s="73"/>
      <c r="IE1038" s="73"/>
      <c r="IF1038" s="73"/>
      <c r="IG1038" s="73"/>
      <c r="IH1038" s="73"/>
      <c r="II1038" s="73"/>
      <c r="IJ1038" s="73"/>
      <c r="IK1038" s="73"/>
      <c r="IL1038" s="73"/>
      <c r="IM1038" s="73"/>
      <c r="IN1038" s="73"/>
      <c r="IO1038" s="73"/>
      <c r="IP1038" s="73"/>
      <c r="IQ1038" s="73"/>
      <c r="IR1038" s="73"/>
      <c r="IS1038" s="73"/>
      <c r="IT1038" s="73"/>
      <c r="IU1038" s="73"/>
      <c r="IV1038" s="73"/>
      <c r="IW1038" s="73"/>
      <c r="IX1038" s="73"/>
      <c r="IY1038" s="73"/>
      <c r="IZ1038" s="73"/>
      <c r="JA1038" s="73"/>
      <c r="JB1038" s="73"/>
      <c r="JC1038" s="73"/>
    </row>
    <row r="1039" spans="2:263" s="72" customFormat="1">
      <c r="B1039" s="73"/>
      <c r="C1039" s="73"/>
      <c r="D1039" s="73"/>
      <c r="E1039" s="73"/>
      <c r="F1039" s="73"/>
      <c r="G1039" s="73"/>
      <c r="H1039" s="73"/>
      <c r="I1039" s="73"/>
      <c r="J1039" s="73"/>
      <c r="K1039" s="73"/>
      <c r="L1039" s="73"/>
      <c r="M1039" s="73"/>
      <c r="N1039" s="73"/>
      <c r="O1039" s="73"/>
      <c r="P1039" s="73"/>
      <c r="Q1039" s="73"/>
      <c r="R1039" s="73"/>
      <c r="S1039" s="73"/>
      <c r="T1039" s="73"/>
      <c r="U1039" s="73"/>
      <c r="V1039" s="73"/>
      <c r="W1039" s="73"/>
      <c r="GL1039" s="73"/>
      <c r="GM1039" s="73"/>
      <c r="GN1039" s="73"/>
      <c r="GO1039" s="73"/>
      <c r="GP1039" s="73"/>
      <c r="GQ1039" s="73"/>
      <c r="GR1039" s="73"/>
      <c r="GS1039" s="73"/>
      <c r="GT1039" s="73"/>
      <c r="GU1039" s="73"/>
      <c r="GV1039" s="73"/>
      <c r="GW1039" s="73"/>
      <c r="GX1039" s="73"/>
      <c r="GY1039" s="73"/>
      <c r="GZ1039" s="73"/>
      <c r="HA1039" s="73"/>
      <c r="HB1039" s="73"/>
      <c r="HC1039" s="73"/>
      <c r="HD1039" s="73"/>
      <c r="HE1039" s="73"/>
      <c r="HF1039" s="73"/>
      <c r="HG1039" s="73"/>
      <c r="HH1039" s="73"/>
      <c r="HI1039" s="73"/>
      <c r="HJ1039" s="73"/>
      <c r="HK1039" s="73"/>
      <c r="HL1039" s="73"/>
      <c r="HM1039" s="73"/>
      <c r="HN1039" s="73"/>
      <c r="HO1039" s="73"/>
      <c r="HP1039" s="73"/>
      <c r="HQ1039" s="73"/>
      <c r="HR1039" s="73"/>
      <c r="HS1039" s="73"/>
      <c r="HT1039" s="73"/>
      <c r="HU1039" s="73"/>
      <c r="HV1039" s="73"/>
      <c r="HW1039" s="73"/>
      <c r="HX1039" s="73"/>
      <c r="HY1039" s="73"/>
      <c r="HZ1039" s="73"/>
      <c r="IA1039" s="73"/>
      <c r="IB1039" s="73"/>
      <c r="IC1039" s="73"/>
      <c r="ID1039" s="73"/>
      <c r="IE1039" s="73"/>
      <c r="IF1039" s="73"/>
      <c r="IG1039" s="73"/>
      <c r="IH1039" s="73"/>
      <c r="II1039" s="73"/>
      <c r="IJ1039" s="73"/>
      <c r="IK1039" s="73"/>
      <c r="IL1039" s="73"/>
      <c r="IM1039" s="73"/>
      <c r="IN1039" s="73"/>
      <c r="IO1039" s="73"/>
      <c r="IP1039" s="73"/>
      <c r="IQ1039" s="73"/>
      <c r="IR1039" s="73"/>
      <c r="IS1039" s="73"/>
      <c r="IT1039" s="73"/>
      <c r="IU1039" s="73"/>
      <c r="IV1039" s="73"/>
      <c r="IW1039" s="73"/>
      <c r="IX1039" s="73"/>
      <c r="IY1039" s="73"/>
      <c r="IZ1039" s="73"/>
      <c r="JA1039" s="73"/>
      <c r="JB1039" s="73"/>
      <c r="JC1039" s="73"/>
    </row>
    <row r="1040" spans="2:263" s="72" customFormat="1">
      <c r="B1040" s="73"/>
      <c r="C1040" s="73"/>
      <c r="D1040" s="73"/>
      <c r="E1040" s="73"/>
      <c r="F1040" s="73"/>
      <c r="G1040" s="73"/>
      <c r="H1040" s="73"/>
      <c r="I1040" s="73"/>
      <c r="J1040" s="73"/>
      <c r="K1040" s="73"/>
      <c r="L1040" s="73"/>
      <c r="M1040" s="73"/>
      <c r="N1040" s="73"/>
      <c r="O1040" s="73"/>
      <c r="P1040" s="73"/>
      <c r="Q1040" s="73"/>
      <c r="R1040" s="73"/>
      <c r="S1040" s="73"/>
      <c r="T1040" s="73"/>
      <c r="U1040" s="73"/>
      <c r="V1040" s="73"/>
      <c r="W1040" s="73"/>
      <c r="GL1040" s="73"/>
      <c r="GM1040" s="73"/>
      <c r="GN1040" s="73"/>
      <c r="GO1040" s="73"/>
      <c r="GP1040" s="73"/>
      <c r="GQ1040" s="73"/>
      <c r="GR1040" s="73"/>
      <c r="GS1040" s="73"/>
      <c r="GT1040" s="73"/>
      <c r="GU1040" s="73"/>
      <c r="GV1040" s="73"/>
      <c r="GW1040" s="73"/>
      <c r="GX1040" s="73"/>
      <c r="GY1040" s="73"/>
      <c r="GZ1040" s="73"/>
      <c r="HA1040" s="73"/>
      <c r="HB1040" s="73"/>
      <c r="HC1040" s="73"/>
      <c r="HD1040" s="73"/>
      <c r="HE1040" s="73"/>
      <c r="HF1040" s="73"/>
      <c r="HG1040" s="73"/>
      <c r="HH1040" s="73"/>
      <c r="HI1040" s="73"/>
      <c r="HJ1040" s="73"/>
      <c r="HK1040" s="73"/>
      <c r="HL1040" s="73"/>
      <c r="HM1040" s="73"/>
      <c r="HN1040" s="73"/>
      <c r="HO1040" s="73"/>
      <c r="HP1040" s="73"/>
      <c r="HQ1040" s="73"/>
      <c r="HR1040" s="73"/>
      <c r="HS1040" s="73"/>
      <c r="HT1040" s="73"/>
      <c r="HU1040" s="73"/>
      <c r="HV1040" s="73"/>
      <c r="HW1040" s="73"/>
      <c r="HX1040" s="73"/>
      <c r="HY1040" s="73"/>
      <c r="HZ1040" s="73"/>
      <c r="IA1040" s="73"/>
      <c r="IB1040" s="73"/>
      <c r="IC1040" s="73"/>
      <c r="ID1040" s="73"/>
      <c r="IE1040" s="73"/>
      <c r="IF1040" s="73"/>
      <c r="IG1040" s="73"/>
      <c r="IH1040" s="73"/>
      <c r="II1040" s="73"/>
      <c r="IJ1040" s="73"/>
      <c r="IK1040" s="73"/>
      <c r="IL1040" s="73"/>
      <c r="IM1040" s="73"/>
      <c r="IN1040" s="73"/>
      <c r="IO1040" s="73"/>
      <c r="IP1040" s="73"/>
      <c r="IQ1040" s="73"/>
      <c r="IR1040" s="73"/>
      <c r="IS1040" s="73"/>
      <c r="IT1040" s="73"/>
      <c r="IU1040" s="73"/>
      <c r="IV1040" s="73"/>
      <c r="IW1040" s="73"/>
      <c r="IX1040" s="73"/>
      <c r="IY1040" s="73"/>
      <c r="IZ1040" s="73"/>
      <c r="JA1040" s="73"/>
      <c r="JB1040" s="73"/>
      <c r="JC1040" s="73"/>
    </row>
    <row r="1041" spans="2:263" s="72" customFormat="1">
      <c r="B1041" s="73"/>
      <c r="C1041" s="73"/>
      <c r="D1041" s="73"/>
      <c r="E1041" s="73"/>
      <c r="F1041" s="73"/>
      <c r="G1041" s="73"/>
      <c r="H1041" s="73"/>
      <c r="I1041" s="73"/>
      <c r="J1041" s="73"/>
      <c r="K1041" s="73"/>
      <c r="L1041" s="73"/>
      <c r="M1041" s="73"/>
      <c r="N1041" s="73"/>
      <c r="O1041" s="73"/>
      <c r="P1041" s="73"/>
      <c r="Q1041" s="73"/>
      <c r="R1041" s="73"/>
      <c r="S1041" s="73"/>
      <c r="T1041" s="73"/>
      <c r="U1041" s="73"/>
      <c r="V1041" s="73"/>
      <c r="W1041" s="73"/>
      <c r="GL1041" s="73"/>
      <c r="GM1041" s="73"/>
      <c r="GN1041" s="73"/>
      <c r="GO1041" s="73"/>
      <c r="GP1041" s="73"/>
      <c r="GQ1041" s="73"/>
      <c r="GR1041" s="73"/>
      <c r="GS1041" s="73"/>
      <c r="GT1041" s="73"/>
      <c r="GU1041" s="73"/>
      <c r="GV1041" s="73"/>
      <c r="GW1041" s="73"/>
      <c r="GX1041" s="73"/>
      <c r="GY1041" s="73"/>
      <c r="GZ1041" s="73"/>
      <c r="HA1041" s="73"/>
      <c r="HB1041" s="73"/>
      <c r="HC1041" s="73"/>
      <c r="HD1041" s="73"/>
      <c r="HE1041" s="73"/>
      <c r="HF1041" s="73"/>
      <c r="HG1041" s="73"/>
      <c r="HH1041" s="73"/>
      <c r="HI1041" s="73"/>
      <c r="HJ1041" s="73"/>
      <c r="HK1041" s="73"/>
      <c r="HL1041" s="73"/>
      <c r="HM1041" s="73"/>
      <c r="HN1041" s="73"/>
      <c r="HO1041" s="73"/>
      <c r="HP1041" s="73"/>
      <c r="HQ1041" s="73"/>
      <c r="HR1041" s="73"/>
      <c r="HS1041" s="73"/>
      <c r="HT1041" s="73"/>
      <c r="HU1041" s="73"/>
      <c r="HV1041" s="73"/>
      <c r="HW1041" s="73"/>
      <c r="HX1041" s="73"/>
      <c r="HY1041" s="73"/>
      <c r="HZ1041" s="73"/>
      <c r="IA1041" s="73"/>
      <c r="IB1041" s="73"/>
      <c r="IC1041" s="73"/>
      <c r="ID1041" s="73"/>
      <c r="IE1041" s="73"/>
      <c r="IF1041" s="73"/>
      <c r="IG1041" s="73"/>
      <c r="IH1041" s="73"/>
      <c r="II1041" s="73"/>
      <c r="IJ1041" s="73"/>
      <c r="IK1041" s="73"/>
      <c r="IL1041" s="73"/>
      <c r="IM1041" s="73"/>
      <c r="IN1041" s="73"/>
      <c r="IO1041" s="73"/>
      <c r="IP1041" s="73"/>
      <c r="IQ1041" s="73"/>
      <c r="IR1041" s="73"/>
      <c r="IS1041" s="73"/>
      <c r="IT1041" s="73"/>
      <c r="IU1041" s="73"/>
      <c r="IV1041" s="73"/>
      <c r="IW1041" s="73"/>
      <c r="IX1041" s="73"/>
      <c r="IY1041" s="73"/>
      <c r="IZ1041" s="73"/>
      <c r="JA1041" s="73"/>
      <c r="JB1041" s="73"/>
      <c r="JC1041" s="73"/>
    </row>
    <row r="1042" spans="2:263" s="72" customFormat="1">
      <c r="B1042" s="73"/>
      <c r="C1042" s="73"/>
      <c r="D1042" s="73"/>
      <c r="E1042" s="73"/>
      <c r="F1042" s="73"/>
      <c r="G1042" s="73"/>
      <c r="H1042" s="73"/>
      <c r="I1042" s="73"/>
      <c r="J1042" s="73"/>
      <c r="K1042" s="73"/>
      <c r="L1042" s="73"/>
      <c r="M1042" s="73"/>
      <c r="N1042" s="73"/>
      <c r="O1042" s="73"/>
      <c r="P1042" s="73"/>
      <c r="Q1042" s="73"/>
      <c r="R1042" s="73"/>
      <c r="S1042" s="73"/>
      <c r="T1042" s="73"/>
      <c r="U1042" s="73"/>
      <c r="V1042" s="73"/>
      <c r="W1042" s="73"/>
      <c r="GL1042" s="73"/>
      <c r="GM1042" s="73"/>
      <c r="GN1042" s="73"/>
      <c r="GO1042" s="73"/>
      <c r="GP1042" s="73"/>
      <c r="GQ1042" s="73"/>
      <c r="GR1042" s="73"/>
      <c r="GS1042" s="73"/>
      <c r="GT1042" s="73"/>
      <c r="GU1042" s="73"/>
      <c r="GV1042" s="73"/>
      <c r="GW1042" s="73"/>
      <c r="GX1042" s="73"/>
      <c r="GY1042" s="73"/>
      <c r="GZ1042" s="73"/>
      <c r="HA1042" s="73"/>
      <c r="HB1042" s="73"/>
      <c r="HC1042" s="73"/>
      <c r="HD1042" s="73"/>
      <c r="HE1042" s="73"/>
      <c r="HF1042" s="73"/>
      <c r="HG1042" s="73"/>
      <c r="HH1042" s="73"/>
      <c r="HI1042" s="73"/>
      <c r="HJ1042" s="73"/>
      <c r="HK1042" s="73"/>
      <c r="HL1042" s="73"/>
      <c r="HM1042" s="73"/>
      <c r="HN1042" s="73"/>
      <c r="HO1042" s="73"/>
      <c r="HP1042" s="73"/>
      <c r="HQ1042" s="73"/>
      <c r="HR1042" s="73"/>
      <c r="HS1042" s="73"/>
      <c r="HT1042" s="73"/>
      <c r="HU1042" s="73"/>
      <c r="HV1042" s="73"/>
      <c r="HW1042" s="73"/>
      <c r="HX1042" s="73"/>
      <c r="HY1042" s="73"/>
      <c r="HZ1042" s="73"/>
      <c r="IA1042" s="73"/>
      <c r="IB1042" s="73"/>
      <c r="IC1042" s="73"/>
      <c r="ID1042" s="73"/>
      <c r="IE1042" s="73"/>
      <c r="IF1042" s="73"/>
      <c r="IG1042" s="73"/>
      <c r="IH1042" s="73"/>
      <c r="II1042" s="73"/>
      <c r="IJ1042" s="73"/>
      <c r="IK1042" s="73"/>
      <c r="IL1042" s="73"/>
      <c r="IM1042" s="73"/>
      <c r="IN1042" s="73"/>
      <c r="IO1042" s="73"/>
      <c r="IP1042" s="73"/>
      <c r="IQ1042" s="73"/>
      <c r="IR1042" s="73"/>
      <c r="IS1042" s="73"/>
      <c r="IT1042" s="73"/>
      <c r="IU1042" s="73"/>
      <c r="IV1042" s="73"/>
      <c r="IW1042" s="73"/>
      <c r="IX1042" s="73"/>
      <c r="IY1042" s="73"/>
      <c r="IZ1042" s="73"/>
      <c r="JA1042" s="73"/>
      <c r="JB1042" s="73"/>
      <c r="JC1042" s="73"/>
    </row>
    <row r="1043" spans="2:263" s="72" customFormat="1">
      <c r="B1043" s="73"/>
      <c r="C1043" s="73"/>
      <c r="D1043" s="73"/>
      <c r="E1043" s="73"/>
      <c r="F1043" s="73"/>
      <c r="G1043" s="73"/>
      <c r="H1043" s="73"/>
      <c r="I1043" s="73"/>
      <c r="J1043" s="73"/>
      <c r="K1043" s="73"/>
      <c r="L1043" s="73"/>
      <c r="M1043" s="73"/>
      <c r="N1043" s="73"/>
      <c r="O1043" s="73"/>
      <c r="P1043" s="73"/>
      <c r="Q1043" s="73"/>
      <c r="R1043" s="73"/>
      <c r="S1043" s="73"/>
      <c r="T1043" s="73"/>
      <c r="U1043" s="73"/>
      <c r="V1043" s="73"/>
      <c r="W1043" s="73"/>
      <c r="GL1043" s="73"/>
      <c r="GM1043" s="73"/>
      <c r="GN1043" s="73"/>
      <c r="GO1043" s="73"/>
      <c r="GP1043" s="73"/>
      <c r="GQ1043" s="73"/>
      <c r="GR1043" s="73"/>
      <c r="GS1043" s="73"/>
      <c r="GT1043" s="73"/>
      <c r="GU1043" s="73"/>
      <c r="GV1043" s="73"/>
      <c r="GW1043" s="73"/>
      <c r="GX1043" s="73"/>
      <c r="GY1043" s="73"/>
      <c r="GZ1043" s="73"/>
      <c r="HA1043" s="73"/>
      <c r="HB1043" s="73"/>
      <c r="HC1043" s="73"/>
      <c r="HD1043" s="73"/>
      <c r="HE1043" s="73"/>
      <c r="HF1043" s="73"/>
      <c r="HG1043" s="73"/>
      <c r="HH1043" s="73"/>
      <c r="HI1043" s="73"/>
      <c r="HJ1043" s="73"/>
      <c r="HK1043" s="73"/>
      <c r="HL1043" s="73"/>
      <c r="HM1043" s="73"/>
      <c r="HN1043" s="73"/>
      <c r="HO1043" s="73"/>
      <c r="HP1043" s="73"/>
      <c r="HQ1043" s="73"/>
      <c r="HR1043" s="73"/>
      <c r="HS1043" s="73"/>
      <c r="HT1043" s="73"/>
      <c r="HU1043" s="73"/>
      <c r="HV1043" s="73"/>
      <c r="HW1043" s="73"/>
      <c r="HX1043" s="73"/>
      <c r="HY1043" s="73"/>
      <c r="HZ1043" s="73"/>
      <c r="IA1043" s="73"/>
      <c r="IB1043" s="73"/>
      <c r="IC1043" s="73"/>
      <c r="ID1043" s="73"/>
      <c r="IE1043" s="73"/>
      <c r="IF1043" s="73"/>
      <c r="IG1043" s="73"/>
      <c r="IH1043" s="73"/>
      <c r="II1043" s="73"/>
      <c r="IJ1043" s="73"/>
      <c r="IK1043" s="73"/>
      <c r="IL1043" s="73"/>
      <c r="IM1043" s="73"/>
      <c r="IN1043" s="73"/>
      <c r="IO1043" s="73"/>
      <c r="IP1043" s="73"/>
      <c r="IQ1043" s="73"/>
      <c r="IR1043" s="73"/>
      <c r="IS1043" s="73"/>
      <c r="IT1043" s="73"/>
      <c r="IU1043" s="73"/>
      <c r="IV1043" s="73"/>
      <c r="IW1043" s="73"/>
      <c r="IX1043" s="73"/>
      <c r="IY1043" s="73"/>
      <c r="IZ1043" s="73"/>
      <c r="JA1043" s="73"/>
      <c r="JB1043" s="73"/>
      <c r="JC1043" s="73"/>
    </row>
    <row r="1044" spans="2:263" s="72" customFormat="1">
      <c r="B1044" s="73"/>
      <c r="C1044" s="73"/>
      <c r="D1044" s="73"/>
      <c r="E1044" s="73"/>
      <c r="F1044" s="73"/>
      <c r="G1044" s="73"/>
      <c r="H1044" s="73"/>
      <c r="I1044" s="73"/>
      <c r="J1044" s="73"/>
      <c r="K1044" s="73"/>
      <c r="L1044" s="73"/>
      <c r="M1044" s="73"/>
      <c r="N1044" s="73"/>
      <c r="O1044" s="73"/>
      <c r="P1044" s="73"/>
      <c r="Q1044" s="73"/>
      <c r="R1044" s="73"/>
      <c r="S1044" s="73"/>
      <c r="T1044" s="73"/>
      <c r="U1044" s="73"/>
      <c r="V1044" s="73"/>
      <c r="W1044" s="73"/>
      <c r="GL1044" s="73"/>
      <c r="GM1044" s="73"/>
      <c r="GN1044" s="73"/>
      <c r="GO1044" s="73"/>
      <c r="GP1044" s="73"/>
      <c r="GQ1044" s="73"/>
      <c r="GR1044" s="73"/>
      <c r="GS1044" s="73"/>
      <c r="GT1044" s="73"/>
      <c r="GU1044" s="73"/>
      <c r="GV1044" s="73"/>
      <c r="GW1044" s="73"/>
      <c r="GX1044" s="73"/>
      <c r="GY1044" s="73"/>
      <c r="GZ1044" s="73"/>
      <c r="HA1044" s="73"/>
      <c r="HB1044" s="73"/>
      <c r="HC1044" s="73"/>
      <c r="HD1044" s="73"/>
      <c r="HE1044" s="73"/>
      <c r="HF1044" s="73"/>
      <c r="HG1044" s="73"/>
      <c r="HH1044" s="73"/>
      <c r="HI1044" s="73"/>
      <c r="HJ1044" s="73"/>
      <c r="HK1044" s="73"/>
      <c r="HL1044" s="73"/>
      <c r="HM1044" s="73"/>
      <c r="HN1044" s="73"/>
      <c r="HO1044" s="73"/>
      <c r="HP1044" s="73"/>
      <c r="HQ1044" s="73"/>
      <c r="HR1044" s="73"/>
      <c r="HS1044" s="73"/>
      <c r="HT1044" s="73"/>
      <c r="HU1044" s="73"/>
      <c r="HV1044" s="73"/>
      <c r="HW1044" s="73"/>
      <c r="HX1044" s="73"/>
      <c r="HY1044" s="73"/>
      <c r="HZ1044" s="73"/>
      <c r="IA1044" s="73"/>
      <c r="IB1044" s="73"/>
      <c r="IC1044" s="73"/>
      <c r="ID1044" s="73"/>
      <c r="IE1044" s="73"/>
      <c r="IF1044" s="73"/>
      <c r="IG1044" s="73"/>
      <c r="IH1044" s="73"/>
      <c r="II1044" s="73"/>
      <c r="IJ1044" s="73"/>
      <c r="IK1044" s="73"/>
      <c r="IL1044" s="73"/>
      <c r="IM1044" s="73"/>
      <c r="IN1044" s="73"/>
      <c r="IO1044" s="73"/>
      <c r="IP1044" s="73"/>
      <c r="IQ1044" s="73"/>
      <c r="IR1044" s="73"/>
      <c r="IS1044" s="73"/>
      <c r="IT1044" s="73"/>
      <c r="IU1044" s="73"/>
      <c r="IV1044" s="73"/>
      <c r="IW1044" s="73"/>
      <c r="IX1044" s="73"/>
      <c r="IY1044" s="73"/>
      <c r="IZ1044" s="73"/>
      <c r="JA1044" s="73"/>
      <c r="JB1044" s="73"/>
      <c r="JC1044" s="73"/>
    </row>
    <row r="1045" spans="2:263" s="72" customFormat="1">
      <c r="B1045" s="73"/>
      <c r="C1045" s="73"/>
      <c r="D1045" s="73"/>
      <c r="E1045" s="73"/>
      <c r="F1045" s="73"/>
      <c r="G1045" s="73"/>
      <c r="H1045" s="73"/>
      <c r="I1045" s="73"/>
      <c r="J1045" s="73"/>
      <c r="K1045" s="73"/>
      <c r="L1045" s="73"/>
      <c r="M1045" s="73"/>
      <c r="N1045" s="73"/>
      <c r="O1045" s="73"/>
      <c r="P1045" s="73"/>
      <c r="Q1045" s="73"/>
      <c r="R1045" s="73"/>
      <c r="S1045" s="73"/>
      <c r="T1045" s="73"/>
      <c r="U1045" s="73"/>
      <c r="V1045" s="73"/>
      <c r="W1045" s="73"/>
      <c r="GL1045" s="73"/>
      <c r="GM1045" s="73"/>
      <c r="GN1045" s="73"/>
      <c r="GO1045" s="73"/>
      <c r="GP1045" s="73"/>
      <c r="GQ1045" s="73"/>
      <c r="GR1045" s="73"/>
      <c r="GS1045" s="73"/>
      <c r="GT1045" s="73"/>
      <c r="GU1045" s="73"/>
      <c r="GV1045" s="73"/>
      <c r="GW1045" s="73"/>
      <c r="GX1045" s="73"/>
      <c r="GY1045" s="73"/>
      <c r="GZ1045" s="73"/>
      <c r="HA1045" s="73"/>
      <c r="HB1045" s="73"/>
      <c r="HC1045" s="73"/>
      <c r="HD1045" s="73"/>
      <c r="HE1045" s="73"/>
      <c r="HF1045" s="73"/>
      <c r="HG1045" s="73"/>
      <c r="HH1045" s="73"/>
      <c r="HI1045" s="73"/>
      <c r="HJ1045" s="73"/>
      <c r="HK1045" s="73"/>
      <c r="HL1045" s="73"/>
      <c r="HM1045" s="73"/>
      <c r="HN1045" s="73"/>
      <c r="HO1045" s="73"/>
      <c r="HP1045" s="73"/>
      <c r="HQ1045" s="73"/>
      <c r="HR1045" s="73"/>
      <c r="HS1045" s="73"/>
      <c r="HT1045" s="73"/>
      <c r="HU1045" s="73"/>
      <c r="HV1045" s="73"/>
      <c r="HW1045" s="73"/>
      <c r="HX1045" s="73"/>
      <c r="HY1045" s="73"/>
      <c r="HZ1045" s="73"/>
      <c r="IA1045" s="73"/>
      <c r="IB1045" s="73"/>
      <c r="IC1045" s="73"/>
      <c r="ID1045" s="73"/>
      <c r="IE1045" s="73"/>
      <c r="IF1045" s="73"/>
      <c r="IG1045" s="73"/>
      <c r="IH1045" s="73"/>
      <c r="II1045" s="73"/>
      <c r="IJ1045" s="73"/>
      <c r="IK1045" s="73"/>
      <c r="IL1045" s="73"/>
      <c r="IM1045" s="73"/>
      <c r="IN1045" s="73"/>
      <c r="IO1045" s="73"/>
      <c r="IP1045" s="73"/>
      <c r="IQ1045" s="73"/>
      <c r="IR1045" s="73"/>
      <c r="IS1045" s="73"/>
      <c r="IT1045" s="73"/>
      <c r="IU1045" s="73"/>
      <c r="IV1045" s="73"/>
      <c r="IW1045" s="73"/>
      <c r="IX1045" s="73"/>
      <c r="IY1045" s="73"/>
      <c r="IZ1045" s="73"/>
      <c r="JA1045" s="73"/>
      <c r="JB1045" s="73"/>
      <c r="JC1045" s="73"/>
    </row>
    <row r="1046" spans="2:263" s="72" customFormat="1">
      <c r="B1046" s="73"/>
      <c r="C1046" s="73"/>
      <c r="D1046" s="73"/>
      <c r="E1046" s="73"/>
      <c r="F1046" s="73"/>
      <c r="G1046" s="73"/>
      <c r="H1046" s="73"/>
      <c r="I1046" s="73"/>
      <c r="J1046" s="73"/>
      <c r="K1046" s="73"/>
      <c r="L1046" s="73"/>
      <c r="M1046" s="73"/>
      <c r="N1046" s="73"/>
      <c r="O1046" s="73"/>
      <c r="P1046" s="73"/>
      <c r="Q1046" s="73"/>
      <c r="R1046" s="73"/>
      <c r="S1046" s="73"/>
      <c r="T1046" s="73"/>
      <c r="U1046" s="73"/>
      <c r="V1046" s="73"/>
      <c r="W1046" s="73"/>
      <c r="GL1046" s="73"/>
      <c r="GM1046" s="73"/>
      <c r="GN1046" s="73"/>
      <c r="GO1046" s="73"/>
      <c r="GP1046" s="73"/>
      <c r="GQ1046" s="73"/>
      <c r="GR1046" s="73"/>
      <c r="GS1046" s="73"/>
      <c r="GT1046" s="73"/>
      <c r="GU1046" s="73"/>
      <c r="GV1046" s="73"/>
      <c r="GW1046" s="73"/>
      <c r="GX1046" s="73"/>
      <c r="GY1046" s="73"/>
      <c r="GZ1046" s="73"/>
      <c r="HA1046" s="73"/>
      <c r="HB1046" s="73"/>
      <c r="HC1046" s="73"/>
      <c r="HD1046" s="73"/>
      <c r="HE1046" s="73"/>
      <c r="HF1046" s="73"/>
      <c r="HG1046" s="73"/>
      <c r="HH1046" s="73"/>
      <c r="HI1046" s="73"/>
      <c r="HJ1046" s="73"/>
      <c r="HK1046" s="73"/>
      <c r="HL1046" s="73"/>
      <c r="HM1046" s="73"/>
      <c r="HN1046" s="73"/>
      <c r="HO1046" s="73"/>
      <c r="HP1046" s="73"/>
      <c r="HQ1046" s="73"/>
      <c r="HR1046" s="73"/>
      <c r="HS1046" s="73"/>
      <c r="HT1046" s="73"/>
      <c r="HU1046" s="73"/>
      <c r="HV1046" s="73"/>
      <c r="HW1046" s="73"/>
      <c r="HX1046" s="73"/>
      <c r="HY1046" s="73"/>
      <c r="HZ1046" s="73"/>
      <c r="IA1046" s="73"/>
      <c r="IB1046" s="73"/>
      <c r="IC1046" s="73"/>
      <c r="ID1046" s="73"/>
      <c r="IE1046" s="73"/>
      <c r="IF1046" s="73"/>
      <c r="IG1046" s="73"/>
      <c r="IH1046" s="73"/>
      <c r="II1046" s="73"/>
      <c r="IJ1046" s="73"/>
      <c r="IK1046" s="73"/>
      <c r="IL1046" s="73"/>
      <c r="IM1046" s="73"/>
      <c r="IN1046" s="73"/>
      <c r="IO1046" s="73"/>
      <c r="IP1046" s="73"/>
      <c r="IQ1046" s="73"/>
      <c r="IR1046" s="73"/>
      <c r="IS1046" s="73"/>
      <c r="IT1046" s="73"/>
      <c r="IU1046" s="73"/>
      <c r="IV1046" s="73"/>
      <c r="IW1046" s="73"/>
      <c r="IX1046" s="73"/>
      <c r="IY1046" s="73"/>
      <c r="IZ1046" s="73"/>
      <c r="JA1046" s="73"/>
      <c r="JB1046" s="73"/>
      <c r="JC1046" s="73"/>
    </row>
    <row r="1047" spans="2:263" s="72" customFormat="1">
      <c r="B1047" s="73"/>
      <c r="C1047" s="73"/>
      <c r="D1047" s="73"/>
      <c r="E1047" s="73"/>
      <c r="F1047" s="73"/>
      <c r="G1047" s="73"/>
      <c r="H1047" s="73"/>
      <c r="I1047" s="73"/>
      <c r="J1047" s="73"/>
      <c r="K1047" s="73"/>
      <c r="L1047" s="73"/>
      <c r="M1047" s="73"/>
      <c r="N1047" s="73"/>
      <c r="O1047" s="73"/>
      <c r="P1047" s="73"/>
      <c r="Q1047" s="73"/>
      <c r="R1047" s="73"/>
      <c r="S1047" s="73"/>
      <c r="T1047" s="73"/>
      <c r="U1047" s="73"/>
      <c r="V1047" s="73"/>
      <c r="W1047" s="73"/>
      <c r="GL1047" s="73"/>
      <c r="GM1047" s="73"/>
      <c r="GN1047" s="73"/>
      <c r="GO1047" s="73"/>
      <c r="GP1047" s="73"/>
      <c r="GQ1047" s="73"/>
      <c r="GR1047" s="73"/>
      <c r="GS1047" s="73"/>
      <c r="GT1047" s="73"/>
      <c r="GU1047" s="73"/>
      <c r="GV1047" s="73"/>
      <c r="GW1047" s="73"/>
      <c r="GX1047" s="73"/>
      <c r="GY1047" s="73"/>
      <c r="GZ1047" s="73"/>
      <c r="HA1047" s="73"/>
      <c r="HB1047" s="73"/>
      <c r="HC1047" s="73"/>
      <c r="HD1047" s="73"/>
      <c r="HE1047" s="73"/>
      <c r="HF1047" s="73"/>
      <c r="HG1047" s="73"/>
      <c r="HH1047" s="73"/>
      <c r="HI1047" s="73"/>
      <c r="HJ1047" s="73"/>
      <c r="HK1047" s="73"/>
      <c r="HL1047" s="73"/>
      <c r="HM1047" s="73"/>
      <c r="HN1047" s="73"/>
      <c r="HO1047" s="73"/>
      <c r="HP1047" s="73"/>
      <c r="HQ1047" s="73"/>
      <c r="HR1047" s="73"/>
      <c r="HS1047" s="73"/>
      <c r="HT1047" s="73"/>
      <c r="HU1047" s="73"/>
      <c r="HV1047" s="73"/>
      <c r="HW1047" s="73"/>
      <c r="HX1047" s="73"/>
      <c r="HY1047" s="73"/>
      <c r="HZ1047" s="73"/>
      <c r="IA1047" s="73"/>
      <c r="IB1047" s="73"/>
      <c r="IC1047" s="73"/>
      <c r="ID1047" s="73"/>
      <c r="IE1047" s="73"/>
      <c r="IF1047" s="73"/>
      <c r="IG1047" s="73"/>
      <c r="IH1047" s="73"/>
      <c r="II1047" s="73"/>
      <c r="IJ1047" s="73"/>
      <c r="IK1047" s="73"/>
      <c r="IL1047" s="73"/>
      <c r="IM1047" s="73"/>
      <c r="IN1047" s="73"/>
      <c r="IO1047" s="73"/>
      <c r="IP1047" s="73"/>
      <c r="IQ1047" s="73"/>
      <c r="IR1047" s="73"/>
      <c r="IS1047" s="73"/>
      <c r="IT1047" s="73"/>
      <c r="IU1047" s="73"/>
      <c r="IV1047" s="73"/>
      <c r="IW1047" s="73"/>
      <c r="IX1047" s="73"/>
      <c r="IY1047" s="73"/>
      <c r="IZ1047" s="73"/>
      <c r="JA1047" s="73"/>
      <c r="JB1047" s="73"/>
      <c r="JC1047" s="73"/>
    </row>
    <row r="1048" spans="2:263" s="72" customFormat="1">
      <c r="B1048" s="73"/>
      <c r="C1048" s="73"/>
      <c r="D1048" s="73"/>
      <c r="E1048" s="73"/>
      <c r="F1048" s="73"/>
      <c r="G1048" s="73"/>
      <c r="H1048" s="73"/>
      <c r="I1048" s="73"/>
      <c r="J1048" s="73"/>
      <c r="K1048" s="73"/>
      <c r="L1048" s="73"/>
      <c r="M1048" s="73"/>
      <c r="N1048" s="73"/>
      <c r="O1048" s="73"/>
      <c r="P1048" s="73"/>
      <c r="Q1048" s="73"/>
      <c r="R1048" s="73"/>
      <c r="S1048" s="73"/>
      <c r="T1048" s="73"/>
      <c r="U1048" s="73"/>
      <c r="V1048" s="73"/>
      <c r="W1048" s="73"/>
      <c r="GL1048" s="73"/>
      <c r="GM1048" s="73"/>
      <c r="GN1048" s="73"/>
      <c r="GO1048" s="73"/>
      <c r="GP1048" s="73"/>
      <c r="GQ1048" s="73"/>
      <c r="GR1048" s="73"/>
      <c r="GS1048" s="73"/>
      <c r="GT1048" s="73"/>
      <c r="GU1048" s="73"/>
      <c r="GV1048" s="73"/>
      <c r="GW1048" s="73"/>
      <c r="GX1048" s="73"/>
      <c r="GY1048" s="73"/>
      <c r="GZ1048" s="73"/>
      <c r="HA1048" s="73"/>
      <c r="HB1048" s="73"/>
      <c r="HC1048" s="73"/>
      <c r="HD1048" s="73"/>
      <c r="HE1048" s="73"/>
      <c r="HF1048" s="73"/>
      <c r="HG1048" s="73"/>
      <c r="HH1048" s="73"/>
      <c r="HI1048" s="73"/>
      <c r="HJ1048" s="73"/>
      <c r="HK1048" s="73"/>
      <c r="HL1048" s="73"/>
      <c r="HM1048" s="73"/>
      <c r="HN1048" s="73"/>
      <c r="HO1048" s="73"/>
      <c r="HP1048" s="73"/>
      <c r="HQ1048" s="73"/>
      <c r="HR1048" s="73"/>
      <c r="HS1048" s="73"/>
      <c r="HT1048" s="73"/>
      <c r="HU1048" s="73"/>
      <c r="HV1048" s="73"/>
      <c r="HW1048" s="73"/>
      <c r="HX1048" s="73"/>
      <c r="HY1048" s="73"/>
      <c r="HZ1048" s="73"/>
      <c r="IA1048" s="73"/>
      <c r="IB1048" s="73"/>
      <c r="IC1048" s="73"/>
      <c r="ID1048" s="73"/>
      <c r="IE1048" s="73"/>
      <c r="IF1048" s="73"/>
      <c r="IG1048" s="73"/>
      <c r="IH1048" s="73"/>
      <c r="II1048" s="73"/>
      <c r="IJ1048" s="73"/>
      <c r="IK1048" s="73"/>
      <c r="IL1048" s="73"/>
      <c r="IM1048" s="73"/>
      <c r="IN1048" s="73"/>
      <c r="IO1048" s="73"/>
      <c r="IP1048" s="73"/>
      <c r="IQ1048" s="73"/>
      <c r="IR1048" s="73"/>
      <c r="IS1048" s="73"/>
      <c r="IT1048" s="73"/>
      <c r="IU1048" s="73"/>
      <c r="IV1048" s="73"/>
      <c r="IW1048" s="73"/>
      <c r="IX1048" s="73"/>
      <c r="IY1048" s="73"/>
      <c r="IZ1048" s="73"/>
      <c r="JA1048" s="73"/>
      <c r="JB1048" s="73"/>
      <c r="JC1048" s="73"/>
    </row>
    <row r="1049" spans="2:263" s="72" customFormat="1">
      <c r="B1049" s="73"/>
      <c r="C1049" s="73"/>
      <c r="D1049" s="73"/>
      <c r="E1049" s="73"/>
      <c r="F1049" s="73"/>
      <c r="G1049" s="73"/>
      <c r="H1049" s="73"/>
      <c r="I1049" s="73"/>
      <c r="J1049" s="73"/>
      <c r="K1049" s="73"/>
      <c r="L1049" s="73"/>
      <c r="M1049" s="73"/>
      <c r="N1049" s="73"/>
      <c r="O1049" s="73"/>
      <c r="P1049" s="73"/>
      <c r="Q1049" s="73"/>
      <c r="R1049" s="73"/>
      <c r="S1049" s="73"/>
      <c r="T1049" s="73"/>
      <c r="U1049" s="73"/>
      <c r="V1049" s="73"/>
      <c r="W1049" s="73"/>
      <c r="GL1049" s="73"/>
      <c r="GM1049" s="73"/>
      <c r="GN1049" s="73"/>
      <c r="GO1049" s="73"/>
      <c r="GP1049" s="73"/>
      <c r="GQ1049" s="73"/>
      <c r="GR1049" s="73"/>
      <c r="GS1049" s="73"/>
      <c r="GT1049" s="73"/>
      <c r="GU1049" s="73"/>
      <c r="GV1049" s="73"/>
      <c r="GW1049" s="73"/>
      <c r="GX1049" s="73"/>
      <c r="GY1049" s="73"/>
      <c r="GZ1049" s="73"/>
      <c r="HA1049" s="73"/>
      <c r="HB1049" s="73"/>
      <c r="HC1049" s="73"/>
      <c r="HD1049" s="73"/>
      <c r="HE1049" s="73"/>
      <c r="HF1049" s="73"/>
      <c r="HG1049" s="73"/>
      <c r="HH1049" s="73"/>
      <c r="HI1049" s="73"/>
      <c r="HJ1049" s="73"/>
      <c r="HK1049" s="73"/>
      <c r="HL1049" s="73"/>
      <c r="HM1049" s="73"/>
      <c r="HN1049" s="73"/>
      <c r="HO1049" s="73"/>
      <c r="HP1049" s="73"/>
      <c r="HQ1049" s="73"/>
      <c r="HR1049" s="73"/>
      <c r="HS1049" s="73"/>
      <c r="HT1049" s="73"/>
      <c r="HU1049" s="73"/>
      <c r="HV1049" s="73"/>
      <c r="HW1049" s="73"/>
      <c r="HX1049" s="73"/>
      <c r="HY1049" s="73"/>
      <c r="HZ1049" s="73"/>
      <c r="IA1049" s="73"/>
      <c r="IB1049" s="73"/>
      <c r="IC1049" s="73"/>
      <c r="ID1049" s="73"/>
      <c r="IE1049" s="73"/>
      <c r="IF1049" s="73"/>
      <c r="IG1049" s="73"/>
      <c r="IH1049" s="73"/>
      <c r="II1049" s="73"/>
      <c r="IJ1049" s="73"/>
      <c r="IK1049" s="73"/>
      <c r="IL1049" s="73"/>
      <c r="IM1049" s="73"/>
      <c r="IN1049" s="73"/>
      <c r="IO1049" s="73"/>
      <c r="IP1049" s="73"/>
      <c r="IQ1049" s="73"/>
      <c r="IR1049" s="73"/>
      <c r="IS1049" s="73"/>
      <c r="IT1049" s="73"/>
      <c r="IU1049" s="73"/>
      <c r="IV1049" s="73"/>
      <c r="IW1049" s="73"/>
      <c r="IX1049" s="73"/>
      <c r="IY1049" s="73"/>
      <c r="IZ1049" s="73"/>
      <c r="JA1049" s="73"/>
      <c r="JB1049" s="73"/>
      <c r="JC1049" s="73"/>
    </row>
    <row r="1050" spans="2:263" s="72" customFormat="1">
      <c r="B1050" s="73"/>
      <c r="C1050" s="73"/>
      <c r="D1050" s="73"/>
      <c r="E1050" s="73"/>
      <c r="F1050" s="73"/>
      <c r="G1050" s="73"/>
      <c r="H1050" s="73"/>
      <c r="I1050" s="73"/>
      <c r="J1050" s="73"/>
      <c r="K1050" s="73"/>
      <c r="L1050" s="73"/>
      <c r="M1050" s="73"/>
      <c r="N1050" s="73"/>
      <c r="O1050" s="73"/>
      <c r="P1050" s="73"/>
      <c r="Q1050" s="73"/>
      <c r="R1050" s="73"/>
      <c r="S1050" s="73"/>
      <c r="T1050" s="73"/>
      <c r="U1050" s="73"/>
      <c r="V1050" s="73"/>
      <c r="W1050" s="73"/>
      <c r="GL1050" s="73"/>
      <c r="GM1050" s="73"/>
      <c r="GN1050" s="73"/>
      <c r="GO1050" s="73"/>
      <c r="GP1050" s="73"/>
      <c r="GQ1050" s="73"/>
      <c r="GR1050" s="73"/>
      <c r="GS1050" s="73"/>
      <c r="GT1050" s="73"/>
      <c r="GU1050" s="73"/>
      <c r="GV1050" s="73"/>
      <c r="GW1050" s="73"/>
      <c r="GX1050" s="73"/>
      <c r="GY1050" s="73"/>
      <c r="GZ1050" s="73"/>
      <c r="HA1050" s="73"/>
      <c r="HB1050" s="73"/>
      <c r="HC1050" s="73"/>
      <c r="HD1050" s="73"/>
      <c r="HE1050" s="73"/>
      <c r="HF1050" s="73"/>
      <c r="HG1050" s="73"/>
      <c r="HH1050" s="73"/>
      <c r="HI1050" s="73"/>
      <c r="HJ1050" s="73"/>
      <c r="HK1050" s="73"/>
      <c r="HL1050" s="73"/>
      <c r="HM1050" s="73"/>
      <c r="HN1050" s="73"/>
      <c r="HO1050" s="73"/>
      <c r="HP1050" s="73"/>
      <c r="HQ1050" s="73"/>
      <c r="HR1050" s="73"/>
      <c r="HS1050" s="73"/>
      <c r="HT1050" s="73"/>
      <c r="HU1050" s="73"/>
      <c r="HV1050" s="73"/>
      <c r="HW1050" s="73"/>
      <c r="HX1050" s="73"/>
      <c r="HY1050" s="73"/>
      <c r="HZ1050" s="73"/>
      <c r="IA1050" s="73"/>
      <c r="IB1050" s="73"/>
      <c r="IC1050" s="73"/>
      <c r="ID1050" s="73"/>
      <c r="IE1050" s="73"/>
      <c r="IF1050" s="73"/>
      <c r="IG1050" s="73"/>
      <c r="IH1050" s="73"/>
      <c r="II1050" s="73"/>
      <c r="IJ1050" s="73"/>
      <c r="IK1050" s="73"/>
      <c r="IL1050" s="73"/>
      <c r="IM1050" s="73"/>
      <c r="IN1050" s="73"/>
      <c r="IO1050" s="73"/>
      <c r="IP1050" s="73"/>
      <c r="IQ1050" s="73"/>
      <c r="IR1050" s="73"/>
      <c r="IS1050" s="73"/>
      <c r="IT1050" s="73"/>
      <c r="IU1050" s="73"/>
      <c r="IV1050" s="73"/>
      <c r="IW1050" s="73"/>
      <c r="IX1050" s="73"/>
      <c r="IY1050" s="73"/>
      <c r="IZ1050" s="73"/>
      <c r="JA1050" s="73"/>
      <c r="JB1050" s="73"/>
      <c r="JC1050" s="73"/>
    </row>
    <row r="1051" spans="2:263" s="72" customFormat="1">
      <c r="B1051" s="73"/>
      <c r="C1051" s="73"/>
      <c r="D1051" s="73"/>
      <c r="E1051" s="73"/>
      <c r="F1051" s="73"/>
      <c r="G1051" s="73"/>
      <c r="H1051" s="73"/>
      <c r="I1051" s="73"/>
      <c r="J1051" s="73"/>
      <c r="K1051" s="73"/>
      <c r="L1051" s="73"/>
      <c r="M1051" s="73"/>
      <c r="N1051" s="73"/>
      <c r="O1051" s="73"/>
      <c r="P1051" s="73"/>
      <c r="Q1051" s="73"/>
      <c r="R1051" s="73"/>
      <c r="S1051" s="73"/>
      <c r="T1051" s="73"/>
      <c r="U1051" s="73"/>
      <c r="V1051" s="73"/>
      <c r="W1051" s="73"/>
      <c r="GL1051" s="73"/>
      <c r="GM1051" s="73"/>
      <c r="GN1051" s="73"/>
      <c r="GO1051" s="73"/>
      <c r="GP1051" s="73"/>
      <c r="GQ1051" s="73"/>
      <c r="GR1051" s="73"/>
      <c r="GS1051" s="73"/>
      <c r="GT1051" s="73"/>
      <c r="GU1051" s="73"/>
      <c r="GV1051" s="73"/>
      <c r="GW1051" s="73"/>
      <c r="GX1051" s="73"/>
      <c r="GY1051" s="73"/>
      <c r="GZ1051" s="73"/>
      <c r="HA1051" s="73"/>
      <c r="HB1051" s="73"/>
      <c r="HC1051" s="73"/>
      <c r="HD1051" s="73"/>
      <c r="HE1051" s="73"/>
      <c r="HF1051" s="73"/>
      <c r="HG1051" s="73"/>
      <c r="HH1051" s="73"/>
      <c r="HI1051" s="73"/>
      <c r="HJ1051" s="73"/>
      <c r="HK1051" s="73"/>
      <c r="HL1051" s="73"/>
      <c r="HM1051" s="73"/>
      <c r="HN1051" s="73"/>
      <c r="HO1051" s="73"/>
      <c r="HP1051" s="73"/>
      <c r="HQ1051" s="73"/>
      <c r="HR1051" s="73"/>
      <c r="HS1051" s="73"/>
      <c r="HT1051" s="73"/>
      <c r="HU1051" s="73"/>
      <c r="HV1051" s="73"/>
      <c r="HW1051" s="73"/>
      <c r="HX1051" s="73"/>
      <c r="HY1051" s="73"/>
      <c r="HZ1051" s="73"/>
      <c r="IA1051" s="73"/>
      <c r="IB1051" s="73"/>
      <c r="IC1051" s="73"/>
      <c r="ID1051" s="73"/>
      <c r="IE1051" s="73"/>
      <c r="IF1051" s="73"/>
      <c r="IG1051" s="73"/>
      <c r="IH1051" s="73"/>
      <c r="II1051" s="73"/>
      <c r="IJ1051" s="73"/>
      <c r="IK1051" s="73"/>
      <c r="IL1051" s="73"/>
      <c r="IM1051" s="73"/>
      <c r="IN1051" s="73"/>
      <c r="IO1051" s="73"/>
      <c r="IP1051" s="73"/>
      <c r="IQ1051" s="73"/>
      <c r="IR1051" s="73"/>
      <c r="IS1051" s="73"/>
      <c r="IT1051" s="73"/>
      <c r="IU1051" s="73"/>
      <c r="IV1051" s="73"/>
      <c r="IW1051" s="73"/>
      <c r="IX1051" s="73"/>
      <c r="IY1051" s="73"/>
      <c r="IZ1051" s="73"/>
      <c r="JA1051" s="73"/>
      <c r="JB1051" s="73"/>
      <c r="JC1051" s="73"/>
    </row>
    <row r="1052" spans="2:263" s="72" customFormat="1">
      <c r="B1052" s="73"/>
      <c r="C1052" s="73"/>
      <c r="D1052" s="73"/>
      <c r="E1052" s="73"/>
      <c r="F1052" s="73"/>
      <c r="G1052" s="73"/>
      <c r="H1052" s="73"/>
      <c r="I1052" s="73"/>
      <c r="J1052" s="73"/>
      <c r="K1052" s="73"/>
      <c r="L1052" s="73"/>
      <c r="M1052" s="73"/>
      <c r="N1052" s="73"/>
      <c r="O1052" s="73"/>
      <c r="P1052" s="73"/>
      <c r="Q1052" s="73"/>
      <c r="R1052" s="73"/>
      <c r="S1052" s="73"/>
      <c r="T1052" s="73"/>
      <c r="U1052" s="73"/>
      <c r="V1052" s="73"/>
      <c r="W1052" s="73"/>
      <c r="GL1052" s="73"/>
      <c r="GM1052" s="73"/>
      <c r="GN1052" s="73"/>
      <c r="GO1052" s="73"/>
      <c r="GP1052" s="73"/>
      <c r="GQ1052" s="73"/>
      <c r="GR1052" s="73"/>
      <c r="GS1052" s="73"/>
      <c r="GT1052" s="73"/>
      <c r="GU1052" s="73"/>
      <c r="GV1052" s="73"/>
      <c r="GW1052" s="73"/>
      <c r="GX1052" s="73"/>
      <c r="GY1052" s="73"/>
      <c r="GZ1052" s="73"/>
      <c r="HA1052" s="73"/>
      <c r="HB1052" s="73"/>
      <c r="HC1052" s="73"/>
      <c r="HD1052" s="73"/>
      <c r="HE1052" s="73"/>
      <c r="HF1052" s="73"/>
      <c r="HG1052" s="73"/>
      <c r="HH1052" s="73"/>
      <c r="HI1052" s="73"/>
      <c r="HJ1052" s="73"/>
      <c r="HK1052" s="73"/>
      <c r="HL1052" s="73"/>
      <c r="HM1052" s="73"/>
      <c r="HN1052" s="73"/>
      <c r="HO1052" s="73"/>
      <c r="HP1052" s="73"/>
      <c r="HQ1052" s="73"/>
      <c r="HR1052" s="73"/>
      <c r="HS1052" s="73"/>
      <c r="HT1052" s="73"/>
      <c r="HU1052" s="73"/>
      <c r="HV1052" s="73"/>
      <c r="HW1052" s="73"/>
      <c r="HX1052" s="73"/>
      <c r="HY1052" s="73"/>
      <c r="HZ1052" s="73"/>
      <c r="IA1052" s="73"/>
      <c r="IB1052" s="73"/>
      <c r="IC1052" s="73"/>
      <c r="ID1052" s="73"/>
      <c r="IE1052" s="73"/>
      <c r="IF1052" s="73"/>
      <c r="IG1052" s="73"/>
      <c r="IH1052" s="73"/>
      <c r="II1052" s="73"/>
      <c r="IJ1052" s="73"/>
      <c r="IK1052" s="73"/>
      <c r="IL1052" s="73"/>
      <c r="IM1052" s="73"/>
      <c r="IN1052" s="73"/>
      <c r="IO1052" s="73"/>
      <c r="IP1052" s="73"/>
      <c r="IQ1052" s="73"/>
      <c r="IR1052" s="73"/>
      <c r="IS1052" s="73"/>
      <c r="IT1052" s="73"/>
      <c r="IU1052" s="73"/>
      <c r="IV1052" s="73"/>
      <c r="IW1052" s="73"/>
      <c r="IX1052" s="73"/>
      <c r="IY1052" s="73"/>
      <c r="IZ1052" s="73"/>
      <c r="JA1052" s="73"/>
      <c r="JB1052" s="73"/>
      <c r="JC1052" s="73"/>
    </row>
    <row r="1053" spans="2:263" s="72" customFormat="1">
      <c r="B1053" s="73"/>
      <c r="C1053" s="73"/>
      <c r="D1053" s="73"/>
      <c r="E1053" s="73"/>
      <c r="F1053" s="73"/>
      <c r="G1053" s="73"/>
      <c r="H1053" s="73"/>
      <c r="I1053" s="73"/>
      <c r="J1053" s="73"/>
      <c r="K1053" s="73"/>
      <c r="L1053" s="73"/>
      <c r="M1053" s="73"/>
      <c r="N1053" s="73"/>
      <c r="O1053" s="73"/>
      <c r="P1053" s="73"/>
      <c r="Q1053" s="73"/>
      <c r="R1053" s="73"/>
      <c r="S1053" s="73"/>
      <c r="T1053" s="73"/>
      <c r="U1053" s="73"/>
      <c r="V1053" s="73"/>
      <c r="W1053" s="73"/>
      <c r="GL1053" s="73"/>
      <c r="GM1053" s="73"/>
      <c r="GN1053" s="73"/>
      <c r="GO1053" s="73"/>
      <c r="GP1053" s="73"/>
      <c r="GQ1053" s="73"/>
      <c r="GR1053" s="73"/>
      <c r="GS1053" s="73"/>
      <c r="GT1053" s="73"/>
      <c r="GU1053" s="73"/>
      <c r="GV1053" s="73"/>
      <c r="GW1053" s="73"/>
      <c r="GX1053" s="73"/>
      <c r="GY1053" s="73"/>
      <c r="GZ1053" s="73"/>
      <c r="HA1053" s="73"/>
      <c r="HB1053" s="73"/>
      <c r="HC1053" s="73"/>
      <c r="HD1053" s="73"/>
      <c r="HE1053" s="73"/>
      <c r="HF1053" s="73"/>
      <c r="HG1053" s="73"/>
      <c r="HH1053" s="73"/>
      <c r="HI1053" s="73"/>
      <c r="HJ1053" s="73"/>
      <c r="HK1053" s="73"/>
      <c r="HL1053" s="73"/>
      <c r="HM1053" s="73"/>
      <c r="HN1053" s="73"/>
      <c r="HO1053" s="73"/>
      <c r="HP1053" s="73"/>
      <c r="HQ1053" s="73"/>
      <c r="HR1053" s="73"/>
      <c r="HS1053" s="73"/>
      <c r="HT1053" s="73"/>
      <c r="HU1053" s="73"/>
      <c r="HV1053" s="73"/>
      <c r="HW1053" s="73"/>
      <c r="HX1053" s="73"/>
      <c r="HY1053" s="73"/>
      <c r="HZ1053" s="73"/>
      <c r="IA1053" s="73"/>
      <c r="IB1053" s="73"/>
      <c r="IC1053" s="73"/>
      <c r="ID1053" s="73"/>
      <c r="IE1053" s="73"/>
      <c r="IF1053" s="73"/>
      <c r="IG1053" s="73"/>
      <c r="IH1053" s="73"/>
      <c r="II1053" s="73"/>
      <c r="IJ1053" s="73"/>
      <c r="IK1053" s="73"/>
      <c r="IL1053" s="73"/>
      <c r="IM1053" s="73"/>
      <c r="IN1053" s="73"/>
      <c r="IO1053" s="73"/>
      <c r="IP1053" s="73"/>
      <c r="IQ1053" s="73"/>
      <c r="IR1053" s="73"/>
      <c r="IS1053" s="73"/>
      <c r="IT1053" s="73"/>
      <c r="IU1053" s="73"/>
      <c r="IV1053" s="73"/>
      <c r="IW1053" s="73"/>
      <c r="IX1053" s="73"/>
      <c r="IY1053" s="73"/>
      <c r="IZ1053" s="73"/>
      <c r="JA1053" s="73"/>
      <c r="JB1053" s="73"/>
      <c r="JC1053" s="73"/>
    </row>
    <row r="1054" spans="2:263" s="72" customFormat="1">
      <c r="B1054" s="73"/>
      <c r="C1054" s="73"/>
      <c r="D1054" s="73"/>
      <c r="E1054" s="73"/>
      <c r="F1054" s="73"/>
      <c r="G1054" s="73"/>
      <c r="H1054" s="73"/>
      <c r="I1054" s="73"/>
      <c r="J1054" s="73"/>
      <c r="K1054" s="73"/>
      <c r="L1054" s="73"/>
      <c r="M1054" s="73"/>
      <c r="N1054" s="73"/>
      <c r="O1054" s="73"/>
      <c r="P1054" s="73"/>
      <c r="Q1054" s="73"/>
      <c r="R1054" s="73"/>
      <c r="S1054" s="73"/>
      <c r="T1054" s="73"/>
      <c r="U1054" s="73"/>
      <c r="V1054" s="73"/>
      <c r="W1054" s="73"/>
      <c r="GL1054" s="73"/>
      <c r="GM1054" s="73"/>
      <c r="GN1054" s="73"/>
      <c r="GO1054" s="73"/>
      <c r="GP1054" s="73"/>
      <c r="GQ1054" s="73"/>
      <c r="GR1054" s="73"/>
      <c r="GS1054" s="73"/>
      <c r="GT1054" s="73"/>
      <c r="GU1054" s="73"/>
      <c r="GV1054" s="73"/>
      <c r="GW1054" s="73"/>
      <c r="GX1054" s="73"/>
      <c r="GY1054" s="73"/>
      <c r="GZ1054" s="73"/>
      <c r="HA1054" s="73"/>
      <c r="HB1054" s="73"/>
      <c r="HC1054" s="73"/>
      <c r="HD1054" s="73"/>
      <c r="HE1054" s="73"/>
      <c r="HF1054" s="73"/>
      <c r="HG1054" s="73"/>
      <c r="HH1054" s="73"/>
      <c r="HI1054" s="73"/>
      <c r="HJ1054" s="73"/>
      <c r="HK1054" s="73"/>
      <c r="HL1054" s="73"/>
      <c r="HM1054" s="73"/>
      <c r="HN1054" s="73"/>
      <c r="HO1054" s="73"/>
      <c r="HP1054" s="73"/>
      <c r="HQ1054" s="73"/>
      <c r="HR1054" s="73"/>
      <c r="HS1054" s="73"/>
      <c r="HT1054" s="73"/>
      <c r="HU1054" s="73"/>
      <c r="HV1054" s="73"/>
      <c r="HW1054" s="73"/>
      <c r="HX1054" s="73"/>
      <c r="HY1054" s="73"/>
      <c r="HZ1054" s="73"/>
      <c r="IA1054" s="73"/>
      <c r="IB1054" s="73"/>
      <c r="IC1054" s="73"/>
      <c r="ID1054" s="73"/>
      <c r="IE1054" s="73"/>
      <c r="IF1054" s="73"/>
      <c r="IG1054" s="73"/>
      <c r="IH1054" s="73"/>
      <c r="II1054" s="73"/>
      <c r="IJ1054" s="73"/>
      <c r="IK1054" s="73"/>
      <c r="IL1054" s="73"/>
      <c r="IM1054" s="73"/>
      <c r="IN1054" s="73"/>
      <c r="IO1054" s="73"/>
      <c r="IP1054" s="73"/>
      <c r="IQ1054" s="73"/>
      <c r="IR1054" s="73"/>
      <c r="IS1054" s="73"/>
      <c r="IT1054" s="73"/>
      <c r="IU1054" s="73"/>
      <c r="IV1054" s="73"/>
      <c r="IW1054" s="73"/>
      <c r="IX1054" s="73"/>
      <c r="IY1054" s="73"/>
      <c r="IZ1054" s="73"/>
      <c r="JA1054" s="73"/>
      <c r="JB1054" s="73"/>
      <c r="JC1054" s="73"/>
    </row>
    <row r="1055" spans="2:263" s="72" customFormat="1">
      <c r="B1055" s="73"/>
      <c r="C1055" s="73"/>
      <c r="D1055" s="73"/>
      <c r="E1055" s="73"/>
      <c r="F1055" s="73"/>
      <c r="G1055" s="73"/>
      <c r="H1055" s="73"/>
      <c r="I1055" s="73"/>
      <c r="J1055" s="73"/>
      <c r="K1055" s="73"/>
      <c r="L1055" s="73"/>
      <c r="M1055" s="73"/>
      <c r="N1055" s="73"/>
      <c r="O1055" s="73"/>
      <c r="P1055" s="73"/>
      <c r="Q1055" s="73"/>
      <c r="R1055" s="73"/>
      <c r="S1055" s="73"/>
      <c r="T1055" s="73"/>
      <c r="U1055" s="73"/>
      <c r="V1055" s="73"/>
      <c r="W1055" s="73"/>
      <c r="GL1055" s="73"/>
      <c r="GM1055" s="73"/>
      <c r="GN1055" s="73"/>
      <c r="GO1055" s="73"/>
      <c r="GP1055" s="73"/>
      <c r="GQ1055" s="73"/>
      <c r="GR1055" s="73"/>
      <c r="GS1055" s="73"/>
      <c r="GT1055" s="73"/>
      <c r="GU1055" s="73"/>
      <c r="GV1055" s="73"/>
      <c r="GW1055" s="73"/>
      <c r="GX1055" s="73"/>
      <c r="GY1055" s="73"/>
      <c r="GZ1055" s="73"/>
      <c r="HA1055" s="73"/>
      <c r="HB1055" s="73"/>
      <c r="HC1055" s="73"/>
      <c r="HD1055" s="73"/>
      <c r="HE1055" s="73"/>
      <c r="HF1055" s="73"/>
      <c r="HG1055" s="73"/>
      <c r="HH1055" s="73"/>
      <c r="HI1055" s="73"/>
      <c r="HJ1055" s="73"/>
      <c r="HK1055" s="73"/>
      <c r="HL1055" s="73"/>
      <c r="HM1055" s="73"/>
      <c r="HN1055" s="73"/>
      <c r="HO1055" s="73"/>
      <c r="HP1055" s="73"/>
      <c r="HQ1055" s="73"/>
      <c r="HR1055" s="73"/>
      <c r="HS1055" s="73"/>
      <c r="HT1055" s="73"/>
      <c r="HU1055" s="73"/>
      <c r="HV1055" s="73"/>
      <c r="HW1055" s="73"/>
      <c r="HX1055" s="73"/>
      <c r="HY1055" s="73"/>
      <c r="HZ1055" s="73"/>
      <c r="IA1055" s="73"/>
      <c r="IB1055" s="73"/>
      <c r="IC1055" s="73"/>
      <c r="ID1055" s="73"/>
      <c r="IE1055" s="73"/>
      <c r="IF1055" s="73"/>
      <c r="IG1055" s="73"/>
      <c r="IH1055" s="73"/>
      <c r="II1055" s="73"/>
      <c r="IJ1055" s="73"/>
      <c r="IK1055" s="73"/>
      <c r="IL1055" s="73"/>
      <c r="IM1055" s="73"/>
      <c r="IN1055" s="73"/>
      <c r="IO1055" s="73"/>
      <c r="IP1055" s="73"/>
      <c r="IQ1055" s="73"/>
      <c r="IR1055" s="73"/>
      <c r="IS1055" s="73"/>
      <c r="IT1055" s="73"/>
      <c r="IU1055" s="73"/>
      <c r="IV1055" s="73"/>
      <c r="IW1055" s="73"/>
      <c r="IX1055" s="73"/>
      <c r="IY1055" s="73"/>
      <c r="IZ1055" s="73"/>
      <c r="JA1055" s="73"/>
      <c r="JB1055" s="73"/>
      <c r="JC1055" s="73"/>
    </row>
    <row r="1056" spans="2:263" s="72" customFormat="1">
      <c r="B1056" s="73"/>
      <c r="C1056" s="73"/>
      <c r="D1056" s="73"/>
      <c r="E1056" s="73"/>
      <c r="F1056" s="73"/>
      <c r="G1056" s="73"/>
      <c r="H1056" s="73"/>
      <c r="I1056" s="73"/>
      <c r="J1056" s="73"/>
      <c r="K1056" s="73"/>
      <c r="L1056" s="73"/>
      <c r="M1056" s="73"/>
      <c r="N1056" s="73"/>
      <c r="O1056" s="73"/>
      <c r="P1056" s="73"/>
      <c r="Q1056" s="73"/>
      <c r="R1056" s="73"/>
      <c r="S1056" s="73"/>
      <c r="T1056" s="73"/>
      <c r="U1056" s="73"/>
      <c r="V1056" s="73"/>
      <c r="W1056" s="73"/>
      <c r="GL1056" s="73"/>
      <c r="GM1056" s="73"/>
      <c r="GN1056" s="73"/>
      <c r="GO1056" s="73"/>
      <c r="GP1056" s="73"/>
      <c r="GQ1056" s="73"/>
      <c r="GR1056" s="73"/>
      <c r="GS1056" s="73"/>
      <c r="GT1056" s="73"/>
      <c r="GU1056" s="73"/>
      <c r="GV1056" s="73"/>
      <c r="GW1056" s="73"/>
      <c r="GX1056" s="73"/>
      <c r="GY1056" s="73"/>
      <c r="GZ1056" s="73"/>
      <c r="HA1056" s="73"/>
      <c r="HB1056" s="73"/>
      <c r="HC1056" s="73"/>
      <c r="HD1056" s="73"/>
      <c r="HE1056" s="73"/>
      <c r="HF1056" s="73"/>
      <c r="HG1056" s="73"/>
      <c r="HH1056" s="73"/>
      <c r="HI1056" s="73"/>
      <c r="HJ1056" s="73"/>
      <c r="HK1056" s="73"/>
      <c r="HL1056" s="73"/>
      <c r="HM1056" s="73"/>
      <c r="HN1056" s="73"/>
      <c r="HO1056" s="73"/>
      <c r="HP1056" s="73"/>
      <c r="HQ1056" s="73"/>
      <c r="HR1056" s="73"/>
      <c r="HS1056" s="73"/>
      <c r="HT1056" s="73"/>
      <c r="HU1056" s="73"/>
      <c r="HV1056" s="73"/>
      <c r="HW1056" s="73"/>
      <c r="HX1056" s="73"/>
      <c r="HY1056" s="73"/>
      <c r="HZ1056" s="73"/>
      <c r="IA1056" s="73"/>
      <c r="IB1056" s="73"/>
      <c r="IC1056" s="73"/>
      <c r="ID1056" s="73"/>
      <c r="IE1056" s="73"/>
      <c r="IF1056" s="73"/>
      <c r="IG1056" s="73"/>
      <c r="IH1056" s="73"/>
      <c r="II1056" s="73"/>
      <c r="IJ1056" s="73"/>
      <c r="IK1056" s="73"/>
      <c r="IL1056" s="73"/>
      <c r="IM1056" s="73"/>
      <c r="IN1056" s="73"/>
      <c r="IO1056" s="73"/>
      <c r="IP1056" s="73"/>
      <c r="IQ1056" s="73"/>
      <c r="IR1056" s="73"/>
      <c r="IS1056" s="73"/>
      <c r="IT1056" s="73"/>
      <c r="IU1056" s="73"/>
      <c r="IV1056" s="73"/>
      <c r="IW1056" s="73"/>
      <c r="IX1056" s="73"/>
      <c r="IY1056" s="73"/>
      <c r="IZ1056" s="73"/>
      <c r="JA1056" s="73"/>
      <c r="JB1056" s="73"/>
      <c r="JC1056" s="73"/>
    </row>
    <row r="1057" spans="2:263" s="72" customFormat="1">
      <c r="B1057" s="73"/>
      <c r="C1057" s="73"/>
      <c r="D1057" s="73"/>
      <c r="E1057" s="73"/>
      <c r="F1057" s="73"/>
      <c r="G1057" s="73"/>
      <c r="H1057" s="73"/>
      <c r="I1057" s="73"/>
      <c r="J1057" s="73"/>
      <c r="K1057" s="73"/>
      <c r="L1057" s="73"/>
      <c r="M1057" s="73"/>
      <c r="N1057" s="73"/>
      <c r="O1057" s="73"/>
      <c r="P1057" s="73"/>
      <c r="Q1057" s="73"/>
      <c r="R1057" s="73"/>
      <c r="S1057" s="73"/>
      <c r="T1057" s="73"/>
      <c r="U1057" s="73"/>
      <c r="V1057" s="73"/>
      <c r="W1057" s="73"/>
      <c r="GL1057" s="73"/>
      <c r="GM1057" s="73"/>
      <c r="GN1057" s="73"/>
      <c r="GO1057" s="73"/>
      <c r="GP1057" s="73"/>
      <c r="GQ1057" s="73"/>
      <c r="GR1057" s="73"/>
      <c r="GS1057" s="73"/>
      <c r="GT1057" s="73"/>
      <c r="GU1057" s="73"/>
      <c r="GV1057" s="73"/>
      <c r="GW1057" s="73"/>
      <c r="GX1057" s="73"/>
      <c r="GY1057" s="73"/>
      <c r="GZ1057" s="73"/>
      <c r="HA1057" s="73"/>
      <c r="HB1057" s="73"/>
      <c r="HC1057" s="73"/>
      <c r="HD1057" s="73"/>
      <c r="HE1057" s="73"/>
      <c r="HF1057" s="73"/>
      <c r="HG1057" s="73"/>
      <c r="HH1057" s="73"/>
      <c r="HI1057" s="73"/>
      <c r="HJ1057" s="73"/>
      <c r="HK1057" s="73"/>
      <c r="HL1057" s="73"/>
      <c r="HM1057" s="73"/>
      <c r="HN1057" s="73"/>
      <c r="HO1057" s="73"/>
      <c r="HP1057" s="73"/>
      <c r="HQ1057" s="73"/>
      <c r="HR1057" s="73"/>
      <c r="HS1057" s="73"/>
      <c r="HT1057" s="73"/>
      <c r="HU1057" s="73"/>
      <c r="HV1057" s="73"/>
      <c r="HW1057" s="73"/>
      <c r="HX1057" s="73"/>
      <c r="HY1057" s="73"/>
      <c r="HZ1057" s="73"/>
      <c r="IA1057" s="73"/>
      <c r="IB1057" s="73"/>
      <c r="IC1057" s="73"/>
      <c r="ID1057" s="73"/>
      <c r="IE1057" s="73"/>
      <c r="IF1057" s="73"/>
      <c r="IG1057" s="73"/>
      <c r="IH1057" s="73"/>
      <c r="II1057" s="73"/>
      <c r="IJ1057" s="73"/>
      <c r="IK1057" s="73"/>
      <c r="IL1057" s="73"/>
      <c r="IM1057" s="73"/>
      <c r="IN1057" s="73"/>
      <c r="IO1057" s="73"/>
      <c r="IP1057" s="73"/>
      <c r="IQ1057" s="73"/>
      <c r="IR1057" s="73"/>
      <c r="IS1057" s="73"/>
      <c r="IT1057" s="73"/>
      <c r="IU1057" s="73"/>
      <c r="IV1057" s="73"/>
      <c r="IW1057" s="73"/>
      <c r="IX1057" s="73"/>
      <c r="IY1057" s="73"/>
      <c r="IZ1057" s="73"/>
      <c r="JA1057" s="73"/>
      <c r="JB1057" s="73"/>
      <c r="JC1057" s="73"/>
    </row>
    <row r="1058" spans="2:263" s="72" customFormat="1">
      <c r="B1058" s="73"/>
      <c r="C1058" s="73"/>
      <c r="D1058" s="73"/>
      <c r="E1058" s="73"/>
      <c r="F1058" s="73"/>
      <c r="G1058" s="73"/>
      <c r="H1058" s="73"/>
      <c r="I1058" s="73"/>
      <c r="J1058" s="73"/>
      <c r="K1058" s="73"/>
      <c r="L1058" s="73"/>
      <c r="M1058" s="73"/>
      <c r="N1058" s="73"/>
      <c r="O1058" s="73"/>
      <c r="P1058" s="73"/>
      <c r="Q1058" s="73"/>
      <c r="R1058" s="73"/>
      <c r="S1058" s="73"/>
      <c r="T1058" s="73"/>
      <c r="U1058" s="73"/>
      <c r="V1058" s="73"/>
      <c r="W1058" s="73"/>
      <c r="GL1058" s="73"/>
      <c r="GM1058" s="73"/>
      <c r="GN1058" s="73"/>
      <c r="GO1058" s="73"/>
      <c r="GP1058" s="73"/>
      <c r="GQ1058" s="73"/>
      <c r="GR1058" s="73"/>
      <c r="GS1058" s="73"/>
      <c r="GT1058" s="73"/>
      <c r="GU1058" s="73"/>
      <c r="GV1058" s="73"/>
      <c r="GW1058" s="73"/>
      <c r="GX1058" s="73"/>
      <c r="GY1058" s="73"/>
      <c r="GZ1058" s="73"/>
      <c r="HA1058" s="73"/>
      <c r="HB1058" s="73"/>
      <c r="HC1058" s="73"/>
      <c r="HD1058" s="73"/>
      <c r="HE1058" s="73"/>
      <c r="HF1058" s="73"/>
      <c r="HG1058" s="73"/>
      <c r="HH1058" s="73"/>
      <c r="HI1058" s="73"/>
      <c r="HJ1058" s="73"/>
      <c r="HK1058" s="73"/>
      <c r="HL1058" s="73"/>
      <c r="HM1058" s="73"/>
      <c r="HN1058" s="73"/>
      <c r="HO1058" s="73"/>
      <c r="HP1058" s="73"/>
      <c r="HQ1058" s="73"/>
      <c r="HR1058" s="73"/>
      <c r="HS1058" s="73"/>
      <c r="HT1058" s="73"/>
      <c r="HU1058" s="73"/>
      <c r="HV1058" s="73"/>
      <c r="HW1058" s="73"/>
      <c r="HX1058" s="73"/>
      <c r="HY1058" s="73"/>
      <c r="HZ1058" s="73"/>
      <c r="IA1058" s="73"/>
      <c r="IB1058" s="73"/>
      <c r="IC1058" s="73"/>
      <c r="ID1058" s="73"/>
      <c r="IE1058" s="73"/>
      <c r="IF1058" s="73"/>
      <c r="IG1058" s="73"/>
      <c r="IH1058" s="73"/>
      <c r="II1058" s="73"/>
      <c r="IJ1058" s="73"/>
      <c r="IK1058" s="73"/>
      <c r="IL1058" s="73"/>
      <c r="IM1058" s="73"/>
      <c r="IN1058" s="73"/>
      <c r="IO1058" s="73"/>
      <c r="IP1058" s="73"/>
      <c r="IQ1058" s="73"/>
      <c r="IR1058" s="73"/>
      <c r="IS1058" s="73"/>
      <c r="IT1058" s="73"/>
      <c r="IU1058" s="73"/>
      <c r="IV1058" s="73"/>
      <c r="IW1058" s="73"/>
      <c r="IX1058" s="73"/>
      <c r="IY1058" s="73"/>
      <c r="IZ1058" s="73"/>
      <c r="JA1058" s="73"/>
      <c r="JB1058" s="73"/>
      <c r="JC1058" s="73"/>
    </row>
    <row r="1059" spans="2:263" s="72" customFormat="1">
      <c r="B1059" s="73"/>
      <c r="C1059" s="73"/>
      <c r="D1059" s="73"/>
      <c r="E1059" s="73"/>
      <c r="F1059" s="73"/>
      <c r="G1059" s="73"/>
      <c r="H1059" s="73"/>
      <c r="I1059" s="73"/>
      <c r="J1059" s="73"/>
      <c r="K1059" s="73"/>
      <c r="L1059" s="73"/>
      <c r="M1059" s="73"/>
      <c r="N1059" s="73"/>
      <c r="O1059" s="73"/>
      <c r="P1059" s="73"/>
      <c r="Q1059" s="73"/>
      <c r="R1059" s="73"/>
      <c r="S1059" s="73"/>
      <c r="T1059" s="73"/>
      <c r="U1059" s="73"/>
      <c r="V1059" s="73"/>
      <c r="W1059" s="73"/>
      <c r="GL1059" s="73"/>
      <c r="GM1059" s="73"/>
      <c r="GN1059" s="73"/>
      <c r="GO1059" s="73"/>
      <c r="GP1059" s="73"/>
      <c r="GQ1059" s="73"/>
      <c r="GR1059" s="73"/>
      <c r="GS1059" s="73"/>
      <c r="GT1059" s="73"/>
      <c r="GU1059" s="73"/>
      <c r="GV1059" s="73"/>
      <c r="GW1059" s="73"/>
      <c r="GX1059" s="73"/>
      <c r="GY1059" s="73"/>
      <c r="GZ1059" s="73"/>
      <c r="HA1059" s="73"/>
      <c r="HB1059" s="73"/>
      <c r="HC1059" s="73"/>
      <c r="HD1059" s="73"/>
      <c r="HE1059" s="73"/>
      <c r="HF1059" s="73"/>
      <c r="HG1059" s="73"/>
      <c r="HH1059" s="73"/>
      <c r="HI1059" s="73"/>
      <c r="HJ1059" s="73"/>
      <c r="HK1059" s="73"/>
      <c r="HL1059" s="73"/>
      <c r="HM1059" s="73"/>
      <c r="HN1059" s="73"/>
      <c r="HO1059" s="73"/>
      <c r="HP1059" s="73"/>
      <c r="HQ1059" s="73"/>
      <c r="HR1059" s="73"/>
      <c r="HS1059" s="73"/>
      <c r="HT1059" s="73"/>
      <c r="HU1059" s="73"/>
      <c r="HV1059" s="73"/>
      <c r="HW1059" s="73"/>
      <c r="HX1059" s="73"/>
      <c r="HY1059" s="73"/>
      <c r="HZ1059" s="73"/>
      <c r="IA1059" s="73"/>
      <c r="IB1059" s="73"/>
      <c r="IC1059" s="73"/>
      <c r="ID1059" s="73"/>
      <c r="IE1059" s="73"/>
      <c r="IF1059" s="73"/>
      <c r="IG1059" s="73"/>
      <c r="IH1059" s="73"/>
      <c r="II1059" s="73"/>
      <c r="IJ1059" s="73"/>
      <c r="IK1059" s="73"/>
      <c r="IL1059" s="73"/>
      <c r="IM1059" s="73"/>
      <c r="IN1059" s="73"/>
      <c r="IO1059" s="73"/>
      <c r="IP1059" s="73"/>
      <c r="IQ1059" s="73"/>
      <c r="IR1059" s="73"/>
      <c r="IS1059" s="73"/>
      <c r="IT1059" s="73"/>
      <c r="IU1059" s="73"/>
      <c r="IV1059" s="73"/>
      <c r="IW1059" s="73"/>
      <c r="IX1059" s="73"/>
      <c r="IY1059" s="73"/>
      <c r="IZ1059" s="73"/>
      <c r="JA1059" s="73"/>
      <c r="JB1059" s="73"/>
      <c r="JC1059" s="73"/>
    </row>
    <row r="1060" spans="2:263" s="72" customFormat="1">
      <c r="B1060" s="73"/>
      <c r="C1060" s="73"/>
      <c r="D1060" s="73"/>
      <c r="E1060" s="73"/>
      <c r="F1060" s="73"/>
      <c r="G1060" s="73"/>
      <c r="H1060" s="73"/>
      <c r="I1060" s="73"/>
      <c r="J1060" s="73"/>
      <c r="K1060" s="73"/>
      <c r="L1060" s="73"/>
      <c r="M1060" s="73"/>
      <c r="N1060" s="73"/>
      <c r="O1060" s="73"/>
      <c r="P1060" s="73"/>
      <c r="Q1060" s="73"/>
      <c r="R1060" s="73"/>
      <c r="S1060" s="73"/>
      <c r="T1060" s="73"/>
      <c r="U1060" s="73"/>
      <c r="V1060" s="73"/>
      <c r="W1060" s="73"/>
      <c r="GL1060" s="73"/>
      <c r="GM1060" s="73"/>
      <c r="GN1060" s="73"/>
      <c r="GO1060" s="73"/>
      <c r="GP1060" s="73"/>
      <c r="GQ1060" s="73"/>
      <c r="GR1060" s="73"/>
      <c r="GS1060" s="73"/>
      <c r="GT1060" s="73"/>
      <c r="GU1060" s="73"/>
      <c r="GV1060" s="73"/>
      <c r="GW1060" s="73"/>
      <c r="GX1060" s="73"/>
      <c r="GY1060" s="73"/>
      <c r="GZ1060" s="73"/>
      <c r="HA1060" s="73"/>
      <c r="HB1060" s="73"/>
      <c r="HC1060" s="73"/>
      <c r="HD1060" s="73"/>
      <c r="HE1060" s="73"/>
      <c r="HF1060" s="73"/>
      <c r="HG1060" s="73"/>
      <c r="HH1060" s="73"/>
      <c r="HI1060" s="73"/>
      <c r="HJ1060" s="73"/>
      <c r="HK1060" s="73"/>
      <c r="HL1060" s="73"/>
      <c r="HM1060" s="73"/>
      <c r="HN1060" s="73"/>
      <c r="HO1060" s="73"/>
      <c r="HP1060" s="73"/>
      <c r="HQ1060" s="73"/>
      <c r="HR1060" s="73"/>
      <c r="HS1060" s="73"/>
      <c r="HT1060" s="73"/>
      <c r="HU1060" s="73"/>
      <c r="HV1060" s="73"/>
      <c r="HW1060" s="73"/>
      <c r="HX1060" s="73"/>
      <c r="HY1060" s="73"/>
      <c r="HZ1060" s="73"/>
      <c r="IA1060" s="73"/>
      <c r="IB1060" s="73"/>
      <c r="IC1060" s="73"/>
      <c r="ID1060" s="73"/>
      <c r="IE1060" s="73"/>
      <c r="IF1060" s="73"/>
      <c r="IG1060" s="73"/>
      <c r="IH1060" s="73"/>
      <c r="II1060" s="73"/>
      <c r="IJ1060" s="73"/>
      <c r="IK1060" s="73"/>
      <c r="IL1060" s="73"/>
      <c r="IM1060" s="73"/>
      <c r="IN1060" s="73"/>
      <c r="IO1060" s="73"/>
      <c r="IP1060" s="73"/>
      <c r="IQ1060" s="73"/>
      <c r="IR1060" s="73"/>
      <c r="IS1060" s="73"/>
      <c r="IT1060" s="73"/>
      <c r="IU1060" s="73"/>
      <c r="IV1060" s="73"/>
      <c r="IW1060" s="73"/>
      <c r="IX1060" s="73"/>
      <c r="IY1060" s="73"/>
      <c r="IZ1060" s="73"/>
      <c r="JA1060" s="73"/>
      <c r="JB1060" s="73"/>
      <c r="JC1060" s="73"/>
    </row>
    <row r="1061" spans="2:263" s="72" customFormat="1">
      <c r="B1061" s="73"/>
      <c r="C1061" s="73"/>
      <c r="D1061" s="73"/>
      <c r="E1061" s="73"/>
      <c r="F1061" s="73"/>
      <c r="G1061" s="73"/>
      <c r="H1061" s="73"/>
      <c r="I1061" s="73"/>
      <c r="J1061" s="73"/>
      <c r="K1061" s="73"/>
      <c r="L1061" s="73"/>
      <c r="M1061" s="73"/>
      <c r="N1061" s="73"/>
      <c r="O1061" s="73"/>
      <c r="P1061" s="73"/>
      <c r="Q1061" s="73"/>
      <c r="R1061" s="73"/>
      <c r="S1061" s="73"/>
      <c r="T1061" s="73"/>
      <c r="U1061" s="73"/>
      <c r="V1061" s="73"/>
      <c r="W1061" s="73"/>
      <c r="GL1061" s="73"/>
      <c r="GM1061" s="73"/>
      <c r="GN1061" s="73"/>
      <c r="GO1061" s="73"/>
      <c r="GP1061" s="73"/>
      <c r="GQ1061" s="73"/>
      <c r="GR1061" s="73"/>
      <c r="GS1061" s="73"/>
      <c r="GT1061" s="73"/>
      <c r="GU1061" s="73"/>
      <c r="GV1061" s="73"/>
      <c r="GW1061" s="73"/>
      <c r="GX1061" s="73"/>
      <c r="GY1061" s="73"/>
      <c r="GZ1061" s="73"/>
      <c r="HA1061" s="73"/>
      <c r="HB1061" s="73"/>
      <c r="HC1061" s="73"/>
      <c r="HD1061" s="73"/>
      <c r="HE1061" s="73"/>
      <c r="HF1061" s="73"/>
      <c r="HG1061" s="73"/>
      <c r="HH1061" s="73"/>
      <c r="HI1061" s="73"/>
      <c r="HJ1061" s="73"/>
      <c r="HK1061" s="73"/>
      <c r="HL1061" s="73"/>
      <c r="HM1061" s="73"/>
      <c r="HN1061" s="73"/>
      <c r="HO1061" s="73"/>
      <c r="HP1061" s="73"/>
      <c r="HQ1061" s="73"/>
      <c r="HR1061" s="73"/>
      <c r="HS1061" s="73"/>
      <c r="HT1061" s="73"/>
      <c r="HU1061" s="73"/>
      <c r="HV1061" s="73"/>
      <c r="HW1061" s="73"/>
      <c r="HX1061" s="73"/>
      <c r="HY1061" s="73"/>
      <c r="HZ1061" s="73"/>
      <c r="IA1061" s="73"/>
      <c r="IB1061" s="73"/>
      <c r="IC1061" s="73"/>
      <c r="ID1061" s="73"/>
      <c r="IE1061" s="73"/>
      <c r="IF1061" s="73"/>
      <c r="IG1061" s="73"/>
      <c r="IH1061" s="73"/>
      <c r="II1061" s="73"/>
      <c r="IJ1061" s="73"/>
      <c r="IK1061" s="73"/>
      <c r="IL1061" s="73"/>
      <c r="IM1061" s="73"/>
      <c r="IN1061" s="73"/>
      <c r="IO1061" s="73"/>
      <c r="IP1061" s="73"/>
      <c r="IQ1061" s="73"/>
      <c r="IR1061" s="73"/>
      <c r="IS1061" s="73"/>
      <c r="IT1061" s="73"/>
      <c r="IU1061" s="73"/>
      <c r="IV1061" s="73"/>
      <c r="IW1061" s="73"/>
      <c r="IX1061" s="73"/>
      <c r="IY1061" s="73"/>
      <c r="IZ1061" s="73"/>
      <c r="JA1061" s="73"/>
      <c r="JB1061" s="73"/>
      <c r="JC1061" s="73"/>
    </row>
    <row r="1062" spans="2:263" s="72" customFormat="1">
      <c r="B1062" s="73"/>
      <c r="C1062" s="73"/>
      <c r="D1062" s="73"/>
      <c r="E1062" s="73"/>
      <c r="F1062" s="73"/>
      <c r="G1062" s="73"/>
      <c r="H1062" s="73"/>
      <c r="I1062" s="73"/>
      <c r="J1062" s="73"/>
      <c r="K1062" s="73"/>
      <c r="L1062" s="73"/>
      <c r="M1062" s="73"/>
      <c r="N1062" s="73"/>
      <c r="O1062" s="73"/>
      <c r="P1062" s="73"/>
      <c r="Q1062" s="73"/>
      <c r="R1062" s="73"/>
      <c r="S1062" s="73"/>
      <c r="T1062" s="73"/>
      <c r="U1062" s="73"/>
      <c r="V1062" s="73"/>
      <c r="W1062" s="73"/>
      <c r="GL1062" s="73"/>
      <c r="GM1062" s="73"/>
      <c r="GN1062" s="73"/>
      <c r="GO1062" s="73"/>
      <c r="GP1062" s="73"/>
      <c r="GQ1062" s="73"/>
      <c r="GR1062" s="73"/>
      <c r="GS1062" s="73"/>
      <c r="GT1062" s="73"/>
      <c r="GU1062" s="73"/>
      <c r="GV1062" s="73"/>
      <c r="GW1062" s="73"/>
      <c r="GX1062" s="73"/>
      <c r="GY1062" s="73"/>
      <c r="GZ1062" s="73"/>
      <c r="HA1062" s="73"/>
      <c r="HB1062" s="73"/>
      <c r="HC1062" s="73"/>
      <c r="HD1062" s="73"/>
      <c r="HE1062" s="73"/>
      <c r="HF1062" s="73"/>
      <c r="HG1062" s="73"/>
      <c r="HH1062" s="73"/>
      <c r="HI1062" s="73"/>
      <c r="HJ1062" s="73"/>
      <c r="HK1062" s="73"/>
      <c r="HL1062" s="73"/>
      <c r="HM1062" s="73"/>
      <c r="HN1062" s="73"/>
      <c r="HO1062" s="73"/>
      <c r="HP1062" s="73"/>
      <c r="HQ1062" s="73"/>
      <c r="HR1062" s="73"/>
      <c r="HS1062" s="73"/>
      <c r="HT1062" s="73"/>
      <c r="HU1062" s="73"/>
      <c r="HV1062" s="73"/>
      <c r="HW1062" s="73"/>
      <c r="HX1062" s="73"/>
      <c r="HY1062" s="73"/>
      <c r="HZ1062" s="73"/>
      <c r="IA1062" s="73"/>
      <c r="IB1062" s="73"/>
      <c r="IC1062" s="73"/>
      <c r="ID1062" s="73"/>
      <c r="IE1062" s="73"/>
      <c r="IF1062" s="73"/>
      <c r="IG1062" s="73"/>
      <c r="IH1062" s="73"/>
      <c r="II1062" s="73"/>
      <c r="IJ1062" s="73"/>
      <c r="IK1062" s="73"/>
      <c r="IL1062" s="73"/>
      <c r="IM1062" s="73"/>
      <c r="IN1062" s="73"/>
      <c r="IO1062" s="73"/>
      <c r="IP1062" s="73"/>
      <c r="IQ1062" s="73"/>
      <c r="IR1062" s="73"/>
      <c r="IS1062" s="73"/>
      <c r="IT1062" s="73"/>
      <c r="IU1062" s="73"/>
      <c r="IV1062" s="73"/>
      <c r="IW1062" s="73"/>
      <c r="IX1062" s="73"/>
      <c r="IY1062" s="73"/>
      <c r="IZ1062" s="73"/>
      <c r="JA1062" s="73"/>
      <c r="JB1062" s="73"/>
      <c r="JC1062" s="73"/>
    </row>
    <row r="1063" spans="2:263" s="72" customFormat="1">
      <c r="B1063" s="73"/>
      <c r="C1063" s="73"/>
      <c r="D1063" s="73"/>
      <c r="E1063" s="73"/>
      <c r="F1063" s="73"/>
      <c r="G1063" s="73"/>
      <c r="H1063" s="73"/>
      <c r="I1063" s="73"/>
      <c r="J1063" s="73"/>
      <c r="K1063" s="73"/>
      <c r="L1063" s="73"/>
      <c r="M1063" s="73"/>
      <c r="N1063" s="73"/>
      <c r="O1063" s="73"/>
      <c r="P1063" s="73"/>
      <c r="Q1063" s="73"/>
      <c r="R1063" s="73"/>
      <c r="S1063" s="73"/>
      <c r="T1063" s="73"/>
      <c r="U1063" s="73"/>
      <c r="V1063" s="73"/>
      <c r="W1063" s="73"/>
      <c r="GL1063" s="73"/>
      <c r="GM1063" s="73"/>
      <c r="GN1063" s="73"/>
      <c r="GO1063" s="73"/>
      <c r="GP1063" s="73"/>
      <c r="GQ1063" s="73"/>
      <c r="GR1063" s="73"/>
      <c r="GS1063" s="73"/>
      <c r="GT1063" s="73"/>
      <c r="GU1063" s="73"/>
      <c r="GV1063" s="73"/>
      <c r="GW1063" s="73"/>
      <c r="GX1063" s="73"/>
      <c r="GY1063" s="73"/>
      <c r="GZ1063" s="73"/>
      <c r="HA1063" s="73"/>
      <c r="HB1063" s="73"/>
      <c r="HC1063" s="73"/>
      <c r="HD1063" s="73"/>
      <c r="HE1063" s="73"/>
      <c r="HF1063" s="73"/>
      <c r="HG1063" s="73"/>
      <c r="HH1063" s="73"/>
      <c r="HI1063" s="73"/>
      <c r="HJ1063" s="73"/>
      <c r="HK1063" s="73"/>
      <c r="HL1063" s="73"/>
      <c r="HM1063" s="73"/>
      <c r="HN1063" s="73"/>
      <c r="HO1063" s="73"/>
      <c r="HP1063" s="73"/>
      <c r="HQ1063" s="73"/>
      <c r="HR1063" s="73"/>
      <c r="HS1063" s="73"/>
      <c r="HT1063" s="73"/>
      <c r="HU1063" s="73"/>
      <c r="HV1063" s="73"/>
      <c r="HW1063" s="73"/>
      <c r="HX1063" s="73"/>
      <c r="HY1063" s="73"/>
      <c r="HZ1063" s="73"/>
      <c r="IA1063" s="73"/>
      <c r="IB1063" s="73"/>
      <c r="IC1063" s="73"/>
      <c r="ID1063" s="73"/>
      <c r="IE1063" s="73"/>
      <c r="IF1063" s="73"/>
      <c r="IG1063" s="73"/>
      <c r="IH1063" s="73"/>
      <c r="II1063" s="73"/>
      <c r="IJ1063" s="73"/>
      <c r="IK1063" s="73"/>
      <c r="IL1063" s="73"/>
      <c r="IM1063" s="73"/>
      <c r="IN1063" s="73"/>
      <c r="IO1063" s="73"/>
      <c r="IP1063" s="73"/>
      <c r="IQ1063" s="73"/>
      <c r="IR1063" s="73"/>
      <c r="IS1063" s="73"/>
      <c r="IT1063" s="73"/>
      <c r="IU1063" s="73"/>
      <c r="IV1063" s="73"/>
      <c r="IW1063" s="73"/>
      <c r="IX1063" s="73"/>
      <c r="IY1063" s="73"/>
      <c r="IZ1063" s="73"/>
      <c r="JA1063" s="73"/>
      <c r="JB1063" s="73"/>
      <c r="JC1063" s="73"/>
    </row>
    <row r="1064" spans="2:263" s="72" customFormat="1">
      <c r="B1064" s="73"/>
      <c r="C1064" s="73"/>
      <c r="D1064" s="73"/>
      <c r="E1064" s="73"/>
      <c r="F1064" s="73"/>
      <c r="G1064" s="73"/>
      <c r="H1064" s="73"/>
      <c r="I1064" s="73"/>
      <c r="J1064" s="73"/>
      <c r="K1064" s="73"/>
      <c r="L1064" s="73"/>
      <c r="M1064" s="73"/>
      <c r="N1064" s="73"/>
      <c r="O1064" s="73"/>
      <c r="P1064" s="73"/>
      <c r="Q1064" s="73"/>
      <c r="R1064" s="73"/>
      <c r="S1064" s="73"/>
      <c r="T1064" s="73"/>
      <c r="U1064" s="73"/>
      <c r="V1064" s="73"/>
      <c r="W1064" s="73"/>
      <c r="GL1064" s="73"/>
      <c r="GM1064" s="73"/>
      <c r="GN1064" s="73"/>
      <c r="GO1064" s="73"/>
      <c r="GP1064" s="73"/>
      <c r="GQ1064" s="73"/>
      <c r="GR1064" s="73"/>
      <c r="GS1064" s="73"/>
      <c r="GT1064" s="73"/>
      <c r="GU1064" s="73"/>
      <c r="GV1064" s="73"/>
      <c r="GW1064" s="73"/>
      <c r="GX1064" s="73"/>
      <c r="GY1064" s="73"/>
      <c r="GZ1064" s="73"/>
      <c r="HA1064" s="73"/>
      <c r="HB1064" s="73"/>
      <c r="HC1064" s="73"/>
      <c r="HD1064" s="73"/>
      <c r="HE1064" s="73"/>
      <c r="HF1064" s="73"/>
      <c r="HG1064" s="73"/>
      <c r="HH1064" s="73"/>
      <c r="HI1064" s="73"/>
      <c r="HJ1064" s="73"/>
      <c r="HK1064" s="73"/>
      <c r="HL1064" s="73"/>
      <c r="HM1064" s="73"/>
      <c r="HN1064" s="73"/>
      <c r="HO1064" s="73"/>
      <c r="HP1064" s="73"/>
      <c r="HQ1064" s="73"/>
      <c r="HR1064" s="73"/>
      <c r="HS1064" s="73"/>
      <c r="HT1064" s="73"/>
      <c r="HU1064" s="73"/>
      <c r="HV1064" s="73"/>
      <c r="HW1064" s="73"/>
      <c r="HX1064" s="73"/>
      <c r="HY1064" s="73"/>
      <c r="HZ1064" s="73"/>
      <c r="IA1064" s="73"/>
      <c r="IB1064" s="73"/>
      <c r="IC1064" s="73"/>
      <c r="ID1064" s="73"/>
      <c r="IE1064" s="73"/>
      <c r="IF1064" s="73"/>
      <c r="IG1064" s="73"/>
      <c r="IH1064" s="73"/>
      <c r="II1064" s="73"/>
      <c r="IJ1064" s="73"/>
      <c r="IK1064" s="73"/>
      <c r="IL1064" s="73"/>
      <c r="IM1064" s="73"/>
      <c r="IN1064" s="73"/>
      <c r="IO1064" s="73"/>
      <c r="IP1064" s="73"/>
      <c r="IQ1064" s="73"/>
      <c r="IR1064" s="73"/>
      <c r="IS1064" s="73"/>
      <c r="IT1064" s="73"/>
      <c r="IU1064" s="73"/>
      <c r="IV1064" s="73"/>
      <c r="IW1064" s="73"/>
      <c r="IX1064" s="73"/>
      <c r="IY1064" s="73"/>
      <c r="IZ1064" s="73"/>
      <c r="JA1064" s="73"/>
      <c r="JB1064" s="73"/>
      <c r="JC1064" s="73"/>
    </row>
    <row r="1065" spans="2:263" s="72" customFormat="1">
      <c r="B1065" s="73"/>
      <c r="C1065" s="73"/>
      <c r="D1065" s="73"/>
      <c r="E1065" s="73"/>
      <c r="F1065" s="73"/>
      <c r="G1065" s="73"/>
      <c r="H1065" s="73"/>
      <c r="I1065" s="73"/>
      <c r="J1065" s="73"/>
      <c r="K1065" s="73"/>
      <c r="L1065" s="73"/>
      <c r="M1065" s="73"/>
      <c r="N1065" s="73"/>
      <c r="O1065" s="73"/>
      <c r="P1065" s="73"/>
      <c r="Q1065" s="73"/>
      <c r="R1065" s="73"/>
      <c r="S1065" s="73"/>
      <c r="T1065" s="73"/>
      <c r="U1065" s="73"/>
      <c r="V1065" s="73"/>
      <c r="W1065" s="73"/>
      <c r="GL1065" s="73"/>
      <c r="GM1065" s="73"/>
      <c r="GN1065" s="73"/>
      <c r="GO1065" s="73"/>
      <c r="GP1065" s="73"/>
      <c r="GQ1065" s="73"/>
      <c r="GR1065" s="73"/>
      <c r="GS1065" s="73"/>
      <c r="GT1065" s="73"/>
      <c r="GU1065" s="73"/>
      <c r="GV1065" s="73"/>
      <c r="GW1065" s="73"/>
      <c r="GX1065" s="73"/>
      <c r="GY1065" s="73"/>
      <c r="GZ1065" s="73"/>
      <c r="HA1065" s="73"/>
      <c r="HB1065" s="73"/>
      <c r="HC1065" s="73"/>
      <c r="HD1065" s="73"/>
      <c r="HE1065" s="73"/>
      <c r="HF1065" s="73"/>
      <c r="HG1065" s="73"/>
      <c r="HH1065" s="73"/>
      <c r="HI1065" s="73"/>
      <c r="HJ1065" s="73"/>
      <c r="HK1065" s="73"/>
      <c r="HL1065" s="73"/>
      <c r="HM1065" s="73"/>
      <c r="HN1065" s="73"/>
      <c r="HO1065" s="73"/>
      <c r="HP1065" s="73"/>
      <c r="HQ1065" s="73"/>
      <c r="HR1065" s="73"/>
      <c r="HS1065" s="73"/>
      <c r="HT1065" s="73"/>
      <c r="HU1065" s="73"/>
      <c r="HV1065" s="73"/>
      <c r="HW1065" s="73"/>
      <c r="HX1065" s="73"/>
      <c r="HY1065" s="73"/>
      <c r="HZ1065" s="73"/>
      <c r="IA1065" s="73"/>
      <c r="IB1065" s="73"/>
      <c r="IC1065" s="73"/>
      <c r="ID1065" s="73"/>
      <c r="IE1065" s="73"/>
      <c r="IF1065" s="73"/>
      <c r="IG1065" s="73"/>
      <c r="IH1065" s="73"/>
      <c r="II1065" s="73"/>
      <c r="IJ1065" s="73"/>
      <c r="IK1065" s="73"/>
      <c r="IL1065" s="73"/>
      <c r="IM1065" s="73"/>
      <c r="IN1065" s="73"/>
      <c r="IO1065" s="73"/>
      <c r="IP1065" s="73"/>
      <c r="IQ1065" s="73"/>
      <c r="IR1065" s="73"/>
      <c r="IS1065" s="73"/>
      <c r="IT1065" s="73"/>
      <c r="IU1065" s="73"/>
      <c r="IV1065" s="73"/>
      <c r="IW1065" s="73"/>
      <c r="IX1065" s="73"/>
      <c r="IY1065" s="73"/>
      <c r="IZ1065" s="73"/>
      <c r="JA1065" s="73"/>
      <c r="JB1065" s="73"/>
      <c r="JC1065" s="73"/>
    </row>
    <row r="1066" spans="2:263" s="72" customFormat="1">
      <c r="B1066" s="73"/>
      <c r="C1066" s="73"/>
      <c r="D1066" s="73"/>
      <c r="E1066" s="73"/>
      <c r="F1066" s="73"/>
      <c r="G1066" s="73"/>
      <c r="H1066" s="73"/>
      <c r="I1066" s="73"/>
      <c r="J1066" s="73"/>
      <c r="K1066" s="73"/>
      <c r="L1066" s="73"/>
      <c r="M1066" s="73"/>
      <c r="N1066" s="73"/>
      <c r="O1066" s="73"/>
      <c r="P1066" s="73"/>
      <c r="Q1066" s="73"/>
      <c r="R1066" s="73"/>
      <c r="S1066" s="73"/>
      <c r="T1066" s="73"/>
      <c r="U1066" s="73"/>
      <c r="V1066" s="73"/>
      <c r="W1066" s="73"/>
      <c r="GL1066" s="73"/>
      <c r="GM1066" s="73"/>
      <c r="GN1066" s="73"/>
      <c r="GO1066" s="73"/>
      <c r="GP1066" s="73"/>
      <c r="GQ1066" s="73"/>
      <c r="GR1066" s="73"/>
      <c r="GS1066" s="73"/>
      <c r="GT1066" s="73"/>
      <c r="GU1066" s="73"/>
      <c r="GV1066" s="73"/>
      <c r="GW1066" s="73"/>
      <c r="GX1066" s="73"/>
      <c r="GY1066" s="73"/>
      <c r="GZ1066" s="73"/>
      <c r="HA1066" s="73"/>
      <c r="HB1066" s="73"/>
      <c r="HC1066" s="73"/>
      <c r="HD1066" s="73"/>
      <c r="HE1066" s="73"/>
      <c r="HF1066" s="73"/>
      <c r="HG1066" s="73"/>
      <c r="HH1066" s="73"/>
      <c r="HI1066" s="73"/>
      <c r="HJ1066" s="73"/>
      <c r="HK1066" s="73"/>
      <c r="HL1066" s="73"/>
      <c r="HM1066" s="73"/>
      <c r="HN1066" s="73"/>
      <c r="HO1066" s="73"/>
      <c r="HP1066" s="73"/>
      <c r="HQ1066" s="73"/>
      <c r="HR1066" s="73"/>
      <c r="HS1066" s="73"/>
      <c r="HT1066" s="73"/>
      <c r="HU1066" s="73"/>
      <c r="HV1066" s="73"/>
      <c r="HW1066" s="73"/>
      <c r="HX1066" s="73"/>
      <c r="HY1066" s="73"/>
      <c r="HZ1066" s="73"/>
      <c r="IA1066" s="73"/>
      <c r="IB1066" s="73"/>
      <c r="IC1066" s="73"/>
      <c r="ID1066" s="73"/>
      <c r="IE1066" s="73"/>
      <c r="IF1066" s="73"/>
      <c r="IG1066" s="73"/>
      <c r="IH1066" s="73"/>
      <c r="II1066" s="73"/>
      <c r="IJ1066" s="73"/>
      <c r="IK1066" s="73"/>
      <c r="IL1066" s="73"/>
      <c r="IM1066" s="73"/>
      <c r="IN1066" s="73"/>
      <c r="IO1066" s="73"/>
      <c r="IP1066" s="73"/>
      <c r="IQ1066" s="73"/>
      <c r="IR1066" s="73"/>
      <c r="IS1066" s="73"/>
      <c r="IT1066" s="73"/>
      <c r="IU1066" s="73"/>
      <c r="IV1066" s="73"/>
      <c r="IW1066" s="73"/>
      <c r="IX1066" s="73"/>
      <c r="IY1066" s="73"/>
      <c r="IZ1066" s="73"/>
      <c r="JA1066" s="73"/>
      <c r="JB1066" s="73"/>
      <c r="JC1066" s="73"/>
    </row>
    <row r="1067" spans="2:263" s="72" customFormat="1">
      <c r="B1067" s="73"/>
      <c r="C1067" s="73"/>
      <c r="D1067" s="73"/>
      <c r="E1067" s="73"/>
      <c r="F1067" s="73"/>
      <c r="G1067" s="73"/>
      <c r="H1067" s="73"/>
      <c r="I1067" s="73"/>
      <c r="J1067" s="73"/>
      <c r="K1067" s="73"/>
      <c r="L1067" s="73"/>
      <c r="M1067" s="73"/>
      <c r="N1067" s="73"/>
      <c r="O1067" s="73"/>
      <c r="P1067" s="73"/>
      <c r="Q1067" s="73"/>
      <c r="R1067" s="73"/>
      <c r="S1067" s="73"/>
      <c r="T1067" s="73"/>
      <c r="U1067" s="73"/>
      <c r="V1067" s="73"/>
      <c r="W1067" s="73"/>
      <c r="GL1067" s="73"/>
      <c r="GM1067" s="73"/>
      <c r="GN1067" s="73"/>
      <c r="GO1067" s="73"/>
      <c r="GP1067" s="73"/>
      <c r="GQ1067" s="73"/>
      <c r="GR1067" s="73"/>
      <c r="GS1067" s="73"/>
      <c r="GT1067" s="73"/>
      <c r="GU1067" s="73"/>
      <c r="GV1067" s="73"/>
      <c r="GW1067" s="73"/>
      <c r="GX1067" s="73"/>
      <c r="GY1067" s="73"/>
      <c r="GZ1067" s="73"/>
      <c r="HA1067" s="73"/>
      <c r="HB1067" s="73"/>
      <c r="HC1067" s="73"/>
      <c r="HD1067" s="73"/>
      <c r="HE1067" s="73"/>
      <c r="HF1067" s="73"/>
      <c r="HG1067" s="73"/>
      <c r="HH1067" s="73"/>
      <c r="HI1067" s="73"/>
      <c r="HJ1067" s="73"/>
      <c r="HK1067" s="73"/>
      <c r="HL1067" s="73"/>
      <c r="HM1067" s="73"/>
      <c r="HN1067" s="73"/>
      <c r="HO1067" s="73"/>
      <c r="HP1067" s="73"/>
      <c r="HQ1067" s="73"/>
      <c r="HR1067" s="73"/>
      <c r="HS1067" s="73"/>
      <c r="HT1067" s="73"/>
      <c r="HU1067" s="73"/>
      <c r="HV1067" s="73"/>
      <c r="HW1067" s="73"/>
      <c r="HX1067" s="73"/>
      <c r="HY1067" s="73"/>
      <c r="HZ1067" s="73"/>
      <c r="IA1067" s="73"/>
      <c r="IB1067" s="73"/>
      <c r="IC1067" s="73"/>
      <c r="ID1067" s="73"/>
      <c r="IE1067" s="73"/>
      <c r="IF1067" s="73"/>
      <c r="IG1067" s="73"/>
      <c r="IH1067" s="73"/>
      <c r="II1067" s="73"/>
      <c r="IJ1067" s="73"/>
      <c r="IK1067" s="73"/>
      <c r="IL1067" s="73"/>
      <c r="IM1067" s="73"/>
      <c r="IN1067" s="73"/>
      <c r="IO1067" s="73"/>
      <c r="IP1067" s="73"/>
      <c r="IQ1067" s="73"/>
      <c r="IR1067" s="73"/>
      <c r="IS1067" s="73"/>
      <c r="IT1067" s="73"/>
      <c r="IU1067" s="73"/>
      <c r="IV1067" s="73"/>
      <c r="IW1067" s="73"/>
      <c r="IX1067" s="73"/>
      <c r="IY1067" s="73"/>
      <c r="IZ1067" s="73"/>
      <c r="JA1067" s="73"/>
      <c r="JB1067" s="73"/>
      <c r="JC1067" s="73"/>
    </row>
    <row r="1068" spans="2:263" s="72" customFormat="1">
      <c r="B1068" s="73"/>
      <c r="C1068" s="73"/>
      <c r="D1068" s="73"/>
      <c r="E1068" s="73"/>
      <c r="F1068" s="73"/>
      <c r="G1068" s="73"/>
      <c r="H1068" s="73"/>
      <c r="I1068" s="73"/>
      <c r="J1068" s="73"/>
      <c r="K1068" s="73"/>
      <c r="L1068" s="73"/>
      <c r="M1068" s="73"/>
      <c r="N1068" s="73"/>
      <c r="O1068" s="73"/>
      <c r="P1068" s="73"/>
      <c r="Q1068" s="73"/>
      <c r="R1068" s="73"/>
      <c r="S1068" s="73"/>
      <c r="T1068" s="73"/>
      <c r="U1068" s="73"/>
      <c r="V1068" s="73"/>
      <c r="W1068" s="73"/>
      <c r="GL1068" s="73"/>
      <c r="GM1068" s="73"/>
      <c r="GN1068" s="73"/>
      <c r="GO1068" s="73"/>
      <c r="GP1068" s="73"/>
      <c r="GQ1068" s="73"/>
      <c r="GR1068" s="73"/>
      <c r="GS1068" s="73"/>
      <c r="GT1068" s="73"/>
      <c r="GU1068" s="73"/>
      <c r="GV1068" s="73"/>
      <c r="GW1068" s="73"/>
      <c r="GX1068" s="73"/>
      <c r="GY1068" s="73"/>
      <c r="GZ1068" s="73"/>
      <c r="HA1068" s="73"/>
      <c r="HB1068" s="73"/>
      <c r="HC1068" s="73"/>
      <c r="HD1068" s="73"/>
      <c r="HE1068" s="73"/>
      <c r="HF1068" s="73"/>
      <c r="HG1068" s="73"/>
      <c r="HH1068" s="73"/>
      <c r="HI1068" s="73"/>
      <c r="HJ1068" s="73"/>
      <c r="HK1068" s="73"/>
      <c r="HL1068" s="73"/>
      <c r="HM1068" s="73"/>
      <c r="HN1068" s="73"/>
      <c r="HO1068" s="73"/>
      <c r="HP1068" s="73"/>
      <c r="HQ1068" s="73"/>
      <c r="HR1068" s="73"/>
      <c r="HS1068" s="73"/>
      <c r="HT1068" s="73"/>
      <c r="HU1068" s="73"/>
      <c r="HV1068" s="73"/>
      <c r="HW1068" s="73"/>
      <c r="HX1068" s="73"/>
      <c r="HY1068" s="73"/>
      <c r="HZ1068" s="73"/>
      <c r="IA1068" s="73"/>
      <c r="IB1068" s="73"/>
      <c r="IC1068" s="73"/>
      <c r="ID1068" s="73"/>
      <c r="IE1068" s="73"/>
      <c r="IF1068" s="73"/>
      <c r="IG1068" s="73"/>
      <c r="IH1068" s="73"/>
      <c r="II1068" s="73"/>
      <c r="IJ1068" s="73"/>
      <c r="IK1068" s="73"/>
      <c r="IL1068" s="73"/>
      <c r="IM1068" s="73"/>
      <c r="IN1068" s="73"/>
      <c r="IO1068" s="73"/>
      <c r="IP1068" s="73"/>
      <c r="IQ1068" s="73"/>
      <c r="IR1068" s="73"/>
      <c r="IS1068" s="73"/>
      <c r="IT1068" s="73"/>
      <c r="IU1068" s="73"/>
      <c r="IV1068" s="73"/>
      <c r="IW1068" s="73"/>
      <c r="IX1068" s="73"/>
      <c r="IY1068" s="73"/>
      <c r="IZ1068" s="73"/>
      <c r="JA1068" s="73"/>
      <c r="JB1068" s="73"/>
      <c r="JC1068" s="73"/>
    </row>
    <row r="1069" spans="2:263" s="72" customFormat="1">
      <c r="B1069" s="73"/>
      <c r="C1069" s="73"/>
      <c r="D1069" s="73"/>
      <c r="E1069" s="73"/>
      <c r="F1069" s="73"/>
      <c r="G1069" s="73"/>
      <c r="H1069" s="73"/>
      <c r="I1069" s="73"/>
      <c r="J1069" s="73"/>
      <c r="K1069" s="73"/>
      <c r="L1069" s="73"/>
      <c r="M1069" s="73"/>
      <c r="N1069" s="73"/>
      <c r="O1069" s="73"/>
      <c r="P1069" s="73"/>
      <c r="Q1069" s="73"/>
      <c r="R1069" s="73"/>
      <c r="S1069" s="73"/>
      <c r="T1069" s="73"/>
      <c r="U1069" s="73"/>
      <c r="V1069" s="73"/>
      <c r="W1069" s="73"/>
      <c r="GL1069" s="73"/>
      <c r="GM1069" s="73"/>
      <c r="GN1069" s="73"/>
      <c r="GO1069" s="73"/>
      <c r="GP1069" s="73"/>
      <c r="GQ1069" s="73"/>
      <c r="GR1069" s="73"/>
      <c r="GS1069" s="73"/>
      <c r="GT1069" s="73"/>
      <c r="GU1069" s="73"/>
      <c r="GV1069" s="73"/>
      <c r="GW1069" s="73"/>
      <c r="GX1069" s="73"/>
      <c r="GY1069" s="73"/>
      <c r="GZ1069" s="73"/>
      <c r="HA1069" s="73"/>
      <c r="HB1069" s="73"/>
      <c r="HC1069" s="73"/>
      <c r="HD1069" s="73"/>
      <c r="HE1069" s="73"/>
      <c r="HF1069" s="73"/>
      <c r="HG1069" s="73"/>
      <c r="HH1069" s="73"/>
      <c r="HI1069" s="73"/>
      <c r="HJ1069" s="73"/>
      <c r="HK1069" s="73"/>
      <c r="HL1069" s="73"/>
      <c r="HM1069" s="73"/>
      <c r="HN1069" s="73"/>
      <c r="HO1069" s="73"/>
      <c r="HP1069" s="73"/>
      <c r="HQ1069" s="73"/>
      <c r="HR1069" s="73"/>
      <c r="HS1069" s="73"/>
      <c r="HT1069" s="73"/>
      <c r="HU1069" s="73"/>
      <c r="HV1069" s="73"/>
      <c r="HW1069" s="73"/>
      <c r="HX1069" s="73"/>
      <c r="HY1069" s="73"/>
      <c r="HZ1069" s="73"/>
      <c r="IA1069" s="73"/>
      <c r="IB1069" s="73"/>
      <c r="IC1069" s="73"/>
      <c r="ID1069" s="73"/>
      <c r="IE1069" s="73"/>
      <c r="IF1069" s="73"/>
      <c r="IG1069" s="73"/>
      <c r="IH1069" s="73"/>
      <c r="II1069" s="73"/>
      <c r="IJ1069" s="73"/>
      <c r="IK1069" s="73"/>
      <c r="IL1069" s="73"/>
      <c r="IM1069" s="73"/>
      <c r="IN1069" s="73"/>
      <c r="IO1069" s="73"/>
      <c r="IP1069" s="73"/>
      <c r="IQ1069" s="73"/>
      <c r="IR1069" s="73"/>
      <c r="IS1069" s="73"/>
      <c r="IT1069" s="73"/>
      <c r="IU1069" s="73"/>
      <c r="IV1069" s="73"/>
      <c r="IW1069" s="73"/>
      <c r="IX1069" s="73"/>
      <c r="IY1069" s="73"/>
      <c r="IZ1069" s="73"/>
      <c r="JA1069" s="73"/>
      <c r="JB1069" s="73"/>
      <c r="JC1069" s="73"/>
    </row>
    <row r="1070" spans="2:263" s="72" customFormat="1">
      <c r="B1070" s="73"/>
      <c r="C1070" s="73"/>
      <c r="D1070" s="73"/>
      <c r="E1070" s="73"/>
      <c r="F1070" s="73"/>
      <c r="G1070" s="73"/>
      <c r="H1070" s="73"/>
      <c r="I1070" s="73"/>
      <c r="J1070" s="73"/>
      <c r="K1070" s="73"/>
      <c r="L1070" s="73"/>
      <c r="M1070" s="73"/>
      <c r="N1070" s="73"/>
      <c r="O1070" s="73"/>
      <c r="P1070" s="73"/>
      <c r="Q1070" s="73"/>
      <c r="R1070" s="73"/>
      <c r="S1070" s="73"/>
      <c r="T1070" s="73"/>
      <c r="U1070" s="73"/>
      <c r="V1070" s="73"/>
      <c r="W1070" s="73"/>
      <c r="GL1070" s="73"/>
      <c r="GM1070" s="73"/>
      <c r="GN1070" s="73"/>
      <c r="GO1070" s="73"/>
      <c r="GP1070" s="73"/>
      <c r="GQ1070" s="73"/>
      <c r="GR1070" s="73"/>
      <c r="GS1070" s="73"/>
      <c r="GT1070" s="73"/>
      <c r="GU1070" s="73"/>
      <c r="GV1070" s="73"/>
      <c r="GW1070" s="73"/>
      <c r="GX1070" s="73"/>
      <c r="GY1070" s="73"/>
      <c r="GZ1070" s="73"/>
      <c r="HA1070" s="73"/>
      <c r="HB1070" s="73"/>
      <c r="HC1070" s="73"/>
      <c r="HD1070" s="73"/>
      <c r="HE1070" s="73"/>
      <c r="HF1070" s="73"/>
      <c r="HG1070" s="73"/>
      <c r="HH1070" s="73"/>
      <c r="HI1070" s="73"/>
      <c r="HJ1070" s="73"/>
      <c r="HK1070" s="73"/>
      <c r="HL1070" s="73"/>
      <c r="HM1070" s="73"/>
      <c r="HN1070" s="73"/>
      <c r="HO1070" s="73"/>
      <c r="HP1070" s="73"/>
      <c r="HQ1070" s="73"/>
      <c r="HR1070" s="73"/>
      <c r="HS1070" s="73"/>
      <c r="HT1070" s="73"/>
      <c r="HU1070" s="73"/>
      <c r="HV1070" s="73"/>
      <c r="HW1070" s="73"/>
      <c r="HX1070" s="73"/>
      <c r="HY1070" s="73"/>
      <c r="HZ1070" s="73"/>
      <c r="IA1070" s="73"/>
      <c r="IB1070" s="73"/>
      <c r="IC1070" s="73"/>
      <c r="ID1070" s="73"/>
      <c r="IE1070" s="73"/>
      <c r="IF1070" s="73"/>
      <c r="IG1070" s="73"/>
      <c r="IH1070" s="73"/>
      <c r="II1070" s="73"/>
      <c r="IJ1070" s="73"/>
      <c r="IK1070" s="73"/>
      <c r="IL1070" s="73"/>
      <c r="IM1070" s="73"/>
      <c r="IN1070" s="73"/>
      <c r="IO1070" s="73"/>
      <c r="IP1070" s="73"/>
      <c r="IQ1070" s="73"/>
      <c r="IR1070" s="73"/>
      <c r="IS1070" s="73"/>
      <c r="IT1070" s="73"/>
      <c r="IU1070" s="73"/>
      <c r="IV1070" s="73"/>
      <c r="IW1070" s="73"/>
      <c r="IX1070" s="73"/>
      <c r="IY1070" s="73"/>
      <c r="IZ1070" s="73"/>
      <c r="JA1070" s="73"/>
      <c r="JB1070" s="73"/>
      <c r="JC1070" s="73"/>
    </row>
    <row r="1071" spans="2:263" s="72" customFormat="1">
      <c r="B1071" s="73"/>
      <c r="C1071" s="73"/>
      <c r="D1071" s="73"/>
      <c r="E1071" s="73"/>
      <c r="F1071" s="73"/>
      <c r="G1071" s="73"/>
      <c r="H1071" s="73"/>
      <c r="I1071" s="73"/>
      <c r="J1071" s="73"/>
      <c r="K1071" s="73"/>
      <c r="L1071" s="73"/>
      <c r="M1071" s="73"/>
      <c r="N1071" s="73"/>
      <c r="O1071" s="73"/>
      <c r="P1071" s="73"/>
      <c r="Q1071" s="73"/>
      <c r="R1071" s="73"/>
      <c r="S1071" s="73"/>
      <c r="T1071" s="73"/>
      <c r="U1071" s="73"/>
      <c r="V1071" s="73"/>
      <c r="W1071" s="73"/>
      <c r="GL1071" s="73"/>
      <c r="GM1071" s="73"/>
      <c r="GN1071" s="73"/>
      <c r="GO1071" s="73"/>
      <c r="GP1071" s="73"/>
      <c r="GQ1071" s="73"/>
      <c r="GR1071" s="73"/>
      <c r="GS1071" s="73"/>
      <c r="GT1071" s="73"/>
      <c r="GU1071" s="73"/>
      <c r="GV1071" s="73"/>
      <c r="GW1071" s="73"/>
      <c r="GX1071" s="73"/>
      <c r="GY1071" s="73"/>
      <c r="GZ1071" s="73"/>
      <c r="HA1071" s="73"/>
      <c r="HB1071" s="73"/>
      <c r="HC1071" s="73"/>
      <c r="HD1071" s="73"/>
      <c r="HE1071" s="73"/>
      <c r="HF1071" s="73"/>
      <c r="HG1071" s="73"/>
      <c r="HH1071" s="73"/>
      <c r="HI1071" s="73"/>
      <c r="HJ1071" s="73"/>
      <c r="HK1071" s="73"/>
      <c r="HL1071" s="73"/>
      <c r="HM1071" s="73"/>
      <c r="HN1071" s="73"/>
      <c r="HO1071" s="73"/>
      <c r="HP1071" s="73"/>
      <c r="HQ1071" s="73"/>
      <c r="HR1071" s="73"/>
      <c r="HS1071" s="73"/>
      <c r="HT1071" s="73"/>
      <c r="HU1071" s="73"/>
      <c r="HV1071" s="73"/>
      <c r="HW1071" s="73"/>
      <c r="HX1071" s="73"/>
      <c r="HY1071" s="73"/>
      <c r="HZ1071" s="73"/>
      <c r="IA1071" s="73"/>
      <c r="IB1071" s="73"/>
      <c r="IC1071" s="73"/>
      <c r="ID1071" s="73"/>
      <c r="IE1071" s="73"/>
      <c r="IF1071" s="73"/>
      <c r="IG1071" s="73"/>
      <c r="IH1071" s="73"/>
      <c r="II1071" s="73"/>
      <c r="IJ1071" s="73"/>
      <c r="IK1071" s="73"/>
      <c r="IL1071" s="73"/>
      <c r="IM1071" s="73"/>
      <c r="IN1071" s="73"/>
      <c r="IO1071" s="73"/>
      <c r="IP1071" s="73"/>
      <c r="IQ1071" s="73"/>
      <c r="IR1071" s="73"/>
      <c r="IS1071" s="73"/>
      <c r="IT1071" s="73"/>
      <c r="IU1071" s="73"/>
      <c r="IV1071" s="73"/>
      <c r="IW1071" s="73"/>
      <c r="IX1071" s="73"/>
      <c r="IY1071" s="73"/>
      <c r="IZ1071" s="73"/>
      <c r="JA1071" s="73"/>
      <c r="JB1071" s="73"/>
      <c r="JC1071" s="73"/>
    </row>
    <row r="1072" spans="2:263" s="72" customFormat="1">
      <c r="B1072" s="73"/>
      <c r="C1072" s="73"/>
      <c r="D1072" s="73"/>
      <c r="E1072" s="73"/>
      <c r="F1072" s="73"/>
      <c r="G1072" s="73"/>
      <c r="H1072" s="73"/>
      <c r="I1072" s="73"/>
      <c r="J1072" s="73"/>
      <c r="K1072" s="73"/>
      <c r="L1072" s="73"/>
      <c r="M1072" s="73"/>
      <c r="N1072" s="73"/>
      <c r="O1072" s="73"/>
      <c r="P1072" s="73"/>
      <c r="Q1072" s="73"/>
      <c r="R1072" s="73"/>
      <c r="S1072" s="73"/>
      <c r="T1072" s="73"/>
      <c r="U1072" s="73"/>
      <c r="V1072" s="73"/>
      <c r="W1072" s="73"/>
      <c r="GL1072" s="73"/>
      <c r="GM1072" s="73"/>
      <c r="GN1072" s="73"/>
      <c r="GO1072" s="73"/>
      <c r="GP1072" s="73"/>
      <c r="GQ1072" s="73"/>
      <c r="GR1072" s="73"/>
      <c r="GS1072" s="73"/>
      <c r="GT1072" s="73"/>
      <c r="GU1072" s="73"/>
      <c r="GV1072" s="73"/>
      <c r="GW1072" s="73"/>
      <c r="GX1072" s="73"/>
      <c r="GY1072" s="73"/>
      <c r="GZ1072" s="73"/>
      <c r="HA1072" s="73"/>
      <c r="HB1072" s="73"/>
      <c r="HC1072" s="73"/>
      <c r="HD1072" s="73"/>
      <c r="HE1072" s="73"/>
      <c r="HF1072" s="73"/>
      <c r="HG1072" s="73"/>
      <c r="HH1072" s="73"/>
      <c r="HI1072" s="73"/>
      <c r="HJ1072" s="73"/>
      <c r="HK1072" s="73"/>
      <c r="HL1072" s="73"/>
      <c r="HM1072" s="73"/>
      <c r="HN1072" s="73"/>
      <c r="HO1072" s="73"/>
      <c r="HP1072" s="73"/>
      <c r="HQ1072" s="73"/>
      <c r="HR1072" s="73"/>
      <c r="HS1072" s="73"/>
      <c r="HT1072" s="73"/>
      <c r="HU1072" s="73"/>
      <c r="HV1072" s="73"/>
      <c r="HW1072" s="73"/>
      <c r="HX1072" s="73"/>
      <c r="HY1072" s="73"/>
      <c r="HZ1072" s="73"/>
      <c r="IA1072" s="73"/>
      <c r="IB1072" s="73"/>
      <c r="IC1072" s="73"/>
      <c r="ID1072" s="73"/>
      <c r="IE1072" s="73"/>
      <c r="IF1072" s="73"/>
      <c r="IG1072" s="73"/>
      <c r="IH1072" s="73"/>
      <c r="II1072" s="73"/>
      <c r="IJ1072" s="73"/>
      <c r="IK1072" s="73"/>
      <c r="IL1072" s="73"/>
      <c r="IM1072" s="73"/>
      <c r="IN1072" s="73"/>
      <c r="IO1072" s="73"/>
      <c r="IP1072" s="73"/>
      <c r="IQ1072" s="73"/>
      <c r="IR1072" s="73"/>
      <c r="IS1072" s="73"/>
      <c r="IT1072" s="73"/>
      <c r="IU1072" s="73"/>
      <c r="IV1072" s="73"/>
      <c r="IW1072" s="73"/>
      <c r="IX1072" s="73"/>
      <c r="IY1072" s="73"/>
      <c r="IZ1072" s="73"/>
      <c r="JA1072" s="73"/>
      <c r="JB1072" s="73"/>
      <c r="JC1072" s="73"/>
    </row>
    <row r="1073" spans="2:263" s="72" customFormat="1">
      <c r="B1073" s="73"/>
      <c r="C1073" s="73"/>
      <c r="D1073" s="73"/>
      <c r="E1073" s="73"/>
      <c r="F1073" s="73"/>
      <c r="G1073" s="73"/>
      <c r="H1073" s="73"/>
      <c r="I1073" s="73"/>
      <c r="J1073" s="73"/>
      <c r="K1073" s="73"/>
      <c r="L1073" s="73"/>
      <c r="M1073" s="73"/>
      <c r="N1073" s="73"/>
      <c r="O1073" s="73"/>
      <c r="P1073" s="73"/>
      <c r="Q1073" s="73"/>
      <c r="R1073" s="73"/>
      <c r="S1073" s="73"/>
      <c r="T1073" s="73"/>
      <c r="U1073" s="73"/>
      <c r="V1073" s="73"/>
      <c r="W1073" s="73"/>
      <c r="GL1073" s="73"/>
      <c r="GM1073" s="73"/>
      <c r="GN1073" s="73"/>
      <c r="GO1073" s="73"/>
      <c r="GP1073" s="73"/>
      <c r="GQ1073" s="73"/>
      <c r="GR1073" s="73"/>
      <c r="GS1073" s="73"/>
      <c r="GT1073" s="73"/>
      <c r="GU1073" s="73"/>
      <c r="GV1073" s="73"/>
      <c r="GW1073" s="73"/>
      <c r="GX1073" s="73"/>
      <c r="GY1073" s="73"/>
      <c r="GZ1073" s="73"/>
      <c r="HA1073" s="73"/>
      <c r="HB1073" s="73"/>
      <c r="HC1073" s="73"/>
      <c r="HD1073" s="73"/>
      <c r="HE1073" s="73"/>
      <c r="HF1073" s="73"/>
      <c r="HG1073" s="73"/>
      <c r="HH1073" s="73"/>
      <c r="HI1073" s="73"/>
      <c r="HJ1073" s="73"/>
      <c r="HK1073" s="73"/>
      <c r="HL1073" s="73"/>
      <c r="HM1073" s="73"/>
      <c r="HN1073" s="73"/>
      <c r="HO1073" s="73"/>
      <c r="HP1073" s="73"/>
      <c r="HQ1073" s="73"/>
      <c r="HR1073" s="73"/>
      <c r="HS1073" s="73"/>
      <c r="HT1073" s="73"/>
      <c r="HU1073" s="73"/>
      <c r="HV1073" s="73"/>
      <c r="HW1073" s="73"/>
      <c r="HX1073" s="73"/>
      <c r="HY1073" s="73"/>
      <c r="HZ1073" s="73"/>
      <c r="IA1073" s="73"/>
      <c r="IB1073" s="73"/>
      <c r="IC1073" s="73"/>
      <c r="ID1073" s="73"/>
      <c r="IE1073" s="73"/>
      <c r="IF1073" s="73"/>
      <c r="IG1073" s="73"/>
      <c r="IH1073" s="73"/>
      <c r="II1073" s="73"/>
      <c r="IJ1073" s="73"/>
      <c r="IK1073" s="73"/>
      <c r="IL1073" s="73"/>
      <c r="IM1073" s="73"/>
      <c r="IN1073" s="73"/>
      <c r="IO1073" s="73"/>
      <c r="IP1073" s="73"/>
      <c r="IQ1073" s="73"/>
      <c r="IR1073" s="73"/>
      <c r="IS1073" s="73"/>
      <c r="IT1073" s="73"/>
      <c r="IU1073" s="73"/>
      <c r="IV1073" s="73"/>
      <c r="IW1073" s="73"/>
      <c r="IX1073" s="73"/>
      <c r="IY1073" s="73"/>
      <c r="IZ1073" s="73"/>
      <c r="JA1073" s="73"/>
      <c r="JB1073" s="73"/>
      <c r="JC1073" s="73"/>
    </row>
    <row r="1074" spans="2:263" s="72" customFormat="1">
      <c r="B1074" s="73"/>
      <c r="C1074" s="73"/>
      <c r="D1074" s="73"/>
      <c r="E1074" s="73"/>
      <c r="F1074" s="73"/>
      <c r="G1074" s="73"/>
      <c r="H1074" s="73"/>
      <c r="I1074" s="73"/>
      <c r="J1074" s="73"/>
      <c r="K1074" s="73"/>
      <c r="L1074" s="73"/>
      <c r="M1074" s="73"/>
      <c r="N1074" s="73"/>
      <c r="O1074" s="73"/>
      <c r="P1074" s="73"/>
      <c r="Q1074" s="73"/>
      <c r="R1074" s="73"/>
      <c r="S1074" s="73"/>
      <c r="T1074" s="73"/>
      <c r="U1074" s="73"/>
      <c r="V1074" s="73"/>
      <c r="W1074" s="73"/>
      <c r="GL1074" s="73"/>
      <c r="GM1074" s="73"/>
      <c r="GN1074" s="73"/>
      <c r="GO1074" s="73"/>
      <c r="GP1074" s="73"/>
      <c r="GQ1074" s="73"/>
      <c r="GR1074" s="73"/>
      <c r="GS1074" s="73"/>
      <c r="GT1074" s="73"/>
      <c r="GU1074" s="73"/>
      <c r="GV1074" s="73"/>
      <c r="GW1074" s="73"/>
      <c r="GX1074" s="73"/>
      <c r="GY1074" s="73"/>
      <c r="GZ1074" s="73"/>
      <c r="HA1074" s="73"/>
      <c r="HB1074" s="73"/>
      <c r="HC1074" s="73"/>
      <c r="HD1074" s="73"/>
      <c r="HE1074" s="73"/>
      <c r="HF1074" s="73"/>
      <c r="HG1074" s="73"/>
      <c r="HH1074" s="73"/>
      <c r="HI1074" s="73"/>
      <c r="HJ1074" s="73"/>
      <c r="HK1074" s="73"/>
      <c r="HL1074" s="73"/>
      <c r="HM1074" s="73"/>
      <c r="HN1074" s="73"/>
      <c r="HO1074" s="73"/>
      <c r="HP1074" s="73"/>
      <c r="HQ1074" s="73"/>
      <c r="HR1074" s="73"/>
      <c r="HS1074" s="73"/>
      <c r="HT1074" s="73"/>
      <c r="HU1074" s="73"/>
      <c r="HV1074" s="73"/>
      <c r="HW1074" s="73"/>
      <c r="HX1074" s="73"/>
      <c r="HY1074" s="73"/>
      <c r="HZ1074" s="73"/>
      <c r="IA1074" s="73"/>
      <c r="IB1074" s="73"/>
      <c r="IC1074" s="73"/>
      <c r="ID1074" s="73"/>
      <c r="IE1074" s="73"/>
      <c r="IF1074" s="73"/>
      <c r="IG1074" s="73"/>
      <c r="IH1074" s="73"/>
      <c r="II1074" s="73"/>
      <c r="IJ1074" s="73"/>
      <c r="IK1074" s="73"/>
      <c r="IL1074" s="73"/>
      <c r="IM1074" s="73"/>
      <c r="IN1074" s="73"/>
      <c r="IO1074" s="73"/>
      <c r="IP1074" s="73"/>
      <c r="IQ1074" s="73"/>
      <c r="IR1074" s="73"/>
      <c r="IS1074" s="73"/>
      <c r="IT1074" s="73"/>
      <c r="IU1074" s="73"/>
      <c r="IV1074" s="73"/>
      <c r="IW1074" s="73"/>
      <c r="IX1074" s="73"/>
      <c r="IY1074" s="73"/>
      <c r="IZ1074" s="73"/>
      <c r="JA1074" s="73"/>
      <c r="JB1074" s="73"/>
      <c r="JC1074" s="73"/>
    </row>
    <row r="1075" spans="2:263" s="72" customFormat="1">
      <c r="B1075" s="73"/>
      <c r="C1075" s="73"/>
      <c r="D1075" s="73"/>
      <c r="E1075" s="73"/>
      <c r="F1075" s="73"/>
      <c r="G1075" s="73"/>
      <c r="H1075" s="73"/>
      <c r="I1075" s="73"/>
      <c r="J1075" s="73"/>
      <c r="K1075" s="73"/>
      <c r="L1075" s="73"/>
      <c r="M1075" s="73"/>
      <c r="N1075" s="73"/>
      <c r="O1075" s="73"/>
      <c r="P1075" s="73"/>
      <c r="Q1075" s="73"/>
      <c r="R1075" s="73"/>
      <c r="S1075" s="73"/>
      <c r="T1075" s="73"/>
      <c r="U1075" s="73"/>
      <c r="V1075" s="73"/>
      <c r="W1075" s="73"/>
      <c r="GL1075" s="73"/>
      <c r="GM1075" s="73"/>
      <c r="GN1075" s="73"/>
      <c r="GO1075" s="73"/>
      <c r="GP1075" s="73"/>
      <c r="GQ1075" s="73"/>
      <c r="GR1075" s="73"/>
      <c r="GS1075" s="73"/>
      <c r="GT1075" s="73"/>
      <c r="GU1075" s="73"/>
      <c r="GV1075" s="73"/>
      <c r="GW1075" s="73"/>
      <c r="GX1075" s="73"/>
      <c r="GY1075" s="73"/>
      <c r="GZ1075" s="73"/>
      <c r="HA1075" s="73"/>
      <c r="HB1075" s="73"/>
      <c r="HC1075" s="73"/>
      <c r="HD1075" s="73"/>
      <c r="HE1075" s="73"/>
      <c r="HF1075" s="73"/>
      <c r="HG1075" s="73"/>
      <c r="HH1075" s="73"/>
      <c r="HI1075" s="73"/>
      <c r="HJ1075" s="73"/>
      <c r="HK1075" s="73"/>
      <c r="HL1075" s="73"/>
      <c r="HM1075" s="73"/>
      <c r="HN1075" s="73"/>
      <c r="HO1075" s="73"/>
      <c r="HP1075" s="73"/>
      <c r="HQ1075" s="73"/>
      <c r="HR1075" s="73"/>
      <c r="HS1075" s="73"/>
      <c r="HT1075" s="73"/>
      <c r="HU1075" s="73"/>
      <c r="HV1075" s="73"/>
      <c r="HW1075" s="73"/>
      <c r="HX1075" s="73"/>
      <c r="HY1075" s="73"/>
      <c r="HZ1075" s="73"/>
      <c r="IA1075" s="73"/>
      <c r="IB1075" s="73"/>
      <c r="IC1075" s="73"/>
      <c r="ID1075" s="73"/>
      <c r="IE1075" s="73"/>
      <c r="IF1075" s="73"/>
      <c r="IG1075" s="73"/>
      <c r="IH1075" s="73"/>
      <c r="II1075" s="73"/>
      <c r="IJ1075" s="73"/>
      <c r="IK1075" s="73"/>
      <c r="IL1075" s="73"/>
      <c r="IM1075" s="73"/>
      <c r="IN1075" s="73"/>
      <c r="IO1075" s="73"/>
      <c r="IP1075" s="73"/>
      <c r="IQ1075" s="73"/>
      <c r="IR1075" s="73"/>
      <c r="IS1075" s="73"/>
      <c r="IT1075" s="73"/>
      <c r="IU1075" s="73"/>
      <c r="IV1075" s="73"/>
      <c r="IW1075" s="73"/>
      <c r="IX1075" s="73"/>
      <c r="IY1075" s="73"/>
      <c r="IZ1075" s="73"/>
      <c r="JA1075" s="73"/>
      <c r="JB1075" s="73"/>
      <c r="JC1075" s="73"/>
    </row>
    <row r="1076" spans="2:263" s="72" customFormat="1">
      <c r="B1076" s="73"/>
      <c r="C1076" s="73"/>
      <c r="D1076" s="73"/>
      <c r="E1076" s="73"/>
      <c r="F1076" s="73"/>
      <c r="G1076" s="73"/>
      <c r="H1076" s="73"/>
      <c r="I1076" s="73"/>
      <c r="J1076" s="73"/>
      <c r="K1076" s="73"/>
      <c r="L1076" s="73"/>
      <c r="M1076" s="73"/>
      <c r="N1076" s="73"/>
      <c r="O1076" s="73"/>
      <c r="P1076" s="73"/>
      <c r="Q1076" s="73"/>
      <c r="R1076" s="73"/>
      <c r="S1076" s="73"/>
      <c r="T1076" s="73"/>
      <c r="U1076" s="73"/>
      <c r="V1076" s="73"/>
      <c r="W1076" s="73"/>
      <c r="GL1076" s="73"/>
      <c r="GM1076" s="73"/>
      <c r="GN1076" s="73"/>
      <c r="GO1076" s="73"/>
      <c r="GP1076" s="73"/>
      <c r="GQ1076" s="73"/>
      <c r="GR1076" s="73"/>
      <c r="GS1076" s="73"/>
      <c r="GT1076" s="73"/>
      <c r="GU1076" s="73"/>
      <c r="GV1076" s="73"/>
      <c r="GW1076" s="73"/>
      <c r="GX1076" s="73"/>
      <c r="GY1076" s="73"/>
      <c r="GZ1076" s="73"/>
      <c r="HA1076" s="73"/>
      <c r="HB1076" s="73"/>
      <c r="HC1076" s="73"/>
      <c r="HD1076" s="73"/>
      <c r="HE1076" s="73"/>
      <c r="HF1076" s="73"/>
      <c r="HG1076" s="73"/>
      <c r="HH1076" s="73"/>
      <c r="HI1076" s="73"/>
      <c r="HJ1076" s="73"/>
      <c r="HK1076" s="73"/>
      <c r="HL1076" s="73"/>
      <c r="HM1076" s="73"/>
      <c r="HN1076" s="73"/>
      <c r="HO1076" s="73"/>
      <c r="HP1076" s="73"/>
      <c r="HQ1076" s="73"/>
      <c r="HR1076" s="73"/>
      <c r="HS1076" s="73"/>
      <c r="HT1076" s="73"/>
      <c r="HU1076" s="73"/>
      <c r="HV1076" s="73"/>
      <c r="HW1076" s="73"/>
      <c r="HX1076" s="73"/>
      <c r="HY1076" s="73"/>
      <c r="HZ1076" s="73"/>
      <c r="IA1076" s="73"/>
      <c r="IB1076" s="73"/>
      <c r="IC1076" s="73"/>
      <c r="ID1076" s="73"/>
      <c r="IE1076" s="73"/>
      <c r="IF1076" s="73"/>
      <c r="IG1076" s="73"/>
      <c r="IH1076" s="73"/>
      <c r="II1076" s="73"/>
      <c r="IJ1076" s="73"/>
      <c r="IK1076" s="73"/>
      <c r="IL1076" s="73"/>
      <c r="IM1076" s="73"/>
      <c r="IN1076" s="73"/>
      <c r="IO1076" s="73"/>
      <c r="IP1076" s="73"/>
      <c r="IQ1076" s="73"/>
      <c r="IR1076" s="73"/>
      <c r="IS1076" s="73"/>
      <c r="IT1076" s="73"/>
      <c r="IU1076" s="73"/>
      <c r="IV1076" s="73"/>
      <c r="IW1076" s="73"/>
      <c r="IX1076" s="73"/>
      <c r="IY1076" s="73"/>
      <c r="IZ1076" s="73"/>
      <c r="JA1076" s="73"/>
      <c r="JB1076" s="73"/>
      <c r="JC1076" s="73"/>
    </row>
    <row r="1077" spans="2:263" s="72" customFormat="1">
      <c r="B1077" s="73"/>
      <c r="C1077" s="73"/>
      <c r="D1077" s="73"/>
      <c r="E1077" s="73"/>
      <c r="F1077" s="73"/>
      <c r="G1077" s="73"/>
      <c r="H1077" s="73"/>
      <c r="I1077" s="73"/>
      <c r="J1077" s="73"/>
      <c r="K1077" s="73"/>
      <c r="L1077" s="73"/>
      <c r="M1077" s="73"/>
      <c r="N1077" s="73"/>
      <c r="O1077" s="73"/>
      <c r="P1077" s="73"/>
      <c r="Q1077" s="73"/>
      <c r="R1077" s="73"/>
      <c r="S1077" s="73"/>
      <c r="T1077" s="73"/>
      <c r="U1077" s="73"/>
      <c r="V1077" s="73"/>
      <c r="W1077" s="73"/>
      <c r="GL1077" s="73"/>
      <c r="GM1077" s="73"/>
      <c r="GN1077" s="73"/>
      <c r="GO1077" s="73"/>
      <c r="GP1077" s="73"/>
      <c r="GQ1077" s="73"/>
      <c r="GR1077" s="73"/>
      <c r="GS1077" s="73"/>
      <c r="GT1077" s="73"/>
      <c r="GU1077" s="73"/>
      <c r="GV1077" s="73"/>
      <c r="GW1077" s="73"/>
      <c r="GX1077" s="73"/>
      <c r="GY1077" s="73"/>
      <c r="GZ1077" s="73"/>
      <c r="HA1077" s="73"/>
      <c r="HB1077" s="73"/>
      <c r="HC1077" s="73"/>
      <c r="HD1077" s="73"/>
      <c r="HE1077" s="73"/>
      <c r="HF1077" s="73"/>
      <c r="HG1077" s="73"/>
      <c r="HH1077" s="73"/>
      <c r="HI1077" s="73"/>
      <c r="HJ1077" s="73"/>
      <c r="HK1077" s="73"/>
      <c r="HL1077" s="73"/>
      <c r="HM1077" s="73"/>
      <c r="HN1077" s="73"/>
      <c r="HO1077" s="73"/>
      <c r="HP1077" s="73"/>
      <c r="HQ1077" s="73"/>
      <c r="HR1077" s="73"/>
      <c r="HS1077" s="73"/>
      <c r="HT1077" s="73"/>
      <c r="HU1077" s="73"/>
      <c r="HV1077" s="73"/>
      <c r="HW1077" s="73"/>
      <c r="HX1077" s="73"/>
      <c r="HY1077" s="73"/>
      <c r="HZ1077" s="73"/>
      <c r="IA1077" s="73"/>
      <c r="IB1077" s="73"/>
      <c r="IC1077" s="73"/>
      <c r="ID1077" s="73"/>
      <c r="IE1077" s="73"/>
      <c r="IF1077" s="73"/>
      <c r="IG1077" s="73"/>
      <c r="IH1077" s="73"/>
      <c r="II1077" s="73"/>
      <c r="IJ1077" s="73"/>
      <c r="IK1077" s="73"/>
      <c r="IL1077" s="73"/>
      <c r="IM1077" s="73"/>
      <c r="IN1077" s="73"/>
      <c r="IO1077" s="73"/>
      <c r="IP1077" s="73"/>
      <c r="IQ1077" s="73"/>
      <c r="IR1077" s="73"/>
      <c r="IS1077" s="73"/>
      <c r="IT1077" s="73"/>
      <c r="IU1077" s="73"/>
      <c r="IV1077" s="73"/>
      <c r="IW1077" s="73"/>
      <c r="IX1077" s="73"/>
      <c r="IY1077" s="73"/>
      <c r="IZ1077" s="73"/>
      <c r="JA1077" s="73"/>
      <c r="JB1077" s="73"/>
      <c r="JC1077" s="73"/>
    </row>
    <row r="1078" spans="2:263" s="72" customFormat="1">
      <c r="B1078" s="73"/>
      <c r="C1078" s="73"/>
      <c r="D1078" s="73"/>
      <c r="E1078" s="73"/>
      <c r="F1078" s="73"/>
      <c r="G1078" s="73"/>
      <c r="H1078" s="73"/>
      <c r="I1078" s="73"/>
      <c r="J1078" s="73"/>
      <c r="K1078" s="73"/>
      <c r="L1078" s="73"/>
      <c r="M1078" s="73"/>
      <c r="N1078" s="73"/>
      <c r="O1078" s="73"/>
      <c r="P1078" s="73"/>
      <c r="Q1078" s="73"/>
      <c r="R1078" s="73"/>
      <c r="S1078" s="73"/>
      <c r="T1078" s="73"/>
      <c r="U1078" s="73"/>
      <c r="V1078" s="73"/>
      <c r="W1078" s="73"/>
      <c r="GL1078" s="73"/>
      <c r="GM1078" s="73"/>
      <c r="GN1078" s="73"/>
      <c r="GO1078" s="73"/>
      <c r="GP1078" s="73"/>
      <c r="GQ1078" s="73"/>
      <c r="GR1078" s="73"/>
      <c r="GS1078" s="73"/>
      <c r="GT1078" s="73"/>
      <c r="GU1078" s="73"/>
      <c r="GV1078" s="73"/>
      <c r="GW1078" s="73"/>
      <c r="GX1078" s="73"/>
      <c r="GY1078" s="73"/>
      <c r="GZ1078" s="73"/>
      <c r="HA1078" s="73"/>
      <c r="HB1078" s="73"/>
      <c r="HC1078" s="73"/>
      <c r="HD1078" s="73"/>
      <c r="HE1078" s="73"/>
      <c r="HF1078" s="73"/>
      <c r="HG1078" s="73"/>
      <c r="HH1078" s="73"/>
      <c r="HI1078" s="73"/>
      <c r="HJ1078" s="73"/>
      <c r="HK1078" s="73"/>
      <c r="HL1078" s="73"/>
      <c r="HM1078" s="73"/>
      <c r="HN1078" s="73"/>
      <c r="HO1078" s="73"/>
      <c r="HP1078" s="73"/>
      <c r="HQ1078" s="73"/>
      <c r="HR1078" s="73"/>
      <c r="HS1078" s="73"/>
      <c r="HT1078" s="73"/>
      <c r="HU1078" s="73"/>
      <c r="HV1078" s="73"/>
      <c r="HW1078" s="73"/>
      <c r="HX1078" s="73"/>
      <c r="HY1078" s="73"/>
      <c r="HZ1078" s="73"/>
      <c r="IA1078" s="73"/>
      <c r="IB1078" s="73"/>
      <c r="IC1078" s="73"/>
      <c r="ID1078" s="73"/>
      <c r="IE1078" s="73"/>
      <c r="IF1078" s="73"/>
      <c r="IG1078" s="73"/>
      <c r="IH1078" s="73"/>
      <c r="II1078" s="73"/>
      <c r="IJ1078" s="73"/>
      <c r="IK1078" s="73"/>
      <c r="IL1078" s="73"/>
      <c r="IM1078" s="73"/>
      <c r="IN1078" s="73"/>
      <c r="IO1078" s="73"/>
      <c r="IP1078" s="73"/>
      <c r="IQ1078" s="73"/>
      <c r="IR1078" s="73"/>
      <c r="IS1078" s="73"/>
      <c r="IT1078" s="73"/>
      <c r="IU1078" s="73"/>
      <c r="IV1078" s="73"/>
      <c r="IW1078" s="73"/>
      <c r="IX1078" s="73"/>
      <c r="IY1078" s="73"/>
      <c r="IZ1078" s="73"/>
      <c r="JA1078" s="73"/>
      <c r="JB1078" s="73"/>
      <c r="JC1078" s="73"/>
    </row>
    <row r="1079" spans="2:263" s="72" customFormat="1">
      <c r="B1079" s="73"/>
      <c r="C1079" s="73"/>
      <c r="D1079" s="73"/>
      <c r="E1079" s="73"/>
      <c r="F1079" s="73"/>
      <c r="G1079" s="73"/>
      <c r="H1079" s="73"/>
      <c r="I1079" s="73"/>
      <c r="J1079" s="73"/>
      <c r="K1079" s="73"/>
      <c r="L1079" s="73"/>
      <c r="M1079" s="73"/>
      <c r="N1079" s="73"/>
      <c r="O1079" s="73"/>
      <c r="P1079" s="73"/>
      <c r="Q1079" s="73"/>
      <c r="R1079" s="73"/>
      <c r="S1079" s="73"/>
      <c r="T1079" s="73"/>
      <c r="U1079" s="73"/>
      <c r="V1079" s="73"/>
      <c r="W1079" s="73"/>
      <c r="GL1079" s="73"/>
      <c r="GM1079" s="73"/>
      <c r="GN1079" s="73"/>
      <c r="GO1079" s="73"/>
      <c r="GP1079" s="73"/>
      <c r="GQ1079" s="73"/>
      <c r="GR1079" s="73"/>
      <c r="GS1079" s="73"/>
      <c r="GT1079" s="73"/>
      <c r="GU1079" s="73"/>
      <c r="GV1079" s="73"/>
      <c r="GW1079" s="73"/>
      <c r="GX1079" s="73"/>
      <c r="GY1079" s="73"/>
      <c r="GZ1079" s="73"/>
      <c r="HA1079" s="73"/>
      <c r="HB1079" s="73"/>
      <c r="HC1079" s="73"/>
      <c r="HD1079" s="73"/>
      <c r="HE1079" s="73"/>
      <c r="HF1079" s="73"/>
      <c r="HG1079" s="73"/>
      <c r="HH1079" s="73"/>
      <c r="HI1079" s="73"/>
      <c r="HJ1079" s="73"/>
      <c r="HK1079" s="73"/>
      <c r="HL1079" s="73"/>
      <c r="HM1079" s="73"/>
      <c r="HN1079" s="73"/>
      <c r="HO1079" s="73"/>
      <c r="HP1079" s="73"/>
      <c r="HQ1079" s="73"/>
      <c r="HR1079" s="73"/>
      <c r="HS1079" s="73"/>
      <c r="HT1079" s="73"/>
      <c r="HU1079" s="73"/>
      <c r="HV1079" s="73"/>
      <c r="HW1079" s="73"/>
      <c r="HX1079" s="73"/>
      <c r="HY1079" s="73"/>
      <c r="HZ1079" s="73"/>
      <c r="IA1079" s="73"/>
      <c r="IB1079" s="73"/>
      <c r="IC1079" s="73"/>
      <c r="ID1079" s="73"/>
      <c r="IE1079" s="73"/>
      <c r="IF1079" s="73"/>
      <c r="IG1079" s="73"/>
      <c r="IH1079" s="73"/>
      <c r="II1079" s="73"/>
      <c r="IJ1079" s="73"/>
      <c r="IK1079" s="73"/>
      <c r="IL1079" s="73"/>
      <c r="IM1079" s="73"/>
      <c r="IN1079" s="73"/>
      <c r="IO1079" s="73"/>
      <c r="IP1079" s="73"/>
      <c r="IQ1079" s="73"/>
      <c r="IR1079" s="73"/>
      <c r="IS1079" s="73"/>
      <c r="IT1079" s="73"/>
      <c r="IU1079" s="73"/>
      <c r="IV1079" s="73"/>
      <c r="IW1079" s="73"/>
      <c r="IX1079" s="73"/>
      <c r="IY1079" s="73"/>
      <c r="IZ1079" s="73"/>
      <c r="JA1079" s="73"/>
      <c r="JB1079" s="73"/>
      <c r="JC1079" s="73"/>
    </row>
    <row r="1080" spans="2:263" s="72" customFormat="1">
      <c r="B1080" s="73"/>
      <c r="C1080" s="73"/>
      <c r="D1080" s="73"/>
      <c r="E1080" s="73"/>
      <c r="F1080" s="73"/>
      <c r="G1080" s="73"/>
      <c r="H1080" s="73"/>
      <c r="I1080" s="73"/>
      <c r="J1080" s="73"/>
      <c r="K1080" s="73"/>
      <c r="L1080" s="73"/>
      <c r="M1080" s="73"/>
      <c r="N1080" s="73"/>
      <c r="O1080" s="73"/>
      <c r="P1080" s="73"/>
      <c r="Q1080" s="73"/>
      <c r="R1080" s="73"/>
      <c r="S1080" s="73"/>
      <c r="T1080" s="73"/>
      <c r="U1080" s="73"/>
      <c r="V1080" s="73"/>
      <c r="W1080" s="73"/>
      <c r="GL1080" s="73"/>
      <c r="GM1080" s="73"/>
      <c r="GN1080" s="73"/>
      <c r="GO1080" s="73"/>
      <c r="GP1080" s="73"/>
      <c r="GQ1080" s="73"/>
      <c r="GR1080" s="73"/>
      <c r="GS1080" s="73"/>
      <c r="GT1080" s="73"/>
      <c r="GU1080" s="73"/>
      <c r="GV1080" s="73"/>
      <c r="GW1080" s="73"/>
      <c r="GX1080" s="73"/>
      <c r="GY1080" s="73"/>
      <c r="GZ1080" s="73"/>
      <c r="HA1080" s="73"/>
      <c r="HB1080" s="73"/>
      <c r="HC1080" s="73"/>
      <c r="HD1080" s="73"/>
      <c r="HE1080" s="73"/>
      <c r="HF1080" s="73"/>
      <c r="HG1080" s="73"/>
      <c r="HH1080" s="73"/>
      <c r="HI1080" s="73"/>
      <c r="HJ1080" s="73"/>
      <c r="HK1080" s="73"/>
      <c r="HL1080" s="73"/>
      <c r="HM1080" s="73"/>
      <c r="HN1080" s="73"/>
      <c r="HO1080" s="73"/>
      <c r="HP1080" s="73"/>
      <c r="HQ1080" s="73"/>
      <c r="HR1080" s="73"/>
      <c r="HS1080" s="73"/>
      <c r="HT1080" s="73"/>
      <c r="HU1080" s="73"/>
      <c r="HV1080" s="73"/>
      <c r="HW1080" s="73"/>
      <c r="HX1080" s="73"/>
      <c r="HY1080" s="73"/>
      <c r="HZ1080" s="73"/>
      <c r="IA1080" s="73"/>
      <c r="IB1080" s="73"/>
      <c r="IC1080" s="73"/>
      <c r="ID1080" s="73"/>
      <c r="IE1080" s="73"/>
      <c r="IF1080" s="73"/>
      <c r="IG1080" s="73"/>
      <c r="IH1080" s="73"/>
      <c r="II1080" s="73"/>
      <c r="IJ1080" s="73"/>
      <c r="IK1080" s="73"/>
      <c r="IL1080" s="73"/>
      <c r="IM1080" s="73"/>
      <c r="IN1080" s="73"/>
      <c r="IO1080" s="73"/>
      <c r="IP1080" s="73"/>
      <c r="IQ1080" s="73"/>
      <c r="IR1080" s="73"/>
      <c r="IS1080" s="73"/>
      <c r="IT1080" s="73"/>
      <c r="IU1080" s="73"/>
      <c r="IV1080" s="73"/>
      <c r="IW1080" s="73"/>
      <c r="IX1080" s="73"/>
      <c r="IY1080" s="73"/>
      <c r="IZ1080" s="73"/>
      <c r="JA1080" s="73"/>
      <c r="JB1080" s="73"/>
      <c r="JC1080" s="73"/>
    </row>
    <row r="1081" spans="2:263" s="72" customFormat="1">
      <c r="B1081" s="73"/>
      <c r="C1081" s="73"/>
      <c r="D1081" s="73"/>
      <c r="E1081" s="73"/>
      <c r="F1081" s="73"/>
      <c r="G1081" s="73"/>
      <c r="H1081" s="73"/>
      <c r="I1081" s="73"/>
      <c r="J1081" s="73"/>
      <c r="K1081" s="73"/>
      <c r="L1081" s="73"/>
      <c r="M1081" s="73"/>
      <c r="N1081" s="73"/>
      <c r="O1081" s="73"/>
      <c r="P1081" s="73"/>
      <c r="Q1081" s="73"/>
      <c r="R1081" s="73"/>
      <c r="S1081" s="73"/>
      <c r="T1081" s="73"/>
      <c r="U1081" s="73"/>
      <c r="V1081" s="73"/>
      <c r="W1081" s="73"/>
      <c r="GL1081" s="73"/>
      <c r="GM1081" s="73"/>
      <c r="GN1081" s="73"/>
      <c r="GO1081" s="73"/>
      <c r="GP1081" s="73"/>
      <c r="GQ1081" s="73"/>
      <c r="GR1081" s="73"/>
      <c r="GS1081" s="73"/>
      <c r="GT1081" s="73"/>
      <c r="GU1081" s="73"/>
      <c r="GV1081" s="73"/>
      <c r="GW1081" s="73"/>
      <c r="GX1081" s="73"/>
      <c r="GY1081" s="73"/>
      <c r="GZ1081" s="73"/>
      <c r="HA1081" s="73"/>
      <c r="HB1081" s="73"/>
      <c r="HC1081" s="73"/>
      <c r="HD1081" s="73"/>
      <c r="HE1081" s="73"/>
      <c r="HF1081" s="73"/>
      <c r="HG1081" s="73"/>
      <c r="HH1081" s="73"/>
      <c r="HI1081" s="73"/>
      <c r="HJ1081" s="73"/>
      <c r="HK1081" s="73"/>
      <c r="HL1081" s="73"/>
      <c r="HM1081" s="73"/>
      <c r="HN1081" s="73"/>
      <c r="HO1081" s="73"/>
      <c r="HP1081" s="73"/>
      <c r="HQ1081" s="73"/>
      <c r="HR1081" s="73"/>
      <c r="HS1081" s="73"/>
      <c r="HT1081" s="73"/>
      <c r="HU1081" s="73"/>
      <c r="HV1081" s="73"/>
      <c r="HW1081" s="73"/>
      <c r="HX1081" s="73"/>
      <c r="HY1081" s="73"/>
      <c r="HZ1081" s="73"/>
      <c r="IA1081" s="73"/>
      <c r="IB1081" s="73"/>
      <c r="IC1081" s="73"/>
      <c r="ID1081" s="73"/>
      <c r="IE1081" s="73"/>
      <c r="IF1081" s="73"/>
      <c r="IG1081" s="73"/>
      <c r="IH1081" s="73"/>
      <c r="II1081" s="73"/>
      <c r="IJ1081" s="73"/>
      <c r="IK1081" s="73"/>
      <c r="IL1081" s="73"/>
      <c r="IM1081" s="73"/>
      <c r="IN1081" s="73"/>
      <c r="IO1081" s="73"/>
      <c r="IP1081" s="73"/>
      <c r="IQ1081" s="73"/>
      <c r="IR1081" s="73"/>
      <c r="IS1081" s="73"/>
      <c r="IT1081" s="73"/>
      <c r="IU1081" s="73"/>
      <c r="IV1081" s="73"/>
      <c r="IW1081" s="73"/>
      <c r="IX1081" s="73"/>
      <c r="IY1081" s="73"/>
      <c r="IZ1081" s="73"/>
      <c r="JA1081" s="73"/>
      <c r="JB1081" s="73"/>
      <c r="JC1081" s="73"/>
    </row>
    <row r="1082" spans="2:263" s="72" customFormat="1">
      <c r="B1082" s="73"/>
      <c r="C1082" s="73"/>
      <c r="D1082" s="73"/>
      <c r="E1082" s="73"/>
      <c r="F1082" s="73"/>
      <c r="G1082" s="73"/>
      <c r="H1082" s="73"/>
      <c r="I1082" s="73"/>
      <c r="J1082" s="73"/>
      <c r="K1082" s="73"/>
      <c r="L1082" s="73"/>
      <c r="M1082" s="73"/>
      <c r="N1082" s="73"/>
      <c r="O1082" s="73"/>
      <c r="P1082" s="73"/>
      <c r="Q1082" s="73"/>
      <c r="R1082" s="73"/>
      <c r="S1082" s="73"/>
      <c r="T1082" s="73"/>
      <c r="U1082" s="73"/>
      <c r="V1082" s="73"/>
      <c r="W1082" s="73"/>
      <c r="GL1082" s="73"/>
      <c r="GM1082" s="73"/>
      <c r="GN1082" s="73"/>
      <c r="GO1082" s="73"/>
      <c r="GP1082" s="73"/>
      <c r="GQ1082" s="73"/>
      <c r="GR1082" s="73"/>
      <c r="GS1082" s="73"/>
      <c r="GT1082" s="73"/>
      <c r="GU1082" s="73"/>
      <c r="GV1082" s="73"/>
      <c r="GW1082" s="73"/>
      <c r="GX1082" s="73"/>
      <c r="GY1082" s="73"/>
      <c r="GZ1082" s="73"/>
      <c r="HA1082" s="73"/>
      <c r="HB1082" s="73"/>
      <c r="HC1082" s="73"/>
      <c r="HD1082" s="73"/>
      <c r="HE1082" s="73"/>
      <c r="HF1082" s="73"/>
      <c r="HG1082" s="73"/>
      <c r="HH1082" s="73"/>
      <c r="HI1082" s="73"/>
      <c r="HJ1082" s="73"/>
      <c r="HK1082" s="73"/>
      <c r="HL1082" s="73"/>
      <c r="HM1082" s="73"/>
      <c r="HN1082" s="73"/>
      <c r="HO1082" s="73"/>
      <c r="HP1082" s="73"/>
      <c r="HQ1082" s="73"/>
      <c r="HR1082" s="73"/>
      <c r="HS1082" s="73"/>
      <c r="HT1082" s="73"/>
      <c r="HU1082" s="73"/>
      <c r="HV1082" s="73"/>
      <c r="HW1082" s="73"/>
      <c r="HX1082" s="73"/>
      <c r="HY1082" s="73"/>
      <c r="HZ1082" s="73"/>
      <c r="IA1082" s="73"/>
      <c r="IB1082" s="73"/>
      <c r="IC1082" s="73"/>
      <c r="ID1082" s="73"/>
      <c r="IE1082" s="73"/>
      <c r="IF1082" s="73"/>
      <c r="IG1082" s="73"/>
      <c r="IH1082" s="73"/>
      <c r="II1082" s="73"/>
      <c r="IJ1082" s="73"/>
      <c r="IK1082" s="73"/>
      <c r="IL1082" s="73"/>
      <c r="IM1082" s="73"/>
      <c r="IN1082" s="73"/>
      <c r="IO1082" s="73"/>
      <c r="IP1082" s="73"/>
      <c r="IQ1082" s="73"/>
      <c r="IR1082" s="73"/>
      <c r="IS1082" s="73"/>
      <c r="IT1082" s="73"/>
      <c r="IU1082" s="73"/>
      <c r="IV1082" s="73"/>
      <c r="IW1082" s="73"/>
      <c r="IX1082" s="73"/>
      <c r="IY1082" s="73"/>
      <c r="IZ1082" s="73"/>
      <c r="JA1082" s="73"/>
      <c r="JB1082" s="73"/>
      <c r="JC1082" s="73"/>
    </row>
    <row r="1083" spans="2:263" s="72" customFormat="1">
      <c r="B1083" s="73"/>
      <c r="C1083" s="73"/>
      <c r="D1083" s="73"/>
      <c r="E1083" s="73"/>
      <c r="F1083" s="73"/>
      <c r="G1083" s="73"/>
      <c r="H1083" s="73"/>
      <c r="I1083" s="73"/>
      <c r="J1083" s="73"/>
      <c r="K1083" s="73"/>
      <c r="L1083" s="73"/>
      <c r="M1083" s="73"/>
      <c r="N1083" s="73"/>
      <c r="O1083" s="73"/>
      <c r="P1083" s="73"/>
      <c r="Q1083" s="73"/>
      <c r="R1083" s="73"/>
      <c r="S1083" s="73"/>
      <c r="T1083" s="73"/>
      <c r="U1083" s="73"/>
      <c r="V1083" s="73"/>
      <c r="W1083" s="73"/>
      <c r="GL1083" s="73"/>
      <c r="GM1083" s="73"/>
      <c r="GN1083" s="73"/>
      <c r="GO1083" s="73"/>
      <c r="GP1083" s="73"/>
      <c r="GQ1083" s="73"/>
      <c r="GR1083" s="73"/>
      <c r="GS1083" s="73"/>
      <c r="GT1083" s="73"/>
      <c r="GU1083" s="73"/>
      <c r="GV1083" s="73"/>
      <c r="GW1083" s="73"/>
      <c r="GX1083" s="73"/>
      <c r="GY1083" s="73"/>
      <c r="GZ1083" s="73"/>
      <c r="HA1083" s="73"/>
      <c r="HB1083" s="73"/>
      <c r="HC1083" s="73"/>
      <c r="HD1083" s="73"/>
      <c r="HE1083" s="73"/>
      <c r="HF1083" s="73"/>
      <c r="HG1083" s="73"/>
      <c r="HH1083" s="73"/>
      <c r="HI1083" s="73"/>
      <c r="HJ1083" s="73"/>
      <c r="HK1083" s="73"/>
      <c r="HL1083" s="73"/>
      <c r="HM1083" s="73"/>
      <c r="HN1083" s="73"/>
      <c r="HO1083" s="73"/>
      <c r="HP1083" s="73"/>
      <c r="HQ1083" s="73"/>
      <c r="HR1083" s="73"/>
      <c r="HS1083" s="73"/>
      <c r="HT1083" s="73"/>
      <c r="HU1083" s="73"/>
      <c r="HV1083" s="73"/>
      <c r="HW1083" s="73"/>
      <c r="HX1083" s="73"/>
      <c r="HY1083" s="73"/>
      <c r="HZ1083" s="73"/>
      <c r="IA1083" s="73"/>
      <c r="IB1083" s="73"/>
      <c r="IC1083" s="73"/>
      <c r="ID1083" s="73"/>
      <c r="IE1083" s="73"/>
      <c r="IF1083" s="73"/>
      <c r="IG1083" s="73"/>
      <c r="IH1083" s="73"/>
      <c r="II1083" s="73"/>
      <c r="IJ1083" s="73"/>
      <c r="IK1083" s="73"/>
      <c r="IL1083" s="73"/>
      <c r="IM1083" s="73"/>
      <c r="IN1083" s="73"/>
      <c r="IO1083" s="73"/>
      <c r="IP1083" s="73"/>
      <c r="IQ1083" s="73"/>
      <c r="IR1083" s="73"/>
      <c r="IS1083" s="73"/>
      <c r="IT1083" s="73"/>
      <c r="IU1083" s="73"/>
      <c r="IV1083" s="73"/>
      <c r="IW1083" s="73"/>
      <c r="IX1083" s="73"/>
      <c r="IY1083" s="73"/>
      <c r="IZ1083" s="73"/>
      <c r="JA1083" s="73"/>
      <c r="JB1083" s="73"/>
      <c r="JC1083" s="73"/>
    </row>
    <row r="1084" spans="2:263" s="72" customFormat="1">
      <c r="B1084" s="73"/>
      <c r="C1084" s="73"/>
      <c r="D1084" s="73"/>
      <c r="E1084" s="73"/>
      <c r="F1084" s="73"/>
      <c r="G1084" s="73"/>
      <c r="H1084" s="73"/>
      <c r="I1084" s="73"/>
      <c r="J1084" s="73"/>
      <c r="K1084" s="73"/>
      <c r="L1084" s="73"/>
      <c r="M1084" s="73"/>
      <c r="N1084" s="73"/>
      <c r="O1084" s="73"/>
      <c r="P1084" s="73"/>
      <c r="Q1084" s="73"/>
      <c r="R1084" s="73"/>
      <c r="S1084" s="73"/>
      <c r="T1084" s="73"/>
      <c r="U1084" s="73"/>
      <c r="V1084" s="73"/>
      <c r="W1084" s="73"/>
      <c r="GL1084" s="73"/>
      <c r="GM1084" s="73"/>
      <c r="GN1084" s="73"/>
      <c r="GO1084" s="73"/>
      <c r="GP1084" s="73"/>
      <c r="GQ1084" s="73"/>
      <c r="GR1084" s="73"/>
      <c r="GS1084" s="73"/>
      <c r="GT1084" s="73"/>
      <c r="GU1084" s="73"/>
      <c r="GV1084" s="73"/>
      <c r="GW1084" s="73"/>
      <c r="GX1084" s="73"/>
      <c r="GY1084" s="73"/>
      <c r="GZ1084" s="73"/>
      <c r="HA1084" s="73"/>
      <c r="HB1084" s="73"/>
      <c r="HC1084" s="73"/>
      <c r="HD1084" s="73"/>
      <c r="HE1084" s="73"/>
      <c r="HF1084" s="73"/>
      <c r="HG1084" s="73"/>
      <c r="HH1084" s="73"/>
      <c r="HI1084" s="73"/>
      <c r="HJ1084" s="73"/>
      <c r="HK1084" s="73"/>
      <c r="HL1084" s="73"/>
      <c r="HM1084" s="73"/>
      <c r="HN1084" s="73"/>
      <c r="HO1084" s="73"/>
      <c r="HP1084" s="73"/>
      <c r="HQ1084" s="73"/>
      <c r="HR1084" s="73"/>
      <c r="HS1084" s="73"/>
      <c r="HT1084" s="73"/>
      <c r="HU1084" s="73"/>
      <c r="HV1084" s="73"/>
      <c r="HW1084" s="73"/>
      <c r="HX1084" s="73"/>
      <c r="HY1084" s="73"/>
      <c r="HZ1084" s="73"/>
      <c r="IA1084" s="73"/>
      <c r="IB1084" s="73"/>
      <c r="IC1084" s="73"/>
      <c r="ID1084" s="73"/>
      <c r="IE1084" s="73"/>
      <c r="IF1084" s="73"/>
      <c r="IG1084" s="73"/>
      <c r="IH1084" s="73"/>
      <c r="II1084" s="73"/>
      <c r="IJ1084" s="73"/>
      <c r="IK1084" s="73"/>
      <c r="IL1084" s="73"/>
      <c r="IM1084" s="73"/>
      <c r="IN1084" s="73"/>
      <c r="IO1084" s="73"/>
      <c r="IP1084" s="73"/>
      <c r="IQ1084" s="73"/>
      <c r="IR1084" s="73"/>
      <c r="IS1084" s="73"/>
      <c r="IT1084" s="73"/>
      <c r="IU1084" s="73"/>
      <c r="IV1084" s="73"/>
      <c r="IW1084" s="73"/>
      <c r="IX1084" s="73"/>
      <c r="IY1084" s="73"/>
      <c r="IZ1084" s="73"/>
      <c r="JA1084" s="73"/>
      <c r="JB1084" s="73"/>
      <c r="JC1084" s="73"/>
    </row>
    <row r="1085" spans="2:263" s="72" customFormat="1">
      <c r="B1085" s="73"/>
      <c r="C1085" s="73"/>
      <c r="D1085" s="73"/>
      <c r="E1085" s="73"/>
      <c r="F1085" s="73"/>
      <c r="G1085" s="73"/>
      <c r="H1085" s="73"/>
      <c r="I1085" s="73"/>
      <c r="J1085" s="73"/>
      <c r="K1085" s="73"/>
      <c r="L1085" s="73"/>
      <c r="M1085" s="73"/>
      <c r="N1085" s="73"/>
      <c r="O1085" s="73"/>
      <c r="P1085" s="73"/>
      <c r="Q1085" s="73"/>
      <c r="R1085" s="73"/>
      <c r="S1085" s="73"/>
      <c r="T1085" s="73"/>
      <c r="U1085" s="73"/>
      <c r="V1085" s="73"/>
      <c r="W1085" s="73"/>
      <c r="GL1085" s="73"/>
      <c r="GM1085" s="73"/>
      <c r="GN1085" s="73"/>
      <c r="GO1085" s="73"/>
      <c r="GP1085" s="73"/>
      <c r="GQ1085" s="73"/>
      <c r="GR1085" s="73"/>
      <c r="GS1085" s="73"/>
      <c r="GT1085" s="73"/>
      <c r="GU1085" s="73"/>
      <c r="GV1085" s="73"/>
      <c r="GW1085" s="73"/>
      <c r="GX1085" s="73"/>
      <c r="GY1085" s="73"/>
      <c r="GZ1085" s="73"/>
      <c r="HA1085" s="73"/>
      <c r="HB1085" s="73"/>
      <c r="HC1085" s="73"/>
      <c r="HD1085" s="73"/>
      <c r="HE1085" s="73"/>
      <c r="HF1085" s="73"/>
      <c r="HG1085" s="73"/>
      <c r="HH1085" s="73"/>
      <c r="HI1085" s="73"/>
      <c r="HJ1085" s="73"/>
      <c r="HK1085" s="73"/>
      <c r="HL1085" s="73"/>
      <c r="HM1085" s="73"/>
      <c r="HN1085" s="73"/>
      <c r="HO1085" s="73"/>
      <c r="HP1085" s="73"/>
      <c r="HQ1085" s="73"/>
      <c r="HR1085" s="73"/>
      <c r="HS1085" s="73"/>
      <c r="HT1085" s="73"/>
      <c r="HU1085" s="73"/>
      <c r="HV1085" s="73"/>
      <c r="HW1085" s="73"/>
      <c r="HX1085" s="73"/>
      <c r="HY1085" s="73"/>
      <c r="HZ1085" s="73"/>
      <c r="IA1085" s="73"/>
      <c r="IB1085" s="73"/>
      <c r="IC1085" s="73"/>
      <c r="ID1085" s="73"/>
      <c r="IE1085" s="73"/>
      <c r="IF1085" s="73"/>
      <c r="IG1085" s="73"/>
      <c r="IH1085" s="73"/>
      <c r="II1085" s="73"/>
      <c r="IJ1085" s="73"/>
      <c r="IK1085" s="73"/>
      <c r="IL1085" s="73"/>
      <c r="IM1085" s="73"/>
      <c r="IN1085" s="73"/>
      <c r="IO1085" s="73"/>
      <c r="IP1085" s="73"/>
      <c r="IQ1085" s="73"/>
      <c r="IR1085" s="73"/>
      <c r="IS1085" s="73"/>
      <c r="IT1085" s="73"/>
      <c r="IU1085" s="73"/>
      <c r="IV1085" s="73"/>
      <c r="IW1085" s="73"/>
      <c r="IX1085" s="73"/>
      <c r="IY1085" s="73"/>
      <c r="IZ1085" s="73"/>
      <c r="JA1085" s="73"/>
      <c r="JB1085" s="73"/>
      <c r="JC1085" s="73"/>
    </row>
    <row r="1086" spans="2:263" s="72" customFormat="1">
      <c r="B1086" s="73"/>
      <c r="C1086" s="73"/>
      <c r="D1086" s="73"/>
      <c r="E1086" s="73"/>
      <c r="F1086" s="73"/>
      <c r="G1086" s="73"/>
      <c r="H1086" s="73"/>
      <c r="I1086" s="73"/>
      <c r="J1086" s="73"/>
      <c r="K1086" s="73"/>
      <c r="L1086" s="73"/>
      <c r="M1086" s="73"/>
      <c r="N1086" s="73"/>
      <c r="O1086" s="73"/>
      <c r="P1086" s="73"/>
      <c r="Q1086" s="73"/>
      <c r="R1086" s="73"/>
      <c r="S1086" s="73"/>
      <c r="T1086" s="73"/>
      <c r="U1086" s="73"/>
      <c r="V1086" s="73"/>
      <c r="W1086" s="73"/>
      <c r="GL1086" s="73"/>
      <c r="GM1086" s="73"/>
      <c r="GN1086" s="73"/>
      <c r="GO1086" s="73"/>
      <c r="GP1086" s="73"/>
      <c r="GQ1086" s="73"/>
      <c r="GR1086" s="73"/>
      <c r="GS1086" s="73"/>
      <c r="GT1086" s="73"/>
      <c r="GU1086" s="73"/>
      <c r="GV1086" s="73"/>
      <c r="GW1086" s="73"/>
      <c r="GX1086" s="73"/>
      <c r="GY1086" s="73"/>
      <c r="GZ1086" s="73"/>
      <c r="HA1086" s="73"/>
      <c r="HB1086" s="73"/>
      <c r="HC1086" s="73"/>
      <c r="HD1086" s="73"/>
      <c r="HE1086" s="73"/>
      <c r="HF1086" s="73"/>
      <c r="HG1086" s="73"/>
      <c r="HH1086" s="73"/>
      <c r="HI1086" s="73"/>
      <c r="HJ1086" s="73"/>
      <c r="HK1086" s="73"/>
      <c r="HL1086" s="73"/>
      <c r="HM1086" s="73"/>
      <c r="HN1086" s="73"/>
      <c r="HO1086" s="73"/>
      <c r="HP1086" s="73"/>
      <c r="HQ1086" s="73"/>
      <c r="HR1086" s="73"/>
      <c r="HS1086" s="73"/>
      <c r="HT1086" s="73"/>
      <c r="HU1086" s="73"/>
      <c r="HV1086" s="73"/>
      <c r="HW1086" s="73"/>
      <c r="HX1086" s="73"/>
      <c r="HY1086" s="73"/>
      <c r="HZ1086" s="73"/>
      <c r="IA1086" s="73"/>
      <c r="IB1086" s="73"/>
      <c r="IC1086" s="73"/>
      <c r="ID1086" s="73"/>
      <c r="IE1086" s="73"/>
      <c r="IF1086" s="73"/>
      <c r="IG1086" s="73"/>
      <c r="IH1086" s="73"/>
      <c r="II1086" s="73"/>
      <c r="IJ1086" s="73"/>
      <c r="IK1086" s="73"/>
      <c r="IL1086" s="73"/>
      <c r="IM1086" s="73"/>
      <c r="IN1086" s="73"/>
      <c r="IO1086" s="73"/>
      <c r="IP1086" s="73"/>
      <c r="IQ1086" s="73"/>
      <c r="IR1086" s="73"/>
      <c r="IS1086" s="73"/>
      <c r="IT1086" s="73"/>
      <c r="IU1086" s="73"/>
      <c r="IV1086" s="73"/>
      <c r="IW1086" s="73"/>
      <c r="IX1086" s="73"/>
      <c r="IY1086" s="73"/>
      <c r="IZ1086" s="73"/>
      <c r="JA1086" s="73"/>
      <c r="JB1086" s="73"/>
      <c r="JC1086" s="73"/>
    </row>
    <row r="1087" spans="2:263" s="72" customFormat="1">
      <c r="B1087" s="73"/>
      <c r="C1087" s="73"/>
      <c r="D1087" s="73"/>
      <c r="E1087" s="73"/>
      <c r="F1087" s="73"/>
      <c r="G1087" s="73"/>
      <c r="H1087" s="73"/>
      <c r="I1087" s="73"/>
      <c r="J1087" s="73"/>
      <c r="K1087" s="73"/>
      <c r="L1087" s="73"/>
      <c r="M1087" s="73"/>
      <c r="N1087" s="73"/>
      <c r="O1087" s="73"/>
      <c r="P1087" s="73"/>
      <c r="Q1087" s="73"/>
      <c r="R1087" s="73"/>
      <c r="S1087" s="73"/>
      <c r="T1087" s="73"/>
      <c r="U1087" s="73"/>
      <c r="V1087" s="73"/>
      <c r="W1087" s="73"/>
      <c r="GL1087" s="73"/>
      <c r="GM1087" s="73"/>
      <c r="GN1087" s="73"/>
      <c r="GO1087" s="73"/>
      <c r="GP1087" s="73"/>
      <c r="GQ1087" s="73"/>
      <c r="GR1087" s="73"/>
      <c r="GS1087" s="73"/>
      <c r="GT1087" s="73"/>
      <c r="GU1087" s="73"/>
      <c r="GV1087" s="73"/>
      <c r="GW1087" s="73"/>
      <c r="GX1087" s="73"/>
      <c r="GY1087" s="73"/>
      <c r="GZ1087" s="73"/>
      <c r="HA1087" s="73"/>
      <c r="HB1087" s="73"/>
      <c r="HC1087" s="73"/>
      <c r="HD1087" s="73"/>
      <c r="HE1087" s="73"/>
      <c r="HF1087" s="73"/>
      <c r="HG1087" s="73"/>
      <c r="HH1087" s="73"/>
      <c r="HI1087" s="73"/>
      <c r="HJ1087" s="73"/>
      <c r="HK1087" s="73"/>
      <c r="HL1087" s="73"/>
      <c r="HM1087" s="73"/>
      <c r="HN1087" s="73"/>
      <c r="HO1087" s="73"/>
      <c r="HP1087" s="73"/>
      <c r="HQ1087" s="73"/>
      <c r="HR1087" s="73"/>
      <c r="HS1087" s="73"/>
      <c r="HT1087" s="73"/>
      <c r="HU1087" s="73"/>
      <c r="HV1087" s="73"/>
      <c r="HW1087" s="73"/>
      <c r="HX1087" s="73"/>
      <c r="HY1087" s="73"/>
      <c r="HZ1087" s="73"/>
      <c r="IA1087" s="73"/>
      <c r="IB1087" s="73"/>
      <c r="IC1087" s="73"/>
      <c r="ID1087" s="73"/>
      <c r="IE1087" s="73"/>
      <c r="IF1087" s="73"/>
      <c r="IG1087" s="73"/>
      <c r="IH1087" s="73"/>
      <c r="II1087" s="73"/>
      <c r="IJ1087" s="73"/>
      <c r="IK1087" s="73"/>
      <c r="IL1087" s="73"/>
      <c r="IM1087" s="73"/>
      <c r="IN1087" s="73"/>
      <c r="IO1087" s="73"/>
      <c r="IP1087" s="73"/>
      <c r="IQ1087" s="73"/>
      <c r="IR1087" s="73"/>
      <c r="IS1087" s="73"/>
      <c r="IT1087" s="73"/>
      <c r="IU1087" s="73"/>
      <c r="IV1087" s="73"/>
      <c r="IW1087" s="73"/>
      <c r="IX1087" s="73"/>
      <c r="IY1087" s="73"/>
      <c r="IZ1087" s="73"/>
      <c r="JA1087" s="73"/>
      <c r="JB1087" s="73"/>
      <c r="JC1087" s="73"/>
    </row>
    <row r="1088" spans="2:263" s="72" customFormat="1">
      <c r="B1088" s="73"/>
      <c r="C1088" s="73"/>
      <c r="D1088" s="73"/>
      <c r="E1088" s="73"/>
      <c r="F1088" s="73"/>
      <c r="G1088" s="73"/>
      <c r="H1088" s="73"/>
      <c r="I1088" s="73"/>
      <c r="J1088" s="73"/>
      <c r="K1088" s="73"/>
      <c r="L1088" s="73"/>
      <c r="M1088" s="73"/>
      <c r="N1088" s="73"/>
      <c r="O1088" s="73"/>
      <c r="P1088" s="73"/>
      <c r="Q1088" s="73"/>
      <c r="R1088" s="73"/>
      <c r="S1088" s="73"/>
      <c r="T1088" s="73"/>
      <c r="U1088" s="73"/>
      <c r="V1088" s="73"/>
      <c r="W1088" s="73"/>
      <c r="GL1088" s="73"/>
      <c r="GM1088" s="73"/>
      <c r="GN1088" s="73"/>
      <c r="GO1088" s="73"/>
      <c r="GP1088" s="73"/>
      <c r="GQ1088" s="73"/>
      <c r="GR1088" s="73"/>
      <c r="GS1088" s="73"/>
      <c r="GT1088" s="73"/>
      <c r="GU1088" s="73"/>
      <c r="GV1088" s="73"/>
      <c r="GW1088" s="73"/>
      <c r="GX1088" s="73"/>
      <c r="GY1088" s="73"/>
      <c r="GZ1088" s="73"/>
      <c r="HA1088" s="73"/>
      <c r="HB1088" s="73"/>
      <c r="HC1088" s="73"/>
      <c r="HD1088" s="73"/>
      <c r="HE1088" s="73"/>
      <c r="HF1088" s="73"/>
      <c r="HG1088" s="73"/>
      <c r="HH1088" s="73"/>
      <c r="HI1088" s="73"/>
      <c r="HJ1088" s="73"/>
      <c r="HK1088" s="73"/>
      <c r="HL1088" s="73"/>
      <c r="HM1088" s="73"/>
      <c r="HN1088" s="73"/>
      <c r="HO1088" s="73"/>
      <c r="HP1088" s="73"/>
      <c r="HQ1088" s="73"/>
      <c r="HR1088" s="73"/>
      <c r="HS1088" s="73"/>
      <c r="HT1088" s="73"/>
      <c r="HU1088" s="73"/>
      <c r="HV1088" s="73"/>
      <c r="HW1088" s="73"/>
      <c r="HX1088" s="73"/>
      <c r="HY1088" s="73"/>
      <c r="HZ1088" s="73"/>
      <c r="IA1088" s="73"/>
      <c r="IB1088" s="73"/>
      <c r="IC1088" s="73"/>
      <c r="ID1088" s="73"/>
      <c r="IE1088" s="73"/>
      <c r="IF1088" s="73"/>
      <c r="IG1088" s="73"/>
      <c r="IH1088" s="73"/>
      <c r="II1088" s="73"/>
      <c r="IJ1088" s="73"/>
      <c r="IK1088" s="73"/>
      <c r="IL1088" s="73"/>
      <c r="IM1088" s="73"/>
      <c r="IN1088" s="73"/>
      <c r="IO1088" s="73"/>
      <c r="IP1088" s="73"/>
      <c r="IQ1088" s="73"/>
      <c r="IR1088" s="73"/>
      <c r="IS1088" s="73"/>
      <c r="IT1088" s="73"/>
      <c r="IU1088" s="73"/>
      <c r="IV1088" s="73"/>
      <c r="IW1088" s="73"/>
      <c r="IX1088" s="73"/>
      <c r="IY1088" s="73"/>
      <c r="IZ1088" s="73"/>
      <c r="JA1088" s="73"/>
      <c r="JB1088" s="73"/>
      <c r="JC1088" s="73"/>
    </row>
    <row r="1089" spans="2:263" s="72" customFormat="1">
      <c r="B1089" s="73"/>
      <c r="C1089" s="73"/>
      <c r="D1089" s="73"/>
      <c r="E1089" s="73"/>
      <c r="F1089" s="73"/>
      <c r="G1089" s="73"/>
      <c r="H1089" s="73"/>
      <c r="I1089" s="73"/>
      <c r="J1089" s="73"/>
      <c r="K1089" s="73"/>
      <c r="L1089" s="73"/>
      <c r="M1089" s="73"/>
      <c r="N1089" s="73"/>
      <c r="O1089" s="73"/>
      <c r="P1089" s="73"/>
      <c r="Q1089" s="73"/>
      <c r="R1089" s="73"/>
      <c r="S1089" s="73"/>
      <c r="T1089" s="73"/>
      <c r="U1089" s="73"/>
      <c r="V1089" s="73"/>
      <c r="W1089" s="73"/>
      <c r="GL1089" s="73"/>
      <c r="GM1089" s="73"/>
      <c r="GN1089" s="73"/>
      <c r="GO1089" s="73"/>
      <c r="GP1089" s="73"/>
      <c r="GQ1089" s="73"/>
      <c r="GR1089" s="73"/>
      <c r="GS1089" s="73"/>
      <c r="GT1089" s="73"/>
      <c r="GU1089" s="73"/>
      <c r="GV1089" s="73"/>
      <c r="GW1089" s="73"/>
      <c r="GX1089" s="73"/>
      <c r="GY1089" s="73"/>
      <c r="GZ1089" s="73"/>
      <c r="HA1089" s="73"/>
      <c r="HB1089" s="73"/>
      <c r="HC1089" s="73"/>
      <c r="HD1089" s="73"/>
      <c r="HE1089" s="73"/>
      <c r="HF1089" s="73"/>
      <c r="HG1089" s="73"/>
      <c r="HH1089" s="73"/>
      <c r="HI1089" s="73"/>
      <c r="HJ1089" s="73"/>
      <c r="HK1089" s="73"/>
      <c r="HL1089" s="73"/>
      <c r="HM1089" s="73"/>
      <c r="HN1089" s="73"/>
      <c r="HO1089" s="73"/>
      <c r="HP1089" s="73"/>
      <c r="HQ1089" s="73"/>
      <c r="HR1089" s="73"/>
      <c r="HS1089" s="73"/>
      <c r="HT1089" s="73"/>
      <c r="HU1089" s="73"/>
      <c r="HV1089" s="73"/>
      <c r="HW1089" s="73"/>
      <c r="HX1089" s="73"/>
      <c r="HY1089" s="73"/>
      <c r="HZ1089" s="73"/>
      <c r="IA1089" s="73"/>
      <c r="IB1089" s="73"/>
      <c r="IC1089" s="73"/>
      <c r="ID1089" s="73"/>
      <c r="IE1089" s="73"/>
      <c r="IF1089" s="73"/>
      <c r="IG1089" s="73"/>
      <c r="IH1089" s="73"/>
      <c r="II1089" s="73"/>
      <c r="IJ1089" s="73"/>
      <c r="IK1089" s="73"/>
      <c r="IL1089" s="73"/>
      <c r="IM1089" s="73"/>
      <c r="IN1089" s="73"/>
      <c r="IO1089" s="73"/>
      <c r="IP1089" s="73"/>
      <c r="IQ1089" s="73"/>
      <c r="IR1089" s="73"/>
      <c r="IS1089" s="73"/>
      <c r="IT1089" s="73"/>
      <c r="IU1089" s="73"/>
      <c r="IV1089" s="73"/>
      <c r="IW1089" s="73"/>
      <c r="IX1089" s="73"/>
      <c r="IY1089" s="73"/>
      <c r="IZ1089" s="73"/>
      <c r="JA1089" s="73"/>
      <c r="JB1089" s="73"/>
      <c r="JC1089" s="73"/>
    </row>
    <row r="1090" spans="2:263" s="72" customFormat="1">
      <c r="B1090" s="73"/>
      <c r="C1090" s="73"/>
      <c r="D1090" s="73"/>
      <c r="E1090" s="73"/>
      <c r="F1090" s="73"/>
      <c r="G1090" s="73"/>
      <c r="H1090" s="73"/>
      <c r="I1090" s="73"/>
      <c r="J1090" s="73"/>
      <c r="K1090" s="73"/>
      <c r="L1090" s="73"/>
      <c r="M1090" s="73"/>
      <c r="N1090" s="73"/>
      <c r="O1090" s="73"/>
      <c r="P1090" s="73"/>
      <c r="Q1090" s="73"/>
      <c r="R1090" s="73"/>
      <c r="S1090" s="73"/>
      <c r="T1090" s="73"/>
      <c r="U1090" s="73"/>
      <c r="V1090" s="73"/>
      <c r="W1090" s="73"/>
      <c r="GL1090" s="73"/>
      <c r="GM1090" s="73"/>
      <c r="GN1090" s="73"/>
      <c r="GO1090" s="73"/>
      <c r="GP1090" s="73"/>
      <c r="GQ1090" s="73"/>
      <c r="GR1090" s="73"/>
      <c r="GS1090" s="73"/>
      <c r="GT1090" s="73"/>
      <c r="GU1090" s="73"/>
      <c r="GV1090" s="73"/>
      <c r="GW1090" s="73"/>
      <c r="GX1090" s="73"/>
      <c r="GY1090" s="73"/>
      <c r="GZ1090" s="73"/>
      <c r="HA1090" s="73"/>
      <c r="HB1090" s="73"/>
      <c r="HC1090" s="73"/>
      <c r="HD1090" s="73"/>
      <c r="HE1090" s="73"/>
      <c r="HF1090" s="73"/>
      <c r="HG1090" s="73"/>
      <c r="HH1090" s="73"/>
      <c r="HI1090" s="73"/>
      <c r="HJ1090" s="73"/>
      <c r="HK1090" s="73"/>
      <c r="HL1090" s="73"/>
      <c r="HM1090" s="73"/>
      <c r="HN1090" s="73"/>
      <c r="HO1090" s="73"/>
      <c r="HP1090" s="73"/>
      <c r="HQ1090" s="73"/>
      <c r="HR1090" s="73"/>
      <c r="HS1090" s="73"/>
      <c r="HT1090" s="73"/>
      <c r="HU1090" s="73"/>
      <c r="HV1090" s="73"/>
      <c r="HW1090" s="73"/>
      <c r="HX1090" s="73"/>
      <c r="HY1090" s="73"/>
      <c r="HZ1090" s="73"/>
      <c r="IA1090" s="73"/>
      <c r="IB1090" s="73"/>
      <c r="IC1090" s="73"/>
      <c r="ID1090" s="73"/>
      <c r="IE1090" s="73"/>
      <c r="IF1090" s="73"/>
      <c r="IG1090" s="73"/>
      <c r="IH1090" s="73"/>
      <c r="II1090" s="73"/>
      <c r="IJ1090" s="73"/>
      <c r="IK1090" s="73"/>
      <c r="IL1090" s="73"/>
      <c r="IM1090" s="73"/>
      <c r="IN1090" s="73"/>
      <c r="IO1090" s="73"/>
      <c r="IP1090" s="73"/>
      <c r="IQ1090" s="73"/>
      <c r="IR1090" s="73"/>
      <c r="IS1090" s="73"/>
      <c r="IT1090" s="73"/>
      <c r="IU1090" s="73"/>
      <c r="IV1090" s="73"/>
      <c r="IW1090" s="73"/>
      <c r="IX1090" s="73"/>
      <c r="IY1090" s="73"/>
      <c r="IZ1090" s="73"/>
      <c r="JA1090" s="73"/>
      <c r="JB1090" s="73"/>
      <c r="JC1090" s="73"/>
    </row>
    <row r="1091" spans="2:263" s="72" customFormat="1">
      <c r="B1091" s="73"/>
      <c r="C1091" s="73"/>
      <c r="D1091" s="73"/>
      <c r="E1091" s="73"/>
      <c r="F1091" s="73"/>
      <c r="G1091" s="73"/>
      <c r="H1091" s="73"/>
      <c r="I1091" s="73"/>
      <c r="J1091" s="73"/>
      <c r="K1091" s="73"/>
      <c r="L1091" s="73"/>
      <c r="M1091" s="73"/>
      <c r="N1091" s="73"/>
      <c r="O1091" s="73"/>
      <c r="P1091" s="73"/>
      <c r="Q1091" s="73"/>
      <c r="R1091" s="73"/>
      <c r="S1091" s="73"/>
      <c r="T1091" s="73"/>
      <c r="U1091" s="73"/>
      <c r="V1091" s="73"/>
      <c r="W1091" s="73"/>
      <c r="GL1091" s="73"/>
      <c r="GM1091" s="73"/>
      <c r="GN1091" s="73"/>
      <c r="GO1091" s="73"/>
      <c r="GP1091" s="73"/>
      <c r="GQ1091" s="73"/>
      <c r="GR1091" s="73"/>
      <c r="GS1091" s="73"/>
      <c r="GT1091" s="73"/>
      <c r="GU1091" s="73"/>
      <c r="GV1091" s="73"/>
      <c r="GW1091" s="73"/>
      <c r="GX1091" s="73"/>
      <c r="GY1091" s="73"/>
      <c r="GZ1091" s="73"/>
      <c r="HA1091" s="73"/>
      <c r="HB1091" s="73"/>
      <c r="HC1091" s="73"/>
      <c r="HD1091" s="73"/>
      <c r="HE1091" s="73"/>
      <c r="HF1091" s="73"/>
      <c r="HG1091" s="73"/>
      <c r="HH1091" s="73"/>
      <c r="HI1091" s="73"/>
      <c r="HJ1091" s="73"/>
      <c r="HK1091" s="73"/>
      <c r="HL1091" s="73"/>
      <c r="HM1091" s="73"/>
      <c r="HN1091" s="73"/>
      <c r="HO1091" s="73"/>
      <c r="HP1091" s="73"/>
      <c r="HQ1091" s="73"/>
      <c r="HR1091" s="73"/>
      <c r="HS1091" s="73"/>
      <c r="HT1091" s="73"/>
      <c r="HU1091" s="73"/>
      <c r="HV1091" s="73"/>
      <c r="HW1091" s="73"/>
      <c r="HX1091" s="73"/>
      <c r="HY1091" s="73"/>
      <c r="HZ1091" s="73"/>
      <c r="IA1091" s="73"/>
      <c r="IB1091" s="73"/>
      <c r="IC1091" s="73"/>
      <c r="ID1091" s="73"/>
      <c r="IE1091" s="73"/>
      <c r="IF1091" s="73"/>
      <c r="IG1091" s="73"/>
      <c r="IH1091" s="73"/>
      <c r="II1091" s="73"/>
      <c r="IJ1091" s="73"/>
      <c r="IK1091" s="73"/>
      <c r="IL1091" s="73"/>
      <c r="IM1091" s="73"/>
      <c r="IN1091" s="73"/>
      <c r="IO1091" s="73"/>
      <c r="IP1091" s="73"/>
      <c r="IQ1091" s="73"/>
      <c r="IR1091" s="73"/>
      <c r="IS1091" s="73"/>
      <c r="IT1091" s="73"/>
      <c r="IU1091" s="73"/>
      <c r="IV1091" s="73"/>
      <c r="IW1091" s="73"/>
      <c r="IX1091" s="73"/>
      <c r="IY1091" s="73"/>
      <c r="IZ1091" s="73"/>
      <c r="JA1091" s="73"/>
      <c r="JB1091" s="73"/>
      <c r="JC1091" s="73"/>
    </row>
    <row r="1092" spans="2:263" s="72" customFormat="1">
      <c r="B1092" s="73"/>
      <c r="C1092" s="73"/>
      <c r="D1092" s="73"/>
      <c r="E1092" s="73"/>
      <c r="F1092" s="73"/>
      <c r="G1092" s="73"/>
      <c r="H1092" s="73"/>
      <c r="I1092" s="73"/>
      <c r="J1092" s="73"/>
      <c r="K1092" s="73"/>
      <c r="L1092" s="73"/>
      <c r="M1092" s="73"/>
      <c r="N1092" s="73"/>
      <c r="O1092" s="73"/>
      <c r="P1092" s="73"/>
      <c r="Q1092" s="73"/>
      <c r="R1092" s="73"/>
      <c r="S1092" s="73"/>
      <c r="T1092" s="73"/>
      <c r="U1092" s="73"/>
      <c r="V1092" s="73"/>
      <c r="W1092" s="73"/>
      <c r="GL1092" s="73"/>
      <c r="GM1092" s="73"/>
      <c r="GN1092" s="73"/>
      <c r="GO1092" s="73"/>
      <c r="GP1092" s="73"/>
      <c r="GQ1092" s="73"/>
      <c r="GR1092" s="73"/>
      <c r="GS1092" s="73"/>
      <c r="GT1092" s="73"/>
      <c r="GU1092" s="73"/>
      <c r="GV1092" s="73"/>
      <c r="GW1092" s="73"/>
      <c r="GX1092" s="73"/>
      <c r="GY1092" s="73"/>
      <c r="GZ1092" s="73"/>
      <c r="HA1092" s="73"/>
      <c r="HB1092" s="73"/>
      <c r="HC1092" s="73"/>
      <c r="HD1092" s="73"/>
      <c r="HE1092" s="73"/>
      <c r="HF1092" s="73"/>
      <c r="HG1092" s="73"/>
      <c r="HH1092" s="73"/>
      <c r="HI1092" s="73"/>
      <c r="HJ1092" s="73"/>
      <c r="HK1092" s="73"/>
      <c r="HL1092" s="73"/>
      <c r="HM1092" s="73"/>
      <c r="HN1092" s="73"/>
      <c r="HO1092" s="73"/>
      <c r="HP1092" s="73"/>
      <c r="HQ1092" s="73"/>
      <c r="HR1092" s="73"/>
      <c r="HS1092" s="73"/>
      <c r="HT1092" s="73"/>
      <c r="HU1092" s="73"/>
      <c r="HV1092" s="73"/>
      <c r="HW1092" s="73"/>
      <c r="HX1092" s="73"/>
      <c r="HY1092" s="73"/>
      <c r="HZ1092" s="73"/>
      <c r="IA1092" s="73"/>
      <c r="IB1092" s="73"/>
      <c r="IC1092" s="73"/>
      <c r="ID1092" s="73"/>
      <c r="IE1092" s="73"/>
      <c r="IF1092" s="73"/>
      <c r="IG1092" s="73"/>
      <c r="IH1092" s="73"/>
      <c r="II1092" s="73"/>
      <c r="IJ1092" s="73"/>
      <c r="IK1092" s="73"/>
      <c r="IL1092" s="73"/>
      <c r="IM1092" s="73"/>
      <c r="IN1092" s="73"/>
      <c r="IO1092" s="73"/>
      <c r="IP1092" s="73"/>
      <c r="IQ1092" s="73"/>
      <c r="IR1092" s="73"/>
      <c r="IS1092" s="73"/>
      <c r="IT1092" s="73"/>
      <c r="IU1092" s="73"/>
      <c r="IV1092" s="73"/>
      <c r="IW1092" s="73"/>
      <c r="IX1092" s="73"/>
      <c r="IY1092" s="73"/>
      <c r="IZ1092" s="73"/>
      <c r="JA1092" s="73"/>
      <c r="JB1092" s="73"/>
      <c r="JC1092" s="73"/>
    </row>
    <row r="1093" spans="2:263" s="72" customFormat="1">
      <c r="B1093" s="73"/>
      <c r="C1093" s="73"/>
      <c r="D1093" s="73"/>
      <c r="E1093" s="73"/>
      <c r="F1093" s="73"/>
      <c r="G1093" s="73"/>
      <c r="H1093" s="73"/>
      <c r="I1093" s="73"/>
      <c r="J1093" s="73"/>
      <c r="K1093" s="73"/>
      <c r="L1093" s="73"/>
      <c r="M1093" s="73"/>
      <c r="N1093" s="73"/>
      <c r="O1093" s="73"/>
      <c r="P1093" s="73"/>
      <c r="Q1093" s="73"/>
      <c r="R1093" s="73"/>
      <c r="S1093" s="73"/>
      <c r="T1093" s="73"/>
      <c r="U1093" s="73"/>
      <c r="V1093" s="73"/>
      <c r="W1093" s="73"/>
      <c r="GL1093" s="73"/>
      <c r="GM1093" s="73"/>
      <c r="GN1093" s="73"/>
      <c r="GO1093" s="73"/>
      <c r="GP1093" s="73"/>
      <c r="GQ1093" s="73"/>
      <c r="GR1093" s="73"/>
      <c r="GS1093" s="73"/>
      <c r="GT1093" s="73"/>
      <c r="GU1093" s="73"/>
      <c r="GV1093" s="73"/>
      <c r="GW1093" s="73"/>
      <c r="GX1093" s="73"/>
      <c r="GY1093" s="73"/>
      <c r="GZ1093" s="73"/>
      <c r="HA1093" s="73"/>
      <c r="HB1093" s="73"/>
      <c r="HC1093" s="73"/>
      <c r="HD1093" s="73"/>
      <c r="HE1093" s="73"/>
      <c r="HF1093" s="73"/>
      <c r="HG1093" s="73"/>
      <c r="HH1093" s="73"/>
      <c r="HI1093" s="73"/>
      <c r="HJ1093" s="73"/>
      <c r="HK1093" s="73"/>
      <c r="HL1093" s="73"/>
      <c r="HM1093" s="73"/>
      <c r="HN1093" s="73"/>
      <c r="HO1093" s="73"/>
      <c r="HP1093" s="73"/>
      <c r="HQ1093" s="73"/>
      <c r="HR1093" s="73"/>
      <c r="HS1093" s="73"/>
      <c r="HT1093" s="73"/>
      <c r="HU1093" s="73"/>
      <c r="HV1093" s="73"/>
      <c r="HW1093" s="73"/>
      <c r="HX1093" s="73"/>
      <c r="HY1093" s="73"/>
      <c r="HZ1093" s="73"/>
      <c r="IA1093" s="73"/>
      <c r="IB1093" s="73"/>
      <c r="IC1093" s="73"/>
      <c r="ID1093" s="73"/>
      <c r="IE1093" s="73"/>
      <c r="IF1093" s="73"/>
      <c r="IG1093" s="73"/>
      <c r="IH1093" s="73"/>
      <c r="II1093" s="73"/>
      <c r="IJ1093" s="73"/>
      <c r="IK1093" s="73"/>
      <c r="IL1093" s="73"/>
      <c r="IM1093" s="73"/>
      <c r="IN1093" s="73"/>
      <c r="IO1093" s="73"/>
      <c r="IP1093" s="73"/>
      <c r="IQ1093" s="73"/>
      <c r="IR1093" s="73"/>
      <c r="IS1093" s="73"/>
      <c r="IT1093" s="73"/>
      <c r="IU1093" s="73"/>
      <c r="IV1093" s="73"/>
      <c r="IW1093" s="73"/>
      <c r="IX1093" s="73"/>
      <c r="IY1093" s="73"/>
      <c r="IZ1093" s="73"/>
      <c r="JA1093" s="73"/>
      <c r="JB1093" s="73"/>
      <c r="JC1093" s="73"/>
    </row>
    <row r="1094" spans="2:263" s="72" customFormat="1">
      <c r="B1094" s="73"/>
      <c r="C1094" s="73"/>
      <c r="D1094" s="73"/>
      <c r="E1094" s="73"/>
      <c r="F1094" s="73"/>
      <c r="G1094" s="73"/>
      <c r="H1094" s="73"/>
      <c r="I1094" s="73"/>
      <c r="J1094" s="73"/>
      <c r="K1094" s="73"/>
      <c r="L1094" s="73"/>
      <c r="M1094" s="73"/>
      <c r="N1094" s="73"/>
      <c r="O1094" s="73"/>
      <c r="P1094" s="73"/>
      <c r="Q1094" s="73"/>
      <c r="R1094" s="73"/>
      <c r="S1094" s="73"/>
      <c r="T1094" s="73"/>
      <c r="U1094" s="73"/>
      <c r="V1094" s="73"/>
      <c r="W1094" s="73"/>
      <c r="GL1094" s="73"/>
      <c r="GM1094" s="73"/>
      <c r="GN1094" s="73"/>
      <c r="GO1094" s="73"/>
      <c r="GP1094" s="73"/>
      <c r="GQ1094" s="73"/>
      <c r="GR1094" s="73"/>
      <c r="GS1094" s="73"/>
      <c r="GT1094" s="73"/>
      <c r="GU1094" s="73"/>
      <c r="GV1094" s="73"/>
      <c r="GW1094" s="73"/>
      <c r="GX1094" s="73"/>
      <c r="GY1094" s="73"/>
      <c r="GZ1094" s="73"/>
      <c r="HA1094" s="73"/>
      <c r="HB1094" s="73"/>
      <c r="HC1094" s="73"/>
      <c r="HD1094" s="73"/>
      <c r="HE1094" s="73"/>
      <c r="HF1094" s="73"/>
      <c r="HG1094" s="73"/>
      <c r="HH1094" s="73"/>
      <c r="HI1094" s="73"/>
      <c r="HJ1094" s="73"/>
      <c r="HK1094" s="73"/>
      <c r="HL1094" s="73"/>
      <c r="HM1094" s="73"/>
      <c r="HN1094" s="73"/>
      <c r="HO1094" s="73"/>
      <c r="HP1094" s="73"/>
      <c r="HQ1094" s="73"/>
      <c r="HR1094" s="73"/>
      <c r="HS1094" s="73"/>
      <c r="HT1094" s="73"/>
      <c r="HU1094" s="73"/>
      <c r="HV1094" s="73"/>
      <c r="HW1094" s="73"/>
      <c r="HX1094" s="73"/>
      <c r="HY1094" s="73"/>
      <c r="HZ1094" s="73"/>
      <c r="IA1094" s="73"/>
      <c r="IB1094" s="73"/>
      <c r="IC1094" s="73"/>
      <c r="ID1094" s="73"/>
      <c r="IE1094" s="73"/>
      <c r="IF1094" s="73"/>
      <c r="IG1094" s="73"/>
      <c r="IH1094" s="73"/>
      <c r="II1094" s="73"/>
      <c r="IJ1094" s="73"/>
      <c r="IK1094" s="73"/>
      <c r="IL1094" s="73"/>
      <c r="IM1094" s="73"/>
      <c r="IN1094" s="73"/>
      <c r="IO1094" s="73"/>
      <c r="IP1094" s="73"/>
      <c r="IQ1094" s="73"/>
      <c r="IR1094" s="73"/>
      <c r="IS1094" s="73"/>
      <c r="IT1094" s="73"/>
      <c r="IU1094" s="73"/>
      <c r="IV1094" s="73"/>
      <c r="IW1094" s="73"/>
      <c r="IX1094" s="73"/>
      <c r="IY1094" s="73"/>
      <c r="IZ1094" s="73"/>
      <c r="JA1094" s="73"/>
      <c r="JB1094" s="73"/>
      <c r="JC1094" s="73"/>
    </row>
    <row r="1095" spans="2:263" s="72" customFormat="1">
      <c r="B1095" s="73"/>
      <c r="C1095" s="73"/>
      <c r="D1095" s="73"/>
      <c r="E1095" s="73"/>
      <c r="F1095" s="73"/>
      <c r="G1095" s="73"/>
      <c r="H1095" s="73"/>
      <c r="I1095" s="73"/>
      <c r="J1095" s="73"/>
      <c r="K1095" s="73"/>
      <c r="L1095" s="73"/>
      <c r="M1095" s="73"/>
      <c r="N1095" s="73"/>
      <c r="O1095" s="73"/>
      <c r="P1095" s="73"/>
      <c r="Q1095" s="73"/>
      <c r="R1095" s="73"/>
      <c r="S1095" s="73"/>
      <c r="T1095" s="73"/>
      <c r="U1095" s="73"/>
      <c r="V1095" s="73"/>
      <c r="W1095" s="73"/>
      <c r="GL1095" s="73"/>
      <c r="GM1095" s="73"/>
      <c r="GN1095" s="73"/>
      <c r="GO1095" s="73"/>
      <c r="GP1095" s="73"/>
      <c r="GQ1095" s="73"/>
      <c r="GR1095" s="73"/>
      <c r="GS1095" s="73"/>
      <c r="GT1095" s="73"/>
      <c r="GU1095" s="73"/>
      <c r="GV1095" s="73"/>
      <c r="GW1095" s="73"/>
      <c r="GX1095" s="73"/>
      <c r="GY1095" s="73"/>
      <c r="GZ1095" s="73"/>
      <c r="HA1095" s="73"/>
      <c r="HB1095" s="73"/>
      <c r="HC1095" s="73"/>
      <c r="HD1095" s="73"/>
      <c r="HE1095" s="73"/>
      <c r="HF1095" s="73"/>
      <c r="HG1095" s="73"/>
      <c r="HH1095" s="73"/>
      <c r="HI1095" s="73"/>
      <c r="HJ1095" s="73"/>
      <c r="HK1095" s="73"/>
      <c r="HL1095" s="73"/>
      <c r="HM1095" s="73"/>
      <c r="HN1095" s="73"/>
      <c r="HO1095" s="73"/>
      <c r="HP1095" s="73"/>
      <c r="HQ1095" s="73"/>
      <c r="HR1095" s="73"/>
      <c r="HS1095" s="73"/>
      <c r="HT1095" s="73"/>
      <c r="HU1095" s="73"/>
      <c r="HV1095" s="73"/>
      <c r="HW1095" s="73"/>
      <c r="HX1095" s="73"/>
      <c r="HY1095" s="73"/>
      <c r="HZ1095" s="73"/>
      <c r="IA1095" s="73"/>
      <c r="IB1095" s="73"/>
      <c r="IC1095" s="73"/>
      <c r="ID1095" s="73"/>
      <c r="IE1095" s="73"/>
      <c r="IF1095" s="73"/>
      <c r="IG1095" s="73"/>
      <c r="IH1095" s="73"/>
      <c r="II1095" s="73"/>
      <c r="IJ1095" s="73"/>
      <c r="IK1095" s="73"/>
      <c r="IL1095" s="73"/>
      <c r="IM1095" s="73"/>
      <c r="IN1095" s="73"/>
      <c r="IO1095" s="73"/>
      <c r="IP1095" s="73"/>
      <c r="IQ1095" s="73"/>
      <c r="IR1095" s="73"/>
      <c r="IS1095" s="73"/>
      <c r="IT1095" s="73"/>
      <c r="IU1095" s="73"/>
      <c r="IV1095" s="73"/>
      <c r="IW1095" s="73"/>
      <c r="IX1095" s="73"/>
      <c r="IY1095" s="73"/>
      <c r="IZ1095" s="73"/>
      <c r="JA1095" s="73"/>
      <c r="JB1095" s="73"/>
      <c r="JC1095" s="73"/>
    </row>
    <row r="1096" spans="2:263" s="72" customFormat="1">
      <c r="B1096" s="73"/>
      <c r="C1096" s="73"/>
      <c r="D1096" s="73"/>
      <c r="E1096" s="73"/>
      <c r="F1096" s="73"/>
      <c r="G1096" s="73"/>
      <c r="H1096" s="73"/>
      <c r="I1096" s="73"/>
      <c r="J1096" s="73"/>
      <c r="K1096" s="73"/>
      <c r="L1096" s="73"/>
      <c r="M1096" s="73"/>
      <c r="N1096" s="73"/>
      <c r="O1096" s="73"/>
      <c r="P1096" s="73"/>
      <c r="Q1096" s="73"/>
      <c r="R1096" s="73"/>
      <c r="S1096" s="73"/>
      <c r="T1096" s="73"/>
      <c r="U1096" s="73"/>
      <c r="V1096" s="73"/>
      <c r="W1096" s="73"/>
      <c r="GL1096" s="73"/>
      <c r="GM1096" s="73"/>
      <c r="GN1096" s="73"/>
      <c r="GO1096" s="73"/>
      <c r="GP1096" s="73"/>
      <c r="GQ1096" s="73"/>
      <c r="GR1096" s="73"/>
      <c r="GS1096" s="73"/>
      <c r="GT1096" s="73"/>
      <c r="GU1096" s="73"/>
      <c r="GV1096" s="73"/>
      <c r="GW1096" s="73"/>
      <c r="GX1096" s="73"/>
      <c r="GY1096" s="73"/>
      <c r="GZ1096" s="73"/>
      <c r="HA1096" s="73"/>
      <c r="HB1096" s="73"/>
      <c r="HC1096" s="73"/>
      <c r="HD1096" s="73"/>
      <c r="HE1096" s="73"/>
      <c r="HF1096" s="73"/>
      <c r="HG1096" s="73"/>
      <c r="HH1096" s="73"/>
      <c r="HI1096" s="73"/>
      <c r="HJ1096" s="73"/>
      <c r="HK1096" s="73"/>
      <c r="HL1096" s="73"/>
      <c r="HM1096" s="73"/>
      <c r="HN1096" s="73"/>
      <c r="HO1096" s="73"/>
      <c r="HP1096" s="73"/>
      <c r="HQ1096" s="73"/>
      <c r="HR1096" s="73"/>
      <c r="HS1096" s="73"/>
      <c r="HT1096" s="73"/>
      <c r="HU1096" s="73"/>
      <c r="HV1096" s="73"/>
      <c r="HW1096" s="73"/>
      <c r="HX1096" s="73"/>
      <c r="HY1096" s="73"/>
      <c r="HZ1096" s="73"/>
      <c r="IA1096" s="73"/>
      <c r="IB1096" s="73"/>
      <c r="IC1096" s="73"/>
      <c r="ID1096" s="73"/>
      <c r="IE1096" s="73"/>
      <c r="IF1096" s="73"/>
      <c r="IG1096" s="73"/>
      <c r="IH1096" s="73"/>
      <c r="II1096" s="73"/>
      <c r="IJ1096" s="73"/>
      <c r="IK1096" s="73"/>
      <c r="IL1096" s="73"/>
      <c r="IM1096" s="73"/>
      <c r="IN1096" s="73"/>
      <c r="IO1096" s="73"/>
      <c r="IP1096" s="73"/>
      <c r="IQ1096" s="73"/>
      <c r="IR1096" s="73"/>
      <c r="IS1096" s="73"/>
      <c r="IT1096" s="73"/>
      <c r="IU1096" s="73"/>
      <c r="IV1096" s="73"/>
      <c r="IW1096" s="73"/>
      <c r="IX1096" s="73"/>
      <c r="IY1096" s="73"/>
      <c r="IZ1096" s="73"/>
      <c r="JA1096" s="73"/>
      <c r="JB1096" s="73"/>
      <c r="JC1096" s="73"/>
    </row>
    <row r="1097" spans="2:263" s="72" customFormat="1">
      <c r="B1097" s="73"/>
      <c r="C1097" s="73"/>
      <c r="D1097" s="73"/>
      <c r="E1097" s="73"/>
      <c r="F1097" s="73"/>
      <c r="G1097" s="73"/>
      <c r="H1097" s="73"/>
      <c r="I1097" s="73"/>
      <c r="J1097" s="73"/>
      <c r="K1097" s="73"/>
      <c r="L1097" s="73"/>
      <c r="M1097" s="73"/>
      <c r="N1097" s="73"/>
      <c r="O1097" s="73"/>
      <c r="P1097" s="73"/>
      <c r="Q1097" s="73"/>
      <c r="R1097" s="73"/>
      <c r="S1097" s="73"/>
      <c r="T1097" s="73"/>
      <c r="U1097" s="73"/>
      <c r="V1097" s="73"/>
      <c r="W1097" s="73"/>
      <c r="GL1097" s="73"/>
      <c r="GM1097" s="73"/>
      <c r="GN1097" s="73"/>
      <c r="GO1097" s="73"/>
      <c r="GP1097" s="73"/>
      <c r="GQ1097" s="73"/>
      <c r="GR1097" s="73"/>
      <c r="GS1097" s="73"/>
      <c r="GT1097" s="73"/>
      <c r="GU1097" s="73"/>
      <c r="GV1097" s="73"/>
      <c r="GW1097" s="73"/>
      <c r="GX1097" s="73"/>
      <c r="GY1097" s="73"/>
      <c r="GZ1097" s="73"/>
      <c r="HA1097" s="73"/>
      <c r="HB1097" s="73"/>
      <c r="HC1097" s="73"/>
      <c r="HD1097" s="73"/>
      <c r="HE1097" s="73"/>
      <c r="HF1097" s="73"/>
      <c r="HG1097" s="73"/>
      <c r="HH1097" s="73"/>
      <c r="HI1097" s="73"/>
      <c r="HJ1097" s="73"/>
      <c r="HK1097" s="73"/>
      <c r="HL1097" s="73"/>
      <c r="HM1097" s="73"/>
      <c r="HN1097" s="73"/>
      <c r="HO1097" s="73"/>
      <c r="HP1097" s="73"/>
      <c r="HQ1097" s="73"/>
      <c r="HR1097" s="73"/>
      <c r="HS1097" s="73"/>
      <c r="HT1097" s="73"/>
      <c r="HU1097" s="73"/>
      <c r="HV1097" s="73"/>
      <c r="HW1097" s="73"/>
      <c r="HX1097" s="73"/>
      <c r="HY1097" s="73"/>
      <c r="HZ1097" s="73"/>
      <c r="IA1097" s="73"/>
      <c r="IB1097" s="73"/>
      <c r="IC1097" s="73"/>
      <c r="ID1097" s="73"/>
      <c r="IE1097" s="73"/>
      <c r="IF1097" s="73"/>
      <c r="IG1097" s="73"/>
      <c r="IH1097" s="73"/>
      <c r="II1097" s="73"/>
      <c r="IJ1097" s="73"/>
      <c r="IK1097" s="73"/>
      <c r="IL1097" s="73"/>
      <c r="IM1097" s="73"/>
      <c r="IN1097" s="73"/>
      <c r="IO1097" s="73"/>
      <c r="IP1097" s="73"/>
      <c r="IQ1097" s="73"/>
      <c r="IR1097" s="73"/>
      <c r="IS1097" s="73"/>
      <c r="IT1097" s="73"/>
      <c r="IU1097" s="73"/>
      <c r="IV1097" s="73"/>
      <c r="IW1097" s="73"/>
      <c r="IX1097" s="73"/>
      <c r="IY1097" s="73"/>
      <c r="IZ1097" s="73"/>
      <c r="JA1097" s="73"/>
      <c r="JB1097" s="73"/>
      <c r="JC1097" s="73"/>
    </row>
    <row r="1098" spans="2:263" s="72" customFormat="1">
      <c r="B1098" s="73"/>
      <c r="C1098" s="73"/>
      <c r="D1098" s="73"/>
      <c r="E1098" s="73"/>
      <c r="F1098" s="73"/>
      <c r="G1098" s="73"/>
      <c r="H1098" s="73"/>
      <c r="I1098" s="73"/>
      <c r="J1098" s="73"/>
      <c r="K1098" s="73"/>
      <c r="L1098" s="73"/>
      <c r="M1098" s="73"/>
      <c r="N1098" s="73"/>
      <c r="O1098" s="73"/>
      <c r="P1098" s="73"/>
      <c r="Q1098" s="73"/>
      <c r="R1098" s="73"/>
      <c r="S1098" s="73"/>
      <c r="T1098" s="73"/>
      <c r="U1098" s="73"/>
      <c r="V1098" s="73"/>
      <c r="W1098" s="73"/>
      <c r="GL1098" s="73"/>
      <c r="GM1098" s="73"/>
      <c r="GN1098" s="73"/>
      <c r="GO1098" s="73"/>
      <c r="GP1098" s="73"/>
      <c r="GQ1098" s="73"/>
      <c r="GR1098" s="73"/>
      <c r="GS1098" s="73"/>
      <c r="GT1098" s="73"/>
      <c r="GU1098" s="73"/>
      <c r="GV1098" s="73"/>
      <c r="GW1098" s="73"/>
      <c r="GX1098" s="73"/>
      <c r="GY1098" s="73"/>
      <c r="GZ1098" s="73"/>
      <c r="HA1098" s="73"/>
      <c r="HB1098" s="73"/>
      <c r="HC1098" s="73"/>
      <c r="HD1098" s="73"/>
      <c r="HE1098" s="73"/>
      <c r="HF1098" s="73"/>
      <c r="HG1098" s="73"/>
      <c r="HH1098" s="73"/>
      <c r="HI1098" s="73"/>
      <c r="HJ1098" s="73"/>
      <c r="HK1098" s="73"/>
      <c r="HL1098" s="73"/>
      <c r="HM1098" s="73"/>
      <c r="HN1098" s="73"/>
      <c r="HO1098" s="73"/>
      <c r="HP1098" s="73"/>
      <c r="HQ1098" s="73"/>
      <c r="HR1098" s="73"/>
      <c r="HS1098" s="73"/>
      <c r="HT1098" s="73"/>
      <c r="HU1098" s="73"/>
      <c r="HV1098" s="73"/>
      <c r="HW1098" s="73"/>
      <c r="HX1098" s="73"/>
      <c r="HY1098" s="73"/>
      <c r="HZ1098" s="73"/>
      <c r="IA1098" s="73"/>
      <c r="IB1098" s="73"/>
      <c r="IC1098" s="73"/>
      <c r="ID1098" s="73"/>
      <c r="IE1098" s="73"/>
      <c r="IF1098" s="73"/>
      <c r="IG1098" s="73"/>
      <c r="IH1098" s="73"/>
      <c r="II1098" s="73"/>
      <c r="IJ1098" s="73"/>
      <c r="IK1098" s="73"/>
      <c r="IL1098" s="73"/>
      <c r="IM1098" s="73"/>
      <c r="IN1098" s="73"/>
      <c r="IO1098" s="73"/>
      <c r="IP1098" s="73"/>
      <c r="IQ1098" s="73"/>
      <c r="IR1098" s="73"/>
      <c r="IS1098" s="73"/>
      <c r="IT1098" s="73"/>
      <c r="IU1098" s="73"/>
      <c r="IV1098" s="73"/>
      <c r="IW1098" s="73"/>
      <c r="IX1098" s="73"/>
      <c r="IY1098" s="73"/>
      <c r="IZ1098" s="73"/>
      <c r="JA1098" s="73"/>
      <c r="JB1098" s="73"/>
      <c r="JC1098" s="73"/>
    </row>
    <row r="1099" spans="2:263" s="72" customFormat="1">
      <c r="B1099" s="73"/>
      <c r="C1099" s="73"/>
      <c r="D1099" s="73"/>
      <c r="E1099" s="73"/>
      <c r="F1099" s="73"/>
      <c r="G1099" s="73"/>
      <c r="H1099" s="73"/>
      <c r="I1099" s="73"/>
      <c r="J1099" s="73"/>
      <c r="K1099" s="73"/>
      <c r="L1099" s="73"/>
      <c r="M1099" s="73"/>
      <c r="N1099" s="73"/>
      <c r="O1099" s="73"/>
      <c r="P1099" s="73"/>
      <c r="Q1099" s="73"/>
      <c r="R1099" s="73"/>
      <c r="S1099" s="73"/>
      <c r="T1099" s="73"/>
      <c r="U1099" s="73"/>
      <c r="V1099" s="73"/>
      <c r="W1099" s="73"/>
      <c r="GL1099" s="73"/>
      <c r="GM1099" s="73"/>
      <c r="GN1099" s="73"/>
      <c r="GO1099" s="73"/>
      <c r="GP1099" s="73"/>
      <c r="GQ1099" s="73"/>
      <c r="GR1099" s="73"/>
      <c r="GS1099" s="73"/>
      <c r="GT1099" s="73"/>
      <c r="GU1099" s="73"/>
      <c r="GV1099" s="73"/>
      <c r="GW1099" s="73"/>
      <c r="GX1099" s="73"/>
      <c r="GY1099" s="73"/>
      <c r="GZ1099" s="73"/>
      <c r="HA1099" s="73"/>
      <c r="HB1099" s="73"/>
      <c r="HC1099" s="73"/>
      <c r="HD1099" s="73"/>
      <c r="HE1099" s="73"/>
      <c r="HF1099" s="73"/>
      <c r="HG1099" s="73"/>
      <c r="HH1099" s="73"/>
      <c r="HI1099" s="73"/>
      <c r="HJ1099" s="73"/>
      <c r="HK1099" s="73"/>
      <c r="HL1099" s="73"/>
      <c r="HM1099" s="73"/>
      <c r="HN1099" s="73"/>
      <c r="HO1099" s="73"/>
      <c r="HP1099" s="73"/>
      <c r="HQ1099" s="73"/>
      <c r="HR1099" s="73"/>
      <c r="HS1099" s="73"/>
      <c r="HT1099" s="73"/>
      <c r="HU1099" s="73"/>
      <c r="HV1099" s="73"/>
      <c r="HW1099" s="73"/>
      <c r="HX1099" s="73"/>
      <c r="HY1099" s="73"/>
      <c r="HZ1099" s="73"/>
      <c r="IA1099" s="73"/>
      <c r="IB1099" s="73"/>
      <c r="IC1099" s="73"/>
      <c r="ID1099" s="73"/>
      <c r="IE1099" s="73"/>
      <c r="IF1099" s="73"/>
      <c r="IG1099" s="73"/>
      <c r="IH1099" s="73"/>
      <c r="II1099" s="73"/>
      <c r="IJ1099" s="73"/>
      <c r="IK1099" s="73"/>
      <c r="IL1099" s="73"/>
      <c r="IM1099" s="73"/>
      <c r="IN1099" s="73"/>
      <c r="IO1099" s="73"/>
      <c r="IP1099" s="73"/>
      <c r="IQ1099" s="73"/>
      <c r="IR1099" s="73"/>
      <c r="IS1099" s="73"/>
      <c r="IT1099" s="73"/>
      <c r="IU1099" s="73"/>
      <c r="IV1099" s="73"/>
      <c r="IW1099" s="73"/>
      <c r="IX1099" s="73"/>
      <c r="IY1099" s="73"/>
      <c r="IZ1099" s="73"/>
      <c r="JA1099" s="73"/>
      <c r="JB1099" s="73"/>
      <c r="JC1099" s="73"/>
    </row>
    <row r="1100" spans="2:263" s="72" customFormat="1">
      <c r="B1100" s="73"/>
      <c r="C1100" s="73"/>
      <c r="D1100" s="73"/>
      <c r="E1100" s="73"/>
      <c r="F1100" s="73"/>
      <c r="G1100" s="73"/>
      <c r="H1100" s="73"/>
      <c r="I1100" s="73"/>
      <c r="J1100" s="73"/>
      <c r="K1100" s="73"/>
      <c r="L1100" s="73"/>
      <c r="M1100" s="73"/>
      <c r="N1100" s="73"/>
      <c r="O1100" s="73"/>
      <c r="P1100" s="73"/>
      <c r="Q1100" s="73"/>
      <c r="R1100" s="73"/>
      <c r="S1100" s="73"/>
      <c r="T1100" s="73"/>
      <c r="U1100" s="73"/>
      <c r="V1100" s="73"/>
      <c r="W1100" s="73"/>
      <c r="GL1100" s="73"/>
      <c r="GM1100" s="73"/>
      <c r="GN1100" s="73"/>
      <c r="GO1100" s="73"/>
      <c r="GP1100" s="73"/>
      <c r="GQ1100" s="73"/>
      <c r="GR1100" s="73"/>
      <c r="GS1100" s="73"/>
      <c r="GT1100" s="73"/>
      <c r="GU1100" s="73"/>
      <c r="GV1100" s="73"/>
      <c r="GW1100" s="73"/>
      <c r="GX1100" s="73"/>
      <c r="GY1100" s="73"/>
      <c r="GZ1100" s="73"/>
      <c r="HA1100" s="73"/>
      <c r="HB1100" s="73"/>
      <c r="HC1100" s="73"/>
      <c r="HD1100" s="73"/>
      <c r="HE1100" s="73"/>
      <c r="HF1100" s="73"/>
      <c r="HG1100" s="73"/>
      <c r="HH1100" s="73"/>
      <c r="HI1100" s="73"/>
      <c r="HJ1100" s="73"/>
      <c r="HK1100" s="73"/>
      <c r="HL1100" s="73"/>
      <c r="HM1100" s="73"/>
      <c r="HN1100" s="73"/>
      <c r="HO1100" s="73"/>
      <c r="HP1100" s="73"/>
      <c r="HQ1100" s="73"/>
      <c r="HR1100" s="73"/>
      <c r="HS1100" s="73"/>
      <c r="HT1100" s="73"/>
      <c r="HU1100" s="73"/>
      <c r="HV1100" s="73"/>
      <c r="HW1100" s="73"/>
      <c r="HX1100" s="73"/>
      <c r="HY1100" s="73"/>
      <c r="HZ1100" s="73"/>
      <c r="IA1100" s="73"/>
      <c r="IB1100" s="73"/>
      <c r="IC1100" s="73"/>
      <c r="ID1100" s="73"/>
      <c r="IE1100" s="73"/>
      <c r="IF1100" s="73"/>
      <c r="IG1100" s="73"/>
      <c r="IH1100" s="73"/>
      <c r="II1100" s="73"/>
      <c r="IJ1100" s="73"/>
      <c r="IK1100" s="73"/>
      <c r="IL1100" s="73"/>
      <c r="IM1100" s="73"/>
      <c r="IN1100" s="73"/>
      <c r="IO1100" s="73"/>
      <c r="IP1100" s="73"/>
      <c r="IQ1100" s="73"/>
      <c r="IR1100" s="73"/>
      <c r="IS1100" s="73"/>
      <c r="IT1100" s="73"/>
      <c r="IU1100" s="73"/>
      <c r="IV1100" s="73"/>
      <c r="IW1100" s="73"/>
      <c r="IX1100" s="73"/>
      <c r="IY1100" s="73"/>
      <c r="IZ1100" s="73"/>
      <c r="JA1100" s="73"/>
      <c r="JB1100" s="73"/>
      <c r="JC1100" s="73"/>
    </row>
    <row r="1101" spans="2:263" s="72" customFormat="1">
      <c r="B1101" s="73"/>
      <c r="C1101" s="73"/>
      <c r="D1101" s="73"/>
      <c r="E1101" s="73"/>
      <c r="F1101" s="73"/>
      <c r="G1101" s="73"/>
      <c r="H1101" s="73"/>
      <c r="I1101" s="73"/>
      <c r="J1101" s="73"/>
      <c r="K1101" s="73"/>
      <c r="L1101" s="73"/>
      <c r="M1101" s="73"/>
      <c r="N1101" s="73"/>
      <c r="O1101" s="73"/>
      <c r="P1101" s="73"/>
      <c r="Q1101" s="73"/>
      <c r="R1101" s="73"/>
      <c r="S1101" s="73"/>
      <c r="T1101" s="73"/>
      <c r="U1101" s="73"/>
      <c r="V1101" s="73"/>
      <c r="W1101" s="73"/>
      <c r="GL1101" s="73"/>
      <c r="GM1101" s="73"/>
      <c r="GN1101" s="73"/>
      <c r="GO1101" s="73"/>
      <c r="GP1101" s="73"/>
      <c r="GQ1101" s="73"/>
      <c r="GR1101" s="73"/>
      <c r="GS1101" s="73"/>
      <c r="GT1101" s="73"/>
      <c r="GU1101" s="73"/>
      <c r="GV1101" s="73"/>
      <c r="GW1101" s="73"/>
      <c r="GX1101" s="73"/>
      <c r="GY1101" s="73"/>
      <c r="GZ1101" s="73"/>
      <c r="HA1101" s="73"/>
      <c r="HB1101" s="73"/>
      <c r="HC1101" s="73"/>
      <c r="HD1101" s="73"/>
      <c r="HE1101" s="73"/>
      <c r="HF1101" s="73"/>
      <c r="HG1101" s="73"/>
      <c r="HH1101" s="73"/>
      <c r="HI1101" s="73"/>
      <c r="HJ1101" s="73"/>
      <c r="HK1101" s="73"/>
      <c r="HL1101" s="73"/>
      <c r="HM1101" s="73"/>
      <c r="HN1101" s="73"/>
      <c r="HO1101" s="73"/>
      <c r="HP1101" s="73"/>
      <c r="HQ1101" s="73"/>
      <c r="HR1101" s="73"/>
      <c r="HS1101" s="73"/>
      <c r="HT1101" s="73"/>
      <c r="HU1101" s="73"/>
      <c r="HV1101" s="73"/>
      <c r="HW1101" s="73"/>
      <c r="HX1101" s="73"/>
      <c r="HY1101" s="73"/>
      <c r="HZ1101" s="73"/>
      <c r="IA1101" s="73"/>
      <c r="IB1101" s="73"/>
      <c r="IC1101" s="73"/>
      <c r="ID1101" s="73"/>
      <c r="IE1101" s="73"/>
      <c r="IF1101" s="73"/>
      <c r="IG1101" s="73"/>
      <c r="IH1101" s="73"/>
      <c r="II1101" s="73"/>
      <c r="IJ1101" s="73"/>
      <c r="IK1101" s="73"/>
      <c r="IL1101" s="73"/>
      <c r="IM1101" s="73"/>
      <c r="IN1101" s="73"/>
      <c r="IO1101" s="73"/>
      <c r="IP1101" s="73"/>
      <c r="IQ1101" s="73"/>
      <c r="IR1101" s="73"/>
      <c r="IS1101" s="73"/>
      <c r="IT1101" s="73"/>
      <c r="IU1101" s="73"/>
      <c r="IV1101" s="73"/>
      <c r="IW1101" s="73"/>
      <c r="IX1101" s="73"/>
      <c r="IY1101" s="73"/>
      <c r="IZ1101" s="73"/>
      <c r="JA1101" s="73"/>
      <c r="JB1101" s="73"/>
      <c r="JC1101" s="73"/>
    </row>
    <row r="1102" spans="2:263" s="72" customFormat="1">
      <c r="B1102" s="73"/>
      <c r="C1102" s="73"/>
      <c r="D1102" s="73"/>
      <c r="E1102" s="73"/>
      <c r="F1102" s="73"/>
      <c r="G1102" s="73"/>
      <c r="H1102" s="73"/>
      <c r="I1102" s="73"/>
      <c r="J1102" s="73"/>
      <c r="K1102" s="73"/>
      <c r="L1102" s="73"/>
      <c r="M1102" s="73"/>
      <c r="N1102" s="73"/>
      <c r="O1102" s="73"/>
      <c r="P1102" s="73"/>
      <c r="Q1102" s="73"/>
      <c r="R1102" s="73"/>
      <c r="S1102" s="73"/>
      <c r="T1102" s="73"/>
      <c r="U1102" s="73"/>
      <c r="V1102" s="73"/>
      <c r="W1102" s="73"/>
      <c r="GL1102" s="73"/>
      <c r="GM1102" s="73"/>
      <c r="GN1102" s="73"/>
      <c r="GO1102" s="73"/>
      <c r="GP1102" s="73"/>
      <c r="GQ1102" s="73"/>
      <c r="GR1102" s="73"/>
      <c r="GS1102" s="73"/>
      <c r="GT1102" s="73"/>
      <c r="GU1102" s="73"/>
      <c r="GV1102" s="73"/>
      <c r="GW1102" s="73"/>
      <c r="GX1102" s="73"/>
      <c r="GY1102" s="73"/>
      <c r="GZ1102" s="73"/>
      <c r="HA1102" s="73"/>
      <c r="HB1102" s="73"/>
      <c r="HC1102" s="73"/>
      <c r="HD1102" s="73"/>
      <c r="HE1102" s="73"/>
      <c r="HF1102" s="73"/>
      <c r="HG1102" s="73"/>
      <c r="HH1102" s="73"/>
      <c r="HI1102" s="73"/>
      <c r="HJ1102" s="73"/>
      <c r="HK1102" s="73"/>
      <c r="HL1102" s="73"/>
      <c r="HM1102" s="73"/>
      <c r="HN1102" s="73"/>
      <c r="HO1102" s="73"/>
      <c r="HP1102" s="73"/>
      <c r="HQ1102" s="73"/>
      <c r="HR1102" s="73"/>
      <c r="HS1102" s="73"/>
      <c r="HT1102" s="73"/>
      <c r="HU1102" s="73"/>
      <c r="HV1102" s="73"/>
      <c r="HW1102" s="73"/>
      <c r="HX1102" s="73"/>
      <c r="HY1102" s="73"/>
      <c r="HZ1102" s="73"/>
      <c r="IA1102" s="73"/>
      <c r="IB1102" s="73"/>
      <c r="IC1102" s="73"/>
      <c r="ID1102" s="73"/>
      <c r="IE1102" s="73"/>
      <c r="IF1102" s="73"/>
      <c r="IG1102" s="73"/>
      <c r="IH1102" s="73"/>
      <c r="II1102" s="73"/>
      <c r="IJ1102" s="73"/>
      <c r="IK1102" s="73"/>
      <c r="IL1102" s="73"/>
      <c r="IM1102" s="73"/>
      <c r="IN1102" s="73"/>
      <c r="IO1102" s="73"/>
      <c r="IP1102" s="73"/>
      <c r="IQ1102" s="73"/>
      <c r="IR1102" s="73"/>
      <c r="IS1102" s="73"/>
      <c r="IT1102" s="73"/>
      <c r="IU1102" s="73"/>
      <c r="IV1102" s="73"/>
      <c r="IW1102" s="73"/>
      <c r="IX1102" s="73"/>
      <c r="IY1102" s="73"/>
      <c r="IZ1102" s="73"/>
      <c r="JA1102" s="73"/>
      <c r="JB1102" s="73"/>
      <c r="JC1102" s="73"/>
    </row>
    <row r="1103" spans="2:263" s="72" customFormat="1">
      <c r="B1103" s="73"/>
      <c r="C1103" s="73"/>
      <c r="D1103" s="73"/>
      <c r="E1103" s="73"/>
      <c r="F1103" s="73"/>
      <c r="G1103" s="73"/>
      <c r="H1103" s="73"/>
      <c r="I1103" s="73"/>
      <c r="J1103" s="73"/>
      <c r="K1103" s="73"/>
      <c r="L1103" s="73"/>
      <c r="M1103" s="73"/>
      <c r="N1103" s="73"/>
      <c r="O1103" s="73"/>
      <c r="P1103" s="73"/>
      <c r="Q1103" s="73"/>
      <c r="R1103" s="73"/>
      <c r="S1103" s="73"/>
      <c r="T1103" s="73"/>
      <c r="U1103" s="73"/>
      <c r="V1103" s="73"/>
      <c r="W1103" s="73"/>
      <c r="GL1103" s="73"/>
      <c r="GM1103" s="73"/>
      <c r="GN1103" s="73"/>
      <c r="GO1103" s="73"/>
      <c r="GP1103" s="73"/>
      <c r="GQ1103" s="73"/>
      <c r="GR1103" s="73"/>
      <c r="GS1103" s="73"/>
      <c r="GT1103" s="73"/>
      <c r="GU1103" s="73"/>
      <c r="GV1103" s="73"/>
      <c r="GW1103" s="73"/>
      <c r="GX1103" s="73"/>
      <c r="GY1103" s="73"/>
      <c r="GZ1103" s="73"/>
      <c r="HA1103" s="73"/>
      <c r="HB1103" s="73"/>
      <c r="HC1103" s="73"/>
      <c r="HD1103" s="73"/>
      <c r="HE1103" s="73"/>
      <c r="HF1103" s="73"/>
      <c r="HG1103" s="73"/>
      <c r="HH1103" s="73"/>
      <c r="HI1103" s="73"/>
      <c r="HJ1103" s="73"/>
      <c r="HK1103" s="73"/>
      <c r="HL1103" s="73"/>
      <c r="HM1103" s="73"/>
      <c r="HN1103" s="73"/>
      <c r="HO1103" s="73"/>
      <c r="HP1103" s="73"/>
      <c r="HQ1103" s="73"/>
      <c r="HR1103" s="73"/>
      <c r="HS1103" s="73"/>
      <c r="HT1103" s="73"/>
      <c r="HU1103" s="73"/>
      <c r="HV1103" s="73"/>
      <c r="HW1103" s="73"/>
      <c r="HX1103" s="73"/>
      <c r="HY1103" s="73"/>
      <c r="HZ1103" s="73"/>
      <c r="IA1103" s="73"/>
      <c r="IB1103" s="73"/>
      <c r="IC1103" s="73"/>
      <c r="ID1103" s="73"/>
      <c r="IE1103" s="73"/>
      <c r="IF1103" s="73"/>
      <c r="IG1103" s="73"/>
      <c r="IH1103" s="73"/>
      <c r="II1103" s="73"/>
      <c r="IJ1103" s="73"/>
      <c r="IK1103" s="73"/>
      <c r="IL1103" s="73"/>
      <c r="IM1103" s="73"/>
      <c r="IN1103" s="73"/>
      <c r="IO1103" s="73"/>
      <c r="IP1103" s="73"/>
      <c r="IQ1103" s="73"/>
      <c r="IR1103" s="73"/>
      <c r="IS1103" s="73"/>
      <c r="IT1103" s="73"/>
      <c r="IU1103" s="73"/>
      <c r="IV1103" s="73"/>
      <c r="IW1103" s="73"/>
      <c r="IX1103" s="73"/>
      <c r="IY1103" s="73"/>
      <c r="IZ1103" s="73"/>
      <c r="JA1103" s="73"/>
      <c r="JB1103" s="73"/>
      <c r="JC1103" s="73"/>
    </row>
    <row r="1104" spans="2:263" s="72" customFormat="1">
      <c r="B1104" s="73"/>
      <c r="C1104" s="73"/>
      <c r="D1104" s="73"/>
      <c r="E1104" s="73"/>
      <c r="F1104" s="73"/>
      <c r="G1104" s="73"/>
      <c r="H1104" s="73"/>
      <c r="I1104" s="73"/>
      <c r="J1104" s="73"/>
      <c r="K1104" s="73"/>
      <c r="L1104" s="73"/>
      <c r="M1104" s="73"/>
      <c r="N1104" s="73"/>
      <c r="O1104" s="73"/>
      <c r="P1104" s="73"/>
      <c r="Q1104" s="73"/>
      <c r="R1104" s="73"/>
      <c r="S1104" s="73"/>
      <c r="T1104" s="73"/>
      <c r="U1104" s="73"/>
      <c r="V1104" s="73"/>
      <c r="W1104" s="73"/>
      <c r="GL1104" s="73"/>
      <c r="GM1104" s="73"/>
      <c r="GN1104" s="73"/>
      <c r="GO1104" s="73"/>
      <c r="GP1104" s="73"/>
      <c r="GQ1104" s="73"/>
      <c r="GR1104" s="73"/>
      <c r="GS1104" s="73"/>
      <c r="GT1104" s="73"/>
      <c r="GU1104" s="73"/>
      <c r="GV1104" s="73"/>
      <c r="GW1104" s="73"/>
      <c r="GX1104" s="73"/>
      <c r="GY1104" s="73"/>
      <c r="GZ1104" s="73"/>
      <c r="HA1104" s="73"/>
      <c r="HB1104" s="73"/>
      <c r="HC1104" s="73"/>
      <c r="HD1104" s="73"/>
      <c r="HE1104" s="73"/>
      <c r="HF1104" s="73"/>
      <c r="HG1104" s="73"/>
      <c r="HH1104" s="73"/>
      <c r="HI1104" s="73"/>
      <c r="HJ1104" s="73"/>
      <c r="HK1104" s="73"/>
      <c r="HL1104" s="73"/>
      <c r="HM1104" s="73"/>
      <c r="HN1104" s="73"/>
      <c r="HO1104" s="73"/>
      <c r="HP1104" s="73"/>
      <c r="HQ1104" s="73"/>
      <c r="HR1104" s="73"/>
      <c r="HS1104" s="73"/>
      <c r="HT1104" s="73"/>
      <c r="HU1104" s="73"/>
      <c r="HV1104" s="73"/>
      <c r="HW1104" s="73"/>
      <c r="HX1104" s="73"/>
      <c r="HY1104" s="73"/>
      <c r="HZ1104" s="73"/>
      <c r="IA1104" s="73"/>
      <c r="IB1104" s="73"/>
      <c r="IC1104" s="73"/>
      <c r="ID1104" s="73"/>
      <c r="IE1104" s="73"/>
      <c r="IF1104" s="73"/>
      <c r="IG1104" s="73"/>
      <c r="IH1104" s="73"/>
      <c r="II1104" s="73"/>
      <c r="IJ1104" s="73"/>
      <c r="IK1104" s="73"/>
      <c r="IL1104" s="73"/>
      <c r="IM1104" s="73"/>
      <c r="IN1104" s="73"/>
      <c r="IO1104" s="73"/>
      <c r="IP1104" s="73"/>
      <c r="IQ1104" s="73"/>
      <c r="IR1104" s="73"/>
      <c r="IS1104" s="73"/>
      <c r="IT1104" s="73"/>
      <c r="IU1104" s="73"/>
      <c r="IV1104" s="73"/>
      <c r="IW1104" s="73"/>
      <c r="IX1104" s="73"/>
      <c r="IY1104" s="73"/>
      <c r="IZ1104" s="73"/>
      <c r="JA1104" s="73"/>
      <c r="JB1104" s="73"/>
      <c r="JC1104" s="73"/>
    </row>
    <row r="1105" spans="2:263" s="72" customFormat="1">
      <c r="B1105" s="73"/>
      <c r="C1105" s="73"/>
      <c r="D1105" s="73"/>
      <c r="E1105" s="73"/>
      <c r="F1105" s="73"/>
      <c r="G1105" s="73"/>
      <c r="H1105" s="73"/>
      <c r="I1105" s="73"/>
      <c r="J1105" s="73"/>
      <c r="K1105" s="73"/>
      <c r="L1105" s="73"/>
      <c r="M1105" s="73"/>
      <c r="N1105" s="73"/>
      <c r="O1105" s="73"/>
      <c r="P1105" s="73"/>
      <c r="Q1105" s="73"/>
      <c r="R1105" s="73"/>
      <c r="S1105" s="73"/>
      <c r="T1105" s="73"/>
      <c r="U1105" s="73"/>
      <c r="V1105" s="73"/>
      <c r="W1105" s="73"/>
      <c r="GL1105" s="73"/>
      <c r="GM1105" s="73"/>
      <c r="GN1105" s="73"/>
      <c r="GO1105" s="73"/>
      <c r="GP1105" s="73"/>
      <c r="GQ1105" s="73"/>
      <c r="GR1105" s="73"/>
      <c r="GS1105" s="73"/>
      <c r="GT1105" s="73"/>
      <c r="GU1105" s="73"/>
      <c r="GV1105" s="73"/>
      <c r="GW1105" s="73"/>
      <c r="GX1105" s="73"/>
      <c r="GY1105" s="73"/>
      <c r="GZ1105" s="73"/>
      <c r="HA1105" s="73"/>
      <c r="HB1105" s="73"/>
      <c r="HC1105" s="73"/>
      <c r="HD1105" s="73"/>
      <c r="HE1105" s="73"/>
      <c r="HF1105" s="73"/>
      <c r="HG1105" s="73"/>
      <c r="HH1105" s="73"/>
      <c r="HI1105" s="73"/>
      <c r="HJ1105" s="73"/>
      <c r="HK1105" s="73"/>
      <c r="HL1105" s="73"/>
      <c r="HM1105" s="73"/>
      <c r="HN1105" s="73"/>
      <c r="HO1105" s="73"/>
      <c r="HP1105" s="73"/>
      <c r="HQ1105" s="73"/>
      <c r="HR1105" s="73"/>
      <c r="HS1105" s="73"/>
      <c r="HT1105" s="73"/>
      <c r="HU1105" s="73"/>
      <c r="HV1105" s="73"/>
      <c r="HW1105" s="73"/>
      <c r="HX1105" s="73"/>
      <c r="HY1105" s="73"/>
      <c r="HZ1105" s="73"/>
      <c r="IA1105" s="73"/>
      <c r="IB1105" s="73"/>
      <c r="IC1105" s="73"/>
      <c r="ID1105" s="73"/>
      <c r="IE1105" s="73"/>
      <c r="IF1105" s="73"/>
      <c r="IG1105" s="73"/>
      <c r="IH1105" s="73"/>
      <c r="II1105" s="73"/>
      <c r="IJ1105" s="73"/>
      <c r="IK1105" s="73"/>
      <c r="IL1105" s="73"/>
      <c r="IM1105" s="73"/>
      <c r="IN1105" s="73"/>
      <c r="IO1105" s="73"/>
      <c r="IP1105" s="73"/>
      <c r="IQ1105" s="73"/>
      <c r="IR1105" s="73"/>
      <c r="IS1105" s="73"/>
      <c r="IT1105" s="73"/>
      <c r="IU1105" s="73"/>
      <c r="IV1105" s="73"/>
      <c r="IW1105" s="73"/>
      <c r="IX1105" s="73"/>
      <c r="IY1105" s="73"/>
      <c r="IZ1105" s="73"/>
      <c r="JA1105" s="73"/>
      <c r="JB1105" s="73"/>
      <c r="JC1105" s="73"/>
    </row>
    <row r="1106" spans="2:263" s="72" customFormat="1">
      <c r="B1106" s="73"/>
      <c r="C1106" s="73"/>
      <c r="D1106" s="73"/>
      <c r="E1106" s="73"/>
      <c r="F1106" s="73"/>
      <c r="G1106" s="73"/>
      <c r="H1106" s="73"/>
      <c r="I1106" s="73"/>
      <c r="J1106" s="73"/>
      <c r="K1106" s="73"/>
      <c r="L1106" s="73"/>
      <c r="M1106" s="73"/>
      <c r="N1106" s="73"/>
      <c r="O1106" s="73"/>
      <c r="P1106" s="73"/>
      <c r="Q1106" s="73"/>
      <c r="R1106" s="73"/>
      <c r="S1106" s="73"/>
      <c r="T1106" s="73"/>
      <c r="U1106" s="73"/>
      <c r="V1106" s="73"/>
      <c r="W1106" s="73"/>
      <c r="GL1106" s="73"/>
      <c r="GM1106" s="73"/>
      <c r="GN1106" s="73"/>
      <c r="GO1106" s="73"/>
      <c r="GP1106" s="73"/>
      <c r="GQ1106" s="73"/>
      <c r="GR1106" s="73"/>
      <c r="GS1106" s="73"/>
      <c r="GT1106" s="73"/>
      <c r="GU1106" s="73"/>
      <c r="GV1106" s="73"/>
      <c r="GW1106" s="73"/>
      <c r="GX1106" s="73"/>
      <c r="GY1106" s="73"/>
      <c r="GZ1106" s="73"/>
      <c r="HA1106" s="73"/>
      <c r="HB1106" s="73"/>
      <c r="HC1106" s="73"/>
      <c r="HD1106" s="73"/>
      <c r="HE1106" s="73"/>
      <c r="HF1106" s="73"/>
      <c r="HG1106" s="73"/>
      <c r="HH1106" s="73"/>
      <c r="HI1106" s="73"/>
      <c r="HJ1106" s="73"/>
      <c r="HK1106" s="73"/>
      <c r="HL1106" s="73"/>
      <c r="HM1106" s="73"/>
      <c r="HN1106" s="73"/>
      <c r="HO1106" s="73"/>
      <c r="HP1106" s="73"/>
      <c r="HQ1106" s="73"/>
      <c r="HR1106" s="73"/>
      <c r="HS1106" s="73"/>
      <c r="HT1106" s="73"/>
      <c r="HU1106" s="73"/>
      <c r="HV1106" s="73"/>
      <c r="HW1106" s="73"/>
      <c r="HX1106" s="73"/>
      <c r="HY1106" s="73"/>
      <c r="HZ1106" s="73"/>
      <c r="IA1106" s="73"/>
      <c r="IB1106" s="73"/>
      <c r="IC1106" s="73"/>
      <c r="ID1106" s="73"/>
      <c r="IE1106" s="73"/>
      <c r="IF1106" s="73"/>
      <c r="IG1106" s="73"/>
      <c r="IH1106" s="73"/>
      <c r="II1106" s="73"/>
      <c r="IJ1106" s="73"/>
      <c r="IK1106" s="73"/>
      <c r="IL1106" s="73"/>
      <c r="IM1106" s="73"/>
      <c r="IN1106" s="73"/>
      <c r="IO1106" s="73"/>
      <c r="IP1106" s="73"/>
      <c r="IQ1106" s="73"/>
      <c r="IR1106" s="73"/>
      <c r="IS1106" s="73"/>
      <c r="IT1106" s="73"/>
      <c r="IU1106" s="73"/>
      <c r="IV1106" s="73"/>
      <c r="IW1106" s="73"/>
      <c r="IX1106" s="73"/>
      <c r="IY1106" s="73"/>
      <c r="IZ1106" s="73"/>
      <c r="JA1106" s="73"/>
      <c r="JB1106" s="73"/>
      <c r="JC1106" s="73"/>
    </row>
    <row r="1107" spans="2:263" s="72" customFormat="1">
      <c r="B1107" s="73"/>
      <c r="C1107" s="73"/>
      <c r="D1107" s="73"/>
      <c r="E1107" s="73"/>
      <c r="F1107" s="73"/>
      <c r="G1107" s="73"/>
      <c r="H1107" s="73"/>
      <c r="I1107" s="73"/>
      <c r="J1107" s="73"/>
      <c r="K1107" s="73"/>
      <c r="L1107" s="73"/>
      <c r="M1107" s="73"/>
      <c r="N1107" s="73"/>
      <c r="O1107" s="73"/>
      <c r="P1107" s="73"/>
      <c r="Q1107" s="73"/>
      <c r="R1107" s="73"/>
      <c r="S1107" s="73"/>
      <c r="T1107" s="73"/>
      <c r="U1107" s="73"/>
      <c r="V1107" s="73"/>
      <c r="W1107" s="73"/>
      <c r="GL1107" s="73"/>
      <c r="GM1107" s="73"/>
      <c r="GN1107" s="73"/>
      <c r="GO1107" s="73"/>
      <c r="GP1107" s="73"/>
      <c r="GQ1107" s="73"/>
      <c r="GR1107" s="73"/>
      <c r="GS1107" s="73"/>
      <c r="GT1107" s="73"/>
      <c r="GU1107" s="73"/>
      <c r="GV1107" s="73"/>
      <c r="GW1107" s="73"/>
      <c r="GX1107" s="73"/>
      <c r="GY1107" s="73"/>
      <c r="GZ1107" s="73"/>
      <c r="HA1107" s="73"/>
      <c r="HB1107" s="73"/>
      <c r="HC1107" s="73"/>
      <c r="HD1107" s="73"/>
      <c r="HE1107" s="73"/>
      <c r="HF1107" s="73"/>
      <c r="HG1107" s="73"/>
      <c r="HH1107" s="73"/>
      <c r="HI1107" s="73"/>
      <c r="HJ1107" s="73"/>
      <c r="HK1107" s="73"/>
      <c r="HL1107" s="73"/>
      <c r="HM1107" s="73"/>
      <c r="HN1107" s="73"/>
      <c r="HO1107" s="73"/>
      <c r="HP1107" s="73"/>
      <c r="HQ1107" s="73"/>
      <c r="HR1107" s="73"/>
      <c r="HS1107" s="73"/>
      <c r="HT1107" s="73"/>
      <c r="HU1107" s="73"/>
      <c r="HV1107" s="73"/>
      <c r="HW1107" s="73"/>
      <c r="HX1107" s="73"/>
      <c r="HY1107" s="73"/>
      <c r="HZ1107" s="73"/>
      <c r="IA1107" s="73"/>
      <c r="IB1107" s="73"/>
      <c r="IC1107" s="73"/>
      <c r="ID1107" s="73"/>
      <c r="IE1107" s="73"/>
      <c r="IF1107" s="73"/>
      <c r="IG1107" s="73"/>
      <c r="IH1107" s="73"/>
      <c r="II1107" s="73"/>
      <c r="IJ1107" s="73"/>
      <c r="IK1107" s="73"/>
      <c r="IL1107" s="73"/>
      <c r="IM1107" s="73"/>
      <c r="IN1107" s="73"/>
      <c r="IO1107" s="73"/>
      <c r="IP1107" s="73"/>
      <c r="IQ1107" s="73"/>
      <c r="IR1107" s="73"/>
      <c r="IS1107" s="73"/>
      <c r="IT1107" s="73"/>
      <c r="IU1107" s="73"/>
      <c r="IV1107" s="73"/>
      <c r="IW1107" s="73"/>
      <c r="IX1107" s="73"/>
      <c r="IY1107" s="73"/>
      <c r="IZ1107" s="73"/>
      <c r="JA1107" s="73"/>
      <c r="JB1107" s="73"/>
      <c r="JC1107" s="73"/>
    </row>
    <row r="1108" spans="2:263" s="72" customFormat="1">
      <c r="B1108" s="73"/>
      <c r="C1108" s="73"/>
      <c r="D1108" s="73"/>
      <c r="E1108" s="73"/>
      <c r="F1108" s="73"/>
      <c r="G1108" s="73"/>
      <c r="H1108" s="73"/>
      <c r="I1108" s="73"/>
      <c r="J1108" s="73"/>
      <c r="K1108" s="73"/>
      <c r="L1108" s="73"/>
      <c r="M1108" s="73"/>
      <c r="N1108" s="73"/>
      <c r="O1108" s="73"/>
      <c r="P1108" s="73"/>
      <c r="Q1108" s="73"/>
      <c r="R1108" s="73"/>
      <c r="S1108" s="73"/>
      <c r="T1108" s="73"/>
      <c r="U1108" s="73"/>
      <c r="V1108" s="73"/>
      <c r="W1108" s="73"/>
      <c r="GL1108" s="73"/>
      <c r="GM1108" s="73"/>
      <c r="GN1108" s="73"/>
      <c r="GO1108" s="73"/>
      <c r="GP1108" s="73"/>
      <c r="GQ1108" s="73"/>
      <c r="GR1108" s="73"/>
      <c r="GS1108" s="73"/>
      <c r="GT1108" s="73"/>
      <c r="GU1108" s="73"/>
      <c r="GV1108" s="73"/>
      <c r="GW1108" s="73"/>
      <c r="GX1108" s="73"/>
      <c r="GY1108" s="73"/>
      <c r="GZ1108" s="73"/>
      <c r="HA1108" s="73"/>
      <c r="HB1108" s="73"/>
      <c r="HC1108" s="73"/>
      <c r="HD1108" s="73"/>
      <c r="HE1108" s="73"/>
      <c r="HF1108" s="73"/>
      <c r="HG1108" s="73"/>
      <c r="HH1108" s="73"/>
      <c r="HI1108" s="73"/>
      <c r="HJ1108" s="73"/>
      <c r="HK1108" s="73"/>
      <c r="HL1108" s="73"/>
      <c r="HM1108" s="73"/>
      <c r="HN1108" s="73"/>
      <c r="HO1108" s="73"/>
      <c r="HP1108" s="73"/>
      <c r="HQ1108" s="73"/>
      <c r="HR1108" s="73"/>
      <c r="HS1108" s="73"/>
      <c r="HT1108" s="73"/>
      <c r="HU1108" s="73"/>
      <c r="HV1108" s="73"/>
      <c r="HW1108" s="73"/>
      <c r="HX1108" s="73"/>
      <c r="HY1108" s="73"/>
      <c r="HZ1108" s="73"/>
      <c r="IA1108" s="73"/>
      <c r="IB1108" s="73"/>
      <c r="IC1108" s="73"/>
      <c r="ID1108" s="73"/>
      <c r="IE1108" s="73"/>
      <c r="IF1108" s="73"/>
      <c r="IG1108" s="73"/>
      <c r="IH1108" s="73"/>
      <c r="II1108" s="73"/>
      <c r="IJ1108" s="73"/>
      <c r="IK1108" s="73"/>
      <c r="IL1108" s="73"/>
      <c r="IM1108" s="73"/>
      <c r="IN1108" s="73"/>
      <c r="IO1108" s="73"/>
      <c r="IP1108" s="73"/>
      <c r="IQ1108" s="73"/>
      <c r="IR1108" s="73"/>
      <c r="IS1108" s="73"/>
      <c r="IT1108" s="73"/>
      <c r="IU1108" s="73"/>
      <c r="IV1108" s="73"/>
      <c r="IW1108" s="73"/>
      <c r="IX1108" s="73"/>
      <c r="IY1108" s="73"/>
      <c r="IZ1108" s="73"/>
      <c r="JA1108" s="73"/>
      <c r="JB1108" s="73"/>
      <c r="JC1108" s="73"/>
    </row>
    <row r="1109" spans="2:263" s="72" customFormat="1">
      <c r="B1109" s="73"/>
      <c r="C1109" s="73"/>
      <c r="D1109" s="73"/>
      <c r="E1109" s="73"/>
      <c r="F1109" s="73"/>
      <c r="G1109" s="73"/>
      <c r="H1109" s="73"/>
      <c r="I1109" s="73"/>
      <c r="J1109" s="73"/>
      <c r="K1109" s="73"/>
      <c r="L1109" s="73"/>
      <c r="M1109" s="73"/>
      <c r="N1109" s="73"/>
      <c r="O1109" s="73"/>
      <c r="P1109" s="73"/>
      <c r="Q1109" s="73"/>
      <c r="R1109" s="73"/>
      <c r="S1109" s="73"/>
      <c r="T1109" s="73"/>
      <c r="U1109" s="73"/>
      <c r="V1109" s="73"/>
      <c r="W1109" s="73"/>
      <c r="GL1109" s="73"/>
      <c r="GM1109" s="73"/>
      <c r="GN1109" s="73"/>
      <c r="GO1109" s="73"/>
      <c r="GP1109" s="73"/>
      <c r="GQ1109" s="73"/>
      <c r="GR1109" s="73"/>
      <c r="GS1109" s="73"/>
      <c r="GT1109" s="73"/>
      <c r="GU1109" s="73"/>
      <c r="GV1109" s="73"/>
      <c r="GW1109" s="73"/>
      <c r="GX1109" s="73"/>
      <c r="GY1109" s="73"/>
      <c r="GZ1109" s="73"/>
      <c r="HA1109" s="73"/>
      <c r="HB1109" s="73"/>
      <c r="HC1109" s="73"/>
      <c r="HD1109" s="73"/>
      <c r="HE1109" s="73"/>
      <c r="HF1109" s="73"/>
      <c r="HG1109" s="73"/>
      <c r="HH1109" s="73"/>
      <c r="HI1109" s="73"/>
      <c r="HJ1109" s="73"/>
      <c r="HK1109" s="73"/>
      <c r="HL1109" s="73"/>
      <c r="HM1109" s="73"/>
      <c r="HN1109" s="73"/>
      <c r="HO1109" s="73"/>
      <c r="HP1109" s="73"/>
      <c r="HQ1109" s="73"/>
      <c r="HR1109" s="73"/>
      <c r="HS1109" s="73"/>
      <c r="HT1109" s="73"/>
      <c r="HU1109" s="73"/>
      <c r="HV1109" s="73"/>
      <c r="HW1109" s="73"/>
      <c r="HX1109" s="73"/>
      <c r="HY1109" s="73"/>
      <c r="HZ1109" s="73"/>
      <c r="IA1109" s="73"/>
      <c r="IB1109" s="73"/>
      <c r="IC1109" s="73"/>
      <c r="ID1109" s="73"/>
      <c r="IE1109" s="73"/>
      <c r="IF1109" s="73"/>
      <c r="IG1109" s="73"/>
      <c r="IH1109" s="73"/>
      <c r="II1109" s="73"/>
      <c r="IJ1109" s="73"/>
      <c r="IK1109" s="73"/>
      <c r="IL1109" s="73"/>
      <c r="IM1109" s="73"/>
      <c r="IN1109" s="73"/>
      <c r="IO1109" s="73"/>
      <c r="IP1109" s="73"/>
      <c r="IQ1109" s="73"/>
      <c r="IR1109" s="73"/>
      <c r="IS1109" s="73"/>
      <c r="IT1109" s="73"/>
      <c r="IU1109" s="73"/>
      <c r="IV1109" s="73"/>
      <c r="IW1109" s="73"/>
      <c r="IX1109" s="73"/>
      <c r="IY1109" s="73"/>
      <c r="IZ1109" s="73"/>
      <c r="JA1109" s="73"/>
      <c r="JB1109" s="73"/>
      <c r="JC1109" s="73"/>
    </row>
    <row r="1110" spans="2:263" s="72" customFormat="1">
      <c r="B1110" s="73"/>
      <c r="C1110" s="73"/>
      <c r="D1110" s="73"/>
      <c r="E1110" s="73"/>
      <c r="F1110" s="73"/>
      <c r="G1110" s="73"/>
      <c r="H1110" s="73"/>
      <c r="I1110" s="73"/>
      <c r="J1110" s="73"/>
      <c r="K1110" s="73"/>
      <c r="L1110" s="73"/>
      <c r="M1110" s="73"/>
      <c r="N1110" s="73"/>
      <c r="O1110" s="73"/>
      <c r="P1110" s="73"/>
      <c r="Q1110" s="73"/>
      <c r="R1110" s="73"/>
      <c r="S1110" s="73"/>
      <c r="T1110" s="73"/>
      <c r="U1110" s="73"/>
      <c r="V1110" s="73"/>
      <c r="W1110" s="73"/>
      <c r="GL1110" s="73"/>
      <c r="GM1110" s="73"/>
      <c r="GN1110" s="73"/>
      <c r="GO1110" s="73"/>
      <c r="GP1110" s="73"/>
      <c r="GQ1110" s="73"/>
      <c r="GR1110" s="73"/>
      <c r="GS1110" s="73"/>
      <c r="GT1110" s="73"/>
      <c r="GU1110" s="73"/>
      <c r="GV1110" s="73"/>
      <c r="GW1110" s="73"/>
      <c r="GX1110" s="73"/>
      <c r="GY1110" s="73"/>
      <c r="GZ1110" s="73"/>
      <c r="HA1110" s="73"/>
      <c r="HB1110" s="73"/>
      <c r="HC1110" s="73"/>
      <c r="HD1110" s="73"/>
      <c r="HE1110" s="73"/>
      <c r="HF1110" s="73"/>
      <c r="HG1110" s="73"/>
      <c r="HH1110" s="73"/>
      <c r="HI1110" s="73"/>
      <c r="HJ1110" s="73"/>
      <c r="HK1110" s="73"/>
      <c r="HL1110" s="73"/>
      <c r="HM1110" s="73"/>
      <c r="HN1110" s="73"/>
      <c r="HO1110" s="73"/>
      <c r="HP1110" s="73"/>
      <c r="HQ1110" s="73"/>
      <c r="HR1110" s="73"/>
      <c r="HS1110" s="73"/>
      <c r="HT1110" s="73"/>
      <c r="HU1110" s="73"/>
      <c r="HV1110" s="73"/>
      <c r="HW1110" s="73"/>
      <c r="HX1110" s="73"/>
      <c r="HY1110" s="73"/>
      <c r="HZ1110" s="73"/>
      <c r="IA1110" s="73"/>
      <c r="IB1110" s="73"/>
      <c r="IC1110" s="73"/>
      <c r="ID1110" s="73"/>
      <c r="IE1110" s="73"/>
      <c r="IF1110" s="73"/>
      <c r="IG1110" s="73"/>
      <c r="IH1110" s="73"/>
      <c r="II1110" s="73"/>
      <c r="IJ1110" s="73"/>
      <c r="IK1110" s="73"/>
      <c r="IL1110" s="73"/>
      <c r="IM1110" s="73"/>
      <c r="IN1110" s="73"/>
      <c r="IO1110" s="73"/>
      <c r="IP1110" s="73"/>
      <c r="IQ1110" s="73"/>
      <c r="IR1110" s="73"/>
      <c r="IS1110" s="73"/>
      <c r="IT1110" s="73"/>
      <c r="IU1110" s="73"/>
      <c r="IV1110" s="73"/>
      <c r="IW1110" s="73"/>
      <c r="IX1110" s="73"/>
      <c r="IY1110" s="73"/>
      <c r="IZ1110" s="73"/>
      <c r="JA1110" s="73"/>
      <c r="JB1110" s="73"/>
      <c r="JC1110" s="73"/>
    </row>
    <row r="1111" spans="2:263" s="72" customFormat="1">
      <c r="B1111" s="73"/>
      <c r="C1111" s="73"/>
      <c r="D1111" s="73"/>
      <c r="E1111" s="73"/>
      <c r="F1111" s="73"/>
      <c r="G1111" s="73"/>
      <c r="H1111" s="73"/>
      <c r="I1111" s="73"/>
      <c r="J1111" s="73"/>
      <c r="K1111" s="73"/>
      <c r="L1111" s="73"/>
      <c r="M1111" s="73"/>
      <c r="N1111" s="73"/>
      <c r="O1111" s="73"/>
      <c r="P1111" s="73"/>
      <c r="Q1111" s="73"/>
      <c r="R1111" s="73"/>
      <c r="S1111" s="73"/>
      <c r="T1111" s="73"/>
      <c r="U1111" s="73"/>
      <c r="V1111" s="73"/>
      <c r="W1111" s="73"/>
      <c r="GL1111" s="73"/>
      <c r="GM1111" s="73"/>
      <c r="GN1111" s="73"/>
      <c r="GO1111" s="73"/>
      <c r="GP1111" s="73"/>
      <c r="GQ1111" s="73"/>
      <c r="GR1111" s="73"/>
      <c r="GS1111" s="73"/>
      <c r="GT1111" s="73"/>
      <c r="GU1111" s="73"/>
      <c r="GV1111" s="73"/>
      <c r="GW1111" s="73"/>
      <c r="GX1111" s="73"/>
      <c r="GY1111" s="73"/>
      <c r="GZ1111" s="73"/>
      <c r="HA1111" s="73"/>
      <c r="HB1111" s="73"/>
      <c r="HC1111" s="73"/>
      <c r="HD1111" s="73"/>
      <c r="HE1111" s="73"/>
      <c r="HF1111" s="73"/>
      <c r="HG1111" s="73"/>
      <c r="HH1111" s="73"/>
      <c r="HI1111" s="73"/>
      <c r="HJ1111" s="73"/>
      <c r="HK1111" s="73"/>
      <c r="HL1111" s="73"/>
      <c r="HM1111" s="73"/>
      <c r="HN1111" s="73"/>
      <c r="HO1111" s="73"/>
      <c r="HP1111" s="73"/>
      <c r="HQ1111" s="73"/>
      <c r="HR1111" s="73"/>
      <c r="HS1111" s="73"/>
      <c r="HT1111" s="73"/>
      <c r="HU1111" s="73"/>
      <c r="HV1111" s="73"/>
      <c r="HW1111" s="73"/>
      <c r="HX1111" s="73"/>
      <c r="HY1111" s="73"/>
      <c r="HZ1111" s="73"/>
      <c r="IA1111" s="73"/>
      <c r="IB1111" s="73"/>
      <c r="IC1111" s="73"/>
      <c r="ID1111" s="73"/>
      <c r="IE1111" s="73"/>
      <c r="IF1111" s="73"/>
      <c r="IG1111" s="73"/>
      <c r="IH1111" s="73"/>
      <c r="II1111" s="73"/>
      <c r="IJ1111" s="73"/>
      <c r="IK1111" s="73"/>
      <c r="IL1111" s="73"/>
      <c r="IM1111" s="73"/>
      <c r="IN1111" s="73"/>
      <c r="IO1111" s="73"/>
      <c r="IP1111" s="73"/>
      <c r="IQ1111" s="73"/>
      <c r="IR1111" s="73"/>
      <c r="IS1111" s="73"/>
      <c r="IT1111" s="73"/>
      <c r="IU1111" s="73"/>
      <c r="IV1111" s="73"/>
      <c r="IW1111" s="73"/>
      <c r="IX1111" s="73"/>
      <c r="IY1111" s="73"/>
      <c r="IZ1111" s="73"/>
      <c r="JA1111" s="73"/>
      <c r="JB1111" s="73"/>
      <c r="JC1111" s="73"/>
    </row>
    <row r="1112" spans="2:263" s="72" customFormat="1">
      <c r="B1112" s="73"/>
      <c r="C1112" s="73"/>
      <c r="D1112" s="73"/>
      <c r="E1112" s="73"/>
      <c r="F1112" s="73"/>
      <c r="G1112" s="73"/>
      <c r="H1112" s="73"/>
      <c r="I1112" s="73"/>
      <c r="J1112" s="73"/>
      <c r="K1112" s="73"/>
      <c r="L1112" s="73"/>
      <c r="M1112" s="73"/>
      <c r="N1112" s="73"/>
      <c r="O1112" s="73"/>
      <c r="P1112" s="73"/>
      <c r="Q1112" s="73"/>
      <c r="R1112" s="73"/>
      <c r="S1112" s="73"/>
      <c r="T1112" s="73"/>
      <c r="U1112" s="73"/>
      <c r="V1112" s="73"/>
      <c r="W1112" s="73"/>
      <c r="GL1112" s="73"/>
      <c r="GM1112" s="73"/>
      <c r="GN1112" s="73"/>
      <c r="GO1112" s="73"/>
      <c r="GP1112" s="73"/>
      <c r="GQ1112" s="73"/>
      <c r="GR1112" s="73"/>
      <c r="GS1112" s="73"/>
      <c r="GT1112" s="73"/>
      <c r="GU1112" s="73"/>
      <c r="GV1112" s="73"/>
      <c r="GW1112" s="73"/>
      <c r="GX1112" s="73"/>
      <c r="GY1112" s="73"/>
      <c r="GZ1112" s="73"/>
      <c r="HA1112" s="73"/>
      <c r="HB1112" s="73"/>
      <c r="HC1112" s="73"/>
      <c r="HD1112" s="73"/>
      <c r="HE1112" s="73"/>
      <c r="HF1112" s="73"/>
      <c r="HG1112" s="73"/>
      <c r="HH1112" s="73"/>
      <c r="HI1112" s="73"/>
      <c r="HJ1112" s="73"/>
      <c r="HK1112" s="73"/>
      <c r="HL1112" s="73"/>
      <c r="HM1112" s="73"/>
      <c r="HN1112" s="73"/>
      <c r="HO1112" s="73"/>
      <c r="HP1112" s="73"/>
      <c r="HQ1112" s="73"/>
      <c r="HR1112" s="73"/>
      <c r="HS1112" s="73"/>
      <c r="HT1112" s="73"/>
      <c r="HU1112" s="73"/>
      <c r="HV1112" s="73"/>
      <c r="HW1112" s="73"/>
      <c r="HX1112" s="73"/>
      <c r="HY1112" s="73"/>
      <c r="HZ1112" s="73"/>
      <c r="IA1112" s="73"/>
      <c r="IB1112" s="73"/>
      <c r="IC1112" s="73"/>
      <c r="ID1112" s="73"/>
      <c r="IE1112" s="73"/>
      <c r="IF1112" s="73"/>
      <c r="IG1112" s="73"/>
      <c r="IH1112" s="73"/>
      <c r="II1112" s="73"/>
      <c r="IJ1112" s="73"/>
      <c r="IK1112" s="73"/>
      <c r="IL1112" s="73"/>
      <c r="IM1112" s="73"/>
      <c r="IN1112" s="73"/>
      <c r="IO1112" s="73"/>
      <c r="IP1112" s="73"/>
      <c r="IQ1112" s="73"/>
      <c r="IR1112" s="73"/>
      <c r="IS1112" s="73"/>
      <c r="IT1112" s="73"/>
      <c r="IU1112" s="73"/>
      <c r="IV1112" s="73"/>
      <c r="IW1112" s="73"/>
      <c r="IX1112" s="73"/>
      <c r="IY1112" s="73"/>
      <c r="IZ1112" s="73"/>
      <c r="JA1112" s="73"/>
      <c r="JB1112" s="73"/>
      <c r="JC1112" s="73"/>
    </row>
    <row r="1113" spans="2:263" s="72" customFormat="1">
      <c r="B1113" s="73"/>
      <c r="C1113" s="73"/>
      <c r="D1113" s="73"/>
      <c r="E1113" s="73"/>
      <c r="F1113" s="73"/>
      <c r="G1113" s="73"/>
      <c r="H1113" s="73"/>
      <c r="I1113" s="73"/>
      <c r="J1113" s="73"/>
      <c r="K1113" s="73"/>
      <c r="L1113" s="73"/>
      <c r="M1113" s="73"/>
      <c r="N1113" s="73"/>
      <c r="O1113" s="73"/>
      <c r="P1113" s="73"/>
      <c r="Q1113" s="73"/>
      <c r="R1113" s="73"/>
      <c r="S1113" s="73"/>
      <c r="T1113" s="73"/>
      <c r="U1113" s="73"/>
      <c r="V1113" s="73"/>
      <c r="W1113" s="73"/>
      <c r="GL1113" s="73"/>
      <c r="GM1113" s="73"/>
      <c r="GN1113" s="73"/>
      <c r="GO1113" s="73"/>
      <c r="GP1113" s="73"/>
      <c r="GQ1113" s="73"/>
      <c r="GR1113" s="73"/>
      <c r="GS1113" s="73"/>
      <c r="GT1113" s="73"/>
      <c r="GU1113" s="73"/>
      <c r="GV1113" s="73"/>
      <c r="GW1113" s="73"/>
      <c r="GX1113" s="73"/>
      <c r="GY1113" s="73"/>
      <c r="GZ1113" s="73"/>
      <c r="HA1113" s="73"/>
      <c r="HB1113" s="73"/>
      <c r="HC1113" s="73"/>
      <c r="HD1113" s="73"/>
      <c r="HE1113" s="73"/>
      <c r="HF1113" s="73"/>
      <c r="HG1113" s="73"/>
      <c r="HH1113" s="73"/>
      <c r="HI1113" s="73"/>
      <c r="HJ1113" s="73"/>
      <c r="HK1113" s="73"/>
      <c r="HL1113" s="73"/>
      <c r="HM1113" s="73"/>
      <c r="HN1113" s="73"/>
      <c r="HO1113" s="73"/>
      <c r="HP1113" s="73"/>
      <c r="HQ1113" s="73"/>
      <c r="HR1113" s="73"/>
      <c r="HS1113" s="73"/>
      <c r="HT1113" s="73"/>
      <c r="HU1113" s="73"/>
      <c r="HV1113" s="73"/>
      <c r="HW1113" s="73"/>
      <c r="HX1113" s="73"/>
      <c r="HY1113" s="73"/>
      <c r="HZ1113" s="73"/>
      <c r="IA1113" s="73"/>
      <c r="IB1113" s="73"/>
      <c r="IC1113" s="73"/>
      <c r="ID1113" s="73"/>
      <c r="IE1113" s="73"/>
      <c r="IF1113" s="73"/>
      <c r="IG1113" s="73"/>
      <c r="IH1113" s="73"/>
      <c r="II1113" s="73"/>
      <c r="IJ1113" s="73"/>
      <c r="IK1113" s="73"/>
      <c r="IL1113" s="73"/>
      <c r="IM1113" s="73"/>
      <c r="IN1113" s="73"/>
      <c r="IO1113" s="73"/>
      <c r="IP1113" s="73"/>
      <c r="IQ1113" s="73"/>
      <c r="IR1113" s="73"/>
      <c r="IS1113" s="73"/>
      <c r="IT1113" s="73"/>
      <c r="IU1113" s="73"/>
      <c r="IV1113" s="73"/>
      <c r="IW1113" s="73"/>
      <c r="IX1113" s="73"/>
      <c r="IY1113" s="73"/>
      <c r="IZ1113" s="73"/>
      <c r="JA1113" s="73"/>
      <c r="JB1113" s="73"/>
      <c r="JC1113" s="73"/>
    </row>
    <row r="1114" spans="2:263" s="72" customFormat="1">
      <c r="B1114" s="73"/>
      <c r="C1114" s="73"/>
      <c r="D1114" s="73"/>
      <c r="E1114" s="73"/>
      <c r="F1114" s="73"/>
      <c r="G1114" s="73"/>
      <c r="H1114" s="73"/>
      <c r="I1114" s="73"/>
      <c r="J1114" s="73"/>
      <c r="K1114" s="73"/>
      <c r="L1114" s="73"/>
      <c r="M1114" s="73"/>
      <c r="N1114" s="73"/>
      <c r="O1114" s="73"/>
      <c r="P1114" s="73"/>
      <c r="Q1114" s="73"/>
      <c r="R1114" s="73"/>
      <c r="S1114" s="73"/>
      <c r="T1114" s="73"/>
      <c r="U1114" s="73"/>
      <c r="V1114" s="73"/>
      <c r="W1114" s="73"/>
      <c r="GL1114" s="73"/>
      <c r="GM1114" s="73"/>
      <c r="GN1114" s="73"/>
      <c r="GO1114" s="73"/>
      <c r="GP1114" s="73"/>
      <c r="GQ1114" s="73"/>
      <c r="GR1114" s="73"/>
      <c r="GS1114" s="73"/>
      <c r="GT1114" s="73"/>
      <c r="GU1114" s="73"/>
      <c r="GV1114" s="73"/>
      <c r="GW1114" s="73"/>
      <c r="GX1114" s="73"/>
      <c r="GY1114" s="73"/>
      <c r="GZ1114" s="73"/>
      <c r="HA1114" s="73"/>
      <c r="HB1114" s="73"/>
      <c r="HC1114" s="73"/>
      <c r="HD1114" s="73"/>
      <c r="HE1114" s="73"/>
      <c r="HF1114" s="73"/>
      <c r="HG1114" s="73"/>
      <c r="HH1114" s="73"/>
      <c r="HI1114" s="73"/>
      <c r="HJ1114" s="73"/>
      <c r="HK1114" s="73"/>
      <c r="HL1114" s="73"/>
      <c r="HM1114" s="73"/>
      <c r="HN1114" s="73"/>
      <c r="HO1114" s="73"/>
      <c r="HP1114" s="73"/>
      <c r="HQ1114" s="73"/>
      <c r="HR1114" s="73"/>
      <c r="HS1114" s="73"/>
      <c r="HT1114" s="73"/>
      <c r="HU1114" s="73"/>
      <c r="HV1114" s="73"/>
      <c r="HW1114" s="73"/>
      <c r="HX1114" s="73"/>
      <c r="HY1114" s="73"/>
      <c r="HZ1114" s="73"/>
      <c r="IA1114" s="73"/>
      <c r="IB1114" s="73"/>
      <c r="IC1114" s="73"/>
      <c r="ID1114" s="73"/>
      <c r="IE1114" s="73"/>
      <c r="IF1114" s="73"/>
      <c r="IG1114" s="73"/>
      <c r="IH1114" s="73"/>
      <c r="II1114" s="73"/>
      <c r="IJ1114" s="73"/>
      <c r="IK1114" s="73"/>
      <c r="IL1114" s="73"/>
      <c r="IM1114" s="73"/>
      <c r="IN1114" s="73"/>
      <c r="IO1114" s="73"/>
      <c r="IP1114" s="73"/>
      <c r="IQ1114" s="73"/>
      <c r="IR1114" s="73"/>
      <c r="IS1114" s="73"/>
      <c r="IT1114" s="73"/>
      <c r="IU1114" s="73"/>
      <c r="IV1114" s="73"/>
      <c r="IW1114" s="73"/>
      <c r="IX1114" s="73"/>
      <c r="IY1114" s="73"/>
      <c r="IZ1114" s="73"/>
      <c r="JA1114" s="73"/>
      <c r="JB1114" s="73"/>
      <c r="JC1114" s="73"/>
    </row>
    <row r="1115" spans="2:263" s="72" customFormat="1">
      <c r="B1115" s="73"/>
      <c r="C1115" s="73"/>
      <c r="D1115" s="73"/>
      <c r="E1115" s="73"/>
      <c r="F1115" s="73"/>
      <c r="G1115" s="73"/>
      <c r="H1115" s="73"/>
      <c r="I1115" s="73"/>
      <c r="J1115" s="73"/>
      <c r="K1115" s="73"/>
      <c r="L1115" s="73"/>
      <c r="M1115" s="73"/>
      <c r="N1115" s="73"/>
      <c r="O1115" s="73"/>
      <c r="P1115" s="73"/>
      <c r="Q1115" s="73"/>
      <c r="R1115" s="73"/>
      <c r="S1115" s="73"/>
      <c r="T1115" s="73"/>
      <c r="U1115" s="73"/>
      <c r="V1115" s="73"/>
      <c r="W1115" s="73"/>
      <c r="GL1115" s="73"/>
      <c r="GM1115" s="73"/>
      <c r="GN1115" s="73"/>
      <c r="GO1115" s="73"/>
      <c r="GP1115" s="73"/>
      <c r="GQ1115" s="73"/>
      <c r="GR1115" s="73"/>
      <c r="GS1115" s="73"/>
      <c r="GT1115" s="73"/>
      <c r="GU1115" s="73"/>
      <c r="GV1115" s="73"/>
      <c r="GW1115" s="73"/>
      <c r="GX1115" s="73"/>
      <c r="GY1115" s="73"/>
      <c r="GZ1115" s="73"/>
      <c r="HA1115" s="73"/>
      <c r="HB1115" s="73"/>
      <c r="HC1115" s="73"/>
      <c r="HD1115" s="73"/>
      <c r="HE1115" s="73"/>
      <c r="HF1115" s="73"/>
      <c r="HG1115" s="73"/>
      <c r="HH1115" s="73"/>
      <c r="HI1115" s="73"/>
      <c r="HJ1115" s="73"/>
      <c r="HK1115" s="73"/>
      <c r="HL1115" s="73"/>
      <c r="HM1115" s="73"/>
      <c r="HN1115" s="73"/>
      <c r="HO1115" s="73"/>
      <c r="HP1115" s="73"/>
      <c r="HQ1115" s="73"/>
      <c r="HR1115" s="73"/>
      <c r="HS1115" s="73"/>
      <c r="HT1115" s="73"/>
      <c r="HU1115" s="73"/>
      <c r="HV1115" s="73"/>
      <c r="HW1115" s="73"/>
      <c r="HX1115" s="73"/>
      <c r="HY1115" s="73"/>
      <c r="HZ1115" s="73"/>
      <c r="IA1115" s="73"/>
      <c r="IB1115" s="73"/>
      <c r="IC1115" s="73"/>
      <c r="ID1115" s="73"/>
      <c r="IE1115" s="73"/>
      <c r="IF1115" s="73"/>
      <c r="IG1115" s="73"/>
      <c r="IH1115" s="73"/>
      <c r="II1115" s="73"/>
      <c r="IJ1115" s="73"/>
      <c r="IK1115" s="73"/>
      <c r="IL1115" s="73"/>
      <c r="IM1115" s="73"/>
      <c r="IN1115" s="73"/>
      <c r="IO1115" s="73"/>
      <c r="IP1115" s="73"/>
      <c r="IQ1115" s="73"/>
      <c r="IR1115" s="73"/>
      <c r="IS1115" s="73"/>
      <c r="IT1115" s="73"/>
      <c r="IU1115" s="73"/>
      <c r="IV1115" s="73"/>
      <c r="IW1115" s="73"/>
      <c r="IX1115" s="73"/>
      <c r="IY1115" s="73"/>
      <c r="IZ1115" s="73"/>
      <c r="JA1115" s="73"/>
      <c r="JB1115" s="73"/>
      <c r="JC1115" s="73"/>
    </row>
    <row r="1116" spans="2:263" s="72" customFormat="1">
      <c r="B1116" s="73"/>
      <c r="C1116" s="73"/>
      <c r="D1116" s="73"/>
      <c r="E1116" s="73"/>
      <c r="F1116" s="73"/>
      <c r="G1116" s="73"/>
      <c r="H1116" s="73"/>
      <c r="I1116" s="73"/>
      <c r="J1116" s="73"/>
      <c r="K1116" s="73"/>
      <c r="L1116" s="73"/>
      <c r="M1116" s="73"/>
      <c r="N1116" s="73"/>
      <c r="O1116" s="73"/>
      <c r="P1116" s="73"/>
      <c r="Q1116" s="73"/>
      <c r="R1116" s="73"/>
      <c r="S1116" s="73"/>
      <c r="T1116" s="73"/>
      <c r="U1116" s="73"/>
      <c r="V1116" s="73"/>
      <c r="W1116" s="73"/>
      <c r="GL1116" s="73"/>
      <c r="GM1116" s="73"/>
      <c r="GN1116" s="73"/>
      <c r="GO1116" s="73"/>
      <c r="GP1116" s="73"/>
      <c r="GQ1116" s="73"/>
      <c r="GR1116" s="73"/>
      <c r="GS1116" s="73"/>
      <c r="GT1116" s="73"/>
      <c r="GU1116" s="73"/>
      <c r="GV1116" s="73"/>
      <c r="GW1116" s="73"/>
      <c r="GX1116" s="73"/>
      <c r="GY1116" s="73"/>
      <c r="GZ1116" s="73"/>
      <c r="HA1116" s="73"/>
      <c r="HB1116" s="73"/>
      <c r="HC1116" s="73"/>
      <c r="HD1116" s="73"/>
      <c r="HE1116" s="73"/>
      <c r="HF1116" s="73"/>
      <c r="HG1116" s="73"/>
      <c r="HH1116" s="73"/>
      <c r="HI1116" s="73"/>
      <c r="HJ1116" s="73"/>
      <c r="HK1116" s="73"/>
      <c r="HL1116" s="73"/>
      <c r="HM1116" s="73"/>
      <c r="HN1116" s="73"/>
      <c r="HO1116" s="73"/>
      <c r="HP1116" s="73"/>
      <c r="HQ1116" s="73"/>
      <c r="HR1116" s="73"/>
      <c r="HS1116" s="73"/>
      <c r="HT1116" s="73"/>
      <c r="HU1116" s="73"/>
      <c r="HV1116" s="73"/>
      <c r="HW1116" s="73"/>
      <c r="HX1116" s="73"/>
      <c r="HY1116" s="73"/>
      <c r="HZ1116" s="73"/>
      <c r="IA1116" s="73"/>
      <c r="IB1116" s="73"/>
      <c r="IC1116" s="73"/>
      <c r="ID1116" s="73"/>
      <c r="IE1116" s="73"/>
      <c r="IF1116" s="73"/>
      <c r="IG1116" s="73"/>
      <c r="IH1116" s="73"/>
      <c r="II1116" s="73"/>
      <c r="IJ1116" s="73"/>
      <c r="IK1116" s="73"/>
      <c r="IL1116" s="73"/>
      <c r="IM1116" s="73"/>
      <c r="IN1116" s="73"/>
      <c r="IO1116" s="73"/>
      <c r="IP1116" s="73"/>
      <c r="IQ1116" s="73"/>
      <c r="IR1116" s="73"/>
      <c r="IS1116" s="73"/>
      <c r="IT1116" s="73"/>
      <c r="IU1116" s="73"/>
      <c r="IV1116" s="73"/>
      <c r="IW1116" s="73"/>
      <c r="IX1116" s="73"/>
      <c r="IY1116" s="73"/>
      <c r="IZ1116" s="73"/>
      <c r="JA1116" s="73"/>
      <c r="JB1116" s="73"/>
      <c r="JC1116" s="73"/>
    </row>
    <row r="1117" spans="2:263" s="72" customFormat="1">
      <c r="B1117" s="73"/>
      <c r="C1117" s="73"/>
      <c r="D1117" s="73"/>
      <c r="E1117" s="73"/>
      <c r="F1117" s="73"/>
      <c r="G1117" s="73"/>
      <c r="H1117" s="73"/>
      <c r="I1117" s="73"/>
      <c r="J1117" s="73"/>
      <c r="K1117" s="73"/>
      <c r="L1117" s="73"/>
      <c r="M1117" s="73"/>
      <c r="N1117" s="73"/>
      <c r="O1117" s="73"/>
      <c r="P1117" s="73"/>
      <c r="Q1117" s="73"/>
      <c r="R1117" s="73"/>
      <c r="S1117" s="73"/>
      <c r="T1117" s="73"/>
      <c r="U1117" s="73"/>
      <c r="V1117" s="73"/>
      <c r="W1117" s="73"/>
      <c r="GL1117" s="73"/>
      <c r="GM1117" s="73"/>
      <c r="GN1117" s="73"/>
      <c r="GO1117" s="73"/>
      <c r="GP1117" s="73"/>
      <c r="GQ1117" s="73"/>
      <c r="GR1117" s="73"/>
      <c r="GS1117" s="73"/>
      <c r="GT1117" s="73"/>
      <c r="GU1117" s="73"/>
      <c r="GV1117" s="73"/>
      <c r="GW1117" s="73"/>
      <c r="GX1117" s="73"/>
      <c r="GY1117" s="73"/>
      <c r="GZ1117" s="73"/>
      <c r="HA1117" s="73"/>
      <c r="HB1117" s="73"/>
      <c r="HC1117" s="73"/>
      <c r="HD1117" s="73"/>
      <c r="HE1117" s="73"/>
      <c r="HF1117" s="73"/>
      <c r="HG1117" s="73"/>
      <c r="HH1117" s="73"/>
      <c r="HI1117" s="73"/>
      <c r="HJ1117" s="73"/>
      <c r="HK1117" s="73"/>
      <c r="HL1117" s="73"/>
      <c r="HM1117" s="73"/>
      <c r="HN1117" s="73"/>
      <c r="HO1117" s="73"/>
      <c r="HP1117" s="73"/>
      <c r="HQ1117" s="73"/>
      <c r="HR1117" s="73"/>
      <c r="HS1117" s="73"/>
      <c r="HT1117" s="73"/>
      <c r="HU1117" s="73"/>
      <c r="HV1117" s="73"/>
      <c r="HW1117" s="73"/>
      <c r="HX1117" s="73"/>
      <c r="HY1117" s="73"/>
      <c r="HZ1117" s="73"/>
      <c r="IA1117" s="73"/>
      <c r="IB1117" s="73"/>
      <c r="IC1117" s="73"/>
      <c r="ID1117" s="73"/>
      <c r="IE1117" s="73"/>
      <c r="IF1117" s="73"/>
      <c r="IG1117" s="73"/>
      <c r="IH1117" s="73"/>
      <c r="II1117" s="73"/>
      <c r="IJ1117" s="73"/>
      <c r="IK1117" s="73"/>
      <c r="IL1117" s="73"/>
      <c r="IM1117" s="73"/>
      <c r="IN1117" s="73"/>
      <c r="IO1117" s="73"/>
      <c r="IP1117" s="73"/>
      <c r="IQ1117" s="73"/>
      <c r="IR1117" s="73"/>
      <c r="IS1117" s="73"/>
      <c r="IT1117" s="73"/>
      <c r="IU1117" s="73"/>
      <c r="IV1117" s="73"/>
      <c r="IW1117" s="73"/>
      <c r="IX1117" s="73"/>
      <c r="IY1117" s="73"/>
      <c r="IZ1117" s="73"/>
      <c r="JA1117" s="73"/>
      <c r="JB1117" s="73"/>
      <c r="JC1117" s="73"/>
    </row>
    <row r="1118" spans="2:263" s="72" customFormat="1">
      <c r="B1118" s="73"/>
      <c r="C1118" s="73"/>
      <c r="D1118" s="73"/>
      <c r="E1118" s="73"/>
      <c r="F1118" s="73"/>
      <c r="G1118" s="73"/>
      <c r="H1118" s="73"/>
      <c r="I1118" s="73"/>
      <c r="J1118" s="73"/>
      <c r="K1118" s="73"/>
      <c r="L1118" s="73"/>
      <c r="M1118" s="73"/>
      <c r="N1118" s="73"/>
      <c r="O1118" s="73"/>
      <c r="P1118" s="73"/>
      <c r="Q1118" s="73"/>
      <c r="R1118" s="73"/>
      <c r="S1118" s="73"/>
      <c r="T1118" s="73"/>
      <c r="U1118" s="73"/>
      <c r="V1118" s="73"/>
      <c r="W1118" s="73"/>
      <c r="GL1118" s="73"/>
      <c r="GM1118" s="73"/>
      <c r="GN1118" s="73"/>
      <c r="GO1118" s="73"/>
      <c r="GP1118" s="73"/>
      <c r="GQ1118" s="73"/>
      <c r="GR1118" s="73"/>
      <c r="GS1118" s="73"/>
      <c r="GT1118" s="73"/>
      <c r="GU1118" s="73"/>
      <c r="GV1118" s="73"/>
      <c r="GW1118" s="73"/>
      <c r="GX1118" s="73"/>
      <c r="GY1118" s="73"/>
      <c r="GZ1118" s="73"/>
      <c r="HA1118" s="73"/>
      <c r="HB1118" s="73"/>
      <c r="HC1118" s="73"/>
      <c r="HD1118" s="73"/>
      <c r="HE1118" s="73"/>
      <c r="HF1118" s="73"/>
      <c r="HG1118" s="73"/>
      <c r="HH1118" s="73"/>
      <c r="HI1118" s="73"/>
      <c r="HJ1118" s="73"/>
      <c r="HK1118" s="73"/>
      <c r="HL1118" s="73"/>
      <c r="HM1118" s="73"/>
      <c r="HN1118" s="73"/>
      <c r="HO1118" s="73"/>
      <c r="HP1118" s="73"/>
      <c r="HQ1118" s="73"/>
      <c r="HR1118" s="73"/>
      <c r="HS1118" s="73"/>
      <c r="HT1118" s="73"/>
      <c r="HU1118" s="73"/>
      <c r="HV1118" s="73"/>
      <c r="HW1118" s="73"/>
      <c r="HX1118" s="73"/>
      <c r="HY1118" s="73"/>
      <c r="HZ1118" s="73"/>
      <c r="IA1118" s="73"/>
      <c r="IB1118" s="73"/>
      <c r="IC1118" s="73"/>
      <c r="ID1118" s="73"/>
      <c r="IE1118" s="73"/>
      <c r="IF1118" s="73"/>
      <c r="IG1118" s="73"/>
      <c r="IH1118" s="73"/>
      <c r="II1118" s="73"/>
      <c r="IJ1118" s="73"/>
      <c r="IK1118" s="73"/>
      <c r="IL1118" s="73"/>
      <c r="IM1118" s="73"/>
      <c r="IN1118" s="73"/>
      <c r="IO1118" s="73"/>
      <c r="IP1118" s="73"/>
      <c r="IQ1118" s="73"/>
      <c r="IR1118" s="73"/>
      <c r="IS1118" s="73"/>
      <c r="IT1118" s="73"/>
      <c r="IU1118" s="73"/>
      <c r="IV1118" s="73"/>
      <c r="IW1118" s="73"/>
      <c r="IX1118" s="73"/>
      <c r="IY1118" s="73"/>
      <c r="IZ1118" s="73"/>
      <c r="JA1118" s="73"/>
      <c r="JB1118" s="73"/>
      <c r="JC1118" s="73"/>
    </row>
    <row r="1119" spans="2:263" s="72" customFormat="1">
      <c r="B1119" s="73"/>
      <c r="C1119" s="73"/>
      <c r="D1119" s="73"/>
      <c r="E1119" s="73"/>
      <c r="F1119" s="73"/>
      <c r="G1119" s="73"/>
      <c r="H1119" s="73"/>
      <c r="I1119" s="73"/>
      <c r="J1119" s="73"/>
      <c r="K1119" s="73"/>
      <c r="L1119" s="73"/>
      <c r="M1119" s="73"/>
      <c r="N1119" s="73"/>
      <c r="O1119" s="73"/>
      <c r="P1119" s="73"/>
      <c r="Q1119" s="73"/>
      <c r="R1119" s="73"/>
      <c r="S1119" s="73"/>
      <c r="T1119" s="73"/>
      <c r="U1119" s="73"/>
      <c r="V1119" s="73"/>
      <c r="W1119" s="73"/>
      <c r="GL1119" s="73"/>
      <c r="GM1119" s="73"/>
      <c r="GN1119" s="73"/>
      <c r="GO1119" s="73"/>
      <c r="GP1119" s="73"/>
      <c r="GQ1119" s="73"/>
      <c r="GR1119" s="73"/>
      <c r="GS1119" s="73"/>
      <c r="GT1119" s="73"/>
      <c r="GU1119" s="73"/>
      <c r="GV1119" s="73"/>
      <c r="GW1119" s="73"/>
      <c r="GX1119" s="73"/>
      <c r="GY1119" s="73"/>
      <c r="GZ1119" s="73"/>
      <c r="HA1119" s="73"/>
      <c r="HB1119" s="73"/>
      <c r="HC1119" s="73"/>
      <c r="HD1119" s="73"/>
      <c r="HE1119" s="73"/>
      <c r="HF1119" s="73"/>
      <c r="HG1119" s="73"/>
      <c r="HH1119" s="73"/>
      <c r="HI1119" s="73"/>
      <c r="HJ1119" s="73"/>
      <c r="HK1119" s="73"/>
      <c r="HL1119" s="73"/>
      <c r="HM1119" s="73"/>
      <c r="HN1119" s="73"/>
      <c r="HO1119" s="73"/>
      <c r="HP1119" s="73"/>
      <c r="HQ1119" s="73"/>
      <c r="HR1119" s="73"/>
      <c r="HS1119" s="73"/>
      <c r="HT1119" s="73"/>
      <c r="HU1119" s="73"/>
      <c r="HV1119" s="73"/>
      <c r="HW1119" s="73"/>
      <c r="HX1119" s="73"/>
      <c r="HY1119" s="73"/>
      <c r="HZ1119" s="73"/>
      <c r="IA1119" s="73"/>
      <c r="IB1119" s="73"/>
      <c r="IC1119" s="73"/>
      <c r="ID1119" s="73"/>
      <c r="IE1119" s="73"/>
      <c r="IF1119" s="73"/>
      <c r="IG1119" s="73"/>
      <c r="IH1119" s="73"/>
      <c r="II1119" s="73"/>
      <c r="IJ1119" s="73"/>
      <c r="IK1119" s="73"/>
      <c r="IL1119" s="73"/>
      <c r="IM1119" s="73"/>
      <c r="IN1119" s="73"/>
      <c r="IO1119" s="73"/>
      <c r="IP1119" s="73"/>
      <c r="IQ1119" s="73"/>
      <c r="IR1119" s="73"/>
      <c r="IS1119" s="73"/>
      <c r="IT1119" s="73"/>
      <c r="IU1119" s="73"/>
      <c r="IV1119" s="73"/>
      <c r="IW1119" s="73"/>
      <c r="IX1119" s="73"/>
      <c r="IY1119" s="73"/>
      <c r="IZ1119" s="73"/>
      <c r="JA1119" s="73"/>
      <c r="JB1119" s="73"/>
      <c r="JC1119" s="73"/>
    </row>
    <row r="1120" spans="2:263" s="72" customFormat="1">
      <c r="B1120" s="73"/>
      <c r="C1120" s="73"/>
      <c r="D1120" s="73"/>
      <c r="E1120" s="73"/>
      <c r="F1120" s="73"/>
      <c r="G1120" s="73"/>
      <c r="H1120" s="73"/>
      <c r="I1120" s="73"/>
      <c r="J1120" s="73"/>
      <c r="K1120" s="73"/>
      <c r="L1120" s="73"/>
      <c r="M1120" s="73"/>
      <c r="N1120" s="73"/>
      <c r="O1120" s="73"/>
      <c r="P1120" s="73"/>
      <c r="Q1120" s="73"/>
      <c r="R1120" s="73"/>
      <c r="S1120" s="73"/>
      <c r="T1120" s="73"/>
      <c r="U1120" s="73"/>
      <c r="V1120" s="73"/>
      <c r="W1120" s="73"/>
      <c r="GL1120" s="73"/>
      <c r="GM1120" s="73"/>
      <c r="GN1120" s="73"/>
      <c r="GO1120" s="73"/>
      <c r="GP1120" s="73"/>
      <c r="GQ1120" s="73"/>
      <c r="GR1120" s="73"/>
      <c r="GS1120" s="73"/>
      <c r="GT1120" s="73"/>
      <c r="GU1120" s="73"/>
      <c r="GV1120" s="73"/>
      <c r="GW1120" s="73"/>
      <c r="GX1120" s="73"/>
      <c r="GY1120" s="73"/>
      <c r="GZ1120" s="73"/>
      <c r="HA1120" s="73"/>
      <c r="HB1120" s="73"/>
      <c r="HC1120" s="73"/>
      <c r="HD1120" s="73"/>
      <c r="HE1120" s="73"/>
      <c r="HF1120" s="73"/>
      <c r="HG1120" s="73"/>
      <c r="HH1120" s="73"/>
      <c r="HI1120" s="73"/>
      <c r="HJ1120" s="73"/>
      <c r="HK1120" s="73"/>
      <c r="HL1120" s="73"/>
      <c r="HM1120" s="73"/>
      <c r="HN1120" s="73"/>
      <c r="HO1120" s="73"/>
      <c r="HP1120" s="73"/>
      <c r="HQ1120" s="73"/>
      <c r="HR1120" s="73"/>
      <c r="HS1120" s="73"/>
      <c r="HT1120" s="73"/>
      <c r="HU1120" s="73"/>
      <c r="HV1120" s="73"/>
      <c r="HW1120" s="73"/>
      <c r="HX1120" s="73"/>
      <c r="HY1120" s="73"/>
      <c r="HZ1120" s="73"/>
      <c r="IA1120" s="73"/>
      <c r="IB1120" s="73"/>
      <c r="IC1120" s="73"/>
      <c r="ID1120" s="73"/>
      <c r="IE1120" s="73"/>
      <c r="IF1120" s="73"/>
      <c r="IG1120" s="73"/>
      <c r="IH1120" s="73"/>
      <c r="II1120" s="73"/>
      <c r="IJ1120" s="73"/>
      <c r="IK1120" s="73"/>
      <c r="IL1120" s="73"/>
      <c r="IM1120" s="73"/>
      <c r="IN1120" s="73"/>
      <c r="IO1120" s="73"/>
      <c r="IP1120" s="73"/>
      <c r="IQ1120" s="73"/>
      <c r="IR1120" s="73"/>
      <c r="IS1120" s="73"/>
      <c r="IT1120" s="73"/>
      <c r="IU1120" s="73"/>
      <c r="IV1120" s="73"/>
      <c r="IW1120" s="73"/>
      <c r="IX1120" s="73"/>
      <c r="IY1120" s="73"/>
      <c r="IZ1120" s="73"/>
      <c r="JA1120" s="73"/>
      <c r="JB1120" s="73"/>
      <c r="JC1120" s="73"/>
    </row>
    <row r="1121" spans="2:263" s="72" customFormat="1">
      <c r="B1121" s="73"/>
      <c r="C1121" s="73"/>
      <c r="D1121" s="73"/>
      <c r="E1121" s="73"/>
      <c r="F1121" s="73"/>
      <c r="G1121" s="73"/>
      <c r="H1121" s="73"/>
      <c r="I1121" s="73"/>
      <c r="J1121" s="73"/>
      <c r="K1121" s="73"/>
      <c r="L1121" s="73"/>
      <c r="M1121" s="73"/>
      <c r="N1121" s="73"/>
      <c r="O1121" s="73"/>
      <c r="P1121" s="73"/>
      <c r="Q1121" s="73"/>
      <c r="R1121" s="73"/>
      <c r="S1121" s="73"/>
      <c r="T1121" s="73"/>
      <c r="U1121" s="73"/>
      <c r="V1121" s="73"/>
      <c r="W1121" s="73"/>
      <c r="GL1121" s="73"/>
      <c r="GM1121" s="73"/>
      <c r="GN1121" s="73"/>
      <c r="GO1121" s="73"/>
      <c r="GP1121" s="73"/>
      <c r="GQ1121" s="73"/>
      <c r="GR1121" s="73"/>
      <c r="GS1121" s="73"/>
      <c r="GT1121" s="73"/>
      <c r="GU1121" s="73"/>
      <c r="GV1121" s="73"/>
      <c r="GW1121" s="73"/>
      <c r="GX1121" s="73"/>
      <c r="GY1121" s="73"/>
      <c r="GZ1121" s="73"/>
      <c r="HA1121" s="73"/>
      <c r="HB1121" s="73"/>
      <c r="HC1121" s="73"/>
      <c r="HD1121" s="73"/>
      <c r="HE1121" s="73"/>
      <c r="HF1121" s="73"/>
      <c r="HG1121" s="73"/>
      <c r="HH1121" s="73"/>
      <c r="HI1121" s="73"/>
      <c r="HJ1121" s="73"/>
      <c r="HK1121" s="73"/>
      <c r="HL1121" s="73"/>
      <c r="HM1121" s="73"/>
      <c r="HN1121" s="73"/>
      <c r="HO1121" s="73"/>
      <c r="HP1121" s="73"/>
      <c r="HQ1121" s="73"/>
      <c r="HR1121" s="73"/>
      <c r="HS1121" s="73"/>
      <c r="HT1121" s="73"/>
      <c r="HU1121" s="73"/>
      <c r="HV1121" s="73"/>
      <c r="HW1121" s="73"/>
      <c r="HX1121" s="73"/>
      <c r="HY1121" s="73"/>
      <c r="HZ1121" s="73"/>
      <c r="IA1121" s="73"/>
      <c r="IB1121" s="73"/>
      <c r="IC1121" s="73"/>
      <c r="ID1121" s="73"/>
      <c r="IE1121" s="73"/>
      <c r="IF1121" s="73"/>
      <c r="IG1121" s="73"/>
      <c r="IH1121" s="73"/>
      <c r="II1121" s="73"/>
      <c r="IJ1121" s="73"/>
      <c r="IK1121" s="73"/>
      <c r="IL1121" s="73"/>
      <c r="IM1121" s="73"/>
      <c r="IN1121" s="73"/>
      <c r="IO1121" s="73"/>
      <c r="IP1121" s="73"/>
      <c r="IQ1121" s="73"/>
      <c r="IR1121" s="73"/>
      <c r="IS1121" s="73"/>
      <c r="IT1121" s="73"/>
      <c r="IU1121" s="73"/>
      <c r="IV1121" s="73"/>
      <c r="IW1121" s="73"/>
      <c r="IX1121" s="73"/>
      <c r="IY1121" s="73"/>
      <c r="IZ1121" s="73"/>
      <c r="JA1121" s="73"/>
      <c r="JB1121" s="73"/>
      <c r="JC1121" s="73"/>
    </row>
    <row r="1122" spans="2:263" s="72" customFormat="1">
      <c r="B1122" s="73"/>
      <c r="C1122" s="73"/>
      <c r="D1122" s="73"/>
      <c r="E1122" s="73"/>
      <c r="F1122" s="73"/>
      <c r="G1122" s="73"/>
      <c r="H1122" s="73"/>
      <c r="I1122" s="73"/>
      <c r="J1122" s="73"/>
      <c r="K1122" s="73"/>
      <c r="L1122" s="73"/>
      <c r="M1122" s="73"/>
      <c r="N1122" s="73"/>
      <c r="O1122" s="73"/>
      <c r="P1122" s="73"/>
      <c r="Q1122" s="73"/>
      <c r="R1122" s="73"/>
      <c r="S1122" s="73"/>
      <c r="T1122" s="73"/>
      <c r="U1122" s="73"/>
      <c r="V1122" s="73"/>
      <c r="W1122" s="73"/>
      <c r="GL1122" s="73"/>
      <c r="GM1122" s="73"/>
      <c r="GN1122" s="73"/>
      <c r="GO1122" s="73"/>
      <c r="GP1122" s="73"/>
      <c r="GQ1122" s="73"/>
      <c r="GR1122" s="73"/>
      <c r="GS1122" s="73"/>
      <c r="GT1122" s="73"/>
      <c r="GU1122" s="73"/>
      <c r="GV1122" s="73"/>
      <c r="GW1122" s="73"/>
      <c r="GX1122" s="73"/>
      <c r="GY1122" s="73"/>
      <c r="GZ1122" s="73"/>
      <c r="HA1122" s="73"/>
      <c r="HB1122" s="73"/>
      <c r="HC1122" s="73"/>
      <c r="HD1122" s="73"/>
      <c r="HE1122" s="73"/>
      <c r="HF1122" s="73"/>
      <c r="HG1122" s="73"/>
      <c r="HH1122" s="73"/>
      <c r="HI1122" s="73"/>
      <c r="HJ1122" s="73"/>
      <c r="HK1122" s="73"/>
      <c r="HL1122" s="73"/>
      <c r="HM1122" s="73"/>
      <c r="HN1122" s="73"/>
      <c r="HO1122" s="73"/>
      <c r="HP1122" s="73"/>
      <c r="HQ1122" s="73"/>
      <c r="HR1122" s="73"/>
      <c r="HS1122" s="73"/>
      <c r="HT1122" s="73"/>
      <c r="HU1122" s="73"/>
      <c r="HV1122" s="73"/>
      <c r="HW1122" s="73"/>
      <c r="HX1122" s="73"/>
      <c r="HY1122" s="73"/>
      <c r="HZ1122" s="73"/>
      <c r="IA1122" s="73"/>
      <c r="IB1122" s="73"/>
      <c r="IC1122" s="73"/>
      <c r="ID1122" s="73"/>
      <c r="IE1122" s="73"/>
      <c r="IF1122" s="73"/>
      <c r="IG1122" s="73"/>
      <c r="IH1122" s="73"/>
      <c r="II1122" s="73"/>
      <c r="IJ1122" s="73"/>
      <c r="IK1122" s="73"/>
      <c r="IL1122" s="73"/>
      <c r="IM1122" s="73"/>
      <c r="IN1122" s="73"/>
      <c r="IO1122" s="73"/>
      <c r="IP1122" s="73"/>
      <c r="IQ1122" s="73"/>
      <c r="IR1122" s="73"/>
      <c r="IS1122" s="73"/>
      <c r="IT1122" s="73"/>
      <c r="IU1122" s="73"/>
      <c r="IV1122" s="73"/>
      <c r="IW1122" s="73"/>
      <c r="IX1122" s="73"/>
      <c r="IY1122" s="73"/>
      <c r="IZ1122" s="73"/>
      <c r="JA1122" s="73"/>
      <c r="JB1122" s="73"/>
      <c r="JC1122" s="73"/>
    </row>
    <row r="1123" spans="2:263" s="72" customFormat="1">
      <c r="B1123" s="73"/>
      <c r="C1123" s="73"/>
      <c r="D1123" s="73"/>
      <c r="E1123" s="73"/>
      <c r="F1123" s="73"/>
      <c r="G1123" s="73"/>
      <c r="H1123" s="73"/>
      <c r="I1123" s="73"/>
      <c r="J1123" s="73"/>
      <c r="K1123" s="73"/>
      <c r="L1123" s="73"/>
      <c r="M1123" s="73"/>
      <c r="N1123" s="73"/>
      <c r="O1123" s="73"/>
      <c r="P1123" s="73"/>
      <c r="Q1123" s="73"/>
      <c r="R1123" s="73"/>
      <c r="S1123" s="73"/>
      <c r="T1123" s="73"/>
      <c r="U1123" s="73"/>
      <c r="V1123" s="73"/>
      <c r="W1123" s="73"/>
      <c r="GL1123" s="73"/>
      <c r="GM1123" s="73"/>
      <c r="GN1123" s="73"/>
      <c r="GO1123" s="73"/>
      <c r="GP1123" s="73"/>
      <c r="GQ1123" s="73"/>
      <c r="GR1123" s="73"/>
      <c r="GS1123" s="73"/>
      <c r="GT1123" s="73"/>
      <c r="GU1123" s="73"/>
      <c r="GV1123" s="73"/>
      <c r="GW1123" s="73"/>
      <c r="GX1123" s="73"/>
      <c r="GY1123" s="73"/>
      <c r="GZ1123" s="73"/>
      <c r="HA1123" s="73"/>
      <c r="HB1123" s="73"/>
      <c r="HC1123" s="73"/>
      <c r="HD1123" s="73"/>
      <c r="HE1123" s="73"/>
      <c r="HF1123" s="73"/>
      <c r="HG1123" s="73"/>
      <c r="HH1123" s="73"/>
      <c r="HI1123" s="73"/>
      <c r="HJ1123" s="73"/>
      <c r="HK1123" s="73"/>
      <c r="HL1123" s="73"/>
      <c r="HM1123" s="73"/>
      <c r="HN1123" s="73"/>
      <c r="HO1123" s="73"/>
      <c r="HP1123" s="73"/>
      <c r="HQ1123" s="73"/>
      <c r="HR1123" s="73"/>
      <c r="HS1123" s="73"/>
      <c r="HT1123" s="73"/>
      <c r="HU1123" s="73"/>
      <c r="HV1123" s="73"/>
      <c r="HW1123" s="73"/>
      <c r="HX1123" s="73"/>
      <c r="HY1123" s="73"/>
      <c r="HZ1123" s="73"/>
      <c r="IA1123" s="73"/>
      <c r="IB1123" s="73"/>
      <c r="IC1123" s="73"/>
      <c r="ID1123" s="73"/>
      <c r="IE1123" s="73"/>
      <c r="IF1123" s="73"/>
      <c r="IG1123" s="73"/>
      <c r="IH1123" s="73"/>
      <c r="II1123" s="73"/>
      <c r="IJ1123" s="73"/>
      <c r="IK1123" s="73"/>
      <c r="IL1123" s="73"/>
      <c r="IM1123" s="73"/>
      <c r="IN1123" s="73"/>
      <c r="IO1123" s="73"/>
      <c r="IP1123" s="73"/>
      <c r="IQ1123" s="73"/>
      <c r="IR1123" s="73"/>
      <c r="IS1123" s="73"/>
      <c r="IT1123" s="73"/>
      <c r="IU1123" s="73"/>
      <c r="IV1123" s="73"/>
      <c r="IW1123" s="73"/>
      <c r="IX1123" s="73"/>
      <c r="IY1123" s="73"/>
      <c r="IZ1123" s="73"/>
      <c r="JA1123" s="73"/>
      <c r="JB1123" s="73"/>
      <c r="JC1123" s="73"/>
    </row>
    <row r="1124" spans="2:263" s="72" customFormat="1">
      <c r="B1124" s="73"/>
      <c r="C1124" s="73"/>
      <c r="D1124" s="73"/>
      <c r="E1124" s="73"/>
      <c r="F1124" s="73"/>
      <c r="G1124" s="73"/>
      <c r="H1124" s="73"/>
      <c r="I1124" s="73"/>
      <c r="J1124" s="73"/>
      <c r="K1124" s="73"/>
      <c r="L1124" s="73"/>
      <c r="M1124" s="73"/>
      <c r="N1124" s="73"/>
      <c r="O1124" s="73"/>
      <c r="P1124" s="73"/>
      <c r="Q1124" s="73"/>
      <c r="R1124" s="73"/>
      <c r="S1124" s="73"/>
      <c r="T1124" s="73"/>
      <c r="U1124" s="73"/>
      <c r="V1124" s="73"/>
      <c r="W1124" s="73"/>
      <c r="GL1124" s="73"/>
      <c r="GM1124" s="73"/>
      <c r="GN1124" s="73"/>
      <c r="GO1124" s="73"/>
      <c r="GP1124" s="73"/>
      <c r="GQ1124" s="73"/>
      <c r="GR1124" s="73"/>
      <c r="GS1124" s="73"/>
      <c r="GT1124" s="73"/>
      <c r="GU1124" s="73"/>
      <c r="GV1124" s="73"/>
      <c r="GW1124" s="73"/>
      <c r="GX1124" s="73"/>
      <c r="GY1124" s="73"/>
      <c r="GZ1124" s="73"/>
      <c r="HA1124" s="73"/>
      <c r="HB1124" s="73"/>
      <c r="HC1124" s="73"/>
      <c r="HD1124" s="73"/>
      <c r="HE1124" s="73"/>
      <c r="HF1124" s="73"/>
      <c r="HG1124" s="73"/>
      <c r="HH1124" s="73"/>
      <c r="HI1124" s="73"/>
      <c r="HJ1124" s="73"/>
      <c r="HK1124" s="73"/>
      <c r="HL1124" s="73"/>
      <c r="HM1124" s="73"/>
      <c r="HN1124" s="73"/>
      <c r="HO1124" s="73"/>
      <c r="HP1124" s="73"/>
      <c r="HQ1124" s="73"/>
      <c r="HR1124" s="73"/>
      <c r="HS1124" s="73"/>
      <c r="HT1124" s="73"/>
      <c r="HU1124" s="73"/>
      <c r="HV1124" s="73"/>
      <c r="HW1124" s="73"/>
      <c r="HX1124" s="73"/>
      <c r="HY1124" s="73"/>
      <c r="HZ1124" s="73"/>
      <c r="IA1124" s="73"/>
      <c r="IB1124" s="73"/>
      <c r="IC1124" s="73"/>
      <c r="ID1124" s="73"/>
      <c r="IE1124" s="73"/>
      <c r="IF1124" s="73"/>
      <c r="IG1124" s="73"/>
      <c r="IH1124" s="73"/>
      <c r="II1124" s="73"/>
      <c r="IJ1124" s="73"/>
      <c r="IK1124" s="73"/>
      <c r="IL1124" s="73"/>
      <c r="IM1124" s="73"/>
      <c r="IN1124" s="73"/>
      <c r="IO1124" s="73"/>
      <c r="IP1124" s="73"/>
      <c r="IQ1124" s="73"/>
      <c r="IR1124" s="73"/>
      <c r="IS1124" s="73"/>
      <c r="IT1124" s="73"/>
      <c r="IU1124" s="73"/>
      <c r="IV1124" s="73"/>
      <c r="IW1124" s="73"/>
      <c r="IX1124" s="73"/>
      <c r="IY1124" s="73"/>
      <c r="IZ1124" s="73"/>
      <c r="JA1124" s="73"/>
      <c r="JB1124" s="73"/>
      <c r="JC1124" s="73"/>
    </row>
    <row r="1125" spans="2:263" s="72" customFormat="1">
      <c r="B1125" s="73"/>
      <c r="C1125" s="73"/>
      <c r="D1125" s="73"/>
      <c r="E1125" s="73"/>
      <c r="F1125" s="73"/>
      <c r="G1125" s="73"/>
      <c r="H1125" s="73"/>
      <c r="I1125" s="73"/>
      <c r="J1125" s="73"/>
      <c r="K1125" s="73"/>
      <c r="L1125" s="73"/>
      <c r="M1125" s="73"/>
      <c r="N1125" s="73"/>
      <c r="O1125" s="73"/>
      <c r="P1125" s="73"/>
      <c r="Q1125" s="73"/>
      <c r="R1125" s="73"/>
      <c r="S1125" s="73"/>
      <c r="T1125" s="73"/>
      <c r="U1125" s="73"/>
      <c r="V1125" s="73"/>
      <c r="W1125" s="73"/>
      <c r="GL1125" s="73"/>
      <c r="GM1125" s="73"/>
      <c r="GN1125" s="73"/>
      <c r="GO1125" s="73"/>
      <c r="GP1125" s="73"/>
      <c r="GQ1125" s="73"/>
      <c r="GR1125" s="73"/>
      <c r="GS1125" s="73"/>
      <c r="GT1125" s="73"/>
      <c r="GU1125" s="73"/>
      <c r="GV1125" s="73"/>
      <c r="GW1125" s="73"/>
      <c r="GX1125" s="73"/>
      <c r="GY1125" s="73"/>
      <c r="GZ1125" s="73"/>
      <c r="HA1125" s="73"/>
      <c r="HB1125" s="73"/>
      <c r="HC1125" s="73"/>
      <c r="HD1125" s="73"/>
      <c r="HE1125" s="73"/>
      <c r="HF1125" s="73"/>
      <c r="HG1125" s="73"/>
      <c r="HH1125" s="73"/>
      <c r="HI1125" s="73"/>
      <c r="HJ1125" s="73"/>
      <c r="HK1125" s="73"/>
      <c r="HL1125" s="73"/>
      <c r="HM1125" s="73"/>
      <c r="HN1125" s="73"/>
      <c r="HO1125" s="73"/>
      <c r="HP1125" s="73"/>
      <c r="HQ1125" s="73"/>
      <c r="HR1125" s="73"/>
      <c r="HS1125" s="73"/>
      <c r="HT1125" s="73"/>
      <c r="HU1125" s="73"/>
      <c r="HV1125" s="73"/>
      <c r="HW1125" s="73"/>
      <c r="HX1125" s="73"/>
      <c r="HY1125" s="73"/>
      <c r="HZ1125" s="73"/>
      <c r="IA1125" s="73"/>
      <c r="IB1125" s="73"/>
      <c r="IC1125" s="73"/>
      <c r="ID1125" s="73"/>
      <c r="IE1125" s="73"/>
      <c r="IF1125" s="73"/>
      <c r="IG1125" s="73"/>
      <c r="IH1125" s="73"/>
      <c r="II1125" s="73"/>
      <c r="IJ1125" s="73"/>
      <c r="IK1125" s="73"/>
      <c r="IL1125" s="73"/>
      <c r="IM1125" s="73"/>
      <c r="IN1125" s="73"/>
      <c r="IO1125" s="73"/>
      <c r="IP1125" s="73"/>
      <c r="IQ1125" s="73"/>
      <c r="IR1125" s="73"/>
      <c r="IS1125" s="73"/>
      <c r="IT1125" s="73"/>
      <c r="IU1125" s="73"/>
      <c r="IV1125" s="73"/>
      <c r="IW1125" s="73"/>
      <c r="IX1125" s="73"/>
      <c r="IY1125" s="73"/>
      <c r="IZ1125" s="73"/>
      <c r="JA1125" s="73"/>
      <c r="JB1125" s="73"/>
      <c r="JC1125" s="73"/>
    </row>
    <row r="1126" spans="2:263" s="72" customFormat="1">
      <c r="B1126" s="73"/>
      <c r="C1126" s="73"/>
      <c r="D1126" s="73"/>
      <c r="E1126" s="73"/>
      <c r="F1126" s="73"/>
      <c r="G1126" s="73"/>
      <c r="H1126" s="73"/>
      <c r="I1126" s="73"/>
      <c r="J1126" s="73"/>
      <c r="K1126" s="73"/>
      <c r="L1126" s="73"/>
      <c r="M1126" s="73"/>
      <c r="N1126" s="73"/>
      <c r="O1126" s="73"/>
      <c r="P1126" s="73"/>
      <c r="Q1126" s="73"/>
      <c r="R1126" s="73"/>
      <c r="S1126" s="73"/>
      <c r="T1126" s="73"/>
      <c r="U1126" s="73"/>
      <c r="V1126" s="73"/>
      <c r="W1126" s="73"/>
      <c r="GL1126" s="73"/>
      <c r="GM1126" s="73"/>
      <c r="GN1126" s="73"/>
      <c r="GO1126" s="73"/>
      <c r="GP1126" s="73"/>
      <c r="GQ1126" s="73"/>
      <c r="GR1126" s="73"/>
      <c r="GS1126" s="73"/>
      <c r="GT1126" s="73"/>
      <c r="GU1126" s="73"/>
      <c r="GV1126" s="73"/>
      <c r="GW1126" s="73"/>
      <c r="GX1126" s="73"/>
      <c r="GY1126" s="73"/>
      <c r="GZ1126" s="73"/>
      <c r="HA1126" s="73"/>
      <c r="HB1126" s="73"/>
      <c r="HC1126" s="73"/>
      <c r="HD1126" s="73"/>
      <c r="HE1126" s="73"/>
      <c r="HF1126" s="73"/>
      <c r="HG1126" s="73"/>
      <c r="HH1126" s="73"/>
      <c r="HI1126" s="73"/>
      <c r="HJ1126" s="73"/>
      <c r="HK1126" s="73"/>
      <c r="HL1126" s="73"/>
      <c r="HM1126" s="73"/>
      <c r="HN1126" s="73"/>
      <c r="HO1126" s="73"/>
      <c r="HP1126" s="73"/>
      <c r="HQ1126" s="73"/>
      <c r="HR1126" s="73"/>
      <c r="HS1126" s="73"/>
      <c r="HT1126" s="73"/>
      <c r="HU1126" s="73"/>
      <c r="HV1126" s="73"/>
      <c r="HW1126" s="73"/>
      <c r="HX1126" s="73"/>
      <c r="HY1126" s="73"/>
      <c r="HZ1126" s="73"/>
      <c r="IA1126" s="73"/>
      <c r="IB1126" s="73"/>
      <c r="IC1126" s="73"/>
      <c r="ID1126" s="73"/>
      <c r="IE1126" s="73"/>
      <c r="IF1126" s="73"/>
      <c r="IG1126" s="73"/>
      <c r="IH1126" s="73"/>
      <c r="II1126" s="73"/>
      <c r="IJ1126" s="73"/>
      <c r="IK1126" s="73"/>
      <c r="IL1126" s="73"/>
      <c r="IM1126" s="73"/>
      <c r="IN1126" s="73"/>
      <c r="IO1126" s="73"/>
      <c r="IP1126" s="73"/>
      <c r="IQ1126" s="73"/>
      <c r="IR1126" s="73"/>
      <c r="IS1126" s="73"/>
      <c r="IT1126" s="73"/>
      <c r="IU1126" s="73"/>
      <c r="IV1126" s="73"/>
      <c r="IW1126" s="73"/>
      <c r="IX1126" s="73"/>
      <c r="IY1126" s="73"/>
      <c r="IZ1126" s="73"/>
      <c r="JA1126" s="73"/>
      <c r="JB1126" s="73"/>
      <c r="JC1126" s="73"/>
    </row>
    <row r="1127" spans="2:263" s="72" customFormat="1">
      <c r="B1127" s="73"/>
      <c r="C1127" s="73"/>
      <c r="D1127" s="73"/>
      <c r="E1127" s="73"/>
      <c r="F1127" s="73"/>
      <c r="G1127" s="73"/>
      <c r="H1127" s="73"/>
      <c r="I1127" s="73"/>
      <c r="J1127" s="73"/>
      <c r="K1127" s="73"/>
      <c r="L1127" s="73"/>
      <c r="M1127" s="73"/>
      <c r="N1127" s="73"/>
      <c r="O1127" s="73"/>
      <c r="P1127" s="73"/>
      <c r="Q1127" s="73"/>
      <c r="R1127" s="73"/>
      <c r="S1127" s="73"/>
      <c r="T1127" s="73"/>
      <c r="U1127" s="73"/>
      <c r="V1127" s="73"/>
      <c r="W1127" s="73"/>
      <c r="GL1127" s="73"/>
      <c r="GM1127" s="73"/>
      <c r="GN1127" s="73"/>
      <c r="GO1127" s="73"/>
      <c r="GP1127" s="73"/>
      <c r="GQ1127" s="73"/>
      <c r="GR1127" s="73"/>
      <c r="GS1127" s="73"/>
      <c r="GT1127" s="73"/>
      <c r="GU1127" s="73"/>
      <c r="GV1127" s="73"/>
      <c r="GW1127" s="73"/>
      <c r="GX1127" s="73"/>
      <c r="GY1127" s="73"/>
      <c r="GZ1127" s="73"/>
      <c r="HA1127" s="73"/>
      <c r="HB1127" s="73"/>
      <c r="HC1127" s="73"/>
      <c r="HD1127" s="73"/>
      <c r="HE1127" s="73"/>
      <c r="HF1127" s="73"/>
      <c r="HG1127" s="73"/>
      <c r="HH1127" s="73"/>
      <c r="HI1127" s="73"/>
      <c r="HJ1127" s="73"/>
      <c r="HK1127" s="73"/>
      <c r="HL1127" s="73"/>
      <c r="HM1127" s="73"/>
      <c r="HN1127" s="73"/>
      <c r="HO1127" s="73"/>
      <c r="HP1127" s="73"/>
      <c r="HQ1127" s="73"/>
      <c r="HR1127" s="73"/>
      <c r="HS1127" s="73"/>
      <c r="HT1127" s="73"/>
      <c r="HU1127" s="73"/>
      <c r="HV1127" s="73"/>
      <c r="HW1127" s="73"/>
      <c r="HX1127" s="73"/>
      <c r="HY1127" s="73"/>
      <c r="HZ1127" s="73"/>
      <c r="IA1127" s="73"/>
      <c r="IB1127" s="73"/>
      <c r="IC1127" s="73"/>
      <c r="ID1127" s="73"/>
      <c r="IE1127" s="73"/>
      <c r="IF1127" s="73"/>
      <c r="IG1127" s="73"/>
      <c r="IH1127" s="73"/>
      <c r="II1127" s="73"/>
      <c r="IJ1127" s="73"/>
      <c r="IK1127" s="73"/>
      <c r="IL1127" s="73"/>
      <c r="IM1127" s="73"/>
      <c r="IN1127" s="73"/>
      <c r="IO1127" s="73"/>
      <c r="IP1127" s="73"/>
      <c r="IQ1127" s="73"/>
      <c r="IR1127" s="73"/>
      <c r="IS1127" s="73"/>
      <c r="IT1127" s="73"/>
      <c r="IU1127" s="73"/>
      <c r="IV1127" s="73"/>
      <c r="IW1127" s="73"/>
      <c r="IX1127" s="73"/>
      <c r="IY1127" s="73"/>
      <c r="IZ1127" s="73"/>
      <c r="JA1127" s="73"/>
      <c r="JB1127" s="73"/>
      <c r="JC1127" s="73"/>
    </row>
    <row r="1128" spans="2:263" s="72" customFormat="1">
      <c r="B1128" s="73"/>
      <c r="C1128" s="73"/>
      <c r="D1128" s="73"/>
      <c r="E1128" s="73"/>
      <c r="F1128" s="73"/>
      <c r="G1128" s="73"/>
      <c r="H1128" s="73"/>
      <c r="I1128" s="73"/>
      <c r="J1128" s="73"/>
      <c r="K1128" s="73"/>
      <c r="L1128" s="73"/>
      <c r="M1128" s="73"/>
      <c r="N1128" s="73"/>
      <c r="O1128" s="73"/>
      <c r="P1128" s="73"/>
      <c r="Q1128" s="73"/>
      <c r="R1128" s="73"/>
      <c r="S1128" s="73"/>
      <c r="T1128" s="73"/>
      <c r="U1128" s="73"/>
      <c r="V1128" s="73"/>
      <c r="W1128" s="73"/>
      <c r="GL1128" s="73"/>
      <c r="GM1128" s="73"/>
      <c r="GN1128" s="73"/>
      <c r="GO1128" s="73"/>
      <c r="GP1128" s="73"/>
      <c r="GQ1128" s="73"/>
      <c r="GR1128" s="73"/>
      <c r="GS1128" s="73"/>
      <c r="GT1128" s="73"/>
      <c r="GU1128" s="73"/>
      <c r="GV1128" s="73"/>
      <c r="GW1128" s="73"/>
      <c r="GX1128" s="73"/>
      <c r="GY1128" s="73"/>
      <c r="GZ1128" s="73"/>
      <c r="HA1128" s="73"/>
      <c r="HB1128" s="73"/>
      <c r="HC1128" s="73"/>
      <c r="HD1128" s="73"/>
      <c r="HE1128" s="73"/>
      <c r="HF1128" s="73"/>
      <c r="HG1128" s="73"/>
      <c r="HH1128" s="73"/>
      <c r="HI1128" s="73"/>
      <c r="HJ1128" s="73"/>
      <c r="HK1128" s="73"/>
      <c r="HL1128" s="73"/>
      <c r="HM1128" s="73"/>
      <c r="HN1128" s="73"/>
      <c r="HO1128" s="73"/>
      <c r="HP1128" s="73"/>
      <c r="HQ1128" s="73"/>
      <c r="HR1128" s="73"/>
      <c r="HS1128" s="73"/>
      <c r="HT1128" s="73"/>
      <c r="HU1128" s="73"/>
      <c r="HV1128" s="73"/>
      <c r="HW1128" s="73"/>
      <c r="HX1128" s="73"/>
      <c r="HY1128" s="73"/>
      <c r="HZ1128" s="73"/>
      <c r="IA1128" s="73"/>
      <c r="IB1128" s="73"/>
      <c r="IC1128" s="73"/>
      <c r="ID1128" s="73"/>
      <c r="IE1128" s="73"/>
      <c r="IF1128" s="73"/>
      <c r="IG1128" s="73"/>
      <c r="IH1128" s="73"/>
      <c r="II1128" s="73"/>
      <c r="IJ1128" s="73"/>
      <c r="IK1128" s="73"/>
      <c r="IL1128" s="73"/>
      <c r="IM1128" s="73"/>
      <c r="IN1128" s="73"/>
      <c r="IO1128" s="73"/>
      <c r="IP1128" s="73"/>
      <c r="IQ1128" s="73"/>
      <c r="IR1128" s="73"/>
      <c r="IS1128" s="73"/>
      <c r="IT1128" s="73"/>
      <c r="IU1128" s="73"/>
      <c r="IV1128" s="73"/>
      <c r="IW1128" s="73"/>
      <c r="IX1128" s="73"/>
      <c r="IY1128" s="73"/>
      <c r="IZ1128" s="73"/>
      <c r="JA1128" s="73"/>
      <c r="JB1128" s="73"/>
      <c r="JC1128" s="73"/>
    </row>
    <row r="1129" spans="2:263" s="72" customFormat="1">
      <c r="B1129" s="73"/>
      <c r="C1129" s="73"/>
      <c r="D1129" s="73"/>
      <c r="E1129" s="73"/>
      <c r="F1129" s="73"/>
      <c r="G1129" s="73"/>
      <c r="H1129" s="73"/>
      <c r="I1129" s="73"/>
      <c r="J1129" s="73"/>
      <c r="K1129" s="73"/>
      <c r="L1129" s="73"/>
      <c r="M1129" s="73"/>
      <c r="N1129" s="73"/>
      <c r="O1129" s="73"/>
      <c r="P1129" s="73"/>
      <c r="Q1129" s="73"/>
      <c r="R1129" s="73"/>
      <c r="S1129" s="73"/>
      <c r="T1129" s="73"/>
      <c r="U1129" s="73"/>
      <c r="V1129" s="73"/>
      <c r="W1129" s="73"/>
      <c r="GL1129" s="73"/>
      <c r="GM1129" s="73"/>
      <c r="GN1129" s="73"/>
      <c r="GO1129" s="73"/>
      <c r="GP1129" s="73"/>
      <c r="GQ1129" s="73"/>
      <c r="GR1129" s="73"/>
      <c r="GS1129" s="73"/>
      <c r="GT1129" s="73"/>
      <c r="GU1129" s="73"/>
      <c r="GV1129" s="73"/>
      <c r="GW1129" s="73"/>
      <c r="GX1129" s="73"/>
      <c r="GY1129" s="73"/>
      <c r="GZ1129" s="73"/>
      <c r="HA1129" s="73"/>
      <c r="HB1129" s="73"/>
      <c r="HC1129" s="73"/>
      <c r="HD1129" s="73"/>
      <c r="HE1129" s="73"/>
      <c r="HF1129" s="73"/>
      <c r="HG1129" s="73"/>
      <c r="HH1129" s="73"/>
      <c r="HI1129" s="73"/>
      <c r="HJ1129" s="73"/>
      <c r="HK1129" s="73"/>
      <c r="HL1129" s="73"/>
      <c r="HM1129" s="73"/>
      <c r="HN1129" s="73"/>
      <c r="HO1129" s="73"/>
      <c r="HP1129" s="73"/>
      <c r="HQ1129" s="73"/>
      <c r="HR1129" s="73"/>
      <c r="HS1129" s="73"/>
      <c r="HT1129" s="73"/>
      <c r="HU1129" s="73"/>
      <c r="HV1129" s="73"/>
      <c r="HW1129" s="73"/>
      <c r="HX1129" s="73"/>
      <c r="HY1129" s="73"/>
      <c r="HZ1129" s="73"/>
      <c r="IA1129" s="73"/>
      <c r="IB1129" s="73"/>
      <c r="IC1129" s="73"/>
      <c r="ID1129" s="73"/>
      <c r="IE1129" s="73"/>
      <c r="IF1129" s="73"/>
      <c r="IG1129" s="73"/>
      <c r="IH1129" s="73"/>
      <c r="II1129" s="73"/>
      <c r="IJ1129" s="73"/>
      <c r="IK1129" s="73"/>
      <c r="IL1129" s="73"/>
      <c r="IM1129" s="73"/>
      <c r="IN1129" s="73"/>
      <c r="IO1129" s="73"/>
      <c r="IP1129" s="73"/>
      <c r="IQ1129" s="73"/>
      <c r="IR1129" s="73"/>
      <c r="IS1129" s="73"/>
      <c r="IT1129" s="73"/>
      <c r="IU1129" s="73"/>
      <c r="IV1129" s="73"/>
      <c r="IW1129" s="73"/>
      <c r="IX1129" s="73"/>
      <c r="IY1129" s="73"/>
      <c r="IZ1129" s="73"/>
      <c r="JA1129" s="73"/>
      <c r="JB1129" s="73"/>
      <c r="JC1129" s="73"/>
    </row>
    <row r="1130" spans="2:263" s="72" customFormat="1">
      <c r="B1130" s="73"/>
      <c r="C1130" s="73"/>
      <c r="D1130" s="73"/>
      <c r="E1130" s="73"/>
      <c r="F1130" s="73"/>
      <c r="G1130" s="73"/>
      <c r="H1130" s="73"/>
      <c r="I1130" s="73"/>
      <c r="J1130" s="73"/>
      <c r="K1130" s="73"/>
      <c r="L1130" s="73"/>
      <c r="M1130" s="73"/>
      <c r="N1130" s="73"/>
      <c r="O1130" s="73"/>
      <c r="P1130" s="73"/>
      <c r="Q1130" s="73"/>
      <c r="R1130" s="73"/>
      <c r="S1130" s="73"/>
      <c r="T1130" s="73"/>
      <c r="U1130" s="73"/>
      <c r="V1130" s="73"/>
      <c r="W1130" s="73"/>
      <c r="GL1130" s="73"/>
      <c r="GM1130" s="73"/>
      <c r="GN1130" s="73"/>
      <c r="GO1130" s="73"/>
      <c r="GP1130" s="73"/>
      <c r="GQ1130" s="73"/>
      <c r="GR1130" s="73"/>
      <c r="GS1130" s="73"/>
      <c r="GT1130" s="73"/>
      <c r="GU1130" s="73"/>
      <c r="GV1130" s="73"/>
      <c r="GW1130" s="73"/>
      <c r="GX1130" s="73"/>
      <c r="GY1130" s="73"/>
      <c r="GZ1130" s="73"/>
      <c r="HA1130" s="73"/>
      <c r="HB1130" s="73"/>
      <c r="HC1130" s="73"/>
      <c r="HD1130" s="73"/>
      <c r="HE1130" s="73"/>
      <c r="HF1130" s="73"/>
      <c r="HG1130" s="73"/>
      <c r="HH1130" s="73"/>
      <c r="HI1130" s="73"/>
      <c r="HJ1130" s="73"/>
      <c r="HK1130" s="73"/>
      <c r="HL1130" s="73"/>
      <c r="HM1130" s="73"/>
      <c r="HN1130" s="73"/>
      <c r="HO1130" s="73"/>
      <c r="HP1130" s="73"/>
      <c r="HQ1130" s="73"/>
      <c r="HR1130" s="73"/>
      <c r="HS1130" s="73"/>
      <c r="HT1130" s="73"/>
      <c r="HU1130" s="73"/>
      <c r="HV1130" s="73"/>
      <c r="HW1130" s="73"/>
      <c r="HX1130" s="73"/>
      <c r="HY1130" s="73"/>
      <c r="HZ1130" s="73"/>
      <c r="IA1130" s="73"/>
      <c r="IB1130" s="73"/>
      <c r="IC1130" s="73"/>
      <c r="ID1130" s="73"/>
      <c r="IE1130" s="73"/>
      <c r="IF1130" s="73"/>
      <c r="IG1130" s="73"/>
      <c r="IH1130" s="73"/>
      <c r="II1130" s="73"/>
      <c r="IJ1130" s="73"/>
      <c r="IK1130" s="73"/>
      <c r="IL1130" s="73"/>
      <c r="IM1130" s="73"/>
      <c r="IN1130" s="73"/>
      <c r="IO1130" s="73"/>
      <c r="IP1130" s="73"/>
      <c r="IQ1130" s="73"/>
      <c r="IR1130" s="73"/>
      <c r="IS1130" s="73"/>
      <c r="IT1130" s="73"/>
      <c r="IU1130" s="73"/>
      <c r="IV1130" s="73"/>
      <c r="IW1130" s="73"/>
      <c r="IX1130" s="73"/>
      <c r="IY1130" s="73"/>
      <c r="IZ1130" s="73"/>
      <c r="JA1130" s="73"/>
      <c r="JB1130" s="73"/>
      <c r="JC1130" s="73"/>
    </row>
    <row r="1131" spans="2:263" s="72" customFormat="1">
      <c r="B1131" s="73"/>
      <c r="C1131" s="73"/>
      <c r="D1131" s="73"/>
      <c r="E1131" s="73"/>
      <c r="F1131" s="73"/>
      <c r="G1131" s="73"/>
      <c r="H1131" s="73"/>
      <c r="I1131" s="73"/>
      <c r="J1131" s="73"/>
      <c r="K1131" s="73"/>
      <c r="L1131" s="73"/>
      <c r="M1131" s="73"/>
      <c r="N1131" s="73"/>
      <c r="O1131" s="73"/>
      <c r="P1131" s="73"/>
      <c r="Q1131" s="73"/>
      <c r="R1131" s="73"/>
      <c r="S1131" s="73"/>
      <c r="T1131" s="73"/>
      <c r="U1131" s="73"/>
      <c r="V1131" s="73"/>
      <c r="W1131" s="73"/>
      <c r="GL1131" s="73"/>
      <c r="GM1131" s="73"/>
      <c r="GN1131" s="73"/>
      <c r="GO1131" s="73"/>
      <c r="GP1131" s="73"/>
      <c r="GQ1131" s="73"/>
      <c r="GR1131" s="73"/>
      <c r="GS1131" s="73"/>
      <c r="GT1131" s="73"/>
      <c r="GU1131" s="73"/>
      <c r="GV1131" s="73"/>
      <c r="GW1131" s="73"/>
      <c r="GX1131" s="73"/>
      <c r="GY1131" s="73"/>
      <c r="GZ1131" s="73"/>
      <c r="HA1131" s="73"/>
      <c r="HB1131" s="73"/>
      <c r="HC1131" s="73"/>
      <c r="HD1131" s="73"/>
      <c r="HE1131" s="73"/>
      <c r="HF1131" s="73"/>
      <c r="HG1131" s="73"/>
      <c r="HH1131" s="73"/>
      <c r="HI1131" s="73"/>
      <c r="HJ1131" s="73"/>
      <c r="HK1131" s="73"/>
      <c r="HL1131" s="73"/>
      <c r="HM1131" s="73"/>
      <c r="HN1131" s="73"/>
      <c r="HO1131" s="73"/>
      <c r="HP1131" s="73"/>
      <c r="HQ1131" s="73"/>
      <c r="HR1131" s="73"/>
      <c r="HS1131" s="73"/>
      <c r="HT1131" s="73"/>
      <c r="HU1131" s="73"/>
      <c r="HV1131" s="73"/>
      <c r="HW1131" s="73"/>
      <c r="HX1131" s="73"/>
      <c r="HY1131" s="73"/>
      <c r="HZ1131" s="73"/>
      <c r="IA1131" s="73"/>
      <c r="IB1131" s="73"/>
      <c r="IC1131" s="73"/>
      <c r="ID1131" s="73"/>
      <c r="IE1131" s="73"/>
      <c r="IF1131" s="73"/>
      <c r="IG1131" s="73"/>
      <c r="IH1131" s="73"/>
      <c r="II1131" s="73"/>
      <c r="IJ1131" s="73"/>
      <c r="IK1131" s="73"/>
      <c r="IL1131" s="73"/>
      <c r="IM1131" s="73"/>
      <c r="IN1131" s="73"/>
      <c r="IO1131" s="73"/>
      <c r="IP1131" s="73"/>
      <c r="IQ1131" s="73"/>
      <c r="IR1131" s="73"/>
      <c r="IS1131" s="73"/>
      <c r="IT1131" s="73"/>
      <c r="IU1131" s="73"/>
      <c r="IV1131" s="73"/>
      <c r="IW1131" s="73"/>
      <c r="IX1131" s="73"/>
      <c r="IY1131" s="73"/>
      <c r="IZ1131" s="73"/>
      <c r="JA1131" s="73"/>
      <c r="JB1131" s="73"/>
      <c r="JC1131" s="73"/>
    </row>
    <row r="1132" spans="2:263" s="72" customFormat="1">
      <c r="B1132" s="73"/>
      <c r="C1132" s="73"/>
      <c r="D1132" s="73"/>
      <c r="E1132" s="73"/>
      <c r="F1132" s="73"/>
      <c r="G1132" s="73"/>
      <c r="H1132" s="73"/>
      <c r="I1132" s="73"/>
      <c r="J1132" s="73"/>
      <c r="K1132" s="73"/>
      <c r="L1132" s="73"/>
      <c r="M1132" s="73"/>
      <c r="N1132" s="73"/>
      <c r="O1132" s="73"/>
      <c r="P1132" s="73"/>
      <c r="Q1132" s="73"/>
      <c r="R1132" s="73"/>
      <c r="S1132" s="73"/>
      <c r="T1132" s="73"/>
      <c r="U1132" s="73"/>
      <c r="V1132" s="73"/>
      <c r="W1132" s="73"/>
      <c r="GL1132" s="73"/>
      <c r="GM1132" s="73"/>
      <c r="GN1132" s="73"/>
      <c r="GO1132" s="73"/>
      <c r="GP1132" s="73"/>
      <c r="GQ1132" s="73"/>
      <c r="GR1132" s="73"/>
      <c r="GS1132" s="73"/>
      <c r="GT1132" s="73"/>
      <c r="GU1132" s="73"/>
      <c r="GV1132" s="73"/>
      <c r="GW1132" s="73"/>
      <c r="GX1132" s="73"/>
      <c r="GY1132" s="73"/>
      <c r="GZ1132" s="73"/>
      <c r="HA1132" s="73"/>
      <c r="HB1132" s="73"/>
      <c r="HC1132" s="73"/>
      <c r="HD1132" s="73"/>
      <c r="HE1132" s="73"/>
      <c r="HF1132" s="73"/>
      <c r="HG1132" s="73"/>
      <c r="HH1132" s="73"/>
      <c r="HI1132" s="73"/>
      <c r="HJ1132" s="73"/>
      <c r="HK1132" s="73"/>
      <c r="HL1132" s="73"/>
      <c r="HM1132" s="73"/>
      <c r="HN1132" s="73"/>
      <c r="HO1132" s="73"/>
      <c r="HP1132" s="73"/>
      <c r="HQ1132" s="73"/>
      <c r="HR1132" s="73"/>
      <c r="HS1132" s="73"/>
      <c r="HT1132" s="73"/>
      <c r="HU1132" s="73"/>
      <c r="HV1132" s="73"/>
      <c r="HW1132" s="73"/>
      <c r="HX1132" s="73"/>
      <c r="HY1132" s="73"/>
      <c r="HZ1132" s="73"/>
      <c r="IA1132" s="73"/>
      <c r="IB1132" s="73"/>
      <c r="IC1132" s="73"/>
      <c r="ID1132" s="73"/>
      <c r="IE1132" s="73"/>
      <c r="IF1132" s="73"/>
      <c r="IG1132" s="73"/>
      <c r="IH1132" s="73"/>
      <c r="II1132" s="73"/>
      <c r="IJ1132" s="73"/>
      <c r="IK1132" s="73"/>
      <c r="IL1132" s="73"/>
      <c r="IM1132" s="73"/>
      <c r="IN1132" s="73"/>
      <c r="IO1132" s="73"/>
      <c r="IP1132" s="73"/>
      <c r="IQ1132" s="73"/>
      <c r="IR1132" s="73"/>
      <c r="IS1132" s="73"/>
      <c r="IT1132" s="73"/>
      <c r="IU1132" s="73"/>
      <c r="IV1132" s="73"/>
      <c r="IW1132" s="73"/>
      <c r="IX1132" s="73"/>
      <c r="IY1132" s="73"/>
      <c r="IZ1132" s="73"/>
      <c r="JA1132" s="73"/>
      <c r="JB1132" s="73"/>
      <c r="JC1132" s="73"/>
    </row>
    <row r="1133" spans="2:263" s="72" customFormat="1">
      <c r="B1133" s="73"/>
      <c r="C1133" s="73"/>
      <c r="D1133" s="73"/>
      <c r="E1133" s="73"/>
      <c r="F1133" s="73"/>
      <c r="G1133" s="73"/>
      <c r="H1133" s="73"/>
      <c r="I1133" s="73"/>
      <c r="J1133" s="73"/>
      <c r="K1133" s="73"/>
      <c r="L1133" s="73"/>
      <c r="M1133" s="73"/>
      <c r="N1133" s="73"/>
      <c r="O1133" s="73"/>
      <c r="P1133" s="73"/>
      <c r="Q1133" s="73"/>
      <c r="R1133" s="73"/>
      <c r="S1133" s="73"/>
      <c r="T1133" s="73"/>
      <c r="U1133" s="73"/>
      <c r="V1133" s="73"/>
      <c r="W1133" s="73"/>
      <c r="GL1133" s="73"/>
      <c r="GM1133" s="73"/>
      <c r="GN1133" s="73"/>
      <c r="GO1133" s="73"/>
      <c r="GP1133" s="73"/>
      <c r="GQ1133" s="73"/>
      <c r="GR1133" s="73"/>
      <c r="GS1133" s="73"/>
      <c r="GT1133" s="73"/>
      <c r="GU1133" s="73"/>
      <c r="GV1133" s="73"/>
      <c r="GW1133" s="73"/>
      <c r="GX1133" s="73"/>
      <c r="GY1133" s="73"/>
      <c r="GZ1133" s="73"/>
      <c r="HA1133" s="73"/>
      <c r="HB1133" s="73"/>
      <c r="HC1133" s="73"/>
      <c r="HD1133" s="73"/>
      <c r="HE1133" s="73"/>
      <c r="HF1133" s="73"/>
      <c r="HG1133" s="73"/>
      <c r="HH1133" s="73"/>
      <c r="HI1133" s="73"/>
      <c r="HJ1133" s="73"/>
      <c r="HK1133" s="73"/>
      <c r="HL1133" s="73"/>
      <c r="HM1133" s="73"/>
      <c r="HN1133" s="73"/>
      <c r="HO1133" s="73"/>
      <c r="HP1133" s="73"/>
      <c r="HQ1133" s="73"/>
      <c r="HR1133" s="73"/>
      <c r="HS1133" s="73"/>
      <c r="HT1133" s="73"/>
      <c r="HU1133" s="73"/>
      <c r="HV1133" s="73"/>
      <c r="HW1133" s="73"/>
      <c r="HX1133" s="73"/>
      <c r="HY1133" s="73"/>
      <c r="HZ1133" s="73"/>
      <c r="IA1133" s="73"/>
      <c r="IB1133" s="73"/>
      <c r="IC1133" s="73"/>
      <c r="ID1133" s="73"/>
      <c r="IE1133" s="73"/>
      <c r="IF1133" s="73"/>
      <c r="IG1133" s="73"/>
      <c r="IH1133" s="73"/>
      <c r="II1133" s="73"/>
      <c r="IJ1133" s="73"/>
      <c r="IK1133" s="73"/>
      <c r="IL1133" s="73"/>
      <c r="IM1133" s="73"/>
      <c r="IN1133" s="73"/>
      <c r="IO1133" s="73"/>
      <c r="IP1133" s="73"/>
      <c r="IQ1133" s="73"/>
      <c r="IR1133" s="73"/>
      <c r="IS1133" s="73"/>
      <c r="IT1133" s="73"/>
      <c r="IU1133" s="73"/>
      <c r="IV1133" s="73"/>
      <c r="IW1133" s="73"/>
      <c r="IX1133" s="73"/>
      <c r="IY1133" s="73"/>
      <c r="IZ1133" s="73"/>
      <c r="JA1133" s="73"/>
      <c r="JB1133" s="73"/>
      <c r="JC1133" s="73"/>
    </row>
    <row r="1134" spans="2:263" s="72" customFormat="1">
      <c r="B1134" s="73"/>
      <c r="C1134" s="73"/>
      <c r="D1134" s="73"/>
      <c r="E1134" s="73"/>
      <c r="F1134" s="73"/>
      <c r="G1134" s="73"/>
      <c r="H1134" s="73"/>
      <c r="I1134" s="73"/>
      <c r="J1134" s="73"/>
      <c r="K1134" s="73"/>
      <c r="L1134" s="73"/>
      <c r="M1134" s="73"/>
      <c r="N1134" s="73"/>
      <c r="O1134" s="73"/>
      <c r="P1134" s="73"/>
      <c r="Q1134" s="73"/>
      <c r="R1134" s="73"/>
      <c r="S1134" s="73"/>
      <c r="T1134" s="73"/>
      <c r="U1134" s="73"/>
      <c r="V1134" s="73"/>
      <c r="W1134" s="73"/>
      <c r="GL1134" s="73"/>
      <c r="GM1134" s="73"/>
      <c r="GN1134" s="73"/>
      <c r="GO1134" s="73"/>
      <c r="GP1134" s="73"/>
      <c r="GQ1134" s="73"/>
      <c r="GR1134" s="73"/>
      <c r="GS1134" s="73"/>
      <c r="GT1134" s="73"/>
      <c r="GU1134" s="73"/>
      <c r="GV1134" s="73"/>
      <c r="GW1134" s="73"/>
      <c r="GX1134" s="73"/>
      <c r="GY1134" s="73"/>
      <c r="GZ1134" s="73"/>
      <c r="HA1134" s="73"/>
      <c r="HB1134" s="73"/>
      <c r="HC1134" s="73"/>
      <c r="HD1134" s="73"/>
      <c r="HE1134" s="73"/>
      <c r="HF1134" s="73"/>
      <c r="HG1134" s="73"/>
      <c r="HH1134" s="73"/>
      <c r="HI1134" s="73"/>
      <c r="HJ1134" s="73"/>
      <c r="HK1134" s="73"/>
      <c r="HL1134" s="73"/>
      <c r="HM1134" s="73"/>
      <c r="HN1134" s="73"/>
      <c r="HO1134" s="73"/>
      <c r="HP1134" s="73"/>
      <c r="HQ1134" s="73"/>
      <c r="HR1134" s="73"/>
      <c r="HS1134" s="73"/>
      <c r="HT1134" s="73"/>
      <c r="HU1134" s="73"/>
      <c r="HV1134" s="73"/>
      <c r="HW1134" s="73"/>
      <c r="HX1134" s="73"/>
      <c r="HY1134" s="73"/>
      <c r="HZ1134" s="73"/>
      <c r="IA1134" s="73"/>
      <c r="IB1134" s="73"/>
      <c r="IC1134" s="73"/>
      <c r="ID1134" s="73"/>
      <c r="IE1134" s="73"/>
      <c r="IF1134" s="73"/>
      <c r="IG1134" s="73"/>
      <c r="IH1134" s="73"/>
      <c r="II1134" s="73"/>
      <c r="IJ1134" s="73"/>
      <c r="IK1134" s="73"/>
      <c r="IL1134" s="73"/>
      <c r="IM1134" s="73"/>
      <c r="IN1134" s="73"/>
      <c r="IO1134" s="73"/>
      <c r="IP1134" s="73"/>
      <c r="IQ1134" s="73"/>
      <c r="IR1134" s="73"/>
      <c r="IS1134" s="73"/>
      <c r="IT1134" s="73"/>
      <c r="IU1134" s="73"/>
      <c r="IV1134" s="73"/>
      <c r="IW1134" s="73"/>
      <c r="IX1134" s="73"/>
      <c r="IY1134" s="73"/>
      <c r="IZ1134" s="73"/>
      <c r="JA1134" s="73"/>
      <c r="JB1134" s="73"/>
      <c r="JC1134" s="73"/>
    </row>
    <row r="1135" spans="2:263" s="72" customFormat="1">
      <c r="B1135" s="73"/>
      <c r="C1135" s="73"/>
      <c r="D1135" s="73"/>
      <c r="E1135" s="73"/>
      <c r="F1135" s="73"/>
      <c r="G1135" s="73"/>
      <c r="H1135" s="73"/>
      <c r="I1135" s="73"/>
      <c r="J1135" s="73"/>
      <c r="K1135" s="73"/>
      <c r="L1135" s="73"/>
      <c r="M1135" s="73"/>
      <c r="N1135" s="73"/>
      <c r="O1135" s="73"/>
      <c r="P1135" s="73"/>
      <c r="Q1135" s="73"/>
      <c r="R1135" s="73"/>
      <c r="S1135" s="73"/>
      <c r="T1135" s="73"/>
      <c r="U1135" s="73"/>
      <c r="V1135" s="73"/>
      <c r="W1135" s="73"/>
      <c r="GL1135" s="73"/>
      <c r="GM1135" s="73"/>
      <c r="GN1135" s="73"/>
      <c r="GO1135" s="73"/>
      <c r="GP1135" s="73"/>
      <c r="GQ1135" s="73"/>
      <c r="GR1135" s="73"/>
      <c r="GS1135" s="73"/>
      <c r="GT1135" s="73"/>
      <c r="GU1135" s="73"/>
      <c r="GV1135" s="73"/>
      <c r="GW1135" s="73"/>
      <c r="GX1135" s="73"/>
      <c r="GY1135" s="73"/>
      <c r="GZ1135" s="73"/>
      <c r="HA1135" s="73"/>
      <c r="HB1135" s="73"/>
      <c r="HC1135" s="73"/>
      <c r="HD1135" s="73"/>
      <c r="HE1135" s="73"/>
      <c r="HF1135" s="73"/>
      <c r="HG1135" s="73"/>
      <c r="HH1135" s="73"/>
      <c r="HI1135" s="73"/>
      <c r="HJ1135" s="73"/>
      <c r="HK1135" s="73"/>
      <c r="HL1135" s="73"/>
      <c r="HM1135" s="73"/>
      <c r="HN1135" s="73"/>
      <c r="HO1135" s="73"/>
      <c r="HP1135" s="73"/>
      <c r="HQ1135" s="73"/>
      <c r="HR1135" s="73"/>
      <c r="HS1135" s="73"/>
      <c r="HT1135" s="73"/>
      <c r="HU1135" s="73"/>
      <c r="HV1135" s="73"/>
      <c r="HW1135" s="73"/>
      <c r="HX1135" s="73"/>
      <c r="HY1135" s="73"/>
      <c r="HZ1135" s="73"/>
      <c r="IA1135" s="73"/>
      <c r="IB1135" s="73"/>
      <c r="IC1135" s="73"/>
      <c r="ID1135" s="73"/>
      <c r="IE1135" s="73"/>
      <c r="IF1135" s="73"/>
      <c r="IG1135" s="73"/>
      <c r="IH1135" s="73"/>
      <c r="II1135" s="73"/>
      <c r="IJ1135" s="73"/>
      <c r="IK1135" s="73"/>
      <c r="IL1135" s="73"/>
      <c r="IM1135" s="73"/>
      <c r="IN1135" s="73"/>
      <c r="IO1135" s="73"/>
      <c r="IP1135" s="73"/>
      <c r="IQ1135" s="73"/>
      <c r="IR1135" s="73"/>
      <c r="IS1135" s="73"/>
      <c r="IT1135" s="73"/>
      <c r="IU1135" s="73"/>
      <c r="IV1135" s="73"/>
      <c r="IW1135" s="73"/>
      <c r="IX1135" s="73"/>
      <c r="IY1135" s="73"/>
      <c r="IZ1135" s="73"/>
      <c r="JA1135" s="73"/>
      <c r="JB1135" s="73"/>
      <c r="JC1135" s="73"/>
    </row>
    <row r="1136" spans="2:263" s="72" customFormat="1">
      <c r="B1136" s="73"/>
      <c r="C1136" s="73"/>
      <c r="D1136" s="73"/>
      <c r="E1136" s="73"/>
      <c r="F1136" s="73"/>
      <c r="G1136" s="73"/>
      <c r="H1136" s="73"/>
      <c r="I1136" s="73"/>
      <c r="J1136" s="73"/>
      <c r="K1136" s="73"/>
      <c r="L1136" s="73"/>
      <c r="M1136" s="73"/>
      <c r="N1136" s="73"/>
      <c r="O1136" s="73"/>
      <c r="P1136" s="73"/>
      <c r="Q1136" s="73"/>
      <c r="R1136" s="73"/>
      <c r="S1136" s="73"/>
      <c r="T1136" s="73"/>
      <c r="U1136" s="73"/>
      <c r="V1136" s="73"/>
      <c r="W1136" s="73"/>
      <c r="GL1136" s="73"/>
      <c r="GM1136" s="73"/>
      <c r="GN1136" s="73"/>
      <c r="GO1136" s="73"/>
      <c r="GP1136" s="73"/>
      <c r="GQ1136" s="73"/>
      <c r="GR1136" s="73"/>
      <c r="GS1136" s="73"/>
      <c r="GT1136" s="73"/>
      <c r="GU1136" s="73"/>
      <c r="GV1136" s="73"/>
      <c r="GW1136" s="73"/>
      <c r="GX1136" s="73"/>
      <c r="GY1136" s="73"/>
      <c r="GZ1136" s="73"/>
      <c r="HA1136" s="73"/>
      <c r="HB1136" s="73"/>
      <c r="HC1136" s="73"/>
      <c r="HD1136" s="73"/>
      <c r="HE1136" s="73"/>
      <c r="HF1136" s="73"/>
      <c r="HG1136" s="73"/>
      <c r="HH1136" s="73"/>
      <c r="HI1136" s="73"/>
      <c r="HJ1136" s="73"/>
      <c r="HK1136" s="73"/>
      <c r="HL1136" s="73"/>
      <c r="HM1136" s="73"/>
      <c r="HN1136" s="73"/>
      <c r="HO1136" s="73"/>
      <c r="HP1136" s="73"/>
      <c r="HQ1136" s="73"/>
      <c r="HR1136" s="73"/>
      <c r="HS1136" s="73"/>
      <c r="HT1136" s="73"/>
      <c r="HU1136" s="73"/>
      <c r="HV1136" s="73"/>
      <c r="HW1136" s="73"/>
      <c r="HX1136" s="73"/>
      <c r="HY1136" s="73"/>
      <c r="HZ1136" s="73"/>
      <c r="IA1136" s="73"/>
      <c r="IB1136" s="73"/>
      <c r="IC1136" s="73"/>
      <c r="ID1136" s="73"/>
      <c r="IE1136" s="73"/>
      <c r="IF1136" s="73"/>
      <c r="IG1136" s="73"/>
      <c r="IH1136" s="73"/>
      <c r="II1136" s="73"/>
      <c r="IJ1136" s="73"/>
      <c r="IK1136" s="73"/>
      <c r="IL1136" s="73"/>
      <c r="IM1136" s="73"/>
      <c r="IN1136" s="73"/>
      <c r="IO1136" s="73"/>
      <c r="IP1136" s="73"/>
      <c r="IQ1136" s="73"/>
      <c r="IR1136" s="73"/>
      <c r="IS1136" s="73"/>
      <c r="IT1136" s="73"/>
      <c r="IU1136" s="73"/>
      <c r="IV1136" s="73"/>
      <c r="IW1136" s="73"/>
      <c r="IX1136" s="73"/>
      <c r="IY1136" s="73"/>
      <c r="IZ1136" s="73"/>
      <c r="JA1136" s="73"/>
      <c r="JB1136" s="73"/>
      <c r="JC1136" s="73"/>
    </row>
    <row r="1137" spans="2:263" s="72" customFormat="1">
      <c r="B1137" s="73"/>
      <c r="C1137" s="73"/>
      <c r="D1137" s="73"/>
      <c r="E1137" s="73"/>
      <c r="F1137" s="73"/>
      <c r="G1137" s="73"/>
      <c r="H1137" s="73"/>
      <c r="I1137" s="73"/>
      <c r="J1137" s="73"/>
      <c r="K1137" s="73"/>
      <c r="L1137" s="73"/>
      <c r="M1137" s="73"/>
      <c r="N1137" s="73"/>
      <c r="O1137" s="73"/>
      <c r="P1137" s="73"/>
      <c r="Q1137" s="73"/>
      <c r="R1137" s="73"/>
      <c r="S1137" s="73"/>
      <c r="T1137" s="73"/>
      <c r="U1137" s="73"/>
      <c r="V1137" s="73"/>
      <c r="W1137" s="73"/>
      <c r="GL1137" s="73"/>
      <c r="GM1137" s="73"/>
      <c r="GN1137" s="73"/>
      <c r="GO1137" s="73"/>
      <c r="GP1137" s="73"/>
      <c r="GQ1137" s="73"/>
      <c r="GR1137" s="73"/>
      <c r="GS1137" s="73"/>
      <c r="GT1137" s="73"/>
      <c r="GU1137" s="73"/>
      <c r="GV1137" s="73"/>
      <c r="GW1137" s="73"/>
      <c r="GX1137" s="73"/>
      <c r="GY1137" s="73"/>
      <c r="GZ1137" s="73"/>
      <c r="HA1137" s="73"/>
      <c r="HB1137" s="73"/>
      <c r="HC1137" s="73"/>
      <c r="HD1137" s="73"/>
      <c r="HE1137" s="73"/>
      <c r="HF1137" s="73"/>
      <c r="HG1137" s="73"/>
      <c r="HH1137" s="73"/>
      <c r="HI1137" s="73"/>
      <c r="HJ1137" s="73"/>
      <c r="HK1137" s="73"/>
      <c r="HL1137" s="73"/>
      <c r="HM1137" s="73"/>
      <c r="HN1137" s="73"/>
      <c r="HO1137" s="73"/>
      <c r="HP1137" s="73"/>
      <c r="HQ1137" s="73"/>
      <c r="HR1137" s="73"/>
      <c r="HS1137" s="73"/>
      <c r="HT1137" s="73"/>
      <c r="HU1137" s="73"/>
      <c r="HV1137" s="73"/>
      <c r="HW1137" s="73"/>
      <c r="HX1137" s="73"/>
      <c r="HY1137" s="73"/>
      <c r="HZ1137" s="73"/>
      <c r="IA1137" s="73"/>
      <c r="IB1137" s="73"/>
      <c r="IC1137" s="73"/>
      <c r="ID1137" s="73"/>
      <c r="IE1137" s="73"/>
      <c r="IF1137" s="73"/>
      <c r="IG1137" s="73"/>
      <c r="IH1137" s="73"/>
      <c r="II1137" s="73"/>
      <c r="IJ1137" s="73"/>
      <c r="IK1137" s="73"/>
      <c r="IL1137" s="73"/>
      <c r="IM1137" s="73"/>
      <c r="IN1137" s="73"/>
      <c r="IO1137" s="73"/>
      <c r="IP1137" s="73"/>
      <c r="IQ1137" s="73"/>
      <c r="IR1137" s="73"/>
      <c r="IS1137" s="73"/>
      <c r="IT1137" s="73"/>
      <c r="IU1137" s="73"/>
      <c r="IV1137" s="73"/>
      <c r="IW1137" s="73"/>
      <c r="IX1137" s="73"/>
      <c r="IY1137" s="73"/>
      <c r="IZ1137" s="73"/>
      <c r="JA1137" s="73"/>
      <c r="JB1137" s="73"/>
      <c r="JC1137" s="73"/>
    </row>
    <row r="1138" spans="2:263" s="72" customFormat="1">
      <c r="B1138" s="73"/>
      <c r="C1138" s="73"/>
      <c r="D1138" s="73"/>
      <c r="E1138" s="73"/>
      <c r="F1138" s="73"/>
      <c r="G1138" s="73"/>
      <c r="H1138" s="73"/>
      <c r="I1138" s="73"/>
      <c r="J1138" s="73"/>
      <c r="K1138" s="73"/>
      <c r="L1138" s="73"/>
      <c r="M1138" s="73"/>
      <c r="N1138" s="73"/>
      <c r="O1138" s="73"/>
      <c r="P1138" s="73"/>
      <c r="Q1138" s="73"/>
      <c r="R1138" s="73"/>
      <c r="S1138" s="73"/>
      <c r="T1138" s="73"/>
      <c r="U1138" s="73"/>
      <c r="V1138" s="73"/>
      <c r="W1138" s="73"/>
      <c r="GL1138" s="73"/>
      <c r="GM1138" s="73"/>
      <c r="GN1138" s="73"/>
      <c r="GO1138" s="73"/>
      <c r="GP1138" s="73"/>
      <c r="GQ1138" s="73"/>
      <c r="GR1138" s="73"/>
      <c r="GS1138" s="73"/>
      <c r="GT1138" s="73"/>
      <c r="GU1138" s="73"/>
      <c r="GV1138" s="73"/>
      <c r="GW1138" s="73"/>
      <c r="GX1138" s="73"/>
      <c r="GY1138" s="73"/>
      <c r="GZ1138" s="73"/>
      <c r="HA1138" s="73"/>
      <c r="HB1138" s="73"/>
      <c r="HC1138" s="73"/>
      <c r="HD1138" s="73"/>
      <c r="HE1138" s="73"/>
      <c r="HF1138" s="73"/>
      <c r="HG1138" s="73"/>
      <c r="HH1138" s="73"/>
      <c r="HI1138" s="73"/>
      <c r="HJ1138" s="73"/>
      <c r="HK1138" s="73"/>
      <c r="HL1138" s="73"/>
      <c r="HM1138" s="73"/>
      <c r="HN1138" s="73"/>
      <c r="HO1138" s="73"/>
      <c r="HP1138" s="73"/>
      <c r="HQ1138" s="73"/>
      <c r="HR1138" s="73"/>
      <c r="HS1138" s="73"/>
      <c r="HT1138" s="73"/>
      <c r="HU1138" s="73"/>
      <c r="HV1138" s="73"/>
      <c r="HW1138" s="73"/>
      <c r="HX1138" s="73"/>
      <c r="HY1138" s="73"/>
      <c r="HZ1138" s="73"/>
      <c r="IA1138" s="73"/>
      <c r="IB1138" s="73"/>
      <c r="IC1138" s="73"/>
      <c r="ID1138" s="73"/>
      <c r="IE1138" s="73"/>
      <c r="IF1138" s="73"/>
      <c r="IG1138" s="73"/>
      <c r="IH1138" s="73"/>
      <c r="II1138" s="73"/>
      <c r="IJ1138" s="73"/>
      <c r="IK1138" s="73"/>
      <c r="IL1138" s="73"/>
      <c r="IM1138" s="73"/>
      <c r="IN1138" s="73"/>
      <c r="IO1138" s="73"/>
      <c r="IP1138" s="73"/>
      <c r="IQ1138" s="73"/>
      <c r="IR1138" s="73"/>
      <c r="IS1138" s="73"/>
      <c r="IT1138" s="73"/>
      <c r="IU1138" s="73"/>
      <c r="IV1138" s="73"/>
      <c r="IW1138" s="73"/>
      <c r="IX1138" s="73"/>
      <c r="IY1138" s="73"/>
      <c r="IZ1138" s="73"/>
      <c r="JA1138" s="73"/>
      <c r="JB1138" s="73"/>
      <c r="JC1138" s="73"/>
    </row>
    <row r="1139" spans="2:263" s="72" customFormat="1">
      <c r="B1139" s="73"/>
      <c r="C1139" s="73"/>
      <c r="D1139" s="73"/>
      <c r="E1139" s="73"/>
      <c r="F1139" s="73"/>
      <c r="G1139" s="73"/>
      <c r="H1139" s="73"/>
      <c r="I1139" s="73"/>
      <c r="J1139" s="73"/>
      <c r="K1139" s="73"/>
      <c r="L1139" s="73"/>
      <c r="M1139" s="73"/>
      <c r="N1139" s="73"/>
      <c r="O1139" s="73"/>
      <c r="P1139" s="73"/>
      <c r="Q1139" s="73"/>
      <c r="R1139" s="73"/>
      <c r="S1139" s="73"/>
      <c r="T1139" s="73"/>
      <c r="U1139" s="73"/>
      <c r="V1139" s="73"/>
      <c r="W1139" s="73"/>
      <c r="GL1139" s="73"/>
      <c r="GM1139" s="73"/>
      <c r="GN1139" s="73"/>
      <c r="GO1139" s="73"/>
      <c r="GP1139" s="73"/>
      <c r="GQ1139" s="73"/>
      <c r="GR1139" s="73"/>
      <c r="GS1139" s="73"/>
      <c r="GT1139" s="73"/>
      <c r="GU1139" s="73"/>
      <c r="GV1139" s="73"/>
      <c r="GW1139" s="73"/>
      <c r="GX1139" s="73"/>
      <c r="GY1139" s="73"/>
      <c r="GZ1139" s="73"/>
      <c r="HA1139" s="73"/>
      <c r="HB1139" s="73"/>
      <c r="HC1139" s="73"/>
      <c r="HD1139" s="73"/>
      <c r="HE1139" s="73"/>
      <c r="HF1139" s="73"/>
      <c r="HG1139" s="73"/>
      <c r="HH1139" s="73"/>
      <c r="HI1139" s="73"/>
      <c r="HJ1139" s="73"/>
      <c r="HK1139" s="73"/>
      <c r="HL1139" s="73"/>
      <c r="HM1139" s="73"/>
      <c r="HN1139" s="73"/>
      <c r="HO1139" s="73"/>
      <c r="HP1139" s="73"/>
      <c r="HQ1139" s="73"/>
      <c r="HR1139" s="73"/>
      <c r="HS1139" s="73"/>
      <c r="HT1139" s="73"/>
      <c r="HU1139" s="73"/>
      <c r="HV1139" s="73"/>
      <c r="HW1139" s="73"/>
      <c r="HX1139" s="73"/>
      <c r="HY1139" s="73"/>
      <c r="HZ1139" s="73"/>
      <c r="IA1139" s="73"/>
      <c r="IB1139" s="73"/>
      <c r="IC1139" s="73"/>
      <c r="ID1139" s="73"/>
      <c r="IE1139" s="73"/>
      <c r="IF1139" s="73"/>
      <c r="IG1139" s="73"/>
      <c r="IH1139" s="73"/>
      <c r="II1139" s="73"/>
      <c r="IJ1139" s="73"/>
      <c r="IK1139" s="73"/>
      <c r="IL1139" s="73"/>
      <c r="IM1139" s="73"/>
      <c r="IN1139" s="73"/>
      <c r="IO1139" s="73"/>
      <c r="IP1139" s="73"/>
      <c r="IQ1139" s="73"/>
      <c r="IR1139" s="73"/>
      <c r="IS1139" s="73"/>
      <c r="IT1139" s="73"/>
      <c r="IU1139" s="73"/>
      <c r="IV1139" s="73"/>
      <c r="IW1139" s="73"/>
      <c r="IX1139" s="73"/>
      <c r="IY1139" s="73"/>
      <c r="IZ1139" s="73"/>
      <c r="JA1139" s="73"/>
      <c r="JB1139" s="73"/>
      <c r="JC1139" s="73"/>
    </row>
    <row r="1140" spans="2:263" s="72" customFormat="1">
      <c r="B1140" s="73"/>
      <c r="C1140" s="73"/>
      <c r="D1140" s="73"/>
      <c r="E1140" s="73"/>
      <c r="F1140" s="73"/>
      <c r="G1140" s="73"/>
      <c r="H1140" s="73"/>
      <c r="I1140" s="73"/>
      <c r="J1140" s="73"/>
      <c r="K1140" s="73"/>
      <c r="L1140" s="73"/>
      <c r="M1140" s="73"/>
      <c r="N1140" s="73"/>
      <c r="O1140" s="73"/>
      <c r="P1140" s="73"/>
      <c r="Q1140" s="73"/>
      <c r="R1140" s="73"/>
      <c r="S1140" s="73"/>
      <c r="T1140" s="73"/>
      <c r="U1140" s="73"/>
      <c r="V1140" s="73"/>
      <c r="W1140" s="73"/>
      <c r="GL1140" s="73"/>
      <c r="GM1140" s="73"/>
      <c r="GN1140" s="73"/>
      <c r="GO1140" s="73"/>
      <c r="GP1140" s="73"/>
      <c r="GQ1140" s="73"/>
      <c r="GR1140" s="73"/>
      <c r="GS1140" s="73"/>
      <c r="GT1140" s="73"/>
      <c r="GU1140" s="73"/>
      <c r="GV1140" s="73"/>
      <c r="GW1140" s="73"/>
      <c r="GX1140" s="73"/>
      <c r="GY1140" s="73"/>
      <c r="GZ1140" s="73"/>
      <c r="HA1140" s="73"/>
      <c r="HB1140" s="73"/>
      <c r="HC1140" s="73"/>
      <c r="HD1140" s="73"/>
      <c r="HE1140" s="73"/>
      <c r="HF1140" s="73"/>
      <c r="HG1140" s="73"/>
      <c r="HH1140" s="73"/>
      <c r="HI1140" s="73"/>
      <c r="HJ1140" s="73"/>
      <c r="HK1140" s="73"/>
      <c r="HL1140" s="73"/>
      <c r="HM1140" s="73"/>
      <c r="HN1140" s="73"/>
      <c r="HO1140" s="73"/>
      <c r="HP1140" s="73"/>
      <c r="HQ1140" s="73"/>
      <c r="HR1140" s="73"/>
      <c r="HS1140" s="73"/>
      <c r="HT1140" s="73"/>
      <c r="HU1140" s="73"/>
      <c r="HV1140" s="73"/>
      <c r="HW1140" s="73"/>
      <c r="HX1140" s="73"/>
      <c r="HY1140" s="73"/>
      <c r="HZ1140" s="73"/>
      <c r="IA1140" s="73"/>
      <c r="IB1140" s="73"/>
      <c r="IC1140" s="73"/>
      <c r="ID1140" s="73"/>
      <c r="IE1140" s="73"/>
      <c r="IF1140" s="73"/>
      <c r="IG1140" s="73"/>
      <c r="IH1140" s="73"/>
      <c r="II1140" s="73"/>
      <c r="IJ1140" s="73"/>
      <c r="IK1140" s="73"/>
      <c r="IL1140" s="73"/>
      <c r="IM1140" s="73"/>
      <c r="IN1140" s="73"/>
      <c r="IO1140" s="73"/>
      <c r="IP1140" s="73"/>
      <c r="IQ1140" s="73"/>
      <c r="IR1140" s="73"/>
      <c r="IS1140" s="73"/>
      <c r="IT1140" s="73"/>
      <c r="IU1140" s="73"/>
      <c r="IV1140" s="73"/>
      <c r="IW1140" s="73"/>
      <c r="IX1140" s="73"/>
      <c r="IY1140" s="73"/>
      <c r="IZ1140" s="73"/>
      <c r="JA1140" s="73"/>
      <c r="JB1140" s="73"/>
      <c r="JC1140" s="73"/>
    </row>
    <row r="1141" spans="2:263" s="72" customFormat="1">
      <c r="B1141" s="73"/>
      <c r="C1141" s="73"/>
      <c r="D1141" s="73"/>
      <c r="E1141" s="73"/>
      <c r="F1141" s="73"/>
      <c r="G1141" s="73"/>
      <c r="H1141" s="73"/>
      <c r="I1141" s="73"/>
      <c r="J1141" s="73"/>
      <c r="K1141" s="73"/>
      <c r="L1141" s="73"/>
      <c r="M1141" s="73"/>
      <c r="N1141" s="73"/>
      <c r="O1141" s="73"/>
      <c r="P1141" s="73"/>
      <c r="Q1141" s="73"/>
      <c r="R1141" s="73"/>
      <c r="S1141" s="73"/>
      <c r="T1141" s="73"/>
      <c r="U1141" s="73"/>
      <c r="V1141" s="73"/>
      <c r="W1141" s="73"/>
      <c r="GL1141" s="73"/>
      <c r="GM1141" s="73"/>
      <c r="GN1141" s="73"/>
      <c r="GO1141" s="73"/>
      <c r="GP1141" s="73"/>
      <c r="GQ1141" s="73"/>
      <c r="GR1141" s="73"/>
      <c r="GS1141" s="73"/>
      <c r="GT1141" s="73"/>
      <c r="GU1141" s="73"/>
      <c r="GV1141" s="73"/>
      <c r="GW1141" s="73"/>
      <c r="GX1141" s="73"/>
      <c r="GY1141" s="73"/>
      <c r="GZ1141" s="73"/>
      <c r="HA1141" s="73"/>
      <c r="HB1141" s="73"/>
      <c r="HC1141" s="73"/>
      <c r="HD1141" s="73"/>
      <c r="HE1141" s="73"/>
      <c r="HF1141" s="73"/>
      <c r="HG1141" s="73"/>
      <c r="HH1141" s="73"/>
      <c r="HI1141" s="73"/>
      <c r="HJ1141" s="73"/>
      <c r="HK1141" s="73"/>
      <c r="HL1141" s="73"/>
      <c r="HM1141" s="73"/>
      <c r="HN1141" s="73"/>
      <c r="HO1141" s="73"/>
      <c r="HP1141" s="73"/>
      <c r="HQ1141" s="73"/>
      <c r="HR1141" s="73"/>
      <c r="HS1141" s="73"/>
      <c r="HT1141" s="73"/>
      <c r="HU1141" s="73"/>
      <c r="HV1141" s="73"/>
      <c r="HW1141" s="73"/>
      <c r="HX1141" s="73"/>
      <c r="HY1141" s="73"/>
      <c r="HZ1141" s="73"/>
      <c r="IA1141" s="73"/>
      <c r="IB1141" s="73"/>
      <c r="IC1141" s="73"/>
      <c r="ID1141" s="73"/>
      <c r="IE1141" s="73"/>
      <c r="IF1141" s="73"/>
      <c r="IG1141" s="73"/>
      <c r="IH1141" s="73"/>
      <c r="II1141" s="73"/>
      <c r="IJ1141" s="73"/>
      <c r="IK1141" s="73"/>
      <c r="IL1141" s="73"/>
      <c r="IM1141" s="73"/>
      <c r="IN1141" s="73"/>
      <c r="IO1141" s="73"/>
      <c r="IP1141" s="73"/>
      <c r="IQ1141" s="73"/>
      <c r="IR1141" s="73"/>
      <c r="IS1141" s="73"/>
      <c r="IT1141" s="73"/>
      <c r="IU1141" s="73"/>
      <c r="IV1141" s="73"/>
      <c r="IW1141" s="73"/>
      <c r="IX1141" s="73"/>
      <c r="IY1141" s="73"/>
      <c r="IZ1141" s="73"/>
      <c r="JA1141" s="73"/>
      <c r="JB1141" s="73"/>
      <c r="JC1141" s="73"/>
    </row>
    <row r="1142" spans="2:263" s="72" customFormat="1">
      <c r="B1142" s="73"/>
      <c r="C1142" s="73"/>
      <c r="D1142" s="73"/>
      <c r="E1142" s="73"/>
      <c r="F1142" s="73"/>
      <c r="G1142" s="73"/>
      <c r="H1142" s="73"/>
      <c r="I1142" s="73"/>
      <c r="J1142" s="73"/>
      <c r="K1142" s="73"/>
      <c r="L1142" s="73"/>
      <c r="M1142" s="73"/>
      <c r="N1142" s="73"/>
      <c r="O1142" s="73"/>
      <c r="P1142" s="73"/>
      <c r="Q1142" s="73"/>
      <c r="R1142" s="73"/>
      <c r="S1142" s="73"/>
      <c r="T1142" s="73"/>
      <c r="U1142" s="73"/>
      <c r="V1142" s="73"/>
      <c r="W1142" s="73"/>
      <c r="GL1142" s="73"/>
      <c r="GM1142" s="73"/>
      <c r="GN1142" s="73"/>
      <c r="GO1142" s="73"/>
      <c r="GP1142" s="73"/>
      <c r="GQ1142" s="73"/>
      <c r="GR1142" s="73"/>
      <c r="GS1142" s="73"/>
      <c r="GT1142" s="73"/>
      <c r="GU1142" s="73"/>
      <c r="GV1142" s="73"/>
      <c r="GW1142" s="73"/>
      <c r="GX1142" s="73"/>
      <c r="GY1142" s="73"/>
      <c r="GZ1142" s="73"/>
      <c r="HA1142" s="73"/>
      <c r="HB1142" s="73"/>
      <c r="HC1142" s="73"/>
      <c r="HD1142" s="73"/>
      <c r="HE1142" s="73"/>
      <c r="HF1142" s="73"/>
      <c r="HG1142" s="73"/>
      <c r="HH1142" s="73"/>
      <c r="HI1142" s="73"/>
      <c r="HJ1142" s="73"/>
      <c r="HK1142" s="73"/>
      <c r="HL1142" s="73"/>
      <c r="HM1142" s="73"/>
      <c r="HN1142" s="73"/>
      <c r="HO1142" s="73"/>
      <c r="HP1142" s="73"/>
      <c r="HQ1142" s="73"/>
      <c r="HR1142" s="73"/>
      <c r="HS1142" s="73"/>
      <c r="HT1142" s="73"/>
      <c r="HU1142" s="73"/>
      <c r="HV1142" s="73"/>
      <c r="HW1142" s="73"/>
      <c r="HX1142" s="73"/>
      <c r="HY1142" s="73"/>
      <c r="HZ1142" s="73"/>
      <c r="IA1142" s="73"/>
      <c r="IB1142" s="73"/>
      <c r="IC1142" s="73"/>
      <c r="ID1142" s="73"/>
      <c r="IE1142" s="73"/>
      <c r="IF1142" s="73"/>
      <c r="IG1142" s="73"/>
      <c r="IH1142" s="73"/>
      <c r="II1142" s="73"/>
      <c r="IJ1142" s="73"/>
      <c r="IK1142" s="73"/>
      <c r="IL1142" s="73"/>
      <c r="IM1142" s="73"/>
      <c r="IN1142" s="73"/>
      <c r="IO1142" s="73"/>
      <c r="IP1142" s="73"/>
      <c r="IQ1142" s="73"/>
      <c r="IR1142" s="73"/>
      <c r="IS1142" s="73"/>
      <c r="IT1142" s="73"/>
      <c r="IU1142" s="73"/>
      <c r="IV1142" s="73"/>
      <c r="IW1142" s="73"/>
      <c r="IX1142" s="73"/>
      <c r="IY1142" s="73"/>
      <c r="IZ1142" s="73"/>
      <c r="JA1142" s="73"/>
      <c r="JB1142" s="73"/>
      <c r="JC1142" s="73"/>
    </row>
    <row r="1143" spans="2:263" s="72" customFormat="1">
      <c r="B1143" s="73"/>
      <c r="C1143" s="73"/>
      <c r="D1143" s="73"/>
      <c r="E1143" s="73"/>
      <c r="F1143" s="73"/>
      <c r="G1143" s="73"/>
      <c r="H1143" s="73"/>
      <c r="I1143" s="73"/>
      <c r="J1143" s="73"/>
      <c r="K1143" s="73"/>
      <c r="L1143" s="73"/>
      <c r="M1143" s="73"/>
      <c r="N1143" s="73"/>
      <c r="O1143" s="73"/>
      <c r="P1143" s="73"/>
      <c r="Q1143" s="73"/>
      <c r="R1143" s="73"/>
      <c r="S1143" s="73"/>
      <c r="T1143" s="73"/>
      <c r="U1143" s="73"/>
      <c r="V1143" s="73"/>
      <c r="W1143" s="73"/>
      <c r="GL1143" s="73"/>
      <c r="GM1143" s="73"/>
      <c r="GN1143" s="73"/>
      <c r="GO1143" s="73"/>
      <c r="GP1143" s="73"/>
      <c r="GQ1143" s="73"/>
      <c r="GR1143" s="73"/>
      <c r="GS1143" s="73"/>
      <c r="GT1143" s="73"/>
      <c r="GU1143" s="73"/>
      <c r="GV1143" s="73"/>
      <c r="GW1143" s="73"/>
      <c r="GX1143" s="73"/>
      <c r="GY1143" s="73"/>
      <c r="GZ1143" s="73"/>
      <c r="HA1143" s="73"/>
      <c r="HB1143" s="73"/>
      <c r="HC1143" s="73"/>
      <c r="HD1143" s="73"/>
      <c r="HE1143" s="73"/>
      <c r="HF1143" s="73"/>
      <c r="HG1143" s="73"/>
      <c r="HH1143" s="73"/>
      <c r="HI1143" s="73"/>
      <c r="HJ1143" s="73"/>
      <c r="HK1143" s="73"/>
      <c r="HL1143" s="73"/>
      <c r="HM1143" s="73"/>
      <c r="HN1143" s="73"/>
      <c r="HO1143" s="73"/>
      <c r="HP1143" s="73"/>
      <c r="HQ1143" s="73"/>
      <c r="HR1143" s="73"/>
      <c r="HS1143" s="73"/>
      <c r="HT1143" s="73"/>
      <c r="HU1143" s="73"/>
      <c r="HV1143" s="73"/>
      <c r="HW1143" s="73"/>
      <c r="HX1143" s="73"/>
      <c r="HY1143" s="73"/>
      <c r="HZ1143" s="73"/>
      <c r="IA1143" s="73"/>
      <c r="IB1143" s="73"/>
      <c r="IC1143" s="73"/>
      <c r="ID1143" s="73"/>
      <c r="IE1143" s="73"/>
      <c r="IF1143" s="73"/>
      <c r="IG1143" s="73"/>
      <c r="IH1143" s="73"/>
      <c r="II1143" s="73"/>
      <c r="IJ1143" s="73"/>
      <c r="IK1143" s="73"/>
      <c r="IL1143" s="73"/>
      <c r="IM1143" s="73"/>
      <c r="IN1143" s="73"/>
      <c r="IO1143" s="73"/>
      <c r="IP1143" s="73"/>
      <c r="IQ1143" s="73"/>
      <c r="IR1143" s="73"/>
      <c r="IS1143" s="73"/>
      <c r="IT1143" s="73"/>
      <c r="IU1143" s="73"/>
      <c r="IV1143" s="73"/>
      <c r="IW1143" s="73"/>
      <c r="IX1143" s="73"/>
      <c r="IY1143" s="73"/>
      <c r="IZ1143" s="73"/>
      <c r="JA1143" s="73"/>
      <c r="JB1143" s="73"/>
      <c r="JC1143" s="73"/>
    </row>
    <row r="1144" spans="2:263" s="72" customFormat="1">
      <c r="B1144" s="73"/>
      <c r="C1144" s="73"/>
      <c r="D1144" s="73"/>
      <c r="E1144" s="73"/>
      <c r="F1144" s="73"/>
      <c r="G1144" s="73"/>
      <c r="H1144" s="73"/>
      <c r="I1144" s="73"/>
      <c r="J1144" s="73"/>
      <c r="K1144" s="73"/>
      <c r="L1144" s="73"/>
      <c r="M1144" s="73"/>
      <c r="N1144" s="73"/>
      <c r="O1144" s="73"/>
      <c r="P1144" s="73"/>
      <c r="Q1144" s="73"/>
      <c r="R1144" s="73"/>
      <c r="S1144" s="73"/>
      <c r="T1144" s="73"/>
      <c r="U1144" s="73"/>
      <c r="V1144" s="73"/>
      <c r="W1144" s="73"/>
      <c r="GL1144" s="73"/>
      <c r="GM1144" s="73"/>
      <c r="GN1144" s="73"/>
      <c r="GO1144" s="73"/>
      <c r="GP1144" s="73"/>
      <c r="GQ1144" s="73"/>
      <c r="GR1144" s="73"/>
      <c r="GS1144" s="73"/>
      <c r="GT1144" s="73"/>
      <c r="GU1144" s="73"/>
      <c r="GV1144" s="73"/>
      <c r="GW1144" s="73"/>
      <c r="GX1144" s="73"/>
      <c r="GY1144" s="73"/>
      <c r="GZ1144" s="73"/>
      <c r="HA1144" s="73"/>
      <c r="HB1144" s="73"/>
      <c r="HC1144" s="73"/>
      <c r="HD1144" s="73"/>
      <c r="HE1144" s="73"/>
      <c r="HF1144" s="73"/>
      <c r="HG1144" s="73"/>
      <c r="HH1144" s="73"/>
      <c r="HI1144" s="73"/>
      <c r="HJ1144" s="73"/>
      <c r="HK1144" s="73"/>
      <c r="HL1144" s="73"/>
      <c r="HM1144" s="73"/>
      <c r="HN1144" s="73"/>
      <c r="HO1144" s="73"/>
      <c r="HP1144" s="73"/>
      <c r="HQ1144" s="73"/>
      <c r="HR1144" s="73"/>
      <c r="HS1144" s="73"/>
      <c r="HT1144" s="73"/>
      <c r="HU1144" s="73"/>
      <c r="HV1144" s="73"/>
      <c r="HW1144" s="73"/>
      <c r="HX1144" s="73"/>
      <c r="HY1144" s="73"/>
      <c r="HZ1144" s="73"/>
      <c r="IA1144" s="73"/>
      <c r="IB1144" s="73"/>
      <c r="IC1144" s="73"/>
      <c r="ID1144" s="73"/>
      <c r="IE1144" s="73"/>
      <c r="IF1144" s="73"/>
      <c r="IG1144" s="73"/>
      <c r="IH1144" s="73"/>
      <c r="II1144" s="73"/>
      <c r="IJ1144" s="73"/>
      <c r="IK1144" s="73"/>
      <c r="IL1144" s="73"/>
      <c r="IM1144" s="73"/>
      <c r="IN1144" s="73"/>
      <c r="IO1144" s="73"/>
      <c r="IP1144" s="73"/>
      <c r="IQ1144" s="73"/>
      <c r="IR1144" s="73"/>
      <c r="IS1144" s="73"/>
      <c r="IT1144" s="73"/>
      <c r="IU1144" s="73"/>
      <c r="IV1144" s="73"/>
      <c r="IW1144" s="73"/>
      <c r="IX1144" s="73"/>
      <c r="IY1144" s="73"/>
      <c r="IZ1144" s="73"/>
      <c r="JA1144" s="73"/>
      <c r="JB1144" s="73"/>
      <c r="JC1144" s="73"/>
    </row>
    <row r="1145" spans="2:263" s="72" customFormat="1">
      <c r="B1145" s="73"/>
      <c r="C1145" s="73"/>
      <c r="D1145" s="73"/>
      <c r="E1145" s="73"/>
      <c r="F1145" s="73"/>
      <c r="G1145" s="73"/>
      <c r="H1145" s="73"/>
      <c r="I1145" s="73"/>
      <c r="J1145" s="73"/>
      <c r="K1145" s="73"/>
      <c r="L1145" s="73"/>
      <c r="M1145" s="73"/>
      <c r="N1145" s="73"/>
      <c r="O1145" s="73"/>
      <c r="P1145" s="73"/>
      <c r="Q1145" s="73"/>
      <c r="R1145" s="73"/>
      <c r="S1145" s="73"/>
      <c r="T1145" s="73"/>
      <c r="U1145" s="73"/>
      <c r="V1145" s="73"/>
      <c r="W1145" s="73"/>
      <c r="GL1145" s="73"/>
      <c r="GM1145" s="73"/>
      <c r="GN1145" s="73"/>
      <c r="GO1145" s="73"/>
      <c r="GP1145" s="73"/>
      <c r="GQ1145" s="73"/>
      <c r="GR1145" s="73"/>
      <c r="GS1145" s="73"/>
      <c r="GT1145" s="73"/>
      <c r="GU1145" s="73"/>
      <c r="GV1145" s="73"/>
      <c r="GW1145" s="73"/>
      <c r="GX1145" s="73"/>
      <c r="GY1145" s="73"/>
      <c r="GZ1145" s="73"/>
      <c r="HA1145" s="73"/>
      <c r="HB1145" s="73"/>
      <c r="HC1145" s="73"/>
      <c r="HD1145" s="73"/>
      <c r="HE1145" s="73"/>
      <c r="HF1145" s="73"/>
      <c r="HG1145" s="73"/>
      <c r="HH1145" s="73"/>
      <c r="HI1145" s="73"/>
      <c r="HJ1145" s="73"/>
      <c r="HK1145" s="73"/>
      <c r="HL1145" s="73"/>
      <c r="HM1145" s="73"/>
      <c r="HN1145" s="73"/>
      <c r="HO1145" s="73"/>
      <c r="HP1145" s="73"/>
      <c r="HQ1145" s="73"/>
      <c r="HR1145" s="73"/>
      <c r="HS1145" s="73"/>
      <c r="HT1145" s="73"/>
      <c r="HU1145" s="73"/>
      <c r="HV1145" s="73"/>
      <c r="HW1145" s="73"/>
      <c r="HX1145" s="73"/>
      <c r="HY1145" s="73"/>
      <c r="HZ1145" s="73"/>
      <c r="IA1145" s="73"/>
      <c r="IB1145" s="73"/>
      <c r="IC1145" s="73"/>
      <c r="ID1145" s="73"/>
      <c r="IE1145" s="73"/>
      <c r="IF1145" s="73"/>
      <c r="IG1145" s="73"/>
      <c r="IH1145" s="73"/>
      <c r="II1145" s="73"/>
      <c r="IJ1145" s="73"/>
      <c r="IK1145" s="73"/>
      <c r="IL1145" s="73"/>
      <c r="IM1145" s="73"/>
      <c r="IN1145" s="73"/>
      <c r="IO1145" s="73"/>
      <c r="IP1145" s="73"/>
      <c r="IQ1145" s="73"/>
      <c r="IR1145" s="73"/>
      <c r="IS1145" s="73"/>
      <c r="IT1145" s="73"/>
      <c r="IU1145" s="73"/>
      <c r="IV1145" s="73"/>
      <c r="IW1145" s="73"/>
      <c r="IX1145" s="73"/>
      <c r="IY1145" s="73"/>
      <c r="IZ1145" s="73"/>
      <c r="JA1145" s="73"/>
      <c r="JB1145" s="73"/>
      <c r="JC1145" s="73"/>
    </row>
    <row r="1146" spans="2:263" s="72" customFormat="1">
      <c r="B1146" s="73"/>
      <c r="C1146" s="73"/>
      <c r="D1146" s="73"/>
      <c r="E1146" s="73"/>
      <c r="F1146" s="73"/>
      <c r="G1146" s="73"/>
      <c r="H1146" s="73"/>
      <c r="I1146" s="73"/>
      <c r="J1146" s="73"/>
      <c r="K1146" s="73"/>
      <c r="L1146" s="73"/>
      <c r="M1146" s="73"/>
      <c r="N1146" s="73"/>
      <c r="O1146" s="73"/>
      <c r="P1146" s="73"/>
      <c r="Q1146" s="73"/>
      <c r="R1146" s="73"/>
      <c r="S1146" s="73"/>
      <c r="T1146" s="73"/>
      <c r="U1146" s="73"/>
      <c r="V1146" s="73"/>
      <c r="W1146" s="73"/>
      <c r="GL1146" s="73"/>
      <c r="GM1146" s="73"/>
      <c r="GN1146" s="73"/>
      <c r="GO1146" s="73"/>
      <c r="GP1146" s="73"/>
      <c r="GQ1146" s="73"/>
      <c r="GR1146" s="73"/>
      <c r="GS1146" s="73"/>
      <c r="GT1146" s="73"/>
      <c r="GU1146" s="73"/>
      <c r="GV1146" s="73"/>
      <c r="GW1146" s="73"/>
      <c r="GX1146" s="73"/>
      <c r="GY1146" s="73"/>
      <c r="GZ1146" s="73"/>
      <c r="HA1146" s="73"/>
      <c r="HB1146" s="73"/>
      <c r="HC1146" s="73"/>
      <c r="HD1146" s="73"/>
      <c r="HE1146" s="73"/>
      <c r="HF1146" s="73"/>
      <c r="HG1146" s="73"/>
      <c r="HH1146" s="73"/>
      <c r="HI1146" s="73"/>
      <c r="HJ1146" s="73"/>
      <c r="HK1146" s="73"/>
      <c r="HL1146" s="73"/>
      <c r="HM1146" s="73"/>
      <c r="HN1146" s="73"/>
      <c r="HO1146" s="73"/>
      <c r="HP1146" s="73"/>
      <c r="HQ1146" s="73"/>
      <c r="HR1146" s="73"/>
      <c r="HS1146" s="73"/>
      <c r="HT1146" s="73"/>
      <c r="HU1146" s="73"/>
      <c r="HV1146" s="73"/>
      <c r="HW1146" s="73"/>
      <c r="HX1146" s="73"/>
      <c r="HY1146" s="73"/>
      <c r="HZ1146" s="73"/>
      <c r="IA1146" s="73"/>
      <c r="IB1146" s="73"/>
      <c r="IC1146" s="73"/>
      <c r="ID1146" s="73"/>
      <c r="IE1146" s="73"/>
      <c r="IF1146" s="73"/>
      <c r="IG1146" s="73"/>
      <c r="IH1146" s="73"/>
      <c r="II1146" s="73"/>
      <c r="IJ1146" s="73"/>
      <c r="IK1146" s="73"/>
      <c r="IL1146" s="73"/>
      <c r="IM1146" s="73"/>
      <c r="IN1146" s="73"/>
      <c r="IO1146" s="73"/>
      <c r="IP1146" s="73"/>
      <c r="IQ1146" s="73"/>
      <c r="IR1146" s="73"/>
      <c r="IS1146" s="73"/>
      <c r="IT1146" s="73"/>
      <c r="IU1146" s="73"/>
      <c r="IV1146" s="73"/>
      <c r="IW1146" s="73"/>
      <c r="IX1146" s="73"/>
      <c r="IY1146" s="73"/>
      <c r="IZ1146" s="73"/>
      <c r="JA1146" s="73"/>
      <c r="JB1146" s="73"/>
      <c r="JC1146" s="73"/>
    </row>
    <row r="1147" spans="2:263" s="72" customFormat="1">
      <c r="B1147" s="73"/>
      <c r="C1147" s="73"/>
      <c r="D1147" s="73"/>
      <c r="E1147" s="73"/>
      <c r="F1147" s="73"/>
      <c r="G1147" s="73"/>
      <c r="H1147" s="73"/>
      <c r="I1147" s="73"/>
      <c r="J1147" s="73"/>
      <c r="K1147" s="73"/>
      <c r="L1147" s="73"/>
      <c r="M1147" s="73"/>
      <c r="N1147" s="73"/>
      <c r="O1147" s="73"/>
      <c r="P1147" s="73"/>
      <c r="Q1147" s="73"/>
      <c r="R1147" s="73"/>
      <c r="S1147" s="73"/>
      <c r="T1147" s="73"/>
      <c r="U1147" s="73"/>
      <c r="V1147" s="73"/>
      <c r="W1147" s="73"/>
      <c r="GL1147" s="73"/>
      <c r="GM1147" s="73"/>
      <c r="GN1147" s="73"/>
      <c r="GO1147" s="73"/>
      <c r="GP1147" s="73"/>
      <c r="GQ1147" s="73"/>
      <c r="GR1147" s="73"/>
      <c r="GS1147" s="73"/>
      <c r="GT1147" s="73"/>
      <c r="GU1147" s="73"/>
      <c r="GV1147" s="73"/>
      <c r="GW1147" s="73"/>
      <c r="GX1147" s="73"/>
      <c r="GY1147" s="73"/>
      <c r="GZ1147" s="73"/>
      <c r="HA1147" s="73"/>
      <c r="HB1147" s="73"/>
      <c r="HC1147" s="73"/>
      <c r="HD1147" s="73"/>
      <c r="HE1147" s="73"/>
      <c r="HF1147" s="73"/>
      <c r="HG1147" s="73"/>
      <c r="HH1147" s="73"/>
      <c r="HI1147" s="73"/>
      <c r="HJ1147" s="73"/>
      <c r="HK1147" s="73"/>
      <c r="HL1147" s="73"/>
      <c r="HM1147" s="73"/>
      <c r="HN1147" s="73"/>
      <c r="HO1147" s="73"/>
      <c r="HP1147" s="73"/>
      <c r="HQ1147" s="73"/>
      <c r="HR1147" s="73"/>
      <c r="HS1147" s="73"/>
      <c r="HT1147" s="73"/>
      <c r="HU1147" s="73"/>
      <c r="HV1147" s="73"/>
      <c r="HW1147" s="73"/>
      <c r="HX1147" s="73"/>
      <c r="HY1147" s="73"/>
      <c r="HZ1147" s="73"/>
      <c r="IA1147" s="73"/>
      <c r="IB1147" s="73"/>
      <c r="IC1147" s="73"/>
      <c r="ID1147" s="73"/>
      <c r="IE1147" s="73"/>
      <c r="IF1147" s="73"/>
      <c r="IG1147" s="73"/>
      <c r="IH1147" s="73"/>
      <c r="II1147" s="73"/>
      <c r="IJ1147" s="73"/>
      <c r="IK1147" s="73"/>
      <c r="IL1147" s="73"/>
      <c r="IM1147" s="73"/>
      <c r="IN1147" s="73"/>
      <c r="IO1147" s="73"/>
      <c r="IP1147" s="73"/>
      <c r="IQ1147" s="73"/>
      <c r="IR1147" s="73"/>
      <c r="IS1147" s="73"/>
      <c r="IT1147" s="73"/>
      <c r="IU1147" s="73"/>
      <c r="IV1147" s="73"/>
      <c r="IW1147" s="73"/>
      <c r="IX1147" s="73"/>
      <c r="IY1147" s="73"/>
      <c r="IZ1147" s="73"/>
      <c r="JA1147" s="73"/>
      <c r="JB1147" s="73"/>
      <c r="JC1147" s="73"/>
    </row>
    <row r="1148" spans="2:263" s="72" customFormat="1">
      <c r="B1148" s="73"/>
      <c r="C1148" s="73"/>
      <c r="D1148" s="73"/>
      <c r="E1148" s="73"/>
      <c r="F1148" s="73"/>
      <c r="G1148" s="73"/>
      <c r="H1148" s="73"/>
      <c r="I1148" s="73"/>
      <c r="J1148" s="73"/>
      <c r="K1148" s="73"/>
      <c r="L1148" s="73"/>
      <c r="M1148" s="73"/>
      <c r="N1148" s="73"/>
      <c r="O1148" s="73"/>
      <c r="P1148" s="73"/>
      <c r="Q1148" s="73"/>
      <c r="R1148" s="73"/>
      <c r="S1148" s="73"/>
      <c r="T1148" s="73"/>
      <c r="U1148" s="73"/>
      <c r="V1148" s="73"/>
      <c r="W1148" s="73"/>
      <c r="GL1148" s="73"/>
      <c r="GM1148" s="73"/>
      <c r="GN1148" s="73"/>
      <c r="GO1148" s="73"/>
      <c r="GP1148" s="73"/>
      <c r="GQ1148" s="73"/>
      <c r="GR1148" s="73"/>
      <c r="GS1148" s="73"/>
      <c r="GT1148" s="73"/>
      <c r="GU1148" s="73"/>
      <c r="GV1148" s="73"/>
      <c r="GW1148" s="73"/>
      <c r="GX1148" s="73"/>
      <c r="GY1148" s="73"/>
      <c r="GZ1148" s="73"/>
      <c r="HA1148" s="73"/>
      <c r="HB1148" s="73"/>
      <c r="HC1148" s="73"/>
      <c r="HD1148" s="73"/>
      <c r="HE1148" s="73"/>
      <c r="HF1148" s="73"/>
      <c r="HG1148" s="73"/>
      <c r="HH1148" s="73"/>
      <c r="HI1148" s="73"/>
      <c r="HJ1148" s="73"/>
      <c r="HK1148" s="73"/>
      <c r="HL1148" s="73"/>
      <c r="HM1148" s="73"/>
      <c r="HN1148" s="73"/>
      <c r="HO1148" s="73"/>
      <c r="HP1148" s="73"/>
      <c r="HQ1148" s="73"/>
      <c r="HR1148" s="73"/>
      <c r="HS1148" s="73"/>
      <c r="HT1148" s="73"/>
      <c r="HU1148" s="73"/>
      <c r="HV1148" s="73"/>
      <c r="HW1148" s="73"/>
      <c r="HX1148" s="73"/>
      <c r="HY1148" s="73"/>
      <c r="HZ1148" s="73"/>
      <c r="IA1148" s="73"/>
      <c r="IB1148" s="73"/>
      <c r="IC1148" s="73"/>
      <c r="ID1148" s="73"/>
      <c r="IE1148" s="73"/>
      <c r="IF1148" s="73"/>
      <c r="IG1148" s="73"/>
      <c r="IH1148" s="73"/>
      <c r="II1148" s="73"/>
      <c r="IJ1148" s="73"/>
      <c r="IK1148" s="73"/>
      <c r="IL1148" s="73"/>
      <c r="IM1148" s="73"/>
      <c r="IN1148" s="73"/>
      <c r="IO1148" s="73"/>
      <c r="IP1148" s="73"/>
      <c r="IQ1148" s="73"/>
      <c r="IR1148" s="73"/>
      <c r="IS1148" s="73"/>
      <c r="IT1148" s="73"/>
      <c r="IU1148" s="73"/>
      <c r="IV1148" s="73"/>
      <c r="IW1148" s="73"/>
      <c r="IX1148" s="73"/>
      <c r="IY1148" s="73"/>
      <c r="IZ1148" s="73"/>
      <c r="JA1148" s="73"/>
      <c r="JB1148" s="73"/>
      <c r="JC1148" s="73"/>
    </row>
    <row r="1149" spans="2:263" s="72" customFormat="1">
      <c r="B1149" s="73"/>
      <c r="C1149" s="73"/>
      <c r="D1149" s="73"/>
      <c r="E1149" s="73"/>
      <c r="F1149" s="73"/>
      <c r="G1149" s="73"/>
      <c r="H1149" s="73"/>
      <c r="I1149" s="73"/>
      <c r="J1149" s="73"/>
      <c r="K1149" s="73"/>
      <c r="L1149" s="73"/>
      <c r="M1149" s="73"/>
      <c r="N1149" s="73"/>
      <c r="O1149" s="73"/>
      <c r="P1149" s="73"/>
      <c r="Q1149" s="73"/>
      <c r="R1149" s="73"/>
      <c r="S1149" s="73"/>
      <c r="T1149" s="73"/>
      <c r="U1149" s="73"/>
      <c r="V1149" s="73"/>
      <c r="W1149" s="73"/>
      <c r="GL1149" s="73"/>
      <c r="GM1149" s="73"/>
      <c r="GN1149" s="73"/>
      <c r="GO1149" s="73"/>
      <c r="GP1149" s="73"/>
      <c r="GQ1149" s="73"/>
      <c r="GR1149" s="73"/>
      <c r="GS1149" s="73"/>
      <c r="GT1149" s="73"/>
      <c r="GU1149" s="73"/>
      <c r="GV1149" s="73"/>
      <c r="GW1149" s="73"/>
      <c r="GX1149" s="73"/>
      <c r="GY1149" s="73"/>
      <c r="GZ1149" s="73"/>
      <c r="HA1149" s="73"/>
      <c r="HB1149" s="73"/>
      <c r="HC1149" s="73"/>
      <c r="HD1149" s="73"/>
      <c r="HE1149" s="73"/>
      <c r="HF1149" s="73"/>
      <c r="HG1149" s="73"/>
      <c r="HH1149" s="73"/>
      <c r="HI1149" s="73"/>
      <c r="HJ1149" s="73"/>
      <c r="HK1149" s="73"/>
      <c r="HL1149" s="73"/>
      <c r="HM1149" s="73"/>
      <c r="HN1149" s="73"/>
      <c r="HO1149" s="73"/>
      <c r="HP1149" s="73"/>
      <c r="HQ1149" s="73"/>
      <c r="HR1149" s="73"/>
      <c r="HS1149" s="73"/>
      <c r="HT1149" s="73"/>
      <c r="HU1149" s="73"/>
      <c r="HV1149" s="73"/>
      <c r="HW1149" s="73"/>
      <c r="HX1149" s="73"/>
      <c r="HY1149" s="73"/>
      <c r="HZ1149" s="73"/>
      <c r="IA1149" s="73"/>
      <c r="IB1149" s="73"/>
      <c r="IC1149" s="73"/>
      <c r="ID1149" s="73"/>
      <c r="IE1149" s="73"/>
      <c r="IF1149" s="73"/>
      <c r="IG1149" s="73"/>
      <c r="IH1149" s="73"/>
      <c r="II1149" s="73"/>
      <c r="IJ1149" s="73"/>
      <c r="IK1149" s="73"/>
      <c r="IL1149" s="73"/>
      <c r="IM1149" s="73"/>
      <c r="IN1149" s="73"/>
      <c r="IO1149" s="73"/>
      <c r="IP1149" s="73"/>
      <c r="IQ1149" s="73"/>
      <c r="IR1149" s="73"/>
      <c r="IS1149" s="73"/>
      <c r="IT1149" s="73"/>
      <c r="IU1149" s="73"/>
      <c r="IV1149" s="73"/>
      <c r="IW1149" s="73"/>
      <c r="IX1149" s="73"/>
      <c r="IY1149" s="73"/>
      <c r="IZ1149" s="73"/>
      <c r="JA1149" s="73"/>
      <c r="JB1149" s="73"/>
      <c r="JC1149" s="73"/>
    </row>
    <row r="1150" spans="2:263" s="72" customFormat="1">
      <c r="B1150" s="73"/>
      <c r="C1150" s="73"/>
      <c r="D1150" s="73"/>
      <c r="E1150" s="73"/>
      <c r="F1150" s="73"/>
      <c r="G1150" s="73"/>
      <c r="H1150" s="73"/>
      <c r="I1150" s="73"/>
      <c r="J1150" s="73"/>
      <c r="K1150" s="73"/>
      <c r="L1150" s="73"/>
      <c r="M1150" s="73"/>
      <c r="N1150" s="73"/>
      <c r="O1150" s="73"/>
      <c r="P1150" s="73"/>
      <c r="Q1150" s="73"/>
      <c r="R1150" s="73"/>
      <c r="S1150" s="73"/>
      <c r="T1150" s="73"/>
      <c r="U1150" s="73"/>
      <c r="V1150" s="73"/>
      <c r="W1150" s="73"/>
      <c r="GL1150" s="73"/>
      <c r="GM1150" s="73"/>
      <c r="GN1150" s="73"/>
      <c r="GO1150" s="73"/>
      <c r="GP1150" s="73"/>
      <c r="GQ1150" s="73"/>
      <c r="GR1150" s="73"/>
      <c r="GS1150" s="73"/>
      <c r="GT1150" s="73"/>
      <c r="GU1150" s="73"/>
      <c r="GV1150" s="73"/>
      <c r="GW1150" s="73"/>
      <c r="GX1150" s="73"/>
      <c r="GY1150" s="73"/>
      <c r="GZ1150" s="73"/>
      <c r="HA1150" s="73"/>
      <c r="HB1150" s="73"/>
      <c r="HC1150" s="73"/>
      <c r="HD1150" s="73"/>
      <c r="HE1150" s="73"/>
      <c r="HF1150" s="73"/>
      <c r="HG1150" s="73"/>
      <c r="HH1150" s="73"/>
      <c r="HI1150" s="73"/>
      <c r="HJ1150" s="73"/>
      <c r="HK1150" s="73"/>
      <c r="HL1150" s="73"/>
      <c r="HM1150" s="73"/>
      <c r="HN1150" s="73"/>
      <c r="HO1150" s="73"/>
      <c r="HP1150" s="73"/>
      <c r="HQ1150" s="73"/>
      <c r="HR1150" s="73"/>
      <c r="HS1150" s="73"/>
      <c r="HT1150" s="73"/>
      <c r="HU1150" s="73"/>
      <c r="HV1150" s="73"/>
      <c r="HW1150" s="73"/>
      <c r="HX1150" s="73"/>
      <c r="HY1150" s="73"/>
      <c r="HZ1150" s="73"/>
      <c r="IA1150" s="73"/>
      <c r="IB1150" s="73"/>
      <c r="IC1150" s="73"/>
      <c r="ID1150" s="73"/>
      <c r="IE1150" s="73"/>
      <c r="IF1150" s="73"/>
      <c r="IG1150" s="73"/>
      <c r="IH1150" s="73"/>
      <c r="II1150" s="73"/>
      <c r="IJ1150" s="73"/>
      <c r="IK1150" s="73"/>
      <c r="IL1150" s="73"/>
      <c r="IM1150" s="73"/>
      <c r="IN1150" s="73"/>
      <c r="IO1150" s="73"/>
      <c r="IP1150" s="73"/>
      <c r="IQ1150" s="73"/>
      <c r="IR1150" s="73"/>
      <c r="IS1150" s="73"/>
      <c r="IT1150" s="73"/>
      <c r="IU1150" s="73"/>
      <c r="IV1150" s="73"/>
      <c r="IW1150" s="73"/>
      <c r="IX1150" s="73"/>
      <c r="IY1150" s="73"/>
      <c r="IZ1150" s="73"/>
      <c r="JA1150" s="73"/>
      <c r="JB1150" s="73"/>
      <c r="JC1150" s="73"/>
    </row>
    <row r="1151" spans="2:263" s="72" customFormat="1">
      <c r="B1151" s="73"/>
      <c r="C1151" s="73"/>
      <c r="D1151" s="73"/>
      <c r="E1151" s="73"/>
      <c r="F1151" s="73"/>
      <c r="G1151" s="73"/>
      <c r="H1151" s="73"/>
      <c r="I1151" s="73"/>
      <c r="J1151" s="73"/>
      <c r="K1151" s="73"/>
      <c r="L1151" s="73"/>
      <c r="M1151" s="73"/>
      <c r="N1151" s="73"/>
      <c r="O1151" s="73"/>
      <c r="P1151" s="73"/>
      <c r="Q1151" s="73"/>
      <c r="R1151" s="73"/>
      <c r="S1151" s="73"/>
      <c r="T1151" s="73"/>
      <c r="U1151" s="73"/>
      <c r="V1151" s="73"/>
      <c r="W1151" s="73"/>
      <c r="GL1151" s="73"/>
      <c r="GM1151" s="73"/>
      <c r="GN1151" s="73"/>
      <c r="GO1151" s="73"/>
      <c r="GP1151" s="73"/>
      <c r="GQ1151" s="73"/>
      <c r="GR1151" s="73"/>
      <c r="GS1151" s="73"/>
      <c r="GT1151" s="73"/>
      <c r="GU1151" s="73"/>
      <c r="GV1151" s="73"/>
      <c r="GW1151" s="73"/>
      <c r="GX1151" s="73"/>
      <c r="GY1151" s="73"/>
      <c r="GZ1151" s="73"/>
      <c r="HA1151" s="73"/>
      <c r="HB1151" s="73"/>
      <c r="HC1151" s="73"/>
      <c r="HD1151" s="73"/>
      <c r="HE1151" s="73"/>
      <c r="HF1151" s="73"/>
      <c r="HG1151" s="73"/>
      <c r="HH1151" s="73"/>
      <c r="HI1151" s="73"/>
      <c r="HJ1151" s="73"/>
      <c r="HK1151" s="73"/>
      <c r="HL1151" s="73"/>
      <c r="HM1151" s="73"/>
      <c r="HN1151" s="73"/>
      <c r="HO1151" s="73"/>
      <c r="HP1151" s="73"/>
      <c r="HQ1151" s="73"/>
      <c r="HR1151" s="73"/>
      <c r="HS1151" s="73"/>
      <c r="HT1151" s="73"/>
      <c r="HU1151" s="73"/>
      <c r="HV1151" s="73"/>
      <c r="HW1151" s="73"/>
      <c r="HX1151" s="73"/>
      <c r="HY1151" s="73"/>
      <c r="HZ1151" s="73"/>
      <c r="IA1151" s="73"/>
      <c r="IB1151" s="73"/>
      <c r="IC1151" s="73"/>
      <c r="ID1151" s="73"/>
      <c r="IE1151" s="73"/>
      <c r="IF1151" s="73"/>
      <c r="IG1151" s="73"/>
      <c r="IH1151" s="73"/>
      <c r="II1151" s="73"/>
      <c r="IJ1151" s="73"/>
      <c r="IK1151" s="73"/>
      <c r="IL1151" s="73"/>
      <c r="IM1151" s="73"/>
      <c r="IN1151" s="73"/>
      <c r="IO1151" s="73"/>
      <c r="IP1151" s="73"/>
      <c r="IQ1151" s="73"/>
      <c r="IR1151" s="73"/>
      <c r="IS1151" s="73"/>
      <c r="IT1151" s="73"/>
      <c r="IU1151" s="73"/>
      <c r="IV1151" s="73"/>
      <c r="IW1151" s="73"/>
      <c r="IX1151" s="73"/>
      <c r="IY1151" s="73"/>
      <c r="IZ1151" s="73"/>
      <c r="JA1151" s="73"/>
      <c r="JB1151" s="73"/>
      <c r="JC1151" s="73"/>
    </row>
    <row r="1152" spans="2:263" s="72" customFormat="1">
      <c r="B1152" s="73"/>
      <c r="C1152" s="73"/>
      <c r="D1152" s="73"/>
      <c r="E1152" s="73"/>
      <c r="F1152" s="73"/>
      <c r="G1152" s="73"/>
      <c r="H1152" s="73"/>
      <c r="I1152" s="73"/>
      <c r="J1152" s="73"/>
      <c r="K1152" s="73"/>
      <c r="L1152" s="73"/>
      <c r="M1152" s="73"/>
      <c r="N1152" s="73"/>
      <c r="O1152" s="73"/>
      <c r="P1152" s="73"/>
      <c r="Q1152" s="73"/>
      <c r="R1152" s="73"/>
      <c r="S1152" s="73"/>
      <c r="T1152" s="73"/>
      <c r="U1152" s="73"/>
      <c r="V1152" s="73"/>
      <c r="W1152" s="73"/>
      <c r="GL1152" s="73"/>
      <c r="GM1152" s="73"/>
      <c r="GN1152" s="73"/>
      <c r="GO1152" s="73"/>
      <c r="GP1152" s="73"/>
      <c r="GQ1152" s="73"/>
      <c r="GR1152" s="73"/>
      <c r="GS1152" s="73"/>
      <c r="GT1152" s="73"/>
      <c r="GU1152" s="73"/>
      <c r="GV1152" s="73"/>
      <c r="GW1152" s="73"/>
      <c r="GX1152" s="73"/>
      <c r="GY1152" s="73"/>
      <c r="GZ1152" s="73"/>
      <c r="HA1152" s="73"/>
      <c r="HB1152" s="73"/>
      <c r="HC1152" s="73"/>
      <c r="HD1152" s="73"/>
      <c r="HE1152" s="73"/>
      <c r="HF1152" s="73"/>
      <c r="HG1152" s="73"/>
      <c r="HH1152" s="73"/>
      <c r="HI1152" s="73"/>
      <c r="HJ1152" s="73"/>
      <c r="HK1152" s="73"/>
      <c r="HL1152" s="73"/>
      <c r="HM1152" s="73"/>
      <c r="HN1152" s="73"/>
      <c r="HO1152" s="73"/>
      <c r="HP1152" s="73"/>
      <c r="HQ1152" s="73"/>
      <c r="HR1152" s="73"/>
      <c r="HS1152" s="73"/>
      <c r="HT1152" s="73"/>
      <c r="HU1152" s="73"/>
      <c r="HV1152" s="73"/>
      <c r="HW1152" s="73"/>
      <c r="HX1152" s="73"/>
      <c r="HY1152" s="73"/>
      <c r="HZ1152" s="73"/>
      <c r="IA1152" s="73"/>
      <c r="IB1152" s="73"/>
      <c r="IC1152" s="73"/>
      <c r="ID1152" s="73"/>
      <c r="IE1152" s="73"/>
      <c r="IF1152" s="73"/>
      <c r="IG1152" s="73"/>
      <c r="IH1152" s="73"/>
      <c r="II1152" s="73"/>
      <c r="IJ1152" s="73"/>
      <c r="IK1152" s="73"/>
      <c r="IL1152" s="73"/>
      <c r="IM1152" s="73"/>
      <c r="IN1152" s="73"/>
      <c r="IO1152" s="73"/>
      <c r="IP1152" s="73"/>
      <c r="IQ1152" s="73"/>
      <c r="IR1152" s="73"/>
      <c r="IS1152" s="73"/>
      <c r="IT1152" s="73"/>
      <c r="IU1152" s="73"/>
      <c r="IV1152" s="73"/>
      <c r="IW1152" s="73"/>
      <c r="IX1152" s="73"/>
      <c r="IY1152" s="73"/>
      <c r="IZ1152" s="73"/>
      <c r="JA1152" s="73"/>
      <c r="JB1152" s="73"/>
      <c r="JC1152" s="73"/>
    </row>
    <row r="1153" spans="2:263" s="72" customFormat="1">
      <c r="B1153" s="73"/>
      <c r="C1153" s="73"/>
      <c r="D1153" s="73"/>
      <c r="E1153" s="73"/>
      <c r="F1153" s="73"/>
      <c r="G1153" s="73"/>
      <c r="H1153" s="73"/>
      <c r="I1153" s="73"/>
      <c r="J1153" s="73"/>
      <c r="K1153" s="73"/>
      <c r="L1153" s="73"/>
      <c r="M1153" s="73"/>
      <c r="N1153" s="73"/>
      <c r="O1153" s="73"/>
      <c r="P1153" s="73"/>
      <c r="Q1153" s="73"/>
      <c r="R1153" s="73"/>
      <c r="S1153" s="73"/>
      <c r="T1153" s="73"/>
      <c r="U1153" s="73"/>
      <c r="V1153" s="73"/>
      <c r="W1153" s="73"/>
      <c r="GL1153" s="73"/>
      <c r="GM1153" s="73"/>
      <c r="GN1153" s="73"/>
      <c r="GO1153" s="73"/>
      <c r="GP1153" s="73"/>
      <c r="GQ1153" s="73"/>
      <c r="GR1153" s="73"/>
      <c r="GS1153" s="73"/>
      <c r="GT1153" s="73"/>
      <c r="GU1153" s="73"/>
      <c r="GV1153" s="73"/>
      <c r="GW1153" s="73"/>
      <c r="GX1153" s="73"/>
      <c r="GY1153" s="73"/>
      <c r="GZ1153" s="73"/>
      <c r="HA1153" s="73"/>
      <c r="HB1153" s="73"/>
      <c r="HC1153" s="73"/>
      <c r="HD1153" s="73"/>
      <c r="HE1153" s="73"/>
      <c r="HF1153" s="73"/>
      <c r="HG1153" s="73"/>
      <c r="HH1153" s="73"/>
      <c r="HI1153" s="73"/>
      <c r="HJ1153" s="73"/>
      <c r="HK1153" s="73"/>
      <c r="HL1153" s="73"/>
      <c r="HM1153" s="73"/>
      <c r="HN1153" s="73"/>
      <c r="HO1153" s="73"/>
      <c r="HP1153" s="73"/>
      <c r="HQ1153" s="73"/>
      <c r="HR1153" s="73"/>
      <c r="HS1153" s="73"/>
      <c r="HT1153" s="73"/>
      <c r="HU1153" s="73"/>
      <c r="HV1153" s="73"/>
      <c r="HW1153" s="73"/>
      <c r="HX1153" s="73"/>
      <c r="HY1153" s="73"/>
      <c r="HZ1153" s="73"/>
      <c r="IA1153" s="73"/>
      <c r="IB1153" s="73"/>
      <c r="IC1153" s="73"/>
      <c r="ID1153" s="73"/>
      <c r="IE1153" s="73"/>
      <c r="IF1153" s="73"/>
      <c r="IG1153" s="73"/>
      <c r="IH1153" s="73"/>
      <c r="II1153" s="73"/>
      <c r="IJ1153" s="73"/>
      <c r="IK1153" s="73"/>
      <c r="IL1153" s="73"/>
      <c r="IM1153" s="73"/>
      <c r="IN1153" s="73"/>
      <c r="IO1153" s="73"/>
      <c r="IP1153" s="73"/>
      <c r="IQ1153" s="73"/>
      <c r="IR1153" s="73"/>
      <c r="IS1153" s="73"/>
      <c r="IT1153" s="73"/>
      <c r="IU1153" s="73"/>
      <c r="IV1153" s="73"/>
      <c r="IW1153" s="73"/>
      <c r="IX1153" s="73"/>
      <c r="IY1153" s="73"/>
      <c r="IZ1153" s="73"/>
      <c r="JA1153" s="73"/>
      <c r="JB1153" s="73"/>
      <c r="JC1153" s="73"/>
    </row>
    <row r="1154" spans="2:263" s="72" customFormat="1">
      <c r="B1154" s="73"/>
      <c r="C1154" s="73"/>
      <c r="D1154" s="73"/>
      <c r="E1154" s="73"/>
      <c r="F1154" s="73"/>
      <c r="G1154" s="73"/>
      <c r="H1154" s="73"/>
      <c r="I1154" s="73"/>
      <c r="J1154" s="73"/>
      <c r="K1154" s="73"/>
      <c r="L1154" s="73"/>
      <c r="M1154" s="73"/>
      <c r="N1154" s="73"/>
      <c r="O1154" s="73"/>
      <c r="P1154" s="73"/>
      <c r="Q1154" s="73"/>
      <c r="R1154" s="73"/>
      <c r="S1154" s="73"/>
      <c r="T1154" s="73"/>
      <c r="U1154" s="73"/>
      <c r="V1154" s="73"/>
      <c r="W1154" s="73"/>
      <c r="GL1154" s="73"/>
      <c r="GM1154" s="73"/>
      <c r="GN1154" s="73"/>
      <c r="GO1154" s="73"/>
      <c r="GP1154" s="73"/>
      <c r="GQ1154" s="73"/>
      <c r="GR1154" s="73"/>
      <c r="GS1154" s="73"/>
      <c r="GT1154" s="73"/>
      <c r="GU1154" s="73"/>
      <c r="GV1154" s="73"/>
      <c r="GW1154" s="73"/>
      <c r="GX1154" s="73"/>
      <c r="GY1154" s="73"/>
      <c r="GZ1154" s="73"/>
      <c r="HA1154" s="73"/>
      <c r="HB1154" s="73"/>
      <c r="HC1154" s="73"/>
      <c r="HD1154" s="73"/>
      <c r="HE1154" s="73"/>
      <c r="HF1154" s="73"/>
      <c r="HG1154" s="73"/>
      <c r="HH1154" s="73"/>
      <c r="HI1154" s="73"/>
      <c r="HJ1154" s="73"/>
      <c r="HK1154" s="73"/>
      <c r="HL1154" s="73"/>
      <c r="HM1154" s="73"/>
      <c r="HN1154" s="73"/>
      <c r="HO1154" s="73"/>
      <c r="HP1154" s="73"/>
      <c r="HQ1154" s="73"/>
      <c r="HR1154" s="73"/>
      <c r="HS1154" s="73"/>
      <c r="HT1154" s="73"/>
      <c r="HU1154" s="73"/>
      <c r="HV1154" s="73"/>
      <c r="HW1154" s="73"/>
      <c r="HX1154" s="73"/>
      <c r="HY1154" s="73"/>
      <c r="HZ1154" s="73"/>
      <c r="IA1154" s="73"/>
      <c r="IB1154" s="73"/>
      <c r="IC1154" s="73"/>
      <c r="ID1154" s="73"/>
      <c r="IE1154" s="73"/>
      <c r="IF1154" s="73"/>
      <c r="IG1154" s="73"/>
      <c r="IH1154" s="73"/>
      <c r="II1154" s="73"/>
      <c r="IJ1154" s="73"/>
      <c r="IK1154" s="73"/>
      <c r="IL1154" s="73"/>
      <c r="IM1154" s="73"/>
      <c r="IN1154" s="73"/>
      <c r="IO1154" s="73"/>
      <c r="IP1154" s="73"/>
      <c r="IQ1154" s="73"/>
      <c r="IR1154" s="73"/>
      <c r="IS1154" s="73"/>
      <c r="IT1154" s="73"/>
      <c r="IU1154" s="73"/>
      <c r="IV1154" s="73"/>
      <c r="IW1154" s="73"/>
      <c r="IX1154" s="73"/>
      <c r="IY1154" s="73"/>
      <c r="IZ1154" s="73"/>
      <c r="JA1154" s="73"/>
      <c r="JB1154" s="73"/>
      <c r="JC1154" s="73"/>
    </row>
    <row r="1155" spans="2:263" s="72" customFormat="1">
      <c r="B1155" s="73"/>
      <c r="C1155" s="73"/>
      <c r="D1155" s="73"/>
      <c r="E1155" s="73"/>
      <c r="F1155" s="73"/>
      <c r="G1155" s="73"/>
      <c r="H1155" s="73"/>
      <c r="I1155" s="73"/>
      <c r="J1155" s="73"/>
      <c r="K1155" s="73"/>
      <c r="L1155" s="73"/>
      <c r="M1155" s="73"/>
      <c r="N1155" s="73"/>
      <c r="O1155" s="73"/>
      <c r="P1155" s="73"/>
      <c r="Q1155" s="73"/>
      <c r="R1155" s="73"/>
      <c r="S1155" s="73"/>
      <c r="T1155" s="73"/>
      <c r="U1155" s="73"/>
      <c r="V1155" s="73"/>
      <c r="W1155" s="73"/>
      <c r="GL1155" s="73"/>
      <c r="GM1155" s="73"/>
      <c r="GN1155" s="73"/>
      <c r="GO1155" s="73"/>
      <c r="GP1155" s="73"/>
      <c r="GQ1155" s="73"/>
      <c r="GR1155" s="73"/>
      <c r="GS1155" s="73"/>
      <c r="GT1155" s="73"/>
      <c r="GU1155" s="73"/>
      <c r="GV1155" s="73"/>
      <c r="GW1155" s="73"/>
      <c r="GX1155" s="73"/>
      <c r="GY1155" s="73"/>
      <c r="GZ1155" s="73"/>
      <c r="HA1155" s="73"/>
      <c r="HB1155" s="73"/>
      <c r="HC1155" s="73"/>
      <c r="HD1155" s="73"/>
      <c r="HE1155" s="73"/>
      <c r="HF1155" s="73"/>
      <c r="HG1155" s="73"/>
      <c r="HH1155" s="73"/>
      <c r="HI1155" s="73"/>
      <c r="HJ1155" s="73"/>
      <c r="HK1155" s="73"/>
      <c r="HL1155" s="73"/>
      <c r="HM1155" s="73"/>
      <c r="HN1155" s="73"/>
      <c r="HO1155" s="73"/>
      <c r="HP1155" s="73"/>
      <c r="HQ1155" s="73"/>
      <c r="HR1155" s="73"/>
      <c r="HS1155" s="73"/>
      <c r="HT1155" s="73"/>
      <c r="HU1155" s="73"/>
      <c r="HV1155" s="73"/>
      <c r="HW1155" s="73"/>
      <c r="HX1155" s="73"/>
      <c r="HY1155" s="73"/>
      <c r="HZ1155" s="73"/>
      <c r="IA1155" s="73"/>
      <c r="IB1155" s="73"/>
      <c r="IC1155" s="73"/>
      <c r="ID1155" s="73"/>
      <c r="IE1155" s="73"/>
      <c r="IF1155" s="73"/>
      <c r="IG1155" s="73"/>
      <c r="IH1155" s="73"/>
      <c r="II1155" s="73"/>
      <c r="IJ1155" s="73"/>
      <c r="IK1155" s="73"/>
      <c r="IL1155" s="73"/>
      <c r="IM1155" s="73"/>
      <c r="IN1155" s="73"/>
      <c r="IO1155" s="73"/>
      <c r="IP1155" s="73"/>
      <c r="IQ1155" s="73"/>
      <c r="IR1155" s="73"/>
      <c r="IS1155" s="73"/>
      <c r="IT1155" s="73"/>
      <c r="IU1155" s="73"/>
      <c r="IV1155" s="73"/>
      <c r="IW1155" s="73"/>
      <c r="IX1155" s="73"/>
      <c r="IY1155" s="73"/>
      <c r="IZ1155" s="73"/>
      <c r="JA1155" s="73"/>
      <c r="JB1155" s="73"/>
      <c r="JC1155" s="73"/>
    </row>
    <row r="1156" spans="2:263" s="72" customFormat="1">
      <c r="B1156" s="73"/>
      <c r="C1156" s="73"/>
      <c r="D1156" s="73"/>
      <c r="E1156" s="73"/>
      <c r="F1156" s="73"/>
      <c r="G1156" s="73"/>
      <c r="H1156" s="73"/>
      <c r="I1156" s="73"/>
      <c r="J1156" s="73"/>
      <c r="K1156" s="73"/>
      <c r="L1156" s="73"/>
      <c r="M1156" s="73"/>
      <c r="N1156" s="73"/>
      <c r="O1156" s="73"/>
      <c r="P1156" s="73"/>
      <c r="Q1156" s="73"/>
      <c r="R1156" s="73"/>
      <c r="S1156" s="73"/>
      <c r="T1156" s="73"/>
      <c r="U1156" s="73"/>
      <c r="V1156" s="73"/>
      <c r="W1156" s="73"/>
      <c r="GL1156" s="73"/>
      <c r="GM1156" s="73"/>
      <c r="GN1156" s="73"/>
      <c r="GO1156" s="73"/>
      <c r="GP1156" s="73"/>
      <c r="GQ1156" s="73"/>
      <c r="GR1156" s="73"/>
      <c r="GS1156" s="73"/>
      <c r="GT1156" s="73"/>
      <c r="GU1156" s="73"/>
      <c r="GV1156" s="73"/>
      <c r="GW1156" s="73"/>
      <c r="GX1156" s="73"/>
      <c r="GY1156" s="73"/>
      <c r="GZ1156" s="73"/>
      <c r="HA1156" s="73"/>
      <c r="HB1156" s="73"/>
      <c r="HC1156" s="73"/>
      <c r="HD1156" s="73"/>
      <c r="HE1156" s="73"/>
      <c r="HF1156" s="73"/>
      <c r="HG1156" s="73"/>
      <c r="HH1156" s="73"/>
      <c r="HI1156" s="73"/>
      <c r="HJ1156" s="73"/>
      <c r="HK1156" s="73"/>
      <c r="HL1156" s="73"/>
      <c r="HM1156" s="73"/>
      <c r="HN1156" s="73"/>
      <c r="HO1156" s="73"/>
      <c r="HP1156" s="73"/>
      <c r="HQ1156" s="73"/>
      <c r="HR1156" s="73"/>
      <c r="HS1156" s="73"/>
      <c r="HT1156" s="73"/>
      <c r="HU1156" s="73"/>
      <c r="HV1156" s="73"/>
      <c r="HW1156" s="73"/>
      <c r="HX1156" s="73"/>
      <c r="HY1156" s="73"/>
      <c r="HZ1156" s="73"/>
      <c r="IA1156" s="73"/>
      <c r="IB1156" s="73"/>
      <c r="IC1156" s="73"/>
      <c r="ID1156" s="73"/>
      <c r="IE1156" s="73"/>
      <c r="IF1156" s="73"/>
      <c r="IG1156" s="73"/>
      <c r="IH1156" s="73"/>
      <c r="II1156" s="73"/>
      <c r="IJ1156" s="73"/>
      <c r="IK1156" s="73"/>
      <c r="IL1156" s="73"/>
      <c r="IM1156" s="73"/>
      <c r="IN1156" s="73"/>
      <c r="IO1156" s="73"/>
      <c r="IP1156" s="73"/>
      <c r="IQ1156" s="73"/>
      <c r="IR1156" s="73"/>
      <c r="IS1156" s="73"/>
      <c r="IT1156" s="73"/>
      <c r="IU1156" s="73"/>
      <c r="IV1156" s="73"/>
      <c r="IW1156" s="73"/>
      <c r="IX1156" s="73"/>
      <c r="IY1156" s="73"/>
      <c r="IZ1156" s="73"/>
      <c r="JA1156" s="73"/>
      <c r="JB1156" s="73"/>
      <c r="JC1156" s="73"/>
    </row>
    <row r="1157" spans="2:263" s="72" customFormat="1">
      <c r="B1157" s="73"/>
      <c r="C1157" s="73"/>
      <c r="D1157" s="73"/>
      <c r="E1157" s="73"/>
      <c r="F1157" s="73"/>
      <c r="G1157" s="73"/>
      <c r="H1157" s="73"/>
      <c r="I1157" s="73"/>
      <c r="J1157" s="73"/>
      <c r="K1157" s="73"/>
      <c r="L1157" s="73"/>
      <c r="M1157" s="73"/>
      <c r="N1157" s="73"/>
      <c r="O1157" s="73"/>
      <c r="P1157" s="73"/>
      <c r="Q1157" s="73"/>
      <c r="R1157" s="73"/>
      <c r="S1157" s="73"/>
      <c r="T1157" s="73"/>
      <c r="U1157" s="73"/>
      <c r="V1157" s="73"/>
      <c r="W1157" s="73"/>
      <c r="GL1157" s="73"/>
      <c r="GM1157" s="73"/>
      <c r="GN1157" s="73"/>
      <c r="GO1157" s="73"/>
      <c r="GP1157" s="73"/>
      <c r="GQ1157" s="73"/>
      <c r="GR1157" s="73"/>
      <c r="GS1157" s="73"/>
      <c r="GT1157" s="73"/>
      <c r="GU1157" s="73"/>
      <c r="GV1157" s="73"/>
      <c r="GW1157" s="73"/>
      <c r="GX1157" s="73"/>
      <c r="GY1157" s="73"/>
      <c r="GZ1157" s="73"/>
      <c r="HA1157" s="73"/>
      <c r="HB1157" s="73"/>
      <c r="HC1157" s="73"/>
      <c r="HD1157" s="73"/>
      <c r="HE1157" s="73"/>
      <c r="HF1157" s="73"/>
      <c r="HG1157" s="73"/>
      <c r="HH1157" s="73"/>
      <c r="HI1157" s="73"/>
      <c r="HJ1157" s="73"/>
      <c r="HK1157" s="73"/>
      <c r="HL1157" s="73"/>
      <c r="HM1157" s="73"/>
      <c r="HN1157" s="73"/>
      <c r="HO1157" s="73"/>
      <c r="HP1157" s="73"/>
      <c r="HQ1157" s="73"/>
      <c r="HR1157" s="73"/>
      <c r="HS1157" s="73"/>
      <c r="HT1157" s="73"/>
      <c r="HU1157" s="73"/>
      <c r="HV1157" s="73"/>
      <c r="HW1157" s="73"/>
      <c r="HX1157" s="73"/>
      <c r="HY1157" s="73"/>
      <c r="HZ1157" s="73"/>
      <c r="IA1157" s="73"/>
      <c r="IB1157" s="73"/>
      <c r="IC1157" s="73"/>
      <c r="ID1157" s="73"/>
      <c r="IE1157" s="73"/>
      <c r="IF1157" s="73"/>
      <c r="IG1157" s="73"/>
      <c r="IH1157" s="73"/>
      <c r="II1157" s="73"/>
      <c r="IJ1157" s="73"/>
      <c r="IK1157" s="73"/>
      <c r="IL1157" s="73"/>
      <c r="IM1157" s="73"/>
      <c r="IN1157" s="73"/>
      <c r="IO1157" s="73"/>
      <c r="IP1157" s="73"/>
      <c r="IQ1157" s="73"/>
      <c r="IR1157" s="73"/>
      <c r="IS1157" s="73"/>
      <c r="IT1157" s="73"/>
      <c r="IU1157" s="73"/>
      <c r="IV1157" s="73"/>
      <c r="IW1157" s="73"/>
      <c r="IX1157" s="73"/>
      <c r="IY1157" s="73"/>
      <c r="IZ1157" s="73"/>
      <c r="JA1157" s="73"/>
      <c r="JB1157" s="73"/>
      <c r="JC1157" s="73"/>
    </row>
    <row r="1158" spans="2:263" s="72" customFormat="1">
      <c r="B1158" s="73"/>
      <c r="C1158" s="73"/>
      <c r="D1158" s="73"/>
      <c r="E1158" s="73"/>
      <c r="F1158" s="73"/>
      <c r="G1158" s="73"/>
      <c r="H1158" s="73"/>
      <c r="I1158" s="73"/>
      <c r="J1158" s="73"/>
      <c r="K1158" s="73"/>
      <c r="L1158" s="73"/>
      <c r="M1158" s="73"/>
      <c r="N1158" s="73"/>
      <c r="O1158" s="73"/>
      <c r="P1158" s="73"/>
      <c r="Q1158" s="73"/>
      <c r="R1158" s="73"/>
      <c r="S1158" s="73"/>
      <c r="T1158" s="73"/>
      <c r="U1158" s="73"/>
      <c r="V1158" s="73"/>
      <c r="W1158" s="73"/>
      <c r="GL1158" s="73"/>
      <c r="GM1158" s="73"/>
      <c r="GN1158" s="73"/>
      <c r="GO1158" s="73"/>
      <c r="GP1158" s="73"/>
      <c r="GQ1158" s="73"/>
      <c r="GR1158" s="73"/>
      <c r="GS1158" s="73"/>
      <c r="GT1158" s="73"/>
      <c r="GU1158" s="73"/>
      <c r="GV1158" s="73"/>
      <c r="GW1158" s="73"/>
      <c r="GX1158" s="73"/>
      <c r="GY1158" s="73"/>
      <c r="GZ1158" s="73"/>
      <c r="HA1158" s="73"/>
      <c r="HB1158" s="73"/>
      <c r="HC1158" s="73"/>
      <c r="HD1158" s="73"/>
      <c r="HE1158" s="73"/>
      <c r="HF1158" s="73"/>
      <c r="HG1158" s="73"/>
      <c r="HH1158" s="73"/>
      <c r="HI1158" s="73"/>
      <c r="HJ1158" s="73"/>
      <c r="HK1158" s="73"/>
      <c r="HL1158" s="73"/>
      <c r="HM1158" s="73"/>
      <c r="HN1158" s="73"/>
      <c r="HO1158" s="73"/>
      <c r="HP1158" s="73"/>
      <c r="HQ1158" s="73"/>
      <c r="HR1158" s="73"/>
      <c r="HS1158" s="73"/>
      <c r="HT1158" s="73"/>
      <c r="HU1158" s="73"/>
      <c r="HV1158" s="73"/>
      <c r="HW1158" s="73"/>
      <c r="HX1158" s="73"/>
      <c r="HY1158" s="73"/>
      <c r="HZ1158" s="73"/>
      <c r="IA1158" s="73"/>
      <c r="IB1158" s="73"/>
      <c r="IC1158" s="73"/>
      <c r="ID1158" s="73"/>
      <c r="IE1158" s="73"/>
      <c r="IF1158" s="73"/>
      <c r="IG1158" s="73"/>
      <c r="IH1158" s="73"/>
      <c r="II1158" s="73"/>
      <c r="IJ1158" s="73"/>
      <c r="IK1158" s="73"/>
      <c r="IL1158" s="73"/>
      <c r="IM1158" s="73"/>
      <c r="IN1158" s="73"/>
      <c r="IO1158" s="73"/>
      <c r="IP1158" s="73"/>
      <c r="IQ1158" s="73"/>
      <c r="IR1158" s="73"/>
      <c r="IS1158" s="73"/>
      <c r="IT1158" s="73"/>
      <c r="IU1158" s="73"/>
      <c r="IV1158" s="73"/>
      <c r="IW1158" s="73"/>
      <c r="IX1158" s="73"/>
      <c r="IY1158" s="73"/>
      <c r="IZ1158" s="73"/>
      <c r="JA1158" s="73"/>
      <c r="JB1158" s="73"/>
      <c r="JC1158" s="73"/>
    </row>
    <row r="1159" spans="2:263" s="72" customFormat="1">
      <c r="B1159" s="73"/>
      <c r="C1159" s="73"/>
      <c r="D1159" s="73"/>
      <c r="E1159" s="73"/>
      <c r="F1159" s="73"/>
      <c r="G1159" s="73"/>
      <c r="H1159" s="73"/>
      <c r="I1159" s="73"/>
      <c r="J1159" s="73"/>
      <c r="K1159" s="73"/>
      <c r="L1159" s="73"/>
      <c r="M1159" s="73"/>
      <c r="N1159" s="73"/>
      <c r="O1159" s="73"/>
      <c r="P1159" s="73"/>
      <c r="Q1159" s="73"/>
      <c r="R1159" s="73"/>
      <c r="S1159" s="73"/>
      <c r="T1159" s="73"/>
      <c r="U1159" s="73"/>
      <c r="V1159" s="73"/>
      <c r="W1159" s="73"/>
      <c r="GL1159" s="73"/>
      <c r="GM1159" s="73"/>
      <c r="GN1159" s="73"/>
      <c r="GO1159" s="73"/>
      <c r="GP1159" s="73"/>
      <c r="GQ1159" s="73"/>
      <c r="GR1159" s="73"/>
      <c r="GS1159" s="73"/>
      <c r="GT1159" s="73"/>
      <c r="GU1159" s="73"/>
      <c r="GV1159" s="73"/>
      <c r="GW1159" s="73"/>
      <c r="GX1159" s="73"/>
      <c r="GY1159" s="73"/>
      <c r="GZ1159" s="73"/>
      <c r="HA1159" s="73"/>
      <c r="HB1159" s="73"/>
      <c r="HC1159" s="73"/>
      <c r="HD1159" s="73"/>
      <c r="HE1159" s="73"/>
      <c r="HF1159" s="73"/>
      <c r="HG1159" s="73"/>
      <c r="HH1159" s="73"/>
      <c r="HI1159" s="73"/>
      <c r="HJ1159" s="73"/>
      <c r="HK1159" s="73"/>
      <c r="HL1159" s="73"/>
      <c r="HM1159" s="73"/>
      <c r="HN1159" s="73"/>
      <c r="HO1159" s="73"/>
      <c r="HP1159" s="73"/>
      <c r="HQ1159" s="73"/>
      <c r="HR1159" s="73"/>
      <c r="HS1159" s="73"/>
      <c r="HT1159" s="73"/>
      <c r="HU1159" s="73"/>
      <c r="HV1159" s="73"/>
      <c r="HW1159" s="73"/>
      <c r="HX1159" s="73"/>
      <c r="HY1159" s="73"/>
      <c r="HZ1159" s="73"/>
      <c r="IA1159" s="73"/>
      <c r="IB1159" s="73"/>
      <c r="IC1159" s="73"/>
      <c r="ID1159" s="73"/>
      <c r="IE1159" s="73"/>
      <c r="IF1159" s="73"/>
      <c r="IG1159" s="73"/>
      <c r="IH1159" s="73"/>
      <c r="II1159" s="73"/>
      <c r="IJ1159" s="73"/>
      <c r="IK1159" s="73"/>
      <c r="IL1159" s="73"/>
      <c r="IM1159" s="73"/>
      <c r="IN1159" s="73"/>
      <c r="IO1159" s="73"/>
      <c r="IP1159" s="73"/>
      <c r="IQ1159" s="73"/>
      <c r="IR1159" s="73"/>
      <c r="IS1159" s="73"/>
      <c r="IT1159" s="73"/>
      <c r="IU1159" s="73"/>
      <c r="IV1159" s="73"/>
      <c r="IW1159" s="73"/>
      <c r="IX1159" s="73"/>
      <c r="IY1159" s="73"/>
      <c r="IZ1159" s="73"/>
      <c r="JA1159" s="73"/>
      <c r="JB1159" s="73"/>
      <c r="JC1159" s="73"/>
    </row>
    <row r="1160" spans="2:263" s="72" customFormat="1">
      <c r="B1160" s="73"/>
      <c r="C1160" s="73"/>
      <c r="D1160" s="73"/>
      <c r="E1160" s="73"/>
      <c r="F1160" s="73"/>
      <c r="G1160" s="73"/>
      <c r="H1160" s="73"/>
      <c r="I1160" s="73"/>
      <c r="J1160" s="73"/>
      <c r="K1160" s="73"/>
      <c r="L1160" s="73"/>
      <c r="M1160" s="73"/>
      <c r="N1160" s="73"/>
      <c r="O1160" s="73"/>
      <c r="P1160" s="73"/>
      <c r="Q1160" s="73"/>
      <c r="R1160" s="73"/>
      <c r="S1160" s="73"/>
      <c r="T1160" s="73"/>
      <c r="U1160" s="73"/>
      <c r="V1160" s="73"/>
      <c r="W1160" s="73"/>
      <c r="GL1160" s="73"/>
      <c r="GM1160" s="73"/>
      <c r="GN1160" s="73"/>
      <c r="GO1160" s="73"/>
      <c r="GP1160" s="73"/>
      <c r="GQ1160" s="73"/>
      <c r="GR1160" s="73"/>
      <c r="GS1160" s="73"/>
      <c r="GT1160" s="73"/>
      <c r="GU1160" s="73"/>
      <c r="GV1160" s="73"/>
      <c r="GW1160" s="73"/>
      <c r="GX1160" s="73"/>
      <c r="GY1160" s="73"/>
      <c r="GZ1160" s="73"/>
      <c r="HA1160" s="73"/>
      <c r="HB1160" s="73"/>
      <c r="HC1160" s="73"/>
      <c r="HD1160" s="73"/>
      <c r="HE1160" s="73"/>
      <c r="HF1160" s="73"/>
      <c r="HG1160" s="73"/>
      <c r="HH1160" s="73"/>
      <c r="HI1160" s="73"/>
      <c r="HJ1160" s="73"/>
      <c r="HK1160" s="73"/>
      <c r="HL1160" s="73"/>
      <c r="HM1160" s="73"/>
      <c r="HN1160" s="73"/>
      <c r="HO1160" s="73"/>
      <c r="HP1160" s="73"/>
      <c r="HQ1160" s="73"/>
      <c r="HR1160" s="73"/>
      <c r="HS1160" s="73"/>
      <c r="HT1160" s="73"/>
      <c r="HU1160" s="73"/>
      <c r="HV1160" s="73"/>
      <c r="HW1160" s="73"/>
      <c r="HX1160" s="73"/>
      <c r="HY1160" s="73"/>
      <c r="HZ1160" s="73"/>
      <c r="IA1160" s="73"/>
      <c r="IB1160" s="73"/>
      <c r="IC1160" s="73"/>
      <c r="ID1160" s="73"/>
      <c r="IE1160" s="73"/>
      <c r="IF1160" s="73"/>
      <c r="IG1160" s="73"/>
      <c r="IH1160" s="73"/>
      <c r="II1160" s="73"/>
      <c r="IJ1160" s="73"/>
      <c r="IK1160" s="73"/>
      <c r="IL1160" s="73"/>
      <c r="IM1160" s="73"/>
      <c r="IN1160" s="73"/>
      <c r="IO1160" s="73"/>
      <c r="IP1160" s="73"/>
      <c r="IQ1160" s="73"/>
      <c r="IR1160" s="73"/>
      <c r="IS1160" s="73"/>
      <c r="IT1160" s="73"/>
      <c r="IU1160" s="73"/>
      <c r="IV1160" s="73"/>
      <c r="IW1160" s="73"/>
      <c r="IX1160" s="73"/>
      <c r="IY1160" s="73"/>
      <c r="IZ1160" s="73"/>
      <c r="JA1160" s="73"/>
      <c r="JB1160" s="73"/>
      <c r="JC1160" s="73"/>
    </row>
    <row r="1161" spans="2:263" s="72" customFormat="1">
      <c r="B1161" s="73"/>
      <c r="C1161" s="73"/>
      <c r="D1161" s="73"/>
      <c r="E1161" s="73"/>
      <c r="F1161" s="73"/>
      <c r="G1161" s="73"/>
      <c r="H1161" s="73"/>
      <c r="I1161" s="73"/>
      <c r="J1161" s="73"/>
      <c r="K1161" s="73"/>
      <c r="L1161" s="73"/>
      <c r="M1161" s="73"/>
      <c r="N1161" s="73"/>
      <c r="O1161" s="73"/>
      <c r="P1161" s="73"/>
      <c r="Q1161" s="73"/>
      <c r="R1161" s="73"/>
      <c r="S1161" s="73"/>
      <c r="T1161" s="73"/>
      <c r="U1161" s="73"/>
      <c r="V1161" s="73"/>
      <c r="W1161" s="73"/>
      <c r="GL1161" s="73"/>
      <c r="GM1161" s="73"/>
      <c r="GN1161" s="73"/>
      <c r="GO1161" s="73"/>
      <c r="GP1161" s="73"/>
      <c r="GQ1161" s="73"/>
      <c r="GR1161" s="73"/>
      <c r="GS1161" s="73"/>
      <c r="GT1161" s="73"/>
      <c r="GU1161" s="73"/>
      <c r="GV1161" s="73"/>
      <c r="GW1161" s="73"/>
      <c r="GX1161" s="73"/>
      <c r="GY1161" s="73"/>
      <c r="GZ1161" s="73"/>
      <c r="HA1161" s="73"/>
      <c r="HB1161" s="73"/>
      <c r="HC1161" s="73"/>
      <c r="HD1161" s="73"/>
      <c r="HE1161" s="73"/>
      <c r="HF1161" s="73"/>
      <c r="HG1161" s="73"/>
      <c r="HH1161" s="73"/>
      <c r="HI1161" s="73"/>
      <c r="HJ1161" s="73"/>
      <c r="HK1161" s="73"/>
      <c r="HL1161" s="73"/>
      <c r="HM1161" s="73"/>
      <c r="HN1161" s="73"/>
      <c r="HO1161" s="73"/>
      <c r="HP1161" s="73"/>
      <c r="HQ1161" s="73"/>
      <c r="HR1161" s="73"/>
      <c r="HS1161" s="73"/>
      <c r="HT1161" s="73"/>
      <c r="HU1161" s="73"/>
      <c r="HV1161" s="73"/>
      <c r="HW1161" s="73"/>
      <c r="HX1161" s="73"/>
      <c r="HY1161" s="73"/>
      <c r="HZ1161" s="73"/>
      <c r="IA1161" s="73"/>
      <c r="IB1161" s="73"/>
      <c r="IC1161" s="73"/>
      <c r="ID1161" s="73"/>
      <c r="IE1161" s="73"/>
      <c r="IF1161" s="73"/>
      <c r="IG1161" s="73"/>
      <c r="IH1161" s="73"/>
      <c r="II1161" s="73"/>
      <c r="IJ1161" s="73"/>
      <c r="IK1161" s="73"/>
      <c r="IL1161" s="73"/>
      <c r="IM1161" s="73"/>
      <c r="IN1161" s="73"/>
      <c r="IO1161" s="73"/>
      <c r="IP1161" s="73"/>
      <c r="IQ1161" s="73"/>
      <c r="IR1161" s="73"/>
      <c r="IS1161" s="73"/>
      <c r="IT1161" s="73"/>
      <c r="IU1161" s="73"/>
      <c r="IV1161" s="73"/>
      <c r="IW1161" s="73"/>
      <c r="IX1161" s="73"/>
      <c r="IY1161" s="73"/>
      <c r="IZ1161" s="73"/>
      <c r="JA1161" s="73"/>
      <c r="JB1161" s="73"/>
      <c r="JC1161" s="73"/>
    </row>
    <row r="1162" spans="2:263" s="72" customFormat="1">
      <c r="B1162" s="73"/>
      <c r="C1162" s="73"/>
      <c r="D1162" s="73"/>
      <c r="E1162" s="73"/>
      <c r="F1162" s="73"/>
      <c r="G1162" s="73"/>
      <c r="H1162" s="73"/>
      <c r="I1162" s="73"/>
      <c r="J1162" s="73"/>
      <c r="K1162" s="73"/>
      <c r="L1162" s="73"/>
      <c r="M1162" s="73"/>
      <c r="N1162" s="73"/>
      <c r="O1162" s="73"/>
      <c r="P1162" s="73"/>
      <c r="Q1162" s="73"/>
      <c r="R1162" s="73"/>
      <c r="S1162" s="73"/>
      <c r="T1162" s="73"/>
      <c r="U1162" s="73"/>
      <c r="V1162" s="73"/>
      <c r="W1162" s="73"/>
      <c r="GL1162" s="73"/>
      <c r="GM1162" s="73"/>
      <c r="GN1162" s="73"/>
      <c r="GO1162" s="73"/>
      <c r="GP1162" s="73"/>
      <c r="GQ1162" s="73"/>
      <c r="GR1162" s="73"/>
      <c r="GS1162" s="73"/>
      <c r="GT1162" s="73"/>
      <c r="GU1162" s="73"/>
      <c r="GV1162" s="73"/>
      <c r="GW1162" s="73"/>
      <c r="GX1162" s="73"/>
      <c r="GY1162" s="73"/>
      <c r="GZ1162" s="73"/>
      <c r="HA1162" s="73"/>
      <c r="HB1162" s="73"/>
      <c r="HC1162" s="73"/>
      <c r="HD1162" s="73"/>
      <c r="HE1162" s="73"/>
      <c r="HF1162" s="73"/>
      <c r="HG1162" s="73"/>
      <c r="HH1162" s="73"/>
      <c r="HI1162" s="73"/>
      <c r="HJ1162" s="73"/>
      <c r="HK1162" s="73"/>
      <c r="HL1162" s="73"/>
      <c r="HM1162" s="73"/>
      <c r="HN1162" s="73"/>
      <c r="HO1162" s="73"/>
      <c r="HP1162" s="73"/>
      <c r="HQ1162" s="73"/>
      <c r="HR1162" s="73"/>
      <c r="HS1162" s="73"/>
      <c r="HT1162" s="73"/>
      <c r="HU1162" s="73"/>
      <c r="HV1162" s="73"/>
      <c r="HW1162" s="73"/>
      <c r="HX1162" s="73"/>
      <c r="HY1162" s="73"/>
      <c r="HZ1162" s="73"/>
      <c r="IA1162" s="73"/>
      <c r="IB1162" s="73"/>
      <c r="IC1162" s="73"/>
      <c r="ID1162" s="73"/>
      <c r="IE1162" s="73"/>
      <c r="IF1162" s="73"/>
      <c r="IG1162" s="73"/>
      <c r="IH1162" s="73"/>
      <c r="II1162" s="73"/>
      <c r="IJ1162" s="73"/>
      <c r="IK1162" s="73"/>
      <c r="IL1162" s="73"/>
      <c r="IM1162" s="73"/>
      <c r="IN1162" s="73"/>
      <c r="IO1162" s="73"/>
      <c r="IP1162" s="73"/>
      <c r="IQ1162" s="73"/>
      <c r="IR1162" s="73"/>
      <c r="IS1162" s="73"/>
      <c r="IT1162" s="73"/>
      <c r="IU1162" s="73"/>
      <c r="IV1162" s="73"/>
      <c r="IW1162" s="73"/>
      <c r="IX1162" s="73"/>
      <c r="IY1162" s="73"/>
      <c r="IZ1162" s="73"/>
      <c r="JA1162" s="73"/>
      <c r="JB1162" s="73"/>
      <c r="JC1162" s="73"/>
    </row>
    <row r="1163" spans="2:263" s="72" customFormat="1">
      <c r="B1163" s="73"/>
      <c r="C1163" s="73"/>
      <c r="D1163" s="73"/>
      <c r="E1163" s="73"/>
      <c r="F1163" s="73"/>
      <c r="G1163" s="73"/>
      <c r="H1163" s="73"/>
      <c r="I1163" s="73"/>
      <c r="J1163" s="73"/>
      <c r="K1163" s="73"/>
      <c r="L1163" s="73"/>
      <c r="M1163" s="73"/>
      <c r="N1163" s="73"/>
      <c r="O1163" s="73"/>
      <c r="P1163" s="73"/>
      <c r="Q1163" s="73"/>
      <c r="R1163" s="73"/>
      <c r="S1163" s="73"/>
      <c r="T1163" s="73"/>
      <c r="U1163" s="73"/>
      <c r="V1163" s="73"/>
      <c r="W1163" s="73"/>
      <c r="GL1163" s="73"/>
      <c r="GM1163" s="73"/>
      <c r="GN1163" s="73"/>
      <c r="GO1163" s="73"/>
      <c r="GP1163" s="73"/>
      <c r="GQ1163" s="73"/>
      <c r="GR1163" s="73"/>
      <c r="GS1163" s="73"/>
      <c r="GT1163" s="73"/>
      <c r="GU1163" s="73"/>
      <c r="GV1163" s="73"/>
      <c r="GW1163" s="73"/>
      <c r="GX1163" s="73"/>
      <c r="GY1163" s="73"/>
      <c r="GZ1163" s="73"/>
      <c r="HA1163" s="73"/>
      <c r="HB1163" s="73"/>
      <c r="HC1163" s="73"/>
      <c r="HD1163" s="73"/>
      <c r="HE1163" s="73"/>
      <c r="HF1163" s="73"/>
      <c r="HG1163" s="73"/>
      <c r="HH1163" s="73"/>
      <c r="HI1163" s="73"/>
      <c r="HJ1163" s="73"/>
      <c r="HK1163" s="73"/>
      <c r="HL1163" s="73"/>
      <c r="HM1163" s="73"/>
      <c r="HN1163" s="73"/>
      <c r="HO1163" s="73"/>
      <c r="HP1163" s="73"/>
      <c r="HQ1163" s="73"/>
      <c r="HR1163" s="73"/>
      <c r="HS1163" s="73"/>
      <c r="HT1163" s="73"/>
      <c r="HU1163" s="73"/>
      <c r="HV1163" s="73"/>
      <c r="HW1163" s="73"/>
      <c r="HX1163" s="73"/>
      <c r="HY1163" s="73"/>
      <c r="HZ1163" s="73"/>
      <c r="IA1163" s="73"/>
      <c r="IB1163" s="73"/>
      <c r="IC1163" s="73"/>
      <c r="ID1163" s="73"/>
      <c r="IE1163" s="73"/>
      <c r="IF1163" s="73"/>
      <c r="IG1163" s="73"/>
      <c r="IH1163" s="73"/>
      <c r="II1163" s="73"/>
      <c r="IJ1163" s="73"/>
      <c r="IK1163" s="73"/>
      <c r="IL1163" s="73"/>
      <c r="IM1163" s="73"/>
      <c r="IN1163" s="73"/>
      <c r="IO1163" s="73"/>
      <c r="IP1163" s="73"/>
      <c r="IQ1163" s="73"/>
      <c r="IR1163" s="73"/>
      <c r="IS1163" s="73"/>
      <c r="IT1163" s="73"/>
      <c r="IU1163" s="73"/>
      <c r="IV1163" s="73"/>
      <c r="IW1163" s="73"/>
      <c r="IX1163" s="73"/>
      <c r="IY1163" s="73"/>
      <c r="IZ1163" s="73"/>
      <c r="JA1163" s="73"/>
      <c r="JB1163" s="73"/>
      <c r="JC1163" s="73"/>
    </row>
    <row r="1164" spans="2:263" s="72" customFormat="1">
      <c r="B1164" s="73"/>
      <c r="C1164" s="73"/>
      <c r="D1164" s="73"/>
      <c r="E1164" s="73"/>
      <c r="F1164" s="73"/>
      <c r="G1164" s="73"/>
      <c r="H1164" s="73"/>
      <c r="I1164" s="73"/>
      <c r="J1164" s="73"/>
      <c r="K1164" s="73"/>
      <c r="L1164" s="73"/>
      <c r="M1164" s="73"/>
      <c r="N1164" s="73"/>
      <c r="O1164" s="73"/>
      <c r="P1164" s="73"/>
      <c r="Q1164" s="73"/>
      <c r="R1164" s="73"/>
      <c r="S1164" s="73"/>
      <c r="T1164" s="73"/>
      <c r="U1164" s="73"/>
      <c r="V1164" s="73"/>
      <c r="W1164" s="73"/>
      <c r="GL1164" s="73"/>
      <c r="GM1164" s="73"/>
      <c r="GN1164" s="73"/>
      <c r="GO1164" s="73"/>
      <c r="GP1164" s="73"/>
      <c r="GQ1164" s="73"/>
      <c r="GR1164" s="73"/>
      <c r="GS1164" s="73"/>
      <c r="GT1164" s="73"/>
      <c r="GU1164" s="73"/>
      <c r="GV1164" s="73"/>
      <c r="GW1164" s="73"/>
      <c r="GX1164" s="73"/>
      <c r="GY1164" s="73"/>
      <c r="GZ1164" s="73"/>
      <c r="HA1164" s="73"/>
      <c r="HB1164" s="73"/>
      <c r="HC1164" s="73"/>
      <c r="HD1164" s="73"/>
      <c r="HE1164" s="73"/>
      <c r="HF1164" s="73"/>
      <c r="HG1164" s="73"/>
      <c r="HH1164" s="73"/>
      <c r="HI1164" s="73"/>
      <c r="HJ1164" s="73"/>
      <c r="HK1164" s="73"/>
      <c r="HL1164" s="73"/>
      <c r="HM1164" s="73"/>
      <c r="HN1164" s="73"/>
      <c r="HO1164" s="73"/>
      <c r="HP1164" s="73"/>
      <c r="HQ1164" s="73"/>
      <c r="HR1164" s="73"/>
      <c r="HS1164" s="73"/>
      <c r="HT1164" s="73"/>
      <c r="HU1164" s="73"/>
      <c r="HV1164" s="73"/>
      <c r="HW1164" s="73"/>
      <c r="HX1164" s="73"/>
      <c r="HY1164" s="73"/>
      <c r="HZ1164" s="73"/>
      <c r="IA1164" s="73"/>
      <c r="IB1164" s="73"/>
      <c r="IC1164" s="73"/>
      <c r="ID1164" s="73"/>
      <c r="IE1164" s="73"/>
      <c r="IF1164" s="73"/>
      <c r="IG1164" s="73"/>
      <c r="IH1164" s="73"/>
      <c r="II1164" s="73"/>
      <c r="IJ1164" s="73"/>
      <c r="IK1164" s="73"/>
      <c r="IL1164" s="73"/>
      <c r="IM1164" s="73"/>
      <c r="IN1164" s="73"/>
      <c r="IO1164" s="73"/>
      <c r="IP1164" s="73"/>
      <c r="IQ1164" s="73"/>
      <c r="IR1164" s="73"/>
      <c r="IS1164" s="73"/>
      <c r="IT1164" s="73"/>
      <c r="IU1164" s="73"/>
      <c r="IV1164" s="73"/>
      <c r="IW1164" s="73"/>
      <c r="IX1164" s="73"/>
      <c r="IY1164" s="73"/>
      <c r="IZ1164" s="73"/>
      <c r="JA1164" s="73"/>
      <c r="JB1164" s="73"/>
      <c r="JC1164" s="73"/>
    </row>
    <row r="1165" spans="2:263" s="72" customFormat="1">
      <c r="B1165" s="73"/>
      <c r="C1165" s="73"/>
      <c r="D1165" s="73"/>
      <c r="E1165" s="73"/>
      <c r="F1165" s="73"/>
      <c r="G1165" s="73"/>
      <c r="H1165" s="73"/>
      <c r="I1165" s="73"/>
      <c r="J1165" s="73"/>
      <c r="K1165" s="73"/>
      <c r="L1165" s="73"/>
      <c r="M1165" s="73"/>
      <c r="N1165" s="73"/>
      <c r="O1165" s="73"/>
      <c r="P1165" s="73"/>
      <c r="Q1165" s="73"/>
      <c r="R1165" s="73"/>
      <c r="S1165" s="73"/>
      <c r="T1165" s="73"/>
      <c r="U1165" s="73"/>
      <c r="V1165" s="73"/>
      <c r="W1165" s="73"/>
      <c r="GL1165" s="73"/>
      <c r="GM1165" s="73"/>
      <c r="GN1165" s="73"/>
      <c r="GO1165" s="73"/>
      <c r="GP1165" s="73"/>
      <c r="GQ1165" s="73"/>
      <c r="GR1165" s="73"/>
      <c r="GS1165" s="73"/>
      <c r="GT1165" s="73"/>
      <c r="GU1165" s="73"/>
      <c r="GV1165" s="73"/>
      <c r="GW1165" s="73"/>
      <c r="GX1165" s="73"/>
      <c r="GY1165" s="73"/>
      <c r="GZ1165" s="73"/>
      <c r="HA1165" s="73"/>
      <c r="HB1165" s="73"/>
      <c r="HC1165" s="73"/>
      <c r="HD1165" s="73"/>
      <c r="HE1165" s="73"/>
      <c r="HF1165" s="73"/>
      <c r="HG1165" s="73"/>
      <c r="HH1165" s="73"/>
      <c r="HI1165" s="73"/>
      <c r="HJ1165" s="73"/>
      <c r="HK1165" s="73"/>
      <c r="HL1165" s="73"/>
      <c r="HM1165" s="73"/>
      <c r="HN1165" s="73"/>
      <c r="HO1165" s="73"/>
      <c r="HP1165" s="73"/>
      <c r="HQ1165" s="73"/>
      <c r="HR1165" s="73"/>
      <c r="HS1165" s="73"/>
      <c r="HT1165" s="73"/>
      <c r="HU1165" s="73"/>
      <c r="HV1165" s="73"/>
      <c r="HW1165" s="73"/>
      <c r="HX1165" s="73"/>
      <c r="HY1165" s="73"/>
      <c r="HZ1165" s="73"/>
      <c r="IA1165" s="73"/>
      <c r="IB1165" s="73"/>
      <c r="IC1165" s="73"/>
      <c r="ID1165" s="73"/>
      <c r="IE1165" s="73"/>
      <c r="IF1165" s="73"/>
      <c r="IG1165" s="73"/>
      <c r="IH1165" s="73"/>
      <c r="II1165" s="73"/>
      <c r="IJ1165" s="73"/>
      <c r="IK1165" s="73"/>
      <c r="IL1165" s="73"/>
      <c r="IM1165" s="73"/>
      <c r="IN1165" s="73"/>
      <c r="IO1165" s="73"/>
      <c r="IP1165" s="73"/>
      <c r="IQ1165" s="73"/>
      <c r="IR1165" s="73"/>
      <c r="IS1165" s="73"/>
      <c r="IT1165" s="73"/>
      <c r="IU1165" s="73"/>
      <c r="IV1165" s="73"/>
      <c r="IW1165" s="73"/>
      <c r="IX1165" s="73"/>
      <c r="IY1165" s="73"/>
      <c r="IZ1165" s="73"/>
      <c r="JA1165" s="73"/>
      <c r="JB1165" s="73"/>
      <c r="JC1165" s="73"/>
    </row>
    <row r="1166" spans="2:263" s="72" customFormat="1">
      <c r="B1166" s="73"/>
      <c r="C1166" s="73"/>
      <c r="D1166" s="73"/>
      <c r="E1166" s="73"/>
      <c r="F1166" s="73"/>
      <c r="G1166" s="73"/>
      <c r="H1166" s="73"/>
      <c r="I1166" s="73"/>
      <c r="J1166" s="73"/>
      <c r="K1166" s="73"/>
      <c r="L1166" s="73"/>
      <c r="M1166" s="73"/>
      <c r="N1166" s="73"/>
      <c r="O1166" s="73"/>
      <c r="P1166" s="73"/>
      <c r="Q1166" s="73"/>
      <c r="R1166" s="73"/>
      <c r="S1166" s="73"/>
      <c r="T1166" s="73"/>
      <c r="U1166" s="73"/>
      <c r="V1166" s="73"/>
      <c r="W1166" s="73"/>
      <c r="GL1166" s="73"/>
      <c r="GM1166" s="73"/>
      <c r="GN1166" s="73"/>
      <c r="GO1166" s="73"/>
      <c r="GP1166" s="73"/>
      <c r="GQ1166" s="73"/>
      <c r="GR1166" s="73"/>
      <c r="GS1166" s="73"/>
      <c r="GT1166" s="73"/>
      <c r="GU1166" s="73"/>
      <c r="GV1166" s="73"/>
      <c r="GW1166" s="73"/>
      <c r="GX1166" s="73"/>
      <c r="GY1166" s="73"/>
      <c r="GZ1166" s="73"/>
      <c r="HA1166" s="73"/>
      <c r="HB1166" s="73"/>
      <c r="HC1166" s="73"/>
      <c r="HD1166" s="73"/>
      <c r="HE1166" s="73"/>
      <c r="HF1166" s="73"/>
      <c r="HG1166" s="73"/>
      <c r="HH1166" s="73"/>
      <c r="HI1166" s="73"/>
      <c r="HJ1166" s="73"/>
      <c r="HK1166" s="73"/>
      <c r="HL1166" s="73"/>
      <c r="HM1166" s="73"/>
      <c r="HN1166" s="73"/>
      <c r="HO1166" s="73"/>
      <c r="HP1166" s="73"/>
      <c r="HQ1166" s="73"/>
      <c r="HR1166" s="73"/>
      <c r="HS1166" s="73"/>
      <c r="HT1166" s="73"/>
      <c r="HU1166" s="73"/>
      <c r="HV1166" s="73"/>
      <c r="HW1166" s="73"/>
      <c r="HX1166" s="73"/>
      <c r="HY1166" s="73"/>
      <c r="HZ1166" s="73"/>
      <c r="IA1166" s="73"/>
      <c r="IB1166" s="73"/>
      <c r="IC1166" s="73"/>
      <c r="ID1166" s="73"/>
      <c r="IE1166" s="73"/>
      <c r="IF1166" s="73"/>
      <c r="IG1166" s="73"/>
      <c r="IH1166" s="73"/>
      <c r="II1166" s="73"/>
      <c r="IJ1166" s="73"/>
      <c r="IK1166" s="73"/>
      <c r="IL1166" s="73"/>
      <c r="IM1166" s="73"/>
      <c r="IN1166" s="73"/>
      <c r="IO1166" s="73"/>
      <c r="IP1166" s="73"/>
      <c r="IQ1166" s="73"/>
      <c r="IR1166" s="73"/>
      <c r="IS1166" s="73"/>
      <c r="IT1166" s="73"/>
      <c r="IU1166" s="73"/>
      <c r="IV1166" s="73"/>
      <c r="IW1166" s="73"/>
      <c r="IX1166" s="73"/>
      <c r="IY1166" s="73"/>
      <c r="IZ1166" s="73"/>
      <c r="JA1166" s="73"/>
      <c r="JB1166" s="73"/>
      <c r="JC1166" s="73"/>
    </row>
    <row r="1167" spans="2:263" s="72" customFormat="1">
      <c r="B1167" s="73"/>
      <c r="C1167" s="73"/>
      <c r="D1167" s="73"/>
      <c r="E1167" s="73"/>
      <c r="F1167" s="73"/>
      <c r="G1167" s="73"/>
      <c r="H1167" s="73"/>
      <c r="I1167" s="73"/>
      <c r="J1167" s="73"/>
      <c r="K1167" s="73"/>
      <c r="L1167" s="73"/>
      <c r="M1167" s="73"/>
      <c r="N1167" s="73"/>
      <c r="O1167" s="73"/>
      <c r="P1167" s="73"/>
      <c r="Q1167" s="73"/>
      <c r="R1167" s="73"/>
      <c r="S1167" s="73"/>
      <c r="T1167" s="73"/>
      <c r="U1167" s="73"/>
      <c r="V1167" s="73"/>
      <c r="W1167" s="73"/>
      <c r="GL1167" s="73"/>
      <c r="GM1167" s="73"/>
      <c r="GN1167" s="73"/>
      <c r="GO1167" s="73"/>
      <c r="GP1167" s="73"/>
      <c r="GQ1167" s="73"/>
      <c r="GR1167" s="73"/>
      <c r="GS1167" s="73"/>
      <c r="GT1167" s="73"/>
      <c r="GU1167" s="73"/>
      <c r="GV1167" s="73"/>
      <c r="GW1167" s="73"/>
      <c r="GX1167" s="73"/>
      <c r="GY1167" s="73"/>
      <c r="GZ1167" s="73"/>
      <c r="HA1167" s="73"/>
      <c r="HB1167" s="73"/>
      <c r="HC1167" s="73"/>
      <c r="HD1167" s="73"/>
      <c r="HE1167" s="73"/>
      <c r="HF1167" s="73"/>
      <c r="HG1167" s="73"/>
      <c r="HH1167" s="73"/>
      <c r="HI1167" s="73"/>
      <c r="HJ1167" s="73"/>
      <c r="HK1167" s="73"/>
      <c r="HL1167" s="73"/>
      <c r="HM1167" s="73"/>
      <c r="HN1167" s="73"/>
      <c r="HO1167" s="73"/>
      <c r="HP1167" s="73"/>
      <c r="HQ1167" s="73"/>
      <c r="HR1167" s="73"/>
      <c r="HS1167" s="73"/>
      <c r="HT1167" s="73"/>
      <c r="HU1167" s="73"/>
      <c r="HV1167" s="73"/>
      <c r="HW1167" s="73"/>
      <c r="HX1167" s="73"/>
      <c r="HY1167" s="73"/>
      <c r="HZ1167" s="73"/>
      <c r="IA1167" s="73"/>
      <c r="IB1167" s="73"/>
      <c r="IC1167" s="73"/>
      <c r="ID1167" s="73"/>
      <c r="IE1167" s="73"/>
      <c r="IF1167" s="73"/>
      <c r="IG1167" s="73"/>
      <c r="IH1167" s="73"/>
      <c r="II1167" s="73"/>
      <c r="IJ1167" s="73"/>
      <c r="IK1167" s="73"/>
      <c r="IL1167" s="73"/>
      <c r="IM1167" s="73"/>
      <c r="IN1167" s="73"/>
      <c r="IO1167" s="73"/>
      <c r="IP1167" s="73"/>
      <c r="IQ1167" s="73"/>
      <c r="IR1167" s="73"/>
      <c r="IS1167" s="73"/>
      <c r="IT1167" s="73"/>
      <c r="IU1167" s="73"/>
      <c r="IV1167" s="73"/>
      <c r="IW1167" s="73"/>
      <c r="IX1167" s="73"/>
      <c r="IY1167" s="73"/>
      <c r="IZ1167" s="73"/>
      <c r="JA1167" s="73"/>
      <c r="JB1167" s="73"/>
      <c r="JC1167" s="73"/>
    </row>
    <row r="1168" spans="2:263" s="72" customFormat="1">
      <c r="B1168" s="73"/>
      <c r="C1168" s="73"/>
      <c r="D1168" s="73"/>
      <c r="E1168" s="73"/>
      <c r="F1168" s="73"/>
      <c r="G1168" s="73"/>
      <c r="H1168" s="73"/>
      <c r="I1168" s="73"/>
      <c r="J1168" s="73"/>
      <c r="K1168" s="73"/>
      <c r="L1168" s="73"/>
      <c r="M1168" s="73"/>
      <c r="N1168" s="73"/>
      <c r="O1168" s="73"/>
      <c r="P1168" s="73"/>
      <c r="Q1168" s="73"/>
      <c r="R1168" s="73"/>
      <c r="S1168" s="73"/>
      <c r="T1168" s="73"/>
      <c r="U1168" s="73"/>
      <c r="V1168" s="73"/>
      <c r="W1168" s="73"/>
      <c r="GL1168" s="73"/>
      <c r="GM1168" s="73"/>
      <c r="GN1168" s="73"/>
      <c r="GO1168" s="73"/>
      <c r="GP1168" s="73"/>
      <c r="GQ1168" s="73"/>
      <c r="GR1168" s="73"/>
      <c r="GS1168" s="73"/>
      <c r="GT1168" s="73"/>
      <c r="GU1168" s="73"/>
      <c r="GV1168" s="73"/>
      <c r="GW1168" s="73"/>
      <c r="GX1168" s="73"/>
      <c r="GY1168" s="73"/>
      <c r="GZ1168" s="73"/>
      <c r="HA1168" s="73"/>
      <c r="HB1168" s="73"/>
      <c r="HC1168" s="73"/>
      <c r="HD1168" s="73"/>
      <c r="HE1168" s="73"/>
      <c r="HF1168" s="73"/>
      <c r="HG1168" s="73"/>
      <c r="HH1168" s="73"/>
      <c r="HI1168" s="73"/>
      <c r="HJ1168" s="73"/>
      <c r="HK1168" s="73"/>
      <c r="HL1168" s="73"/>
      <c r="HM1168" s="73"/>
      <c r="HN1168" s="73"/>
      <c r="HO1168" s="73"/>
      <c r="HP1168" s="73"/>
      <c r="HQ1168" s="73"/>
      <c r="HR1168" s="73"/>
      <c r="HS1168" s="73"/>
      <c r="HT1168" s="73"/>
      <c r="HU1168" s="73"/>
      <c r="HV1168" s="73"/>
      <c r="HW1168" s="73"/>
      <c r="HX1168" s="73"/>
      <c r="HY1168" s="73"/>
      <c r="HZ1168" s="73"/>
      <c r="IA1168" s="73"/>
      <c r="IB1168" s="73"/>
      <c r="IC1168" s="73"/>
      <c r="ID1168" s="73"/>
      <c r="IE1168" s="73"/>
      <c r="IF1168" s="73"/>
      <c r="IG1168" s="73"/>
      <c r="IH1168" s="73"/>
      <c r="II1168" s="73"/>
      <c r="IJ1168" s="73"/>
      <c r="IK1168" s="73"/>
      <c r="IL1168" s="73"/>
      <c r="IM1168" s="73"/>
      <c r="IN1168" s="73"/>
      <c r="IO1168" s="73"/>
      <c r="IP1168" s="73"/>
      <c r="IQ1168" s="73"/>
      <c r="IR1168" s="73"/>
      <c r="IS1168" s="73"/>
      <c r="IT1168" s="73"/>
      <c r="IU1168" s="73"/>
      <c r="IV1168" s="73"/>
      <c r="IW1168" s="73"/>
      <c r="IX1168" s="73"/>
      <c r="IY1168" s="73"/>
      <c r="IZ1168" s="73"/>
      <c r="JA1168" s="73"/>
      <c r="JB1168" s="73"/>
      <c r="JC1168" s="73"/>
    </row>
    <row r="1169" spans="2:263" s="72" customFormat="1">
      <c r="B1169" s="73"/>
      <c r="C1169" s="73"/>
      <c r="D1169" s="73"/>
      <c r="E1169" s="73"/>
      <c r="F1169" s="73"/>
      <c r="G1169" s="73"/>
      <c r="H1169" s="73"/>
      <c r="I1169" s="73"/>
      <c r="J1169" s="73"/>
      <c r="K1169" s="73"/>
      <c r="L1169" s="73"/>
      <c r="M1169" s="73"/>
      <c r="N1169" s="73"/>
      <c r="O1169" s="73"/>
      <c r="P1169" s="73"/>
      <c r="Q1169" s="73"/>
      <c r="R1169" s="73"/>
      <c r="S1169" s="73"/>
      <c r="T1169" s="73"/>
      <c r="U1169" s="73"/>
      <c r="V1169" s="73"/>
      <c r="W1169" s="73"/>
      <c r="GL1169" s="73"/>
      <c r="GM1169" s="73"/>
      <c r="GN1169" s="73"/>
      <c r="GO1169" s="73"/>
      <c r="GP1169" s="73"/>
      <c r="GQ1169" s="73"/>
      <c r="GR1169" s="73"/>
      <c r="GS1169" s="73"/>
      <c r="GT1169" s="73"/>
      <c r="GU1169" s="73"/>
      <c r="GV1169" s="73"/>
      <c r="GW1169" s="73"/>
      <c r="GX1169" s="73"/>
      <c r="GY1169" s="73"/>
      <c r="GZ1169" s="73"/>
      <c r="HA1169" s="73"/>
      <c r="HB1169" s="73"/>
      <c r="HC1169" s="73"/>
      <c r="HD1169" s="73"/>
      <c r="HE1169" s="73"/>
      <c r="HF1169" s="73"/>
      <c r="HG1169" s="73"/>
      <c r="HH1169" s="73"/>
      <c r="HI1169" s="73"/>
      <c r="HJ1169" s="73"/>
      <c r="HK1169" s="73"/>
      <c r="HL1169" s="73"/>
      <c r="HM1169" s="73"/>
      <c r="HN1169" s="73"/>
      <c r="HO1169" s="73"/>
      <c r="HP1169" s="73"/>
      <c r="HQ1169" s="73"/>
      <c r="HR1169" s="73"/>
      <c r="HS1169" s="73"/>
      <c r="HT1169" s="73"/>
      <c r="HU1169" s="73"/>
      <c r="HV1169" s="73"/>
      <c r="HW1169" s="73"/>
      <c r="HX1169" s="73"/>
      <c r="HY1169" s="73"/>
      <c r="HZ1169" s="73"/>
      <c r="IA1169" s="73"/>
      <c r="IB1169" s="73"/>
      <c r="IC1169" s="73"/>
      <c r="ID1169" s="73"/>
      <c r="IE1169" s="73"/>
      <c r="IF1169" s="73"/>
      <c r="IG1169" s="73"/>
      <c r="IH1169" s="73"/>
      <c r="II1169" s="73"/>
      <c r="IJ1169" s="73"/>
      <c r="IK1169" s="73"/>
      <c r="IL1169" s="73"/>
      <c r="IM1169" s="73"/>
      <c r="IN1169" s="73"/>
      <c r="IO1169" s="73"/>
      <c r="IP1169" s="73"/>
      <c r="IQ1169" s="73"/>
      <c r="IR1169" s="73"/>
      <c r="IS1169" s="73"/>
      <c r="IT1169" s="73"/>
      <c r="IU1169" s="73"/>
      <c r="IV1169" s="73"/>
      <c r="IW1169" s="73"/>
      <c r="IX1169" s="73"/>
      <c r="IY1169" s="73"/>
      <c r="IZ1169" s="73"/>
      <c r="JA1169" s="73"/>
      <c r="JB1169" s="73"/>
      <c r="JC1169" s="73"/>
    </row>
    <row r="1170" spans="2:263" s="72" customFormat="1">
      <c r="B1170" s="73"/>
      <c r="C1170" s="73"/>
      <c r="D1170" s="73"/>
      <c r="E1170" s="73"/>
      <c r="F1170" s="73"/>
      <c r="G1170" s="73"/>
      <c r="H1170" s="73"/>
      <c r="I1170" s="73"/>
      <c r="J1170" s="73"/>
      <c r="K1170" s="73"/>
      <c r="L1170" s="73"/>
      <c r="M1170" s="73"/>
      <c r="N1170" s="73"/>
      <c r="O1170" s="73"/>
      <c r="P1170" s="73"/>
      <c r="Q1170" s="73"/>
      <c r="R1170" s="73"/>
      <c r="S1170" s="73"/>
      <c r="T1170" s="73"/>
      <c r="U1170" s="73"/>
      <c r="V1170" s="73"/>
      <c r="W1170" s="73"/>
      <c r="GL1170" s="73"/>
      <c r="GM1170" s="73"/>
      <c r="GN1170" s="73"/>
      <c r="GO1170" s="73"/>
      <c r="GP1170" s="73"/>
      <c r="GQ1170" s="73"/>
      <c r="GR1170" s="73"/>
      <c r="GS1170" s="73"/>
      <c r="GT1170" s="73"/>
      <c r="GU1170" s="73"/>
      <c r="GV1170" s="73"/>
      <c r="GW1170" s="73"/>
      <c r="GX1170" s="73"/>
      <c r="GY1170" s="73"/>
      <c r="GZ1170" s="73"/>
      <c r="HA1170" s="73"/>
      <c r="HB1170" s="73"/>
      <c r="HC1170" s="73"/>
      <c r="HD1170" s="73"/>
      <c r="HE1170" s="73"/>
      <c r="HF1170" s="73"/>
      <c r="HG1170" s="73"/>
      <c r="HH1170" s="73"/>
      <c r="HI1170" s="73"/>
      <c r="HJ1170" s="73"/>
      <c r="HK1170" s="73"/>
      <c r="HL1170" s="73"/>
      <c r="HM1170" s="73"/>
      <c r="HN1170" s="73"/>
      <c r="HO1170" s="73"/>
      <c r="HP1170" s="73"/>
      <c r="HQ1170" s="73"/>
      <c r="HR1170" s="73"/>
      <c r="HS1170" s="73"/>
      <c r="HT1170" s="73"/>
      <c r="HU1170" s="73"/>
      <c r="HV1170" s="73"/>
      <c r="HW1170" s="73"/>
      <c r="HX1170" s="73"/>
      <c r="HY1170" s="73"/>
      <c r="HZ1170" s="73"/>
      <c r="IA1170" s="73"/>
      <c r="IB1170" s="73"/>
      <c r="IC1170" s="73"/>
      <c r="ID1170" s="73"/>
      <c r="IE1170" s="73"/>
      <c r="IF1170" s="73"/>
      <c r="IG1170" s="73"/>
      <c r="IH1170" s="73"/>
      <c r="II1170" s="73"/>
      <c r="IJ1170" s="73"/>
      <c r="IK1170" s="73"/>
      <c r="IL1170" s="73"/>
      <c r="IM1170" s="73"/>
      <c r="IN1170" s="73"/>
      <c r="IO1170" s="73"/>
      <c r="IP1170" s="73"/>
      <c r="IQ1170" s="73"/>
      <c r="IR1170" s="73"/>
      <c r="IS1170" s="73"/>
      <c r="IT1170" s="73"/>
      <c r="IU1170" s="73"/>
      <c r="IV1170" s="73"/>
      <c r="IW1170" s="73"/>
      <c r="IX1170" s="73"/>
      <c r="IY1170" s="73"/>
      <c r="IZ1170" s="73"/>
      <c r="JA1170" s="73"/>
      <c r="JB1170" s="73"/>
      <c r="JC1170" s="73"/>
    </row>
    <row r="1171" spans="2:263" s="72" customFormat="1">
      <c r="B1171" s="73"/>
      <c r="C1171" s="73"/>
      <c r="D1171" s="73"/>
      <c r="E1171" s="73"/>
      <c r="F1171" s="73"/>
      <c r="G1171" s="73"/>
      <c r="H1171" s="73"/>
      <c r="I1171" s="73"/>
      <c r="J1171" s="73"/>
      <c r="K1171" s="73"/>
      <c r="L1171" s="73"/>
      <c r="M1171" s="73"/>
      <c r="N1171" s="73"/>
      <c r="O1171" s="73"/>
      <c r="P1171" s="73"/>
      <c r="Q1171" s="73"/>
      <c r="R1171" s="73"/>
      <c r="S1171" s="73"/>
      <c r="T1171" s="73"/>
      <c r="U1171" s="73"/>
      <c r="V1171" s="73"/>
      <c r="W1171" s="73"/>
      <c r="GL1171" s="73"/>
      <c r="GM1171" s="73"/>
      <c r="GN1171" s="73"/>
      <c r="GO1171" s="73"/>
      <c r="GP1171" s="73"/>
      <c r="GQ1171" s="73"/>
      <c r="GR1171" s="73"/>
      <c r="GS1171" s="73"/>
      <c r="GT1171" s="73"/>
      <c r="GU1171" s="73"/>
      <c r="GV1171" s="73"/>
      <c r="GW1171" s="73"/>
      <c r="GX1171" s="73"/>
      <c r="GY1171" s="73"/>
      <c r="GZ1171" s="73"/>
      <c r="HA1171" s="73"/>
      <c r="HB1171" s="73"/>
      <c r="HC1171" s="73"/>
      <c r="HD1171" s="73"/>
      <c r="HE1171" s="73"/>
      <c r="HF1171" s="73"/>
      <c r="HG1171" s="73"/>
      <c r="HH1171" s="73"/>
      <c r="HI1171" s="73"/>
      <c r="HJ1171" s="73"/>
      <c r="HK1171" s="73"/>
      <c r="HL1171" s="73"/>
      <c r="HM1171" s="73"/>
      <c r="HN1171" s="73"/>
      <c r="HO1171" s="73"/>
      <c r="HP1171" s="73"/>
      <c r="HQ1171" s="73"/>
      <c r="HR1171" s="73"/>
      <c r="HS1171" s="73"/>
      <c r="HT1171" s="73"/>
      <c r="HU1171" s="73"/>
      <c r="HV1171" s="73"/>
      <c r="HW1171" s="73"/>
      <c r="HX1171" s="73"/>
      <c r="HY1171" s="73"/>
      <c r="HZ1171" s="73"/>
      <c r="IA1171" s="73"/>
      <c r="IB1171" s="73"/>
      <c r="IC1171" s="73"/>
      <c r="ID1171" s="73"/>
      <c r="IE1171" s="73"/>
      <c r="IF1171" s="73"/>
      <c r="IG1171" s="73"/>
      <c r="IH1171" s="73"/>
      <c r="II1171" s="73"/>
      <c r="IJ1171" s="73"/>
      <c r="IK1171" s="73"/>
      <c r="IL1171" s="73"/>
      <c r="IM1171" s="73"/>
      <c r="IN1171" s="73"/>
      <c r="IO1171" s="73"/>
      <c r="IP1171" s="73"/>
      <c r="IQ1171" s="73"/>
      <c r="IR1171" s="73"/>
      <c r="IS1171" s="73"/>
      <c r="IT1171" s="73"/>
      <c r="IU1171" s="73"/>
      <c r="IV1171" s="73"/>
      <c r="IW1171" s="73"/>
      <c r="IX1171" s="73"/>
      <c r="IY1171" s="73"/>
      <c r="IZ1171" s="73"/>
      <c r="JA1171" s="73"/>
      <c r="JB1171" s="73"/>
      <c r="JC1171" s="73"/>
    </row>
    <row r="1172" spans="2:263" s="72" customFormat="1">
      <c r="B1172" s="73"/>
      <c r="C1172" s="73"/>
      <c r="D1172" s="73"/>
      <c r="E1172" s="73"/>
      <c r="F1172" s="73"/>
      <c r="G1172" s="73"/>
      <c r="H1172" s="73"/>
      <c r="I1172" s="73"/>
      <c r="J1172" s="73"/>
      <c r="K1172" s="73"/>
      <c r="L1172" s="73"/>
      <c r="M1172" s="73"/>
      <c r="N1172" s="73"/>
      <c r="O1172" s="73"/>
      <c r="P1172" s="73"/>
      <c r="Q1172" s="73"/>
      <c r="R1172" s="73"/>
      <c r="S1172" s="73"/>
      <c r="T1172" s="73"/>
      <c r="U1172" s="73"/>
      <c r="V1172" s="73"/>
      <c r="W1172" s="73"/>
      <c r="GL1172" s="73"/>
      <c r="GM1172" s="73"/>
      <c r="GN1172" s="73"/>
      <c r="GO1172" s="73"/>
      <c r="GP1172" s="73"/>
      <c r="GQ1172" s="73"/>
      <c r="GR1172" s="73"/>
      <c r="GS1172" s="73"/>
      <c r="GT1172" s="73"/>
      <c r="GU1172" s="73"/>
      <c r="GV1172" s="73"/>
      <c r="GW1172" s="73"/>
      <c r="GX1172" s="73"/>
      <c r="GY1172" s="73"/>
      <c r="GZ1172" s="73"/>
      <c r="HA1172" s="73"/>
      <c r="HB1172" s="73"/>
      <c r="HC1172" s="73"/>
      <c r="HD1172" s="73"/>
      <c r="HE1172" s="73"/>
      <c r="HF1172" s="73"/>
      <c r="HG1172" s="73"/>
      <c r="HH1172" s="73"/>
      <c r="HI1172" s="73"/>
      <c r="HJ1172" s="73"/>
      <c r="HK1172" s="73"/>
      <c r="HL1172" s="73"/>
      <c r="HM1172" s="73"/>
      <c r="HN1172" s="73"/>
      <c r="HO1172" s="73"/>
      <c r="HP1172" s="73"/>
      <c r="HQ1172" s="73"/>
      <c r="HR1172" s="73"/>
      <c r="HS1172" s="73"/>
      <c r="HT1172" s="73"/>
      <c r="HU1172" s="73"/>
      <c r="HV1172" s="73"/>
      <c r="HW1172" s="73"/>
      <c r="HX1172" s="73"/>
      <c r="HY1172" s="73"/>
      <c r="HZ1172" s="73"/>
      <c r="IA1172" s="73"/>
      <c r="IB1172" s="73"/>
      <c r="IC1172" s="73"/>
      <c r="ID1172" s="73"/>
      <c r="IE1172" s="73"/>
      <c r="IF1172" s="73"/>
      <c r="IG1172" s="73"/>
      <c r="IH1172" s="73"/>
      <c r="II1172" s="73"/>
      <c r="IJ1172" s="73"/>
      <c r="IK1172" s="73"/>
      <c r="IL1172" s="73"/>
      <c r="IM1172" s="73"/>
      <c r="IN1172" s="73"/>
      <c r="IO1172" s="73"/>
      <c r="IP1172" s="73"/>
      <c r="IQ1172" s="73"/>
      <c r="IR1172" s="73"/>
      <c r="IS1172" s="73"/>
      <c r="IT1172" s="73"/>
      <c r="IU1172" s="73"/>
      <c r="IV1172" s="73"/>
      <c r="IW1172" s="73"/>
      <c r="IX1172" s="73"/>
      <c r="IY1172" s="73"/>
      <c r="IZ1172" s="73"/>
      <c r="JA1172" s="73"/>
      <c r="JB1172" s="73"/>
      <c r="JC1172" s="73"/>
    </row>
    <row r="1173" spans="2:263" s="72" customFormat="1">
      <c r="B1173" s="73"/>
      <c r="C1173" s="73"/>
      <c r="D1173" s="73"/>
      <c r="E1173" s="73"/>
      <c r="F1173" s="73"/>
      <c r="G1173" s="73"/>
      <c r="H1173" s="73"/>
      <c r="I1173" s="73"/>
      <c r="J1173" s="73"/>
      <c r="K1173" s="73"/>
      <c r="L1173" s="73"/>
      <c r="M1173" s="73"/>
      <c r="N1173" s="73"/>
      <c r="O1173" s="73"/>
      <c r="P1173" s="73"/>
      <c r="Q1173" s="73"/>
      <c r="R1173" s="73"/>
      <c r="S1173" s="73"/>
      <c r="T1173" s="73"/>
      <c r="U1173" s="73"/>
      <c r="V1173" s="73"/>
      <c r="W1173" s="73"/>
      <c r="GL1173" s="73"/>
      <c r="GM1173" s="73"/>
      <c r="GN1173" s="73"/>
      <c r="GO1173" s="73"/>
      <c r="GP1173" s="73"/>
      <c r="GQ1173" s="73"/>
      <c r="GR1173" s="73"/>
      <c r="GS1173" s="73"/>
      <c r="GT1173" s="73"/>
      <c r="GU1173" s="73"/>
      <c r="GV1173" s="73"/>
      <c r="GW1173" s="73"/>
      <c r="GX1173" s="73"/>
      <c r="GY1173" s="73"/>
      <c r="GZ1173" s="73"/>
      <c r="HA1173" s="73"/>
      <c r="HB1173" s="73"/>
      <c r="HC1173" s="73"/>
      <c r="HD1173" s="73"/>
      <c r="HE1173" s="73"/>
      <c r="HF1173" s="73"/>
      <c r="HG1173" s="73"/>
      <c r="HH1173" s="73"/>
      <c r="HI1173" s="73"/>
      <c r="HJ1173" s="73"/>
      <c r="HK1173" s="73"/>
      <c r="HL1173" s="73"/>
      <c r="HM1173" s="73"/>
      <c r="HN1173" s="73"/>
      <c r="HO1173" s="73"/>
      <c r="HP1173" s="73"/>
      <c r="HQ1173" s="73"/>
      <c r="HR1173" s="73"/>
      <c r="HS1173" s="73"/>
      <c r="HT1173" s="73"/>
      <c r="HU1173" s="73"/>
      <c r="HV1173" s="73"/>
      <c r="HW1173" s="73"/>
      <c r="HX1173" s="73"/>
      <c r="HY1173" s="73"/>
      <c r="HZ1173" s="73"/>
      <c r="IA1173" s="73"/>
      <c r="IB1173" s="73"/>
      <c r="IC1173" s="73"/>
      <c r="ID1173" s="73"/>
      <c r="IE1173" s="73"/>
      <c r="IF1173" s="73"/>
      <c r="IG1173" s="73"/>
      <c r="IH1173" s="73"/>
      <c r="II1173" s="73"/>
      <c r="IJ1173" s="73"/>
      <c r="IK1173" s="73"/>
      <c r="IL1173" s="73"/>
      <c r="IM1173" s="73"/>
      <c r="IN1173" s="73"/>
      <c r="IO1173" s="73"/>
      <c r="IP1173" s="73"/>
      <c r="IQ1173" s="73"/>
      <c r="IR1173" s="73"/>
      <c r="IS1173" s="73"/>
      <c r="IT1173" s="73"/>
      <c r="IU1173" s="73"/>
      <c r="IV1173" s="73"/>
      <c r="IW1173" s="73"/>
      <c r="IX1173" s="73"/>
      <c r="IY1173" s="73"/>
      <c r="IZ1173" s="73"/>
      <c r="JA1173" s="73"/>
      <c r="JB1173" s="73"/>
      <c r="JC1173" s="73"/>
    </row>
    <row r="1174" spans="2:263" s="72" customFormat="1">
      <c r="B1174" s="73"/>
      <c r="C1174" s="73"/>
      <c r="D1174" s="73"/>
      <c r="E1174" s="73"/>
      <c r="F1174" s="73"/>
      <c r="G1174" s="73"/>
      <c r="H1174" s="73"/>
      <c r="I1174" s="73"/>
      <c r="J1174" s="73"/>
      <c r="K1174" s="73"/>
      <c r="L1174" s="73"/>
      <c r="M1174" s="73"/>
      <c r="N1174" s="73"/>
      <c r="O1174" s="73"/>
      <c r="P1174" s="73"/>
      <c r="Q1174" s="73"/>
      <c r="R1174" s="73"/>
      <c r="S1174" s="73"/>
      <c r="T1174" s="73"/>
      <c r="U1174" s="73"/>
      <c r="V1174" s="73"/>
      <c r="W1174" s="73"/>
      <c r="GL1174" s="73"/>
      <c r="GM1174" s="73"/>
      <c r="GN1174" s="73"/>
      <c r="GO1174" s="73"/>
      <c r="GP1174" s="73"/>
      <c r="GQ1174" s="73"/>
      <c r="GR1174" s="73"/>
      <c r="GS1174" s="73"/>
      <c r="GT1174" s="73"/>
      <c r="GU1174" s="73"/>
      <c r="GV1174" s="73"/>
      <c r="GW1174" s="73"/>
      <c r="GX1174" s="73"/>
      <c r="GY1174" s="73"/>
      <c r="GZ1174" s="73"/>
      <c r="HA1174" s="73"/>
      <c r="HB1174" s="73"/>
      <c r="HC1174" s="73"/>
      <c r="HD1174" s="73"/>
      <c r="HE1174" s="73"/>
      <c r="HF1174" s="73"/>
      <c r="HG1174" s="73"/>
      <c r="HH1174" s="73"/>
      <c r="HI1174" s="73"/>
      <c r="HJ1174" s="73"/>
      <c r="HK1174" s="73"/>
      <c r="HL1174" s="73"/>
      <c r="HM1174" s="73"/>
      <c r="HN1174" s="73"/>
      <c r="HO1174" s="73"/>
      <c r="HP1174" s="73"/>
      <c r="HQ1174" s="73"/>
      <c r="HR1174" s="73"/>
      <c r="HS1174" s="73"/>
      <c r="HT1174" s="73"/>
      <c r="HU1174" s="73"/>
      <c r="HV1174" s="73"/>
      <c r="HW1174" s="73"/>
      <c r="HX1174" s="73"/>
      <c r="HY1174" s="73"/>
      <c r="HZ1174" s="73"/>
      <c r="IA1174" s="73"/>
      <c r="IB1174" s="73"/>
      <c r="IC1174" s="73"/>
      <c r="ID1174" s="73"/>
      <c r="IE1174" s="73"/>
      <c r="IF1174" s="73"/>
      <c r="IG1174" s="73"/>
      <c r="IH1174" s="73"/>
      <c r="II1174" s="73"/>
      <c r="IJ1174" s="73"/>
      <c r="IK1174" s="73"/>
      <c r="IL1174" s="73"/>
      <c r="IM1174" s="73"/>
      <c r="IN1174" s="73"/>
      <c r="IO1174" s="73"/>
      <c r="IP1174" s="73"/>
      <c r="IQ1174" s="73"/>
      <c r="IR1174" s="73"/>
      <c r="IS1174" s="73"/>
      <c r="IT1174" s="73"/>
      <c r="IU1174" s="73"/>
      <c r="IV1174" s="73"/>
      <c r="IW1174" s="73"/>
      <c r="IX1174" s="73"/>
      <c r="IY1174" s="73"/>
      <c r="IZ1174" s="73"/>
      <c r="JA1174" s="73"/>
      <c r="JB1174" s="73"/>
      <c r="JC1174" s="73"/>
    </row>
    <row r="1175" spans="2:263" s="72" customFormat="1">
      <c r="B1175" s="73"/>
      <c r="C1175" s="73"/>
      <c r="D1175" s="73"/>
      <c r="E1175" s="73"/>
      <c r="F1175" s="73"/>
      <c r="G1175" s="73"/>
      <c r="H1175" s="73"/>
      <c r="I1175" s="73"/>
      <c r="J1175" s="73"/>
      <c r="K1175" s="73"/>
      <c r="L1175" s="73"/>
      <c r="M1175" s="73"/>
      <c r="N1175" s="73"/>
      <c r="O1175" s="73"/>
      <c r="P1175" s="73"/>
      <c r="Q1175" s="73"/>
      <c r="R1175" s="73"/>
      <c r="S1175" s="73"/>
      <c r="T1175" s="73"/>
      <c r="U1175" s="73"/>
      <c r="V1175" s="73"/>
      <c r="W1175" s="73"/>
      <c r="GL1175" s="73"/>
      <c r="GM1175" s="73"/>
      <c r="GN1175" s="73"/>
      <c r="GO1175" s="73"/>
      <c r="GP1175" s="73"/>
      <c r="GQ1175" s="73"/>
      <c r="GR1175" s="73"/>
      <c r="GS1175" s="73"/>
      <c r="GT1175" s="73"/>
      <c r="GU1175" s="73"/>
      <c r="GV1175" s="73"/>
      <c r="GW1175" s="73"/>
      <c r="GX1175" s="73"/>
      <c r="GY1175" s="73"/>
      <c r="GZ1175" s="73"/>
      <c r="HA1175" s="73"/>
      <c r="HB1175" s="73"/>
      <c r="HC1175" s="73"/>
      <c r="HD1175" s="73"/>
      <c r="HE1175" s="73"/>
      <c r="HF1175" s="73"/>
      <c r="HG1175" s="73"/>
      <c r="HH1175" s="73"/>
      <c r="HI1175" s="73"/>
      <c r="HJ1175" s="73"/>
      <c r="HK1175" s="73"/>
      <c r="HL1175" s="73"/>
      <c r="HM1175" s="73"/>
      <c r="HN1175" s="73"/>
      <c r="HO1175" s="73"/>
      <c r="HP1175" s="73"/>
      <c r="HQ1175" s="73"/>
      <c r="HR1175" s="73"/>
      <c r="HS1175" s="73"/>
      <c r="HT1175" s="73"/>
      <c r="HU1175" s="73"/>
      <c r="HV1175" s="73"/>
      <c r="HW1175" s="73"/>
      <c r="HX1175" s="73"/>
      <c r="HY1175" s="73"/>
      <c r="HZ1175" s="73"/>
      <c r="IA1175" s="73"/>
      <c r="IB1175" s="73"/>
      <c r="IC1175" s="73"/>
      <c r="ID1175" s="73"/>
      <c r="IE1175" s="73"/>
      <c r="IF1175" s="73"/>
      <c r="IG1175" s="73"/>
      <c r="IH1175" s="73"/>
      <c r="II1175" s="73"/>
      <c r="IJ1175" s="73"/>
      <c r="IK1175" s="73"/>
      <c r="IL1175" s="73"/>
      <c r="IM1175" s="73"/>
      <c r="IN1175" s="73"/>
      <c r="IO1175" s="73"/>
      <c r="IP1175" s="73"/>
      <c r="IQ1175" s="73"/>
      <c r="IR1175" s="73"/>
      <c r="IS1175" s="73"/>
      <c r="IT1175" s="73"/>
      <c r="IU1175" s="73"/>
      <c r="IV1175" s="73"/>
      <c r="IW1175" s="73"/>
      <c r="IX1175" s="73"/>
      <c r="IY1175" s="73"/>
      <c r="IZ1175" s="73"/>
      <c r="JA1175" s="73"/>
      <c r="JB1175" s="73"/>
      <c r="JC1175" s="73"/>
    </row>
    <row r="1176" spans="2:263" s="72" customFormat="1">
      <c r="B1176" s="73"/>
      <c r="C1176" s="73"/>
      <c r="D1176" s="73"/>
      <c r="E1176" s="73"/>
      <c r="F1176" s="73"/>
      <c r="G1176" s="73"/>
      <c r="H1176" s="73"/>
      <c r="I1176" s="73"/>
      <c r="J1176" s="73"/>
      <c r="K1176" s="73"/>
      <c r="L1176" s="73"/>
      <c r="M1176" s="73"/>
      <c r="N1176" s="73"/>
      <c r="O1176" s="73"/>
      <c r="P1176" s="73"/>
      <c r="Q1176" s="73"/>
      <c r="R1176" s="73"/>
      <c r="S1176" s="73"/>
      <c r="T1176" s="73"/>
      <c r="U1176" s="73"/>
      <c r="V1176" s="73"/>
      <c r="W1176" s="73"/>
      <c r="GL1176" s="73"/>
      <c r="GM1176" s="73"/>
      <c r="GN1176" s="73"/>
      <c r="GO1176" s="73"/>
      <c r="GP1176" s="73"/>
      <c r="GQ1176" s="73"/>
      <c r="GR1176" s="73"/>
      <c r="GS1176" s="73"/>
      <c r="GT1176" s="73"/>
      <c r="GU1176" s="73"/>
      <c r="GV1176" s="73"/>
      <c r="GW1176" s="73"/>
      <c r="GX1176" s="73"/>
      <c r="GY1176" s="73"/>
      <c r="GZ1176" s="73"/>
      <c r="HA1176" s="73"/>
      <c r="HB1176" s="73"/>
      <c r="HC1176" s="73"/>
      <c r="HD1176" s="73"/>
      <c r="HE1176" s="73"/>
      <c r="HF1176" s="73"/>
      <c r="HG1176" s="73"/>
      <c r="HH1176" s="73"/>
      <c r="HI1176" s="73"/>
      <c r="HJ1176" s="73"/>
      <c r="HK1176" s="73"/>
      <c r="HL1176" s="73"/>
      <c r="HM1176" s="73"/>
      <c r="HN1176" s="73"/>
      <c r="HO1176" s="73"/>
      <c r="HP1176" s="73"/>
      <c r="HQ1176" s="73"/>
      <c r="HR1176" s="73"/>
      <c r="HS1176" s="73"/>
      <c r="HT1176" s="73"/>
      <c r="HU1176" s="73"/>
      <c r="HV1176" s="73"/>
      <c r="HW1176" s="73"/>
      <c r="HX1176" s="73"/>
      <c r="HY1176" s="73"/>
      <c r="HZ1176" s="73"/>
      <c r="IA1176" s="73"/>
      <c r="IB1176" s="73"/>
      <c r="IC1176" s="73"/>
      <c r="ID1176" s="73"/>
      <c r="IE1176" s="73"/>
      <c r="IF1176" s="73"/>
      <c r="IG1176" s="73"/>
      <c r="IH1176" s="73"/>
      <c r="II1176" s="73"/>
      <c r="IJ1176" s="73"/>
      <c r="IK1176" s="73"/>
      <c r="IL1176" s="73"/>
      <c r="IM1176" s="73"/>
      <c r="IN1176" s="73"/>
      <c r="IO1176" s="73"/>
      <c r="IP1176" s="73"/>
      <c r="IQ1176" s="73"/>
      <c r="IR1176" s="73"/>
      <c r="IS1176" s="73"/>
      <c r="IT1176" s="73"/>
      <c r="IU1176" s="73"/>
      <c r="IV1176" s="73"/>
      <c r="IW1176" s="73"/>
      <c r="IX1176" s="73"/>
      <c r="IY1176" s="73"/>
      <c r="IZ1176" s="73"/>
      <c r="JA1176" s="73"/>
      <c r="JB1176" s="73"/>
      <c r="JC1176" s="73"/>
    </row>
    <row r="1177" spans="2:263" s="72" customFormat="1">
      <c r="B1177" s="73"/>
      <c r="C1177" s="73"/>
      <c r="D1177" s="73"/>
      <c r="E1177" s="73"/>
      <c r="F1177" s="73"/>
      <c r="G1177" s="73"/>
      <c r="H1177" s="73"/>
      <c r="I1177" s="73"/>
      <c r="J1177" s="73"/>
      <c r="K1177" s="73"/>
      <c r="L1177" s="73"/>
      <c r="M1177" s="73"/>
      <c r="N1177" s="73"/>
      <c r="O1177" s="73"/>
      <c r="P1177" s="73"/>
      <c r="Q1177" s="73"/>
      <c r="R1177" s="73"/>
      <c r="S1177" s="73"/>
      <c r="T1177" s="73"/>
      <c r="U1177" s="73"/>
      <c r="V1177" s="73"/>
      <c r="W1177" s="73"/>
      <c r="GL1177" s="73"/>
      <c r="GM1177" s="73"/>
      <c r="GN1177" s="73"/>
      <c r="GO1177" s="73"/>
      <c r="GP1177" s="73"/>
      <c r="GQ1177" s="73"/>
      <c r="GR1177" s="73"/>
      <c r="GS1177" s="73"/>
      <c r="GT1177" s="73"/>
      <c r="GU1177" s="73"/>
      <c r="GV1177" s="73"/>
      <c r="GW1177" s="73"/>
      <c r="GX1177" s="73"/>
      <c r="GY1177" s="73"/>
      <c r="GZ1177" s="73"/>
      <c r="HA1177" s="73"/>
      <c r="HB1177" s="73"/>
      <c r="HC1177" s="73"/>
      <c r="HD1177" s="73"/>
      <c r="HE1177" s="73"/>
      <c r="HF1177" s="73"/>
      <c r="HG1177" s="73"/>
      <c r="HH1177" s="73"/>
      <c r="HI1177" s="73"/>
      <c r="HJ1177" s="73"/>
      <c r="HK1177" s="73"/>
      <c r="HL1177" s="73"/>
      <c r="HM1177" s="73"/>
      <c r="HN1177" s="73"/>
      <c r="HO1177" s="73"/>
      <c r="HP1177" s="73"/>
      <c r="HQ1177" s="73"/>
      <c r="HR1177" s="73"/>
      <c r="HS1177" s="73"/>
      <c r="HT1177" s="73"/>
      <c r="HU1177" s="73"/>
      <c r="HV1177" s="73"/>
      <c r="HW1177" s="73"/>
      <c r="HX1177" s="73"/>
      <c r="HY1177" s="73"/>
      <c r="HZ1177" s="73"/>
      <c r="IA1177" s="73"/>
      <c r="IB1177" s="73"/>
      <c r="IC1177" s="73"/>
      <c r="ID1177" s="73"/>
      <c r="IE1177" s="73"/>
      <c r="IF1177" s="73"/>
      <c r="IG1177" s="73"/>
      <c r="IH1177" s="73"/>
      <c r="II1177" s="73"/>
      <c r="IJ1177" s="73"/>
      <c r="IK1177" s="73"/>
      <c r="IL1177" s="73"/>
      <c r="IM1177" s="73"/>
      <c r="IN1177" s="73"/>
      <c r="IO1177" s="73"/>
      <c r="IP1177" s="73"/>
      <c r="IQ1177" s="73"/>
      <c r="IR1177" s="73"/>
      <c r="IS1177" s="73"/>
      <c r="IT1177" s="73"/>
      <c r="IU1177" s="73"/>
      <c r="IV1177" s="73"/>
      <c r="IW1177" s="73"/>
      <c r="IX1177" s="73"/>
      <c r="IY1177" s="73"/>
      <c r="IZ1177" s="73"/>
      <c r="JA1177" s="73"/>
      <c r="JB1177" s="73"/>
      <c r="JC1177" s="73"/>
    </row>
    <row r="1178" spans="2:263" s="72" customFormat="1">
      <c r="B1178" s="73"/>
      <c r="C1178" s="73"/>
      <c r="D1178" s="73"/>
      <c r="E1178" s="73"/>
      <c r="F1178" s="73"/>
      <c r="G1178" s="73"/>
      <c r="H1178" s="73"/>
      <c r="I1178" s="73"/>
      <c r="J1178" s="73"/>
      <c r="K1178" s="73"/>
      <c r="L1178" s="73"/>
      <c r="M1178" s="73"/>
      <c r="N1178" s="73"/>
      <c r="O1178" s="73"/>
      <c r="P1178" s="73"/>
      <c r="Q1178" s="73"/>
      <c r="R1178" s="73"/>
      <c r="S1178" s="73"/>
      <c r="T1178" s="73"/>
      <c r="U1178" s="73"/>
      <c r="V1178" s="73"/>
      <c r="W1178" s="73"/>
      <c r="GL1178" s="73"/>
      <c r="GM1178" s="73"/>
      <c r="GN1178" s="73"/>
      <c r="GO1178" s="73"/>
      <c r="GP1178" s="73"/>
      <c r="GQ1178" s="73"/>
      <c r="GR1178" s="73"/>
      <c r="GS1178" s="73"/>
      <c r="GT1178" s="73"/>
      <c r="GU1178" s="73"/>
      <c r="GV1178" s="73"/>
      <c r="GW1178" s="73"/>
      <c r="GX1178" s="73"/>
      <c r="GY1178" s="73"/>
      <c r="GZ1178" s="73"/>
      <c r="HA1178" s="73"/>
      <c r="HB1178" s="73"/>
      <c r="HC1178" s="73"/>
      <c r="HD1178" s="73"/>
      <c r="HE1178" s="73"/>
      <c r="HF1178" s="73"/>
      <c r="HG1178" s="73"/>
      <c r="HH1178" s="73"/>
      <c r="HI1178" s="73"/>
      <c r="HJ1178" s="73"/>
      <c r="HK1178" s="73"/>
      <c r="HL1178" s="73"/>
      <c r="HM1178" s="73"/>
      <c r="HN1178" s="73"/>
      <c r="HO1178" s="73"/>
      <c r="HP1178" s="73"/>
      <c r="HQ1178" s="73"/>
      <c r="HR1178" s="73"/>
      <c r="HS1178" s="73"/>
      <c r="HT1178" s="73"/>
      <c r="HU1178" s="73"/>
      <c r="HV1178" s="73"/>
      <c r="HW1178" s="73"/>
      <c r="HX1178" s="73"/>
      <c r="HY1178" s="73"/>
      <c r="HZ1178" s="73"/>
      <c r="IA1178" s="73"/>
      <c r="IB1178" s="73"/>
      <c r="IC1178" s="73"/>
      <c r="ID1178" s="73"/>
      <c r="IE1178" s="73"/>
      <c r="IF1178" s="73"/>
      <c r="IG1178" s="73"/>
      <c r="IH1178" s="73"/>
      <c r="II1178" s="73"/>
      <c r="IJ1178" s="73"/>
      <c r="IK1178" s="73"/>
      <c r="IL1178" s="73"/>
      <c r="IM1178" s="73"/>
      <c r="IN1178" s="73"/>
      <c r="IO1178" s="73"/>
      <c r="IP1178" s="73"/>
      <c r="IQ1178" s="73"/>
      <c r="IR1178" s="73"/>
      <c r="IS1178" s="73"/>
      <c r="IT1178" s="73"/>
      <c r="IU1178" s="73"/>
      <c r="IV1178" s="73"/>
      <c r="IW1178" s="73"/>
      <c r="IX1178" s="73"/>
      <c r="IY1178" s="73"/>
      <c r="IZ1178" s="73"/>
      <c r="JA1178" s="73"/>
      <c r="JB1178" s="73"/>
      <c r="JC1178" s="73"/>
    </row>
    <row r="1179" spans="2:263" s="72" customFormat="1">
      <c r="B1179" s="73"/>
      <c r="C1179" s="73"/>
      <c r="D1179" s="73"/>
      <c r="E1179" s="73"/>
      <c r="F1179" s="73"/>
      <c r="G1179" s="73"/>
      <c r="H1179" s="73"/>
      <c r="I1179" s="73"/>
      <c r="J1179" s="73"/>
      <c r="K1179" s="73"/>
      <c r="L1179" s="73"/>
      <c r="M1179" s="73"/>
      <c r="N1179" s="73"/>
      <c r="O1179" s="73"/>
      <c r="P1179" s="73"/>
      <c r="Q1179" s="73"/>
      <c r="R1179" s="73"/>
      <c r="S1179" s="73"/>
      <c r="T1179" s="73"/>
      <c r="U1179" s="73"/>
      <c r="V1179" s="73"/>
      <c r="W1179" s="73"/>
      <c r="GL1179" s="73"/>
      <c r="GM1179" s="73"/>
      <c r="GN1179" s="73"/>
      <c r="GO1179" s="73"/>
      <c r="GP1179" s="73"/>
      <c r="GQ1179" s="73"/>
      <c r="GR1179" s="73"/>
      <c r="GS1179" s="73"/>
      <c r="GT1179" s="73"/>
      <c r="GU1179" s="73"/>
      <c r="GV1179" s="73"/>
      <c r="GW1179" s="73"/>
      <c r="GX1179" s="73"/>
      <c r="GY1179" s="73"/>
      <c r="GZ1179" s="73"/>
      <c r="HA1179" s="73"/>
      <c r="HB1179" s="73"/>
      <c r="HC1179" s="73"/>
      <c r="HD1179" s="73"/>
      <c r="HE1179" s="73"/>
      <c r="HF1179" s="73"/>
      <c r="HG1179" s="73"/>
      <c r="HH1179" s="73"/>
      <c r="HI1179" s="73"/>
      <c r="HJ1179" s="73"/>
      <c r="HK1179" s="73"/>
      <c r="HL1179" s="73"/>
      <c r="HM1179" s="73"/>
      <c r="HN1179" s="73"/>
      <c r="HO1179" s="73"/>
      <c r="HP1179" s="73"/>
      <c r="HQ1179" s="73"/>
      <c r="HR1179" s="73"/>
      <c r="HS1179" s="73"/>
      <c r="HT1179" s="73"/>
      <c r="HU1179" s="73"/>
      <c r="HV1179" s="73"/>
      <c r="HW1179" s="73"/>
      <c r="HX1179" s="73"/>
      <c r="HY1179" s="73"/>
      <c r="HZ1179" s="73"/>
      <c r="IA1179" s="73"/>
      <c r="IB1179" s="73"/>
      <c r="IC1179" s="73"/>
      <c r="ID1179" s="73"/>
      <c r="IE1179" s="73"/>
      <c r="IF1179" s="73"/>
      <c r="IG1179" s="73"/>
      <c r="IH1179" s="73"/>
      <c r="II1179" s="73"/>
      <c r="IJ1179" s="73"/>
      <c r="IK1179" s="73"/>
      <c r="IL1179" s="73"/>
      <c r="IM1179" s="73"/>
      <c r="IN1179" s="73"/>
      <c r="IO1179" s="73"/>
      <c r="IP1179" s="73"/>
      <c r="IQ1179" s="73"/>
      <c r="IR1179" s="73"/>
      <c r="IS1179" s="73"/>
      <c r="IT1179" s="73"/>
      <c r="IU1179" s="73"/>
      <c r="IV1179" s="73"/>
      <c r="IW1179" s="73"/>
      <c r="IX1179" s="73"/>
      <c r="IY1179" s="73"/>
      <c r="IZ1179" s="73"/>
      <c r="JA1179" s="73"/>
      <c r="JB1179" s="73"/>
      <c r="JC1179" s="73"/>
    </row>
    <row r="1180" spans="2:263" s="72" customFormat="1">
      <c r="B1180" s="73"/>
      <c r="C1180" s="73"/>
      <c r="D1180" s="73"/>
      <c r="E1180" s="73"/>
      <c r="F1180" s="73"/>
      <c r="G1180" s="73"/>
      <c r="H1180" s="73"/>
      <c r="I1180" s="73"/>
      <c r="J1180" s="73"/>
      <c r="K1180" s="73"/>
      <c r="L1180" s="73"/>
      <c r="M1180" s="73"/>
      <c r="N1180" s="73"/>
      <c r="O1180" s="73"/>
      <c r="P1180" s="73"/>
      <c r="Q1180" s="73"/>
      <c r="R1180" s="73"/>
      <c r="S1180" s="73"/>
      <c r="T1180" s="73"/>
      <c r="U1180" s="73"/>
      <c r="V1180" s="73"/>
      <c r="W1180" s="73"/>
      <c r="GL1180" s="73"/>
      <c r="GM1180" s="73"/>
      <c r="GN1180" s="73"/>
      <c r="GO1180" s="73"/>
      <c r="GP1180" s="73"/>
      <c r="GQ1180" s="73"/>
      <c r="GR1180" s="73"/>
      <c r="GS1180" s="73"/>
      <c r="GT1180" s="73"/>
      <c r="GU1180" s="73"/>
      <c r="GV1180" s="73"/>
      <c r="GW1180" s="73"/>
      <c r="GX1180" s="73"/>
      <c r="GY1180" s="73"/>
      <c r="GZ1180" s="73"/>
      <c r="HA1180" s="73"/>
      <c r="HB1180" s="73"/>
      <c r="HC1180" s="73"/>
      <c r="HD1180" s="73"/>
      <c r="HE1180" s="73"/>
      <c r="HF1180" s="73"/>
      <c r="HG1180" s="73"/>
      <c r="HH1180" s="73"/>
      <c r="HI1180" s="73"/>
      <c r="HJ1180" s="73"/>
      <c r="HK1180" s="73"/>
      <c r="HL1180" s="73"/>
      <c r="HM1180" s="73"/>
      <c r="HN1180" s="73"/>
      <c r="HO1180" s="73"/>
      <c r="HP1180" s="73"/>
      <c r="HQ1180" s="73"/>
      <c r="HR1180" s="73"/>
      <c r="HS1180" s="73"/>
      <c r="HT1180" s="73"/>
      <c r="HU1180" s="73"/>
      <c r="HV1180" s="73"/>
      <c r="HW1180" s="73"/>
      <c r="HX1180" s="73"/>
      <c r="HY1180" s="73"/>
      <c r="HZ1180" s="73"/>
      <c r="IA1180" s="73"/>
      <c r="IB1180" s="73"/>
      <c r="IC1180" s="73"/>
      <c r="ID1180" s="73"/>
      <c r="IE1180" s="73"/>
      <c r="IF1180" s="73"/>
      <c r="IG1180" s="73"/>
      <c r="IH1180" s="73"/>
      <c r="II1180" s="73"/>
      <c r="IJ1180" s="73"/>
      <c r="IK1180" s="73"/>
      <c r="IL1180" s="73"/>
      <c r="IM1180" s="73"/>
      <c r="IN1180" s="73"/>
      <c r="IO1180" s="73"/>
      <c r="IP1180" s="73"/>
      <c r="IQ1180" s="73"/>
      <c r="IR1180" s="73"/>
      <c r="IS1180" s="73"/>
      <c r="IT1180" s="73"/>
      <c r="IU1180" s="73"/>
      <c r="IV1180" s="73"/>
      <c r="IW1180" s="73"/>
      <c r="IX1180" s="73"/>
      <c r="IY1180" s="73"/>
      <c r="IZ1180" s="73"/>
      <c r="JA1180" s="73"/>
      <c r="JB1180" s="73"/>
      <c r="JC1180" s="73"/>
    </row>
    <row r="1181" spans="2:263" s="72" customFormat="1">
      <c r="B1181" s="73"/>
      <c r="C1181" s="73"/>
      <c r="D1181" s="73"/>
      <c r="E1181" s="73"/>
      <c r="F1181" s="73"/>
      <c r="G1181" s="73"/>
      <c r="H1181" s="73"/>
      <c r="I1181" s="73"/>
      <c r="J1181" s="73"/>
      <c r="K1181" s="73"/>
      <c r="L1181" s="73"/>
      <c r="M1181" s="73"/>
      <c r="N1181" s="73"/>
      <c r="O1181" s="73"/>
      <c r="P1181" s="73"/>
      <c r="Q1181" s="73"/>
      <c r="R1181" s="73"/>
      <c r="S1181" s="73"/>
      <c r="T1181" s="73"/>
      <c r="U1181" s="73"/>
      <c r="V1181" s="73"/>
      <c r="W1181" s="73"/>
      <c r="GL1181" s="73"/>
      <c r="GM1181" s="73"/>
      <c r="GN1181" s="73"/>
      <c r="GO1181" s="73"/>
      <c r="GP1181" s="73"/>
      <c r="GQ1181" s="73"/>
      <c r="GR1181" s="73"/>
      <c r="GS1181" s="73"/>
      <c r="GT1181" s="73"/>
      <c r="GU1181" s="73"/>
      <c r="GV1181" s="73"/>
      <c r="GW1181" s="73"/>
      <c r="GX1181" s="73"/>
      <c r="GY1181" s="73"/>
      <c r="GZ1181" s="73"/>
      <c r="HA1181" s="73"/>
      <c r="HB1181" s="73"/>
      <c r="HC1181" s="73"/>
      <c r="HD1181" s="73"/>
      <c r="HE1181" s="73"/>
      <c r="HF1181" s="73"/>
      <c r="HG1181" s="73"/>
      <c r="HH1181" s="73"/>
      <c r="HI1181" s="73"/>
      <c r="HJ1181" s="73"/>
      <c r="HK1181" s="73"/>
      <c r="HL1181" s="73"/>
      <c r="HM1181" s="73"/>
      <c r="HN1181" s="73"/>
      <c r="HO1181" s="73"/>
      <c r="HP1181" s="73"/>
      <c r="HQ1181" s="73"/>
      <c r="HR1181" s="73"/>
      <c r="HS1181" s="73"/>
      <c r="HT1181" s="73"/>
      <c r="HU1181" s="73"/>
      <c r="HV1181" s="73"/>
      <c r="HW1181" s="73"/>
      <c r="HX1181" s="73"/>
      <c r="HY1181" s="73"/>
      <c r="HZ1181" s="73"/>
      <c r="IA1181" s="73"/>
      <c r="IB1181" s="73"/>
      <c r="IC1181" s="73"/>
      <c r="ID1181" s="73"/>
      <c r="IE1181" s="73"/>
      <c r="IF1181" s="73"/>
      <c r="IG1181" s="73"/>
      <c r="IH1181" s="73"/>
      <c r="II1181" s="73"/>
      <c r="IJ1181" s="73"/>
      <c r="IK1181" s="73"/>
      <c r="IL1181" s="73"/>
      <c r="IM1181" s="73"/>
      <c r="IN1181" s="73"/>
      <c r="IO1181" s="73"/>
      <c r="IP1181" s="73"/>
      <c r="IQ1181" s="73"/>
      <c r="IR1181" s="73"/>
      <c r="IS1181" s="73"/>
      <c r="IT1181" s="73"/>
      <c r="IU1181" s="73"/>
      <c r="IV1181" s="73"/>
      <c r="IW1181" s="73"/>
      <c r="IX1181" s="73"/>
      <c r="IY1181" s="73"/>
      <c r="IZ1181" s="73"/>
      <c r="JA1181" s="73"/>
      <c r="JB1181" s="73"/>
      <c r="JC1181" s="73"/>
    </row>
    <row r="1182" spans="2:263" s="72" customFormat="1">
      <c r="B1182" s="73"/>
      <c r="C1182" s="73"/>
      <c r="D1182" s="73"/>
      <c r="E1182" s="73"/>
      <c r="F1182" s="73"/>
      <c r="G1182" s="73"/>
      <c r="H1182" s="73"/>
      <c r="I1182" s="73"/>
      <c r="J1182" s="73"/>
      <c r="K1182" s="73"/>
      <c r="L1182" s="73"/>
      <c r="M1182" s="73"/>
      <c r="N1182" s="73"/>
      <c r="O1182" s="73"/>
      <c r="P1182" s="73"/>
      <c r="Q1182" s="73"/>
      <c r="R1182" s="73"/>
      <c r="S1182" s="73"/>
      <c r="T1182" s="73"/>
      <c r="U1182" s="73"/>
      <c r="V1182" s="73"/>
      <c r="W1182" s="73"/>
      <c r="GL1182" s="73"/>
      <c r="GM1182" s="73"/>
      <c r="GN1182" s="73"/>
      <c r="GO1182" s="73"/>
      <c r="GP1182" s="73"/>
      <c r="GQ1182" s="73"/>
      <c r="GR1182" s="73"/>
      <c r="GS1182" s="73"/>
      <c r="GT1182" s="73"/>
      <c r="GU1182" s="73"/>
      <c r="GV1182" s="73"/>
      <c r="GW1182" s="73"/>
      <c r="GX1182" s="73"/>
      <c r="GY1182" s="73"/>
      <c r="GZ1182" s="73"/>
      <c r="HA1182" s="73"/>
      <c r="HB1182" s="73"/>
      <c r="HC1182" s="73"/>
      <c r="HD1182" s="73"/>
      <c r="HE1182" s="73"/>
      <c r="HF1182" s="73"/>
      <c r="HG1182" s="73"/>
      <c r="HH1182" s="73"/>
      <c r="HI1182" s="73"/>
      <c r="HJ1182" s="73"/>
      <c r="HK1182" s="73"/>
      <c r="HL1182" s="73"/>
      <c r="HM1182" s="73"/>
      <c r="HN1182" s="73"/>
      <c r="HO1182" s="73"/>
      <c r="HP1182" s="73"/>
      <c r="HQ1182" s="73"/>
      <c r="HR1182" s="73"/>
      <c r="HS1182" s="73"/>
      <c r="HT1182" s="73"/>
      <c r="HU1182" s="73"/>
      <c r="HV1182" s="73"/>
      <c r="HW1182" s="73"/>
      <c r="HX1182" s="73"/>
      <c r="HY1182" s="73"/>
      <c r="HZ1182" s="73"/>
      <c r="IA1182" s="73"/>
      <c r="IB1182" s="73"/>
      <c r="IC1182" s="73"/>
      <c r="ID1182" s="73"/>
      <c r="IE1182" s="73"/>
      <c r="IF1182" s="73"/>
      <c r="IG1182" s="73"/>
      <c r="IH1182" s="73"/>
      <c r="II1182" s="73"/>
      <c r="IJ1182" s="73"/>
      <c r="IK1182" s="73"/>
      <c r="IL1182" s="73"/>
      <c r="IM1182" s="73"/>
      <c r="IN1182" s="73"/>
      <c r="IO1182" s="73"/>
      <c r="IP1182" s="73"/>
      <c r="IQ1182" s="73"/>
      <c r="IR1182" s="73"/>
      <c r="IS1182" s="73"/>
      <c r="IT1182" s="73"/>
      <c r="IU1182" s="73"/>
      <c r="IV1182" s="73"/>
      <c r="IW1182" s="73"/>
      <c r="IX1182" s="73"/>
      <c r="IY1182" s="73"/>
      <c r="IZ1182" s="73"/>
      <c r="JA1182" s="73"/>
      <c r="JB1182" s="73"/>
      <c r="JC1182" s="73"/>
    </row>
    <row r="1183" spans="2:263" s="72" customFormat="1">
      <c r="B1183" s="73"/>
      <c r="C1183" s="73"/>
      <c r="D1183" s="73"/>
      <c r="E1183" s="73"/>
      <c r="F1183" s="73"/>
      <c r="G1183" s="73"/>
      <c r="H1183" s="73"/>
      <c r="I1183" s="73"/>
      <c r="J1183" s="73"/>
      <c r="K1183" s="73"/>
      <c r="L1183" s="73"/>
      <c r="M1183" s="73"/>
      <c r="N1183" s="73"/>
      <c r="O1183" s="73"/>
      <c r="P1183" s="73"/>
      <c r="Q1183" s="73"/>
      <c r="R1183" s="73"/>
      <c r="S1183" s="73"/>
      <c r="T1183" s="73"/>
      <c r="U1183" s="73"/>
      <c r="V1183" s="73"/>
      <c r="W1183" s="73"/>
      <c r="GL1183" s="73"/>
      <c r="GM1183" s="73"/>
      <c r="GN1183" s="73"/>
      <c r="GO1183" s="73"/>
      <c r="GP1183" s="73"/>
      <c r="GQ1183" s="73"/>
      <c r="GR1183" s="73"/>
      <c r="GS1183" s="73"/>
      <c r="GT1183" s="73"/>
      <c r="GU1183" s="73"/>
      <c r="GV1183" s="73"/>
      <c r="GW1183" s="73"/>
      <c r="GX1183" s="73"/>
      <c r="GY1183" s="73"/>
      <c r="GZ1183" s="73"/>
      <c r="HA1183" s="73"/>
      <c r="HB1183" s="73"/>
      <c r="HC1183" s="73"/>
      <c r="HD1183" s="73"/>
      <c r="HE1183" s="73"/>
      <c r="HF1183" s="73"/>
      <c r="HG1183" s="73"/>
      <c r="HH1183" s="73"/>
      <c r="HI1183" s="73"/>
      <c r="HJ1183" s="73"/>
      <c r="HK1183" s="73"/>
      <c r="HL1183" s="73"/>
      <c r="HM1183" s="73"/>
      <c r="HN1183" s="73"/>
      <c r="HO1183" s="73"/>
      <c r="HP1183" s="73"/>
      <c r="HQ1183" s="73"/>
      <c r="HR1183" s="73"/>
      <c r="HS1183" s="73"/>
      <c r="HT1183" s="73"/>
      <c r="HU1183" s="73"/>
      <c r="HV1183" s="73"/>
      <c r="HW1183" s="73"/>
      <c r="HX1183" s="73"/>
      <c r="HY1183" s="73"/>
      <c r="HZ1183" s="73"/>
      <c r="IA1183" s="73"/>
      <c r="IB1183" s="73"/>
      <c r="IC1183" s="73"/>
      <c r="ID1183" s="73"/>
      <c r="IE1183" s="73"/>
      <c r="IF1183" s="73"/>
      <c r="IG1183" s="73"/>
      <c r="IH1183" s="73"/>
      <c r="II1183" s="73"/>
      <c r="IJ1183" s="73"/>
      <c r="IK1183" s="73"/>
      <c r="IL1183" s="73"/>
      <c r="IM1183" s="73"/>
      <c r="IN1183" s="73"/>
      <c r="IO1183" s="73"/>
      <c r="IP1183" s="73"/>
      <c r="IQ1183" s="73"/>
      <c r="IR1183" s="73"/>
      <c r="IS1183" s="73"/>
      <c r="IT1183" s="73"/>
      <c r="IU1183" s="73"/>
      <c r="IV1183" s="73"/>
      <c r="IW1183" s="73"/>
      <c r="IX1183" s="73"/>
      <c r="IY1183" s="73"/>
      <c r="IZ1183" s="73"/>
      <c r="JA1183" s="73"/>
      <c r="JB1183" s="73"/>
      <c r="JC1183" s="73"/>
    </row>
    <row r="1184" spans="2:263" s="72" customFormat="1">
      <c r="B1184" s="73"/>
      <c r="C1184" s="73"/>
      <c r="D1184" s="73"/>
      <c r="E1184" s="73"/>
      <c r="F1184" s="73"/>
      <c r="G1184" s="73"/>
      <c r="H1184" s="73"/>
      <c r="I1184" s="73"/>
      <c r="J1184" s="73"/>
      <c r="K1184" s="73"/>
      <c r="L1184" s="73"/>
      <c r="M1184" s="73"/>
      <c r="N1184" s="73"/>
      <c r="O1184" s="73"/>
      <c r="P1184" s="73"/>
      <c r="Q1184" s="73"/>
      <c r="R1184" s="73"/>
      <c r="S1184" s="73"/>
      <c r="T1184" s="73"/>
      <c r="U1184" s="73"/>
      <c r="V1184" s="73"/>
      <c r="W1184" s="73"/>
      <c r="GL1184" s="73"/>
      <c r="GM1184" s="73"/>
      <c r="GN1184" s="73"/>
      <c r="GO1184" s="73"/>
      <c r="GP1184" s="73"/>
      <c r="GQ1184" s="73"/>
      <c r="GR1184" s="73"/>
      <c r="GS1184" s="73"/>
      <c r="GT1184" s="73"/>
      <c r="GU1184" s="73"/>
      <c r="GV1184" s="73"/>
      <c r="GW1184" s="73"/>
      <c r="GX1184" s="73"/>
      <c r="GY1184" s="73"/>
      <c r="GZ1184" s="73"/>
      <c r="HA1184" s="73"/>
      <c r="HB1184" s="73"/>
      <c r="HC1184" s="73"/>
      <c r="HD1184" s="73"/>
      <c r="HE1184" s="73"/>
      <c r="HF1184" s="73"/>
      <c r="HG1184" s="73"/>
      <c r="HH1184" s="73"/>
      <c r="HI1184" s="73"/>
      <c r="HJ1184" s="73"/>
      <c r="HK1184" s="73"/>
      <c r="HL1184" s="73"/>
      <c r="HM1184" s="73"/>
      <c r="HN1184" s="73"/>
      <c r="HO1184" s="73"/>
      <c r="HP1184" s="73"/>
      <c r="HQ1184" s="73"/>
      <c r="HR1184" s="73"/>
      <c r="HS1184" s="73"/>
      <c r="HT1184" s="73"/>
      <c r="HU1184" s="73"/>
      <c r="HV1184" s="73"/>
      <c r="HW1184" s="73"/>
      <c r="HX1184" s="73"/>
      <c r="HY1184" s="73"/>
      <c r="HZ1184" s="73"/>
      <c r="IA1184" s="73"/>
      <c r="IB1184" s="73"/>
      <c r="IC1184" s="73"/>
      <c r="ID1184" s="73"/>
      <c r="IE1184" s="73"/>
      <c r="IF1184" s="73"/>
      <c r="IG1184" s="73"/>
      <c r="IH1184" s="73"/>
      <c r="II1184" s="73"/>
      <c r="IJ1184" s="73"/>
      <c r="IK1184" s="73"/>
      <c r="IL1184" s="73"/>
      <c r="IM1184" s="73"/>
      <c r="IN1184" s="73"/>
      <c r="IO1184" s="73"/>
      <c r="IP1184" s="73"/>
      <c r="IQ1184" s="73"/>
      <c r="IR1184" s="73"/>
      <c r="IS1184" s="73"/>
      <c r="IT1184" s="73"/>
      <c r="IU1184" s="73"/>
      <c r="IV1184" s="73"/>
      <c r="IW1184" s="73"/>
      <c r="IX1184" s="73"/>
      <c r="IY1184" s="73"/>
      <c r="IZ1184" s="73"/>
      <c r="JA1184" s="73"/>
      <c r="JB1184" s="73"/>
      <c r="JC1184" s="73"/>
    </row>
    <row r="1185" spans="2:263" s="72" customFormat="1">
      <c r="B1185" s="73"/>
      <c r="C1185" s="73"/>
      <c r="D1185" s="73"/>
      <c r="E1185" s="73"/>
      <c r="F1185" s="73"/>
      <c r="G1185" s="73"/>
      <c r="H1185" s="73"/>
      <c r="I1185" s="73"/>
      <c r="J1185" s="73"/>
      <c r="K1185" s="73"/>
      <c r="L1185" s="73"/>
      <c r="M1185" s="73"/>
      <c r="N1185" s="73"/>
      <c r="O1185" s="73"/>
      <c r="P1185" s="73"/>
      <c r="Q1185" s="73"/>
      <c r="R1185" s="73"/>
      <c r="S1185" s="73"/>
      <c r="T1185" s="73"/>
      <c r="U1185" s="73"/>
      <c r="V1185" s="73"/>
      <c r="W1185" s="73"/>
      <c r="GL1185" s="73"/>
      <c r="GM1185" s="73"/>
      <c r="GN1185" s="73"/>
      <c r="GO1185" s="73"/>
      <c r="GP1185" s="73"/>
      <c r="GQ1185" s="73"/>
      <c r="GR1185" s="73"/>
      <c r="GS1185" s="73"/>
      <c r="GT1185" s="73"/>
      <c r="GU1185" s="73"/>
      <c r="GV1185" s="73"/>
      <c r="GW1185" s="73"/>
      <c r="GX1185" s="73"/>
      <c r="GY1185" s="73"/>
      <c r="GZ1185" s="73"/>
      <c r="HA1185" s="73"/>
      <c r="HB1185" s="73"/>
      <c r="HC1185" s="73"/>
      <c r="HD1185" s="73"/>
      <c r="HE1185" s="73"/>
      <c r="HF1185" s="73"/>
      <c r="HG1185" s="73"/>
      <c r="HH1185" s="73"/>
      <c r="HI1185" s="73"/>
      <c r="HJ1185" s="73"/>
      <c r="HK1185" s="73"/>
      <c r="HL1185" s="73"/>
      <c r="HM1185" s="73"/>
      <c r="HN1185" s="73"/>
      <c r="HO1185" s="73"/>
      <c r="HP1185" s="73"/>
      <c r="HQ1185" s="73"/>
      <c r="HR1185" s="73"/>
      <c r="HS1185" s="73"/>
      <c r="HT1185" s="73"/>
      <c r="HU1185" s="73"/>
      <c r="HV1185" s="73"/>
      <c r="HW1185" s="73"/>
      <c r="HX1185" s="73"/>
      <c r="HY1185" s="73"/>
      <c r="HZ1185" s="73"/>
      <c r="IA1185" s="73"/>
      <c r="IB1185" s="73"/>
      <c r="IC1185" s="73"/>
      <c r="ID1185" s="73"/>
      <c r="IE1185" s="73"/>
      <c r="IF1185" s="73"/>
      <c r="IG1185" s="73"/>
      <c r="IH1185" s="73"/>
      <c r="II1185" s="73"/>
      <c r="IJ1185" s="73"/>
      <c r="IK1185" s="73"/>
      <c r="IL1185" s="73"/>
      <c r="IM1185" s="73"/>
      <c r="IN1185" s="73"/>
      <c r="IO1185" s="73"/>
      <c r="IP1185" s="73"/>
      <c r="IQ1185" s="73"/>
      <c r="IR1185" s="73"/>
      <c r="IS1185" s="73"/>
      <c r="IT1185" s="73"/>
      <c r="IU1185" s="73"/>
      <c r="IV1185" s="73"/>
      <c r="IW1185" s="73"/>
      <c r="IX1185" s="73"/>
      <c r="IY1185" s="73"/>
      <c r="IZ1185" s="73"/>
      <c r="JA1185" s="73"/>
      <c r="JB1185" s="73"/>
      <c r="JC1185" s="73"/>
    </row>
    <row r="1186" spans="2:263" s="72" customFormat="1">
      <c r="B1186" s="73"/>
      <c r="C1186" s="73"/>
      <c r="D1186" s="73"/>
      <c r="E1186" s="73"/>
      <c r="F1186" s="73"/>
      <c r="G1186" s="73"/>
      <c r="H1186" s="73"/>
      <c r="I1186" s="73"/>
      <c r="J1186" s="73"/>
      <c r="K1186" s="73"/>
      <c r="L1186" s="73"/>
      <c r="M1186" s="73"/>
      <c r="N1186" s="73"/>
      <c r="O1186" s="73"/>
      <c r="P1186" s="73"/>
      <c r="Q1186" s="73"/>
      <c r="R1186" s="73"/>
      <c r="S1186" s="73"/>
      <c r="T1186" s="73"/>
      <c r="U1186" s="73"/>
      <c r="V1186" s="73"/>
      <c r="W1186" s="73"/>
      <c r="GL1186" s="73"/>
      <c r="GM1186" s="73"/>
      <c r="GN1186" s="73"/>
      <c r="GO1186" s="73"/>
      <c r="GP1186" s="73"/>
      <c r="GQ1186" s="73"/>
      <c r="GR1186" s="73"/>
      <c r="GS1186" s="73"/>
      <c r="GT1186" s="73"/>
      <c r="GU1186" s="73"/>
      <c r="GV1186" s="73"/>
      <c r="GW1186" s="73"/>
      <c r="GX1186" s="73"/>
      <c r="GY1186" s="73"/>
      <c r="GZ1186" s="73"/>
      <c r="HA1186" s="73"/>
      <c r="HB1186" s="73"/>
      <c r="HC1186" s="73"/>
      <c r="HD1186" s="73"/>
      <c r="HE1186" s="73"/>
      <c r="HF1186" s="73"/>
      <c r="HG1186" s="73"/>
      <c r="HH1186" s="73"/>
      <c r="HI1186" s="73"/>
      <c r="HJ1186" s="73"/>
      <c r="HK1186" s="73"/>
      <c r="HL1186" s="73"/>
      <c r="HM1186" s="73"/>
      <c r="HN1186" s="73"/>
      <c r="HO1186" s="73"/>
      <c r="HP1186" s="73"/>
      <c r="HQ1186" s="73"/>
      <c r="HR1186" s="73"/>
      <c r="HS1186" s="73"/>
      <c r="HT1186" s="73"/>
      <c r="HU1186" s="73"/>
      <c r="HV1186" s="73"/>
      <c r="HW1186" s="73"/>
      <c r="HX1186" s="73"/>
      <c r="HY1186" s="73"/>
      <c r="HZ1186" s="73"/>
      <c r="IA1186" s="73"/>
      <c r="IB1186" s="73"/>
      <c r="IC1186" s="73"/>
      <c r="ID1186" s="73"/>
      <c r="IE1186" s="73"/>
      <c r="IF1186" s="73"/>
      <c r="IG1186" s="73"/>
      <c r="IH1186" s="73"/>
      <c r="II1186" s="73"/>
      <c r="IJ1186" s="73"/>
      <c r="IK1186" s="73"/>
      <c r="IL1186" s="73"/>
      <c r="IM1186" s="73"/>
      <c r="IN1186" s="73"/>
      <c r="IO1186" s="73"/>
      <c r="IP1186" s="73"/>
      <c r="IQ1186" s="73"/>
      <c r="IR1186" s="73"/>
      <c r="IS1186" s="73"/>
      <c r="IT1186" s="73"/>
      <c r="IU1186" s="73"/>
      <c r="IV1186" s="73"/>
      <c r="IW1186" s="73"/>
      <c r="IX1186" s="73"/>
      <c r="IY1186" s="73"/>
      <c r="IZ1186" s="73"/>
      <c r="JA1186" s="73"/>
      <c r="JB1186" s="73"/>
      <c r="JC1186" s="73"/>
    </row>
    <row r="1187" spans="2:263" s="72" customFormat="1">
      <c r="B1187" s="73"/>
      <c r="C1187" s="73"/>
      <c r="D1187" s="73"/>
      <c r="E1187" s="73"/>
      <c r="F1187" s="73"/>
      <c r="G1187" s="73"/>
      <c r="H1187" s="73"/>
      <c r="I1187" s="73"/>
      <c r="J1187" s="73"/>
      <c r="K1187" s="73"/>
      <c r="L1187" s="73"/>
      <c r="M1187" s="73"/>
      <c r="N1187" s="73"/>
      <c r="O1187" s="73"/>
      <c r="P1187" s="73"/>
      <c r="Q1187" s="73"/>
      <c r="R1187" s="73"/>
      <c r="S1187" s="73"/>
      <c r="T1187" s="73"/>
      <c r="U1187" s="73"/>
      <c r="V1187" s="73"/>
      <c r="W1187" s="73"/>
      <c r="GL1187" s="73"/>
      <c r="GM1187" s="73"/>
      <c r="GN1187" s="73"/>
      <c r="GO1187" s="73"/>
      <c r="GP1187" s="73"/>
      <c r="GQ1187" s="73"/>
      <c r="GR1187" s="73"/>
      <c r="GS1187" s="73"/>
      <c r="GT1187" s="73"/>
      <c r="GU1187" s="73"/>
      <c r="GV1187" s="73"/>
      <c r="GW1187" s="73"/>
      <c r="GX1187" s="73"/>
      <c r="GY1187" s="73"/>
      <c r="GZ1187" s="73"/>
      <c r="HA1187" s="73"/>
      <c r="HB1187" s="73"/>
      <c r="HC1187" s="73"/>
      <c r="HD1187" s="73"/>
      <c r="HE1187" s="73"/>
      <c r="HF1187" s="73"/>
      <c r="HG1187" s="73"/>
      <c r="HH1187" s="73"/>
      <c r="HI1187" s="73"/>
      <c r="HJ1187" s="73"/>
      <c r="HK1187" s="73"/>
      <c r="HL1187" s="73"/>
      <c r="HM1187" s="73"/>
      <c r="HN1187" s="73"/>
      <c r="HO1187" s="73"/>
      <c r="HP1187" s="73"/>
      <c r="HQ1187" s="73"/>
      <c r="HR1187" s="73"/>
      <c r="HS1187" s="73"/>
      <c r="HT1187" s="73"/>
      <c r="HU1187" s="73"/>
      <c r="HV1187" s="73"/>
      <c r="HW1187" s="73"/>
      <c r="HX1187" s="73"/>
      <c r="HY1187" s="73"/>
      <c r="HZ1187" s="73"/>
      <c r="IA1187" s="73"/>
      <c r="IB1187" s="73"/>
      <c r="IC1187" s="73"/>
      <c r="ID1187" s="73"/>
      <c r="IE1187" s="73"/>
      <c r="IF1187" s="73"/>
      <c r="IG1187" s="73"/>
      <c r="IH1187" s="73"/>
      <c r="II1187" s="73"/>
      <c r="IJ1187" s="73"/>
      <c r="IK1187" s="73"/>
      <c r="IL1187" s="73"/>
      <c r="IM1187" s="73"/>
      <c r="IN1187" s="73"/>
      <c r="IO1187" s="73"/>
      <c r="IP1187" s="73"/>
      <c r="IQ1187" s="73"/>
      <c r="IR1187" s="73"/>
      <c r="IS1187" s="73"/>
      <c r="IT1187" s="73"/>
      <c r="IU1187" s="73"/>
      <c r="IV1187" s="73"/>
      <c r="IW1187" s="73"/>
      <c r="IX1187" s="73"/>
      <c r="IY1187" s="73"/>
      <c r="IZ1187" s="73"/>
      <c r="JA1187" s="73"/>
      <c r="JB1187" s="73"/>
      <c r="JC1187" s="73"/>
    </row>
    <row r="1188" spans="2:263" s="72" customFormat="1">
      <c r="B1188" s="73"/>
      <c r="C1188" s="73"/>
      <c r="D1188" s="73"/>
      <c r="E1188" s="73"/>
      <c r="F1188" s="73"/>
      <c r="G1188" s="73"/>
      <c r="H1188" s="73"/>
      <c r="I1188" s="73"/>
      <c r="J1188" s="73"/>
      <c r="K1188" s="73"/>
      <c r="L1188" s="73"/>
      <c r="M1188" s="73"/>
      <c r="N1188" s="73"/>
      <c r="O1188" s="73"/>
      <c r="P1188" s="73"/>
      <c r="Q1188" s="73"/>
      <c r="R1188" s="73"/>
      <c r="S1188" s="73"/>
      <c r="T1188" s="73"/>
      <c r="U1188" s="73"/>
      <c r="V1188" s="73"/>
      <c r="W1188" s="73"/>
      <c r="GL1188" s="73"/>
      <c r="GM1188" s="73"/>
      <c r="GN1188" s="73"/>
      <c r="GO1188" s="73"/>
      <c r="GP1188" s="73"/>
      <c r="GQ1188" s="73"/>
      <c r="GR1188" s="73"/>
      <c r="GS1188" s="73"/>
      <c r="GT1188" s="73"/>
      <c r="GU1188" s="73"/>
      <c r="GV1188" s="73"/>
      <c r="GW1188" s="73"/>
      <c r="GX1188" s="73"/>
      <c r="GY1188" s="73"/>
      <c r="GZ1188" s="73"/>
      <c r="HA1188" s="73"/>
      <c r="HB1188" s="73"/>
      <c r="HC1188" s="73"/>
      <c r="HD1188" s="73"/>
      <c r="HE1188" s="73"/>
      <c r="HF1188" s="73"/>
      <c r="HG1188" s="73"/>
      <c r="HH1188" s="73"/>
      <c r="HI1188" s="73"/>
      <c r="HJ1188" s="73"/>
      <c r="HK1188" s="73"/>
      <c r="HL1188" s="73"/>
      <c r="HM1188" s="73"/>
      <c r="HN1188" s="73"/>
      <c r="HO1188" s="73"/>
      <c r="HP1188" s="73"/>
      <c r="HQ1188" s="73"/>
      <c r="HR1188" s="73"/>
      <c r="HS1188" s="73"/>
      <c r="HT1188" s="73"/>
      <c r="HU1188" s="73"/>
      <c r="HV1188" s="73"/>
      <c r="HW1188" s="73"/>
      <c r="HX1188" s="73"/>
      <c r="HY1188" s="73"/>
      <c r="HZ1188" s="73"/>
      <c r="IA1188" s="73"/>
      <c r="IB1188" s="73"/>
      <c r="IC1188" s="73"/>
      <c r="ID1188" s="73"/>
      <c r="IE1188" s="73"/>
      <c r="IF1188" s="73"/>
      <c r="IG1188" s="73"/>
      <c r="IH1188" s="73"/>
      <c r="II1188" s="73"/>
      <c r="IJ1188" s="73"/>
      <c r="IK1188" s="73"/>
      <c r="IL1188" s="73"/>
      <c r="IM1188" s="73"/>
      <c r="IN1188" s="73"/>
      <c r="IO1188" s="73"/>
      <c r="IP1188" s="73"/>
      <c r="IQ1188" s="73"/>
      <c r="IR1188" s="73"/>
      <c r="IS1188" s="73"/>
      <c r="IT1188" s="73"/>
      <c r="IU1188" s="73"/>
      <c r="IV1188" s="73"/>
      <c r="IW1188" s="73"/>
      <c r="IX1188" s="73"/>
      <c r="IY1188" s="73"/>
      <c r="IZ1188" s="73"/>
      <c r="JA1188" s="73"/>
      <c r="JB1188" s="73"/>
      <c r="JC1188" s="73"/>
    </row>
    <row r="1189" spans="2:263" s="72" customFormat="1">
      <c r="B1189" s="73"/>
      <c r="C1189" s="73"/>
      <c r="D1189" s="73"/>
      <c r="E1189" s="73"/>
      <c r="F1189" s="73"/>
      <c r="G1189" s="73"/>
      <c r="H1189" s="73"/>
      <c r="I1189" s="73"/>
      <c r="J1189" s="73"/>
      <c r="K1189" s="73"/>
      <c r="L1189" s="73"/>
      <c r="M1189" s="73"/>
      <c r="N1189" s="73"/>
      <c r="O1189" s="73"/>
      <c r="P1189" s="73"/>
      <c r="Q1189" s="73"/>
      <c r="R1189" s="73"/>
      <c r="S1189" s="73"/>
      <c r="T1189" s="73"/>
      <c r="U1189" s="73"/>
      <c r="V1189" s="73"/>
      <c r="W1189" s="73"/>
      <c r="GL1189" s="73"/>
      <c r="GM1189" s="73"/>
      <c r="GN1189" s="73"/>
      <c r="GO1189" s="73"/>
      <c r="GP1189" s="73"/>
      <c r="GQ1189" s="73"/>
      <c r="GR1189" s="73"/>
      <c r="GS1189" s="73"/>
      <c r="GT1189" s="73"/>
      <c r="GU1189" s="73"/>
      <c r="GV1189" s="73"/>
      <c r="GW1189" s="73"/>
      <c r="GX1189" s="73"/>
      <c r="GY1189" s="73"/>
      <c r="GZ1189" s="73"/>
      <c r="HA1189" s="73"/>
      <c r="HB1189" s="73"/>
      <c r="HC1189" s="73"/>
      <c r="HD1189" s="73"/>
      <c r="HE1189" s="73"/>
      <c r="HF1189" s="73"/>
      <c r="HG1189" s="73"/>
      <c r="HH1189" s="73"/>
      <c r="HI1189" s="73"/>
      <c r="HJ1189" s="73"/>
      <c r="HK1189" s="73"/>
      <c r="HL1189" s="73"/>
      <c r="HM1189" s="73"/>
      <c r="HN1189" s="73"/>
      <c r="HO1189" s="73"/>
      <c r="HP1189" s="73"/>
      <c r="HQ1189" s="73"/>
      <c r="HR1189" s="73"/>
      <c r="HS1189" s="73"/>
      <c r="HT1189" s="73"/>
      <c r="HU1189" s="73"/>
      <c r="HV1189" s="73"/>
      <c r="HW1189" s="73"/>
      <c r="HX1189" s="73"/>
      <c r="HY1189" s="73"/>
      <c r="HZ1189" s="73"/>
      <c r="IA1189" s="73"/>
      <c r="IB1189" s="73"/>
      <c r="IC1189" s="73"/>
      <c r="ID1189" s="73"/>
      <c r="IE1189" s="73"/>
      <c r="IF1189" s="73"/>
      <c r="IG1189" s="73"/>
      <c r="IH1189" s="73"/>
      <c r="II1189" s="73"/>
      <c r="IJ1189" s="73"/>
      <c r="IK1189" s="73"/>
      <c r="IL1189" s="73"/>
      <c r="IM1189" s="73"/>
      <c r="IN1189" s="73"/>
      <c r="IO1189" s="73"/>
      <c r="IP1189" s="73"/>
      <c r="IQ1189" s="73"/>
      <c r="IR1189" s="73"/>
      <c r="IS1189" s="73"/>
      <c r="IT1189" s="73"/>
      <c r="IU1189" s="73"/>
      <c r="IV1189" s="73"/>
      <c r="IW1189" s="73"/>
      <c r="IX1189" s="73"/>
      <c r="IY1189" s="73"/>
      <c r="IZ1189" s="73"/>
      <c r="JA1189" s="73"/>
      <c r="JB1189" s="73"/>
      <c r="JC1189" s="73"/>
    </row>
    <row r="1190" spans="2:263" s="72" customFormat="1">
      <c r="B1190" s="73"/>
      <c r="C1190" s="73"/>
      <c r="D1190" s="73"/>
      <c r="E1190" s="73"/>
      <c r="F1190" s="73"/>
      <c r="G1190" s="73"/>
      <c r="H1190" s="73"/>
      <c r="I1190" s="73"/>
      <c r="J1190" s="73"/>
      <c r="K1190" s="73"/>
      <c r="L1190" s="73"/>
      <c r="M1190" s="73"/>
      <c r="N1190" s="73"/>
      <c r="O1190" s="73"/>
      <c r="P1190" s="73"/>
      <c r="Q1190" s="73"/>
      <c r="R1190" s="73"/>
      <c r="S1190" s="73"/>
      <c r="T1190" s="73"/>
      <c r="U1190" s="73"/>
      <c r="V1190" s="73"/>
      <c r="W1190" s="73"/>
      <c r="GL1190" s="73"/>
      <c r="GM1190" s="73"/>
      <c r="GN1190" s="73"/>
      <c r="GO1190" s="73"/>
      <c r="GP1190" s="73"/>
      <c r="GQ1190" s="73"/>
      <c r="GR1190" s="73"/>
      <c r="GS1190" s="73"/>
      <c r="GT1190" s="73"/>
      <c r="GU1190" s="73"/>
      <c r="GV1190" s="73"/>
      <c r="GW1190" s="73"/>
      <c r="GX1190" s="73"/>
      <c r="GY1190" s="73"/>
      <c r="GZ1190" s="73"/>
      <c r="HA1190" s="73"/>
      <c r="HB1190" s="73"/>
      <c r="HC1190" s="73"/>
      <c r="HD1190" s="73"/>
      <c r="HE1190" s="73"/>
      <c r="HF1190" s="73"/>
      <c r="HG1190" s="73"/>
      <c r="HH1190" s="73"/>
      <c r="HI1190" s="73"/>
      <c r="HJ1190" s="73"/>
      <c r="HK1190" s="73"/>
      <c r="HL1190" s="73"/>
      <c r="HM1190" s="73"/>
      <c r="HN1190" s="73"/>
      <c r="HO1190" s="73"/>
      <c r="HP1190" s="73"/>
      <c r="HQ1190" s="73"/>
      <c r="HR1190" s="73"/>
      <c r="HS1190" s="73"/>
      <c r="HT1190" s="73"/>
      <c r="HU1190" s="73"/>
      <c r="HV1190" s="73"/>
      <c r="HW1190" s="73"/>
      <c r="HX1190" s="73"/>
      <c r="HY1190" s="73"/>
      <c r="HZ1190" s="73"/>
      <c r="IA1190" s="73"/>
      <c r="IB1190" s="73"/>
      <c r="IC1190" s="73"/>
      <c r="ID1190" s="73"/>
      <c r="IE1190" s="73"/>
      <c r="IF1190" s="73"/>
      <c r="IG1190" s="73"/>
      <c r="IH1190" s="73"/>
      <c r="II1190" s="73"/>
      <c r="IJ1190" s="73"/>
      <c r="IK1190" s="73"/>
      <c r="IL1190" s="73"/>
      <c r="IM1190" s="73"/>
      <c r="IN1190" s="73"/>
      <c r="IO1190" s="73"/>
      <c r="IP1190" s="73"/>
      <c r="IQ1190" s="73"/>
      <c r="IR1190" s="73"/>
      <c r="IS1190" s="73"/>
      <c r="IT1190" s="73"/>
      <c r="IU1190" s="73"/>
      <c r="IV1190" s="73"/>
      <c r="IW1190" s="73"/>
      <c r="IX1190" s="73"/>
      <c r="IY1190" s="73"/>
      <c r="IZ1190" s="73"/>
      <c r="JA1190" s="73"/>
      <c r="JB1190" s="73"/>
      <c r="JC1190" s="73"/>
    </row>
    <row r="1191" spans="2:263" s="72" customFormat="1">
      <c r="B1191" s="73"/>
      <c r="C1191" s="73"/>
      <c r="D1191" s="73"/>
      <c r="E1191" s="73"/>
      <c r="F1191" s="73"/>
      <c r="G1191" s="73"/>
      <c r="H1191" s="73"/>
      <c r="I1191" s="73"/>
      <c r="J1191" s="73"/>
      <c r="K1191" s="73"/>
      <c r="L1191" s="73"/>
      <c r="M1191" s="73"/>
      <c r="N1191" s="73"/>
      <c r="O1191" s="73"/>
      <c r="P1191" s="73"/>
      <c r="Q1191" s="73"/>
      <c r="R1191" s="73"/>
      <c r="S1191" s="73"/>
      <c r="T1191" s="73"/>
      <c r="U1191" s="73"/>
      <c r="V1191" s="73"/>
      <c r="W1191" s="73"/>
      <c r="GL1191" s="73"/>
      <c r="GM1191" s="73"/>
      <c r="GN1191" s="73"/>
      <c r="GO1191" s="73"/>
      <c r="GP1191" s="73"/>
      <c r="GQ1191" s="73"/>
      <c r="GR1191" s="73"/>
      <c r="GS1191" s="73"/>
      <c r="GT1191" s="73"/>
      <c r="GU1191" s="73"/>
      <c r="GV1191" s="73"/>
      <c r="GW1191" s="73"/>
      <c r="GX1191" s="73"/>
      <c r="GY1191" s="73"/>
      <c r="GZ1191" s="73"/>
      <c r="HA1191" s="73"/>
      <c r="HB1191" s="73"/>
      <c r="HC1191" s="73"/>
      <c r="HD1191" s="73"/>
      <c r="HE1191" s="73"/>
      <c r="HF1191" s="73"/>
      <c r="HG1191" s="73"/>
      <c r="HH1191" s="73"/>
      <c r="HI1191" s="73"/>
      <c r="HJ1191" s="73"/>
      <c r="HK1191" s="73"/>
      <c r="HL1191" s="73"/>
      <c r="HM1191" s="73"/>
      <c r="HN1191" s="73"/>
      <c r="HO1191" s="73"/>
      <c r="HP1191" s="73"/>
      <c r="HQ1191" s="73"/>
      <c r="HR1191" s="73"/>
      <c r="HS1191" s="73"/>
      <c r="HT1191" s="73"/>
      <c r="HU1191" s="73"/>
      <c r="HV1191" s="73"/>
      <c r="HW1191" s="73"/>
      <c r="HX1191" s="73"/>
      <c r="HY1191" s="73"/>
      <c r="HZ1191" s="73"/>
      <c r="IA1191" s="73"/>
      <c r="IB1191" s="73"/>
      <c r="IC1191" s="73"/>
      <c r="ID1191" s="73"/>
      <c r="IE1191" s="73"/>
      <c r="IF1191" s="73"/>
      <c r="IG1191" s="73"/>
      <c r="IH1191" s="73"/>
      <c r="II1191" s="73"/>
      <c r="IJ1191" s="73"/>
      <c r="IK1191" s="73"/>
      <c r="IL1191" s="73"/>
      <c r="IM1191" s="73"/>
      <c r="IN1191" s="73"/>
      <c r="IO1191" s="73"/>
      <c r="IP1191" s="73"/>
      <c r="IQ1191" s="73"/>
      <c r="IR1191" s="73"/>
      <c r="IS1191" s="73"/>
      <c r="IT1191" s="73"/>
      <c r="IU1191" s="73"/>
      <c r="IV1191" s="73"/>
      <c r="IW1191" s="73"/>
      <c r="IX1191" s="73"/>
      <c r="IY1191" s="73"/>
      <c r="IZ1191" s="73"/>
      <c r="JA1191" s="73"/>
      <c r="JB1191" s="73"/>
      <c r="JC1191" s="73"/>
    </row>
    <row r="1192" spans="2:263" s="72" customFormat="1">
      <c r="B1192" s="73"/>
      <c r="C1192" s="73"/>
      <c r="D1192" s="73"/>
      <c r="E1192" s="73"/>
      <c r="F1192" s="73"/>
      <c r="G1192" s="73"/>
      <c r="H1192" s="73"/>
      <c r="I1192" s="73"/>
      <c r="J1192" s="73"/>
      <c r="K1192" s="73"/>
      <c r="L1192" s="73"/>
      <c r="M1192" s="73"/>
      <c r="N1192" s="73"/>
      <c r="O1192" s="73"/>
      <c r="P1192" s="73"/>
      <c r="Q1192" s="73"/>
      <c r="R1192" s="73"/>
      <c r="S1192" s="73"/>
      <c r="T1192" s="73"/>
      <c r="U1192" s="73"/>
      <c r="V1192" s="73"/>
      <c r="W1192" s="73"/>
      <c r="GL1192" s="73"/>
      <c r="GM1192" s="73"/>
      <c r="GN1192" s="73"/>
      <c r="GO1192" s="73"/>
      <c r="GP1192" s="73"/>
      <c r="GQ1192" s="73"/>
      <c r="GR1192" s="73"/>
      <c r="GS1192" s="73"/>
      <c r="GT1192" s="73"/>
      <c r="GU1192" s="73"/>
      <c r="GV1192" s="73"/>
      <c r="GW1192" s="73"/>
      <c r="GX1192" s="73"/>
      <c r="GY1192" s="73"/>
      <c r="GZ1192" s="73"/>
      <c r="HA1192" s="73"/>
      <c r="HB1192" s="73"/>
      <c r="HC1192" s="73"/>
      <c r="HD1192" s="73"/>
      <c r="HE1192" s="73"/>
      <c r="HF1192" s="73"/>
      <c r="HG1192" s="73"/>
      <c r="HH1192" s="73"/>
      <c r="HI1192" s="73"/>
      <c r="HJ1192" s="73"/>
      <c r="HK1192" s="73"/>
      <c r="HL1192" s="73"/>
      <c r="HM1192" s="73"/>
      <c r="HN1192" s="73"/>
      <c r="HO1192" s="73"/>
      <c r="HP1192" s="73"/>
      <c r="HQ1192" s="73"/>
      <c r="HR1192" s="73"/>
      <c r="HS1192" s="73"/>
      <c r="HT1192" s="73"/>
      <c r="HU1192" s="73"/>
      <c r="HV1192" s="73"/>
      <c r="HW1192" s="73"/>
      <c r="HX1192" s="73"/>
      <c r="HY1192" s="73"/>
      <c r="HZ1192" s="73"/>
      <c r="IA1192" s="73"/>
      <c r="IB1192" s="73"/>
      <c r="IC1192" s="73"/>
      <c r="ID1192" s="73"/>
      <c r="IE1192" s="73"/>
      <c r="IF1192" s="73"/>
      <c r="IG1192" s="73"/>
      <c r="IH1192" s="73"/>
      <c r="II1192" s="73"/>
      <c r="IJ1192" s="73"/>
      <c r="IK1192" s="73"/>
      <c r="IL1192" s="73"/>
      <c r="IM1192" s="73"/>
      <c r="IN1192" s="73"/>
      <c r="IO1192" s="73"/>
      <c r="IP1192" s="73"/>
      <c r="IQ1192" s="73"/>
      <c r="IR1192" s="73"/>
      <c r="IS1192" s="73"/>
      <c r="IT1192" s="73"/>
      <c r="IU1192" s="73"/>
      <c r="IV1192" s="73"/>
      <c r="IW1192" s="73"/>
      <c r="IX1192" s="73"/>
      <c r="IY1192" s="73"/>
      <c r="IZ1192" s="73"/>
      <c r="JA1192" s="73"/>
      <c r="JB1192" s="73"/>
      <c r="JC1192" s="73"/>
    </row>
    <row r="1193" spans="2:263" s="72" customFormat="1">
      <c r="B1193" s="73"/>
      <c r="C1193" s="73"/>
      <c r="D1193" s="73"/>
      <c r="E1193" s="73"/>
      <c r="F1193" s="73"/>
      <c r="G1193" s="73"/>
      <c r="H1193" s="73"/>
      <c r="I1193" s="73"/>
      <c r="J1193" s="73"/>
      <c r="K1193" s="73"/>
      <c r="L1193" s="73"/>
      <c r="M1193" s="73"/>
      <c r="N1193" s="73"/>
      <c r="O1193" s="73"/>
      <c r="P1193" s="73"/>
      <c r="Q1193" s="73"/>
      <c r="R1193" s="73"/>
      <c r="S1193" s="73"/>
      <c r="T1193" s="73"/>
      <c r="U1193" s="73"/>
      <c r="V1193" s="73"/>
      <c r="W1193" s="73"/>
      <c r="GL1193" s="73"/>
      <c r="GM1193" s="73"/>
      <c r="GN1193" s="73"/>
      <c r="GO1193" s="73"/>
      <c r="GP1193" s="73"/>
      <c r="GQ1193" s="73"/>
      <c r="GR1193" s="73"/>
      <c r="GS1193" s="73"/>
      <c r="GT1193" s="73"/>
      <c r="GU1193" s="73"/>
      <c r="GV1193" s="73"/>
      <c r="GW1193" s="73"/>
      <c r="GX1193" s="73"/>
      <c r="GY1193" s="73"/>
      <c r="GZ1193" s="73"/>
      <c r="HA1193" s="73"/>
      <c r="HB1193" s="73"/>
      <c r="HC1193" s="73"/>
      <c r="HD1193" s="73"/>
      <c r="HE1193" s="73"/>
      <c r="HF1193" s="73"/>
      <c r="HG1193" s="73"/>
      <c r="HH1193" s="73"/>
      <c r="HI1193" s="73"/>
      <c r="HJ1193" s="73"/>
      <c r="HK1193" s="73"/>
      <c r="HL1193" s="73"/>
      <c r="HM1193" s="73"/>
      <c r="HN1193" s="73"/>
      <c r="HO1193" s="73"/>
      <c r="HP1193" s="73"/>
      <c r="HQ1193" s="73"/>
      <c r="HR1193" s="73"/>
      <c r="HS1193" s="73"/>
      <c r="HT1193" s="73"/>
      <c r="HU1193" s="73"/>
      <c r="HV1193" s="73"/>
      <c r="HW1193" s="73"/>
      <c r="HX1193" s="73"/>
      <c r="HY1193" s="73"/>
      <c r="HZ1193" s="73"/>
      <c r="IA1193" s="73"/>
      <c r="IB1193" s="73"/>
      <c r="IC1193" s="73"/>
      <c r="ID1193" s="73"/>
      <c r="IE1193" s="73"/>
      <c r="IF1193" s="73"/>
      <c r="IG1193" s="73"/>
      <c r="IH1193" s="73"/>
      <c r="II1193" s="73"/>
      <c r="IJ1193" s="73"/>
      <c r="IK1193" s="73"/>
      <c r="IL1193" s="73"/>
      <c r="IM1193" s="73"/>
      <c r="IN1193" s="73"/>
      <c r="IO1193" s="73"/>
      <c r="IP1193" s="73"/>
      <c r="IQ1193" s="73"/>
      <c r="IR1193" s="73"/>
      <c r="IS1193" s="73"/>
      <c r="IT1193" s="73"/>
      <c r="IU1193" s="73"/>
      <c r="IV1193" s="73"/>
      <c r="IW1193" s="73"/>
      <c r="IX1193" s="73"/>
      <c r="IY1193" s="73"/>
      <c r="IZ1193" s="73"/>
      <c r="JA1193" s="73"/>
      <c r="JB1193" s="73"/>
      <c r="JC1193" s="73"/>
    </row>
    <row r="1194" spans="2:263" s="72" customFormat="1">
      <c r="B1194" s="73"/>
      <c r="C1194" s="73"/>
      <c r="D1194" s="73"/>
      <c r="E1194" s="73"/>
      <c r="F1194" s="73"/>
      <c r="G1194" s="73"/>
      <c r="H1194" s="73"/>
      <c r="I1194" s="73"/>
      <c r="J1194" s="73"/>
      <c r="K1194" s="73"/>
      <c r="L1194" s="73"/>
      <c r="M1194" s="73"/>
      <c r="N1194" s="73"/>
      <c r="O1194" s="73"/>
      <c r="P1194" s="73"/>
      <c r="Q1194" s="73"/>
      <c r="R1194" s="73"/>
      <c r="S1194" s="73"/>
      <c r="T1194" s="73"/>
      <c r="U1194" s="73"/>
      <c r="V1194" s="73"/>
      <c r="W1194" s="73"/>
      <c r="GL1194" s="73"/>
      <c r="GM1194" s="73"/>
      <c r="GN1194" s="73"/>
      <c r="GO1194" s="73"/>
      <c r="GP1194" s="73"/>
      <c r="GQ1194" s="73"/>
      <c r="GR1194" s="73"/>
      <c r="GS1194" s="73"/>
      <c r="GT1194" s="73"/>
      <c r="GU1194" s="73"/>
      <c r="GV1194" s="73"/>
      <c r="GW1194" s="73"/>
      <c r="GX1194" s="73"/>
      <c r="GY1194" s="73"/>
      <c r="GZ1194" s="73"/>
      <c r="HA1194" s="73"/>
      <c r="HB1194" s="73"/>
      <c r="HC1194" s="73"/>
      <c r="HD1194" s="73"/>
      <c r="HE1194" s="73"/>
      <c r="HF1194" s="73"/>
      <c r="HG1194" s="73"/>
      <c r="HH1194" s="73"/>
      <c r="HI1194" s="73"/>
      <c r="HJ1194" s="73"/>
      <c r="HK1194" s="73"/>
      <c r="HL1194" s="73"/>
      <c r="HM1194" s="73"/>
      <c r="HN1194" s="73"/>
      <c r="HO1194" s="73"/>
      <c r="HP1194" s="73"/>
      <c r="HQ1194" s="73"/>
      <c r="HR1194" s="73"/>
      <c r="HS1194" s="73"/>
      <c r="HT1194" s="73"/>
      <c r="HU1194" s="73"/>
      <c r="HV1194" s="73"/>
      <c r="HW1194" s="73"/>
      <c r="HX1194" s="73"/>
      <c r="HY1194" s="73"/>
      <c r="HZ1194" s="73"/>
      <c r="IA1194" s="73"/>
      <c r="IB1194" s="73"/>
      <c r="IC1194" s="73"/>
      <c r="ID1194" s="73"/>
      <c r="IE1194" s="73"/>
      <c r="IF1194" s="73"/>
      <c r="IG1194" s="73"/>
      <c r="IH1194" s="73"/>
      <c r="II1194" s="73"/>
      <c r="IJ1194" s="73"/>
      <c r="IK1194" s="73"/>
      <c r="IL1194" s="73"/>
      <c r="IM1194" s="73"/>
      <c r="IN1194" s="73"/>
      <c r="IO1194" s="73"/>
      <c r="IP1194" s="73"/>
      <c r="IQ1194" s="73"/>
      <c r="IR1194" s="73"/>
      <c r="IS1194" s="73"/>
      <c r="IT1194" s="73"/>
      <c r="IU1194" s="73"/>
      <c r="IV1194" s="73"/>
      <c r="IW1194" s="73"/>
      <c r="IX1194" s="73"/>
      <c r="IY1194" s="73"/>
      <c r="IZ1194" s="73"/>
      <c r="JA1194" s="73"/>
      <c r="JB1194" s="73"/>
      <c r="JC1194" s="73"/>
    </row>
    <row r="1195" spans="2:263" s="72" customFormat="1">
      <c r="B1195" s="73"/>
      <c r="C1195" s="73"/>
      <c r="D1195" s="73"/>
      <c r="E1195" s="73"/>
      <c r="F1195" s="73"/>
      <c r="G1195" s="73"/>
      <c r="H1195" s="73"/>
      <c r="I1195" s="73"/>
      <c r="J1195" s="73"/>
      <c r="K1195" s="73"/>
      <c r="L1195" s="73"/>
      <c r="M1195" s="73"/>
      <c r="N1195" s="73"/>
      <c r="O1195" s="73"/>
      <c r="P1195" s="73"/>
      <c r="Q1195" s="73"/>
      <c r="R1195" s="73"/>
      <c r="S1195" s="73"/>
      <c r="T1195" s="73"/>
      <c r="U1195" s="73"/>
      <c r="V1195" s="73"/>
      <c r="W1195" s="73"/>
      <c r="GL1195" s="73"/>
      <c r="GM1195" s="73"/>
      <c r="GN1195" s="73"/>
      <c r="GO1195" s="73"/>
      <c r="GP1195" s="73"/>
      <c r="GQ1195" s="73"/>
      <c r="GR1195" s="73"/>
      <c r="GS1195" s="73"/>
      <c r="GT1195" s="73"/>
      <c r="GU1195" s="73"/>
      <c r="GV1195" s="73"/>
      <c r="GW1195" s="73"/>
      <c r="GX1195" s="73"/>
      <c r="GY1195" s="73"/>
      <c r="GZ1195" s="73"/>
      <c r="HA1195" s="73"/>
      <c r="HB1195" s="73"/>
      <c r="HC1195" s="73"/>
      <c r="HD1195" s="73"/>
      <c r="HE1195" s="73"/>
      <c r="HF1195" s="73"/>
      <c r="HG1195" s="73"/>
      <c r="HH1195" s="73"/>
      <c r="HI1195" s="73"/>
      <c r="HJ1195" s="73"/>
      <c r="HK1195" s="73"/>
      <c r="HL1195" s="73"/>
      <c r="HM1195" s="73"/>
      <c r="HN1195" s="73"/>
      <c r="HO1195" s="73"/>
      <c r="HP1195" s="73"/>
      <c r="HQ1195" s="73"/>
      <c r="HR1195" s="73"/>
      <c r="HS1195" s="73"/>
      <c r="HT1195" s="73"/>
      <c r="HU1195" s="73"/>
      <c r="HV1195" s="73"/>
      <c r="HW1195" s="73"/>
      <c r="HX1195" s="73"/>
      <c r="HY1195" s="73"/>
      <c r="HZ1195" s="73"/>
      <c r="IA1195" s="73"/>
      <c r="IB1195" s="73"/>
      <c r="IC1195" s="73"/>
      <c r="ID1195" s="73"/>
      <c r="IE1195" s="73"/>
      <c r="IF1195" s="73"/>
      <c r="IG1195" s="73"/>
      <c r="IH1195" s="73"/>
      <c r="II1195" s="73"/>
      <c r="IJ1195" s="73"/>
      <c r="IK1195" s="73"/>
      <c r="IL1195" s="73"/>
      <c r="IM1195" s="73"/>
      <c r="IN1195" s="73"/>
      <c r="IO1195" s="73"/>
      <c r="IP1195" s="73"/>
      <c r="IQ1195" s="73"/>
      <c r="IR1195" s="73"/>
      <c r="IS1195" s="73"/>
      <c r="IT1195" s="73"/>
      <c r="IU1195" s="73"/>
      <c r="IV1195" s="73"/>
      <c r="IW1195" s="73"/>
      <c r="IX1195" s="73"/>
      <c r="IY1195" s="73"/>
      <c r="IZ1195" s="73"/>
      <c r="JA1195" s="73"/>
      <c r="JB1195" s="73"/>
      <c r="JC1195" s="73"/>
    </row>
    <row r="1196" spans="2:263" s="72" customFormat="1">
      <c r="B1196" s="73"/>
      <c r="C1196" s="73"/>
      <c r="D1196" s="73"/>
      <c r="E1196" s="73"/>
      <c r="F1196" s="73"/>
      <c r="G1196" s="73"/>
      <c r="H1196" s="73"/>
      <c r="I1196" s="73"/>
      <c r="J1196" s="73"/>
      <c r="K1196" s="73"/>
      <c r="L1196" s="73"/>
      <c r="M1196" s="73"/>
      <c r="N1196" s="73"/>
      <c r="O1196" s="73"/>
      <c r="P1196" s="73"/>
      <c r="Q1196" s="73"/>
      <c r="R1196" s="73"/>
      <c r="S1196" s="73"/>
      <c r="T1196" s="73"/>
      <c r="U1196" s="73"/>
      <c r="V1196" s="73"/>
      <c r="W1196" s="73"/>
      <c r="GL1196" s="73"/>
      <c r="GM1196" s="73"/>
      <c r="GN1196" s="73"/>
      <c r="GO1196" s="73"/>
      <c r="GP1196" s="73"/>
      <c r="GQ1196" s="73"/>
      <c r="GR1196" s="73"/>
      <c r="GS1196" s="73"/>
      <c r="GT1196" s="73"/>
      <c r="GU1196" s="73"/>
      <c r="GV1196" s="73"/>
      <c r="GW1196" s="73"/>
      <c r="GX1196" s="73"/>
      <c r="GY1196" s="73"/>
      <c r="GZ1196" s="73"/>
      <c r="HA1196" s="73"/>
      <c r="HB1196" s="73"/>
      <c r="HC1196" s="73"/>
      <c r="HD1196" s="73"/>
      <c r="HE1196" s="73"/>
      <c r="HF1196" s="73"/>
      <c r="HG1196" s="73"/>
      <c r="HH1196" s="73"/>
      <c r="HI1196" s="73"/>
      <c r="HJ1196" s="73"/>
      <c r="HK1196" s="73"/>
      <c r="HL1196" s="73"/>
      <c r="HM1196" s="73"/>
      <c r="HN1196" s="73"/>
      <c r="HO1196" s="73"/>
      <c r="HP1196" s="73"/>
      <c r="HQ1196" s="73"/>
      <c r="HR1196" s="73"/>
      <c r="HS1196" s="73"/>
      <c r="HT1196" s="73"/>
      <c r="HU1196" s="73"/>
      <c r="HV1196" s="73"/>
      <c r="HW1196" s="73"/>
      <c r="HX1196" s="73"/>
      <c r="HY1196" s="73"/>
      <c r="HZ1196" s="73"/>
      <c r="IA1196" s="73"/>
      <c r="IB1196" s="73"/>
      <c r="IC1196" s="73"/>
      <c r="ID1196" s="73"/>
      <c r="IE1196" s="73"/>
      <c r="IF1196" s="73"/>
      <c r="IG1196" s="73"/>
      <c r="IH1196" s="73"/>
      <c r="II1196" s="73"/>
      <c r="IJ1196" s="73"/>
      <c r="IK1196" s="73"/>
      <c r="IL1196" s="73"/>
      <c r="IM1196" s="73"/>
      <c r="IN1196" s="73"/>
      <c r="IO1196" s="73"/>
      <c r="IP1196" s="73"/>
      <c r="IQ1196" s="73"/>
      <c r="IR1196" s="73"/>
      <c r="IS1196" s="73"/>
      <c r="IT1196" s="73"/>
      <c r="IU1196" s="73"/>
      <c r="IV1196" s="73"/>
      <c r="IW1196" s="73"/>
      <c r="IX1196" s="73"/>
      <c r="IY1196" s="73"/>
      <c r="IZ1196" s="73"/>
      <c r="JA1196" s="73"/>
      <c r="JB1196" s="73"/>
      <c r="JC1196" s="73"/>
    </row>
    <row r="1197" spans="2:263" s="72" customFormat="1">
      <c r="B1197" s="73"/>
      <c r="C1197" s="73"/>
      <c r="D1197" s="73"/>
      <c r="E1197" s="73"/>
      <c r="F1197" s="73"/>
      <c r="G1197" s="73"/>
      <c r="H1197" s="73"/>
      <c r="I1197" s="73"/>
      <c r="J1197" s="73"/>
      <c r="K1197" s="73"/>
      <c r="L1197" s="73"/>
      <c r="M1197" s="73"/>
      <c r="N1197" s="73"/>
      <c r="O1197" s="73"/>
      <c r="P1197" s="73"/>
      <c r="Q1197" s="73"/>
      <c r="R1197" s="73"/>
      <c r="S1197" s="73"/>
      <c r="T1197" s="73"/>
      <c r="U1197" s="73"/>
      <c r="V1197" s="73"/>
      <c r="W1197" s="73"/>
      <c r="GL1197" s="73"/>
      <c r="GM1197" s="73"/>
      <c r="GN1197" s="73"/>
      <c r="GO1197" s="73"/>
      <c r="GP1197" s="73"/>
      <c r="GQ1197" s="73"/>
      <c r="GR1197" s="73"/>
      <c r="GS1197" s="73"/>
      <c r="GT1197" s="73"/>
      <c r="GU1197" s="73"/>
      <c r="GV1197" s="73"/>
      <c r="GW1197" s="73"/>
      <c r="GX1197" s="73"/>
      <c r="GY1197" s="73"/>
      <c r="GZ1197" s="73"/>
      <c r="HA1197" s="73"/>
      <c r="HB1197" s="73"/>
      <c r="HC1197" s="73"/>
      <c r="HD1197" s="73"/>
      <c r="HE1197" s="73"/>
      <c r="HF1197" s="73"/>
      <c r="HG1197" s="73"/>
      <c r="HH1197" s="73"/>
      <c r="HI1197" s="73"/>
      <c r="HJ1197" s="73"/>
      <c r="HK1197" s="73"/>
      <c r="HL1197" s="73"/>
      <c r="HM1197" s="73"/>
      <c r="HN1197" s="73"/>
      <c r="HO1197" s="73"/>
      <c r="HP1197" s="73"/>
      <c r="HQ1197" s="73"/>
      <c r="HR1197" s="73"/>
      <c r="HS1197" s="73"/>
      <c r="HT1197" s="73"/>
      <c r="HU1197" s="73"/>
      <c r="HV1197" s="73"/>
      <c r="HW1197" s="73"/>
      <c r="HX1197" s="73"/>
      <c r="HY1197" s="73"/>
      <c r="HZ1197" s="73"/>
      <c r="IA1197" s="73"/>
      <c r="IB1197" s="73"/>
      <c r="IC1197" s="73"/>
      <c r="ID1197" s="73"/>
      <c r="IE1197" s="73"/>
      <c r="IF1197" s="73"/>
      <c r="IG1197" s="73"/>
      <c r="IH1197" s="73"/>
      <c r="II1197" s="73"/>
      <c r="IJ1197" s="73"/>
      <c r="IK1197" s="73"/>
      <c r="IL1197" s="73"/>
      <c r="IM1197" s="73"/>
      <c r="IN1197" s="73"/>
      <c r="IO1197" s="73"/>
      <c r="IP1197" s="73"/>
      <c r="IQ1197" s="73"/>
      <c r="IR1197" s="73"/>
      <c r="IS1197" s="73"/>
      <c r="IT1197" s="73"/>
      <c r="IU1197" s="73"/>
      <c r="IV1197" s="73"/>
      <c r="IW1197" s="73"/>
      <c r="IX1197" s="73"/>
      <c r="IY1197" s="73"/>
      <c r="IZ1197" s="73"/>
      <c r="JA1197" s="73"/>
      <c r="JB1197" s="73"/>
      <c r="JC1197" s="73"/>
    </row>
    <row r="1198" spans="2:263" s="72" customFormat="1">
      <c r="B1198" s="73"/>
      <c r="C1198" s="73"/>
      <c r="D1198" s="73"/>
      <c r="E1198" s="73"/>
      <c r="F1198" s="73"/>
      <c r="G1198" s="73"/>
      <c r="H1198" s="73"/>
      <c r="I1198" s="73"/>
      <c r="J1198" s="73"/>
      <c r="K1198" s="73"/>
      <c r="L1198" s="73"/>
      <c r="M1198" s="73"/>
      <c r="N1198" s="73"/>
      <c r="O1198" s="73"/>
      <c r="P1198" s="73"/>
      <c r="Q1198" s="73"/>
      <c r="R1198" s="73"/>
      <c r="S1198" s="73"/>
      <c r="T1198" s="73"/>
      <c r="U1198" s="73"/>
      <c r="V1198" s="73"/>
      <c r="W1198" s="73"/>
      <c r="GL1198" s="73"/>
      <c r="GM1198" s="73"/>
      <c r="GN1198" s="73"/>
      <c r="GO1198" s="73"/>
      <c r="GP1198" s="73"/>
      <c r="GQ1198" s="73"/>
      <c r="GR1198" s="73"/>
      <c r="GS1198" s="73"/>
      <c r="GT1198" s="73"/>
      <c r="GU1198" s="73"/>
      <c r="GV1198" s="73"/>
      <c r="GW1198" s="73"/>
      <c r="GX1198" s="73"/>
      <c r="GY1198" s="73"/>
      <c r="GZ1198" s="73"/>
      <c r="HA1198" s="73"/>
      <c r="HB1198" s="73"/>
      <c r="HC1198" s="73"/>
      <c r="HD1198" s="73"/>
      <c r="HE1198" s="73"/>
      <c r="HF1198" s="73"/>
      <c r="HG1198" s="73"/>
      <c r="HH1198" s="73"/>
      <c r="HI1198" s="73"/>
      <c r="HJ1198" s="73"/>
      <c r="HK1198" s="73"/>
      <c r="HL1198" s="73"/>
      <c r="HM1198" s="73"/>
      <c r="HN1198" s="73"/>
      <c r="HO1198" s="73"/>
      <c r="HP1198" s="73"/>
      <c r="HQ1198" s="73"/>
      <c r="HR1198" s="73"/>
      <c r="HS1198" s="73"/>
      <c r="HT1198" s="73"/>
      <c r="HU1198" s="73"/>
      <c r="HV1198" s="73"/>
      <c r="HW1198" s="73"/>
      <c r="HX1198" s="73"/>
      <c r="HY1198" s="73"/>
      <c r="HZ1198" s="73"/>
      <c r="IA1198" s="73"/>
      <c r="IB1198" s="73"/>
      <c r="IC1198" s="73"/>
      <c r="ID1198" s="73"/>
      <c r="IE1198" s="73"/>
      <c r="IF1198" s="73"/>
      <c r="IG1198" s="73"/>
      <c r="IH1198" s="73"/>
      <c r="II1198" s="73"/>
      <c r="IJ1198" s="73"/>
      <c r="IK1198" s="73"/>
      <c r="IL1198" s="73"/>
      <c r="IM1198" s="73"/>
      <c r="IN1198" s="73"/>
      <c r="IO1198" s="73"/>
      <c r="IP1198" s="73"/>
      <c r="IQ1198" s="73"/>
      <c r="IR1198" s="73"/>
      <c r="IS1198" s="73"/>
      <c r="IT1198" s="73"/>
      <c r="IU1198" s="73"/>
      <c r="IV1198" s="73"/>
      <c r="IW1198" s="73"/>
      <c r="IX1198" s="73"/>
      <c r="IY1198" s="73"/>
      <c r="IZ1198" s="73"/>
      <c r="JA1198" s="73"/>
      <c r="JB1198" s="73"/>
      <c r="JC1198" s="73"/>
    </row>
    <row r="1199" spans="2:263" s="72" customFormat="1">
      <c r="B1199" s="73"/>
      <c r="C1199" s="73"/>
      <c r="D1199" s="73"/>
      <c r="E1199" s="73"/>
      <c r="F1199" s="73"/>
      <c r="G1199" s="73"/>
      <c r="H1199" s="73"/>
      <c r="I1199" s="73"/>
      <c r="J1199" s="73"/>
      <c r="K1199" s="73"/>
      <c r="L1199" s="73"/>
      <c r="M1199" s="73"/>
      <c r="N1199" s="73"/>
      <c r="O1199" s="73"/>
      <c r="P1199" s="73"/>
      <c r="Q1199" s="73"/>
      <c r="R1199" s="73"/>
      <c r="S1199" s="73"/>
      <c r="T1199" s="73"/>
      <c r="U1199" s="73"/>
      <c r="V1199" s="73"/>
      <c r="W1199" s="73"/>
      <c r="GL1199" s="73"/>
      <c r="GM1199" s="73"/>
      <c r="GN1199" s="73"/>
      <c r="GO1199" s="73"/>
      <c r="GP1199" s="73"/>
      <c r="GQ1199" s="73"/>
      <c r="GR1199" s="73"/>
      <c r="GS1199" s="73"/>
      <c r="GT1199" s="73"/>
      <c r="GU1199" s="73"/>
      <c r="GV1199" s="73"/>
      <c r="GW1199" s="73"/>
      <c r="GX1199" s="73"/>
      <c r="GY1199" s="73"/>
      <c r="GZ1199" s="73"/>
      <c r="HA1199" s="73"/>
      <c r="HB1199" s="73"/>
      <c r="HC1199" s="73"/>
      <c r="HD1199" s="73"/>
      <c r="HE1199" s="73"/>
      <c r="HF1199" s="73"/>
      <c r="HG1199" s="73"/>
      <c r="HH1199" s="73"/>
      <c r="HI1199" s="73"/>
      <c r="HJ1199" s="73"/>
      <c r="HK1199" s="73"/>
      <c r="HL1199" s="73"/>
      <c r="HM1199" s="73"/>
      <c r="HN1199" s="73"/>
      <c r="HO1199" s="73"/>
      <c r="HP1199" s="73"/>
      <c r="HQ1199" s="73"/>
      <c r="HR1199" s="73"/>
      <c r="HS1199" s="73"/>
      <c r="HT1199" s="73"/>
      <c r="HU1199" s="73"/>
      <c r="HV1199" s="73"/>
      <c r="HW1199" s="73"/>
      <c r="HX1199" s="73"/>
      <c r="HY1199" s="73"/>
      <c r="HZ1199" s="73"/>
      <c r="IA1199" s="73"/>
      <c r="IB1199" s="73"/>
      <c r="IC1199" s="73"/>
      <c r="ID1199" s="73"/>
      <c r="IE1199" s="73"/>
      <c r="IF1199" s="73"/>
      <c r="IG1199" s="73"/>
      <c r="IH1199" s="73"/>
      <c r="II1199" s="73"/>
      <c r="IJ1199" s="73"/>
      <c r="IK1199" s="73"/>
      <c r="IL1199" s="73"/>
      <c r="IM1199" s="73"/>
      <c r="IN1199" s="73"/>
      <c r="IO1199" s="73"/>
      <c r="IP1199" s="73"/>
      <c r="IQ1199" s="73"/>
      <c r="IR1199" s="73"/>
      <c r="IS1199" s="73"/>
      <c r="IT1199" s="73"/>
      <c r="IU1199" s="73"/>
      <c r="IV1199" s="73"/>
      <c r="IW1199" s="73"/>
      <c r="IX1199" s="73"/>
      <c r="IY1199" s="73"/>
      <c r="IZ1199" s="73"/>
      <c r="JA1199" s="73"/>
      <c r="JB1199" s="73"/>
      <c r="JC1199" s="73"/>
    </row>
    <row r="1200" spans="2:263" s="72" customFormat="1">
      <c r="B1200" s="73"/>
      <c r="C1200" s="73"/>
      <c r="D1200" s="73"/>
      <c r="E1200" s="73"/>
      <c r="F1200" s="73"/>
      <c r="G1200" s="73"/>
      <c r="H1200" s="73"/>
      <c r="I1200" s="73"/>
      <c r="J1200" s="73"/>
      <c r="K1200" s="73"/>
      <c r="L1200" s="73"/>
      <c r="M1200" s="73"/>
      <c r="N1200" s="73"/>
      <c r="O1200" s="73"/>
      <c r="P1200" s="73"/>
      <c r="Q1200" s="73"/>
      <c r="R1200" s="73"/>
      <c r="S1200" s="73"/>
      <c r="T1200" s="73"/>
      <c r="U1200" s="73"/>
      <c r="V1200" s="73"/>
      <c r="W1200" s="73"/>
      <c r="GL1200" s="73"/>
      <c r="GM1200" s="73"/>
      <c r="GN1200" s="73"/>
      <c r="GO1200" s="73"/>
      <c r="GP1200" s="73"/>
      <c r="GQ1200" s="73"/>
      <c r="GR1200" s="73"/>
      <c r="GS1200" s="73"/>
      <c r="GT1200" s="73"/>
      <c r="GU1200" s="73"/>
      <c r="GV1200" s="73"/>
      <c r="GW1200" s="73"/>
      <c r="GX1200" s="73"/>
      <c r="GY1200" s="73"/>
      <c r="GZ1200" s="73"/>
      <c r="HA1200" s="73"/>
      <c r="HB1200" s="73"/>
      <c r="HC1200" s="73"/>
      <c r="HD1200" s="73"/>
      <c r="HE1200" s="73"/>
      <c r="HF1200" s="73"/>
      <c r="HG1200" s="73"/>
      <c r="HH1200" s="73"/>
      <c r="HI1200" s="73"/>
      <c r="HJ1200" s="73"/>
      <c r="HK1200" s="73"/>
      <c r="HL1200" s="73"/>
      <c r="HM1200" s="73"/>
      <c r="HN1200" s="73"/>
      <c r="HO1200" s="73"/>
      <c r="HP1200" s="73"/>
      <c r="HQ1200" s="73"/>
      <c r="HR1200" s="73"/>
      <c r="HS1200" s="73"/>
      <c r="HT1200" s="73"/>
      <c r="HU1200" s="73"/>
      <c r="HV1200" s="73"/>
      <c r="HW1200" s="73"/>
      <c r="HX1200" s="73"/>
      <c r="HY1200" s="73"/>
      <c r="HZ1200" s="73"/>
      <c r="IA1200" s="73"/>
      <c r="IB1200" s="73"/>
      <c r="IC1200" s="73"/>
      <c r="ID1200" s="73"/>
      <c r="IE1200" s="73"/>
      <c r="IF1200" s="73"/>
      <c r="IG1200" s="73"/>
      <c r="IH1200" s="73"/>
      <c r="II1200" s="73"/>
      <c r="IJ1200" s="73"/>
      <c r="IK1200" s="73"/>
      <c r="IL1200" s="73"/>
      <c r="IM1200" s="73"/>
      <c r="IN1200" s="73"/>
      <c r="IO1200" s="73"/>
      <c r="IP1200" s="73"/>
      <c r="IQ1200" s="73"/>
      <c r="IR1200" s="73"/>
      <c r="IS1200" s="73"/>
      <c r="IT1200" s="73"/>
      <c r="IU1200" s="73"/>
      <c r="IV1200" s="73"/>
      <c r="IW1200" s="73"/>
      <c r="IX1200" s="73"/>
      <c r="IY1200" s="73"/>
      <c r="IZ1200" s="73"/>
      <c r="JA1200" s="73"/>
      <c r="JB1200" s="73"/>
      <c r="JC1200" s="73"/>
    </row>
    <row r="1201" spans="2:263" s="72" customFormat="1">
      <c r="B1201" s="73"/>
      <c r="C1201" s="73"/>
      <c r="D1201" s="73"/>
      <c r="E1201" s="73"/>
      <c r="F1201" s="73"/>
      <c r="G1201" s="73"/>
      <c r="H1201" s="73"/>
      <c r="I1201" s="73"/>
      <c r="J1201" s="73"/>
      <c r="K1201" s="73"/>
      <c r="L1201" s="73"/>
      <c r="M1201" s="73"/>
      <c r="N1201" s="73"/>
      <c r="O1201" s="73"/>
      <c r="P1201" s="73"/>
      <c r="Q1201" s="73"/>
      <c r="R1201" s="73"/>
      <c r="S1201" s="73"/>
      <c r="T1201" s="73"/>
      <c r="U1201" s="73"/>
      <c r="V1201" s="73"/>
      <c r="W1201" s="73"/>
      <c r="GL1201" s="73"/>
      <c r="GM1201" s="73"/>
      <c r="GN1201" s="73"/>
      <c r="GO1201" s="73"/>
      <c r="GP1201" s="73"/>
      <c r="GQ1201" s="73"/>
      <c r="GR1201" s="73"/>
      <c r="GS1201" s="73"/>
      <c r="GT1201" s="73"/>
      <c r="GU1201" s="73"/>
      <c r="GV1201" s="73"/>
      <c r="GW1201" s="73"/>
      <c r="GX1201" s="73"/>
      <c r="GY1201" s="73"/>
      <c r="GZ1201" s="73"/>
      <c r="HA1201" s="73"/>
      <c r="HB1201" s="73"/>
      <c r="HC1201" s="73"/>
      <c r="HD1201" s="73"/>
      <c r="HE1201" s="73"/>
      <c r="HF1201" s="73"/>
      <c r="HG1201" s="73"/>
      <c r="HH1201" s="73"/>
      <c r="HI1201" s="73"/>
      <c r="HJ1201" s="73"/>
      <c r="HK1201" s="73"/>
      <c r="HL1201" s="73"/>
      <c r="HM1201" s="73"/>
      <c r="HN1201" s="73"/>
      <c r="HO1201" s="73"/>
      <c r="HP1201" s="73"/>
      <c r="HQ1201" s="73"/>
      <c r="HR1201" s="73"/>
      <c r="HS1201" s="73"/>
      <c r="HT1201" s="73"/>
      <c r="HU1201" s="73"/>
      <c r="HV1201" s="73"/>
      <c r="HW1201" s="73"/>
      <c r="HX1201" s="73"/>
      <c r="HY1201" s="73"/>
      <c r="HZ1201" s="73"/>
      <c r="IA1201" s="73"/>
      <c r="IB1201" s="73"/>
      <c r="IC1201" s="73"/>
      <c r="ID1201" s="73"/>
      <c r="IE1201" s="73"/>
      <c r="IF1201" s="73"/>
      <c r="IG1201" s="73"/>
      <c r="IH1201" s="73"/>
      <c r="II1201" s="73"/>
      <c r="IJ1201" s="73"/>
      <c r="IK1201" s="73"/>
      <c r="IL1201" s="73"/>
      <c r="IM1201" s="73"/>
      <c r="IN1201" s="73"/>
      <c r="IO1201" s="73"/>
      <c r="IP1201" s="73"/>
      <c r="IQ1201" s="73"/>
      <c r="IR1201" s="73"/>
      <c r="IS1201" s="73"/>
      <c r="IT1201" s="73"/>
      <c r="IU1201" s="73"/>
      <c r="IV1201" s="73"/>
      <c r="IW1201" s="73"/>
      <c r="IX1201" s="73"/>
      <c r="IY1201" s="73"/>
      <c r="IZ1201" s="73"/>
      <c r="JA1201" s="73"/>
      <c r="JB1201" s="73"/>
      <c r="JC1201" s="73"/>
    </row>
    <row r="1202" spans="2:263" s="72" customFormat="1">
      <c r="B1202" s="73"/>
      <c r="C1202" s="73"/>
      <c r="D1202" s="73"/>
      <c r="E1202" s="73"/>
      <c r="F1202" s="73"/>
      <c r="G1202" s="73"/>
      <c r="H1202" s="73"/>
      <c r="I1202" s="73"/>
      <c r="J1202" s="73"/>
      <c r="K1202" s="73"/>
      <c r="L1202" s="73"/>
      <c r="M1202" s="73"/>
      <c r="N1202" s="73"/>
      <c r="O1202" s="73"/>
      <c r="P1202" s="73"/>
      <c r="Q1202" s="73"/>
      <c r="R1202" s="73"/>
      <c r="S1202" s="73"/>
      <c r="T1202" s="73"/>
      <c r="U1202" s="73"/>
      <c r="V1202" s="73"/>
      <c r="W1202" s="73"/>
      <c r="GL1202" s="73"/>
      <c r="GM1202" s="73"/>
      <c r="GN1202" s="73"/>
      <c r="GO1202" s="73"/>
      <c r="GP1202" s="73"/>
      <c r="GQ1202" s="73"/>
      <c r="GR1202" s="73"/>
      <c r="GS1202" s="73"/>
      <c r="GT1202" s="73"/>
      <c r="GU1202" s="73"/>
      <c r="GV1202" s="73"/>
      <c r="GW1202" s="73"/>
      <c r="GX1202" s="73"/>
      <c r="GY1202" s="73"/>
      <c r="GZ1202" s="73"/>
      <c r="HA1202" s="73"/>
      <c r="HB1202" s="73"/>
      <c r="HC1202" s="73"/>
      <c r="HD1202" s="73"/>
      <c r="HE1202" s="73"/>
      <c r="HF1202" s="73"/>
      <c r="HG1202" s="73"/>
      <c r="HH1202" s="73"/>
      <c r="HI1202" s="73"/>
      <c r="HJ1202" s="73"/>
      <c r="HK1202" s="73"/>
      <c r="HL1202" s="73"/>
      <c r="HM1202" s="73"/>
      <c r="HN1202" s="73"/>
      <c r="HO1202" s="73"/>
      <c r="HP1202" s="73"/>
      <c r="HQ1202" s="73"/>
      <c r="HR1202" s="73"/>
      <c r="HS1202" s="73"/>
      <c r="HT1202" s="73"/>
      <c r="HU1202" s="73"/>
      <c r="HV1202" s="73"/>
      <c r="HW1202" s="73"/>
      <c r="HX1202" s="73"/>
      <c r="HY1202" s="73"/>
      <c r="HZ1202" s="73"/>
      <c r="IA1202" s="73"/>
      <c r="IB1202" s="73"/>
      <c r="IC1202" s="73"/>
      <c r="ID1202" s="73"/>
      <c r="IE1202" s="73"/>
      <c r="IF1202" s="73"/>
      <c r="IG1202" s="73"/>
      <c r="IH1202" s="73"/>
      <c r="II1202" s="73"/>
      <c r="IJ1202" s="73"/>
      <c r="IK1202" s="73"/>
      <c r="IL1202" s="73"/>
      <c r="IM1202" s="73"/>
      <c r="IN1202" s="73"/>
      <c r="IO1202" s="73"/>
      <c r="IP1202" s="73"/>
      <c r="IQ1202" s="73"/>
      <c r="IR1202" s="73"/>
      <c r="IS1202" s="73"/>
      <c r="IT1202" s="73"/>
      <c r="IU1202" s="73"/>
      <c r="IV1202" s="73"/>
      <c r="IW1202" s="73"/>
      <c r="IX1202" s="73"/>
      <c r="IY1202" s="73"/>
      <c r="IZ1202" s="73"/>
      <c r="JA1202" s="73"/>
      <c r="JB1202" s="73"/>
      <c r="JC1202" s="73"/>
    </row>
    <row r="1203" spans="2:263" s="72" customFormat="1">
      <c r="B1203" s="73"/>
      <c r="C1203" s="73"/>
      <c r="D1203" s="73"/>
      <c r="E1203" s="73"/>
      <c r="F1203" s="73"/>
      <c r="G1203" s="73"/>
      <c r="H1203" s="73"/>
      <c r="I1203" s="73"/>
      <c r="J1203" s="73"/>
      <c r="K1203" s="73"/>
      <c r="L1203" s="73"/>
      <c r="M1203" s="73"/>
      <c r="N1203" s="73"/>
      <c r="O1203" s="73"/>
      <c r="P1203" s="73"/>
      <c r="Q1203" s="73"/>
      <c r="R1203" s="73"/>
      <c r="S1203" s="73"/>
      <c r="T1203" s="73"/>
      <c r="U1203" s="73"/>
      <c r="V1203" s="73"/>
      <c r="W1203" s="73"/>
      <c r="GL1203" s="73"/>
      <c r="GM1203" s="73"/>
      <c r="GN1203" s="73"/>
      <c r="GO1203" s="73"/>
      <c r="GP1203" s="73"/>
      <c r="GQ1203" s="73"/>
      <c r="GR1203" s="73"/>
      <c r="GS1203" s="73"/>
      <c r="GT1203" s="73"/>
      <c r="GU1203" s="73"/>
      <c r="GV1203" s="73"/>
      <c r="GW1203" s="73"/>
      <c r="GX1203" s="73"/>
      <c r="GY1203" s="73"/>
      <c r="GZ1203" s="73"/>
      <c r="HA1203" s="73"/>
      <c r="HB1203" s="73"/>
      <c r="HC1203" s="73"/>
      <c r="HD1203" s="73"/>
      <c r="HE1203" s="73"/>
      <c r="HF1203" s="73"/>
      <c r="HG1203" s="73"/>
      <c r="HH1203" s="73"/>
      <c r="HI1203" s="73"/>
      <c r="HJ1203" s="73"/>
      <c r="HK1203" s="73"/>
      <c r="HL1203" s="73"/>
      <c r="HM1203" s="73"/>
      <c r="HN1203" s="73"/>
      <c r="HO1203" s="73"/>
      <c r="HP1203" s="73"/>
      <c r="HQ1203" s="73"/>
      <c r="HR1203" s="73"/>
      <c r="HS1203" s="73"/>
      <c r="HT1203" s="73"/>
      <c r="HU1203" s="73"/>
      <c r="HV1203" s="73"/>
      <c r="HW1203" s="73"/>
      <c r="HX1203" s="73"/>
      <c r="HY1203" s="73"/>
      <c r="HZ1203" s="73"/>
      <c r="IA1203" s="73"/>
      <c r="IB1203" s="73"/>
      <c r="IC1203" s="73"/>
      <c r="ID1203" s="73"/>
      <c r="IE1203" s="73"/>
      <c r="IF1203" s="73"/>
      <c r="IG1203" s="73"/>
      <c r="IH1203" s="73"/>
      <c r="II1203" s="73"/>
      <c r="IJ1203" s="73"/>
      <c r="IK1203" s="73"/>
      <c r="IL1203" s="73"/>
      <c r="IM1203" s="73"/>
      <c r="IN1203" s="73"/>
      <c r="IO1203" s="73"/>
      <c r="IP1203" s="73"/>
      <c r="IQ1203" s="73"/>
      <c r="IR1203" s="73"/>
      <c r="IS1203" s="73"/>
      <c r="IT1203" s="73"/>
      <c r="IU1203" s="73"/>
      <c r="IV1203" s="73"/>
      <c r="IW1203" s="73"/>
      <c r="IX1203" s="73"/>
      <c r="IY1203" s="73"/>
      <c r="IZ1203" s="73"/>
      <c r="JA1203" s="73"/>
      <c r="JB1203" s="73"/>
      <c r="JC1203" s="73"/>
    </row>
    <row r="1204" spans="2:263" s="72" customFormat="1">
      <c r="B1204" s="73"/>
      <c r="C1204" s="73"/>
      <c r="D1204" s="73"/>
      <c r="E1204" s="73"/>
      <c r="F1204" s="73"/>
      <c r="G1204" s="73"/>
      <c r="H1204" s="73"/>
      <c r="I1204" s="73"/>
      <c r="J1204" s="73"/>
      <c r="K1204" s="73"/>
      <c r="L1204" s="73"/>
      <c r="M1204" s="73"/>
      <c r="N1204" s="73"/>
      <c r="O1204" s="73"/>
      <c r="P1204" s="73"/>
      <c r="Q1204" s="73"/>
      <c r="R1204" s="73"/>
      <c r="S1204" s="73"/>
      <c r="T1204" s="73"/>
      <c r="U1204" s="73"/>
      <c r="V1204" s="73"/>
      <c r="W1204" s="73"/>
      <c r="GL1204" s="73"/>
      <c r="GM1204" s="73"/>
      <c r="GN1204" s="73"/>
      <c r="GO1204" s="73"/>
      <c r="GP1204" s="73"/>
      <c r="GQ1204" s="73"/>
      <c r="GR1204" s="73"/>
      <c r="GS1204" s="73"/>
      <c r="GT1204" s="73"/>
      <c r="GU1204" s="73"/>
      <c r="GV1204" s="73"/>
      <c r="GW1204" s="73"/>
      <c r="GX1204" s="73"/>
      <c r="GY1204" s="73"/>
      <c r="GZ1204" s="73"/>
      <c r="HA1204" s="73"/>
      <c r="HB1204" s="73"/>
      <c r="HC1204" s="73"/>
      <c r="HD1204" s="73"/>
      <c r="HE1204" s="73"/>
      <c r="HF1204" s="73"/>
      <c r="HG1204" s="73"/>
      <c r="HH1204" s="73"/>
      <c r="HI1204" s="73"/>
      <c r="HJ1204" s="73"/>
      <c r="HK1204" s="73"/>
      <c r="HL1204" s="73"/>
      <c r="HM1204" s="73"/>
      <c r="HN1204" s="73"/>
      <c r="HO1204" s="73"/>
      <c r="HP1204" s="73"/>
      <c r="HQ1204" s="73"/>
      <c r="HR1204" s="73"/>
      <c r="HS1204" s="73"/>
      <c r="HT1204" s="73"/>
      <c r="HU1204" s="73"/>
      <c r="HV1204" s="73"/>
      <c r="HW1204" s="73"/>
      <c r="HX1204" s="73"/>
      <c r="HY1204" s="73"/>
      <c r="HZ1204" s="73"/>
      <c r="IA1204" s="73"/>
      <c r="IB1204" s="73"/>
      <c r="IC1204" s="73"/>
      <c r="ID1204" s="73"/>
      <c r="IE1204" s="73"/>
      <c r="IF1204" s="73"/>
      <c r="IG1204" s="73"/>
      <c r="IH1204" s="73"/>
      <c r="II1204" s="73"/>
      <c r="IJ1204" s="73"/>
      <c r="IK1204" s="73"/>
      <c r="IL1204" s="73"/>
      <c r="IM1204" s="73"/>
      <c r="IN1204" s="73"/>
      <c r="IO1204" s="73"/>
      <c r="IP1204" s="73"/>
      <c r="IQ1204" s="73"/>
      <c r="IR1204" s="73"/>
      <c r="IS1204" s="73"/>
      <c r="IT1204" s="73"/>
      <c r="IU1204" s="73"/>
      <c r="IV1204" s="73"/>
      <c r="IW1204" s="73"/>
      <c r="IX1204" s="73"/>
      <c r="IY1204" s="73"/>
      <c r="IZ1204" s="73"/>
      <c r="JA1204" s="73"/>
      <c r="JB1204" s="73"/>
      <c r="JC1204" s="73"/>
    </row>
    <row r="1205" spans="2:263" s="72" customFormat="1">
      <c r="B1205" s="73"/>
      <c r="C1205" s="73"/>
      <c r="D1205" s="73"/>
      <c r="E1205" s="73"/>
      <c r="F1205" s="73"/>
      <c r="G1205" s="73"/>
      <c r="H1205" s="73"/>
      <c r="I1205" s="73"/>
      <c r="J1205" s="73"/>
      <c r="K1205" s="73"/>
      <c r="L1205" s="73"/>
      <c r="M1205" s="73"/>
      <c r="N1205" s="73"/>
      <c r="O1205" s="73"/>
      <c r="P1205" s="73"/>
      <c r="Q1205" s="73"/>
      <c r="R1205" s="73"/>
      <c r="S1205" s="73"/>
      <c r="T1205" s="73"/>
      <c r="U1205" s="73"/>
      <c r="V1205" s="73"/>
      <c r="W1205" s="73"/>
      <c r="GL1205" s="73"/>
      <c r="GM1205" s="73"/>
      <c r="GN1205" s="73"/>
      <c r="GO1205" s="73"/>
      <c r="GP1205" s="73"/>
      <c r="GQ1205" s="73"/>
      <c r="GR1205" s="73"/>
      <c r="GS1205" s="73"/>
      <c r="GT1205" s="73"/>
      <c r="GU1205" s="73"/>
      <c r="GV1205" s="73"/>
      <c r="GW1205" s="73"/>
      <c r="GX1205" s="73"/>
      <c r="GY1205" s="73"/>
      <c r="GZ1205" s="73"/>
      <c r="HA1205" s="73"/>
      <c r="HB1205" s="73"/>
      <c r="HC1205" s="73"/>
      <c r="HD1205" s="73"/>
      <c r="HE1205" s="73"/>
      <c r="HF1205" s="73"/>
      <c r="HG1205" s="73"/>
      <c r="HH1205" s="73"/>
      <c r="HI1205" s="73"/>
      <c r="HJ1205" s="73"/>
      <c r="HK1205" s="73"/>
      <c r="HL1205" s="73"/>
      <c r="HM1205" s="73"/>
      <c r="HN1205" s="73"/>
      <c r="HO1205" s="73"/>
      <c r="HP1205" s="73"/>
      <c r="HQ1205" s="73"/>
      <c r="HR1205" s="73"/>
      <c r="HS1205" s="73"/>
      <c r="HT1205" s="73"/>
      <c r="HU1205" s="73"/>
      <c r="HV1205" s="73"/>
      <c r="HW1205" s="73"/>
      <c r="HX1205" s="73"/>
      <c r="HY1205" s="73"/>
      <c r="HZ1205" s="73"/>
      <c r="IA1205" s="73"/>
      <c r="IB1205" s="73"/>
      <c r="IC1205" s="73"/>
      <c r="ID1205" s="73"/>
      <c r="IE1205" s="73"/>
      <c r="IF1205" s="73"/>
      <c r="IG1205" s="73"/>
      <c r="IH1205" s="73"/>
      <c r="II1205" s="73"/>
      <c r="IJ1205" s="73"/>
      <c r="IK1205" s="73"/>
      <c r="IL1205" s="73"/>
      <c r="IM1205" s="73"/>
      <c r="IN1205" s="73"/>
      <c r="IO1205" s="73"/>
      <c r="IP1205" s="73"/>
      <c r="IQ1205" s="73"/>
      <c r="IR1205" s="73"/>
      <c r="IS1205" s="73"/>
      <c r="IT1205" s="73"/>
      <c r="IU1205" s="73"/>
      <c r="IV1205" s="73"/>
      <c r="IW1205" s="73"/>
      <c r="IX1205" s="73"/>
      <c r="IY1205" s="73"/>
      <c r="IZ1205" s="73"/>
      <c r="JA1205" s="73"/>
      <c r="JB1205" s="73"/>
      <c r="JC1205" s="73"/>
    </row>
    <row r="1206" spans="2:263" s="72" customFormat="1">
      <c r="B1206" s="73"/>
      <c r="C1206" s="73"/>
      <c r="D1206" s="73"/>
      <c r="E1206" s="73"/>
      <c r="F1206" s="73"/>
      <c r="G1206" s="73"/>
      <c r="H1206" s="73"/>
      <c r="I1206" s="73"/>
      <c r="J1206" s="73"/>
      <c r="K1206" s="73"/>
      <c r="L1206" s="73"/>
      <c r="M1206" s="73"/>
      <c r="N1206" s="73"/>
      <c r="O1206" s="73"/>
      <c r="P1206" s="73"/>
      <c r="Q1206" s="73"/>
      <c r="R1206" s="73"/>
      <c r="S1206" s="73"/>
      <c r="T1206" s="73"/>
      <c r="U1206" s="73"/>
      <c r="V1206" s="73"/>
      <c r="W1206" s="73"/>
      <c r="GL1206" s="73"/>
      <c r="GM1206" s="73"/>
      <c r="GN1206" s="73"/>
      <c r="GO1206" s="73"/>
      <c r="GP1206" s="73"/>
      <c r="GQ1206" s="73"/>
      <c r="GR1206" s="73"/>
      <c r="GS1206" s="73"/>
      <c r="GT1206" s="73"/>
      <c r="GU1206" s="73"/>
      <c r="GV1206" s="73"/>
      <c r="GW1206" s="73"/>
      <c r="GX1206" s="73"/>
      <c r="GY1206" s="73"/>
      <c r="GZ1206" s="73"/>
      <c r="HA1206" s="73"/>
      <c r="HB1206" s="73"/>
      <c r="HC1206" s="73"/>
      <c r="HD1206" s="73"/>
      <c r="HE1206" s="73"/>
      <c r="HF1206" s="73"/>
      <c r="HG1206" s="73"/>
      <c r="HH1206" s="73"/>
      <c r="HI1206" s="73"/>
      <c r="HJ1206" s="73"/>
      <c r="HK1206" s="73"/>
      <c r="HL1206" s="73"/>
      <c r="HM1206" s="73"/>
      <c r="HN1206" s="73"/>
      <c r="HO1206" s="73"/>
      <c r="HP1206" s="73"/>
      <c r="HQ1206" s="73"/>
      <c r="HR1206" s="73"/>
      <c r="HS1206" s="73"/>
      <c r="HT1206" s="73"/>
      <c r="HU1206" s="73"/>
      <c r="HV1206" s="73"/>
      <c r="HW1206" s="73"/>
      <c r="HX1206" s="73"/>
      <c r="HY1206" s="73"/>
      <c r="HZ1206" s="73"/>
      <c r="IA1206" s="73"/>
      <c r="IB1206" s="73"/>
      <c r="IC1206" s="73"/>
      <c r="ID1206" s="73"/>
      <c r="IE1206" s="73"/>
      <c r="IF1206" s="73"/>
      <c r="IG1206" s="73"/>
      <c r="IH1206" s="73"/>
      <c r="II1206" s="73"/>
      <c r="IJ1206" s="73"/>
      <c r="IK1206" s="73"/>
      <c r="IL1206" s="73"/>
      <c r="IM1206" s="73"/>
      <c r="IN1206" s="73"/>
      <c r="IO1206" s="73"/>
      <c r="IP1206" s="73"/>
      <c r="IQ1206" s="73"/>
      <c r="IR1206" s="73"/>
      <c r="IS1206" s="73"/>
      <c r="IT1206" s="73"/>
      <c r="IU1206" s="73"/>
      <c r="IV1206" s="73"/>
      <c r="IW1206" s="73"/>
      <c r="IX1206" s="73"/>
      <c r="IY1206" s="73"/>
      <c r="IZ1206" s="73"/>
      <c r="JA1206" s="73"/>
      <c r="JB1206" s="73"/>
      <c r="JC1206" s="73"/>
    </row>
    <row r="1207" spans="2:263" s="72" customFormat="1">
      <c r="B1207" s="73"/>
      <c r="C1207" s="73"/>
      <c r="D1207" s="73"/>
      <c r="E1207" s="73"/>
      <c r="F1207" s="73"/>
      <c r="G1207" s="73"/>
      <c r="H1207" s="73"/>
      <c r="I1207" s="73"/>
      <c r="J1207" s="73"/>
      <c r="K1207" s="73"/>
      <c r="L1207" s="73"/>
      <c r="M1207" s="73"/>
      <c r="N1207" s="73"/>
      <c r="O1207" s="73"/>
      <c r="P1207" s="73"/>
      <c r="Q1207" s="73"/>
      <c r="R1207" s="73"/>
      <c r="S1207" s="73"/>
      <c r="T1207" s="73"/>
      <c r="U1207" s="73"/>
      <c r="V1207" s="73"/>
      <c r="W1207" s="73"/>
      <c r="GL1207" s="73"/>
      <c r="GM1207" s="73"/>
      <c r="GN1207" s="73"/>
      <c r="GO1207" s="73"/>
      <c r="GP1207" s="73"/>
      <c r="GQ1207" s="73"/>
      <c r="GR1207" s="73"/>
      <c r="GS1207" s="73"/>
      <c r="GT1207" s="73"/>
      <c r="GU1207" s="73"/>
      <c r="GV1207" s="73"/>
      <c r="GW1207" s="73"/>
      <c r="GX1207" s="73"/>
      <c r="GY1207" s="73"/>
      <c r="GZ1207" s="73"/>
      <c r="HA1207" s="73"/>
      <c r="HB1207" s="73"/>
      <c r="HC1207" s="73"/>
      <c r="HD1207" s="73"/>
      <c r="HE1207" s="73"/>
      <c r="HF1207" s="73"/>
      <c r="HG1207" s="73"/>
      <c r="HH1207" s="73"/>
      <c r="HI1207" s="73"/>
      <c r="HJ1207" s="73"/>
      <c r="HK1207" s="73"/>
      <c r="HL1207" s="73"/>
      <c r="HM1207" s="73"/>
      <c r="HN1207" s="73"/>
      <c r="HO1207" s="73"/>
      <c r="HP1207" s="73"/>
      <c r="HQ1207" s="73"/>
      <c r="HR1207" s="73"/>
      <c r="HS1207" s="73"/>
      <c r="HT1207" s="73"/>
      <c r="HU1207" s="73"/>
      <c r="HV1207" s="73"/>
      <c r="HW1207" s="73"/>
      <c r="HX1207" s="73"/>
      <c r="HY1207" s="73"/>
      <c r="HZ1207" s="73"/>
      <c r="IA1207" s="73"/>
      <c r="IB1207" s="73"/>
      <c r="IC1207" s="73"/>
      <c r="ID1207" s="73"/>
      <c r="IE1207" s="73"/>
      <c r="IF1207" s="73"/>
      <c r="IG1207" s="73"/>
      <c r="IH1207" s="73"/>
      <c r="II1207" s="73"/>
      <c r="IJ1207" s="73"/>
      <c r="IK1207" s="73"/>
      <c r="IL1207" s="73"/>
      <c r="IM1207" s="73"/>
      <c r="IN1207" s="73"/>
      <c r="IO1207" s="73"/>
      <c r="IP1207" s="73"/>
      <c r="IQ1207" s="73"/>
      <c r="IR1207" s="73"/>
      <c r="IS1207" s="73"/>
      <c r="IT1207" s="73"/>
      <c r="IU1207" s="73"/>
      <c r="IV1207" s="73"/>
      <c r="IW1207" s="73"/>
      <c r="IX1207" s="73"/>
      <c r="IY1207" s="73"/>
      <c r="IZ1207" s="73"/>
      <c r="JA1207" s="73"/>
      <c r="JB1207" s="73"/>
      <c r="JC1207" s="73"/>
    </row>
    <row r="1208" spans="2:263" s="72" customFormat="1">
      <c r="B1208" s="73"/>
      <c r="C1208" s="73"/>
      <c r="D1208" s="73"/>
      <c r="E1208" s="73"/>
      <c r="F1208" s="73"/>
      <c r="G1208" s="73"/>
      <c r="H1208" s="73"/>
      <c r="I1208" s="73"/>
      <c r="J1208" s="73"/>
      <c r="K1208" s="73"/>
      <c r="L1208" s="73"/>
      <c r="M1208" s="73"/>
      <c r="N1208" s="73"/>
      <c r="O1208" s="73"/>
      <c r="P1208" s="73"/>
      <c r="Q1208" s="73"/>
      <c r="R1208" s="73"/>
      <c r="S1208" s="73"/>
      <c r="T1208" s="73"/>
      <c r="U1208" s="73"/>
      <c r="V1208" s="73"/>
      <c r="W1208" s="73"/>
      <c r="GL1208" s="73"/>
      <c r="GM1208" s="73"/>
      <c r="GN1208" s="73"/>
      <c r="GO1208" s="73"/>
      <c r="GP1208" s="73"/>
      <c r="GQ1208" s="73"/>
      <c r="GR1208" s="73"/>
      <c r="GS1208" s="73"/>
      <c r="GT1208" s="73"/>
      <c r="GU1208" s="73"/>
      <c r="GV1208" s="73"/>
      <c r="GW1208" s="73"/>
      <c r="GX1208" s="73"/>
      <c r="GY1208" s="73"/>
      <c r="GZ1208" s="73"/>
      <c r="HA1208" s="73"/>
      <c r="HB1208" s="73"/>
      <c r="HC1208" s="73"/>
      <c r="HD1208" s="73"/>
      <c r="HE1208" s="73"/>
      <c r="HF1208" s="73"/>
      <c r="HG1208" s="73"/>
      <c r="HH1208" s="73"/>
      <c r="HI1208" s="73"/>
      <c r="HJ1208" s="73"/>
      <c r="HK1208" s="73"/>
      <c r="HL1208" s="73"/>
      <c r="HM1208" s="73"/>
      <c r="HN1208" s="73"/>
      <c r="HO1208" s="73"/>
      <c r="HP1208" s="73"/>
      <c r="HQ1208" s="73"/>
      <c r="HR1208" s="73"/>
      <c r="HS1208" s="73"/>
      <c r="HT1208" s="73"/>
      <c r="HU1208" s="73"/>
      <c r="HV1208" s="73"/>
      <c r="HW1208" s="73"/>
      <c r="HX1208" s="73"/>
      <c r="HY1208" s="73"/>
      <c r="HZ1208" s="73"/>
      <c r="IA1208" s="73"/>
      <c r="IB1208" s="73"/>
      <c r="IC1208" s="73"/>
      <c r="ID1208" s="73"/>
      <c r="IE1208" s="73"/>
      <c r="IF1208" s="73"/>
      <c r="IG1208" s="73"/>
      <c r="IH1208" s="73"/>
      <c r="II1208" s="73"/>
      <c r="IJ1208" s="73"/>
      <c r="IK1208" s="73"/>
      <c r="IL1208" s="73"/>
      <c r="IM1208" s="73"/>
      <c r="IN1208" s="73"/>
      <c r="IO1208" s="73"/>
      <c r="IP1208" s="73"/>
      <c r="IQ1208" s="73"/>
      <c r="IR1208" s="73"/>
      <c r="IS1208" s="73"/>
      <c r="IT1208" s="73"/>
      <c r="IU1208" s="73"/>
      <c r="IV1208" s="73"/>
      <c r="IW1208" s="73"/>
      <c r="IX1208" s="73"/>
      <c r="IY1208" s="73"/>
      <c r="IZ1208" s="73"/>
      <c r="JA1208" s="73"/>
      <c r="JB1208" s="73"/>
      <c r="JC1208" s="73"/>
    </row>
    <row r="1209" spans="2:263" s="72" customFormat="1">
      <c r="B1209" s="73"/>
      <c r="C1209" s="73"/>
      <c r="D1209" s="73"/>
      <c r="E1209" s="73"/>
      <c r="F1209" s="73"/>
      <c r="G1209" s="73"/>
      <c r="H1209" s="73"/>
      <c r="I1209" s="73"/>
      <c r="J1209" s="73"/>
      <c r="K1209" s="73"/>
      <c r="L1209" s="73"/>
      <c r="M1209" s="73"/>
      <c r="N1209" s="73"/>
      <c r="O1209" s="73"/>
      <c r="P1209" s="73"/>
      <c r="Q1209" s="73"/>
      <c r="R1209" s="73"/>
      <c r="S1209" s="73"/>
      <c r="T1209" s="73"/>
      <c r="U1209" s="73"/>
      <c r="V1209" s="73"/>
      <c r="W1209" s="73"/>
      <c r="GL1209" s="73"/>
      <c r="GM1209" s="73"/>
      <c r="GN1209" s="73"/>
      <c r="GO1209" s="73"/>
      <c r="GP1209" s="73"/>
      <c r="GQ1209" s="73"/>
      <c r="GR1209" s="73"/>
      <c r="GS1209" s="73"/>
      <c r="GT1209" s="73"/>
      <c r="GU1209" s="73"/>
      <c r="GV1209" s="73"/>
      <c r="GW1209" s="73"/>
      <c r="GX1209" s="73"/>
      <c r="GY1209" s="73"/>
      <c r="GZ1209" s="73"/>
      <c r="HA1209" s="73"/>
      <c r="HB1209" s="73"/>
      <c r="HC1209" s="73"/>
      <c r="HD1209" s="73"/>
      <c r="HE1209" s="73"/>
      <c r="HF1209" s="73"/>
      <c r="HG1209" s="73"/>
      <c r="HH1209" s="73"/>
      <c r="HI1209" s="73"/>
      <c r="HJ1209" s="73"/>
      <c r="HK1209" s="73"/>
      <c r="HL1209" s="73"/>
      <c r="HM1209" s="73"/>
      <c r="HN1209" s="73"/>
      <c r="HO1209" s="73"/>
      <c r="HP1209" s="73"/>
      <c r="HQ1209" s="73"/>
      <c r="HR1209" s="73"/>
      <c r="HS1209" s="73"/>
      <c r="HT1209" s="73"/>
      <c r="HU1209" s="73"/>
      <c r="HV1209" s="73"/>
      <c r="HW1209" s="73"/>
      <c r="HX1209" s="73"/>
      <c r="HY1209" s="73"/>
      <c r="HZ1209" s="73"/>
      <c r="IA1209" s="73"/>
      <c r="IB1209" s="73"/>
      <c r="IC1209" s="73"/>
      <c r="ID1209" s="73"/>
      <c r="IE1209" s="73"/>
      <c r="IF1209" s="73"/>
      <c r="IG1209" s="73"/>
      <c r="IH1209" s="73"/>
      <c r="II1209" s="73"/>
      <c r="IJ1209" s="73"/>
      <c r="IK1209" s="73"/>
      <c r="IL1209" s="73"/>
      <c r="IM1209" s="73"/>
      <c r="IN1209" s="73"/>
      <c r="IO1209" s="73"/>
      <c r="IP1209" s="73"/>
      <c r="IQ1209" s="73"/>
      <c r="IR1209" s="73"/>
      <c r="IS1209" s="73"/>
      <c r="IT1209" s="73"/>
      <c r="IU1209" s="73"/>
      <c r="IV1209" s="73"/>
      <c r="IW1209" s="73"/>
      <c r="IX1209" s="73"/>
      <c r="IY1209" s="73"/>
      <c r="IZ1209" s="73"/>
      <c r="JA1209" s="73"/>
      <c r="JB1209" s="73"/>
      <c r="JC1209" s="73"/>
    </row>
    <row r="1210" spans="2:263" s="72" customFormat="1">
      <c r="B1210" s="73"/>
      <c r="C1210" s="73"/>
      <c r="D1210" s="73"/>
      <c r="E1210" s="73"/>
      <c r="F1210" s="73"/>
      <c r="G1210" s="73"/>
      <c r="H1210" s="73"/>
      <c r="I1210" s="73"/>
      <c r="J1210" s="73"/>
      <c r="K1210" s="73"/>
      <c r="L1210" s="73"/>
      <c r="M1210" s="73"/>
      <c r="N1210" s="73"/>
      <c r="O1210" s="73"/>
      <c r="P1210" s="73"/>
      <c r="Q1210" s="73"/>
      <c r="R1210" s="73"/>
      <c r="S1210" s="73"/>
      <c r="T1210" s="73"/>
      <c r="U1210" s="73"/>
      <c r="V1210" s="73"/>
      <c r="W1210" s="73"/>
      <c r="GL1210" s="73"/>
      <c r="GM1210" s="73"/>
      <c r="GN1210" s="73"/>
      <c r="GO1210" s="73"/>
      <c r="GP1210" s="73"/>
      <c r="GQ1210" s="73"/>
      <c r="GR1210" s="73"/>
      <c r="GS1210" s="73"/>
      <c r="GT1210" s="73"/>
      <c r="GU1210" s="73"/>
      <c r="GV1210" s="73"/>
      <c r="GW1210" s="73"/>
      <c r="GX1210" s="73"/>
      <c r="GY1210" s="73"/>
      <c r="GZ1210" s="73"/>
      <c r="HA1210" s="73"/>
      <c r="HB1210" s="73"/>
      <c r="HC1210" s="73"/>
      <c r="HD1210" s="73"/>
      <c r="HE1210" s="73"/>
      <c r="HF1210" s="73"/>
      <c r="HG1210" s="73"/>
      <c r="HH1210" s="73"/>
      <c r="HI1210" s="73"/>
      <c r="HJ1210" s="73"/>
      <c r="HK1210" s="73"/>
      <c r="HL1210" s="73"/>
      <c r="HM1210" s="73"/>
      <c r="HN1210" s="73"/>
      <c r="HO1210" s="73"/>
      <c r="HP1210" s="73"/>
      <c r="HQ1210" s="73"/>
      <c r="HR1210" s="73"/>
      <c r="HS1210" s="73"/>
      <c r="HT1210" s="73"/>
      <c r="HU1210" s="73"/>
      <c r="HV1210" s="73"/>
      <c r="HW1210" s="73"/>
      <c r="HX1210" s="73"/>
      <c r="HY1210" s="73"/>
      <c r="HZ1210" s="73"/>
      <c r="IA1210" s="73"/>
      <c r="IB1210" s="73"/>
      <c r="IC1210" s="73"/>
      <c r="ID1210" s="73"/>
      <c r="IE1210" s="73"/>
      <c r="IF1210" s="73"/>
      <c r="IG1210" s="73"/>
      <c r="IH1210" s="73"/>
      <c r="II1210" s="73"/>
      <c r="IJ1210" s="73"/>
      <c r="IK1210" s="73"/>
      <c r="IL1210" s="73"/>
      <c r="IM1210" s="73"/>
      <c r="IN1210" s="73"/>
      <c r="IO1210" s="73"/>
      <c r="IP1210" s="73"/>
      <c r="IQ1210" s="73"/>
      <c r="IR1210" s="73"/>
      <c r="IS1210" s="73"/>
      <c r="IT1210" s="73"/>
      <c r="IU1210" s="73"/>
      <c r="IV1210" s="73"/>
      <c r="IW1210" s="73"/>
      <c r="IX1210" s="73"/>
      <c r="IY1210" s="73"/>
      <c r="IZ1210" s="73"/>
      <c r="JA1210" s="73"/>
      <c r="JB1210" s="73"/>
      <c r="JC1210" s="73"/>
    </row>
    <row r="1211" spans="2:263" s="72" customFormat="1">
      <c r="B1211" s="73"/>
      <c r="C1211" s="73"/>
      <c r="D1211" s="73"/>
      <c r="E1211" s="73"/>
      <c r="F1211" s="73"/>
      <c r="G1211" s="73"/>
      <c r="H1211" s="73"/>
      <c r="I1211" s="73"/>
      <c r="J1211" s="73"/>
      <c r="K1211" s="73"/>
      <c r="L1211" s="73"/>
      <c r="M1211" s="73"/>
      <c r="N1211" s="73"/>
      <c r="O1211" s="73"/>
      <c r="P1211" s="73"/>
      <c r="Q1211" s="73"/>
      <c r="R1211" s="73"/>
      <c r="S1211" s="73"/>
      <c r="T1211" s="73"/>
      <c r="U1211" s="73"/>
      <c r="V1211" s="73"/>
      <c r="W1211" s="73"/>
      <c r="GL1211" s="73"/>
      <c r="GM1211" s="73"/>
      <c r="GN1211" s="73"/>
      <c r="GO1211" s="73"/>
      <c r="GP1211" s="73"/>
      <c r="GQ1211" s="73"/>
      <c r="GR1211" s="73"/>
      <c r="GS1211" s="73"/>
      <c r="GT1211" s="73"/>
      <c r="GU1211" s="73"/>
      <c r="GV1211" s="73"/>
      <c r="GW1211" s="73"/>
      <c r="GX1211" s="73"/>
      <c r="GY1211" s="73"/>
      <c r="GZ1211" s="73"/>
      <c r="HA1211" s="73"/>
      <c r="HB1211" s="73"/>
      <c r="HC1211" s="73"/>
      <c r="HD1211" s="73"/>
      <c r="HE1211" s="73"/>
      <c r="HF1211" s="73"/>
      <c r="HG1211" s="73"/>
      <c r="HH1211" s="73"/>
      <c r="HI1211" s="73"/>
      <c r="HJ1211" s="73"/>
      <c r="HK1211" s="73"/>
      <c r="HL1211" s="73"/>
      <c r="HM1211" s="73"/>
      <c r="HN1211" s="73"/>
      <c r="HO1211" s="73"/>
      <c r="HP1211" s="73"/>
      <c r="HQ1211" s="73"/>
      <c r="HR1211" s="73"/>
      <c r="HS1211" s="73"/>
      <c r="HT1211" s="73"/>
      <c r="HU1211" s="73"/>
      <c r="HV1211" s="73"/>
      <c r="HW1211" s="73"/>
      <c r="HX1211" s="73"/>
      <c r="HY1211" s="73"/>
      <c r="HZ1211" s="73"/>
      <c r="IA1211" s="73"/>
      <c r="IB1211" s="73"/>
      <c r="IC1211" s="73"/>
      <c r="ID1211" s="73"/>
      <c r="IE1211" s="73"/>
      <c r="IF1211" s="73"/>
      <c r="IG1211" s="73"/>
      <c r="IH1211" s="73"/>
      <c r="II1211" s="73"/>
      <c r="IJ1211" s="73"/>
      <c r="IK1211" s="73"/>
      <c r="IL1211" s="73"/>
      <c r="IM1211" s="73"/>
      <c r="IN1211" s="73"/>
      <c r="IO1211" s="73"/>
      <c r="IP1211" s="73"/>
      <c r="IQ1211" s="73"/>
      <c r="IR1211" s="73"/>
      <c r="IS1211" s="73"/>
      <c r="IT1211" s="73"/>
      <c r="IU1211" s="73"/>
      <c r="IV1211" s="73"/>
      <c r="IW1211" s="73"/>
      <c r="IX1211" s="73"/>
      <c r="IY1211" s="73"/>
      <c r="IZ1211" s="73"/>
      <c r="JA1211" s="73"/>
      <c r="JB1211" s="73"/>
      <c r="JC1211" s="73"/>
    </row>
    <row r="1212" spans="2:263" s="72" customFormat="1">
      <c r="B1212" s="73"/>
      <c r="C1212" s="73"/>
      <c r="D1212" s="73"/>
      <c r="E1212" s="73"/>
      <c r="F1212" s="73"/>
      <c r="G1212" s="73"/>
      <c r="H1212" s="73"/>
      <c r="I1212" s="73"/>
      <c r="J1212" s="73"/>
      <c r="K1212" s="73"/>
      <c r="L1212" s="73"/>
      <c r="M1212" s="73"/>
      <c r="N1212" s="73"/>
      <c r="O1212" s="73"/>
      <c r="P1212" s="73"/>
      <c r="Q1212" s="73"/>
      <c r="R1212" s="73"/>
      <c r="S1212" s="73"/>
      <c r="T1212" s="73"/>
      <c r="U1212" s="73"/>
      <c r="V1212" s="73"/>
      <c r="W1212" s="73"/>
      <c r="GL1212" s="73"/>
      <c r="GM1212" s="73"/>
      <c r="GN1212" s="73"/>
      <c r="GO1212" s="73"/>
      <c r="GP1212" s="73"/>
      <c r="GQ1212" s="73"/>
      <c r="GR1212" s="73"/>
      <c r="GS1212" s="73"/>
      <c r="GT1212" s="73"/>
      <c r="GU1212" s="73"/>
      <c r="GV1212" s="73"/>
      <c r="GW1212" s="73"/>
      <c r="GX1212" s="73"/>
      <c r="GY1212" s="73"/>
      <c r="GZ1212" s="73"/>
      <c r="HA1212" s="73"/>
      <c r="HB1212" s="73"/>
      <c r="HC1212" s="73"/>
      <c r="HD1212" s="73"/>
      <c r="HE1212" s="73"/>
      <c r="HF1212" s="73"/>
      <c r="HG1212" s="73"/>
      <c r="HH1212" s="73"/>
      <c r="HI1212" s="73"/>
      <c r="HJ1212" s="73"/>
      <c r="HK1212" s="73"/>
      <c r="HL1212" s="73"/>
      <c r="HM1212" s="73"/>
      <c r="HN1212" s="73"/>
      <c r="HO1212" s="73"/>
      <c r="HP1212" s="73"/>
      <c r="HQ1212" s="73"/>
      <c r="HR1212" s="73"/>
      <c r="HS1212" s="73"/>
      <c r="HT1212" s="73"/>
      <c r="HU1212" s="73"/>
      <c r="HV1212" s="73"/>
      <c r="HW1212" s="73"/>
      <c r="HX1212" s="73"/>
      <c r="HY1212" s="73"/>
      <c r="HZ1212" s="73"/>
      <c r="IA1212" s="73"/>
      <c r="IB1212" s="73"/>
      <c r="IC1212" s="73"/>
      <c r="ID1212" s="73"/>
      <c r="IE1212" s="73"/>
      <c r="IF1212" s="73"/>
      <c r="IG1212" s="73"/>
      <c r="IH1212" s="73"/>
      <c r="II1212" s="73"/>
      <c r="IJ1212" s="73"/>
      <c r="IK1212" s="73"/>
      <c r="IL1212" s="73"/>
      <c r="IM1212" s="73"/>
      <c r="IN1212" s="73"/>
      <c r="IO1212" s="73"/>
      <c r="IP1212" s="73"/>
      <c r="IQ1212" s="73"/>
      <c r="IR1212" s="73"/>
      <c r="IS1212" s="73"/>
      <c r="IT1212" s="73"/>
      <c r="IU1212" s="73"/>
      <c r="IV1212" s="73"/>
      <c r="IW1212" s="73"/>
      <c r="IX1212" s="73"/>
      <c r="IY1212" s="73"/>
      <c r="IZ1212" s="73"/>
      <c r="JA1212" s="73"/>
      <c r="JB1212" s="73"/>
      <c r="JC1212" s="73"/>
    </row>
    <row r="1213" spans="2:263" s="72" customFormat="1">
      <c r="B1213" s="73"/>
      <c r="C1213" s="73"/>
      <c r="D1213" s="73"/>
      <c r="E1213" s="73"/>
      <c r="F1213" s="73"/>
      <c r="G1213" s="73"/>
      <c r="H1213" s="73"/>
      <c r="I1213" s="73"/>
      <c r="J1213" s="73"/>
      <c r="K1213" s="73"/>
      <c r="L1213" s="73"/>
      <c r="M1213" s="73"/>
      <c r="N1213" s="73"/>
      <c r="O1213" s="73"/>
      <c r="P1213" s="73"/>
      <c r="Q1213" s="73"/>
      <c r="R1213" s="73"/>
      <c r="S1213" s="73"/>
      <c r="T1213" s="73"/>
      <c r="U1213" s="73"/>
      <c r="V1213" s="73"/>
      <c r="W1213" s="73"/>
      <c r="GL1213" s="73"/>
      <c r="GM1213" s="73"/>
      <c r="GN1213" s="73"/>
      <c r="GO1213" s="73"/>
      <c r="GP1213" s="73"/>
      <c r="GQ1213" s="73"/>
      <c r="GR1213" s="73"/>
      <c r="GS1213" s="73"/>
      <c r="GT1213" s="73"/>
      <c r="GU1213" s="73"/>
      <c r="GV1213" s="73"/>
      <c r="GW1213" s="73"/>
      <c r="GX1213" s="73"/>
      <c r="GY1213" s="73"/>
      <c r="GZ1213" s="73"/>
      <c r="HA1213" s="73"/>
      <c r="HB1213" s="73"/>
      <c r="HC1213" s="73"/>
      <c r="HD1213" s="73"/>
      <c r="HE1213" s="73"/>
      <c r="HF1213" s="73"/>
      <c r="HG1213" s="73"/>
      <c r="HH1213" s="73"/>
      <c r="HI1213" s="73"/>
      <c r="HJ1213" s="73"/>
      <c r="HK1213" s="73"/>
      <c r="HL1213" s="73"/>
      <c r="HM1213" s="73"/>
      <c r="HN1213" s="73"/>
      <c r="HO1213" s="73"/>
      <c r="HP1213" s="73"/>
      <c r="HQ1213" s="73"/>
      <c r="HR1213" s="73"/>
      <c r="HS1213" s="73"/>
      <c r="HT1213" s="73"/>
      <c r="HU1213" s="73"/>
      <c r="HV1213" s="73"/>
      <c r="HW1213" s="73"/>
      <c r="HX1213" s="73"/>
      <c r="HY1213" s="73"/>
      <c r="HZ1213" s="73"/>
      <c r="IA1213" s="73"/>
      <c r="IB1213" s="73"/>
      <c r="IC1213" s="73"/>
      <c r="ID1213" s="73"/>
      <c r="IE1213" s="73"/>
      <c r="IF1213" s="73"/>
      <c r="IG1213" s="73"/>
      <c r="IH1213" s="73"/>
      <c r="II1213" s="73"/>
      <c r="IJ1213" s="73"/>
      <c r="IK1213" s="73"/>
      <c r="IL1213" s="73"/>
      <c r="IM1213" s="73"/>
      <c r="IN1213" s="73"/>
      <c r="IO1213" s="73"/>
      <c r="IP1213" s="73"/>
      <c r="IQ1213" s="73"/>
      <c r="IR1213" s="73"/>
      <c r="IS1213" s="73"/>
      <c r="IT1213" s="73"/>
      <c r="IU1213" s="73"/>
      <c r="IV1213" s="73"/>
      <c r="IW1213" s="73"/>
      <c r="IX1213" s="73"/>
      <c r="IY1213" s="73"/>
      <c r="IZ1213" s="73"/>
      <c r="JA1213" s="73"/>
      <c r="JB1213" s="73"/>
      <c r="JC1213" s="73"/>
    </row>
    <row r="1214" spans="2:263" s="72" customFormat="1">
      <c r="B1214" s="73"/>
      <c r="C1214" s="73"/>
      <c r="D1214" s="73"/>
      <c r="E1214" s="73"/>
      <c r="F1214" s="73"/>
      <c r="G1214" s="73"/>
      <c r="H1214" s="73"/>
      <c r="I1214" s="73"/>
      <c r="J1214" s="73"/>
      <c r="K1214" s="73"/>
      <c r="L1214" s="73"/>
      <c r="M1214" s="73"/>
      <c r="N1214" s="73"/>
      <c r="O1214" s="73"/>
      <c r="P1214" s="73"/>
      <c r="Q1214" s="73"/>
      <c r="R1214" s="73"/>
      <c r="S1214" s="73"/>
      <c r="T1214" s="73"/>
      <c r="U1214" s="73"/>
      <c r="V1214" s="73"/>
      <c r="W1214" s="73"/>
      <c r="GL1214" s="73"/>
      <c r="GM1214" s="73"/>
      <c r="GN1214" s="73"/>
      <c r="GO1214" s="73"/>
      <c r="GP1214" s="73"/>
      <c r="GQ1214" s="73"/>
      <c r="GR1214" s="73"/>
      <c r="GS1214" s="73"/>
      <c r="GT1214" s="73"/>
      <c r="GU1214" s="73"/>
      <c r="GV1214" s="73"/>
      <c r="GW1214" s="73"/>
      <c r="GX1214" s="73"/>
      <c r="GY1214" s="73"/>
      <c r="GZ1214" s="73"/>
      <c r="HA1214" s="73"/>
      <c r="HB1214" s="73"/>
      <c r="HC1214" s="73"/>
      <c r="HD1214" s="73"/>
      <c r="HE1214" s="73"/>
      <c r="HF1214" s="73"/>
      <c r="HG1214" s="73"/>
      <c r="HH1214" s="73"/>
      <c r="HI1214" s="73"/>
      <c r="HJ1214" s="73"/>
      <c r="HK1214" s="73"/>
      <c r="HL1214" s="73"/>
      <c r="HM1214" s="73"/>
      <c r="HN1214" s="73"/>
      <c r="HO1214" s="73"/>
      <c r="HP1214" s="73"/>
      <c r="HQ1214" s="73"/>
      <c r="HR1214" s="73"/>
      <c r="HS1214" s="73"/>
      <c r="HT1214" s="73"/>
      <c r="HU1214" s="73"/>
      <c r="HV1214" s="73"/>
      <c r="HW1214" s="73"/>
      <c r="HX1214" s="73"/>
      <c r="HY1214" s="73"/>
      <c r="HZ1214" s="73"/>
      <c r="IA1214" s="73"/>
      <c r="IB1214" s="73"/>
      <c r="IC1214" s="73"/>
      <c r="ID1214" s="73"/>
      <c r="IE1214" s="73"/>
      <c r="IF1214" s="73"/>
      <c r="IG1214" s="73"/>
      <c r="IH1214" s="73"/>
      <c r="II1214" s="73"/>
      <c r="IJ1214" s="73"/>
      <c r="IK1214" s="73"/>
      <c r="IL1214" s="73"/>
      <c r="IM1214" s="73"/>
      <c r="IN1214" s="73"/>
      <c r="IO1214" s="73"/>
      <c r="IP1214" s="73"/>
      <c r="IQ1214" s="73"/>
      <c r="IR1214" s="73"/>
      <c r="IS1214" s="73"/>
      <c r="IT1214" s="73"/>
      <c r="IU1214" s="73"/>
      <c r="IV1214" s="73"/>
      <c r="IW1214" s="73"/>
      <c r="IX1214" s="73"/>
      <c r="IY1214" s="73"/>
      <c r="IZ1214" s="73"/>
      <c r="JA1214" s="73"/>
      <c r="JB1214" s="73"/>
      <c r="JC1214" s="73"/>
    </row>
    <row r="1215" spans="2:263" s="72" customFormat="1">
      <c r="B1215" s="73"/>
      <c r="C1215" s="73"/>
      <c r="D1215" s="73"/>
      <c r="E1215" s="73"/>
      <c r="F1215" s="73"/>
      <c r="G1215" s="73"/>
      <c r="H1215" s="73"/>
      <c r="I1215" s="73"/>
      <c r="J1215" s="73"/>
      <c r="K1215" s="73"/>
      <c r="L1215" s="73"/>
      <c r="M1215" s="73"/>
      <c r="N1215" s="73"/>
      <c r="O1215" s="73"/>
      <c r="P1215" s="73"/>
      <c r="Q1215" s="73"/>
      <c r="R1215" s="73"/>
      <c r="S1215" s="73"/>
      <c r="T1215" s="73"/>
      <c r="U1215" s="73"/>
      <c r="V1215" s="73"/>
      <c r="W1215" s="73"/>
      <c r="GL1215" s="73"/>
      <c r="GM1215" s="73"/>
      <c r="GN1215" s="73"/>
      <c r="GO1215" s="73"/>
      <c r="GP1215" s="73"/>
      <c r="GQ1215" s="73"/>
      <c r="GR1215" s="73"/>
      <c r="GS1215" s="73"/>
      <c r="GT1215" s="73"/>
      <c r="GU1215" s="73"/>
      <c r="GV1215" s="73"/>
      <c r="GW1215" s="73"/>
      <c r="GX1215" s="73"/>
      <c r="GY1215" s="73"/>
      <c r="GZ1215" s="73"/>
      <c r="HA1215" s="73"/>
      <c r="HB1215" s="73"/>
      <c r="HC1215" s="73"/>
      <c r="HD1215" s="73"/>
      <c r="HE1215" s="73"/>
      <c r="HF1215" s="73"/>
      <c r="HG1215" s="73"/>
      <c r="HH1215" s="73"/>
      <c r="HI1215" s="73"/>
      <c r="HJ1215" s="73"/>
      <c r="HK1215" s="73"/>
      <c r="HL1215" s="73"/>
      <c r="HM1215" s="73"/>
      <c r="HN1215" s="73"/>
      <c r="HO1215" s="73"/>
      <c r="HP1215" s="73"/>
      <c r="HQ1215" s="73"/>
      <c r="HR1215" s="73"/>
      <c r="HS1215" s="73"/>
      <c r="HT1215" s="73"/>
      <c r="HU1215" s="73"/>
      <c r="HV1215" s="73"/>
      <c r="HW1215" s="73"/>
      <c r="HX1215" s="73"/>
      <c r="HY1215" s="73"/>
      <c r="HZ1215" s="73"/>
      <c r="IA1215" s="73"/>
      <c r="IB1215" s="73"/>
      <c r="IC1215" s="73"/>
      <c r="ID1215" s="73"/>
      <c r="IE1215" s="73"/>
      <c r="IF1215" s="73"/>
      <c r="IG1215" s="73"/>
      <c r="IH1215" s="73"/>
      <c r="II1215" s="73"/>
      <c r="IJ1215" s="73"/>
      <c r="IK1215" s="73"/>
      <c r="IL1215" s="73"/>
      <c r="IM1215" s="73"/>
      <c r="IN1215" s="73"/>
      <c r="IO1215" s="73"/>
      <c r="IP1215" s="73"/>
      <c r="IQ1215" s="73"/>
      <c r="IR1215" s="73"/>
      <c r="IS1215" s="73"/>
      <c r="IT1215" s="73"/>
      <c r="IU1215" s="73"/>
      <c r="IV1215" s="73"/>
      <c r="IW1215" s="73"/>
      <c r="IX1215" s="73"/>
      <c r="IY1215" s="73"/>
      <c r="IZ1215" s="73"/>
      <c r="JA1215" s="73"/>
      <c r="JB1215" s="73"/>
      <c r="JC1215" s="73"/>
    </row>
    <row r="1216" spans="2:263" s="72" customFormat="1">
      <c r="B1216" s="73"/>
      <c r="C1216" s="73"/>
      <c r="D1216" s="73"/>
      <c r="E1216" s="73"/>
      <c r="F1216" s="73"/>
      <c r="G1216" s="73"/>
      <c r="H1216" s="73"/>
      <c r="I1216" s="73"/>
      <c r="J1216" s="73"/>
      <c r="K1216" s="73"/>
      <c r="L1216" s="73"/>
      <c r="M1216" s="73"/>
      <c r="N1216" s="73"/>
      <c r="O1216" s="73"/>
      <c r="P1216" s="73"/>
      <c r="Q1216" s="73"/>
      <c r="R1216" s="73"/>
      <c r="S1216" s="73"/>
      <c r="T1216" s="73"/>
      <c r="U1216" s="73"/>
      <c r="V1216" s="73"/>
      <c r="W1216" s="73"/>
      <c r="GL1216" s="73"/>
      <c r="GM1216" s="73"/>
      <c r="GN1216" s="73"/>
      <c r="GO1216" s="73"/>
      <c r="GP1216" s="73"/>
      <c r="GQ1216" s="73"/>
      <c r="GR1216" s="73"/>
      <c r="GS1216" s="73"/>
      <c r="GT1216" s="73"/>
      <c r="GU1216" s="73"/>
      <c r="GV1216" s="73"/>
      <c r="GW1216" s="73"/>
      <c r="GX1216" s="73"/>
      <c r="GY1216" s="73"/>
      <c r="GZ1216" s="73"/>
      <c r="HA1216" s="73"/>
      <c r="HB1216" s="73"/>
      <c r="HC1216" s="73"/>
      <c r="HD1216" s="73"/>
      <c r="HE1216" s="73"/>
      <c r="HF1216" s="73"/>
      <c r="HG1216" s="73"/>
      <c r="HH1216" s="73"/>
      <c r="HI1216" s="73"/>
      <c r="HJ1216" s="73"/>
      <c r="HK1216" s="73"/>
      <c r="HL1216" s="73"/>
      <c r="HM1216" s="73"/>
      <c r="HN1216" s="73"/>
      <c r="HO1216" s="73"/>
      <c r="HP1216" s="73"/>
      <c r="HQ1216" s="73"/>
      <c r="HR1216" s="73"/>
      <c r="HS1216" s="73"/>
      <c r="HT1216" s="73"/>
      <c r="HU1216" s="73"/>
      <c r="HV1216" s="73"/>
      <c r="HW1216" s="73"/>
      <c r="HX1216" s="73"/>
      <c r="HY1216" s="73"/>
      <c r="HZ1216" s="73"/>
      <c r="IA1216" s="73"/>
      <c r="IB1216" s="73"/>
      <c r="IC1216" s="73"/>
      <c r="ID1216" s="73"/>
      <c r="IE1216" s="73"/>
      <c r="IF1216" s="73"/>
      <c r="IG1216" s="73"/>
      <c r="IH1216" s="73"/>
      <c r="II1216" s="73"/>
      <c r="IJ1216" s="73"/>
      <c r="IK1216" s="73"/>
      <c r="IL1216" s="73"/>
      <c r="IM1216" s="73"/>
      <c r="IN1216" s="73"/>
      <c r="IO1216" s="73"/>
      <c r="IP1216" s="73"/>
      <c r="IQ1216" s="73"/>
      <c r="IR1216" s="73"/>
      <c r="IS1216" s="73"/>
      <c r="IT1216" s="73"/>
      <c r="IU1216" s="73"/>
      <c r="IV1216" s="73"/>
      <c r="IW1216" s="73"/>
      <c r="IX1216" s="73"/>
      <c r="IY1216" s="73"/>
      <c r="IZ1216" s="73"/>
      <c r="JA1216" s="73"/>
      <c r="JB1216" s="73"/>
      <c r="JC1216" s="73"/>
    </row>
    <row r="1217" spans="2:263" s="72" customFormat="1">
      <c r="B1217" s="73"/>
      <c r="C1217" s="73"/>
      <c r="D1217" s="73"/>
      <c r="E1217" s="73"/>
      <c r="F1217" s="73"/>
      <c r="G1217" s="73"/>
      <c r="H1217" s="73"/>
      <c r="I1217" s="73"/>
      <c r="J1217" s="73"/>
      <c r="K1217" s="73"/>
      <c r="L1217" s="73"/>
      <c r="M1217" s="73"/>
      <c r="N1217" s="73"/>
      <c r="O1217" s="73"/>
      <c r="P1217" s="73"/>
      <c r="Q1217" s="73"/>
      <c r="R1217" s="73"/>
      <c r="S1217" s="73"/>
      <c r="T1217" s="73"/>
      <c r="U1217" s="73"/>
      <c r="V1217" s="73"/>
      <c r="W1217" s="73"/>
      <c r="GL1217" s="73"/>
      <c r="GM1217" s="73"/>
      <c r="GN1217" s="73"/>
      <c r="GO1217" s="73"/>
      <c r="GP1217" s="73"/>
      <c r="GQ1217" s="73"/>
      <c r="GR1217" s="73"/>
      <c r="GS1217" s="73"/>
      <c r="GT1217" s="73"/>
      <c r="GU1217" s="73"/>
      <c r="GV1217" s="73"/>
      <c r="GW1217" s="73"/>
      <c r="GX1217" s="73"/>
      <c r="GY1217" s="73"/>
      <c r="GZ1217" s="73"/>
      <c r="HA1217" s="73"/>
      <c r="HB1217" s="73"/>
      <c r="HC1217" s="73"/>
      <c r="HD1217" s="73"/>
      <c r="HE1217" s="73"/>
      <c r="HF1217" s="73"/>
      <c r="HG1217" s="73"/>
      <c r="HH1217" s="73"/>
      <c r="HI1217" s="73"/>
      <c r="HJ1217" s="73"/>
      <c r="HK1217" s="73"/>
      <c r="HL1217" s="73"/>
      <c r="HM1217" s="73"/>
      <c r="HN1217" s="73"/>
      <c r="HO1217" s="73"/>
      <c r="HP1217" s="73"/>
      <c r="HQ1217" s="73"/>
      <c r="HR1217" s="73"/>
      <c r="HS1217" s="73"/>
      <c r="HT1217" s="73"/>
      <c r="HU1217" s="73"/>
      <c r="HV1217" s="73"/>
      <c r="HW1217" s="73"/>
      <c r="HX1217" s="73"/>
      <c r="HY1217" s="73"/>
      <c r="HZ1217" s="73"/>
      <c r="IA1217" s="73"/>
      <c r="IB1217" s="73"/>
      <c r="IC1217" s="73"/>
      <c r="ID1217" s="73"/>
      <c r="IE1217" s="73"/>
      <c r="IF1217" s="73"/>
      <c r="IG1217" s="73"/>
      <c r="IH1217" s="73"/>
      <c r="II1217" s="73"/>
      <c r="IJ1217" s="73"/>
      <c r="IK1217" s="73"/>
      <c r="IL1217" s="73"/>
      <c r="IM1217" s="73"/>
      <c r="IN1217" s="73"/>
      <c r="IO1217" s="73"/>
      <c r="IP1217" s="73"/>
      <c r="IQ1217" s="73"/>
      <c r="IR1217" s="73"/>
      <c r="IS1217" s="73"/>
      <c r="IT1217" s="73"/>
      <c r="IU1217" s="73"/>
      <c r="IV1217" s="73"/>
      <c r="IW1217" s="73"/>
      <c r="IX1217" s="73"/>
      <c r="IY1217" s="73"/>
      <c r="IZ1217" s="73"/>
      <c r="JA1217" s="73"/>
      <c r="JB1217" s="73"/>
      <c r="JC1217" s="73"/>
    </row>
    <row r="1218" spans="2:263" s="72" customFormat="1">
      <c r="B1218" s="73"/>
      <c r="C1218" s="73"/>
      <c r="D1218" s="73"/>
      <c r="E1218" s="73"/>
      <c r="F1218" s="73"/>
      <c r="G1218" s="73"/>
      <c r="H1218" s="73"/>
      <c r="I1218" s="73"/>
      <c r="J1218" s="73"/>
      <c r="K1218" s="73"/>
      <c r="L1218" s="73"/>
      <c r="M1218" s="73"/>
      <c r="N1218" s="73"/>
      <c r="O1218" s="73"/>
      <c r="P1218" s="73"/>
      <c r="Q1218" s="73"/>
      <c r="R1218" s="73"/>
      <c r="S1218" s="73"/>
      <c r="T1218" s="73"/>
      <c r="U1218" s="73"/>
      <c r="V1218" s="73"/>
      <c r="W1218" s="73"/>
      <c r="GL1218" s="73"/>
      <c r="GM1218" s="73"/>
      <c r="GN1218" s="73"/>
      <c r="GO1218" s="73"/>
      <c r="GP1218" s="73"/>
      <c r="GQ1218" s="73"/>
      <c r="GR1218" s="73"/>
      <c r="GS1218" s="73"/>
      <c r="GT1218" s="73"/>
      <c r="GU1218" s="73"/>
      <c r="GV1218" s="73"/>
      <c r="GW1218" s="73"/>
      <c r="GX1218" s="73"/>
      <c r="GY1218" s="73"/>
      <c r="GZ1218" s="73"/>
      <c r="HA1218" s="73"/>
      <c r="HB1218" s="73"/>
      <c r="HC1218" s="73"/>
      <c r="HD1218" s="73"/>
      <c r="HE1218" s="73"/>
      <c r="HF1218" s="73"/>
      <c r="HG1218" s="73"/>
      <c r="HH1218" s="73"/>
      <c r="HI1218" s="73"/>
      <c r="HJ1218" s="73"/>
      <c r="HK1218" s="73"/>
      <c r="HL1218" s="73"/>
      <c r="HM1218" s="73"/>
      <c r="HN1218" s="73"/>
      <c r="HO1218" s="73"/>
      <c r="HP1218" s="73"/>
      <c r="HQ1218" s="73"/>
      <c r="HR1218" s="73"/>
      <c r="HS1218" s="73"/>
      <c r="HT1218" s="73"/>
      <c r="HU1218" s="73"/>
      <c r="HV1218" s="73"/>
      <c r="HW1218" s="73"/>
      <c r="HX1218" s="73"/>
      <c r="HY1218" s="73"/>
      <c r="HZ1218" s="73"/>
      <c r="IA1218" s="73"/>
      <c r="IB1218" s="73"/>
      <c r="IC1218" s="73"/>
      <c r="ID1218" s="73"/>
      <c r="IE1218" s="73"/>
      <c r="IF1218" s="73"/>
      <c r="IG1218" s="73"/>
      <c r="IH1218" s="73"/>
      <c r="II1218" s="73"/>
      <c r="IJ1218" s="73"/>
      <c r="IK1218" s="73"/>
      <c r="IL1218" s="73"/>
      <c r="IM1218" s="73"/>
      <c r="IN1218" s="73"/>
      <c r="IO1218" s="73"/>
      <c r="IP1218" s="73"/>
      <c r="IQ1218" s="73"/>
      <c r="IR1218" s="73"/>
      <c r="IS1218" s="73"/>
      <c r="IT1218" s="73"/>
      <c r="IU1218" s="73"/>
      <c r="IV1218" s="73"/>
      <c r="IW1218" s="73"/>
      <c r="IX1218" s="73"/>
      <c r="IY1218" s="73"/>
      <c r="IZ1218" s="73"/>
      <c r="JA1218" s="73"/>
      <c r="JB1218" s="73"/>
      <c r="JC1218" s="73"/>
    </row>
    <row r="1219" spans="2:263" s="72" customFormat="1">
      <c r="B1219" s="73"/>
      <c r="C1219" s="73"/>
      <c r="D1219" s="73"/>
      <c r="E1219" s="73"/>
      <c r="F1219" s="73"/>
      <c r="G1219" s="73"/>
      <c r="H1219" s="73"/>
      <c r="I1219" s="73"/>
      <c r="J1219" s="73"/>
      <c r="K1219" s="73"/>
      <c r="L1219" s="73"/>
      <c r="M1219" s="73"/>
      <c r="N1219" s="73"/>
      <c r="O1219" s="73"/>
      <c r="P1219" s="73"/>
      <c r="Q1219" s="73"/>
      <c r="R1219" s="73"/>
      <c r="S1219" s="73"/>
      <c r="T1219" s="73"/>
      <c r="U1219" s="73"/>
      <c r="V1219" s="73"/>
      <c r="W1219" s="73"/>
      <c r="GL1219" s="73"/>
      <c r="GM1219" s="73"/>
      <c r="GN1219" s="73"/>
      <c r="GO1219" s="73"/>
      <c r="GP1219" s="73"/>
      <c r="GQ1219" s="73"/>
      <c r="GR1219" s="73"/>
      <c r="GS1219" s="73"/>
      <c r="GT1219" s="73"/>
      <c r="GU1219" s="73"/>
      <c r="GV1219" s="73"/>
      <c r="GW1219" s="73"/>
      <c r="GX1219" s="73"/>
      <c r="GY1219" s="73"/>
      <c r="GZ1219" s="73"/>
      <c r="HA1219" s="73"/>
      <c r="HB1219" s="73"/>
      <c r="HC1219" s="73"/>
      <c r="HD1219" s="73"/>
      <c r="HE1219" s="73"/>
      <c r="HF1219" s="73"/>
      <c r="HG1219" s="73"/>
      <c r="HH1219" s="73"/>
      <c r="HI1219" s="73"/>
      <c r="HJ1219" s="73"/>
      <c r="HK1219" s="73"/>
      <c r="HL1219" s="73"/>
      <c r="HM1219" s="73"/>
      <c r="HN1219" s="73"/>
      <c r="HO1219" s="73"/>
      <c r="HP1219" s="73"/>
      <c r="HQ1219" s="73"/>
      <c r="HR1219" s="73"/>
      <c r="HS1219" s="73"/>
      <c r="HT1219" s="73"/>
      <c r="HU1219" s="73"/>
      <c r="HV1219" s="73"/>
      <c r="HW1219" s="73"/>
      <c r="HX1219" s="73"/>
      <c r="HY1219" s="73"/>
      <c r="HZ1219" s="73"/>
      <c r="IA1219" s="73"/>
      <c r="IB1219" s="73"/>
      <c r="IC1219" s="73"/>
      <c r="ID1219" s="73"/>
      <c r="IE1219" s="73"/>
      <c r="IF1219" s="73"/>
      <c r="IG1219" s="73"/>
      <c r="IH1219" s="73"/>
      <c r="II1219" s="73"/>
      <c r="IJ1219" s="73"/>
      <c r="IK1219" s="73"/>
      <c r="IL1219" s="73"/>
      <c r="IM1219" s="73"/>
      <c r="IN1219" s="73"/>
      <c r="IO1219" s="73"/>
      <c r="IP1219" s="73"/>
      <c r="IQ1219" s="73"/>
      <c r="IR1219" s="73"/>
      <c r="IS1219" s="73"/>
      <c r="IT1219" s="73"/>
      <c r="IU1219" s="73"/>
      <c r="IV1219" s="73"/>
      <c r="IW1219" s="73"/>
      <c r="IX1219" s="73"/>
      <c r="IY1219" s="73"/>
      <c r="IZ1219" s="73"/>
      <c r="JA1219" s="73"/>
      <c r="JB1219" s="73"/>
      <c r="JC1219" s="73"/>
    </row>
    <row r="1220" spans="2:263" s="72" customFormat="1">
      <c r="B1220" s="73"/>
      <c r="C1220" s="73"/>
      <c r="D1220" s="73"/>
      <c r="E1220" s="73"/>
      <c r="F1220" s="73"/>
      <c r="G1220" s="73"/>
      <c r="H1220" s="73"/>
      <c r="I1220" s="73"/>
      <c r="J1220" s="73"/>
      <c r="K1220" s="73"/>
      <c r="L1220" s="73"/>
      <c r="M1220" s="73"/>
      <c r="N1220" s="73"/>
      <c r="O1220" s="73"/>
      <c r="P1220" s="73"/>
      <c r="Q1220" s="73"/>
      <c r="R1220" s="73"/>
      <c r="S1220" s="73"/>
      <c r="T1220" s="73"/>
      <c r="U1220" s="73"/>
      <c r="V1220" s="73"/>
      <c r="W1220" s="73"/>
      <c r="GL1220" s="73"/>
      <c r="GM1220" s="73"/>
      <c r="GN1220" s="73"/>
      <c r="GO1220" s="73"/>
      <c r="GP1220" s="73"/>
      <c r="GQ1220" s="73"/>
      <c r="GR1220" s="73"/>
      <c r="GS1220" s="73"/>
      <c r="GT1220" s="73"/>
      <c r="GU1220" s="73"/>
      <c r="GV1220" s="73"/>
      <c r="GW1220" s="73"/>
      <c r="GX1220" s="73"/>
      <c r="GY1220" s="73"/>
      <c r="GZ1220" s="73"/>
      <c r="HA1220" s="73"/>
      <c r="HB1220" s="73"/>
      <c r="HC1220" s="73"/>
      <c r="HD1220" s="73"/>
      <c r="HE1220" s="73"/>
      <c r="HF1220" s="73"/>
      <c r="HG1220" s="73"/>
      <c r="HH1220" s="73"/>
      <c r="HI1220" s="73"/>
      <c r="HJ1220" s="73"/>
      <c r="HK1220" s="73"/>
      <c r="HL1220" s="73"/>
      <c r="HM1220" s="73"/>
      <c r="HN1220" s="73"/>
      <c r="HO1220" s="73"/>
      <c r="HP1220" s="73"/>
      <c r="HQ1220" s="73"/>
      <c r="HR1220" s="73"/>
      <c r="HS1220" s="73"/>
      <c r="HT1220" s="73"/>
      <c r="HU1220" s="73"/>
      <c r="HV1220" s="73"/>
      <c r="HW1220" s="73"/>
      <c r="HX1220" s="73"/>
      <c r="HY1220" s="73"/>
      <c r="HZ1220" s="73"/>
      <c r="IA1220" s="73"/>
      <c r="IB1220" s="73"/>
      <c r="IC1220" s="73"/>
      <c r="ID1220" s="73"/>
      <c r="IE1220" s="73"/>
      <c r="IF1220" s="73"/>
      <c r="IG1220" s="73"/>
      <c r="IH1220" s="73"/>
      <c r="II1220" s="73"/>
      <c r="IJ1220" s="73"/>
      <c r="IK1220" s="73"/>
      <c r="IL1220" s="73"/>
      <c r="IM1220" s="73"/>
      <c r="IN1220" s="73"/>
      <c r="IO1220" s="73"/>
      <c r="IP1220" s="73"/>
      <c r="IQ1220" s="73"/>
      <c r="IR1220" s="73"/>
      <c r="IS1220" s="73"/>
      <c r="IT1220" s="73"/>
      <c r="IU1220" s="73"/>
      <c r="IV1220" s="73"/>
      <c r="IW1220" s="73"/>
      <c r="IX1220" s="73"/>
      <c r="IY1220" s="73"/>
      <c r="IZ1220" s="73"/>
      <c r="JA1220" s="73"/>
      <c r="JB1220" s="73"/>
      <c r="JC1220" s="73"/>
    </row>
    <row r="1221" spans="2:263" s="72" customFormat="1">
      <c r="B1221" s="73"/>
      <c r="C1221" s="73"/>
      <c r="D1221" s="73"/>
      <c r="E1221" s="73"/>
      <c r="F1221" s="73"/>
      <c r="G1221" s="73"/>
      <c r="H1221" s="73"/>
      <c r="I1221" s="73"/>
      <c r="J1221" s="73"/>
      <c r="K1221" s="73"/>
      <c r="L1221" s="73"/>
      <c r="M1221" s="73"/>
      <c r="N1221" s="73"/>
      <c r="O1221" s="73"/>
      <c r="P1221" s="73"/>
      <c r="Q1221" s="73"/>
      <c r="R1221" s="73"/>
      <c r="S1221" s="73"/>
      <c r="T1221" s="73"/>
      <c r="U1221" s="73"/>
      <c r="V1221" s="73"/>
      <c r="W1221" s="73"/>
      <c r="GL1221" s="73"/>
      <c r="GM1221" s="73"/>
      <c r="GN1221" s="73"/>
      <c r="GO1221" s="73"/>
      <c r="GP1221" s="73"/>
      <c r="GQ1221" s="73"/>
      <c r="GR1221" s="73"/>
      <c r="GS1221" s="73"/>
      <c r="GT1221" s="73"/>
      <c r="GU1221" s="73"/>
      <c r="GV1221" s="73"/>
      <c r="GW1221" s="73"/>
      <c r="GX1221" s="73"/>
      <c r="GY1221" s="73"/>
      <c r="GZ1221" s="73"/>
      <c r="HA1221" s="73"/>
      <c r="HB1221" s="73"/>
      <c r="HC1221" s="73"/>
      <c r="HD1221" s="73"/>
      <c r="HE1221" s="73"/>
      <c r="HF1221" s="73"/>
      <c r="HG1221" s="73"/>
      <c r="HH1221" s="73"/>
      <c r="HI1221" s="73"/>
      <c r="HJ1221" s="73"/>
      <c r="HK1221" s="73"/>
      <c r="HL1221" s="73"/>
      <c r="HM1221" s="73"/>
      <c r="HN1221" s="73"/>
      <c r="HO1221" s="73"/>
      <c r="HP1221" s="73"/>
      <c r="HQ1221" s="73"/>
      <c r="HR1221" s="73"/>
      <c r="HS1221" s="73"/>
      <c r="HT1221" s="73"/>
      <c r="HU1221" s="73"/>
      <c r="HV1221" s="73"/>
      <c r="HW1221" s="73"/>
      <c r="HX1221" s="73"/>
      <c r="HY1221" s="73"/>
      <c r="HZ1221" s="73"/>
      <c r="IA1221" s="73"/>
      <c r="IB1221" s="73"/>
      <c r="IC1221" s="73"/>
      <c r="ID1221" s="73"/>
      <c r="IE1221" s="73"/>
      <c r="IF1221" s="73"/>
      <c r="IG1221" s="73"/>
      <c r="IH1221" s="73"/>
      <c r="II1221" s="73"/>
      <c r="IJ1221" s="73"/>
      <c r="IK1221" s="73"/>
      <c r="IL1221" s="73"/>
      <c r="IM1221" s="73"/>
      <c r="IN1221" s="73"/>
      <c r="IO1221" s="73"/>
      <c r="IP1221" s="73"/>
      <c r="IQ1221" s="73"/>
      <c r="IR1221" s="73"/>
      <c r="IS1221" s="73"/>
      <c r="IT1221" s="73"/>
      <c r="IU1221" s="73"/>
      <c r="IV1221" s="73"/>
      <c r="IW1221" s="73"/>
      <c r="IX1221" s="73"/>
      <c r="IY1221" s="73"/>
      <c r="IZ1221" s="73"/>
      <c r="JA1221" s="73"/>
      <c r="JB1221" s="73"/>
      <c r="JC1221" s="73"/>
    </row>
    <row r="1222" spans="2:263" s="72" customFormat="1">
      <c r="B1222" s="73"/>
      <c r="C1222" s="73"/>
      <c r="D1222" s="73"/>
      <c r="E1222" s="73"/>
      <c r="F1222" s="73"/>
      <c r="G1222" s="73"/>
      <c r="H1222" s="73"/>
      <c r="I1222" s="73"/>
      <c r="J1222" s="73"/>
      <c r="K1222" s="73"/>
      <c r="L1222" s="73"/>
      <c r="M1222" s="73"/>
      <c r="N1222" s="73"/>
      <c r="O1222" s="73"/>
      <c r="P1222" s="73"/>
      <c r="Q1222" s="73"/>
      <c r="R1222" s="73"/>
      <c r="S1222" s="73"/>
      <c r="T1222" s="73"/>
      <c r="U1222" s="73"/>
      <c r="V1222" s="73"/>
      <c r="W1222" s="73"/>
      <c r="GL1222" s="73"/>
      <c r="GM1222" s="73"/>
      <c r="GN1222" s="73"/>
      <c r="GO1222" s="73"/>
      <c r="GP1222" s="73"/>
      <c r="GQ1222" s="73"/>
      <c r="GR1222" s="73"/>
      <c r="GS1222" s="73"/>
      <c r="GT1222" s="73"/>
      <c r="GU1222" s="73"/>
      <c r="GV1222" s="73"/>
      <c r="GW1222" s="73"/>
      <c r="GX1222" s="73"/>
      <c r="GY1222" s="73"/>
      <c r="GZ1222" s="73"/>
      <c r="HA1222" s="73"/>
      <c r="HB1222" s="73"/>
      <c r="HC1222" s="73"/>
      <c r="HD1222" s="73"/>
      <c r="HE1222" s="73"/>
      <c r="HF1222" s="73"/>
      <c r="HG1222" s="73"/>
      <c r="HH1222" s="73"/>
      <c r="HI1222" s="73"/>
      <c r="HJ1222" s="73"/>
      <c r="HK1222" s="73"/>
      <c r="HL1222" s="73"/>
      <c r="HM1222" s="73"/>
      <c r="HN1222" s="73"/>
      <c r="HO1222" s="73"/>
      <c r="HP1222" s="73"/>
      <c r="HQ1222" s="73"/>
      <c r="HR1222" s="73"/>
      <c r="HS1222" s="73"/>
      <c r="HT1222" s="73"/>
      <c r="HU1222" s="73"/>
      <c r="HV1222" s="73"/>
      <c r="HW1222" s="73"/>
      <c r="HX1222" s="73"/>
      <c r="HY1222" s="73"/>
      <c r="HZ1222" s="73"/>
      <c r="IA1222" s="73"/>
      <c r="IB1222" s="73"/>
      <c r="IC1222" s="73"/>
      <c r="ID1222" s="73"/>
      <c r="IE1222" s="73"/>
      <c r="IF1222" s="73"/>
      <c r="IG1222" s="73"/>
      <c r="IH1222" s="73"/>
      <c r="II1222" s="73"/>
      <c r="IJ1222" s="73"/>
      <c r="IK1222" s="73"/>
      <c r="IL1222" s="73"/>
      <c r="IM1222" s="73"/>
      <c r="IN1222" s="73"/>
      <c r="IO1222" s="73"/>
      <c r="IP1222" s="73"/>
      <c r="IQ1222" s="73"/>
      <c r="IR1222" s="73"/>
      <c r="IS1222" s="73"/>
      <c r="IT1222" s="73"/>
      <c r="IU1222" s="73"/>
      <c r="IV1222" s="73"/>
      <c r="IW1222" s="73"/>
      <c r="IX1222" s="73"/>
      <c r="IY1222" s="73"/>
      <c r="IZ1222" s="73"/>
      <c r="JA1222" s="73"/>
      <c r="JB1222" s="73"/>
      <c r="JC1222" s="73"/>
    </row>
    <row r="1223" spans="2:263" s="72" customFormat="1">
      <c r="B1223" s="73"/>
      <c r="C1223" s="73"/>
      <c r="D1223" s="73"/>
      <c r="E1223" s="73"/>
      <c r="F1223" s="73"/>
      <c r="G1223" s="73"/>
      <c r="H1223" s="73"/>
      <c r="I1223" s="73"/>
      <c r="J1223" s="73"/>
      <c r="K1223" s="73"/>
      <c r="L1223" s="73"/>
      <c r="M1223" s="73"/>
      <c r="N1223" s="73"/>
      <c r="O1223" s="73"/>
      <c r="P1223" s="73"/>
      <c r="Q1223" s="73"/>
      <c r="R1223" s="73"/>
      <c r="S1223" s="73"/>
      <c r="T1223" s="73"/>
      <c r="U1223" s="73"/>
      <c r="V1223" s="73"/>
      <c r="W1223" s="73"/>
      <c r="GL1223" s="73"/>
      <c r="GM1223" s="73"/>
      <c r="GN1223" s="73"/>
      <c r="GO1223" s="73"/>
      <c r="GP1223" s="73"/>
      <c r="GQ1223" s="73"/>
      <c r="GR1223" s="73"/>
      <c r="GS1223" s="73"/>
      <c r="GT1223" s="73"/>
      <c r="GU1223" s="73"/>
      <c r="GV1223" s="73"/>
      <c r="GW1223" s="73"/>
      <c r="GX1223" s="73"/>
      <c r="GY1223" s="73"/>
      <c r="GZ1223" s="73"/>
      <c r="HA1223" s="73"/>
      <c r="HB1223" s="73"/>
      <c r="HC1223" s="73"/>
      <c r="HD1223" s="73"/>
      <c r="HE1223" s="73"/>
      <c r="HF1223" s="73"/>
      <c r="HG1223" s="73"/>
      <c r="HH1223" s="73"/>
      <c r="HI1223" s="73"/>
      <c r="HJ1223" s="73"/>
      <c r="HK1223" s="73"/>
      <c r="HL1223" s="73"/>
      <c r="HM1223" s="73"/>
      <c r="HN1223" s="73"/>
      <c r="HO1223" s="73"/>
      <c r="HP1223" s="73"/>
      <c r="HQ1223" s="73"/>
      <c r="HR1223" s="73"/>
      <c r="HS1223" s="73"/>
      <c r="HT1223" s="73"/>
      <c r="HU1223" s="73"/>
      <c r="HV1223" s="73"/>
      <c r="HW1223" s="73"/>
      <c r="HX1223" s="73"/>
      <c r="HY1223" s="73"/>
      <c r="HZ1223" s="73"/>
      <c r="IA1223" s="73"/>
      <c r="IB1223" s="73"/>
      <c r="IC1223" s="73"/>
      <c r="ID1223" s="73"/>
      <c r="IE1223" s="73"/>
      <c r="IF1223" s="73"/>
      <c r="IG1223" s="73"/>
      <c r="IH1223" s="73"/>
      <c r="II1223" s="73"/>
      <c r="IJ1223" s="73"/>
      <c r="IK1223" s="73"/>
      <c r="IL1223" s="73"/>
      <c r="IM1223" s="73"/>
      <c r="IN1223" s="73"/>
      <c r="IO1223" s="73"/>
      <c r="IP1223" s="73"/>
      <c r="IQ1223" s="73"/>
      <c r="IR1223" s="73"/>
      <c r="IS1223" s="73"/>
      <c r="IT1223" s="73"/>
      <c r="IU1223" s="73"/>
      <c r="IV1223" s="73"/>
      <c r="IW1223" s="73"/>
      <c r="IX1223" s="73"/>
      <c r="IY1223" s="73"/>
      <c r="IZ1223" s="73"/>
      <c r="JA1223" s="73"/>
      <c r="JB1223" s="73"/>
      <c r="JC1223" s="73"/>
    </row>
    <row r="1224" spans="2:263" s="72" customFormat="1">
      <c r="B1224" s="73"/>
      <c r="C1224" s="73"/>
      <c r="D1224" s="73"/>
      <c r="E1224" s="73"/>
      <c r="F1224" s="73"/>
      <c r="G1224" s="73"/>
      <c r="H1224" s="73"/>
      <c r="I1224" s="73"/>
      <c r="J1224" s="73"/>
      <c r="K1224" s="73"/>
      <c r="L1224" s="73"/>
      <c r="M1224" s="73"/>
      <c r="N1224" s="73"/>
      <c r="O1224" s="73"/>
      <c r="P1224" s="73"/>
      <c r="Q1224" s="73"/>
      <c r="R1224" s="73"/>
      <c r="S1224" s="73"/>
      <c r="T1224" s="73"/>
      <c r="U1224" s="73"/>
      <c r="V1224" s="73"/>
      <c r="W1224" s="73"/>
      <c r="GL1224" s="73"/>
      <c r="GM1224" s="73"/>
      <c r="GN1224" s="73"/>
      <c r="GO1224" s="73"/>
      <c r="GP1224" s="73"/>
      <c r="GQ1224" s="73"/>
      <c r="GR1224" s="73"/>
      <c r="GS1224" s="73"/>
      <c r="GT1224" s="73"/>
      <c r="GU1224" s="73"/>
      <c r="GV1224" s="73"/>
      <c r="GW1224" s="73"/>
      <c r="GX1224" s="73"/>
      <c r="GY1224" s="73"/>
      <c r="GZ1224" s="73"/>
      <c r="HA1224" s="73"/>
      <c r="HB1224" s="73"/>
      <c r="HC1224" s="73"/>
      <c r="HD1224" s="73"/>
      <c r="HE1224" s="73"/>
      <c r="HF1224" s="73"/>
      <c r="HG1224" s="73"/>
      <c r="HH1224" s="73"/>
      <c r="HI1224" s="73"/>
      <c r="HJ1224" s="73"/>
      <c r="HK1224" s="73"/>
      <c r="HL1224" s="73"/>
      <c r="HM1224" s="73"/>
      <c r="HN1224" s="73"/>
      <c r="HO1224" s="73"/>
      <c r="HP1224" s="73"/>
      <c r="HQ1224" s="73"/>
      <c r="HR1224" s="73"/>
      <c r="HS1224" s="73"/>
      <c r="HT1224" s="73"/>
      <c r="HU1224" s="73"/>
      <c r="HV1224" s="73"/>
      <c r="HW1224" s="73"/>
      <c r="HX1224" s="73"/>
      <c r="HY1224" s="73"/>
      <c r="HZ1224" s="73"/>
      <c r="IA1224" s="73"/>
      <c r="IB1224" s="73"/>
      <c r="IC1224" s="73"/>
      <c r="ID1224" s="73"/>
      <c r="IE1224" s="73"/>
      <c r="IF1224" s="73"/>
      <c r="IG1224" s="73"/>
      <c r="IH1224" s="73"/>
      <c r="II1224" s="73"/>
      <c r="IJ1224" s="73"/>
      <c r="IK1224" s="73"/>
      <c r="IL1224" s="73"/>
      <c r="IM1224" s="73"/>
      <c r="IN1224" s="73"/>
      <c r="IO1224" s="73"/>
      <c r="IP1224" s="73"/>
      <c r="IQ1224" s="73"/>
      <c r="IR1224" s="73"/>
      <c r="IS1224" s="73"/>
      <c r="IT1224" s="73"/>
      <c r="IU1224" s="73"/>
      <c r="IV1224" s="73"/>
      <c r="IW1224" s="73"/>
      <c r="IX1224" s="73"/>
      <c r="IY1224" s="73"/>
      <c r="IZ1224" s="73"/>
      <c r="JA1224" s="73"/>
      <c r="JB1224" s="73"/>
      <c r="JC1224" s="73"/>
    </row>
    <row r="1225" spans="2:263" s="72" customFormat="1">
      <c r="B1225" s="73"/>
      <c r="C1225" s="73"/>
      <c r="D1225" s="73"/>
      <c r="E1225" s="73"/>
      <c r="F1225" s="73"/>
      <c r="G1225" s="73"/>
      <c r="H1225" s="73"/>
      <c r="I1225" s="73"/>
      <c r="J1225" s="73"/>
      <c r="K1225" s="73"/>
      <c r="L1225" s="73"/>
      <c r="M1225" s="73"/>
      <c r="N1225" s="73"/>
      <c r="O1225" s="73"/>
      <c r="P1225" s="73"/>
      <c r="Q1225" s="73"/>
      <c r="R1225" s="73"/>
      <c r="S1225" s="73"/>
      <c r="T1225" s="73"/>
      <c r="U1225" s="73"/>
      <c r="V1225" s="73"/>
      <c r="W1225" s="73"/>
      <c r="GL1225" s="73"/>
      <c r="GM1225" s="73"/>
      <c r="GN1225" s="73"/>
      <c r="GO1225" s="73"/>
      <c r="GP1225" s="73"/>
      <c r="GQ1225" s="73"/>
      <c r="GR1225" s="73"/>
      <c r="GS1225" s="73"/>
      <c r="GT1225" s="73"/>
      <c r="GU1225" s="73"/>
      <c r="GV1225" s="73"/>
      <c r="GW1225" s="73"/>
      <c r="GX1225" s="73"/>
      <c r="GY1225" s="73"/>
      <c r="GZ1225" s="73"/>
      <c r="HA1225" s="73"/>
      <c r="HB1225" s="73"/>
      <c r="HC1225" s="73"/>
      <c r="HD1225" s="73"/>
      <c r="HE1225" s="73"/>
      <c r="HF1225" s="73"/>
      <c r="HG1225" s="73"/>
      <c r="HH1225" s="73"/>
      <c r="HI1225" s="73"/>
      <c r="HJ1225" s="73"/>
      <c r="HK1225" s="73"/>
      <c r="HL1225" s="73"/>
      <c r="HM1225" s="73"/>
      <c r="HN1225" s="73"/>
      <c r="HO1225" s="73"/>
      <c r="HP1225" s="73"/>
      <c r="HQ1225" s="73"/>
      <c r="HR1225" s="73"/>
      <c r="HS1225" s="73"/>
      <c r="HT1225" s="73"/>
      <c r="HU1225" s="73"/>
      <c r="HV1225" s="73"/>
      <c r="HW1225" s="73"/>
      <c r="HX1225" s="73"/>
      <c r="HY1225" s="73"/>
      <c r="HZ1225" s="73"/>
      <c r="IA1225" s="73"/>
      <c r="IB1225" s="73"/>
      <c r="IC1225" s="73"/>
      <c r="ID1225" s="73"/>
      <c r="IE1225" s="73"/>
      <c r="IF1225" s="73"/>
      <c r="IG1225" s="73"/>
      <c r="IH1225" s="73"/>
      <c r="II1225" s="73"/>
      <c r="IJ1225" s="73"/>
      <c r="IK1225" s="73"/>
      <c r="IL1225" s="73"/>
      <c r="IM1225" s="73"/>
      <c r="IN1225" s="73"/>
      <c r="IO1225" s="73"/>
      <c r="IP1225" s="73"/>
      <c r="IQ1225" s="73"/>
      <c r="IR1225" s="73"/>
      <c r="IS1225" s="73"/>
      <c r="IT1225" s="73"/>
      <c r="IU1225" s="73"/>
      <c r="IV1225" s="73"/>
      <c r="IW1225" s="73"/>
      <c r="IX1225" s="73"/>
      <c r="IY1225" s="73"/>
      <c r="IZ1225" s="73"/>
      <c r="JA1225" s="73"/>
      <c r="JB1225" s="73"/>
      <c r="JC1225" s="73"/>
    </row>
    <row r="1226" spans="2:263" s="72" customFormat="1">
      <c r="B1226" s="73"/>
      <c r="C1226" s="73"/>
      <c r="D1226" s="73"/>
      <c r="E1226" s="73"/>
      <c r="F1226" s="73"/>
      <c r="G1226" s="73"/>
      <c r="H1226" s="73"/>
      <c r="I1226" s="73"/>
      <c r="J1226" s="73"/>
      <c r="K1226" s="73"/>
      <c r="L1226" s="73"/>
      <c r="M1226" s="73"/>
      <c r="N1226" s="73"/>
      <c r="O1226" s="73"/>
      <c r="P1226" s="73"/>
      <c r="Q1226" s="73"/>
      <c r="R1226" s="73"/>
      <c r="S1226" s="73"/>
      <c r="T1226" s="73"/>
      <c r="U1226" s="73"/>
      <c r="V1226" s="73"/>
      <c r="W1226" s="73"/>
      <c r="GL1226" s="73"/>
      <c r="GM1226" s="73"/>
      <c r="GN1226" s="73"/>
      <c r="GO1226" s="73"/>
      <c r="GP1226" s="73"/>
      <c r="GQ1226" s="73"/>
      <c r="GR1226" s="73"/>
      <c r="GS1226" s="73"/>
      <c r="GT1226" s="73"/>
      <c r="GU1226" s="73"/>
      <c r="GV1226" s="73"/>
      <c r="GW1226" s="73"/>
      <c r="GX1226" s="73"/>
      <c r="GY1226" s="73"/>
      <c r="GZ1226" s="73"/>
      <c r="HA1226" s="73"/>
      <c r="HB1226" s="73"/>
      <c r="HC1226" s="73"/>
      <c r="HD1226" s="73"/>
      <c r="HE1226" s="73"/>
      <c r="HF1226" s="73"/>
      <c r="HG1226" s="73"/>
      <c r="HH1226" s="73"/>
      <c r="HI1226" s="73"/>
      <c r="HJ1226" s="73"/>
      <c r="HK1226" s="73"/>
      <c r="HL1226" s="73"/>
      <c r="HM1226" s="73"/>
      <c r="HN1226" s="73"/>
      <c r="HO1226" s="73"/>
      <c r="HP1226" s="73"/>
      <c r="HQ1226" s="73"/>
      <c r="HR1226" s="73"/>
      <c r="HS1226" s="73"/>
      <c r="HT1226" s="73"/>
      <c r="HU1226" s="73"/>
      <c r="HV1226" s="73"/>
      <c r="HW1226" s="73"/>
      <c r="HX1226" s="73"/>
      <c r="HY1226" s="73"/>
      <c r="HZ1226" s="73"/>
      <c r="IA1226" s="73"/>
      <c r="IB1226" s="73"/>
      <c r="IC1226" s="73"/>
      <c r="ID1226" s="73"/>
      <c r="IE1226" s="73"/>
      <c r="IF1226" s="73"/>
      <c r="IG1226" s="73"/>
      <c r="IH1226" s="73"/>
      <c r="II1226" s="73"/>
      <c r="IJ1226" s="73"/>
      <c r="IK1226" s="73"/>
      <c r="IL1226" s="73"/>
      <c r="IM1226" s="73"/>
      <c r="IN1226" s="73"/>
      <c r="IO1226" s="73"/>
      <c r="IP1226" s="73"/>
      <c r="IQ1226" s="73"/>
      <c r="IR1226" s="73"/>
      <c r="IS1226" s="73"/>
      <c r="IT1226" s="73"/>
      <c r="IU1226" s="73"/>
      <c r="IV1226" s="73"/>
      <c r="IW1226" s="73"/>
      <c r="IX1226" s="73"/>
      <c r="IY1226" s="73"/>
      <c r="IZ1226" s="73"/>
      <c r="JA1226" s="73"/>
      <c r="JB1226" s="73"/>
      <c r="JC1226" s="73"/>
    </row>
    <row r="1227" spans="2:263" s="72" customFormat="1">
      <c r="B1227" s="73"/>
      <c r="C1227" s="73"/>
      <c r="D1227" s="73"/>
      <c r="E1227" s="73"/>
      <c r="F1227" s="73"/>
      <c r="G1227" s="73"/>
      <c r="H1227" s="73"/>
      <c r="I1227" s="73"/>
      <c r="J1227" s="73"/>
      <c r="K1227" s="73"/>
      <c r="L1227" s="73"/>
      <c r="M1227" s="73"/>
      <c r="N1227" s="73"/>
      <c r="O1227" s="73"/>
      <c r="P1227" s="73"/>
      <c r="Q1227" s="73"/>
      <c r="R1227" s="73"/>
      <c r="S1227" s="73"/>
      <c r="T1227" s="73"/>
      <c r="U1227" s="73"/>
      <c r="V1227" s="73"/>
      <c r="W1227" s="73"/>
      <c r="GL1227" s="73"/>
      <c r="GM1227" s="73"/>
      <c r="GN1227" s="73"/>
      <c r="GO1227" s="73"/>
      <c r="GP1227" s="73"/>
      <c r="GQ1227" s="73"/>
      <c r="GR1227" s="73"/>
      <c r="GS1227" s="73"/>
      <c r="GT1227" s="73"/>
      <c r="GU1227" s="73"/>
      <c r="GV1227" s="73"/>
      <c r="GW1227" s="73"/>
      <c r="GX1227" s="73"/>
      <c r="GY1227" s="73"/>
      <c r="GZ1227" s="73"/>
      <c r="HA1227" s="73"/>
      <c r="HB1227" s="73"/>
      <c r="HC1227" s="73"/>
      <c r="HD1227" s="73"/>
      <c r="HE1227" s="73"/>
      <c r="HF1227" s="73"/>
      <c r="HG1227" s="73"/>
      <c r="HH1227" s="73"/>
      <c r="HI1227" s="73"/>
      <c r="HJ1227" s="73"/>
      <c r="HK1227" s="73"/>
      <c r="HL1227" s="73"/>
      <c r="HM1227" s="73"/>
      <c r="HN1227" s="73"/>
      <c r="HO1227" s="73"/>
      <c r="HP1227" s="73"/>
      <c r="HQ1227" s="73"/>
      <c r="HR1227" s="73"/>
      <c r="HS1227" s="73"/>
      <c r="HT1227" s="73"/>
      <c r="HU1227" s="73"/>
      <c r="HV1227" s="73"/>
      <c r="HW1227" s="73"/>
      <c r="HX1227" s="73"/>
      <c r="HY1227" s="73"/>
      <c r="HZ1227" s="73"/>
      <c r="IA1227" s="73"/>
      <c r="IB1227" s="73"/>
      <c r="IC1227" s="73"/>
      <c r="ID1227" s="73"/>
      <c r="IE1227" s="73"/>
      <c r="IF1227" s="73"/>
      <c r="IG1227" s="73"/>
      <c r="IH1227" s="73"/>
      <c r="II1227" s="73"/>
      <c r="IJ1227" s="73"/>
      <c r="IK1227" s="73"/>
      <c r="IL1227" s="73"/>
      <c r="IM1227" s="73"/>
      <c r="IN1227" s="73"/>
      <c r="IO1227" s="73"/>
      <c r="IP1227" s="73"/>
      <c r="IQ1227" s="73"/>
      <c r="IR1227" s="73"/>
      <c r="IS1227" s="73"/>
      <c r="IT1227" s="73"/>
      <c r="IU1227" s="73"/>
      <c r="IV1227" s="73"/>
      <c r="IW1227" s="73"/>
      <c r="IX1227" s="73"/>
      <c r="IY1227" s="73"/>
      <c r="IZ1227" s="73"/>
      <c r="JA1227" s="73"/>
      <c r="JB1227" s="73"/>
      <c r="JC1227" s="73"/>
    </row>
    <row r="1228" spans="2:263" s="72" customFormat="1">
      <c r="B1228" s="73"/>
      <c r="C1228" s="73"/>
      <c r="D1228" s="73"/>
      <c r="E1228" s="73"/>
      <c r="F1228" s="73"/>
      <c r="G1228" s="73"/>
      <c r="H1228" s="73"/>
      <c r="I1228" s="73"/>
      <c r="J1228" s="73"/>
      <c r="K1228" s="73"/>
      <c r="L1228" s="73"/>
      <c r="M1228" s="73"/>
      <c r="N1228" s="73"/>
      <c r="O1228" s="73"/>
      <c r="P1228" s="73"/>
      <c r="Q1228" s="73"/>
      <c r="R1228" s="73"/>
      <c r="S1228" s="73"/>
      <c r="T1228" s="73"/>
      <c r="U1228" s="73"/>
      <c r="V1228" s="73"/>
      <c r="W1228" s="73"/>
      <c r="GL1228" s="73"/>
      <c r="GM1228" s="73"/>
      <c r="GN1228" s="73"/>
      <c r="GO1228" s="73"/>
      <c r="GP1228" s="73"/>
      <c r="GQ1228" s="73"/>
      <c r="GR1228" s="73"/>
      <c r="GS1228" s="73"/>
      <c r="GT1228" s="73"/>
      <c r="GU1228" s="73"/>
      <c r="GV1228" s="73"/>
      <c r="GW1228" s="73"/>
      <c r="GX1228" s="73"/>
      <c r="GY1228" s="73"/>
      <c r="GZ1228" s="73"/>
      <c r="HA1228" s="73"/>
      <c r="HB1228" s="73"/>
      <c r="HC1228" s="73"/>
      <c r="HD1228" s="73"/>
      <c r="HE1228" s="73"/>
      <c r="HF1228" s="73"/>
      <c r="HG1228" s="73"/>
      <c r="HH1228" s="73"/>
      <c r="HI1228" s="73"/>
      <c r="HJ1228" s="73"/>
      <c r="HK1228" s="73"/>
      <c r="HL1228" s="73"/>
      <c r="HM1228" s="73"/>
      <c r="HN1228" s="73"/>
      <c r="HO1228" s="73"/>
      <c r="HP1228" s="73"/>
      <c r="HQ1228" s="73"/>
      <c r="HR1228" s="73"/>
      <c r="HS1228" s="73"/>
      <c r="HT1228" s="73"/>
      <c r="HU1228" s="73"/>
      <c r="HV1228" s="73"/>
      <c r="HW1228" s="73"/>
      <c r="HX1228" s="73"/>
      <c r="HY1228" s="73"/>
      <c r="HZ1228" s="73"/>
      <c r="IA1228" s="73"/>
      <c r="IB1228" s="73"/>
      <c r="IC1228" s="73"/>
      <c r="ID1228" s="73"/>
      <c r="IE1228" s="73"/>
      <c r="IF1228" s="73"/>
      <c r="IG1228" s="73"/>
      <c r="IH1228" s="73"/>
      <c r="II1228" s="73"/>
      <c r="IJ1228" s="73"/>
      <c r="IK1228" s="73"/>
      <c r="IL1228" s="73"/>
      <c r="IM1228" s="73"/>
      <c r="IN1228" s="73"/>
      <c r="IO1228" s="73"/>
      <c r="IP1228" s="73"/>
      <c r="IQ1228" s="73"/>
      <c r="IR1228" s="73"/>
      <c r="IS1228" s="73"/>
      <c r="IT1228" s="73"/>
      <c r="IU1228" s="73"/>
      <c r="IV1228" s="73"/>
      <c r="IW1228" s="73"/>
      <c r="IX1228" s="73"/>
      <c r="IY1228" s="73"/>
      <c r="IZ1228" s="73"/>
      <c r="JA1228" s="73"/>
      <c r="JB1228" s="73"/>
      <c r="JC1228" s="73"/>
    </row>
    <row r="1229" spans="2:263" s="72" customFormat="1">
      <c r="B1229" s="73"/>
      <c r="C1229" s="73"/>
      <c r="D1229" s="73"/>
      <c r="E1229" s="73"/>
      <c r="F1229" s="73"/>
      <c r="G1229" s="73"/>
      <c r="H1229" s="73"/>
      <c r="I1229" s="73"/>
      <c r="J1229" s="73"/>
      <c r="K1229" s="73"/>
      <c r="L1229" s="73"/>
      <c r="M1229" s="73"/>
      <c r="N1229" s="73"/>
      <c r="O1229" s="73"/>
      <c r="P1229" s="73"/>
      <c r="Q1229" s="73"/>
      <c r="R1229" s="73"/>
      <c r="S1229" s="73"/>
      <c r="T1229" s="73"/>
      <c r="U1229" s="73"/>
      <c r="V1229" s="73"/>
      <c r="W1229" s="73"/>
      <c r="GL1229" s="73"/>
      <c r="GM1229" s="73"/>
      <c r="GN1229" s="73"/>
      <c r="GO1229" s="73"/>
      <c r="GP1229" s="73"/>
      <c r="GQ1229" s="73"/>
      <c r="GR1229" s="73"/>
      <c r="GS1229" s="73"/>
      <c r="GT1229" s="73"/>
      <c r="GU1229" s="73"/>
      <c r="GV1229" s="73"/>
      <c r="GW1229" s="73"/>
      <c r="GX1229" s="73"/>
      <c r="GY1229" s="73"/>
      <c r="GZ1229" s="73"/>
      <c r="HA1229" s="73"/>
      <c r="HB1229" s="73"/>
      <c r="HC1229" s="73"/>
      <c r="HD1229" s="73"/>
      <c r="HE1229" s="73"/>
      <c r="HF1229" s="73"/>
      <c r="HG1229" s="73"/>
      <c r="HH1229" s="73"/>
      <c r="HI1229" s="73"/>
      <c r="HJ1229" s="73"/>
      <c r="HK1229" s="73"/>
      <c r="HL1229" s="73"/>
      <c r="HM1229" s="73"/>
      <c r="HN1229" s="73"/>
      <c r="HO1229" s="73"/>
      <c r="HP1229" s="73"/>
      <c r="HQ1229" s="73"/>
      <c r="HR1229" s="73"/>
      <c r="HS1229" s="73"/>
      <c r="HT1229" s="73"/>
      <c r="HU1229" s="73"/>
      <c r="HV1229" s="73"/>
      <c r="HW1229" s="73"/>
      <c r="HX1229" s="73"/>
      <c r="HY1229" s="73"/>
      <c r="HZ1229" s="73"/>
      <c r="IA1229" s="73"/>
      <c r="IB1229" s="73"/>
      <c r="IC1229" s="73"/>
      <c r="ID1229" s="73"/>
      <c r="IE1229" s="73"/>
      <c r="IF1229" s="73"/>
      <c r="IG1229" s="73"/>
      <c r="IH1229" s="73"/>
      <c r="II1229" s="73"/>
      <c r="IJ1229" s="73"/>
      <c r="IK1229" s="73"/>
      <c r="IL1229" s="73"/>
      <c r="IM1229" s="73"/>
      <c r="IN1229" s="73"/>
      <c r="IO1229" s="73"/>
      <c r="IP1229" s="73"/>
      <c r="IQ1229" s="73"/>
      <c r="IR1229" s="73"/>
      <c r="IS1229" s="73"/>
      <c r="IT1229" s="73"/>
      <c r="IU1229" s="73"/>
      <c r="IV1229" s="73"/>
      <c r="IW1229" s="73"/>
      <c r="IX1229" s="73"/>
      <c r="IY1229" s="73"/>
      <c r="IZ1229" s="73"/>
      <c r="JA1229" s="73"/>
      <c r="JB1229" s="73"/>
      <c r="JC1229" s="73"/>
    </row>
    <row r="1230" spans="2:263" s="72" customFormat="1">
      <c r="B1230" s="73"/>
      <c r="C1230" s="73"/>
      <c r="D1230" s="73"/>
      <c r="E1230" s="73"/>
      <c r="F1230" s="73"/>
      <c r="G1230" s="73"/>
      <c r="H1230" s="73"/>
      <c r="I1230" s="73"/>
      <c r="J1230" s="73"/>
      <c r="K1230" s="73"/>
      <c r="L1230" s="73"/>
      <c r="M1230" s="73"/>
      <c r="N1230" s="73"/>
      <c r="O1230" s="73"/>
      <c r="P1230" s="73"/>
      <c r="Q1230" s="73"/>
      <c r="R1230" s="73"/>
      <c r="S1230" s="73"/>
      <c r="T1230" s="73"/>
      <c r="U1230" s="73"/>
      <c r="V1230" s="73"/>
      <c r="W1230" s="73"/>
      <c r="GL1230" s="73"/>
      <c r="GM1230" s="73"/>
      <c r="GN1230" s="73"/>
      <c r="GO1230" s="73"/>
      <c r="GP1230" s="73"/>
      <c r="GQ1230" s="73"/>
      <c r="GR1230" s="73"/>
      <c r="GS1230" s="73"/>
      <c r="GT1230" s="73"/>
      <c r="GU1230" s="73"/>
      <c r="GV1230" s="73"/>
      <c r="GW1230" s="73"/>
      <c r="GX1230" s="73"/>
      <c r="GY1230" s="73"/>
      <c r="GZ1230" s="73"/>
      <c r="HA1230" s="73"/>
      <c r="HB1230" s="73"/>
      <c r="HC1230" s="73"/>
      <c r="HD1230" s="73"/>
      <c r="HE1230" s="73"/>
      <c r="HF1230" s="73"/>
      <c r="HG1230" s="73"/>
      <c r="HH1230" s="73"/>
      <c r="HI1230" s="73"/>
      <c r="HJ1230" s="73"/>
      <c r="HK1230" s="73"/>
      <c r="HL1230" s="73"/>
      <c r="HM1230" s="73"/>
      <c r="HN1230" s="73"/>
      <c r="HO1230" s="73"/>
      <c r="HP1230" s="73"/>
      <c r="HQ1230" s="73"/>
      <c r="HR1230" s="73"/>
      <c r="HS1230" s="73"/>
      <c r="HT1230" s="73"/>
      <c r="HU1230" s="73"/>
      <c r="HV1230" s="73"/>
      <c r="HW1230" s="73"/>
      <c r="HX1230" s="73"/>
      <c r="HY1230" s="73"/>
      <c r="HZ1230" s="73"/>
      <c r="IA1230" s="73"/>
      <c r="IB1230" s="73"/>
      <c r="IC1230" s="73"/>
      <c r="ID1230" s="73"/>
      <c r="IE1230" s="73"/>
      <c r="IF1230" s="73"/>
      <c r="IG1230" s="73"/>
      <c r="IH1230" s="73"/>
      <c r="II1230" s="73"/>
      <c r="IJ1230" s="73"/>
      <c r="IK1230" s="73"/>
      <c r="IL1230" s="73"/>
      <c r="IM1230" s="73"/>
      <c r="IN1230" s="73"/>
      <c r="IO1230" s="73"/>
      <c r="IP1230" s="73"/>
      <c r="IQ1230" s="73"/>
      <c r="IR1230" s="73"/>
      <c r="IS1230" s="73"/>
      <c r="IT1230" s="73"/>
      <c r="IU1230" s="73"/>
      <c r="IV1230" s="73"/>
      <c r="IW1230" s="73"/>
      <c r="IX1230" s="73"/>
      <c r="IY1230" s="73"/>
      <c r="IZ1230" s="73"/>
      <c r="JA1230" s="73"/>
      <c r="JB1230" s="73"/>
      <c r="JC1230" s="73"/>
    </row>
    <row r="1231" spans="2:263" s="72" customFormat="1">
      <c r="B1231" s="73"/>
      <c r="C1231" s="73"/>
      <c r="D1231" s="73"/>
      <c r="E1231" s="73"/>
      <c r="F1231" s="73"/>
      <c r="G1231" s="73"/>
      <c r="H1231" s="73"/>
      <c r="I1231" s="73"/>
      <c r="J1231" s="73"/>
      <c r="K1231" s="73"/>
      <c r="L1231" s="73"/>
      <c r="M1231" s="73"/>
      <c r="N1231" s="73"/>
      <c r="O1231" s="73"/>
      <c r="P1231" s="73"/>
      <c r="Q1231" s="73"/>
      <c r="R1231" s="73"/>
      <c r="S1231" s="73"/>
      <c r="T1231" s="73"/>
      <c r="U1231" s="73"/>
      <c r="V1231" s="73"/>
      <c r="W1231" s="73"/>
      <c r="GL1231" s="73"/>
      <c r="GM1231" s="73"/>
      <c r="GN1231" s="73"/>
      <c r="GO1231" s="73"/>
      <c r="GP1231" s="73"/>
      <c r="GQ1231" s="73"/>
      <c r="GR1231" s="73"/>
      <c r="GS1231" s="73"/>
      <c r="GT1231" s="73"/>
      <c r="GU1231" s="73"/>
      <c r="GV1231" s="73"/>
      <c r="GW1231" s="73"/>
      <c r="GX1231" s="73"/>
      <c r="GY1231" s="73"/>
      <c r="GZ1231" s="73"/>
      <c r="HA1231" s="73"/>
      <c r="HB1231" s="73"/>
      <c r="HC1231" s="73"/>
      <c r="HD1231" s="73"/>
      <c r="HE1231" s="73"/>
      <c r="HF1231" s="73"/>
      <c r="HG1231" s="73"/>
      <c r="HH1231" s="73"/>
      <c r="HI1231" s="73"/>
      <c r="HJ1231" s="73"/>
      <c r="HK1231" s="73"/>
      <c r="HL1231" s="73"/>
      <c r="HM1231" s="73"/>
      <c r="HN1231" s="73"/>
      <c r="HO1231" s="73"/>
      <c r="HP1231" s="73"/>
      <c r="HQ1231" s="73"/>
      <c r="HR1231" s="73"/>
      <c r="HS1231" s="73"/>
      <c r="HT1231" s="73"/>
      <c r="HU1231" s="73"/>
      <c r="HV1231" s="73"/>
      <c r="HW1231" s="73"/>
      <c r="HX1231" s="73"/>
      <c r="HY1231" s="73"/>
      <c r="HZ1231" s="73"/>
      <c r="IA1231" s="73"/>
      <c r="IB1231" s="73"/>
      <c r="IC1231" s="73"/>
      <c r="ID1231" s="73"/>
      <c r="IE1231" s="73"/>
      <c r="IF1231" s="73"/>
      <c r="IG1231" s="73"/>
      <c r="IH1231" s="73"/>
      <c r="II1231" s="73"/>
      <c r="IJ1231" s="73"/>
      <c r="IK1231" s="73"/>
      <c r="IL1231" s="73"/>
      <c r="IM1231" s="73"/>
      <c r="IN1231" s="73"/>
      <c r="IO1231" s="73"/>
      <c r="IP1231" s="73"/>
      <c r="IQ1231" s="73"/>
      <c r="IR1231" s="73"/>
      <c r="IS1231" s="73"/>
      <c r="IT1231" s="73"/>
      <c r="IU1231" s="73"/>
      <c r="IV1231" s="73"/>
      <c r="IW1231" s="73"/>
      <c r="IX1231" s="73"/>
      <c r="IY1231" s="73"/>
      <c r="IZ1231" s="73"/>
      <c r="JA1231" s="73"/>
      <c r="JB1231" s="73"/>
      <c r="JC1231" s="73"/>
    </row>
    <row r="1232" spans="2:263" s="72" customFormat="1">
      <c r="B1232" s="73"/>
      <c r="C1232" s="73"/>
      <c r="D1232" s="73"/>
      <c r="E1232" s="73"/>
      <c r="F1232" s="73"/>
      <c r="G1232" s="73"/>
      <c r="H1232" s="73"/>
      <c r="I1232" s="73"/>
      <c r="J1232" s="73"/>
      <c r="K1232" s="73"/>
      <c r="L1232" s="73"/>
      <c r="M1232" s="73"/>
      <c r="N1232" s="73"/>
      <c r="O1232" s="73"/>
      <c r="P1232" s="73"/>
      <c r="Q1232" s="73"/>
      <c r="R1232" s="73"/>
      <c r="S1232" s="73"/>
      <c r="T1232" s="73"/>
      <c r="U1232" s="73"/>
      <c r="V1232" s="73"/>
      <c r="W1232" s="73"/>
      <c r="GL1232" s="73"/>
      <c r="GM1232" s="73"/>
      <c r="GN1232" s="73"/>
      <c r="GO1232" s="73"/>
      <c r="GP1232" s="73"/>
      <c r="GQ1232" s="73"/>
      <c r="GR1232" s="73"/>
      <c r="GS1232" s="73"/>
      <c r="GT1232" s="73"/>
      <c r="GU1232" s="73"/>
      <c r="GV1232" s="73"/>
      <c r="GW1232" s="73"/>
      <c r="GX1232" s="73"/>
      <c r="GY1232" s="73"/>
      <c r="GZ1232" s="73"/>
      <c r="HA1232" s="73"/>
      <c r="HB1232" s="73"/>
      <c r="HC1232" s="73"/>
      <c r="HD1232" s="73"/>
      <c r="HE1232" s="73"/>
      <c r="HF1232" s="73"/>
      <c r="HG1232" s="73"/>
      <c r="HH1232" s="73"/>
      <c r="HI1232" s="73"/>
      <c r="HJ1232" s="73"/>
      <c r="HK1232" s="73"/>
      <c r="HL1232" s="73"/>
      <c r="HM1232" s="73"/>
      <c r="HN1232" s="73"/>
      <c r="HO1232" s="73"/>
      <c r="HP1232" s="73"/>
      <c r="HQ1232" s="73"/>
      <c r="HR1232" s="73"/>
      <c r="HS1232" s="73"/>
      <c r="HT1232" s="73"/>
      <c r="HU1232" s="73"/>
      <c r="HV1232" s="73"/>
      <c r="HW1232" s="73"/>
      <c r="HX1232" s="73"/>
      <c r="HY1232" s="73"/>
      <c r="HZ1232" s="73"/>
      <c r="IA1232" s="73"/>
      <c r="IB1232" s="73"/>
      <c r="IC1232" s="73"/>
      <c r="ID1232" s="73"/>
      <c r="IE1232" s="73"/>
      <c r="IF1232" s="73"/>
      <c r="IG1232" s="73"/>
      <c r="IH1232" s="73"/>
      <c r="II1232" s="73"/>
      <c r="IJ1232" s="73"/>
      <c r="IK1232" s="73"/>
      <c r="IL1232" s="73"/>
      <c r="IM1232" s="73"/>
      <c r="IN1232" s="73"/>
      <c r="IO1232" s="73"/>
      <c r="IP1232" s="73"/>
      <c r="IQ1232" s="73"/>
      <c r="IR1232" s="73"/>
      <c r="IS1232" s="73"/>
      <c r="IT1232" s="73"/>
      <c r="IU1232" s="73"/>
      <c r="IV1232" s="73"/>
      <c r="IW1232" s="73"/>
      <c r="IX1232" s="73"/>
      <c r="IY1232" s="73"/>
      <c r="IZ1232" s="73"/>
      <c r="JA1232" s="73"/>
      <c r="JB1232" s="73"/>
      <c r="JC1232" s="73"/>
    </row>
    <row r="1233" spans="2:263" s="72" customFormat="1">
      <c r="B1233" s="73"/>
      <c r="C1233" s="73"/>
      <c r="D1233" s="73"/>
      <c r="E1233" s="73"/>
      <c r="F1233" s="73"/>
      <c r="G1233" s="73"/>
      <c r="H1233" s="73"/>
      <c r="I1233" s="73"/>
      <c r="J1233" s="73"/>
      <c r="K1233" s="73"/>
      <c r="L1233" s="73"/>
      <c r="M1233" s="73"/>
      <c r="N1233" s="73"/>
      <c r="O1233" s="73"/>
      <c r="P1233" s="73"/>
      <c r="Q1233" s="73"/>
      <c r="R1233" s="73"/>
      <c r="S1233" s="73"/>
      <c r="T1233" s="73"/>
      <c r="U1233" s="73"/>
      <c r="V1233" s="73"/>
      <c r="W1233" s="73"/>
      <c r="GL1233" s="73"/>
      <c r="GM1233" s="73"/>
      <c r="GN1233" s="73"/>
      <c r="GO1233" s="73"/>
      <c r="GP1233" s="73"/>
      <c r="GQ1233" s="73"/>
      <c r="GR1233" s="73"/>
      <c r="GS1233" s="73"/>
      <c r="GT1233" s="73"/>
      <c r="GU1233" s="73"/>
      <c r="GV1233" s="73"/>
      <c r="GW1233" s="73"/>
      <c r="GX1233" s="73"/>
      <c r="GY1233" s="73"/>
      <c r="GZ1233" s="73"/>
      <c r="HA1233" s="73"/>
      <c r="HB1233" s="73"/>
      <c r="HC1233" s="73"/>
      <c r="HD1233" s="73"/>
      <c r="HE1233" s="73"/>
      <c r="HF1233" s="73"/>
      <c r="HG1233" s="73"/>
      <c r="HH1233" s="73"/>
      <c r="HI1233" s="73"/>
      <c r="HJ1233" s="73"/>
      <c r="HK1233" s="73"/>
      <c r="HL1233" s="73"/>
      <c r="HM1233" s="73"/>
      <c r="HN1233" s="73"/>
      <c r="HO1233" s="73"/>
      <c r="HP1233" s="73"/>
      <c r="HQ1233" s="73"/>
      <c r="HR1233" s="73"/>
      <c r="HS1233" s="73"/>
      <c r="HT1233" s="73"/>
      <c r="HU1233" s="73"/>
      <c r="HV1233" s="73"/>
      <c r="HW1233" s="73"/>
      <c r="HX1233" s="73"/>
      <c r="HY1233" s="73"/>
      <c r="HZ1233" s="73"/>
      <c r="IA1233" s="73"/>
      <c r="IB1233" s="73"/>
      <c r="IC1233" s="73"/>
      <c r="ID1233" s="73"/>
      <c r="IE1233" s="73"/>
      <c r="IF1233" s="73"/>
      <c r="IG1233" s="73"/>
      <c r="IH1233" s="73"/>
      <c r="II1233" s="73"/>
      <c r="IJ1233" s="73"/>
      <c r="IK1233" s="73"/>
      <c r="IL1233" s="73"/>
      <c r="IM1233" s="73"/>
      <c r="IN1233" s="73"/>
      <c r="IO1233" s="73"/>
      <c r="IP1233" s="73"/>
      <c r="IQ1233" s="73"/>
      <c r="IR1233" s="73"/>
      <c r="IS1233" s="73"/>
      <c r="IT1233" s="73"/>
      <c r="IU1233" s="73"/>
      <c r="IV1233" s="73"/>
      <c r="IW1233" s="73"/>
      <c r="IX1233" s="73"/>
      <c r="IY1233" s="73"/>
      <c r="IZ1233" s="73"/>
      <c r="JA1233" s="73"/>
      <c r="JB1233" s="73"/>
      <c r="JC1233" s="73"/>
    </row>
    <row r="1234" spans="2:263" s="72" customFormat="1">
      <c r="B1234" s="73"/>
      <c r="C1234" s="73"/>
      <c r="D1234" s="73"/>
      <c r="E1234" s="73"/>
      <c r="F1234" s="73"/>
      <c r="G1234" s="73"/>
      <c r="H1234" s="73"/>
      <c r="I1234" s="73"/>
      <c r="J1234" s="73"/>
      <c r="K1234" s="73"/>
      <c r="L1234" s="73"/>
      <c r="M1234" s="73"/>
      <c r="N1234" s="73"/>
      <c r="O1234" s="73"/>
      <c r="P1234" s="73"/>
      <c r="Q1234" s="73"/>
      <c r="R1234" s="73"/>
      <c r="S1234" s="73"/>
      <c r="T1234" s="73"/>
      <c r="U1234" s="73"/>
      <c r="V1234" s="73"/>
      <c r="W1234" s="73"/>
      <c r="GL1234" s="73"/>
      <c r="GM1234" s="73"/>
      <c r="GN1234" s="73"/>
      <c r="GO1234" s="73"/>
      <c r="GP1234" s="73"/>
      <c r="GQ1234" s="73"/>
      <c r="GR1234" s="73"/>
      <c r="GS1234" s="73"/>
      <c r="GT1234" s="73"/>
      <c r="GU1234" s="73"/>
      <c r="GV1234" s="73"/>
      <c r="GW1234" s="73"/>
      <c r="GX1234" s="73"/>
      <c r="GY1234" s="73"/>
      <c r="GZ1234" s="73"/>
      <c r="HA1234" s="73"/>
      <c r="HB1234" s="73"/>
      <c r="HC1234" s="73"/>
      <c r="HD1234" s="73"/>
      <c r="HE1234" s="73"/>
      <c r="HF1234" s="73"/>
      <c r="HG1234" s="73"/>
      <c r="HH1234" s="73"/>
      <c r="HI1234" s="73"/>
      <c r="HJ1234" s="73"/>
      <c r="HK1234" s="73"/>
      <c r="HL1234" s="73"/>
      <c r="HM1234" s="73"/>
      <c r="HN1234" s="73"/>
      <c r="HO1234" s="73"/>
      <c r="HP1234" s="73"/>
      <c r="HQ1234" s="73"/>
      <c r="HR1234" s="73"/>
      <c r="HS1234" s="73"/>
      <c r="HT1234" s="73"/>
      <c r="HU1234" s="73"/>
      <c r="HV1234" s="73"/>
      <c r="HW1234" s="73"/>
      <c r="HX1234" s="73"/>
      <c r="HY1234" s="73"/>
      <c r="HZ1234" s="73"/>
      <c r="IA1234" s="73"/>
      <c r="IB1234" s="73"/>
      <c r="IC1234" s="73"/>
      <c r="ID1234" s="73"/>
      <c r="IE1234" s="73"/>
      <c r="IF1234" s="73"/>
      <c r="IG1234" s="73"/>
      <c r="IH1234" s="73"/>
      <c r="II1234" s="73"/>
      <c r="IJ1234" s="73"/>
      <c r="IK1234" s="73"/>
      <c r="IL1234" s="73"/>
      <c r="IM1234" s="73"/>
      <c r="IN1234" s="73"/>
      <c r="IO1234" s="73"/>
      <c r="IP1234" s="73"/>
      <c r="IQ1234" s="73"/>
      <c r="IR1234" s="73"/>
      <c r="IS1234" s="73"/>
      <c r="IT1234" s="73"/>
      <c r="IU1234" s="73"/>
      <c r="IV1234" s="73"/>
      <c r="IW1234" s="73"/>
      <c r="IX1234" s="73"/>
      <c r="IY1234" s="73"/>
      <c r="IZ1234" s="73"/>
      <c r="JA1234" s="73"/>
      <c r="JB1234" s="73"/>
      <c r="JC1234" s="73"/>
    </row>
    <row r="1235" spans="2:263" s="72" customFormat="1">
      <c r="B1235" s="73"/>
      <c r="C1235" s="73"/>
      <c r="D1235" s="73"/>
      <c r="E1235" s="73"/>
      <c r="F1235" s="73"/>
      <c r="G1235" s="73"/>
      <c r="H1235" s="73"/>
      <c r="I1235" s="73"/>
      <c r="J1235" s="73"/>
      <c r="K1235" s="73"/>
      <c r="L1235" s="73"/>
      <c r="M1235" s="73"/>
      <c r="N1235" s="73"/>
      <c r="O1235" s="73"/>
      <c r="P1235" s="73"/>
      <c r="Q1235" s="73"/>
      <c r="R1235" s="73"/>
      <c r="S1235" s="73"/>
      <c r="T1235" s="73"/>
      <c r="U1235" s="73"/>
      <c r="V1235" s="73"/>
      <c r="W1235" s="73"/>
      <c r="GL1235" s="73"/>
      <c r="GM1235" s="73"/>
      <c r="GN1235" s="73"/>
      <c r="GO1235" s="73"/>
      <c r="GP1235" s="73"/>
      <c r="GQ1235" s="73"/>
      <c r="GR1235" s="73"/>
      <c r="GS1235" s="73"/>
      <c r="GT1235" s="73"/>
      <c r="GU1235" s="73"/>
      <c r="GV1235" s="73"/>
      <c r="GW1235" s="73"/>
      <c r="GX1235" s="73"/>
      <c r="GY1235" s="73"/>
      <c r="GZ1235" s="73"/>
      <c r="HA1235" s="73"/>
      <c r="HB1235" s="73"/>
      <c r="HC1235" s="73"/>
      <c r="HD1235" s="73"/>
      <c r="HE1235" s="73"/>
      <c r="HF1235" s="73"/>
      <c r="HG1235" s="73"/>
      <c r="HH1235" s="73"/>
      <c r="HI1235" s="73"/>
      <c r="HJ1235" s="73"/>
      <c r="HK1235" s="73"/>
      <c r="HL1235" s="73"/>
      <c r="HM1235" s="73"/>
      <c r="HN1235" s="73"/>
      <c r="HO1235" s="73"/>
      <c r="HP1235" s="73"/>
      <c r="HQ1235" s="73"/>
      <c r="HR1235" s="73"/>
      <c r="HS1235" s="73"/>
      <c r="HT1235" s="73"/>
      <c r="HU1235" s="73"/>
      <c r="HV1235" s="73"/>
      <c r="HW1235" s="73"/>
      <c r="HX1235" s="73"/>
      <c r="HY1235" s="73"/>
      <c r="HZ1235" s="73"/>
      <c r="IA1235" s="73"/>
      <c r="IB1235" s="73"/>
      <c r="IC1235" s="73"/>
      <c r="ID1235" s="73"/>
      <c r="IE1235" s="73"/>
      <c r="IF1235" s="73"/>
      <c r="IG1235" s="73"/>
      <c r="IH1235" s="73"/>
      <c r="II1235" s="73"/>
      <c r="IJ1235" s="73"/>
      <c r="IK1235" s="73"/>
      <c r="IL1235" s="73"/>
      <c r="IM1235" s="73"/>
      <c r="IN1235" s="73"/>
      <c r="IO1235" s="73"/>
      <c r="IP1235" s="73"/>
      <c r="IQ1235" s="73"/>
      <c r="IR1235" s="73"/>
      <c r="IS1235" s="73"/>
      <c r="IT1235" s="73"/>
      <c r="IU1235" s="73"/>
      <c r="IV1235" s="73"/>
      <c r="IW1235" s="73"/>
      <c r="IX1235" s="73"/>
      <c r="IY1235" s="73"/>
      <c r="IZ1235" s="73"/>
      <c r="JA1235" s="73"/>
      <c r="JB1235" s="73"/>
      <c r="JC1235" s="73"/>
    </row>
    <row r="1236" spans="2:263" s="72" customFormat="1">
      <c r="B1236" s="73"/>
      <c r="C1236" s="73"/>
      <c r="D1236" s="73"/>
      <c r="E1236" s="73"/>
      <c r="F1236" s="73"/>
      <c r="G1236" s="73"/>
      <c r="H1236" s="73"/>
      <c r="I1236" s="73"/>
      <c r="J1236" s="73"/>
      <c r="K1236" s="73"/>
      <c r="L1236" s="73"/>
      <c r="M1236" s="73"/>
      <c r="N1236" s="73"/>
      <c r="O1236" s="73"/>
      <c r="P1236" s="73"/>
      <c r="Q1236" s="73"/>
      <c r="R1236" s="73"/>
      <c r="S1236" s="73"/>
      <c r="T1236" s="73"/>
      <c r="U1236" s="73"/>
      <c r="V1236" s="73"/>
      <c r="W1236" s="73"/>
      <c r="GL1236" s="73"/>
      <c r="GM1236" s="73"/>
      <c r="GN1236" s="73"/>
      <c r="GO1236" s="73"/>
      <c r="GP1236" s="73"/>
      <c r="GQ1236" s="73"/>
      <c r="GR1236" s="73"/>
      <c r="GS1236" s="73"/>
      <c r="GT1236" s="73"/>
      <c r="GU1236" s="73"/>
      <c r="GV1236" s="73"/>
      <c r="GW1236" s="73"/>
      <c r="GX1236" s="73"/>
      <c r="GY1236" s="73"/>
      <c r="GZ1236" s="73"/>
      <c r="HA1236" s="73"/>
      <c r="HB1236" s="73"/>
      <c r="HC1236" s="73"/>
      <c r="HD1236" s="73"/>
      <c r="HE1236" s="73"/>
      <c r="HF1236" s="73"/>
      <c r="HG1236" s="73"/>
      <c r="HH1236" s="73"/>
      <c r="HI1236" s="73"/>
      <c r="HJ1236" s="73"/>
      <c r="HK1236" s="73"/>
      <c r="HL1236" s="73"/>
      <c r="HM1236" s="73"/>
      <c r="HN1236" s="73"/>
      <c r="HO1236" s="73"/>
      <c r="HP1236" s="73"/>
      <c r="HQ1236" s="73"/>
      <c r="HR1236" s="73"/>
      <c r="HS1236" s="73"/>
      <c r="HT1236" s="73"/>
      <c r="HU1236" s="73"/>
      <c r="HV1236" s="73"/>
      <c r="HW1236" s="73"/>
      <c r="HX1236" s="73"/>
      <c r="HY1236" s="73"/>
      <c r="HZ1236" s="73"/>
      <c r="IA1236" s="73"/>
      <c r="IB1236" s="73"/>
      <c r="IC1236" s="73"/>
      <c r="ID1236" s="73"/>
      <c r="IE1236" s="73"/>
      <c r="IF1236" s="73"/>
      <c r="IG1236" s="73"/>
      <c r="IH1236" s="73"/>
      <c r="II1236" s="73"/>
      <c r="IJ1236" s="73"/>
      <c r="IK1236" s="73"/>
      <c r="IL1236" s="73"/>
      <c r="IM1236" s="73"/>
      <c r="IN1236" s="73"/>
      <c r="IO1236" s="73"/>
      <c r="IP1236" s="73"/>
      <c r="IQ1236" s="73"/>
      <c r="IR1236" s="73"/>
      <c r="IS1236" s="73"/>
      <c r="IT1236" s="73"/>
      <c r="IU1236" s="73"/>
      <c r="IV1236" s="73"/>
      <c r="IW1236" s="73"/>
      <c r="IX1236" s="73"/>
      <c r="IY1236" s="73"/>
      <c r="IZ1236" s="73"/>
      <c r="JA1236" s="73"/>
      <c r="JB1236" s="73"/>
      <c r="JC1236" s="73"/>
    </row>
    <row r="1237" spans="2:263" s="72" customFormat="1">
      <c r="B1237" s="73"/>
      <c r="C1237" s="73"/>
      <c r="D1237" s="73"/>
      <c r="E1237" s="73"/>
      <c r="F1237" s="73"/>
      <c r="G1237" s="73"/>
      <c r="H1237" s="73"/>
      <c r="I1237" s="73"/>
      <c r="J1237" s="73"/>
      <c r="K1237" s="73"/>
      <c r="L1237" s="73"/>
      <c r="M1237" s="73"/>
      <c r="N1237" s="73"/>
      <c r="O1237" s="73"/>
      <c r="P1237" s="73"/>
      <c r="Q1237" s="73"/>
      <c r="R1237" s="73"/>
      <c r="S1237" s="73"/>
      <c r="T1237" s="73"/>
      <c r="U1237" s="73"/>
      <c r="V1237" s="73"/>
      <c r="W1237" s="73"/>
      <c r="GL1237" s="73"/>
      <c r="GM1237" s="73"/>
      <c r="GN1237" s="73"/>
      <c r="GO1237" s="73"/>
      <c r="GP1237" s="73"/>
      <c r="GQ1237" s="73"/>
      <c r="GR1237" s="73"/>
      <c r="GS1237" s="73"/>
      <c r="GT1237" s="73"/>
      <c r="GU1237" s="73"/>
      <c r="GV1237" s="73"/>
      <c r="GW1237" s="73"/>
      <c r="GX1237" s="73"/>
      <c r="GY1237" s="73"/>
      <c r="GZ1237" s="73"/>
      <c r="HA1237" s="73"/>
      <c r="HB1237" s="73"/>
      <c r="HC1237" s="73"/>
      <c r="HD1237" s="73"/>
      <c r="HE1237" s="73"/>
      <c r="HF1237" s="73"/>
      <c r="HG1237" s="73"/>
      <c r="HH1237" s="73"/>
      <c r="HI1237" s="73"/>
      <c r="HJ1237" s="73"/>
      <c r="HK1237" s="73"/>
      <c r="HL1237" s="73"/>
      <c r="HM1237" s="73"/>
      <c r="HN1237" s="73"/>
      <c r="HO1237" s="73"/>
      <c r="HP1237" s="73"/>
      <c r="HQ1237" s="73"/>
      <c r="HR1237" s="73"/>
      <c r="HS1237" s="73"/>
      <c r="HT1237" s="73"/>
      <c r="HU1237" s="73"/>
      <c r="HV1237" s="73"/>
      <c r="HW1237" s="73"/>
      <c r="HX1237" s="73"/>
      <c r="HY1237" s="73"/>
      <c r="HZ1237" s="73"/>
      <c r="IA1237" s="73"/>
      <c r="IB1237" s="73"/>
      <c r="IC1237" s="73"/>
      <c r="ID1237" s="73"/>
      <c r="IE1237" s="73"/>
      <c r="IF1237" s="73"/>
      <c r="IG1237" s="73"/>
      <c r="IH1237" s="73"/>
      <c r="II1237" s="73"/>
      <c r="IJ1237" s="73"/>
      <c r="IK1237" s="73"/>
      <c r="IL1237" s="73"/>
      <c r="IM1237" s="73"/>
      <c r="IN1237" s="73"/>
      <c r="IO1237" s="73"/>
      <c r="IP1237" s="73"/>
      <c r="IQ1237" s="73"/>
      <c r="IR1237" s="73"/>
      <c r="IS1237" s="73"/>
      <c r="IT1237" s="73"/>
      <c r="IU1237" s="73"/>
      <c r="IV1237" s="73"/>
      <c r="IW1237" s="73"/>
      <c r="IX1237" s="73"/>
      <c r="IY1237" s="73"/>
      <c r="IZ1237" s="73"/>
      <c r="JA1237" s="73"/>
      <c r="JB1237" s="73"/>
      <c r="JC1237" s="73"/>
    </row>
    <row r="1238" spans="2:263" s="72" customFormat="1">
      <c r="B1238" s="73"/>
      <c r="C1238" s="73"/>
      <c r="D1238" s="73"/>
      <c r="E1238" s="73"/>
      <c r="F1238" s="73"/>
      <c r="G1238" s="73"/>
      <c r="H1238" s="73"/>
      <c r="I1238" s="73"/>
      <c r="J1238" s="73"/>
      <c r="K1238" s="73"/>
      <c r="L1238" s="73"/>
      <c r="M1238" s="73"/>
      <c r="N1238" s="73"/>
      <c r="O1238" s="73"/>
      <c r="P1238" s="73"/>
      <c r="Q1238" s="73"/>
      <c r="R1238" s="73"/>
      <c r="S1238" s="73"/>
      <c r="T1238" s="73"/>
      <c r="U1238" s="73"/>
      <c r="V1238" s="73"/>
      <c r="W1238" s="73"/>
      <c r="GL1238" s="73"/>
      <c r="GM1238" s="73"/>
      <c r="GN1238" s="73"/>
      <c r="GO1238" s="73"/>
      <c r="GP1238" s="73"/>
      <c r="GQ1238" s="73"/>
      <c r="GR1238" s="73"/>
      <c r="GS1238" s="73"/>
      <c r="GT1238" s="73"/>
      <c r="GU1238" s="73"/>
      <c r="GV1238" s="73"/>
      <c r="GW1238" s="73"/>
      <c r="GX1238" s="73"/>
      <c r="GY1238" s="73"/>
      <c r="GZ1238" s="73"/>
      <c r="HA1238" s="73"/>
      <c r="HB1238" s="73"/>
      <c r="HC1238" s="73"/>
      <c r="HD1238" s="73"/>
      <c r="HE1238" s="73"/>
      <c r="HF1238" s="73"/>
      <c r="HG1238" s="73"/>
      <c r="HH1238" s="73"/>
      <c r="HI1238" s="73"/>
      <c r="HJ1238" s="73"/>
      <c r="HK1238" s="73"/>
      <c r="HL1238" s="73"/>
      <c r="HM1238" s="73"/>
      <c r="HN1238" s="73"/>
      <c r="HO1238" s="73"/>
      <c r="HP1238" s="73"/>
      <c r="HQ1238" s="73"/>
      <c r="HR1238" s="73"/>
      <c r="HS1238" s="73"/>
      <c r="HT1238" s="73"/>
      <c r="HU1238" s="73"/>
      <c r="HV1238" s="73"/>
      <c r="HW1238" s="73"/>
      <c r="HX1238" s="73"/>
      <c r="HY1238" s="73"/>
      <c r="HZ1238" s="73"/>
      <c r="IA1238" s="73"/>
      <c r="IB1238" s="73"/>
      <c r="IC1238" s="73"/>
      <c r="ID1238" s="73"/>
      <c r="IE1238" s="73"/>
      <c r="IF1238" s="73"/>
      <c r="IG1238" s="73"/>
      <c r="IH1238" s="73"/>
      <c r="II1238" s="73"/>
      <c r="IJ1238" s="73"/>
      <c r="IK1238" s="73"/>
      <c r="IL1238" s="73"/>
      <c r="IM1238" s="73"/>
      <c r="IN1238" s="73"/>
      <c r="IO1238" s="73"/>
      <c r="IP1238" s="73"/>
      <c r="IQ1238" s="73"/>
      <c r="IR1238" s="73"/>
      <c r="IS1238" s="73"/>
      <c r="IT1238" s="73"/>
      <c r="IU1238" s="73"/>
      <c r="IV1238" s="73"/>
      <c r="IW1238" s="73"/>
      <c r="IX1238" s="73"/>
      <c r="IY1238" s="73"/>
      <c r="IZ1238" s="73"/>
      <c r="JA1238" s="73"/>
      <c r="JB1238" s="73"/>
      <c r="JC1238" s="73"/>
    </row>
    <row r="1239" spans="2:263" s="72" customFormat="1">
      <c r="B1239" s="73"/>
      <c r="C1239" s="73"/>
      <c r="D1239" s="73"/>
      <c r="E1239" s="73"/>
      <c r="F1239" s="73"/>
      <c r="G1239" s="73"/>
      <c r="H1239" s="73"/>
      <c r="I1239" s="73"/>
      <c r="J1239" s="73"/>
      <c r="K1239" s="73"/>
      <c r="L1239" s="73"/>
      <c r="M1239" s="73"/>
      <c r="N1239" s="73"/>
      <c r="O1239" s="73"/>
      <c r="P1239" s="73"/>
      <c r="Q1239" s="73"/>
      <c r="R1239" s="73"/>
      <c r="S1239" s="73"/>
      <c r="T1239" s="73"/>
      <c r="U1239" s="73"/>
      <c r="V1239" s="73"/>
      <c r="W1239" s="73"/>
      <c r="GL1239" s="73"/>
      <c r="GM1239" s="73"/>
      <c r="GN1239" s="73"/>
      <c r="GO1239" s="73"/>
      <c r="GP1239" s="73"/>
      <c r="GQ1239" s="73"/>
      <c r="GR1239" s="73"/>
      <c r="GS1239" s="73"/>
      <c r="GT1239" s="73"/>
      <c r="GU1239" s="73"/>
      <c r="GV1239" s="73"/>
      <c r="GW1239" s="73"/>
      <c r="GX1239" s="73"/>
      <c r="GY1239" s="73"/>
      <c r="GZ1239" s="73"/>
      <c r="HA1239" s="73"/>
      <c r="HB1239" s="73"/>
      <c r="HC1239" s="73"/>
      <c r="HD1239" s="73"/>
      <c r="HE1239" s="73"/>
      <c r="HF1239" s="73"/>
      <c r="HG1239" s="73"/>
      <c r="HH1239" s="73"/>
      <c r="HI1239" s="73"/>
      <c r="HJ1239" s="73"/>
      <c r="HK1239" s="73"/>
      <c r="HL1239" s="73"/>
      <c r="HM1239" s="73"/>
      <c r="HN1239" s="73"/>
      <c r="HO1239" s="73"/>
      <c r="HP1239" s="73"/>
      <c r="HQ1239" s="73"/>
      <c r="HR1239" s="73"/>
      <c r="HS1239" s="73"/>
      <c r="HT1239" s="73"/>
      <c r="HU1239" s="73"/>
      <c r="HV1239" s="73"/>
      <c r="HW1239" s="73"/>
      <c r="HX1239" s="73"/>
      <c r="HY1239" s="73"/>
      <c r="HZ1239" s="73"/>
      <c r="IA1239" s="73"/>
      <c r="IB1239" s="73"/>
      <c r="IC1239" s="73"/>
      <c r="ID1239" s="73"/>
      <c r="IE1239" s="73"/>
      <c r="IF1239" s="73"/>
      <c r="IG1239" s="73"/>
      <c r="IH1239" s="73"/>
      <c r="II1239" s="73"/>
      <c r="IJ1239" s="73"/>
      <c r="IK1239" s="73"/>
      <c r="IL1239" s="73"/>
      <c r="IM1239" s="73"/>
      <c r="IN1239" s="73"/>
      <c r="IO1239" s="73"/>
      <c r="IP1239" s="73"/>
      <c r="IQ1239" s="73"/>
      <c r="IR1239" s="73"/>
      <c r="IS1239" s="73"/>
      <c r="IT1239" s="73"/>
      <c r="IU1239" s="73"/>
      <c r="IV1239" s="73"/>
      <c r="IW1239" s="73"/>
      <c r="IX1239" s="73"/>
      <c r="IY1239" s="73"/>
      <c r="IZ1239" s="73"/>
      <c r="JA1239" s="73"/>
      <c r="JB1239" s="73"/>
      <c r="JC1239" s="73"/>
    </row>
    <row r="1240" spans="2:263" s="72" customFormat="1">
      <c r="B1240" s="73"/>
      <c r="C1240" s="73"/>
      <c r="D1240" s="73"/>
      <c r="E1240" s="73"/>
      <c r="F1240" s="73"/>
      <c r="G1240" s="73"/>
      <c r="H1240" s="73"/>
      <c r="I1240" s="73"/>
      <c r="J1240" s="73"/>
      <c r="K1240" s="73"/>
      <c r="L1240" s="73"/>
      <c r="M1240" s="73"/>
      <c r="N1240" s="73"/>
      <c r="O1240" s="73"/>
      <c r="P1240" s="73"/>
      <c r="Q1240" s="73"/>
      <c r="R1240" s="73"/>
      <c r="S1240" s="73"/>
      <c r="T1240" s="73"/>
      <c r="U1240" s="73"/>
      <c r="V1240" s="73"/>
      <c r="W1240" s="73"/>
      <c r="GL1240" s="73"/>
      <c r="GM1240" s="73"/>
      <c r="GN1240" s="73"/>
      <c r="GO1240" s="73"/>
      <c r="GP1240" s="73"/>
      <c r="GQ1240" s="73"/>
      <c r="GR1240" s="73"/>
      <c r="GS1240" s="73"/>
      <c r="GT1240" s="73"/>
      <c r="GU1240" s="73"/>
      <c r="GV1240" s="73"/>
      <c r="GW1240" s="73"/>
      <c r="GX1240" s="73"/>
      <c r="GY1240" s="73"/>
      <c r="GZ1240" s="73"/>
      <c r="HA1240" s="73"/>
      <c r="HB1240" s="73"/>
      <c r="HC1240" s="73"/>
      <c r="HD1240" s="73"/>
      <c r="HE1240" s="73"/>
      <c r="HF1240" s="73"/>
      <c r="HG1240" s="73"/>
      <c r="HH1240" s="73"/>
      <c r="HI1240" s="73"/>
      <c r="HJ1240" s="73"/>
      <c r="HK1240" s="73"/>
      <c r="HL1240" s="73"/>
      <c r="HM1240" s="73"/>
      <c r="HN1240" s="73"/>
      <c r="HO1240" s="73"/>
      <c r="HP1240" s="73"/>
      <c r="HQ1240" s="73"/>
      <c r="HR1240" s="73"/>
      <c r="HS1240" s="73"/>
      <c r="HT1240" s="73"/>
      <c r="HU1240" s="73"/>
      <c r="HV1240" s="73"/>
      <c r="HW1240" s="73"/>
      <c r="HX1240" s="73"/>
      <c r="HY1240" s="73"/>
      <c r="HZ1240" s="73"/>
      <c r="IA1240" s="73"/>
      <c r="IB1240" s="73"/>
      <c r="IC1240" s="73"/>
      <c r="ID1240" s="73"/>
      <c r="IE1240" s="73"/>
      <c r="IF1240" s="73"/>
      <c r="IG1240" s="73"/>
      <c r="IH1240" s="73"/>
      <c r="II1240" s="73"/>
      <c r="IJ1240" s="73"/>
      <c r="IK1240" s="73"/>
      <c r="IL1240" s="73"/>
      <c r="IM1240" s="73"/>
      <c r="IN1240" s="73"/>
      <c r="IO1240" s="73"/>
      <c r="IP1240" s="73"/>
      <c r="IQ1240" s="73"/>
      <c r="IR1240" s="73"/>
      <c r="IS1240" s="73"/>
      <c r="IT1240" s="73"/>
      <c r="IU1240" s="73"/>
      <c r="IV1240" s="73"/>
      <c r="IW1240" s="73"/>
      <c r="IX1240" s="73"/>
      <c r="IY1240" s="73"/>
      <c r="IZ1240" s="73"/>
      <c r="JA1240" s="73"/>
      <c r="JB1240" s="73"/>
      <c r="JC1240" s="73"/>
    </row>
    <row r="1241" spans="2:263" s="72" customFormat="1">
      <c r="B1241" s="73"/>
      <c r="C1241" s="73"/>
      <c r="D1241" s="73"/>
      <c r="E1241" s="73"/>
      <c r="F1241" s="73"/>
      <c r="G1241" s="73"/>
      <c r="H1241" s="73"/>
      <c r="I1241" s="73"/>
      <c r="J1241" s="73"/>
      <c r="K1241" s="73"/>
      <c r="L1241" s="73"/>
      <c r="M1241" s="73"/>
      <c r="N1241" s="73"/>
      <c r="O1241" s="73"/>
      <c r="P1241" s="73"/>
      <c r="Q1241" s="73"/>
      <c r="R1241" s="73"/>
      <c r="S1241" s="73"/>
      <c r="T1241" s="73"/>
      <c r="U1241" s="73"/>
      <c r="V1241" s="73"/>
      <c r="W1241" s="73"/>
      <c r="GL1241" s="73"/>
      <c r="GM1241" s="73"/>
      <c r="GN1241" s="73"/>
      <c r="GO1241" s="73"/>
      <c r="GP1241" s="73"/>
      <c r="GQ1241" s="73"/>
      <c r="GR1241" s="73"/>
      <c r="GS1241" s="73"/>
      <c r="GT1241" s="73"/>
      <c r="GU1241" s="73"/>
      <c r="GV1241" s="73"/>
      <c r="GW1241" s="73"/>
      <c r="GX1241" s="73"/>
      <c r="GY1241" s="73"/>
      <c r="GZ1241" s="73"/>
      <c r="HA1241" s="73"/>
      <c r="HB1241" s="73"/>
      <c r="HC1241" s="73"/>
      <c r="HD1241" s="73"/>
      <c r="HE1241" s="73"/>
      <c r="HF1241" s="73"/>
      <c r="HG1241" s="73"/>
      <c r="HH1241" s="73"/>
      <c r="HI1241" s="73"/>
      <c r="HJ1241" s="73"/>
      <c r="HK1241" s="73"/>
      <c r="HL1241" s="73"/>
      <c r="HM1241" s="73"/>
      <c r="HN1241" s="73"/>
      <c r="HO1241" s="73"/>
      <c r="HP1241" s="73"/>
      <c r="HQ1241" s="73"/>
      <c r="HR1241" s="73"/>
      <c r="HS1241" s="73"/>
      <c r="HT1241" s="73"/>
      <c r="HU1241" s="73"/>
      <c r="HV1241" s="73"/>
      <c r="HW1241" s="73"/>
      <c r="HX1241" s="73"/>
      <c r="HY1241" s="73"/>
      <c r="HZ1241" s="73"/>
      <c r="IA1241" s="73"/>
      <c r="IB1241" s="73"/>
      <c r="IC1241" s="73"/>
      <c r="ID1241" s="73"/>
      <c r="IE1241" s="73"/>
      <c r="IF1241" s="73"/>
      <c r="IG1241" s="73"/>
      <c r="IH1241" s="73"/>
      <c r="II1241" s="73"/>
      <c r="IJ1241" s="73"/>
      <c r="IK1241" s="73"/>
      <c r="IL1241" s="73"/>
      <c r="IM1241" s="73"/>
      <c r="IN1241" s="73"/>
      <c r="IO1241" s="73"/>
      <c r="IP1241" s="73"/>
      <c r="IQ1241" s="73"/>
      <c r="IR1241" s="73"/>
      <c r="IS1241" s="73"/>
      <c r="IT1241" s="73"/>
      <c r="IU1241" s="73"/>
      <c r="IV1241" s="73"/>
      <c r="IW1241" s="73"/>
      <c r="IX1241" s="73"/>
      <c r="IY1241" s="73"/>
      <c r="IZ1241" s="73"/>
      <c r="JA1241" s="73"/>
      <c r="JB1241" s="73"/>
      <c r="JC1241" s="73"/>
    </row>
    <row r="1242" spans="2:263" s="72" customFormat="1">
      <c r="B1242" s="73"/>
      <c r="C1242" s="73"/>
      <c r="D1242" s="73"/>
      <c r="E1242" s="73"/>
      <c r="F1242" s="73"/>
      <c r="G1242" s="73"/>
      <c r="H1242" s="73"/>
      <c r="I1242" s="73"/>
      <c r="J1242" s="73"/>
      <c r="K1242" s="73"/>
      <c r="L1242" s="73"/>
      <c r="M1242" s="73"/>
      <c r="N1242" s="73"/>
      <c r="O1242" s="73"/>
      <c r="P1242" s="73"/>
      <c r="Q1242" s="73"/>
      <c r="R1242" s="73"/>
      <c r="S1242" s="73"/>
      <c r="T1242" s="73"/>
      <c r="U1242" s="73"/>
      <c r="V1242" s="73"/>
      <c r="W1242" s="73"/>
      <c r="GL1242" s="73"/>
      <c r="GM1242" s="73"/>
      <c r="GN1242" s="73"/>
      <c r="GO1242" s="73"/>
      <c r="GP1242" s="73"/>
      <c r="GQ1242" s="73"/>
      <c r="GR1242" s="73"/>
      <c r="GS1242" s="73"/>
      <c r="GT1242" s="73"/>
      <c r="GU1242" s="73"/>
      <c r="GV1242" s="73"/>
      <c r="GW1242" s="73"/>
      <c r="GX1242" s="73"/>
      <c r="GY1242" s="73"/>
      <c r="GZ1242" s="73"/>
      <c r="HA1242" s="73"/>
      <c r="HB1242" s="73"/>
      <c r="HC1242" s="73"/>
      <c r="HD1242" s="73"/>
      <c r="HE1242" s="73"/>
      <c r="HF1242" s="73"/>
      <c r="HG1242" s="73"/>
      <c r="HH1242" s="73"/>
      <c r="HI1242" s="73"/>
      <c r="HJ1242" s="73"/>
      <c r="HK1242" s="73"/>
      <c r="HL1242" s="73"/>
      <c r="HM1242" s="73"/>
      <c r="HN1242" s="73"/>
      <c r="HO1242" s="73"/>
      <c r="HP1242" s="73"/>
      <c r="HQ1242" s="73"/>
      <c r="HR1242" s="73"/>
      <c r="HS1242" s="73"/>
      <c r="HT1242" s="73"/>
      <c r="HU1242" s="73"/>
      <c r="HV1242" s="73"/>
      <c r="HW1242" s="73"/>
      <c r="HX1242" s="73"/>
      <c r="HY1242" s="73"/>
      <c r="HZ1242" s="73"/>
      <c r="IA1242" s="73"/>
      <c r="IB1242" s="73"/>
      <c r="IC1242" s="73"/>
      <c r="ID1242" s="73"/>
      <c r="IE1242" s="73"/>
      <c r="IF1242" s="73"/>
      <c r="IG1242" s="73"/>
      <c r="IH1242" s="73"/>
      <c r="II1242" s="73"/>
      <c r="IJ1242" s="73"/>
      <c r="IK1242" s="73"/>
      <c r="IL1242" s="73"/>
      <c r="IM1242" s="73"/>
      <c r="IN1242" s="73"/>
      <c r="IO1242" s="73"/>
      <c r="IP1242" s="73"/>
      <c r="IQ1242" s="73"/>
      <c r="IR1242" s="73"/>
      <c r="IS1242" s="73"/>
      <c r="IT1242" s="73"/>
      <c r="IU1242" s="73"/>
      <c r="IV1242" s="73"/>
      <c r="IW1242" s="73"/>
      <c r="IX1242" s="73"/>
      <c r="IY1242" s="73"/>
      <c r="IZ1242" s="73"/>
      <c r="JA1242" s="73"/>
      <c r="JB1242" s="73"/>
      <c r="JC1242" s="73"/>
    </row>
    <row r="1243" spans="2:263" s="72" customFormat="1">
      <c r="B1243" s="73"/>
      <c r="C1243" s="73"/>
      <c r="D1243" s="73"/>
      <c r="E1243" s="73"/>
      <c r="F1243" s="73"/>
      <c r="G1243" s="73"/>
      <c r="H1243" s="73"/>
      <c r="I1243" s="73"/>
      <c r="J1243" s="73"/>
      <c r="K1243" s="73"/>
      <c r="L1243" s="73"/>
      <c r="M1243" s="73"/>
      <c r="N1243" s="73"/>
      <c r="O1243" s="73"/>
      <c r="P1243" s="73"/>
      <c r="Q1243" s="73"/>
      <c r="R1243" s="73"/>
      <c r="S1243" s="73"/>
      <c r="T1243" s="73"/>
      <c r="U1243" s="73"/>
      <c r="V1243" s="73"/>
      <c r="W1243" s="73"/>
      <c r="GL1243" s="73"/>
      <c r="GM1243" s="73"/>
      <c r="GN1243" s="73"/>
      <c r="GO1243" s="73"/>
      <c r="GP1243" s="73"/>
      <c r="GQ1243" s="73"/>
      <c r="GR1243" s="73"/>
      <c r="GS1243" s="73"/>
      <c r="GT1243" s="73"/>
      <c r="GU1243" s="73"/>
      <c r="GV1243" s="73"/>
      <c r="GW1243" s="73"/>
      <c r="GX1243" s="73"/>
      <c r="GY1243" s="73"/>
      <c r="GZ1243" s="73"/>
      <c r="HA1243" s="73"/>
      <c r="HB1243" s="73"/>
      <c r="HC1243" s="73"/>
      <c r="HD1243" s="73"/>
      <c r="HE1243" s="73"/>
      <c r="HF1243" s="73"/>
      <c r="HG1243" s="73"/>
      <c r="HH1243" s="73"/>
      <c r="HI1243" s="73"/>
      <c r="HJ1243" s="73"/>
      <c r="HK1243" s="73"/>
      <c r="HL1243" s="73"/>
      <c r="HM1243" s="73"/>
      <c r="HN1243" s="73"/>
      <c r="HO1243" s="73"/>
      <c r="HP1243" s="73"/>
      <c r="HQ1243" s="73"/>
      <c r="HR1243" s="73"/>
      <c r="HS1243" s="73"/>
      <c r="HT1243" s="73"/>
      <c r="HU1243" s="73"/>
      <c r="HV1243" s="73"/>
      <c r="HW1243" s="73"/>
      <c r="HX1243" s="73"/>
      <c r="HY1243" s="73"/>
      <c r="HZ1243" s="73"/>
      <c r="IA1243" s="73"/>
      <c r="IB1243" s="73"/>
      <c r="IC1243" s="73"/>
      <c r="ID1243" s="73"/>
      <c r="IE1243" s="73"/>
      <c r="IF1243" s="73"/>
      <c r="IG1243" s="73"/>
      <c r="IH1243" s="73"/>
      <c r="II1243" s="73"/>
      <c r="IJ1243" s="73"/>
      <c r="IK1243" s="73"/>
      <c r="IL1243" s="73"/>
      <c r="IM1243" s="73"/>
      <c r="IN1243" s="73"/>
      <c r="IO1243" s="73"/>
      <c r="IP1243" s="73"/>
      <c r="IQ1243" s="73"/>
      <c r="IR1243" s="73"/>
      <c r="IS1243" s="73"/>
      <c r="IT1243" s="73"/>
      <c r="IU1243" s="73"/>
      <c r="IV1243" s="73"/>
      <c r="IW1243" s="73"/>
      <c r="IX1243" s="73"/>
      <c r="IY1243" s="73"/>
      <c r="IZ1243" s="73"/>
      <c r="JA1243" s="73"/>
      <c r="JB1243" s="73"/>
      <c r="JC1243" s="73"/>
    </row>
    <row r="1244" spans="2:263" s="72" customFormat="1">
      <c r="B1244" s="73"/>
      <c r="C1244" s="73"/>
      <c r="D1244" s="73"/>
      <c r="E1244" s="73"/>
      <c r="F1244" s="73"/>
      <c r="G1244" s="73"/>
      <c r="H1244" s="73"/>
      <c r="I1244" s="73"/>
      <c r="J1244" s="73"/>
      <c r="K1244" s="73"/>
      <c r="L1244" s="73"/>
      <c r="M1244" s="73"/>
      <c r="N1244" s="73"/>
      <c r="O1244" s="73"/>
      <c r="P1244" s="73"/>
      <c r="Q1244" s="73"/>
      <c r="R1244" s="73"/>
      <c r="S1244" s="73"/>
      <c r="T1244" s="73"/>
      <c r="U1244" s="73"/>
      <c r="V1244" s="73"/>
      <c r="W1244" s="73"/>
      <c r="GL1244" s="73"/>
      <c r="GM1244" s="73"/>
      <c r="GN1244" s="73"/>
      <c r="GO1244" s="73"/>
      <c r="GP1244" s="73"/>
      <c r="GQ1244" s="73"/>
      <c r="GR1244" s="73"/>
      <c r="GS1244" s="73"/>
      <c r="GT1244" s="73"/>
      <c r="GU1244" s="73"/>
      <c r="GV1244" s="73"/>
      <c r="GW1244" s="73"/>
      <c r="GX1244" s="73"/>
      <c r="GY1244" s="73"/>
      <c r="GZ1244" s="73"/>
      <c r="HA1244" s="73"/>
      <c r="HB1244" s="73"/>
      <c r="HC1244" s="73"/>
      <c r="HD1244" s="73"/>
      <c r="HE1244" s="73"/>
      <c r="HF1244" s="73"/>
      <c r="HG1244" s="73"/>
      <c r="HH1244" s="73"/>
      <c r="HI1244" s="73"/>
      <c r="HJ1244" s="73"/>
      <c r="HK1244" s="73"/>
      <c r="HL1244" s="73"/>
      <c r="HM1244" s="73"/>
      <c r="HN1244" s="73"/>
      <c r="HO1244" s="73"/>
      <c r="HP1244" s="73"/>
      <c r="HQ1244" s="73"/>
      <c r="HR1244" s="73"/>
      <c r="HS1244" s="73"/>
      <c r="HT1244" s="73"/>
      <c r="HU1244" s="73"/>
      <c r="HV1244" s="73"/>
      <c r="HW1244" s="73"/>
      <c r="HX1244" s="73"/>
      <c r="HY1244" s="73"/>
      <c r="HZ1244" s="73"/>
      <c r="IA1244" s="73"/>
      <c r="IB1244" s="73"/>
      <c r="IC1244" s="73"/>
      <c r="ID1244" s="73"/>
      <c r="IE1244" s="73"/>
      <c r="IF1244" s="73"/>
      <c r="IG1244" s="73"/>
      <c r="IH1244" s="73"/>
      <c r="II1244" s="73"/>
      <c r="IJ1244" s="73"/>
      <c r="IK1244" s="73"/>
      <c r="IL1244" s="73"/>
      <c r="IM1244" s="73"/>
      <c r="IN1244" s="73"/>
      <c r="IO1244" s="73"/>
      <c r="IP1244" s="73"/>
      <c r="IQ1244" s="73"/>
      <c r="IR1244" s="73"/>
      <c r="IS1244" s="73"/>
      <c r="IT1244" s="73"/>
      <c r="IU1244" s="73"/>
      <c r="IV1244" s="73"/>
      <c r="IW1244" s="73"/>
      <c r="IX1244" s="73"/>
      <c r="IY1244" s="73"/>
      <c r="IZ1244" s="73"/>
      <c r="JA1244" s="73"/>
      <c r="JB1244" s="73"/>
      <c r="JC1244" s="73"/>
    </row>
    <row r="1245" spans="2:263" s="72" customFormat="1">
      <c r="B1245" s="73"/>
      <c r="C1245" s="73"/>
      <c r="D1245" s="73"/>
      <c r="E1245" s="73"/>
      <c r="F1245" s="73"/>
      <c r="G1245" s="73"/>
      <c r="H1245" s="73"/>
      <c r="I1245" s="73"/>
      <c r="J1245" s="73"/>
      <c r="K1245" s="73"/>
      <c r="L1245" s="73"/>
      <c r="M1245" s="73"/>
      <c r="N1245" s="73"/>
      <c r="O1245" s="73"/>
      <c r="P1245" s="73"/>
      <c r="Q1245" s="73"/>
      <c r="R1245" s="73"/>
      <c r="S1245" s="73"/>
      <c r="T1245" s="73"/>
      <c r="U1245" s="73"/>
      <c r="V1245" s="73"/>
      <c r="W1245" s="73"/>
      <c r="GL1245" s="73"/>
      <c r="GM1245" s="73"/>
      <c r="GN1245" s="73"/>
      <c r="GO1245" s="73"/>
      <c r="GP1245" s="73"/>
      <c r="GQ1245" s="73"/>
      <c r="GR1245" s="73"/>
      <c r="GS1245" s="73"/>
      <c r="GT1245" s="73"/>
      <c r="GU1245" s="73"/>
      <c r="GV1245" s="73"/>
      <c r="GW1245" s="73"/>
      <c r="GX1245" s="73"/>
      <c r="GY1245" s="73"/>
      <c r="GZ1245" s="73"/>
      <c r="HA1245" s="73"/>
      <c r="HB1245" s="73"/>
      <c r="HC1245" s="73"/>
      <c r="HD1245" s="73"/>
      <c r="HE1245" s="73"/>
      <c r="HF1245" s="73"/>
      <c r="HG1245" s="73"/>
      <c r="HH1245" s="73"/>
      <c r="HI1245" s="73"/>
      <c r="HJ1245" s="73"/>
      <c r="HK1245" s="73"/>
      <c r="HL1245" s="73"/>
      <c r="HM1245" s="73"/>
      <c r="HN1245" s="73"/>
      <c r="HO1245" s="73"/>
      <c r="HP1245" s="73"/>
      <c r="HQ1245" s="73"/>
      <c r="HR1245" s="73"/>
      <c r="HS1245" s="73"/>
      <c r="HT1245" s="73"/>
      <c r="HU1245" s="73"/>
      <c r="HV1245" s="73"/>
      <c r="HW1245" s="73"/>
      <c r="HX1245" s="73"/>
      <c r="HY1245" s="73"/>
      <c r="HZ1245" s="73"/>
      <c r="IA1245" s="73"/>
      <c r="IB1245" s="73"/>
      <c r="IC1245" s="73"/>
      <c r="ID1245" s="73"/>
      <c r="IE1245" s="73"/>
      <c r="IF1245" s="73"/>
      <c r="IG1245" s="73"/>
      <c r="IH1245" s="73"/>
      <c r="II1245" s="73"/>
      <c r="IJ1245" s="73"/>
      <c r="IK1245" s="73"/>
      <c r="IL1245" s="73"/>
      <c r="IM1245" s="73"/>
      <c r="IN1245" s="73"/>
      <c r="IO1245" s="73"/>
      <c r="IP1245" s="73"/>
      <c r="IQ1245" s="73"/>
      <c r="IR1245" s="73"/>
      <c r="IS1245" s="73"/>
      <c r="IT1245" s="73"/>
      <c r="IU1245" s="73"/>
      <c r="IV1245" s="73"/>
      <c r="IW1245" s="73"/>
      <c r="IX1245" s="73"/>
      <c r="IY1245" s="73"/>
      <c r="IZ1245" s="73"/>
      <c r="JA1245" s="73"/>
      <c r="JB1245" s="73"/>
      <c r="JC1245" s="73"/>
    </row>
    <row r="1246" spans="2:263" s="72" customFormat="1">
      <c r="B1246" s="73"/>
      <c r="C1246" s="73"/>
      <c r="D1246" s="73"/>
      <c r="E1246" s="73"/>
      <c r="F1246" s="73"/>
      <c r="G1246" s="73"/>
      <c r="H1246" s="73"/>
      <c r="I1246" s="73"/>
      <c r="J1246" s="73"/>
      <c r="K1246" s="73"/>
      <c r="L1246" s="73"/>
      <c r="M1246" s="73"/>
      <c r="N1246" s="73"/>
      <c r="O1246" s="73"/>
      <c r="P1246" s="73"/>
      <c r="Q1246" s="73"/>
      <c r="R1246" s="73"/>
      <c r="S1246" s="73"/>
      <c r="T1246" s="73"/>
      <c r="U1246" s="73"/>
      <c r="V1246" s="73"/>
      <c r="W1246" s="73"/>
      <c r="GL1246" s="73"/>
      <c r="GM1246" s="73"/>
      <c r="GN1246" s="73"/>
      <c r="GO1246" s="73"/>
      <c r="GP1246" s="73"/>
      <c r="GQ1246" s="73"/>
      <c r="GR1246" s="73"/>
      <c r="GS1246" s="73"/>
      <c r="GT1246" s="73"/>
      <c r="GU1246" s="73"/>
      <c r="GV1246" s="73"/>
      <c r="GW1246" s="73"/>
      <c r="GX1246" s="73"/>
      <c r="GY1246" s="73"/>
      <c r="GZ1246" s="73"/>
      <c r="HA1246" s="73"/>
      <c r="HB1246" s="73"/>
      <c r="HC1246" s="73"/>
      <c r="HD1246" s="73"/>
      <c r="HE1246" s="73"/>
      <c r="HF1246" s="73"/>
      <c r="HG1246" s="73"/>
      <c r="HH1246" s="73"/>
      <c r="HI1246" s="73"/>
      <c r="HJ1246" s="73"/>
      <c r="HK1246" s="73"/>
      <c r="HL1246" s="73"/>
      <c r="HM1246" s="73"/>
      <c r="HN1246" s="73"/>
      <c r="HO1246" s="73"/>
      <c r="HP1246" s="73"/>
      <c r="HQ1246" s="73"/>
      <c r="HR1246" s="73"/>
      <c r="HS1246" s="73"/>
      <c r="HT1246" s="73"/>
      <c r="HU1246" s="73"/>
      <c r="HV1246" s="73"/>
      <c r="HW1246" s="73"/>
      <c r="HX1246" s="73"/>
      <c r="HY1246" s="73"/>
      <c r="HZ1246" s="73"/>
      <c r="IA1246" s="73"/>
      <c r="IB1246" s="73"/>
      <c r="IC1246" s="73"/>
      <c r="ID1246" s="73"/>
      <c r="IE1246" s="73"/>
      <c r="IF1246" s="73"/>
      <c r="IG1246" s="73"/>
      <c r="IH1246" s="73"/>
      <c r="II1246" s="73"/>
      <c r="IJ1246" s="73"/>
      <c r="IK1246" s="73"/>
      <c r="IL1246" s="73"/>
      <c r="IM1246" s="73"/>
      <c r="IN1246" s="73"/>
      <c r="IO1246" s="73"/>
      <c r="IP1246" s="73"/>
      <c r="IQ1246" s="73"/>
      <c r="IR1246" s="73"/>
      <c r="IS1246" s="73"/>
      <c r="IT1246" s="73"/>
      <c r="IU1246" s="73"/>
      <c r="IV1246" s="73"/>
      <c r="IW1246" s="73"/>
      <c r="IX1246" s="73"/>
      <c r="IY1246" s="73"/>
      <c r="IZ1246" s="73"/>
      <c r="JA1246" s="73"/>
      <c r="JB1246" s="73"/>
      <c r="JC1246" s="73"/>
    </row>
    <row r="1247" spans="2:263" s="72" customFormat="1">
      <c r="B1247" s="73"/>
      <c r="C1247" s="73"/>
      <c r="D1247" s="73"/>
      <c r="E1247" s="73"/>
      <c r="F1247" s="73"/>
      <c r="G1247" s="73"/>
      <c r="H1247" s="73"/>
      <c r="I1247" s="73"/>
      <c r="J1247" s="73"/>
      <c r="K1247" s="73"/>
      <c r="L1247" s="73"/>
      <c r="M1247" s="73"/>
      <c r="N1247" s="73"/>
      <c r="O1247" s="73"/>
      <c r="P1247" s="73"/>
      <c r="Q1247" s="73"/>
      <c r="R1247" s="73"/>
      <c r="S1247" s="73"/>
      <c r="T1247" s="73"/>
      <c r="U1247" s="73"/>
      <c r="V1247" s="73"/>
      <c r="W1247" s="73"/>
      <c r="GL1247" s="73"/>
      <c r="GM1247" s="73"/>
      <c r="GN1247" s="73"/>
      <c r="GO1247" s="73"/>
      <c r="GP1247" s="73"/>
      <c r="GQ1247" s="73"/>
      <c r="GR1247" s="73"/>
      <c r="GS1247" s="73"/>
      <c r="GT1247" s="73"/>
      <c r="GU1247" s="73"/>
      <c r="GV1247" s="73"/>
      <c r="GW1247" s="73"/>
      <c r="GX1247" s="73"/>
      <c r="GY1247" s="73"/>
      <c r="GZ1247" s="73"/>
      <c r="HA1247" s="73"/>
      <c r="HB1247" s="73"/>
      <c r="HC1247" s="73"/>
      <c r="HD1247" s="73"/>
      <c r="HE1247" s="73"/>
      <c r="HF1247" s="73"/>
      <c r="HG1247" s="73"/>
      <c r="HH1247" s="73"/>
      <c r="HI1247" s="73"/>
      <c r="HJ1247" s="73"/>
      <c r="HK1247" s="73"/>
      <c r="HL1247" s="73"/>
      <c r="HM1247" s="73"/>
      <c r="HN1247" s="73"/>
      <c r="HO1247" s="73"/>
      <c r="HP1247" s="73"/>
      <c r="HQ1247" s="73"/>
      <c r="HR1247" s="73"/>
      <c r="HS1247" s="73"/>
      <c r="HT1247" s="73"/>
      <c r="HU1247" s="73"/>
      <c r="HV1247" s="73"/>
      <c r="HW1247" s="73"/>
      <c r="HX1247" s="73"/>
      <c r="HY1247" s="73"/>
      <c r="HZ1247" s="73"/>
      <c r="IA1247" s="73"/>
      <c r="IB1247" s="73"/>
      <c r="IC1247" s="73"/>
      <c r="ID1247" s="73"/>
      <c r="IE1247" s="73"/>
      <c r="IF1247" s="73"/>
      <c r="IG1247" s="73"/>
      <c r="IH1247" s="73"/>
      <c r="II1247" s="73"/>
      <c r="IJ1247" s="73"/>
      <c r="IK1247" s="73"/>
      <c r="IL1247" s="73"/>
      <c r="IM1247" s="73"/>
      <c r="IN1247" s="73"/>
      <c r="IO1247" s="73"/>
      <c r="IP1247" s="73"/>
      <c r="IQ1247" s="73"/>
      <c r="IR1247" s="73"/>
      <c r="IS1247" s="73"/>
      <c r="IT1247" s="73"/>
      <c r="IU1247" s="73"/>
      <c r="IV1247" s="73"/>
      <c r="IW1247" s="73"/>
      <c r="IX1247" s="73"/>
      <c r="IY1247" s="73"/>
      <c r="IZ1247" s="73"/>
      <c r="JA1247" s="73"/>
      <c r="JB1247" s="73"/>
      <c r="JC1247" s="73"/>
    </row>
    <row r="1248" spans="2:263" s="72" customFormat="1">
      <c r="B1248" s="73"/>
      <c r="C1248" s="73"/>
      <c r="D1248" s="73"/>
      <c r="E1248" s="73"/>
      <c r="F1248" s="73"/>
      <c r="G1248" s="73"/>
      <c r="H1248" s="73"/>
      <c r="I1248" s="73"/>
      <c r="J1248" s="73"/>
      <c r="K1248" s="73"/>
      <c r="L1248" s="73"/>
      <c r="M1248" s="73"/>
      <c r="N1248" s="73"/>
      <c r="O1248" s="73"/>
      <c r="P1248" s="73"/>
      <c r="Q1248" s="73"/>
      <c r="R1248" s="73"/>
      <c r="S1248" s="73"/>
      <c r="T1248" s="73"/>
      <c r="U1248" s="73"/>
      <c r="V1248" s="73"/>
      <c r="W1248" s="73"/>
      <c r="GL1248" s="73"/>
      <c r="GM1248" s="73"/>
      <c r="GN1248" s="73"/>
      <c r="GO1248" s="73"/>
      <c r="GP1248" s="73"/>
      <c r="GQ1248" s="73"/>
      <c r="GR1248" s="73"/>
      <c r="GS1248" s="73"/>
      <c r="GT1248" s="73"/>
      <c r="GU1248" s="73"/>
      <c r="GV1248" s="73"/>
      <c r="GW1248" s="73"/>
      <c r="GX1248" s="73"/>
      <c r="GY1248" s="73"/>
      <c r="GZ1248" s="73"/>
      <c r="HA1248" s="73"/>
      <c r="HB1248" s="73"/>
      <c r="HC1248" s="73"/>
      <c r="HD1248" s="73"/>
      <c r="HE1248" s="73"/>
      <c r="HF1248" s="73"/>
      <c r="HG1248" s="73"/>
      <c r="HH1248" s="73"/>
      <c r="HI1248" s="73"/>
      <c r="HJ1248" s="73"/>
      <c r="HK1248" s="73"/>
      <c r="HL1248" s="73"/>
      <c r="HM1248" s="73"/>
      <c r="HN1248" s="73"/>
      <c r="HO1248" s="73"/>
      <c r="HP1248" s="73"/>
      <c r="HQ1248" s="73"/>
      <c r="HR1248" s="73"/>
      <c r="HS1248" s="73"/>
      <c r="HT1248" s="73"/>
      <c r="HU1248" s="73"/>
      <c r="HV1248" s="73"/>
      <c r="HW1248" s="73"/>
      <c r="HX1248" s="73"/>
      <c r="HY1248" s="73"/>
      <c r="HZ1248" s="73"/>
      <c r="IA1248" s="73"/>
      <c r="IB1248" s="73"/>
      <c r="IC1248" s="73"/>
      <c r="ID1248" s="73"/>
      <c r="IE1248" s="73"/>
      <c r="IF1248" s="73"/>
      <c r="IG1248" s="73"/>
      <c r="IH1248" s="73"/>
      <c r="II1248" s="73"/>
      <c r="IJ1248" s="73"/>
      <c r="IK1248" s="73"/>
      <c r="IL1248" s="73"/>
      <c r="IM1248" s="73"/>
      <c r="IN1248" s="73"/>
      <c r="IO1248" s="73"/>
      <c r="IP1248" s="73"/>
      <c r="IQ1248" s="73"/>
      <c r="IR1248" s="73"/>
      <c r="IS1248" s="73"/>
      <c r="IT1248" s="73"/>
      <c r="IU1248" s="73"/>
      <c r="IV1248" s="73"/>
      <c r="IW1248" s="73"/>
      <c r="IX1248" s="73"/>
      <c r="IY1248" s="73"/>
      <c r="IZ1248" s="73"/>
      <c r="JA1248" s="73"/>
      <c r="JB1248" s="73"/>
      <c r="JC1248" s="73"/>
    </row>
    <row r="1249" spans="2:263" s="72" customFormat="1">
      <c r="B1249" s="73"/>
      <c r="C1249" s="73"/>
      <c r="D1249" s="73"/>
      <c r="E1249" s="73"/>
      <c r="F1249" s="73"/>
      <c r="G1249" s="73"/>
      <c r="H1249" s="73"/>
      <c r="I1249" s="73"/>
      <c r="J1249" s="73"/>
      <c r="K1249" s="73"/>
      <c r="L1249" s="73"/>
      <c r="M1249" s="73"/>
      <c r="N1249" s="73"/>
      <c r="O1249" s="73"/>
      <c r="P1249" s="73"/>
      <c r="Q1249" s="73"/>
      <c r="R1249" s="73"/>
      <c r="S1249" s="73"/>
      <c r="T1249" s="73"/>
      <c r="U1249" s="73"/>
      <c r="V1249" s="73"/>
      <c r="W1249" s="73"/>
      <c r="GL1249" s="73"/>
      <c r="GM1249" s="73"/>
      <c r="GN1249" s="73"/>
      <c r="GO1249" s="73"/>
      <c r="GP1249" s="73"/>
      <c r="GQ1249" s="73"/>
      <c r="GR1249" s="73"/>
      <c r="GS1249" s="73"/>
      <c r="GT1249" s="73"/>
      <c r="GU1249" s="73"/>
      <c r="GV1249" s="73"/>
      <c r="GW1249" s="73"/>
      <c r="GX1249" s="73"/>
      <c r="GY1249" s="73"/>
      <c r="GZ1249" s="73"/>
      <c r="HA1249" s="73"/>
      <c r="HB1249" s="73"/>
      <c r="HC1249" s="73"/>
      <c r="HD1249" s="73"/>
      <c r="HE1249" s="73"/>
      <c r="HF1249" s="73"/>
      <c r="HG1249" s="73"/>
      <c r="HH1249" s="73"/>
      <c r="HI1249" s="73"/>
      <c r="HJ1249" s="73"/>
      <c r="HK1249" s="73"/>
      <c r="HL1249" s="73"/>
      <c r="HM1249" s="73"/>
      <c r="HN1249" s="73"/>
      <c r="HO1249" s="73"/>
      <c r="HP1249" s="73"/>
      <c r="HQ1249" s="73"/>
      <c r="HR1249" s="73"/>
      <c r="HS1249" s="73"/>
      <c r="HT1249" s="73"/>
      <c r="HU1249" s="73"/>
      <c r="HV1249" s="73"/>
      <c r="HW1249" s="73"/>
      <c r="HX1249" s="73"/>
      <c r="HY1249" s="73"/>
      <c r="HZ1249" s="73"/>
      <c r="IA1249" s="73"/>
      <c r="IB1249" s="73"/>
      <c r="IC1249" s="73"/>
      <c r="ID1249" s="73"/>
      <c r="IE1249" s="73"/>
      <c r="IF1249" s="73"/>
      <c r="IG1249" s="73"/>
      <c r="IH1249" s="73"/>
      <c r="II1249" s="73"/>
      <c r="IJ1249" s="73"/>
      <c r="IK1249" s="73"/>
      <c r="IL1249" s="73"/>
      <c r="IM1249" s="73"/>
      <c r="IN1249" s="73"/>
      <c r="IO1249" s="73"/>
      <c r="IP1249" s="73"/>
      <c r="IQ1249" s="73"/>
      <c r="IR1249" s="73"/>
      <c r="IS1249" s="73"/>
      <c r="IT1249" s="73"/>
      <c r="IU1249" s="73"/>
      <c r="IV1249" s="73"/>
      <c r="IW1249" s="73"/>
      <c r="IX1249" s="73"/>
      <c r="IY1249" s="73"/>
      <c r="IZ1249" s="73"/>
      <c r="JA1249" s="73"/>
      <c r="JB1249" s="73"/>
      <c r="JC1249" s="73"/>
    </row>
    <row r="1250" spans="2:263" s="72" customFormat="1">
      <c r="B1250" s="73"/>
      <c r="C1250" s="73"/>
      <c r="D1250" s="73"/>
      <c r="E1250" s="73"/>
      <c r="F1250" s="73"/>
      <c r="G1250" s="73"/>
      <c r="H1250" s="73"/>
      <c r="I1250" s="73"/>
      <c r="J1250" s="73"/>
      <c r="K1250" s="73"/>
      <c r="L1250" s="73"/>
      <c r="M1250" s="73"/>
      <c r="N1250" s="73"/>
      <c r="O1250" s="73"/>
      <c r="P1250" s="73"/>
      <c r="Q1250" s="73"/>
      <c r="R1250" s="73"/>
      <c r="S1250" s="73"/>
      <c r="T1250" s="73"/>
      <c r="U1250" s="73"/>
      <c r="V1250" s="73"/>
      <c r="W1250" s="73"/>
      <c r="GL1250" s="73"/>
      <c r="GM1250" s="73"/>
      <c r="GN1250" s="73"/>
      <c r="GO1250" s="73"/>
      <c r="GP1250" s="73"/>
      <c r="GQ1250" s="73"/>
      <c r="GR1250" s="73"/>
      <c r="GS1250" s="73"/>
      <c r="GT1250" s="73"/>
      <c r="GU1250" s="73"/>
      <c r="GV1250" s="73"/>
      <c r="GW1250" s="73"/>
      <c r="GX1250" s="73"/>
      <c r="GY1250" s="73"/>
      <c r="GZ1250" s="73"/>
      <c r="HA1250" s="73"/>
      <c r="HB1250" s="73"/>
      <c r="HC1250" s="73"/>
      <c r="HD1250" s="73"/>
      <c r="HE1250" s="73"/>
      <c r="HF1250" s="73"/>
      <c r="HG1250" s="73"/>
      <c r="HH1250" s="73"/>
      <c r="HI1250" s="73"/>
      <c r="HJ1250" s="73"/>
      <c r="HK1250" s="73"/>
      <c r="HL1250" s="73"/>
      <c r="HM1250" s="73"/>
      <c r="HN1250" s="73"/>
      <c r="HO1250" s="73"/>
      <c r="HP1250" s="73"/>
      <c r="HQ1250" s="73"/>
      <c r="HR1250" s="73"/>
      <c r="HS1250" s="73"/>
      <c r="HT1250" s="73"/>
      <c r="HU1250" s="73"/>
      <c r="HV1250" s="73"/>
      <c r="HW1250" s="73"/>
      <c r="HX1250" s="73"/>
      <c r="HY1250" s="73"/>
      <c r="HZ1250" s="73"/>
      <c r="IA1250" s="73"/>
      <c r="IB1250" s="73"/>
      <c r="IC1250" s="73"/>
      <c r="ID1250" s="73"/>
      <c r="IE1250" s="73"/>
      <c r="IF1250" s="73"/>
      <c r="IG1250" s="73"/>
      <c r="IH1250" s="73"/>
      <c r="II1250" s="73"/>
      <c r="IJ1250" s="73"/>
      <c r="IK1250" s="73"/>
      <c r="IL1250" s="73"/>
      <c r="IM1250" s="73"/>
      <c r="IN1250" s="73"/>
      <c r="IO1250" s="73"/>
      <c r="IP1250" s="73"/>
      <c r="IQ1250" s="73"/>
      <c r="IR1250" s="73"/>
      <c r="IS1250" s="73"/>
      <c r="IT1250" s="73"/>
      <c r="IU1250" s="73"/>
      <c r="IV1250" s="73"/>
      <c r="IW1250" s="73"/>
      <c r="IX1250" s="73"/>
      <c r="IY1250" s="73"/>
      <c r="IZ1250" s="73"/>
      <c r="JA1250" s="73"/>
      <c r="JB1250" s="73"/>
      <c r="JC1250" s="73"/>
    </row>
    <row r="1251" spans="2:263" s="72" customFormat="1">
      <c r="B1251" s="73"/>
      <c r="C1251" s="73"/>
      <c r="D1251" s="73"/>
      <c r="E1251" s="73"/>
      <c r="F1251" s="73"/>
      <c r="G1251" s="73"/>
      <c r="H1251" s="73"/>
      <c r="I1251" s="73"/>
      <c r="J1251" s="73"/>
      <c r="K1251" s="73"/>
      <c r="L1251" s="73"/>
      <c r="M1251" s="73"/>
      <c r="N1251" s="73"/>
      <c r="O1251" s="73"/>
      <c r="P1251" s="73"/>
      <c r="Q1251" s="73"/>
      <c r="R1251" s="73"/>
      <c r="S1251" s="73"/>
      <c r="T1251" s="73"/>
      <c r="U1251" s="73"/>
      <c r="V1251" s="73"/>
      <c r="W1251" s="73"/>
      <c r="GL1251" s="73"/>
      <c r="GM1251" s="73"/>
      <c r="GN1251" s="73"/>
      <c r="GO1251" s="73"/>
      <c r="GP1251" s="73"/>
      <c r="GQ1251" s="73"/>
      <c r="GR1251" s="73"/>
      <c r="GS1251" s="73"/>
      <c r="GT1251" s="73"/>
      <c r="GU1251" s="73"/>
      <c r="GV1251" s="73"/>
      <c r="GW1251" s="73"/>
      <c r="GX1251" s="73"/>
      <c r="GY1251" s="73"/>
      <c r="GZ1251" s="73"/>
      <c r="HA1251" s="73"/>
      <c r="HB1251" s="73"/>
      <c r="HC1251" s="73"/>
      <c r="HD1251" s="73"/>
      <c r="HE1251" s="73"/>
      <c r="HF1251" s="73"/>
      <c r="HG1251" s="73"/>
      <c r="HH1251" s="73"/>
      <c r="HI1251" s="73"/>
      <c r="HJ1251" s="73"/>
      <c r="HK1251" s="73"/>
      <c r="HL1251" s="73"/>
      <c r="HM1251" s="73"/>
      <c r="HN1251" s="73"/>
      <c r="HO1251" s="73"/>
      <c r="HP1251" s="73"/>
      <c r="HQ1251" s="73"/>
      <c r="HR1251" s="73"/>
      <c r="HS1251" s="73"/>
      <c r="HT1251" s="73"/>
      <c r="HU1251" s="73"/>
      <c r="HV1251" s="73"/>
      <c r="HW1251" s="73"/>
      <c r="HX1251" s="73"/>
      <c r="HY1251" s="73"/>
      <c r="HZ1251" s="73"/>
      <c r="IA1251" s="73"/>
      <c r="IB1251" s="73"/>
      <c r="IC1251" s="73"/>
      <c r="ID1251" s="73"/>
      <c r="IE1251" s="73"/>
      <c r="IF1251" s="73"/>
      <c r="IG1251" s="73"/>
      <c r="IH1251" s="73"/>
      <c r="II1251" s="73"/>
      <c r="IJ1251" s="73"/>
      <c r="IK1251" s="73"/>
      <c r="IL1251" s="73"/>
      <c r="IM1251" s="73"/>
      <c r="IN1251" s="73"/>
      <c r="IO1251" s="73"/>
      <c r="IP1251" s="73"/>
      <c r="IQ1251" s="73"/>
      <c r="IR1251" s="73"/>
      <c r="IS1251" s="73"/>
      <c r="IT1251" s="73"/>
      <c r="IU1251" s="73"/>
      <c r="IV1251" s="73"/>
      <c r="IW1251" s="73"/>
      <c r="IX1251" s="73"/>
      <c r="IY1251" s="73"/>
      <c r="IZ1251" s="73"/>
      <c r="JA1251" s="73"/>
      <c r="JB1251" s="73"/>
      <c r="JC1251" s="73"/>
    </row>
    <row r="1252" spans="2:263" s="72" customFormat="1">
      <c r="B1252" s="73"/>
      <c r="C1252" s="73"/>
      <c r="D1252" s="73"/>
      <c r="E1252" s="73"/>
      <c r="F1252" s="73"/>
      <c r="G1252" s="73"/>
      <c r="H1252" s="73"/>
      <c r="I1252" s="73"/>
      <c r="J1252" s="73"/>
      <c r="K1252" s="73"/>
      <c r="L1252" s="73"/>
      <c r="M1252" s="73"/>
      <c r="N1252" s="73"/>
      <c r="O1252" s="73"/>
      <c r="P1252" s="73"/>
      <c r="Q1252" s="73"/>
      <c r="R1252" s="73"/>
      <c r="S1252" s="73"/>
      <c r="T1252" s="73"/>
      <c r="U1252" s="73"/>
      <c r="V1252" s="73"/>
      <c r="W1252" s="73"/>
      <c r="GL1252" s="73"/>
      <c r="GM1252" s="73"/>
      <c r="GN1252" s="73"/>
      <c r="GO1252" s="73"/>
      <c r="GP1252" s="73"/>
      <c r="GQ1252" s="73"/>
      <c r="GR1252" s="73"/>
      <c r="GS1252" s="73"/>
      <c r="GT1252" s="73"/>
      <c r="GU1252" s="73"/>
      <c r="GV1252" s="73"/>
      <c r="GW1252" s="73"/>
      <c r="GX1252" s="73"/>
      <c r="GY1252" s="73"/>
      <c r="GZ1252" s="73"/>
      <c r="HA1252" s="73"/>
      <c r="HB1252" s="73"/>
      <c r="HC1252" s="73"/>
      <c r="HD1252" s="73"/>
      <c r="HE1252" s="73"/>
      <c r="HF1252" s="73"/>
      <c r="HG1252" s="73"/>
      <c r="HH1252" s="73"/>
      <c r="HI1252" s="73"/>
      <c r="HJ1252" s="73"/>
      <c r="HK1252" s="73"/>
      <c r="HL1252" s="73"/>
      <c r="HM1252" s="73"/>
      <c r="HN1252" s="73"/>
      <c r="HO1252" s="73"/>
      <c r="HP1252" s="73"/>
      <c r="HQ1252" s="73"/>
      <c r="HR1252" s="73"/>
      <c r="HS1252" s="73"/>
      <c r="HT1252" s="73"/>
      <c r="HU1252" s="73"/>
      <c r="HV1252" s="73"/>
      <c r="HW1252" s="73"/>
      <c r="HX1252" s="73"/>
      <c r="HY1252" s="73"/>
      <c r="HZ1252" s="73"/>
      <c r="IA1252" s="73"/>
      <c r="IB1252" s="73"/>
      <c r="IC1252" s="73"/>
      <c r="ID1252" s="73"/>
      <c r="IE1252" s="73"/>
      <c r="IF1252" s="73"/>
      <c r="IG1252" s="73"/>
      <c r="IH1252" s="73"/>
      <c r="II1252" s="73"/>
      <c r="IJ1252" s="73"/>
      <c r="IK1252" s="73"/>
      <c r="IL1252" s="73"/>
      <c r="IM1252" s="73"/>
      <c r="IN1252" s="73"/>
      <c r="IO1252" s="73"/>
      <c r="IP1252" s="73"/>
      <c r="IQ1252" s="73"/>
      <c r="IR1252" s="73"/>
      <c r="IS1252" s="73"/>
      <c r="IT1252" s="73"/>
      <c r="IU1252" s="73"/>
      <c r="IV1252" s="73"/>
      <c r="IW1252" s="73"/>
      <c r="IX1252" s="73"/>
      <c r="IY1252" s="73"/>
      <c r="IZ1252" s="73"/>
      <c r="JA1252" s="73"/>
      <c r="JB1252" s="73"/>
      <c r="JC1252" s="73"/>
    </row>
    <row r="1253" spans="2:263" s="72" customFormat="1">
      <c r="B1253" s="73"/>
      <c r="C1253" s="73"/>
      <c r="D1253" s="73"/>
      <c r="E1253" s="73"/>
      <c r="F1253" s="73"/>
      <c r="G1253" s="73"/>
      <c r="H1253" s="73"/>
      <c r="I1253" s="73"/>
      <c r="J1253" s="73"/>
      <c r="K1253" s="73"/>
      <c r="L1253" s="73"/>
      <c r="M1253" s="73"/>
      <c r="N1253" s="73"/>
      <c r="O1253" s="73"/>
      <c r="P1253" s="73"/>
      <c r="Q1253" s="73"/>
      <c r="R1253" s="73"/>
      <c r="S1253" s="73"/>
      <c r="T1253" s="73"/>
      <c r="U1253" s="73"/>
      <c r="V1253" s="73"/>
      <c r="W1253" s="73"/>
      <c r="GL1253" s="73"/>
      <c r="GM1253" s="73"/>
      <c r="GN1253" s="73"/>
      <c r="GO1253" s="73"/>
      <c r="GP1253" s="73"/>
      <c r="GQ1253" s="73"/>
      <c r="GR1253" s="73"/>
      <c r="GS1253" s="73"/>
      <c r="GT1253" s="73"/>
      <c r="GU1253" s="73"/>
      <c r="GV1253" s="73"/>
      <c r="GW1253" s="73"/>
      <c r="GX1253" s="73"/>
      <c r="GY1253" s="73"/>
      <c r="GZ1253" s="73"/>
      <c r="HA1253" s="73"/>
      <c r="HB1253" s="73"/>
      <c r="HC1253" s="73"/>
      <c r="HD1253" s="73"/>
      <c r="HE1253" s="73"/>
      <c r="HF1253" s="73"/>
      <c r="HG1253" s="73"/>
      <c r="HH1253" s="73"/>
      <c r="HI1253" s="73"/>
      <c r="HJ1253" s="73"/>
      <c r="HK1253" s="73"/>
      <c r="HL1253" s="73"/>
      <c r="HM1253" s="73"/>
      <c r="HN1253" s="73"/>
      <c r="HO1253" s="73"/>
      <c r="HP1253" s="73"/>
      <c r="HQ1253" s="73"/>
      <c r="HR1253" s="73"/>
      <c r="HS1253" s="73"/>
      <c r="HT1253" s="73"/>
      <c r="HU1253" s="73"/>
      <c r="HV1253" s="73"/>
      <c r="HW1253" s="73"/>
      <c r="HX1253" s="73"/>
      <c r="HY1253" s="73"/>
      <c r="HZ1253" s="73"/>
      <c r="IA1253" s="73"/>
      <c r="IB1253" s="73"/>
      <c r="IC1253" s="73"/>
      <c r="ID1253" s="73"/>
      <c r="IE1253" s="73"/>
      <c r="IF1253" s="73"/>
      <c r="IG1253" s="73"/>
      <c r="IH1253" s="73"/>
      <c r="II1253" s="73"/>
      <c r="IJ1253" s="73"/>
      <c r="IK1253" s="73"/>
      <c r="IL1253" s="73"/>
      <c r="IM1253" s="73"/>
      <c r="IN1253" s="73"/>
      <c r="IO1253" s="73"/>
      <c r="IP1253" s="73"/>
      <c r="IQ1253" s="73"/>
      <c r="IR1253" s="73"/>
      <c r="IS1253" s="73"/>
      <c r="IT1253" s="73"/>
      <c r="IU1253" s="73"/>
      <c r="IV1253" s="73"/>
      <c r="IW1253" s="73"/>
      <c r="IX1253" s="73"/>
      <c r="IY1253" s="73"/>
      <c r="IZ1253" s="73"/>
      <c r="JA1253" s="73"/>
      <c r="JB1253" s="73"/>
      <c r="JC1253" s="73"/>
    </row>
    <row r="1254" spans="2:263" s="72" customFormat="1">
      <c r="B1254" s="73"/>
      <c r="C1254" s="73"/>
      <c r="D1254" s="73"/>
      <c r="E1254" s="73"/>
      <c r="F1254" s="73"/>
      <c r="G1254" s="73"/>
      <c r="H1254" s="73"/>
      <c r="I1254" s="73"/>
      <c r="J1254" s="73"/>
      <c r="K1254" s="73"/>
      <c r="L1254" s="73"/>
      <c r="M1254" s="73"/>
      <c r="N1254" s="73"/>
      <c r="O1254" s="73"/>
      <c r="P1254" s="73"/>
      <c r="Q1254" s="73"/>
      <c r="R1254" s="73"/>
      <c r="S1254" s="73"/>
      <c r="T1254" s="73"/>
      <c r="U1254" s="73"/>
      <c r="V1254" s="73"/>
      <c r="W1254" s="73"/>
      <c r="GL1254" s="73"/>
      <c r="GM1254" s="73"/>
      <c r="GN1254" s="73"/>
      <c r="GO1254" s="73"/>
      <c r="GP1254" s="73"/>
      <c r="GQ1254" s="73"/>
      <c r="GR1254" s="73"/>
      <c r="GS1254" s="73"/>
      <c r="GT1254" s="73"/>
      <c r="GU1254" s="73"/>
      <c r="GV1254" s="73"/>
      <c r="GW1254" s="73"/>
      <c r="GX1254" s="73"/>
      <c r="GY1254" s="73"/>
      <c r="GZ1254" s="73"/>
      <c r="HA1254" s="73"/>
      <c r="HB1254" s="73"/>
      <c r="HC1254" s="73"/>
      <c r="HD1254" s="73"/>
      <c r="HE1254" s="73"/>
      <c r="HF1254" s="73"/>
      <c r="HG1254" s="73"/>
      <c r="HH1254" s="73"/>
      <c r="HI1254" s="73"/>
      <c r="HJ1254" s="73"/>
      <c r="HK1254" s="73"/>
      <c r="HL1254" s="73"/>
      <c r="HM1254" s="73"/>
      <c r="HN1254" s="73"/>
      <c r="HO1254" s="73"/>
      <c r="HP1254" s="73"/>
      <c r="HQ1254" s="73"/>
      <c r="HR1254" s="73"/>
      <c r="HS1254" s="73"/>
      <c r="HT1254" s="73"/>
      <c r="HU1254" s="73"/>
      <c r="HV1254" s="73"/>
      <c r="HW1254" s="73"/>
      <c r="HX1254" s="73"/>
      <c r="HY1254" s="73"/>
      <c r="HZ1254" s="73"/>
      <c r="IA1254" s="73"/>
      <c r="IB1254" s="73"/>
      <c r="IC1254" s="73"/>
      <c r="ID1254" s="73"/>
      <c r="IE1254" s="73"/>
      <c r="IF1254" s="73"/>
      <c r="IG1254" s="73"/>
      <c r="IH1254" s="73"/>
      <c r="II1254" s="73"/>
      <c r="IJ1254" s="73"/>
      <c r="IK1254" s="73"/>
      <c r="IL1254" s="73"/>
      <c r="IM1254" s="73"/>
      <c r="IN1254" s="73"/>
      <c r="IO1254" s="73"/>
      <c r="IP1254" s="73"/>
      <c r="IQ1254" s="73"/>
      <c r="IR1254" s="73"/>
      <c r="IS1254" s="73"/>
      <c r="IT1254" s="73"/>
      <c r="IU1254" s="73"/>
      <c r="IV1254" s="73"/>
      <c r="IW1254" s="73"/>
      <c r="IX1254" s="73"/>
      <c r="IY1254" s="73"/>
      <c r="IZ1254" s="73"/>
      <c r="JA1254" s="73"/>
      <c r="JB1254" s="73"/>
      <c r="JC1254" s="73"/>
    </row>
    <row r="1255" spans="2:263" s="72" customFormat="1">
      <c r="B1255" s="73"/>
      <c r="C1255" s="73"/>
      <c r="D1255" s="73"/>
      <c r="E1255" s="73"/>
      <c r="F1255" s="73"/>
      <c r="G1255" s="73"/>
      <c r="H1255" s="73"/>
      <c r="I1255" s="73"/>
      <c r="J1255" s="73"/>
      <c r="K1255" s="73"/>
      <c r="L1255" s="73"/>
      <c r="M1255" s="73"/>
      <c r="N1255" s="73"/>
      <c r="O1255" s="73"/>
      <c r="P1255" s="73"/>
      <c r="Q1255" s="73"/>
      <c r="R1255" s="73"/>
      <c r="S1255" s="73"/>
      <c r="T1255" s="73"/>
      <c r="U1255" s="73"/>
      <c r="V1255" s="73"/>
      <c r="W1255" s="73"/>
      <c r="GL1255" s="73"/>
      <c r="GM1255" s="73"/>
      <c r="GN1255" s="73"/>
      <c r="GO1255" s="73"/>
      <c r="GP1255" s="73"/>
      <c r="GQ1255" s="73"/>
      <c r="GR1255" s="73"/>
      <c r="GS1255" s="73"/>
      <c r="GT1255" s="73"/>
      <c r="GU1255" s="73"/>
      <c r="GV1255" s="73"/>
      <c r="GW1255" s="73"/>
      <c r="GX1255" s="73"/>
      <c r="GY1255" s="73"/>
      <c r="GZ1255" s="73"/>
      <c r="HA1255" s="73"/>
      <c r="HB1255" s="73"/>
      <c r="HC1255" s="73"/>
      <c r="HD1255" s="73"/>
      <c r="HE1255" s="73"/>
      <c r="HF1255" s="73"/>
      <c r="HG1255" s="73"/>
      <c r="HH1255" s="73"/>
      <c r="HI1255" s="73"/>
      <c r="HJ1255" s="73"/>
      <c r="HK1255" s="73"/>
      <c r="HL1255" s="73"/>
      <c r="HM1255" s="73"/>
      <c r="HN1255" s="73"/>
      <c r="HO1255" s="73"/>
      <c r="HP1255" s="73"/>
      <c r="HQ1255" s="73"/>
      <c r="HR1255" s="73"/>
      <c r="HS1255" s="73"/>
      <c r="HT1255" s="73"/>
      <c r="HU1255" s="73"/>
      <c r="HV1255" s="73"/>
      <c r="HW1255" s="73"/>
      <c r="HX1255" s="73"/>
      <c r="HY1255" s="73"/>
      <c r="HZ1255" s="73"/>
      <c r="IA1255" s="73"/>
      <c r="IB1255" s="73"/>
      <c r="IC1255" s="73"/>
      <c r="ID1255" s="73"/>
      <c r="IE1255" s="73"/>
      <c r="IF1255" s="73"/>
      <c r="IG1255" s="73"/>
      <c r="IH1255" s="73"/>
      <c r="II1255" s="73"/>
      <c r="IJ1255" s="73"/>
      <c r="IK1255" s="73"/>
      <c r="IL1255" s="73"/>
      <c r="IM1255" s="73"/>
      <c r="IN1255" s="73"/>
      <c r="IO1255" s="73"/>
      <c r="IP1255" s="73"/>
      <c r="IQ1255" s="73"/>
      <c r="IR1255" s="73"/>
      <c r="IS1255" s="73"/>
      <c r="IT1255" s="73"/>
      <c r="IU1255" s="73"/>
      <c r="IV1255" s="73"/>
      <c r="IW1255" s="73"/>
      <c r="IX1255" s="73"/>
      <c r="IY1255" s="73"/>
      <c r="IZ1255" s="73"/>
      <c r="JA1255" s="73"/>
      <c r="JB1255" s="73"/>
      <c r="JC1255" s="73"/>
    </row>
    <row r="1256" spans="2:263" s="72" customFormat="1">
      <c r="B1256" s="73"/>
      <c r="C1256" s="73"/>
      <c r="D1256" s="73"/>
      <c r="E1256" s="73"/>
      <c r="F1256" s="73"/>
      <c r="G1256" s="73"/>
      <c r="H1256" s="73"/>
      <c r="I1256" s="73"/>
      <c r="J1256" s="73"/>
      <c r="K1256" s="73"/>
      <c r="L1256" s="73"/>
      <c r="M1256" s="73"/>
      <c r="N1256" s="73"/>
      <c r="O1256" s="73"/>
      <c r="P1256" s="73"/>
      <c r="Q1256" s="73"/>
      <c r="R1256" s="73"/>
      <c r="S1256" s="73"/>
      <c r="T1256" s="73"/>
      <c r="U1256" s="73"/>
      <c r="V1256" s="73"/>
      <c r="W1256" s="73"/>
      <c r="GL1256" s="73"/>
      <c r="GM1256" s="73"/>
      <c r="GN1256" s="73"/>
      <c r="GO1256" s="73"/>
      <c r="GP1256" s="73"/>
      <c r="GQ1256" s="73"/>
      <c r="GR1256" s="73"/>
      <c r="GS1256" s="73"/>
      <c r="GT1256" s="73"/>
      <c r="GU1256" s="73"/>
      <c r="GV1256" s="73"/>
      <c r="GW1256" s="73"/>
      <c r="GX1256" s="73"/>
      <c r="GY1256" s="73"/>
      <c r="GZ1256" s="73"/>
      <c r="HA1256" s="73"/>
      <c r="HB1256" s="73"/>
      <c r="HC1256" s="73"/>
      <c r="HD1256" s="73"/>
      <c r="HE1256" s="73"/>
      <c r="HF1256" s="73"/>
      <c r="HG1256" s="73"/>
      <c r="HH1256" s="73"/>
      <c r="HI1256" s="73"/>
      <c r="HJ1256" s="73"/>
      <c r="HK1256" s="73"/>
      <c r="HL1256" s="73"/>
      <c r="HM1256" s="73"/>
      <c r="HN1256" s="73"/>
      <c r="HO1256" s="73"/>
      <c r="HP1256" s="73"/>
      <c r="HQ1256" s="73"/>
      <c r="HR1256" s="73"/>
      <c r="HS1256" s="73"/>
      <c r="HT1256" s="73"/>
      <c r="HU1256" s="73"/>
      <c r="HV1256" s="73"/>
      <c r="HW1256" s="73"/>
      <c r="HX1256" s="73"/>
      <c r="HY1256" s="73"/>
      <c r="HZ1256" s="73"/>
      <c r="IA1256" s="73"/>
      <c r="IB1256" s="73"/>
      <c r="IC1256" s="73"/>
      <c r="ID1256" s="73"/>
      <c r="IE1256" s="73"/>
      <c r="IF1256" s="73"/>
      <c r="IG1256" s="73"/>
      <c r="IH1256" s="73"/>
      <c r="II1256" s="73"/>
      <c r="IJ1256" s="73"/>
      <c r="IK1256" s="73"/>
      <c r="IL1256" s="73"/>
      <c r="IM1256" s="73"/>
      <c r="IN1256" s="73"/>
      <c r="IO1256" s="73"/>
      <c r="IP1256" s="73"/>
      <c r="IQ1256" s="73"/>
      <c r="IR1256" s="73"/>
      <c r="IS1256" s="73"/>
      <c r="IT1256" s="73"/>
      <c r="IU1256" s="73"/>
      <c r="IV1256" s="73"/>
      <c r="IW1256" s="73"/>
      <c r="IX1256" s="73"/>
      <c r="IY1256" s="73"/>
      <c r="IZ1256" s="73"/>
      <c r="JA1256" s="73"/>
      <c r="JB1256" s="73"/>
      <c r="JC1256" s="73"/>
    </row>
    <row r="1257" spans="2:263" s="72" customFormat="1">
      <c r="B1257" s="73"/>
      <c r="C1257" s="73"/>
      <c r="D1257" s="73"/>
      <c r="E1257" s="73"/>
      <c r="F1257" s="73"/>
      <c r="G1257" s="73"/>
      <c r="H1257" s="73"/>
      <c r="I1257" s="73"/>
      <c r="J1257" s="73"/>
      <c r="K1257" s="73"/>
      <c r="L1257" s="73"/>
      <c r="M1257" s="73"/>
      <c r="N1257" s="73"/>
      <c r="O1257" s="73"/>
      <c r="P1257" s="73"/>
      <c r="Q1257" s="73"/>
      <c r="R1257" s="73"/>
      <c r="S1257" s="73"/>
      <c r="T1257" s="73"/>
      <c r="U1257" s="73"/>
      <c r="V1257" s="73"/>
      <c r="W1257" s="73"/>
      <c r="GL1257" s="73"/>
      <c r="GM1257" s="73"/>
      <c r="GN1257" s="73"/>
      <c r="GO1257" s="73"/>
      <c r="GP1257" s="73"/>
      <c r="GQ1257" s="73"/>
      <c r="GR1257" s="73"/>
      <c r="GS1257" s="73"/>
      <c r="GT1257" s="73"/>
      <c r="GU1257" s="73"/>
      <c r="GV1257" s="73"/>
      <c r="GW1257" s="73"/>
      <c r="GX1257" s="73"/>
      <c r="GY1257" s="73"/>
      <c r="GZ1257" s="73"/>
      <c r="HA1257" s="73"/>
      <c r="HB1257" s="73"/>
      <c r="HC1257" s="73"/>
      <c r="HD1257" s="73"/>
      <c r="HE1257" s="73"/>
      <c r="HF1257" s="73"/>
      <c r="HG1257" s="73"/>
      <c r="HH1257" s="73"/>
      <c r="HI1257" s="73"/>
      <c r="HJ1257" s="73"/>
      <c r="HK1257" s="73"/>
      <c r="HL1257" s="73"/>
      <c r="HM1257" s="73"/>
      <c r="HN1257" s="73"/>
      <c r="HO1257" s="73"/>
      <c r="HP1257" s="73"/>
      <c r="HQ1257" s="73"/>
      <c r="HR1257" s="73"/>
      <c r="HS1257" s="73"/>
      <c r="HT1257" s="73"/>
      <c r="HU1257" s="73"/>
      <c r="HV1257" s="73"/>
      <c r="HW1257" s="73"/>
      <c r="HX1257" s="73"/>
      <c r="HY1257" s="73"/>
      <c r="HZ1257" s="73"/>
      <c r="IA1257" s="73"/>
      <c r="IB1257" s="73"/>
      <c r="IC1257" s="73"/>
      <c r="ID1257" s="73"/>
      <c r="IE1257" s="73"/>
      <c r="IF1257" s="73"/>
      <c r="IG1257" s="73"/>
      <c r="IH1257" s="73"/>
      <c r="II1257" s="73"/>
      <c r="IJ1257" s="73"/>
      <c r="IK1257" s="73"/>
      <c r="IL1257" s="73"/>
      <c r="IM1257" s="73"/>
      <c r="IN1257" s="73"/>
      <c r="IO1257" s="73"/>
      <c r="IP1257" s="73"/>
      <c r="IQ1257" s="73"/>
      <c r="IR1257" s="73"/>
      <c r="IS1257" s="73"/>
      <c r="IT1257" s="73"/>
      <c r="IU1257" s="73"/>
      <c r="IV1257" s="73"/>
      <c r="IW1257" s="73"/>
      <c r="IX1257" s="73"/>
      <c r="IY1257" s="73"/>
      <c r="IZ1257" s="73"/>
      <c r="JA1257" s="73"/>
      <c r="JB1257" s="73"/>
      <c r="JC1257" s="73"/>
    </row>
    <row r="1258" spans="2:263" s="72" customFormat="1">
      <c r="B1258" s="73"/>
      <c r="C1258" s="73"/>
      <c r="D1258" s="73"/>
      <c r="E1258" s="73"/>
      <c r="F1258" s="73"/>
      <c r="G1258" s="73"/>
      <c r="H1258" s="73"/>
      <c r="I1258" s="73"/>
      <c r="J1258" s="73"/>
      <c r="K1258" s="73"/>
      <c r="L1258" s="73"/>
      <c r="M1258" s="73"/>
      <c r="N1258" s="73"/>
      <c r="O1258" s="73"/>
      <c r="P1258" s="73"/>
      <c r="Q1258" s="73"/>
      <c r="R1258" s="73"/>
      <c r="S1258" s="73"/>
      <c r="T1258" s="73"/>
      <c r="U1258" s="73"/>
      <c r="V1258" s="73"/>
      <c r="W1258" s="73"/>
      <c r="GL1258" s="73"/>
      <c r="GM1258" s="73"/>
      <c r="GN1258" s="73"/>
      <c r="GO1258" s="73"/>
      <c r="GP1258" s="73"/>
      <c r="GQ1258" s="73"/>
      <c r="GR1258" s="73"/>
      <c r="GS1258" s="73"/>
      <c r="GT1258" s="73"/>
      <c r="GU1258" s="73"/>
      <c r="GV1258" s="73"/>
      <c r="GW1258" s="73"/>
      <c r="GX1258" s="73"/>
      <c r="GY1258" s="73"/>
      <c r="GZ1258" s="73"/>
      <c r="HA1258" s="73"/>
      <c r="HB1258" s="73"/>
      <c r="HC1258" s="73"/>
      <c r="HD1258" s="73"/>
      <c r="HE1258" s="73"/>
      <c r="HF1258" s="73"/>
      <c r="HG1258" s="73"/>
      <c r="HH1258" s="73"/>
      <c r="HI1258" s="73"/>
      <c r="HJ1258" s="73"/>
      <c r="HK1258" s="73"/>
      <c r="HL1258" s="73"/>
      <c r="HM1258" s="73"/>
      <c r="HN1258" s="73"/>
      <c r="HO1258" s="73"/>
      <c r="HP1258" s="73"/>
      <c r="HQ1258" s="73"/>
      <c r="HR1258" s="73"/>
      <c r="HS1258" s="73"/>
      <c r="HT1258" s="73"/>
      <c r="HU1258" s="73"/>
      <c r="HV1258" s="73"/>
      <c r="HW1258" s="73"/>
      <c r="HX1258" s="73"/>
      <c r="HY1258" s="73"/>
      <c r="HZ1258" s="73"/>
      <c r="IA1258" s="73"/>
      <c r="IB1258" s="73"/>
      <c r="IC1258" s="73"/>
      <c r="ID1258" s="73"/>
      <c r="IE1258" s="73"/>
      <c r="IF1258" s="73"/>
      <c r="IG1258" s="73"/>
      <c r="IH1258" s="73"/>
      <c r="II1258" s="73"/>
      <c r="IJ1258" s="73"/>
      <c r="IK1258" s="73"/>
      <c r="IL1258" s="73"/>
      <c r="IM1258" s="73"/>
      <c r="IN1258" s="73"/>
      <c r="IO1258" s="73"/>
      <c r="IP1258" s="73"/>
      <c r="IQ1258" s="73"/>
      <c r="IR1258" s="73"/>
      <c r="IS1258" s="73"/>
      <c r="IT1258" s="73"/>
      <c r="IU1258" s="73"/>
      <c r="IV1258" s="73"/>
      <c r="IW1258" s="73"/>
      <c r="IX1258" s="73"/>
      <c r="IY1258" s="73"/>
      <c r="IZ1258" s="73"/>
      <c r="JA1258" s="73"/>
      <c r="JB1258" s="73"/>
      <c r="JC1258" s="73"/>
    </row>
    <row r="1259" spans="2:263" s="72" customFormat="1">
      <c r="B1259" s="73"/>
      <c r="C1259" s="73"/>
      <c r="D1259" s="73"/>
      <c r="E1259" s="73"/>
      <c r="F1259" s="73"/>
      <c r="G1259" s="73"/>
      <c r="H1259" s="73"/>
      <c r="I1259" s="73"/>
      <c r="J1259" s="73"/>
      <c r="K1259" s="73"/>
      <c r="L1259" s="73"/>
      <c r="M1259" s="73"/>
      <c r="N1259" s="73"/>
      <c r="O1259" s="73"/>
      <c r="P1259" s="73"/>
      <c r="Q1259" s="73"/>
      <c r="R1259" s="73"/>
      <c r="S1259" s="73"/>
      <c r="T1259" s="73"/>
      <c r="U1259" s="73"/>
      <c r="V1259" s="73"/>
      <c r="W1259" s="73"/>
      <c r="GL1259" s="73"/>
      <c r="GM1259" s="73"/>
      <c r="GN1259" s="73"/>
      <c r="GO1259" s="73"/>
      <c r="GP1259" s="73"/>
      <c r="GQ1259" s="73"/>
      <c r="GR1259" s="73"/>
      <c r="GS1259" s="73"/>
      <c r="GT1259" s="73"/>
      <c r="GU1259" s="73"/>
      <c r="GV1259" s="73"/>
      <c r="GW1259" s="73"/>
      <c r="GX1259" s="73"/>
      <c r="GY1259" s="73"/>
      <c r="GZ1259" s="73"/>
      <c r="HA1259" s="73"/>
      <c r="HB1259" s="73"/>
      <c r="HC1259" s="73"/>
      <c r="HD1259" s="73"/>
      <c r="HE1259" s="73"/>
      <c r="HF1259" s="73"/>
      <c r="HG1259" s="73"/>
      <c r="HH1259" s="73"/>
      <c r="HI1259" s="73"/>
      <c r="HJ1259" s="73"/>
      <c r="HK1259" s="73"/>
      <c r="HL1259" s="73"/>
      <c r="HM1259" s="73"/>
      <c r="HN1259" s="73"/>
      <c r="HO1259" s="73"/>
      <c r="HP1259" s="73"/>
      <c r="HQ1259" s="73"/>
      <c r="HR1259" s="73"/>
      <c r="HS1259" s="73"/>
      <c r="HT1259" s="73"/>
      <c r="HU1259" s="73"/>
      <c r="HV1259" s="73"/>
      <c r="HW1259" s="73"/>
      <c r="HX1259" s="73"/>
      <c r="HY1259" s="73"/>
      <c r="HZ1259" s="73"/>
      <c r="IA1259" s="73"/>
      <c r="IB1259" s="73"/>
      <c r="IC1259" s="73"/>
      <c r="ID1259" s="73"/>
      <c r="IE1259" s="73"/>
      <c r="IF1259" s="73"/>
      <c r="IG1259" s="73"/>
      <c r="IH1259" s="73"/>
      <c r="II1259" s="73"/>
      <c r="IJ1259" s="73"/>
      <c r="IK1259" s="73"/>
      <c r="IL1259" s="73"/>
      <c r="IM1259" s="73"/>
      <c r="IN1259" s="73"/>
      <c r="IO1259" s="73"/>
      <c r="IP1259" s="73"/>
      <c r="IQ1259" s="73"/>
      <c r="IR1259" s="73"/>
      <c r="IS1259" s="73"/>
      <c r="IT1259" s="73"/>
      <c r="IU1259" s="73"/>
      <c r="IV1259" s="73"/>
      <c r="IW1259" s="73"/>
      <c r="IX1259" s="73"/>
      <c r="IY1259" s="73"/>
      <c r="IZ1259" s="73"/>
      <c r="JA1259" s="73"/>
      <c r="JB1259" s="73"/>
      <c r="JC1259" s="73"/>
    </row>
    <row r="1260" spans="2:263" s="72" customFormat="1">
      <c r="B1260" s="73"/>
      <c r="C1260" s="73"/>
      <c r="D1260" s="73"/>
      <c r="E1260" s="73"/>
      <c r="F1260" s="73"/>
      <c r="G1260" s="73"/>
      <c r="H1260" s="73"/>
      <c r="I1260" s="73"/>
      <c r="J1260" s="73"/>
      <c r="K1260" s="73"/>
      <c r="L1260" s="73"/>
      <c r="M1260" s="73"/>
      <c r="N1260" s="73"/>
      <c r="O1260" s="73"/>
      <c r="P1260" s="73"/>
      <c r="Q1260" s="73"/>
      <c r="R1260" s="73"/>
      <c r="S1260" s="73"/>
      <c r="T1260" s="73"/>
      <c r="U1260" s="73"/>
      <c r="V1260" s="73"/>
      <c r="W1260" s="73"/>
      <c r="GL1260" s="73"/>
      <c r="GM1260" s="73"/>
      <c r="GN1260" s="73"/>
      <c r="GO1260" s="73"/>
      <c r="GP1260" s="73"/>
      <c r="GQ1260" s="73"/>
      <c r="GR1260" s="73"/>
      <c r="GS1260" s="73"/>
      <c r="GT1260" s="73"/>
      <c r="GU1260" s="73"/>
      <c r="GV1260" s="73"/>
      <c r="GW1260" s="73"/>
      <c r="GX1260" s="73"/>
      <c r="GY1260" s="73"/>
      <c r="GZ1260" s="73"/>
      <c r="HA1260" s="73"/>
      <c r="HB1260" s="73"/>
      <c r="HC1260" s="73"/>
      <c r="HD1260" s="73"/>
      <c r="HE1260" s="73"/>
      <c r="HF1260" s="73"/>
      <c r="HG1260" s="73"/>
      <c r="HH1260" s="73"/>
      <c r="HI1260" s="73"/>
      <c r="HJ1260" s="73"/>
      <c r="HK1260" s="73"/>
      <c r="HL1260" s="73"/>
      <c r="HM1260" s="73"/>
      <c r="HN1260" s="73"/>
      <c r="HO1260" s="73"/>
      <c r="HP1260" s="73"/>
      <c r="HQ1260" s="73"/>
      <c r="HR1260" s="73"/>
      <c r="HS1260" s="73"/>
      <c r="HT1260" s="73"/>
      <c r="HU1260" s="73"/>
      <c r="HV1260" s="73"/>
      <c r="HW1260" s="73"/>
      <c r="HX1260" s="73"/>
      <c r="HY1260" s="73"/>
      <c r="HZ1260" s="73"/>
      <c r="IA1260" s="73"/>
      <c r="IB1260" s="73"/>
      <c r="IC1260" s="73"/>
      <c r="ID1260" s="73"/>
      <c r="IE1260" s="73"/>
      <c r="IF1260" s="73"/>
      <c r="IG1260" s="73"/>
      <c r="IH1260" s="73"/>
      <c r="II1260" s="73"/>
      <c r="IJ1260" s="73"/>
      <c r="IK1260" s="73"/>
      <c r="IL1260" s="73"/>
      <c r="IM1260" s="73"/>
      <c r="IN1260" s="73"/>
      <c r="IO1260" s="73"/>
      <c r="IP1260" s="73"/>
      <c r="IQ1260" s="73"/>
      <c r="IR1260" s="73"/>
      <c r="IS1260" s="73"/>
      <c r="IT1260" s="73"/>
      <c r="IU1260" s="73"/>
      <c r="IV1260" s="73"/>
      <c r="IW1260" s="73"/>
      <c r="IX1260" s="73"/>
      <c r="IY1260" s="73"/>
      <c r="IZ1260" s="73"/>
      <c r="JA1260" s="73"/>
      <c r="JB1260" s="73"/>
      <c r="JC1260" s="73"/>
    </row>
    <row r="1261" spans="2:263" s="72" customFormat="1">
      <c r="B1261" s="73"/>
      <c r="C1261" s="73"/>
      <c r="D1261" s="73"/>
      <c r="E1261" s="73"/>
      <c r="F1261" s="73"/>
      <c r="G1261" s="73"/>
      <c r="H1261" s="73"/>
      <c r="I1261" s="73"/>
      <c r="J1261" s="73"/>
      <c r="K1261" s="73"/>
      <c r="L1261" s="73"/>
      <c r="M1261" s="73"/>
      <c r="N1261" s="73"/>
      <c r="O1261" s="73"/>
      <c r="P1261" s="73"/>
      <c r="Q1261" s="73"/>
      <c r="R1261" s="73"/>
      <c r="S1261" s="73"/>
      <c r="T1261" s="73"/>
      <c r="U1261" s="73"/>
      <c r="V1261" s="73"/>
      <c r="W1261" s="73"/>
      <c r="GL1261" s="73"/>
      <c r="GM1261" s="73"/>
      <c r="GN1261" s="73"/>
      <c r="GO1261" s="73"/>
      <c r="GP1261" s="73"/>
      <c r="GQ1261" s="73"/>
      <c r="GR1261" s="73"/>
      <c r="GS1261" s="73"/>
      <c r="GT1261" s="73"/>
      <c r="GU1261" s="73"/>
      <c r="GV1261" s="73"/>
      <c r="GW1261" s="73"/>
      <c r="GX1261" s="73"/>
      <c r="GY1261" s="73"/>
      <c r="GZ1261" s="73"/>
      <c r="HA1261" s="73"/>
      <c r="HB1261" s="73"/>
      <c r="HC1261" s="73"/>
      <c r="HD1261" s="73"/>
      <c r="HE1261" s="73"/>
      <c r="HF1261" s="73"/>
      <c r="HG1261" s="73"/>
      <c r="HH1261" s="73"/>
      <c r="HI1261" s="73"/>
      <c r="HJ1261" s="73"/>
      <c r="HK1261" s="73"/>
      <c r="HL1261" s="73"/>
      <c r="HM1261" s="73"/>
      <c r="HN1261" s="73"/>
      <c r="HO1261" s="73"/>
      <c r="HP1261" s="73"/>
      <c r="HQ1261" s="73"/>
      <c r="HR1261" s="73"/>
      <c r="HS1261" s="73"/>
      <c r="HT1261" s="73"/>
      <c r="HU1261" s="73"/>
      <c r="HV1261" s="73"/>
      <c r="HW1261" s="73"/>
      <c r="HX1261" s="73"/>
      <c r="HY1261" s="73"/>
      <c r="HZ1261" s="73"/>
      <c r="IA1261" s="73"/>
      <c r="IB1261" s="73"/>
      <c r="IC1261" s="73"/>
      <c r="ID1261" s="73"/>
      <c r="IE1261" s="73"/>
      <c r="IF1261" s="73"/>
      <c r="IG1261" s="73"/>
      <c r="IH1261" s="73"/>
      <c r="II1261" s="73"/>
      <c r="IJ1261" s="73"/>
      <c r="IK1261" s="73"/>
      <c r="IL1261" s="73"/>
      <c r="IM1261" s="73"/>
      <c r="IN1261" s="73"/>
      <c r="IO1261" s="73"/>
      <c r="IP1261" s="73"/>
      <c r="IQ1261" s="73"/>
      <c r="IR1261" s="73"/>
      <c r="IS1261" s="73"/>
      <c r="IT1261" s="73"/>
      <c r="IU1261" s="73"/>
      <c r="IV1261" s="73"/>
      <c r="IW1261" s="73"/>
      <c r="IX1261" s="73"/>
      <c r="IY1261" s="73"/>
      <c r="IZ1261" s="73"/>
      <c r="JA1261" s="73"/>
      <c r="JB1261" s="73"/>
      <c r="JC1261" s="73"/>
    </row>
    <row r="1262" spans="2:263" s="72" customFormat="1">
      <c r="B1262" s="73"/>
      <c r="C1262" s="73"/>
      <c r="D1262" s="73"/>
      <c r="E1262" s="73"/>
      <c r="F1262" s="73"/>
      <c r="G1262" s="73"/>
      <c r="H1262" s="73"/>
      <c r="I1262" s="73"/>
      <c r="J1262" s="73"/>
      <c r="K1262" s="73"/>
      <c r="L1262" s="73"/>
      <c r="M1262" s="73"/>
      <c r="N1262" s="73"/>
      <c r="O1262" s="73"/>
      <c r="P1262" s="73"/>
      <c r="Q1262" s="73"/>
      <c r="R1262" s="73"/>
      <c r="S1262" s="73"/>
      <c r="T1262" s="73"/>
      <c r="U1262" s="73"/>
      <c r="V1262" s="73"/>
      <c r="W1262" s="73"/>
      <c r="GL1262" s="73"/>
      <c r="GM1262" s="73"/>
      <c r="GN1262" s="73"/>
      <c r="GO1262" s="73"/>
      <c r="GP1262" s="73"/>
      <c r="GQ1262" s="73"/>
      <c r="GR1262" s="73"/>
      <c r="GS1262" s="73"/>
      <c r="GT1262" s="73"/>
      <c r="GU1262" s="73"/>
      <c r="GV1262" s="73"/>
      <c r="GW1262" s="73"/>
      <c r="GX1262" s="73"/>
      <c r="GY1262" s="73"/>
      <c r="GZ1262" s="73"/>
      <c r="HA1262" s="73"/>
      <c r="HB1262" s="73"/>
      <c r="HC1262" s="73"/>
      <c r="HD1262" s="73"/>
      <c r="HE1262" s="73"/>
      <c r="HF1262" s="73"/>
      <c r="HG1262" s="73"/>
      <c r="HH1262" s="73"/>
      <c r="HI1262" s="73"/>
      <c r="HJ1262" s="73"/>
      <c r="HK1262" s="73"/>
      <c r="HL1262" s="73"/>
      <c r="HM1262" s="73"/>
      <c r="HN1262" s="73"/>
      <c r="HO1262" s="73"/>
      <c r="HP1262" s="73"/>
      <c r="HQ1262" s="73"/>
      <c r="HR1262" s="73"/>
      <c r="HS1262" s="73"/>
      <c r="HT1262" s="73"/>
      <c r="HU1262" s="73"/>
      <c r="HV1262" s="73"/>
      <c r="HW1262" s="73"/>
      <c r="HX1262" s="73"/>
      <c r="HY1262" s="73"/>
      <c r="HZ1262" s="73"/>
      <c r="IA1262" s="73"/>
      <c r="IB1262" s="73"/>
      <c r="IC1262" s="73"/>
      <c r="ID1262" s="73"/>
      <c r="IE1262" s="73"/>
      <c r="IF1262" s="73"/>
      <c r="IG1262" s="73"/>
      <c r="IH1262" s="73"/>
      <c r="II1262" s="73"/>
      <c r="IJ1262" s="73"/>
      <c r="IK1262" s="73"/>
      <c r="IL1262" s="73"/>
      <c r="IM1262" s="73"/>
      <c r="IN1262" s="73"/>
      <c r="IO1262" s="73"/>
      <c r="IP1262" s="73"/>
      <c r="IQ1262" s="73"/>
      <c r="IR1262" s="73"/>
      <c r="IS1262" s="73"/>
      <c r="IT1262" s="73"/>
      <c r="IU1262" s="73"/>
      <c r="IV1262" s="73"/>
      <c r="IW1262" s="73"/>
      <c r="IX1262" s="73"/>
      <c r="IY1262" s="73"/>
      <c r="IZ1262" s="73"/>
      <c r="JA1262" s="73"/>
      <c r="JB1262" s="73"/>
      <c r="JC1262" s="73"/>
    </row>
    <row r="1263" spans="2:263" s="72" customFormat="1">
      <c r="B1263" s="73"/>
      <c r="C1263" s="73"/>
      <c r="D1263" s="73"/>
      <c r="E1263" s="73"/>
      <c r="F1263" s="73"/>
      <c r="G1263" s="73"/>
      <c r="H1263" s="73"/>
      <c r="I1263" s="73"/>
      <c r="J1263" s="73"/>
      <c r="K1263" s="73"/>
      <c r="L1263" s="73"/>
      <c r="M1263" s="73"/>
      <c r="N1263" s="73"/>
      <c r="O1263" s="73"/>
      <c r="P1263" s="73"/>
      <c r="Q1263" s="73"/>
      <c r="R1263" s="73"/>
      <c r="S1263" s="73"/>
      <c r="T1263" s="73"/>
      <c r="U1263" s="73"/>
      <c r="V1263" s="73"/>
      <c r="W1263" s="73"/>
      <c r="GL1263" s="73"/>
      <c r="GM1263" s="73"/>
      <c r="GN1263" s="73"/>
      <c r="GO1263" s="73"/>
      <c r="GP1263" s="73"/>
      <c r="GQ1263" s="73"/>
      <c r="GR1263" s="73"/>
      <c r="GS1263" s="73"/>
      <c r="GT1263" s="73"/>
      <c r="GU1263" s="73"/>
      <c r="GV1263" s="73"/>
      <c r="GW1263" s="73"/>
      <c r="GX1263" s="73"/>
      <c r="GY1263" s="73"/>
      <c r="GZ1263" s="73"/>
      <c r="HA1263" s="73"/>
      <c r="HB1263" s="73"/>
      <c r="HC1263" s="73"/>
      <c r="HD1263" s="73"/>
      <c r="HE1263" s="73"/>
      <c r="HF1263" s="73"/>
      <c r="HG1263" s="73"/>
      <c r="HH1263" s="73"/>
      <c r="HI1263" s="73"/>
      <c r="HJ1263" s="73"/>
      <c r="HK1263" s="73"/>
      <c r="HL1263" s="73"/>
      <c r="HM1263" s="73"/>
      <c r="HN1263" s="73"/>
      <c r="HO1263" s="73"/>
      <c r="HP1263" s="73"/>
      <c r="HQ1263" s="73"/>
      <c r="HR1263" s="73"/>
      <c r="HS1263" s="73"/>
      <c r="HT1263" s="73"/>
      <c r="HU1263" s="73"/>
      <c r="HV1263" s="73"/>
      <c r="HW1263" s="73"/>
      <c r="HX1263" s="73"/>
      <c r="HY1263" s="73"/>
      <c r="HZ1263" s="73"/>
      <c r="IA1263" s="73"/>
      <c r="IB1263" s="73"/>
      <c r="IC1263" s="73"/>
      <c r="ID1263" s="73"/>
      <c r="IE1263" s="73"/>
      <c r="IF1263" s="73"/>
      <c r="IG1263" s="73"/>
      <c r="IH1263" s="73"/>
      <c r="II1263" s="73"/>
      <c r="IJ1263" s="73"/>
      <c r="IK1263" s="73"/>
      <c r="IL1263" s="73"/>
      <c r="IM1263" s="73"/>
      <c r="IN1263" s="73"/>
      <c r="IO1263" s="73"/>
      <c r="IP1263" s="73"/>
      <c r="IQ1263" s="73"/>
      <c r="IR1263" s="73"/>
      <c r="IS1263" s="73"/>
      <c r="IT1263" s="73"/>
      <c r="IU1263" s="73"/>
      <c r="IV1263" s="73"/>
      <c r="IW1263" s="73"/>
      <c r="IX1263" s="73"/>
      <c r="IY1263" s="73"/>
      <c r="IZ1263" s="73"/>
      <c r="JA1263" s="73"/>
      <c r="JB1263" s="73"/>
      <c r="JC1263" s="73"/>
    </row>
    <row r="1264" spans="2:263" s="72" customFormat="1">
      <c r="B1264" s="73"/>
      <c r="C1264" s="73"/>
      <c r="D1264" s="73"/>
      <c r="E1264" s="73"/>
      <c r="F1264" s="73"/>
      <c r="G1264" s="73"/>
      <c r="H1264" s="73"/>
      <c r="I1264" s="73"/>
      <c r="J1264" s="73"/>
      <c r="K1264" s="73"/>
      <c r="L1264" s="73"/>
      <c r="M1264" s="73"/>
      <c r="N1264" s="73"/>
      <c r="O1264" s="73"/>
      <c r="P1264" s="73"/>
      <c r="Q1264" s="73"/>
      <c r="R1264" s="73"/>
      <c r="S1264" s="73"/>
      <c r="T1264" s="73"/>
      <c r="U1264" s="73"/>
      <c r="V1264" s="73"/>
      <c r="W1264" s="73"/>
      <c r="GL1264" s="73"/>
      <c r="GM1264" s="73"/>
      <c r="GN1264" s="73"/>
      <c r="GO1264" s="73"/>
      <c r="GP1264" s="73"/>
      <c r="GQ1264" s="73"/>
      <c r="GR1264" s="73"/>
      <c r="GS1264" s="73"/>
      <c r="GT1264" s="73"/>
      <c r="GU1264" s="73"/>
      <c r="GV1264" s="73"/>
      <c r="GW1264" s="73"/>
      <c r="GX1264" s="73"/>
      <c r="GY1264" s="73"/>
      <c r="GZ1264" s="73"/>
      <c r="HA1264" s="73"/>
      <c r="HB1264" s="73"/>
      <c r="HC1264" s="73"/>
      <c r="HD1264" s="73"/>
      <c r="HE1264" s="73"/>
      <c r="HF1264" s="73"/>
      <c r="HG1264" s="73"/>
      <c r="HH1264" s="73"/>
      <c r="HI1264" s="73"/>
      <c r="HJ1264" s="73"/>
      <c r="HK1264" s="73"/>
      <c r="HL1264" s="73"/>
      <c r="HM1264" s="73"/>
      <c r="HN1264" s="73"/>
      <c r="HO1264" s="73"/>
      <c r="HP1264" s="73"/>
      <c r="HQ1264" s="73"/>
      <c r="HR1264" s="73"/>
      <c r="HS1264" s="73"/>
      <c r="HT1264" s="73"/>
      <c r="HU1264" s="73"/>
      <c r="HV1264" s="73"/>
      <c r="HW1264" s="73"/>
      <c r="HX1264" s="73"/>
      <c r="HY1264" s="73"/>
      <c r="HZ1264" s="73"/>
      <c r="IA1264" s="73"/>
      <c r="IB1264" s="73"/>
      <c r="IC1264" s="73"/>
      <c r="ID1264" s="73"/>
      <c r="IE1264" s="73"/>
      <c r="IF1264" s="73"/>
      <c r="IG1264" s="73"/>
      <c r="IH1264" s="73"/>
      <c r="II1264" s="73"/>
      <c r="IJ1264" s="73"/>
      <c r="IK1264" s="73"/>
      <c r="IL1264" s="73"/>
      <c r="IM1264" s="73"/>
      <c r="IN1264" s="73"/>
      <c r="IO1264" s="73"/>
      <c r="IP1264" s="73"/>
      <c r="IQ1264" s="73"/>
      <c r="IR1264" s="73"/>
      <c r="IS1264" s="73"/>
      <c r="IT1264" s="73"/>
      <c r="IU1264" s="73"/>
      <c r="IV1264" s="73"/>
      <c r="IW1264" s="73"/>
      <c r="IX1264" s="73"/>
      <c r="IY1264" s="73"/>
      <c r="IZ1264" s="73"/>
      <c r="JA1264" s="73"/>
      <c r="JB1264" s="73"/>
      <c r="JC1264" s="73"/>
    </row>
    <row r="1265" spans="2:263" s="72" customFormat="1">
      <c r="B1265" s="73"/>
      <c r="C1265" s="73"/>
      <c r="D1265" s="73"/>
      <c r="E1265" s="73"/>
      <c r="F1265" s="73"/>
      <c r="G1265" s="73"/>
      <c r="H1265" s="73"/>
      <c r="I1265" s="73"/>
      <c r="J1265" s="73"/>
      <c r="K1265" s="73"/>
      <c r="L1265" s="73"/>
      <c r="M1265" s="73"/>
      <c r="N1265" s="73"/>
      <c r="O1265" s="73"/>
      <c r="P1265" s="73"/>
      <c r="Q1265" s="73"/>
      <c r="R1265" s="73"/>
      <c r="S1265" s="73"/>
      <c r="T1265" s="73"/>
      <c r="U1265" s="73"/>
      <c r="V1265" s="73"/>
      <c r="W1265" s="73"/>
      <c r="GL1265" s="73"/>
      <c r="GM1265" s="73"/>
      <c r="GN1265" s="73"/>
      <c r="GO1265" s="73"/>
      <c r="GP1265" s="73"/>
      <c r="GQ1265" s="73"/>
      <c r="GR1265" s="73"/>
      <c r="GS1265" s="73"/>
      <c r="GT1265" s="73"/>
      <c r="GU1265" s="73"/>
      <c r="GV1265" s="73"/>
      <c r="GW1265" s="73"/>
      <c r="GX1265" s="73"/>
      <c r="GY1265" s="73"/>
      <c r="GZ1265" s="73"/>
      <c r="HA1265" s="73"/>
      <c r="HB1265" s="73"/>
      <c r="HC1265" s="73"/>
      <c r="HD1265" s="73"/>
      <c r="HE1265" s="73"/>
      <c r="HF1265" s="73"/>
      <c r="HG1265" s="73"/>
      <c r="HH1265" s="73"/>
      <c r="HI1265" s="73"/>
      <c r="HJ1265" s="73"/>
      <c r="HK1265" s="73"/>
      <c r="HL1265" s="73"/>
      <c r="HM1265" s="73"/>
      <c r="HN1265" s="73"/>
      <c r="HO1265" s="73"/>
      <c r="HP1265" s="73"/>
      <c r="HQ1265" s="73"/>
      <c r="HR1265" s="73"/>
      <c r="HS1265" s="73"/>
      <c r="HT1265" s="73"/>
      <c r="HU1265" s="73"/>
      <c r="HV1265" s="73"/>
      <c r="HW1265" s="73"/>
      <c r="HX1265" s="73"/>
      <c r="HY1265" s="73"/>
      <c r="HZ1265" s="73"/>
      <c r="IA1265" s="73"/>
      <c r="IB1265" s="73"/>
      <c r="IC1265" s="73"/>
      <c r="ID1265" s="73"/>
      <c r="IE1265" s="73"/>
      <c r="IF1265" s="73"/>
      <c r="IG1265" s="73"/>
      <c r="IH1265" s="73"/>
      <c r="II1265" s="73"/>
      <c r="IJ1265" s="73"/>
      <c r="IK1265" s="73"/>
      <c r="IL1265" s="73"/>
      <c r="IM1265" s="73"/>
      <c r="IN1265" s="73"/>
      <c r="IO1265" s="73"/>
      <c r="IP1265" s="73"/>
      <c r="IQ1265" s="73"/>
      <c r="IR1265" s="73"/>
      <c r="IS1265" s="73"/>
      <c r="IT1265" s="73"/>
      <c r="IU1265" s="73"/>
      <c r="IV1265" s="73"/>
      <c r="IW1265" s="73"/>
      <c r="IX1265" s="73"/>
      <c r="IY1265" s="73"/>
      <c r="IZ1265" s="73"/>
      <c r="JA1265" s="73"/>
      <c r="JB1265" s="73"/>
      <c r="JC1265" s="73"/>
    </row>
    <row r="1266" spans="2:263" s="72" customFormat="1">
      <c r="B1266" s="73"/>
      <c r="C1266" s="73"/>
      <c r="D1266" s="73"/>
      <c r="E1266" s="73"/>
      <c r="F1266" s="73"/>
      <c r="G1266" s="73"/>
      <c r="H1266" s="73"/>
      <c r="I1266" s="73"/>
      <c r="J1266" s="73"/>
      <c r="K1266" s="73"/>
      <c r="L1266" s="73"/>
      <c r="M1266" s="73"/>
      <c r="N1266" s="73"/>
      <c r="O1266" s="73"/>
      <c r="P1266" s="73"/>
      <c r="Q1266" s="73"/>
      <c r="R1266" s="73"/>
      <c r="S1266" s="73"/>
      <c r="T1266" s="73"/>
      <c r="U1266" s="73"/>
      <c r="V1266" s="73"/>
      <c r="W1266" s="73"/>
      <c r="GL1266" s="73"/>
      <c r="GM1266" s="73"/>
      <c r="GN1266" s="73"/>
      <c r="GO1266" s="73"/>
      <c r="GP1266" s="73"/>
      <c r="GQ1266" s="73"/>
      <c r="GR1266" s="73"/>
      <c r="GS1266" s="73"/>
      <c r="GT1266" s="73"/>
      <c r="GU1266" s="73"/>
      <c r="GV1266" s="73"/>
      <c r="GW1266" s="73"/>
      <c r="GX1266" s="73"/>
      <c r="GY1266" s="73"/>
      <c r="GZ1266" s="73"/>
      <c r="HA1266" s="73"/>
      <c r="HB1266" s="73"/>
      <c r="HC1266" s="73"/>
      <c r="HD1266" s="73"/>
      <c r="HE1266" s="73"/>
      <c r="HF1266" s="73"/>
      <c r="HG1266" s="73"/>
      <c r="HH1266" s="73"/>
      <c r="HI1266" s="73"/>
      <c r="HJ1266" s="73"/>
      <c r="HK1266" s="73"/>
      <c r="HL1266" s="73"/>
      <c r="HM1266" s="73"/>
      <c r="HN1266" s="73"/>
      <c r="HO1266" s="73"/>
      <c r="HP1266" s="73"/>
      <c r="HQ1266" s="73"/>
      <c r="HR1266" s="73"/>
      <c r="HS1266" s="73"/>
      <c r="HT1266" s="73"/>
      <c r="HU1266" s="73"/>
      <c r="HV1266" s="73"/>
      <c r="HW1266" s="73"/>
      <c r="HX1266" s="73"/>
      <c r="HY1266" s="73"/>
      <c r="HZ1266" s="73"/>
      <c r="IA1266" s="73"/>
      <c r="IB1266" s="73"/>
      <c r="IC1266" s="73"/>
      <c r="ID1266" s="73"/>
      <c r="IE1266" s="73"/>
      <c r="IF1266" s="73"/>
      <c r="IG1266" s="73"/>
      <c r="IH1266" s="73"/>
      <c r="II1266" s="73"/>
      <c r="IJ1266" s="73"/>
      <c r="IK1266" s="73"/>
      <c r="IL1266" s="73"/>
      <c r="IM1266" s="73"/>
      <c r="IN1266" s="73"/>
      <c r="IO1266" s="73"/>
      <c r="IP1266" s="73"/>
      <c r="IQ1266" s="73"/>
      <c r="IR1266" s="73"/>
      <c r="IS1266" s="73"/>
      <c r="IT1266" s="73"/>
      <c r="IU1266" s="73"/>
      <c r="IV1266" s="73"/>
      <c r="IW1266" s="73"/>
      <c r="IX1266" s="73"/>
      <c r="IY1266" s="73"/>
      <c r="IZ1266" s="73"/>
      <c r="JA1266" s="73"/>
      <c r="JB1266" s="73"/>
      <c r="JC1266" s="73"/>
    </row>
    <row r="1267" spans="2:263" s="72" customFormat="1">
      <c r="B1267" s="73"/>
      <c r="C1267" s="73"/>
      <c r="D1267" s="73"/>
      <c r="E1267" s="73"/>
      <c r="F1267" s="73"/>
      <c r="G1267" s="73"/>
      <c r="H1267" s="73"/>
      <c r="I1267" s="73"/>
      <c r="J1267" s="73"/>
      <c r="K1267" s="73"/>
      <c r="L1267" s="73"/>
      <c r="M1267" s="73"/>
      <c r="N1267" s="73"/>
      <c r="O1267" s="73"/>
      <c r="P1267" s="73"/>
      <c r="Q1267" s="73"/>
      <c r="R1267" s="73"/>
      <c r="S1267" s="73"/>
      <c r="T1267" s="73"/>
      <c r="U1267" s="73"/>
      <c r="V1267" s="73"/>
      <c r="W1267" s="73"/>
      <c r="GL1267" s="73"/>
      <c r="GM1267" s="73"/>
      <c r="GN1267" s="73"/>
      <c r="GO1267" s="73"/>
      <c r="GP1267" s="73"/>
      <c r="GQ1267" s="73"/>
      <c r="GR1267" s="73"/>
      <c r="GS1267" s="73"/>
      <c r="GT1267" s="73"/>
      <c r="GU1267" s="73"/>
      <c r="GV1267" s="73"/>
      <c r="GW1267" s="73"/>
      <c r="GX1267" s="73"/>
      <c r="GY1267" s="73"/>
      <c r="GZ1267" s="73"/>
      <c r="HA1267" s="73"/>
      <c r="HB1267" s="73"/>
      <c r="HC1267" s="73"/>
      <c r="HD1267" s="73"/>
      <c r="HE1267" s="73"/>
      <c r="HF1267" s="73"/>
      <c r="HG1267" s="73"/>
      <c r="HH1267" s="73"/>
      <c r="HI1267" s="73"/>
      <c r="HJ1267" s="73"/>
      <c r="HK1267" s="73"/>
      <c r="HL1267" s="73"/>
      <c r="HM1267" s="73"/>
      <c r="HN1267" s="73"/>
      <c r="HO1267" s="73"/>
      <c r="HP1267" s="73"/>
      <c r="HQ1267" s="73"/>
      <c r="HR1267" s="73"/>
      <c r="HS1267" s="73"/>
      <c r="HT1267" s="73"/>
      <c r="HU1267" s="73"/>
      <c r="HV1267" s="73"/>
      <c r="HW1267" s="73"/>
      <c r="HX1267" s="73"/>
      <c r="HY1267" s="73"/>
      <c r="HZ1267" s="73"/>
      <c r="IA1267" s="73"/>
      <c r="IB1267" s="73"/>
      <c r="IC1267" s="73"/>
      <c r="ID1267" s="73"/>
      <c r="IE1267" s="73"/>
      <c r="IF1267" s="73"/>
      <c r="IG1267" s="73"/>
      <c r="IH1267" s="73"/>
      <c r="II1267" s="73"/>
      <c r="IJ1267" s="73"/>
      <c r="IK1267" s="73"/>
      <c r="IL1267" s="73"/>
      <c r="IM1267" s="73"/>
      <c r="IN1267" s="73"/>
      <c r="IO1267" s="73"/>
      <c r="IP1267" s="73"/>
      <c r="IQ1267" s="73"/>
      <c r="IR1267" s="73"/>
      <c r="IS1267" s="73"/>
      <c r="IT1267" s="73"/>
      <c r="IU1267" s="73"/>
      <c r="IV1267" s="73"/>
      <c r="IW1267" s="73"/>
      <c r="IX1267" s="73"/>
      <c r="IY1267" s="73"/>
      <c r="IZ1267" s="73"/>
      <c r="JA1267" s="73"/>
      <c r="JB1267" s="73"/>
      <c r="JC1267" s="73"/>
    </row>
    <row r="1268" spans="2:263" s="72" customFormat="1">
      <c r="B1268" s="73"/>
      <c r="C1268" s="73"/>
      <c r="D1268" s="73"/>
      <c r="E1268" s="73"/>
      <c r="F1268" s="73"/>
      <c r="G1268" s="73"/>
      <c r="H1268" s="73"/>
      <c r="I1268" s="73"/>
      <c r="J1268" s="73"/>
      <c r="K1268" s="73"/>
      <c r="L1268" s="73"/>
      <c r="M1268" s="73"/>
      <c r="N1268" s="73"/>
      <c r="O1268" s="73"/>
      <c r="P1268" s="73"/>
      <c r="Q1268" s="73"/>
      <c r="R1268" s="73"/>
      <c r="S1268" s="73"/>
      <c r="T1268" s="73"/>
      <c r="U1268" s="73"/>
      <c r="V1268" s="73"/>
      <c r="W1268" s="73"/>
      <c r="GL1268" s="73"/>
      <c r="GM1268" s="73"/>
      <c r="GN1268" s="73"/>
      <c r="GO1268" s="73"/>
      <c r="GP1268" s="73"/>
      <c r="GQ1268" s="73"/>
      <c r="GR1268" s="73"/>
      <c r="GS1268" s="73"/>
      <c r="GT1268" s="73"/>
      <c r="GU1268" s="73"/>
      <c r="GV1268" s="73"/>
      <c r="GW1268" s="73"/>
      <c r="GX1268" s="73"/>
      <c r="GY1268" s="73"/>
      <c r="GZ1268" s="73"/>
      <c r="HA1268" s="73"/>
      <c r="HB1268" s="73"/>
      <c r="HC1268" s="73"/>
      <c r="HD1268" s="73"/>
      <c r="HE1268" s="73"/>
      <c r="HF1268" s="73"/>
      <c r="HG1268" s="73"/>
      <c r="HH1268" s="73"/>
      <c r="HI1268" s="73"/>
      <c r="HJ1268" s="73"/>
      <c r="HK1268" s="73"/>
      <c r="HL1268" s="73"/>
      <c r="HM1268" s="73"/>
      <c r="HN1268" s="73"/>
      <c r="HO1268" s="73"/>
      <c r="HP1268" s="73"/>
      <c r="HQ1268" s="73"/>
      <c r="HR1268" s="73"/>
      <c r="HS1268" s="73"/>
      <c r="HT1268" s="73"/>
      <c r="HU1268" s="73"/>
      <c r="HV1268" s="73"/>
      <c r="HW1268" s="73"/>
      <c r="HX1268" s="73"/>
      <c r="HY1268" s="73"/>
      <c r="HZ1268" s="73"/>
      <c r="IA1268" s="73"/>
      <c r="IB1268" s="73"/>
      <c r="IC1268" s="73"/>
      <c r="ID1268" s="73"/>
      <c r="IE1268" s="73"/>
      <c r="IF1268" s="73"/>
      <c r="IG1268" s="73"/>
      <c r="IH1268" s="73"/>
      <c r="II1268" s="73"/>
      <c r="IJ1268" s="73"/>
      <c r="IK1268" s="73"/>
      <c r="IL1268" s="73"/>
      <c r="IM1268" s="73"/>
      <c r="IN1268" s="73"/>
      <c r="IO1268" s="73"/>
      <c r="IP1268" s="73"/>
      <c r="IQ1268" s="73"/>
      <c r="IR1268" s="73"/>
      <c r="IS1268" s="73"/>
      <c r="IT1268" s="73"/>
      <c r="IU1268" s="73"/>
      <c r="IV1268" s="73"/>
      <c r="IW1268" s="73"/>
      <c r="IX1268" s="73"/>
      <c r="IY1268" s="73"/>
      <c r="IZ1268" s="73"/>
      <c r="JA1268" s="73"/>
      <c r="JB1268" s="73"/>
      <c r="JC1268" s="73"/>
    </row>
    <row r="1269" spans="2:263" s="72" customFormat="1">
      <c r="B1269" s="73"/>
      <c r="C1269" s="73"/>
      <c r="D1269" s="73"/>
      <c r="E1269" s="73"/>
      <c r="F1269" s="73"/>
      <c r="G1269" s="73"/>
      <c r="H1269" s="73"/>
      <c r="I1269" s="73"/>
      <c r="J1269" s="73"/>
      <c r="K1269" s="73"/>
      <c r="L1269" s="73"/>
      <c r="M1269" s="73"/>
      <c r="N1269" s="73"/>
      <c r="O1269" s="73"/>
      <c r="P1269" s="73"/>
      <c r="Q1269" s="73"/>
      <c r="R1269" s="73"/>
      <c r="S1269" s="73"/>
      <c r="T1269" s="73"/>
      <c r="U1269" s="73"/>
      <c r="V1269" s="73"/>
      <c r="W1269" s="73"/>
      <c r="GL1269" s="73"/>
      <c r="GM1269" s="73"/>
      <c r="GN1269" s="73"/>
      <c r="GO1269" s="73"/>
      <c r="GP1269" s="73"/>
      <c r="GQ1269" s="73"/>
      <c r="GR1269" s="73"/>
      <c r="GS1269" s="73"/>
      <c r="GT1269" s="73"/>
      <c r="GU1269" s="73"/>
      <c r="GV1269" s="73"/>
      <c r="GW1269" s="73"/>
      <c r="GX1269" s="73"/>
      <c r="GY1269" s="73"/>
      <c r="GZ1269" s="73"/>
      <c r="HA1269" s="73"/>
      <c r="HB1269" s="73"/>
      <c r="HC1269" s="73"/>
      <c r="HD1269" s="73"/>
      <c r="HE1269" s="73"/>
      <c r="HF1269" s="73"/>
      <c r="HG1269" s="73"/>
      <c r="HH1269" s="73"/>
      <c r="HI1269" s="73"/>
      <c r="HJ1269" s="73"/>
      <c r="HK1269" s="73"/>
      <c r="HL1269" s="73"/>
      <c r="HM1269" s="73"/>
      <c r="HN1269" s="73"/>
      <c r="HO1269" s="73"/>
      <c r="HP1269" s="73"/>
      <c r="HQ1269" s="73"/>
      <c r="HR1269" s="73"/>
      <c r="HS1269" s="73"/>
      <c r="HT1269" s="73"/>
      <c r="HU1269" s="73"/>
      <c r="HV1269" s="73"/>
      <c r="HW1269" s="73"/>
      <c r="HX1269" s="73"/>
      <c r="HY1269" s="73"/>
      <c r="HZ1269" s="73"/>
      <c r="IA1269" s="73"/>
      <c r="IB1269" s="73"/>
      <c r="IC1269" s="73"/>
      <c r="ID1269" s="73"/>
      <c r="IE1269" s="73"/>
      <c r="IF1269" s="73"/>
      <c r="IG1269" s="73"/>
      <c r="IH1269" s="73"/>
      <c r="II1269" s="73"/>
      <c r="IJ1269" s="73"/>
      <c r="IK1269" s="73"/>
      <c r="IL1269" s="73"/>
      <c r="IM1269" s="73"/>
      <c r="IN1269" s="73"/>
      <c r="IO1269" s="73"/>
      <c r="IP1269" s="73"/>
      <c r="IQ1269" s="73"/>
      <c r="IR1269" s="73"/>
      <c r="IS1269" s="73"/>
      <c r="IT1269" s="73"/>
      <c r="IU1269" s="73"/>
      <c r="IV1269" s="73"/>
      <c r="IW1269" s="73"/>
      <c r="IX1269" s="73"/>
      <c r="IY1269" s="73"/>
      <c r="IZ1269" s="73"/>
      <c r="JA1269" s="73"/>
      <c r="JB1269" s="73"/>
      <c r="JC1269" s="73"/>
    </row>
    <row r="1270" spans="2:263" s="72" customFormat="1">
      <c r="B1270" s="73"/>
      <c r="C1270" s="73"/>
      <c r="D1270" s="73"/>
      <c r="E1270" s="73"/>
      <c r="F1270" s="73"/>
      <c r="G1270" s="73"/>
      <c r="H1270" s="73"/>
      <c r="I1270" s="73"/>
      <c r="J1270" s="73"/>
      <c r="K1270" s="73"/>
      <c r="L1270" s="73"/>
      <c r="M1270" s="73"/>
      <c r="N1270" s="73"/>
      <c r="O1270" s="73"/>
      <c r="P1270" s="73"/>
      <c r="Q1270" s="73"/>
      <c r="R1270" s="73"/>
      <c r="S1270" s="73"/>
      <c r="T1270" s="73"/>
      <c r="U1270" s="73"/>
      <c r="V1270" s="73"/>
      <c r="W1270" s="73"/>
      <c r="GL1270" s="73"/>
      <c r="GM1270" s="73"/>
      <c r="GN1270" s="73"/>
      <c r="GO1270" s="73"/>
      <c r="GP1270" s="73"/>
      <c r="GQ1270" s="73"/>
      <c r="GR1270" s="73"/>
      <c r="GS1270" s="73"/>
      <c r="GT1270" s="73"/>
      <c r="GU1270" s="73"/>
      <c r="GV1270" s="73"/>
      <c r="GW1270" s="73"/>
      <c r="GX1270" s="73"/>
      <c r="GY1270" s="73"/>
      <c r="GZ1270" s="73"/>
      <c r="HA1270" s="73"/>
      <c r="HB1270" s="73"/>
      <c r="HC1270" s="73"/>
      <c r="HD1270" s="73"/>
      <c r="HE1270" s="73"/>
      <c r="HF1270" s="73"/>
      <c r="HG1270" s="73"/>
      <c r="HH1270" s="73"/>
      <c r="HI1270" s="73"/>
      <c r="HJ1270" s="73"/>
      <c r="HK1270" s="73"/>
      <c r="HL1270" s="73"/>
      <c r="HM1270" s="73"/>
      <c r="HN1270" s="73"/>
      <c r="HO1270" s="73"/>
      <c r="HP1270" s="73"/>
      <c r="HQ1270" s="73"/>
      <c r="HR1270" s="73"/>
      <c r="HS1270" s="73"/>
      <c r="HT1270" s="73"/>
      <c r="HU1270" s="73"/>
      <c r="HV1270" s="73"/>
      <c r="HW1270" s="73"/>
      <c r="HX1270" s="73"/>
      <c r="HY1270" s="73"/>
      <c r="HZ1270" s="73"/>
      <c r="IA1270" s="73"/>
      <c r="IB1270" s="73"/>
      <c r="IC1270" s="73"/>
      <c r="ID1270" s="73"/>
      <c r="IE1270" s="73"/>
      <c r="IF1270" s="73"/>
      <c r="IG1270" s="73"/>
      <c r="IH1270" s="73"/>
      <c r="II1270" s="73"/>
      <c r="IJ1270" s="73"/>
      <c r="IK1270" s="73"/>
      <c r="IL1270" s="73"/>
      <c r="IM1270" s="73"/>
      <c r="IN1270" s="73"/>
      <c r="IO1270" s="73"/>
      <c r="IP1270" s="73"/>
      <c r="IQ1270" s="73"/>
      <c r="IR1270" s="73"/>
      <c r="IS1270" s="73"/>
      <c r="IT1270" s="73"/>
      <c r="IU1270" s="73"/>
      <c r="IV1270" s="73"/>
      <c r="IW1270" s="73"/>
      <c r="IX1270" s="73"/>
      <c r="IY1270" s="73"/>
      <c r="IZ1270" s="73"/>
      <c r="JA1270" s="73"/>
      <c r="JB1270" s="73"/>
      <c r="JC1270" s="73"/>
    </row>
    <row r="1271" spans="2:263" s="72" customFormat="1">
      <c r="B1271" s="73"/>
      <c r="C1271" s="73"/>
      <c r="D1271" s="73"/>
      <c r="E1271" s="73"/>
      <c r="F1271" s="73"/>
      <c r="G1271" s="73"/>
      <c r="H1271" s="73"/>
      <c r="I1271" s="73"/>
      <c r="J1271" s="73"/>
      <c r="K1271" s="73"/>
      <c r="L1271" s="73"/>
      <c r="M1271" s="73"/>
      <c r="N1271" s="73"/>
      <c r="O1271" s="73"/>
      <c r="P1271" s="73"/>
      <c r="Q1271" s="73"/>
      <c r="R1271" s="73"/>
      <c r="S1271" s="73"/>
      <c r="T1271" s="73"/>
      <c r="U1271" s="73"/>
      <c r="V1271" s="73"/>
      <c r="W1271" s="73"/>
      <c r="GL1271" s="73"/>
      <c r="GM1271" s="73"/>
      <c r="GN1271" s="73"/>
      <c r="GO1271" s="73"/>
      <c r="GP1271" s="73"/>
      <c r="GQ1271" s="73"/>
      <c r="GR1271" s="73"/>
      <c r="GS1271" s="73"/>
      <c r="GT1271" s="73"/>
      <c r="GU1271" s="73"/>
      <c r="GV1271" s="73"/>
      <c r="GW1271" s="73"/>
      <c r="GX1271" s="73"/>
      <c r="GY1271" s="73"/>
      <c r="GZ1271" s="73"/>
      <c r="HA1271" s="73"/>
      <c r="HB1271" s="73"/>
      <c r="HC1271" s="73"/>
      <c r="HD1271" s="73"/>
      <c r="HE1271" s="73"/>
      <c r="HF1271" s="73"/>
      <c r="HG1271" s="73"/>
      <c r="HH1271" s="73"/>
      <c r="HI1271" s="73"/>
      <c r="HJ1271" s="73"/>
      <c r="HK1271" s="73"/>
      <c r="HL1271" s="73"/>
      <c r="HM1271" s="73"/>
      <c r="HN1271" s="73"/>
      <c r="HO1271" s="73"/>
      <c r="HP1271" s="73"/>
      <c r="HQ1271" s="73"/>
      <c r="HR1271" s="73"/>
      <c r="HS1271" s="73"/>
      <c r="HT1271" s="73"/>
      <c r="HU1271" s="73"/>
      <c r="HV1271" s="73"/>
      <c r="HW1271" s="73"/>
      <c r="HX1271" s="73"/>
      <c r="HY1271" s="73"/>
      <c r="HZ1271" s="73"/>
      <c r="IA1271" s="73"/>
      <c r="IB1271" s="73"/>
      <c r="IC1271" s="73"/>
      <c r="ID1271" s="73"/>
      <c r="IE1271" s="73"/>
      <c r="IF1271" s="73"/>
      <c r="IG1271" s="73"/>
      <c r="IH1271" s="73"/>
      <c r="II1271" s="73"/>
      <c r="IJ1271" s="73"/>
      <c r="IK1271" s="73"/>
      <c r="IL1271" s="73"/>
      <c r="IM1271" s="73"/>
      <c r="IN1271" s="73"/>
      <c r="IO1271" s="73"/>
      <c r="IP1271" s="73"/>
      <c r="IQ1271" s="73"/>
      <c r="IR1271" s="73"/>
      <c r="IS1271" s="73"/>
      <c r="IT1271" s="73"/>
      <c r="IU1271" s="73"/>
      <c r="IV1271" s="73"/>
      <c r="IW1271" s="73"/>
      <c r="IX1271" s="73"/>
      <c r="IY1271" s="73"/>
      <c r="IZ1271" s="73"/>
      <c r="JA1271" s="73"/>
      <c r="JB1271" s="73"/>
      <c r="JC1271" s="73"/>
    </row>
    <row r="1272" spans="2:263" s="72" customFormat="1">
      <c r="B1272" s="73"/>
      <c r="C1272" s="73"/>
      <c r="D1272" s="73"/>
      <c r="E1272" s="73"/>
      <c r="F1272" s="73"/>
      <c r="G1272" s="73"/>
      <c r="H1272" s="73"/>
      <c r="I1272" s="73"/>
      <c r="J1272" s="73"/>
      <c r="K1272" s="73"/>
      <c r="L1272" s="73"/>
      <c r="M1272" s="73"/>
      <c r="N1272" s="73"/>
      <c r="O1272" s="73"/>
      <c r="P1272" s="73"/>
      <c r="Q1272" s="73"/>
      <c r="R1272" s="73"/>
      <c r="S1272" s="73"/>
      <c r="T1272" s="73"/>
      <c r="U1272" s="73"/>
      <c r="V1272" s="73"/>
      <c r="W1272" s="73"/>
      <c r="GL1272" s="73"/>
      <c r="GM1272" s="73"/>
      <c r="GN1272" s="73"/>
      <c r="GO1272" s="73"/>
      <c r="GP1272" s="73"/>
      <c r="GQ1272" s="73"/>
      <c r="GR1272" s="73"/>
      <c r="GS1272" s="73"/>
      <c r="GT1272" s="73"/>
      <c r="GU1272" s="73"/>
      <c r="GV1272" s="73"/>
      <c r="GW1272" s="73"/>
      <c r="GX1272" s="73"/>
      <c r="GY1272" s="73"/>
      <c r="GZ1272" s="73"/>
      <c r="HA1272" s="73"/>
      <c r="HB1272" s="73"/>
      <c r="HC1272" s="73"/>
      <c r="HD1272" s="73"/>
      <c r="HE1272" s="73"/>
      <c r="HF1272" s="73"/>
      <c r="HG1272" s="73"/>
      <c r="HH1272" s="73"/>
      <c r="HI1272" s="73"/>
      <c r="HJ1272" s="73"/>
      <c r="HK1272" s="73"/>
      <c r="HL1272" s="73"/>
      <c r="HM1272" s="73"/>
      <c r="HN1272" s="73"/>
      <c r="HO1272" s="73"/>
      <c r="HP1272" s="73"/>
      <c r="HQ1272" s="73"/>
      <c r="HR1272" s="73"/>
      <c r="HS1272" s="73"/>
      <c r="HT1272" s="73"/>
      <c r="HU1272" s="73"/>
      <c r="HV1272" s="73"/>
      <c r="HW1272" s="73"/>
      <c r="HX1272" s="73"/>
      <c r="HY1272" s="73"/>
      <c r="HZ1272" s="73"/>
      <c r="IA1272" s="73"/>
      <c r="IB1272" s="73"/>
      <c r="IC1272" s="73"/>
      <c r="ID1272" s="73"/>
      <c r="IE1272" s="73"/>
      <c r="IF1272" s="73"/>
      <c r="IG1272" s="73"/>
      <c r="IH1272" s="73"/>
      <c r="II1272" s="73"/>
      <c r="IJ1272" s="73"/>
      <c r="IK1272" s="73"/>
      <c r="IL1272" s="73"/>
      <c r="IM1272" s="73"/>
      <c r="IN1272" s="73"/>
      <c r="IO1272" s="73"/>
      <c r="IP1272" s="73"/>
      <c r="IQ1272" s="73"/>
      <c r="IR1272" s="73"/>
      <c r="IS1272" s="73"/>
      <c r="IT1272" s="73"/>
      <c r="IU1272" s="73"/>
      <c r="IV1272" s="73"/>
      <c r="IW1272" s="73"/>
      <c r="IX1272" s="73"/>
      <c r="IY1272" s="73"/>
      <c r="IZ1272" s="73"/>
      <c r="JA1272" s="73"/>
      <c r="JB1272" s="73"/>
      <c r="JC1272" s="73"/>
    </row>
    <row r="1273" spans="2:263" s="72" customFormat="1">
      <c r="B1273" s="73"/>
      <c r="C1273" s="73"/>
      <c r="D1273" s="73"/>
      <c r="E1273" s="73"/>
      <c r="F1273" s="73"/>
      <c r="G1273" s="73"/>
      <c r="H1273" s="73"/>
      <c r="I1273" s="73"/>
      <c r="J1273" s="73"/>
      <c r="K1273" s="73"/>
      <c r="L1273" s="73"/>
      <c r="M1273" s="73"/>
      <c r="N1273" s="73"/>
      <c r="O1273" s="73"/>
      <c r="P1273" s="73"/>
      <c r="Q1273" s="73"/>
      <c r="R1273" s="73"/>
      <c r="S1273" s="73"/>
      <c r="T1273" s="73"/>
      <c r="U1273" s="73"/>
      <c r="V1273" s="73"/>
      <c r="W1273" s="73"/>
      <c r="GL1273" s="73"/>
      <c r="GM1273" s="73"/>
      <c r="GN1273" s="73"/>
      <c r="GO1273" s="73"/>
      <c r="GP1273" s="73"/>
      <c r="GQ1273" s="73"/>
      <c r="GR1273" s="73"/>
      <c r="GS1273" s="73"/>
      <c r="GT1273" s="73"/>
      <c r="GU1273" s="73"/>
      <c r="GV1273" s="73"/>
      <c r="GW1273" s="73"/>
      <c r="GX1273" s="73"/>
      <c r="GY1273" s="73"/>
      <c r="GZ1273" s="73"/>
      <c r="HA1273" s="73"/>
      <c r="HB1273" s="73"/>
      <c r="HC1273" s="73"/>
      <c r="HD1273" s="73"/>
      <c r="HE1273" s="73"/>
      <c r="HF1273" s="73"/>
      <c r="HG1273" s="73"/>
      <c r="HH1273" s="73"/>
      <c r="HI1273" s="73"/>
      <c r="HJ1273" s="73"/>
      <c r="HK1273" s="73"/>
      <c r="HL1273" s="73"/>
      <c r="HM1273" s="73"/>
      <c r="HN1273" s="73"/>
      <c r="HO1273" s="73"/>
      <c r="HP1273" s="73"/>
      <c r="HQ1273" s="73"/>
      <c r="HR1273" s="73"/>
      <c r="HS1273" s="73"/>
      <c r="HT1273" s="73"/>
      <c r="HU1273" s="73"/>
      <c r="HV1273" s="73"/>
      <c r="HW1273" s="73"/>
      <c r="HX1273" s="73"/>
      <c r="HY1273" s="73"/>
      <c r="HZ1273" s="73"/>
      <c r="IA1273" s="73"/>
      <c r="IB1273" s="73"/>
      <c r="IC1273" s="73"/>
      <c r="ID1273" s="73"/>
      <c r="IE1273" s="73"/>
      <c r="IF1273" s="73"/>
      <c r="IG1273" s="73"/>
      <c r="IH1273" s="73"/>
      <c r="II1273" s="73"/>
      <c r="IJ1273" s="73"/>
      <c r="IK1273" s="73"/>
      <c r="IL1273" s="73"/>
      <c r="IM1273" s="73"/>
      <c r="IN1273" s="73"/>
      <c r="IO1273" s="73"/>
      <c r="IP1273" s="73"/>
      <c r="IQ1273" s="73"/>
      <c r="IR1273" s="73"/>
      <c r="IS1273" s="73"/>
      <c r="IT1273" s="73"/>
      <c r="IU1273" s="73"/>
      <c r="IV1273" s="73"/>
      <c r="IW1273" s="73"/>
      <c r="IX1273" s="73"/>
      <c r="IY1273" s="73"/>
      <c r="IZ1273" s="73"/>
      <c r="JA1273" s="73"/>
      <c r="JB1273" s="73"/>
      <c r="JC1273" s="73"/>
    </row>
    <row r="1274" spans="2:263" s="72" customFormat="1">
      <c r="B1274" s="73"/>
      <c r="C1274" s="73"/>
      <c r="D1274" s="73"/>
      <c r="E1274" s="73"/>
      <c r="F1274" s="73"/>
      <c r="G1274" s="73"/>
      <c r="H1274" s="73"/>
      <c r="I1274" s="73"/>
      <c r="J1274" s="73"/>
      <c r="K1274" s="73"/>
      <c r="L1274" s="73"/>
      <c r="M1274" s="73"/>
      <c r="N1274" s="73"/>
      <c r="O1274" s="73"/>
      <c r="P1274" s="73"/>
      <c r="Q1274" s="73"/>
      <c r="R1274" s="73"/>
      <c r="S1274" s="73"/>
      <c r="T1274" s="73"/>
      <c r="U1274" s="73"/>
      <c r="V1274" s="73"/>
      <c r="W1274" s="73"/>
      <c r="GL1274" s="73"/>
      <c r="GM1274" s="73"/>
      <c r="GN1274" s="73"/>
      <c r="GO1274" s="73"/>
      <c r="GP1274" s="73"/>
      <c r="GQ1274" s="73"/>
      <c r="GR1274" s="73"/>
      <c r="GS1274" s="73"/>
      <c r="GT1274" s="73"/>
      <c r="GU1274" s="73"/>
      <c r="GV1274" s="73"/>
      <c r="GW1274" s="73"/>
      <c r="GX1274" s="73"/>
      <c r="GY1274" s="73"/>
      <c r="GZ1274" s="73"/>
      <c r="HA1274" s="73"/>
      <c r="HB1274" s="73"/>
      <c r="HC1274" s="73"/>
      <c r="HD1274" s="73"/>
      <c r="HE1274" s="73"/>
      <c r="HF1274" s="73"/>
      <c r="HG1274" s="73"/>
      <c r="HH1274" s="73"/>
      <c r="HI1274" s="73"/>
      <c r="HJ1274" s="73"/>
      <c r="HK1274" s="73"/>
      <c r="HL1274" s="73"/>
      <c r="HM1274" s="73"/>
      <c r="HN1274" s="73"/>
      <c r="HO1274" s="73"/>
      <c r="HP1274" s="73"/>
      <c r="HQ1274" s="73"/>
      <c r="HR1274" s="73"/>
      <c r="HS1274" s="73"/>
      <c r="HT1274" s="73"/>
      <c r="HU1274" s="73"/>
      <c r="HV1274" s="73"/>
      <c r="HW1274" s="73"/>
      <c r="HX1274" s="73"/>
      <c r="HY1274" s="73"/>
      <c r="HZ1274" s="73"/>
      <c r="IA1274" s="73"/>
      <c r="IB1274" s="73"/>
      <c r="IC1274" s="73"/>
      <c r="ID1274" s="73"/>
      <c r="IE1274" s="73"/>
      <c r="IF1274" s="73"/>
      <c r="IG1274" s="73"/>
      <c r="IH1274" s="73"/>
      <c r="II1274" s="73"/>
      <c r="IJ1274" s="73"/>
      <c r="IK1274" s="73"/>
      <c r="IL1274" s="73"/>
      <c r="IM1274" s="73"/>
      <c r="IN1274" s="73"/>
      <c r="IO1274" s="73"/>
      <c r="IP1274" s="73"/>
      <c r="IQ1274" s="73"/>
      <c r="IR1274" s="73"/>
      <c r="IS1274" s="73"/>
      <c r="IT1274" s="73"/>
      <c r="IU1274" s="73"/>
      <c r="IV1274" s="73"/>
      <c r="IW1274" s="73"/>
      <c r="IX1274" s="73"/>
      <c r="IY1274" s="73"/>
      <c r="IZ1274" s="73"/>
      <c r="JA1274" s="73"/>
      <c r="JB1274" s="73"/>
      <c r="JC1274" s="73"/>
    </row>
    <row r="1275" spans="2:263" s="72" customFormat="1">
      <c r="B1275" s="73"/>
      <c r="C1275" s="73"/>
      <c r="D1275" s="73"/>
      <c r="E1275" s="73"/>
      <c r="F1275" s="73"/>
      <c r="G1275" s="73"/>
      <c r="H1275" s="73"/>
      <c r="I1275" s="73"/>
      <c r="J1275" s="73"/>
      <c r="K1275" s="73"/>
      <c r="L1275" s="73"/>
      <c r="M1275" s="73"/>
      <c r="N1275" s="73"/>
      <c r="O1275" s="73"/>
      <c r="P1275" s="73"/>
      <c r="Q1275" s="73"/>
      <c r="R1275" s="73"/>
      <c r="S1275" s="73"/>
      <c r="T1275" s="73"/>
      <c r="U1275" s="73"/>
      <c r="V1275" s="73"/>
      <c r="W1275" s="73"/>
      <c r="GL1275" s="73"/>
      <c r="GM1275" s="73"/>
      <c r="GN1275" s="73"/>
      <c r="GO1275" s="73"/>
      <c r="GP1275" s="73"/>
      <c r="GQ1275" s="73"/>
      <c r="GR1275" s="73"/>
      <c r="GS1275" s="73"/>
      <c r="GT1275" s="73"/>
      <c r="GU1275" s="73"/>
      <c r="GV1275" s="73"/>
      <c r="GW1275" s="73"/>
      <c r="GX1275" s="73"/>
      <c r="GY1275" s="73"/>
      <c r="GZ1275" s="73"/>
      <c r="HA1275" s="73"/>
      <c r="HB1275" s="73"/>
      <c r="HC1275" s="73"/>
      <c r="HD1275" s="73"/>
      <c r="HE1275" s="73"/>
      <c r="HF1275" s="73"/>
      <c r="HG1275" s="73"/>
      <c r="HH1275" s="73"/>
      <c r="HI1275" s="73"/>
      <c r="HJ1275" s="73"/>
      <c r="HK1275" s="73"/>
      <c r="HL1275" s="73"/>
      <c r="HM1275" s="73"/>
      <c r="HN1275" s="73"/>
      <c r="HO1275" s="73"/>
      <c r="HP1275" s="73"/>
      <c r="HQ1275" s="73"/>
      <c r="HR1275" s="73"/>
      <c r="HS1275" s="73"/>
      <c r="HT1275" s="73"/>
      <c r="HU1275" s="73"/>
      <c r="HV1275" s="73"/>
      <c r="HW1275" s="73"/>
      <c r="HX1275" s="73"/>
      <c r="HY1275" s="73"/>
      <c r="HZ1275" s="73"/>
      <c r="IA1275" s="73"/>
      <c r="IB1275" s="73"/>
      <c r="IC1275" s="73"/>
      <c r="ID1275" s="73"/>
      <c r="IE1275" s="73"/>
      <c r="IF1275" s="73"/>
      <c r="IG1275" s="73"/>
      <c r="IH1275" s="73"/>
      <c r="II1275" s="73"/>
      <c r="IJ1275" s="73"/>
      <c r="IK1275" s="73"/>
      <c r="IL1275" s="73"/>
      <c r="IM1275" s="73"/>
      <c r="IN1275" s="73"/>
      <c r="IO1275" s="73"/>
      <c r="IP1275" s="73"/>
      <c r="IQ1275" s="73"/>
      <c r="IR1275" s="73"/>
      <c r="IS1275" s="73"/>
      <c r="IT1275" s="73"/>
      <c r="IU1275" s="73"/>
      <c r="IV1275" s="73"/>
      <c r="IW1275" s="73"/>
      <c r="IX1275" s="73"/>
      <c r="IY1275" s="73"/>
      <c r="IZ1275" s="73"/>
      <c r="JA1275" s="73"/>
      <c r="JB1275" s="73"/>
      <c r="JC1275" s="73"/>
    </row>
    <row r="1276" spans="2:263" s="72" customFormat="1">
      <c r="B1276" s="73"/>
      <c r="C1276" s="73"/>
      <c r="D1276" s="73"/>
      <c r="E1276" s="73"/>
      <c r="F1276" s="73"/>
      <c r="G1276" s="73"/>
      <c r="H1276" s="73"/>
      <c r="I1276" s="73"/>
      <c r="J1276" s="73"/>
      <c r="K1276" s="73"/>
      <c r="L1276" s="73"/>
      <c r="M1276" s="73"/>
      <c r="N1276" s="73"/>
      <c r="O1276" s="73"/>
      <c r="P1276" s="73"/>
      <c r="Q1276" s="73"/>
      <c r="R1276" s="73"/>
      <c r="S1276" s="73"/>
      <c r="T1276" s="73"/>
      <c r="U1276" s="73"/>
      <c r="V1276" s="73"/>
      <c r="W1276" s="73"/>
      <c r="GL1276" s="73"/>
      <c r="GM1276" s="73"/>
      <c r="GN1276" s="73"/>
      <c r="GO1276" s="73"/>
      <c r="GP1276" s="73"/>
      <c r="GQ1276" s="73"/>
      <c r="GR1276" s="73"/>
      <c r="GS1276" s="73"/>
      <c r="GT1276" s="73"/>
      <c r="GU1276" s="73"/>
      <c r="GV1276" s="73"/>
      <c r="GW1276" s="73"/>
      <c r="GX1276" s="73"/>
      <c r="GY1276" s="73"/>
      <c r="GZ1276" s="73"/>
      <c r="HA1276" s="73"/>
      <c r="HB1276" s="73"/>
      <c r="HC1276" s="73"/>
      <c r="HD1276" s="73"/>
      <c r="HE1276" s="73"/>
      <c r="HF1276" s="73"/>
      <c r="HG1276" s="73"/>
      <c r="HH1276" s="73"/>
      <c r="HI1276" s="73"/>
      <c r="HJ1276" s="73"/>
      <c r="HK1276" s="73"/>
      <c r="HL1276" s="73"/>
      <c r="HM1276" s="73"/>
      <c r="HN1276" s="73"/>
      <c r="HO1276" s="73"/>
      <c r="HP1276" s="73"/>
      <c r="HQ1276" s="73"/>
      <c r="HR1276" s="73"/>
      <c r="HS1276" s="73"/>
      <c r="HT1276" s="73"/>
      <c r="HU1276" s="73"/>
      <c r="HV1276" s="73"/>
      <c r="HW1276" s="73"/>
      <c r="HX1276" s="73"/>
      <c r="HY1276" s="73"/>
      <c r="HZ1276" s="73"/>
      <c r="IA1276" s="73"/>
      <c r="IB1276" s="73"/>
      <c r="IC1276" s="73"/>
      <c r="ID1276" s="73"/>
      <c r="IE1276" s="73"/>
      <c r="IF1276" s="73"/>
      <c r="IG1276" s="73"/>
      <c r="IH1276" s="73"/>
      <c r="II1276" s="73"/>
      <c r="IJ1276" s="73"/>
      <c r="IK1276" s="73"/>
      <c r="IL1276" s="73"/>
      <c r="IM1276" s="73"/>
      <c r="IN1276" s="73"/>
      <c r="IO1276" s="73"/>
      <c r="IP1276" s="73"/>
      <c r="IQ1276" s="73"/>
      <c r="IR1276" s="73"/>
      <c r="IS1276" s="73"/>
      <c r="IT1276" s="73"/>
      <c r="IU1276" s="73"/>
      <c r="IV1276" s="73"/>
      <c r="IW1276" s="73"/>
      <c r="IX1276" s="73"/>
      <c r="IY1276" s="73"/>
      <c r="IZ1276" s="73"/>
      <c r="JA1276" s="73"/>
      <c r="JB1276" s="73"/>
      <c r="JC1276" s="73"/>
    </row>
    <row r="1277" spans="2:263" s="72" customFormat="1">
      <c r="B1277" s="73"/>
      <c r="C1277" s="73"/>
      <c r="D1277" s="73"/>
      <c r="E1277" s="73"/>
      <c r="F1277" s="73"/>
      <c r="G1277" s="73"/>
      <c r="H1277" s="73"/>
      <c r="I1277" s="73"/>
      <c r="J1277" s="73"/>
      <c r="K1277" s="73"/>
      <c r="L1277" s="73"/>
      <c r="M1277" s="73"/>
      <c r="N1277" s="73"/>
      <c r="O1277" s="73"/>
      <c r="P1277" s="73"/>
      <c r="Q1277" s="73"/>
      <c r="R1277" s="73"/>
      <c r="S1277" s="73"/>
      <c r="T1277" s="73"/>
      <c r="U1277" s="73"/>
      <c r="V1277" s="73"/>
      <c r="W1277" s="73"/>
      <c r="GL1277" s="73"/>
      <c r="GM1277" s="73"/>
      <c r="GN1277" s="73"/>
      <c r="GO1277" s="73"/>
      <c r="GP1277" s="73"/>
      <c r="GQ1277" s="73"/>
      <c r="GR1277" s="73"/>
      <c r="GS1277" s="73"/>
      <c r="GT1277" s="73"/>
      <c r="GU1277" s="73"/>
      <c r="GV1277" s="73"/>
      <c r="GW1277" s="73"/>
      <c r="GX1277" s="73"/>
      <c r="GY1277" s="73"/>
      <c r="GZ1277" s="73"/>
      <c r="HA1277" s="73"/>
      <c r="HB1277" s="73"/>
      <c r="HC1277" s="73"/>
      <c r="HD1277" s="73"/>
      <c r="HE1277" s="73"/>
      <c r="HF1277" s="73"/>
      <c r="HG1277" s="73"/>
      <c r="HH1277" s="73"/>
      <c r="HI1277" s="73"/>
      <c r="HJ1277" s="73"/>
      <c r="HK1277" s="73"/>
      <c r="HL1277" s="73"/>
      <c r="HM1277" s="73"/>
      <c r="HN1277" s="73"/>
      <c r="HO1277" s="73"/>
      <c r="HP1277" s="73"/>
      <c r="HQ1277" s="73"/>
      <c r="HR1277" s="73"/>
      <c r="HS1277" s="73"/>
      <c r="HT1277" s="73"/>
      <c r="HU1277" s="73"/>
      <c r="HV1277" s="73"/>
      <c r="HW1277" s="73"/>
      <c r="HX1277" s="73"/>
      <c r="HY1277" s="73"/>
      <c r="HZ1277" s="73"/>
      <c r="IA1277" s="73"/>
      <c r="IB1277" s="73"/>
      <c r="IC1277" s="73"/>
      <c r="ID1277" s="73"/>
      <c r="IE1277" s="73"/>
      <c r="IF1277" s="73"/>
      <c r="IG1277" s="73"/>
      <c r="IH1277" s="73"/>
      <c r="II1277" s="73"/>
      <c r="IJ1277" s="73"/>
      <c r="IK1277" s="73"/>
      <c r="IL1277" s="73"/>
      <c r="IM1277" s="73"/>
      <c r="IN1277" s="73"/>
      <c r="IO1277" s="73"/>
      <c r="IP1277" s="73"/>
      <c r="IQ1277" s="73"/>
      <c r="IR1277" s="73"/>
      <c r="IS1277" s="73"/>
      <c r="IT1277" s="73"/>
      <c r="IU1277" s="73"/>
      <c r="IV1277" s="73"/>
      <c r="IW1277" s="73"/>
      <c r="IX1277" s="73"/>
      <c r="IY1277" s="73"/>
      <c r="IZ1277" s="73"/>
      <c r="JA1277" s="73"/>
      <c r="JB1277" s="73"/>
      <c r="JC1277" s="73"/>
    </row>
    <row r="1278" spans="2:263" s="72" customFormat="1">
      <c r="B1278" s="73"/>
      <c r="C1278" s="73"/>
      <c r="D1278" s="73"/>
      <c r="E1278" s="73"/>
      <c r="F1278" s="73"/>
      <c r="G1278" s="73"/>
      <c r="H1278" s="73"/>
      <c r="I1278" s="73"/>
      <c r="J1278" s="73"/>
      <c r="K1278" s="73"/>
      <c r="L1278" s="73"/>
      <c r="M1278" s="73"/>
      <c r="N1278" s="73"/>
      <c r="O1278" s="73"/>
      <c r="P1278" s="73"/>
      <c r="Q1278" s="73"/>
      <c r="R1278" s="73"/>
      <c r="S1278" s="73"/>
      <c r="T1278" s="73"/>
      <c r="U1278" s="73"/>
      <c r="V1278" s="73"/>
      <c r="W1278" s="73"/>
      <c r="GL1278" s="73"/>
      <c r="GM1278" s="73"/>
      <c r="GN1278" s="73"/>
      <c r="GO1278" s="73"/>
      <c r="GP1278" s="73"/>
      <c r="GQ1278" s="73"/>
      <c r="GR1278" s="73"/>
      <c r="GS1278" s="73"/>
      <c r="GT1278" s="73"/>
      <c r="GU1278" s="73"/>
      <c r="GV1278" s="73"/>
      <c r="GW1278" s="73"/>
      <c r="GX1278" s="73"/>
      <c r="GY1278" s="73"/>
      <c r="GZ1278" s="73"/>
      <c r="HA1278" s="73"/>
      <c r="HB1278" s="73"/>
      <c r="HC1278" s="73"/>
      <c r="HD1278" s="73"/>
      <c r="HE1278" s="73"/>
      <c r="HF1278" s="73"/>
      <c r="HG1278" s="73"/>
      <c r="HH1278" s="73"/>
      <c r="HI1278" s="73"/>
      <c r="HJ1278" s="73"/>
      <c r="HK1278" s="73"/>
      <c r="HL1278" s="73"/>
      <c r="HM1278" s="73"/>
      <c r="HN1278" s="73"/>
      <c r="HO1278" s="73"/>
      <c r="HP1278" s="73"/>
      <c r="HQ1278" s="73"/>
      <c r="HR1278" s="73"/>
      <c r="HS1278" s="73"/>
      <c r="HT1278" s="73"/>
      <c r="HU1278" s="73"/>
      <c r="HV1278" s="73"/>
      <c r="HW1278" s="73"/>
      <c r="HX1278" s="73"/>
      <c r="HY1278" s="73"/>
      <c r="HZ1278" s="73"/>
      <c r="IA1278" s="73"/>
      <c r="IB1278" s="73"/>
      <c r="IC1278" s="73"/>
      <c r="ID1278" s="73"/>
      <c r="IE1278" s="73"/>
      <c r="IF1278" s="73"/>
      <c r="IG1278" s="73"/>
      <c r="IH1278" s="73"/>
      <c r="II1278" s="73"/>
      <c r="IJ1278" s="73"/>
      <c r="IK1278" s="73"/>
      <c r="IL1278" s="73"/>
      <c r="IM1278" s="73"/>
      <c r="IN1278" s="73"/>
      <c r="IO1278" s="73"/>
      <c r="IP1278" s="73"/>
      <c r="IQ1278" s="73"/>
      <c r="IR1278" s="73"/>
      <c r="IS1278" s="73"/>
      <c r="IT1278" s="73"/>
      <c r="IU1278" s="73"/>
      <c r="IV1278" s="73"/>
      <c r="IW1278" s="73"/>
      <c r="IX1278" s="73"/>
      <c r="IY1278" s="73"/>
      <c r="IZ1278" s="73"/>
      <c r="JA1278" s="73"/>
      <c r="JB1278" s="73"/>
      <c r="JC1278" s="73"/>
    </row>
    <row r="1279" spans="2:263" s="72" customFormat="1">
      <c r="B1279" s="73"/>
      <c r="C1279" s="73"/>
      <c r="D1279" s="73"/>
      <c r="E1279" s="73"/>
      <c r="F1279" s="73"/>
      <c r="G1279" s="73"/>
      <c r="H1279" s="73"/>
      <c r="I1279" s="73"/>
      <c r="J1279" s="73"/>
      <c r="K1279" s="73"/>
      <c r="L1279" s="73"/>
      <c r="M1279" s="73"/>
      <c r="N1279" s="73"/>
      <c r="O1279" s="73"/>
      <c r="P1279" s="73"/>
      <c r="Q1279" s="73"/>
      <c r="R1279" s="73"/>
      <c r="S1279" s="73"/>
      <c r="T1279" s="73"/>
      <c r="U1279" s="73"/>
      <c r="V1279" s="73"/>
      <c r="W1279" s="73"/>
      <c r="GL1279" s="73"/>
      <c r="GM1279" s="73"/>
      <c r="GN1279" s="73"/>
      <c r="GO1279" s="73"/>
      <c r="GP1279" s="73"/>
      <c r="GQ1279" s="73"/>
      <c r="GR1279" s="73"/>
      <c r="GS1279" s="73"/>
      <c r="GT1279" s="73"/>
      <c r="GU1279" s="73"/>
      <c r="GV1279" s="73"/>
      <c r="GW1279" s="73"/>
      <c r="GX1279" s="73"/>
      <c r="GY1279" s="73"/>
      <c r="GZ1279" s="73"/>
      <c r="HA1279" s="73"/>
      <c r="HB1279" s="73"/>
      <c r="HC1279" s="73"/>
      <c r="HD1279" s="73"/>
      <c r="HE1279" s="73"/>
      <c r="HF1279" s="73"/>
      <c r="HG1279" s="73"/>
      <c r="HH1279" s="73"/>
      <c r="HI1279" s="73"/>
      <c r="HJ1279" s="73"/>
      <c r="HK1279" s="73"/>
      <c r="HL1279" s="73"/>
      <c r="HM1279" s="73"/>
      <c r="HN1279" s="73"/>
      <c r="HO1279" s="73"/>
      <c r="HP1279" s="73"/>
      <c r="HQ1279" s="73"/>
      <c r="HR1279" s="73"/>
      <c r="HS1279" s="73"/>
      <c r="HT1279" s="73"/>
      <c r="HU1279" s="73"/>
      <c r="HV1279" s="73"/>
      <c r="HW1279" s="73"/>
      <c r="HX1279" s="73"/>
      <c r="HY1279" s="73"/>
      <c r="HZ1279" s="73"/>
      <c r="IA1279" s="73"/>
      <c r="IB1279" s="73"/>
      <c r="IC1279" s="73"/>
      <c r="ID1279" s="73"/>
      <c r="IE1279" s="73"/>
      <c r="IF1279" s="73"/>
      <c r="IG1279" s="73"/>
      <c r="IH1279" s="73"/>
      <c r="II1279" s="73"/>
      <c r="IJ1279" s="73"/>
      <c r="IK1279" s="73"/>
      <c r="IL1279" s="73"/>
      <c r="IM1279" s="73"/>
      <c r="IN1279" s="73"/>
      <c r="IO1279" s="73"/>
      <c r="IP1279" s="73"/>
      <c r="IQ1279" s="73"/>
      <c r="IR1279" s="73"/>
      <c r="IS1279" s="73"/>
      <c r="IT1279" s="73"/>
      <c r="IU1279" s="73"/>
      <c r="IV1279" s="73"/>
      <c r="IW1279" s="73"/>
      <c r="IX1279" s="73"/>
      <c r="IY1279" s="73"/>
      <c r="IZ1279" s="73"/>
      <c r="JA1279" s="73"/>
      <c r="JB1279" s="73"/>
      <c r="JC1279" s="73"/>
    </row>
    <row r="1280" spans="2:263" s="72" customFormat="1">
      <c r="B1280" s="73"/>
      <c r="C1280" s="73"/>
      <c r="D1280" s="73"/>
      <c r="E1280" s="73"/>
      <c r="F1280" s="73"/>
      <c r="G1280" s="73"/>
      <c r="H1280" s="73"/>
      <c r="I1280" s="73"/>
      <c r="J1280" s="73"/>
      <c r="K1280" s="73"/>
      <c r="L1280" s="73"/>
      <c r="M1280" s="73"/>
      <c r="N1280" s="73"/>
      <c r="O1280" s="73"/>
      <c r="P1280" s="73"/>
      <c r="Q1280" s="73"/>
      <c r="R1280" s="73"/>
      <c r="S1280" s="73"/>
      <c r="T1280" s="73"/>
      <c r="U1280" s="73"/>
      <c r="V1280" s="73"/>
      <c r="W1280" s="73"/>
      <c r="GL1280" s="73"/>
      <c r="GM1280" s="73"/>
      <c r="GN1280" s="73"/>
      <c r="GO1280" s="73"/>
      <c r="GP1280" s="73"/>
      <c r="GQ1280" s="73"/>
      <c r="GR1280" s="73"/>
      <c r="GS1280" s="73"/>
      <c r="GT1280" s="73"/>
      <c r="GU1280" s="73"/>
      <c r="GV1280" s="73"/>
      <c r="GW1280" s="73"/>
      <c r="GX1280" s="73"/>
      <c r="GY1280" s="73"/>
      <c r="GZ1280" s="73"/>
      <c r="HA1280" s="73"/>
      <c r="HB1280" s="73"/>
      <c r="HC1280" s="73"/>
      <c r="HD1280" s="73"/>
      <c r="HE1280" s="73"/>
      <c r="HF1280" s="73"/>
      <c r="HG1280" s="73"/>
      <c r="HH1280" s="73"/>
      <c r="HI1280" s="73"/>
      <c r="HJ1280" s="73"/>
      <c r="HK1280" s="73"/>
      <c r="HL1280" s="73"/>
      <c r="HM1280" s="73"/>
      <c r="HN1280" s="73"/>
      <c r="HO1280" s="73"/>
      <c r="HP1280" s="73"/>
      <c r="HQ1280" s="73"/>
      <c r="HR1280" s="73"/>
      <c r="HS1280" s="73"/>
      <c r="HT1280" s="73"/>
      <c r="HU1280" s="73"/>
      <c r="HV1280" s="73"/>
      <c r="HW1280" s="73"/>
      <c r="HX1280" s="73"/>
      <c r="HY1280" s="73"/>
      <c r="HZ1280" s="73"/>
      <c r="IA1280" s="73"/>
      <c r="IB1280" s="73"/>
      <c r="IC1280" s="73"/>
      <c r="ID1280" s="73"/>
      <c r="IE1280" s="73"/>
      <c r="IF1280" s="73"/>
      <c r="IG1280" s="73"/>
      <c r="IH1280" s="73"/>
      <c r="II1280" s="73"/>
      <c r="IJ1280" s="73"/>
      <c r="IK1280" s="73"/>
      <c r="IL1280" s="73"/>
      <c r="IM1280" s="73"/>
      <c r="IN1280" s="73"/>
      <c r="IO1280" s="73"/>
      <c r="IP1280" s="73"/>
      <c r="IQ1280" s="73"/>
      <c r="IR1280" s="73"/>
      <c r="IS1280" s="73"/>
      <c r="IT1280" s="73"/>
      <c r="IU1280" s="73"/>
      <c r="IV1280" s="73"/>
      <c r="IW1280" s="73"/>
      <c r="IX1280" s="73"/>
      <c r="IY1280" s="73"/>
      <c r="IZ1280" s="73"/>
      <c r="JA1280" s="73"/>
      <c r="JB1280" s="73"/>
      <c r="JC1280" s="73"/>
    </row>
    <row r="1281" spans="2:263" s="72" customFormat="1">
      <c r="B1281" s="73"/>
      <c r="C1281" s="73"/>
      <c r="D1281" s="73"/>
      <c r="E1281" s="73"/>
      <c r="F1281" s="73"/>
      <c r="G1281" s="73"/>
      <c r="H1281" s="73"/>
      <c r="I1281" s="73"/>
      <c r="J1281" s="73"/>
      <c r="K1281" s="73"/>
      <c r="L1281" s="73"/>
      <c r="M1281" s="73"/>
      <c r="N1281" s="73"/>
      <c r="O1281" s="73"/>
      <c r="P1281" s="73"/>
      <c r="Q1281" s="73"/>
      <c r="R1281" s="73"/>
      <c r="S1281" s="73"/>
      <c r="T1281" s="73"/>
      <c r="U1281" s="73"/>
      <c r="V1281" s="73"/>
      <c r="W1281" s="73"/>
      <c r="GL1281" s="73"/>
      <c r="GM1281" s="73"/>
      <c r="GN1281" s="73"/>
      <c r="GO1281" s="73"/>
      <c r="GP1281" s="73"/>
      <c r="GQ1281" s="73"/>
      <c r="GR1281" s="73"/>
      <c r="GS1281" s="73"/>
      <c r="GT1281" s="73"/>
      <c r="GU1281" s="73"/>
      <c r="GV1281" s="73"/>
      <c r="GW1281" s="73"/>
      <c r="GX1281" s="73"/>
      <c r="GY1281" s="73"/>
      <c r="GZ1281" s="73"/>
      <c r="HA1281" s="73"/>
      <c r="HB1281" s="73"/>
      <c r="HC1281" s="73"/>
      <c r="HD1281" s="73"/>
      <c r="HE1281" s="73"/>
      <c r="HF1281" s="73"/>
      <c r="HG1281" s="73"/>
      <c r="HH1281" s="73"/>
      <c r="HI1281" s="73"/>
      <c r="HJ1281" s="73"/>
      <c r="HK1281" s="73"/>
      <c r="HL1281" s="73"/>
      <c r="HM1281" s="73"/>
      <c r="HN1281" s="73"/>
      <c r="HO1281" s="73"/>
      <c r="HP1281" s="73"/>
      <c r="HQ1281" s="73"/>
      <c r="HR1281" s="73"/>
      <c r="HS1281" s="73"/>
      <c r="HT1281" s="73"/>
      <c r="HU1281" s="73"/>
      <c r="HV1281" s="73"/>
      <c r="HW1281" s="73"/>
      <c r="HX1281" s="73"/>
      <c r="HY1281" s="73"/>
      <c r="HZ1281" s="73"/>
      <c r="IA1281" s="73"/>
      <c r="IB1281" s="73"/>
      <c r="IC1281" s="73"/>
      <c r="ID1281" s="73"/>
      <c r="IE1281" s="73"/>
      <c r="IF1281" s="73"/>
      <c r="IG1281" s="73"/>
      <c r="IH1281" s="73"/>
      <c r="II1281" s="73"/>
      <c r="IJ1281" s="73"/>
      <c r="IK1281" s="73"/>
      <c r="IL1281" s="73"/>
      <c r="IM1281" s="73"/>
      <c r="IN1281" s="73"/>
      <c r="IO1281" s="73"/>
      <c r="IP1281" s="73"/>
      <c r="IQ1281" s="73"/>
      <c r="IR1281" s="73"/>
      <c r="IS1281" s="73"/>
      <c r="IT1281" s="73"/>
      <c r="IU1281" s="73"/>
      <c r="IV1281" s="73"/>
      <c r="IW1281" s="73"/>
      <c r="IX1281" s="73"/>
      <c r="IY1281" s="73"/>
      <c r="IZ1281" s="73"/>
      <c r="JA1281" s="73"/>
      <c r="JB1281" s="73"/>
      <c r="JC1281" s="73"/>
    </row>
    <row r="1282" spans="2:263" s="72" customFormat="1">
      <c r="B1282" s="73"/>
      <c r="C1282" s="73"/>
      <c r="D1282" s="73"/>
      <c r="E1282" s="73"/>
      <c r="F1282" s="73"/>
      <c r="G1282" s="73"/>
      <c r="H1282" s="73"/>
      <c r="I1282" s="73"/>
      <c r="J1282" s="73"/>
      <c r="K1282" s="73"/>
      <c r="L1282" s="73"/>
      <c r="M1282" s="73"/>
      <c r="N1282" s="73"/>
      <c r="O1282" s="73"/>
      <c r="P1282" s="73"/>
      <c r="Q1282" s="73"/>
      <c r="R1282" s="73"/>
      <c r="S1282" s="73"/>
      <c r="T1282" s="73"/>
      <c r="U1282" s="73"/>
      <c r="V1282" s="73"/>
      <c r="W1282" s="73"/>
      <c r="GL1282" s="73"/>
      <c r="GM1282" s="73"/>
      <c r="GN1282" s="73"/>
      <c r="GO1282" s="73"/>
      <c r="GP1282" s="73"/>
      <c r="GQ1282" s="73"/>
      <c r="GR1282" s="73"/>
      <c r="GS1282" s="73"/>
      <c r="GT1282" s="73"/>
      <c r="GU1282" s="73"/>
      <c r="GV1282" s="73"/>
      <c r="GW1282" s="73"/>
      <c r="GX1282" s="73"/>
      <c r="GY1282" s="73"/>
      <c r="GZ1282" s="73"/>
      <c r="HA1282" s="73"/>
      <c r="HB1282" s="73"/>
      <c r="HC1282" s="73"/>
      <c r="HD1282" s="73"/>
      <c r="HE1282" s="73"/>
      <c r="HF1282" s="73"/>
      <c r="HG1282" s="73"/>
      <c r="HH1282" s="73"/>
      <c r="HI1282" s="73"/>
      <c r="HJ1282" s="73"/>
      <c r="HK1282" s="73"/>
      <c r="HL1282" s="73"/>
      <c r="HM1282" s="73"/>
      <c r="HN1282" s="73"/>
      <c r="HO1282" s="73"/>
      <c r="HP1282" s="73"/>
      <c r="HQ1282" s="73"/>
      <c r="HR1282" s="73"/>
      <c r="HS1282" s="73"/>
      <c r="HT1282" s="73"/>
      <c r="HU1282" s="73"/>
      <c r="HV1282" s="73"/>
      <c r="HW1282" s="73"/>
      <c r="HX1282" s="73"/>
      <c r="HY1282" s="73"/>
      <c r="HZ1282" s="73"/>
      <c r="IA1282" s="73"/>
      <c r="IB1282" s="73"/>
      <c r="IC1282" s="73"/>
      <c r="ID1282" s="73"/>
      <c r="IE1282" s="73"/>
      <c r="IF1282" s="73"/>
      <c r="IG1282" s="73"/>
      <c r="IH1282" s="73"/>
      <c r="II1282" s="73"/>
      <c r="IJ1282" s="73"/>
      <c r="IK1282" s="73"/>
      <c r="IL1282" s="73"/>
      <c r="IM1282" s="73"/>
      <c r="IN1282" s="73"/>
      <c r="IO1282" s="73"/>
      <c r="IP1282" s="73"/>
      <c r="IQ1282" s="73"/>
      <c r="IR1282" s="73"/>
      <c r="IS1282" s="73"/>
      <c r="IT1282" s="73"/>
      <c r="IU1282" s="73"/>
      <c r="IV1282" s="73"/>
      <c r="IW1282" s="73"/>
      <c r="IX1282" s="73"/>
      <c r="IY1282" s="73"/>
      <c r="IZ1282" s="73"/>
      <c r="JA1282" s="73"/>
      <c r="JB1282" s="73"/>
      <c r="JC1282" s="73"/>
    </row>
    <row r="1283" spans="2:263" s="72" customFormat="1">
      <c r="B1283" s="73"/>
      <c r="C1283" s="73"/>
      <c r="D1283" s="73"/>
      <c r="E1283" s="73"/>
      <c r="F1283" s="73"/>
      <c r="G1283" s="73"/>
      <c r="H1283" s="73"/>
      <c r="I1283" s="73"/>
      <c r="J1283" s="73"/>
      <c r="K1283" s="73"/>
      <c r="L1283" s="73"/>
      <c r="M1283" s="73"/>
      <c r="N1283" s="73"/>
      <c r="O1283" s="73"/>
      <c r="P1283" s="73"/>
      <c r="Q1283" s="73"/>
      <c r="R1283" s="73"/>
      <c r="S1283" s="73"/>
      <c r="T1283" s="73"/>
      <c r="U1283" s="73"/>
      <c r="V1283" s="73"/>
      <c r="W1283" s="73"/>
      <c r="GL1283" s="73"/>
      <c r="GM1283" s="73"/>
      <c r="GN1283" s="73"/>
      <c r="GO1283" s="73"/>
      <c r="GP1283" s="73"/>
      <c r="GQ1283" s="73"/>
      <c r="GR1283" s="73"/>
      <c r="GS1283" s="73"/>
      <c r="GT1283" s="73"/>
      <c r="GU1283" s="73"/>
      <c r="GV1283" s="73"/>
      <c r="GW1283" s="73"/>
      <c r="GX1283" s="73"/>
      <c r="GY1283" s="73"/>
      <c r="GZ1283" s="73"/>
      <c r="HA1283" s="73"/>
      <c r="HB1283" s="73"/>
      <c r="HC1283" s="73"/>
      <c r="HD1283" s="73"/>
      <c r="HE1283" s="73"/>
      <c r="HF1283" s="73"/>
      <c r="HG1283" s="73"/>
      <c r="HH1283" s="73"/>
      <c r="HI1283" s="73"/>
      <c r="HJ1283" s="73"/>
      <c r="HK1283" s="73"/>
      <c r="HL1283" s="73"/>
      <c r="HM1283" s="73"/>
      <c r="HN1283" s="73"/>
      <c r="HO1283" s="73"/>
      <c r="HP1283" s="73"/>
      <c r="HQ1283" s="73"/>
      <c r="HR1283" s="73"/>
      <c r="HS1283" s="73"/>
      <c r="HT1283" s="73"/>
      <c r="HU1283" s="73"/>
      <c r="HV1283" s="73"/>
      <c r="HW1283" s="73"/>
      <c r="HX1283" s="73"/>
      <c r="HY1283" s="73"/>
      <c r="HZ1283" s="73"/>
      <c r="IA1283" s="73"/>
      <c r="IB1283" s="73"/>
      <c r="IC1283" s="73"/>
      <c r="ID1283" s="73"/>
      <c r="IE1283" s="73"/>
      <c r="IF1283" s="73"/>
      <c r="IG1283" s="73"/>
      <c r="IH1283" s="73"/>
      <c r="II1283" s="73"/>
      <c r="IJ1283" s="73"/>
      <c r="IK1283" s="73"/>
      <c r="IL1283" s="73"/>
      <c r="IM1283" s="73"/>
      <c r="IN1283" s="73"/>
      <c r="IO1283" s="73"/>
      <c r="IP1283" s="73"/>
      <c r="IQ1283" s="73"/>
      <c r="IR1283" s="73"/>
      <c r="IS1283" s="73"/>
      <c r="IT1283" s="73"/>
      <c r="IU1283" s="73"/>
      <c r="IV1283" s="73"/>
      <c r="IW1283" s="73"/>
      <c r="IX1283" s="73"/>
      <c r="IY1283" s="73"/>
      <c r="IZ1283" s="73"/>
      <c r="JA1283" s="73"/>
      <c r="JB1283" s="73"/>
      <c r="JC1283" s="73"/>
    </row>
    <row r="1284" spans="2:263" s="72" customFormat="1">
      <c r="B1284" s="73"/>
      <c r="C1284" s="73"/>
      <c r="D1284" s="73"/>
      <c r="E1284" s="73"/>
      <c r="F1284" s="73"/>
      <c r="G1284" s="73"/>
      <c r="H1284" s="73"/>
      <c r="I1284" s="73"/>
      <c r="J1284" s="73"/>
      <c r="K1284" s="73"/>
      <c r="L1284" s="73"/>
      <c r="M1284" s="73"/>
      <c r="N1284" s="73"/>
      <c r="O1284" s="73"/>
      <c r="P1284" s="73"/>
      <c r="Q1284" s="73"/>
      <c r="R1284" s="73"/>
      <c r="S1284" s="73"/>
      <c r="T1284" s="73"/>
      <c r="U1284" s="73"/>
      <c r="V1284" s="73"/>
      <c r="W1284" s="73"/>
      <c r="GL1284" s="73"/>
      <c r="GM1284" s="73"/>
      <c r="GN1284" s="73"/>
      <c r="GO1284" s="73"/>
      <c r="GP1284" s="73"/>
      <c r="GQ1284" s="73"/>
      <c r="GR1284" s="73"/>
      <c r="GS1284" s="73"/>
      <c r="GT1284" s="73"/>
      <c r="GU1284" s="73"/>
      <c r="GV1284" s="73"/>
      <c r="GW1284" s="73"/>
      <c r="GX1284" s="73"/>
      <c r="GY1284" s="73"/>
      <c r="GZ1284" s="73"/>
      <c r="HA1284" s="73"/>
      <c r="HB1284" s="73"/>
      <c r="HC1284" s="73"/>
      <c r="HD1284" s="73"/>
      <c r="HE1284" s="73"/>
      <c r="HF1284" s="73"/>
      <c r="HG1284" s="73"/>
      <c r="HH1284" s="73"/>
      <c r="HI1284" s="73"/>
      <c r="HJ1284" s="73"/>
      <c r="HK1284" s="73"/>
      <c r="HL1284" s="73"/>
      <c r="HM1284" s="73"/>
      <c r="HN1284" s="73"/>
      <c r="HO1284" s="73"/>
      <c r="HP1284" s="73"/>
      <c r="HQ1284" s="73"/>
      <c r="HR1284" s="73"/>
      <c r="HS1284" s="73"/>
      <c r="HT1284" s="73"/>
      <c r="HU1284" s="73"/>
      <c r="HV1284" s="73"/>
      <c r="HW1284" s="73"/>
      <c r="HX1284" s="73"/>
      <c r="HY1284" s="73"/>
      <c r="HZ1284" s="73"/>
      <c r="IA1284" s="73"/>
      <c r="IB1284" s="73"/>
      <c r="IC1284" s="73"/>
      <c r="ID1284" s="73"/>
      <c r="IE1284" s="73"/>
      <c r="IF1284" s="73"/>
      <c r="IG1284" s="73"/>
      <c r="IH1284" s="73"/>
      <c r="II1284" s="73"/>
      <c r="IJ1284" s="73"/>
      <c r="IK1284" s="73"/>
      <c r="IL1284" s="73"/>
      <c r="IM1284" s="73"/>
      <c r="IN1284" s="73"/>
      <c r="IO1284" s="73"/>
      <c r="IP1284" s="73"/>
      <c r="IQ1284" s="73"/>
      <c r="IR1284" s="73"/>
      <c r="IS1284" s="73"/>
      <c r="IT1284" s="73"/>
      <c r="IU1284" s="73"/>
      <c r="IV1284" s="73"/>
      <c r="IW1284" s="73"/>
      <c r="IX1284" s="73"/>
      <c r="IY1284" s="73"/>
      <c r="IZ1284" s="73"/>
      <c r="JA1284" s="73"/>
      <c r="JB1284" s="73"/>
      <c r="JC1284" s="73"/>
    </row>
    <row r="1285" spans="2:263" s="72" customFormat="1">
      <c r="B1285" s="73"/>
      <c r="C1285" s="73"/>
      <c r="D1285" s="73"/>
      <c r="E1285" s="73"/>
      <c r="F1285" s="73"/>
      <c r="G1285" s="73"/>
      <c r="H1285" s="73"/>
      <c r="I1285" s="73"/>
      <c r="J1285" s="73"/>
      <c r="K1285" s="73"/>
      <c r="L1285" s="73"/>
      <c r="M1285" s="73"/>
      <c r="N1285" s="73"/>
      <c r="O1285" s="73"/>
      <c r="P1285" s="73"/>
      <c r="Q1285" s="73"/>
      <c r="R1285" s="73"/>
      <c r="S1285" s="73"/>
      <c r="T1285" s="73"/>
      <c r="U1285" s="73"/>
      <c r="V1285" s="73"/>
      <c r="W1285" s="73"/>
      <c r="GL1285" s="73"/>
      <c r="GM1285" s="73"/>
      <c r="GN1285" s="73"/>
      <c r="GO1285" s="73"/>
      <c r="GP1285" s="73"/>
      <c r="GQ1285" s="73"/>
      <c r="GR1285" s="73"/>
      <c r="GS1285" s="73"/>
      <c r="GT1285" s="73"/>
      <c r="GU1285" s="73"/>
      <c r="GV1285" s="73"/>
      <c r="GW1285" s="73"/>
      <c r="GX1285" s="73"/>
      <c r="GY1285" s="73"/>
      <c r="GZ1285" s="73"/>
      <c r="HA1285" s="73"/>
      <c r="HB1285" s="73"/>
      <c r="HC1285" s="73"/>
      <c r="HD1285" s="73"/>
      <c r="HE1285" s="73"/>
      <c r="HF1285" s="73"/>
      <c r="HG1285" s="73"/>
      <c r="HH1285" s="73"/>
      <c r="HI1285" s="73"/>
      <c r="HJ1285" s="73"/>
      <c r="HK1285" s="73"/>
      <c r="HL1285" s="73"/>
      <c r="HM1285" s="73"/>
      <c r="HN1285" s="73"/>
      <c r="HO1285" s="73"/>
      <c r="HP1285" s="73"/>
      <c r="HQ1285" s="73"/>
      <c r="HR1285" s="73"/>
      <c r="HS1285" s="73"/>
      <c r="HT1285" s="73"/>
      <c r="HU1285" s="73"/>
      <c r="HV1285" s="73"/>
      <c r="HW1285" s="73"/>
      <c r="HX1285" s="73"/>
      <c r="HY1285" s="73"/>
      <c r="HZ1285" s="73"/>
      <c r="IA1285" s="73"/>
      <c r="IB1285" s="73"/>
      <c r="IC1285" s="73"/>
      <c r="ID1285" s="73"/>
      <c r="IE1285" s="73"/>
      <c r="IF1285" s="73"/>
      <c r="IG1285" s="73"/>
      <c r="IH1285" s="73"/>
      <c r="II1285" s="73"/>
      <c r="IJ1285" s="73"/>
      <c r="IK1285" s="73"/>
      <c r="IL1285" s="73"/>
      <c r="IM1285" s="73"/>
      <c r="IN1285" s="73"/>
      <c r="IO1285" s="73"/>
      <c r="IP1285" s="73"/>
      <c r="IQ1285" s="73"/>
      <c r="IR1285" s="73"/>
      <c r="IS1285" s="73"/>
      <c r="IT1285" s="73"/>
      <c r="IU1285" s="73"/>
      <c r="IV1285" s="73"/>
      <c r="IW1285" s="73"/>
      <c r="IX1285" s="73"/>
      <c r="IY1285" s="73"/>
      <c r="IZ1285" s="73"/>
      <c r="JA1285" s="73"/>
      <c r="JB1285" s="73"/>
      <c r="JC1285" s="73"/>
    </row>
    <row r="1286" spans="2:263" s="72" customFormat="1">
      <c r="B1286" s="73"/>
      <c r="C1286" s="73"/>
      <c r="D1286" s="73"/>
      <c r="E1286" s="73"/>
      <c r="F1286" s="73"/>
      <c r="G1286" s="73"/>
      <c r="H1286" s="73"/>
      <c r="I1286" s="73"/>
      <c r="J1286" s="73"/>
      <c r="K1286" s="73"/>
      <c r="L1286" s="73"/>
      <c r="M1286" s="73"/>
      <c r="N1286" s="73"/>
      <c r="O1286" s="73"/>
      <c r="P1286" s="73"/>
      <c r="Q1286" s="73"/>
      <c r="R1286" s="73"/>
      <c r="S1286" s="73"/>
      <c r="T1286" s="73"/>
      <c r="U1286" s="73"/>
      <c r="V1286" s="73"/>
      <c r="W1286" s="73"/>
      <c r="GL1286" s="73"/>
      <c r="GM1286" s="73"/>
      <c r="GN1286" s="73"/>
      <c r="GO1286" s="73"/>
      <c r="GP1286" s="73"/>
      <c r="GQ1286" s="73"/>
      <c r="GR1286" s="73"/>
      <c r="GS1286" s="73"/>
      <c r="GT1286" s="73"/>
      <c r="GU1286" s="73"/>
      <c r="GV1286" s="73"/>
      <c r="GW1286" s="73"/>
      <c r="GX1286" s="73"/>
      <c r="GY1286" s="73"/>
      <c r="GZ1286" s="73"/>
      <c r="HA1286" s="73"/>
      <c r="HB1286" s="73"/>
      <c r="HC1286" s="73"/>
      <c r="HD1286" s="73"/>
      <c r="HE1286" s="73"/>
      <c r="HF1286" s="73"/>
      <c r="HG1286" s="73"/>
      <c r="HH1286" s="73"/>
      <c r="HI1286" s="73"/>
      <c r="HJ1286" s="73"/>
      <c r="HK1286" s="73"/>
      <c r="HL1286" s="73"/>
      <c r="HM1286" s="73"/>
      <c r="HN1286" s="73"/>
      <c r="HO1286" s="73"/>
      <c r="HP1286" s="73"/>
      <c r="HQ1286" s="73"/>
      <c r="HR1286" s="73"/>
      <c r="HS1286" s="73"/>
      <c r="HT1286" s="73"/>
      <c r="HU1286" s="73"/>
      <c r="HV1286" s="73"/>
      <c r="HW1286" s="73"/>
      <c r="HX1286" s="73"/>
      <c r="HY1286" s="73"/>
      <c r="HZ1286" s="73"/>
      <c r="IA1286" s="73"/>
      <c r="IB1286" s="73"/>
      <c r="IC1286" s="73"/>
      <c r="ID1286" s="73"/>
      <c r="IE1286" s="73"/>
      <c r="IF1286" s="73"/>
      <c r="IG1286" s="73"/>
      <c r="IH1286" s="73"/>
      <c r="II1286" s="73"/>
      <c r="IJ1286" s="73"/>
      <c r="IK1286" s="73"/>
      <c r="IL1286" s="73"/>
      <c r="IM1286" s="73"/>
      <c r="IN1286" s="73"/>
      <c r="IO1286" s="73"/>
      <c r="IP1286" s="73"/>
      <c r="IQ1286" s="73"/>
      <c r="IR1286" s="73"/>
      <c r="IS1286" s="73"/>
      <c r="IT1286" s="73"/>
      <c r="IU1286" s="73"/>
      <c r="IV1286" s="73"/>
      <c r="IW1286" s="73"/>
      <c r="IX1286" s="73"/>
      <c r="IY1286" s="73"/>
      <c r="IZ1286" s="73"/>
      <c r="JA1286" s="73"/>
      <c r="JB1286" s="73"/>
      <c r="JC1286" s="73"/>
    </row>
    <row r="1287" spans="2:263" s="72" customFormat="1">
      <c r="B1287" s="73"/>
      <c r="C1287" s="73"/>
      <c r="D1287" s="73"/>
      <c r="E1287" s="73"/>
      <c r="F1287" s="73"/>
      <c r="G1287" s="73"/>
      <c r="H1287" s="73"/>
      <c r="I1287" s="73"/>
      <c r="J1287" s="73"/>
      <c r="K1287" s="73"/>
      <c r="L1287" s="73"/>
      <c r="M1287" s="73"/>
      <c r="N1287" s="73"/>
      <c r="O1287" s="73"/>
      <c r="P1287" s="73"/>
      <c r="Q1287" s="73"/>
      <c r="R1287" s="73"/>
      <c r="S1287" s="73"/>
      <c r="T1287" s="73"/>
      <c r="U1287" s="73"/>
      <c r="V1287" s="73"/>
      <c r="W1287" s="73"/>
      <c r="GL1287" s="73"/>
      <c r="GM1287" s="73"/>
      <c r="GN1287" s="73"/>
      <c r="GO1287" s="73"/>
      <c r="GP1287" s="73"/>
      <c r="GQ1287" s="73"/>
      <c r="GR1287" s="73"/>
      <c r="GS1287" s="73"/>
      <c r="GT1287" s="73"/>
      <c r="GU1287" s="73"/>
      <c r="GV1287" s="73"/>
      <c r="GW1287" s="73"/>
      <c r="GX1287" s="73"/>
      <c r="GY1287" s="73"/>
      <c r="GZ1287" s="73"/>
      <c r="HA1287" s="73"/>
      <c r="HB1287" s="73"/>
      <c r="HC1287" s="73"/>
      <c r="HD1287" s="73"/>
      <c r="HE1287" s="73"/>
      <c r="HF1287" s="73"/>
      <c r="HG1287" s="73"/>
      <c r="HH1287" s="73"/>
      <c r="HI1287" s="73"/>
      <c r="HJ1287" s="73"/>
      <c r="HK1287" s="73"/>
      <c r="HL1287" s="73"/>
      <c r="HM1287" s="73"/>
      <c r="HN1287" s="73"/>
      <c r="HO1287" s="73"/>
      <c r="HP1287" s="73"/>
      <c r="HQ1287" s="73"/>
      <c r="HR1287" s="73"/>
      <c r="HS1287" s="73"/>
      <c r="HT1287" s="73"/>
      <c r="HU1287" s="73"/>
      <c r="HV1287" s="73"/>
      <c r="HW1287" s="73"/>
      <c r="HX1287" s="73"/>
      <c r="HY1287" s="73"/>
      <c r="HZ1287" s="73"/>
      <c r="IA1287" s="73"/>
      <c r="IB1287" s="73"/>
      <c r="IC1287" s="73"/>
      <c r="ID1287" s="73"/>
      <c r="IE1287" s="73"/>
      <c r="IF1287" s="73"/>
      <c r="IG1287" s="73"/>
      <c r="IH1287" s="73"/>
      <c r="II1287" s="73"/>
      <c r="IJ1287" s="73"/>
      <c r="IK1287" s="73"/>
      <c r="IL1287" s="73"/>
      <c r="IM1287" s="73"/>
      <c r="IN1287" s="73"/>
      <c r="IO1287" s="73"/>
      <c r="IP1287" s="73"/>
      <c r="IQ1287" s="73"/>
      <c r="IR1287" s="73"/>
      <c r="IS1287" s="73"/>
      <c r="IT1287" s="73"/>
      <c r="IU1287" s="73"/>
      <c r="IV1287" s="73"/>
      <c r="IW1287" s="73"/>
      <c r="IX1287" s="73"/>
      <c r="IY1287" s="73"/>
      <c r="IZ1287" s="73"/>
      <c r="JA1287" s="73"/>
      <c r="JB1287" s="73"/>
      <c r="JC1287" s="73"/>
    </row>
    <row r="1288" spans="2:263" s="72" customFormat="1">
      <c r="B1288" s="73"/>
      <c r="C1288" s="73"/>
      <c r="D1288" s="73"/>
      <c r="E1288" s="73"/>
      <c r="F1288" s="73"/>
      <c r="G1288" s="73"/>
      <c r="H1288" s="73"/>
      <c r="I1288" s="73"/>
      <c r="J1288" s="73"/>
      <c r="K1288" s="73"/>
      <c r="L1288" s="73"/>
      <c r="M1288" s="73"/>
      <c r="N1288" s="73"/>
      <c r="O1288" s="73"/>
      <c r="P1288" s="73"/>
      <c r="Q1288" s="73"/>
      <c r="R1288" s="73"/>
      <c r="S1288" s="73"/>
      <c r="T1288" s="73"/>
      <c r="U1288" s="73"/>
      <c r="V1288" s="73"/>
      <c r="W1288" s="73"/>
      <c r="GL1288" s="73"/>
      <c r="GM1288" s="73"/>
      <c r="GN1288" s="73"/>
      <c r="GO1288" s="73"/>
      <c r="GP1288" s="73"/>
      <c r="GQ1288" s="73"/>
      <c r="GR1288" s="73"/>
      <c r="GS1288" s="73"/>
      <c r="GT1288" s="73"/>
      <c r="GU1288" s="73"/>
      <c r="GV1288" s="73"/>
      <c r="GW1288" s="73"/>
      <c r="GX1288" s="73"/>
      <c r="GY1288" s="73"/>
      <c r="GZ1288" s="73"/>
      <c r="HA1288" s="73"/>
      <c r="HB1288" s="73"/>
      <c r="HC1288" s="73"/>
      <c r="HD1288" s="73"/>
      <c r="HE1288" s="73"/>
      <c r="HF1288" s="73"/>
      <c r="HG1288" s="73"/>
      <c r="HH1288" s="73"/>
      <c r="HI1288" s="73"/>
      <c r="HJ1288" s="73"/>
      <c r="HK1288" s="73"/>
      <c r="HL1288" s="73"/>
      <c r="HM1288" s="73"/>
      <c r="HN1288" s="73"/>
      <c r="HO1288" s="73"/>
      <c r="HP1288" s="73"/>
      <c r="HQ1288" s="73"/>
      <c r="HR1288" s="73"/>
      <c r="HS1288" s="73"/>
      <c r="HT1288" s="73"/>
      <c r="HU1288" s="73"/>
      <c r="HV1288" s="73"/>
      <c r="HW1288" s="73"/>
      <c r="HX1288" s="73"/>
      <c r="HY1288" s="73"/>
      <c r="HZ1288" s="73"/>
      <c r="IA1288" s="73"/>
      <c r="IB1288" s="73"/>
      <c r="IC1288" s="73"/>
      <c r="ID1288" s="73"/>
      <c r="IE1288" s="73"/>
      <c r="IF1288" s="73"/>
      <c r="IG1288" s="73"/>
      <c r="IH1288" s="73"/>
      <c r="II1288" s="73"/>
      <c r="IJ1288" s="73"/>
      <c r="IK1288" s="73"/>
      <c r="IL1288" s="73"/>
      <c r="IM1288" s="73"/>
      <c r="IN1288" s="73"/>
      <c r="IO1288" s="73"/>
      <c r="IP1288" s="73"/>
      <c r="IQ1288" s="73"/>
      <c r="IR1288" s="73"/>
      <c r="IS1288" s="73"/>
      <c r="IT1288" s="73"/>
      <c r="IU1288" s="73"/>
      <c r="IV1288" s="73"/>
      <c r="IW1288" s="73"/>
      <c r="IX1288" s="73"/>
      <c r="IY1288" s="73"/>
      <c r="IZ1288" s="73"/>
      <c r="JA1288" s="73"/>
      <c r="JB1288" s="73"/>
      <c r="JC1288" s="73"/>
    </row>
    <row r="1289" spans="2:263" s="72" customFormat="1">
      <c r="B1289" s="73"/>
      <c r="C1289" s="73"/>
      <c r="D1289" s="73"/>
      <c r="E1289" s="73"/>
      <c r="F1289" s="73"/>
      <c r="G1289" s="73"/>
      <c r="H1289" s="73"/>
      <c r="I1289" s="73"/>
      <c r="J1289" s="73"/>
      <c r="K1289" s="73"/>
      <c r="L1289" s="73"/>
      <c r="M1289" s="73"/>
      <c r="N1289" s="73"/>
      <c r="O1289" s="73"/>
      <c r="P1289" s="73"/>
      <c r="Q1289" s="73"/>
      <c r="R1289" s="73"/>
      <c r="S1289" s="73"/>
      <c r="T1289" s="73"/>
      <c r="U1289" s="73"/>
      <c r="V1289" s="73"/>
      <c r="W1289" s="73"/>
      <c r="GL1289" s="73"/>
      <c r="GM1289" s="73"/>
      <c r="GN1289" s="73"/>
      <c r="GO1289" s="73"/>
      <c r="GP1289" s="73"/>
      <c r="GQ1289" s="73"/>
      <c r="GR1289" s="73"/>
      <c r="GS1289" s="73"/>
      <c r="GT1289" s="73"/>
      <c r="GU1289" s="73"/>
      <c r="GV1289" s="73"/>
      <c r="GW1289" s="73"/>
      <c r="GX1289" s="73"/>
      <c r="GY1289" s="73"/>
      <c r="GZ1289" s="73"/>
      <c r="HA1289" s="73"/>
      <c r="HB1289" s="73"/>
      <c r="HC1289" s="73"/>
      <c r="HD1289" s="73"/>
      <c r="HE1289" s="73"/>
      <c r="HF1289" s="73"/>
      <c r="HG1289" s="73"/>
      <c r="HH1289" s="73"/>
      <c r="HI1289" s="73"/>
      <c r="HJ1289" s="73"/>
      <c r="HK1289" s="73"/>
      <c r="HL1289" s="73"/>
      <c r="HM1289" s="73"/>
      <c r="HN1289" s="73"/>
      <c r="HO1289" s="73"/>
      <c r="HP1289" s="73"/>
      <c r="HQ1289" s="73"/>
      <c r="HR1289" s="73"/>
      <c r="HS1289" s="73"/>
      <c r="HT1289" s="73"/>
      <c r="HU1289" s="73"/>
      <c r="HV1289" s="73"/>
      <c r="HW1289" s="73"/>
      <c r="HX1289" s="73"/>
      <c r="HY1289" s="73"/>
      <c r="HZ1289" s="73"/>
      <c r="IA1289" s="73"/>
      <c r="IB1289" s="73"/>
      <c r="IC1289" s="73"/>
      <c r="ID1289" s="73"/>
      <c r="IE1289" s="73"/>
      <c r="IF1289" s="73"/>
      <c r="IG1289" s="73"/>
      <c r="IH1289" s="73"/>
      <c r="II1289" s="73"/>
      <c r="IJ1289" s="73"/>
      <c r="IK1289" s="73"/>
      <c r="IL1289" s="73"/>
      <c r="IM1289" s="73"/>
      <c r="IN1289" s="73"/>
      <c r="IO1289" s="73"/>
      <c r="IP1289" s="73"/>
      <c r="IQ1289" s="73"/>
      <c r="IR1289" s="73"/>
      <c r="IS1289" s="73"/>
      <c r="IT1289" s="73"/>
      <c r="IU1289" s="73"/>
      <c r="IV1289" s="73"/>
      <c r="IW1289" s="73"/>
      <c r="IX1289" s="73"/>
      <c r="IY1289" s="73"/>
      <c r="IZ1289" s="73"/>
      <c r="JA1289" s="73"/>
      <c r="JB1289" s="73"/>
      <c r="JC1289" s="73"/>
    </row>
    <row r="1290" spans="2:263" s="72" customFormat="1">
      <c r="B1290" s="73"/>
      <c r="C1290" s="73"/>
      <c r="D1290" s="73"/>
      <c r="E1290" s="73"/>
      <c r="F1290" s="73"/>
      <c r="G1290" s="73"/>
      <c r="H1290" s="73"/>
      <c r="I1290" s="73"/>
      <c r="J1290" s="73"/>
      <c r="K1290" s="73"/>
      <c r="L1290" s="73"/>
      <c r="M1290" s="73"/>
      <c r="N1290" s="73"/>
      <c r="O1290" s="73"/>
      <c r="P1290" s="73"/>
      <c r="Q1290" s="73"/>
      <c r="R1290" s="73"/>
      <c r="S1290" s="73"/>
      <c r="T1290" s="73"/>
      <c r="U1290" s="73"/>
      <c r="V1290" s="73"/>
      <c r="W1290" s="73"/>
      <c r="GL1290" s="73"/>
      <c r="GM1290" s="73"/>
      <c r="GN1290" s="73"/>
      <c r="GO1290" s="73"/>
      <c r="GP1290" s="73"/>
      <c r="GQ1290" s="73"/>
      <c r="GR1290" s="73"/>
      <c r="GS1290" s="73"/>
      <c r="GT1290" s="73"/>
      <c r="GU1290" s="73"/>
      <c r="GV1290" s="73"/>
      <c r="GW1290" s="73"/>
      <c r="GX1290" s="73"/>
      <c r="GY1290" s="73"/>
      <c r="GZ1290" s="73"/>
      <c r="HA1290" s="73"/>
      <c r="HB1290" s="73"/>
      <c r="HC1290" s="73"/>
      <c r="HD1290" s="73"/>
      <c r="HE1290" s="73"/>
      <c r="HF1290" s="73"/>
      <c r="HG1290" s="73"/>
      <c r="HH1290" s="73"/>
      <c r="HI1290" s="73"/>
      <c r="HJ1290" s="73"/>
      <c r="HK1290" s="73"/>
      <c r="HL1290" s="73"/>
      <c r="HM1290" s="73"/>
      <c r="HN1290" s="73"/>
      <c r="HO1290" s="73"/>
      <c r="HP1290" s="73"/>
      <c r="HQ1290" s="73"/>
      <c r="HR1290" s="73"/>
      <c r="HS1290" s="73"/>
      <c r="HT1290" s="73"/>
      <c r="HU1290" s="73"/>
      <c r="HV1290" s="73"/>
      <c r="HW1290" s="73"/>
      <c r="HX1290" s="73"/>
      <c r="HY1290" s="73"/>
      <c r="HZ1290" s="73"/>
      <c r="IA1290" s="73"/>
      <c r="IB1290" s="73"/>
      <c r="IC1290" s="73"/>
      <c r="ID1290" s="73"/>
      <c r="IE1290" s="73"/>
      <c r="IF1290" s="73"/>
      <c r="IG1290" s="73"/>
      <c r="IH1290" s="73"/>
      <c r="II1290" s="73"/>
      <c r="IJ1290" s="73"/>
      <c r="IK1290" s="73"/>
      <c r="IL1290" s="73"/>
      <c r="IM1290" s="73"/>
      <c r="IN1290" s="73"/>
      <c r="IO1290" s="73"/>
      <c r="IP1290" s="73"/>
      <c r="IQ1290" s="73"/>
      <c r="IR1290" s="73"/>
      <c r="IS1290" s="73"/>
      <c r="IT1290" s="73"/>
      <c r="IU1290" s="73"/>
      <c r="IV1290" s="73"/>
      <c r="IW1290" s="73"/>
      <c r="IX1290" s="73"/>
      <c r="IY1290" s="73"/>
      <c r="IZ1290" s="73"/>
      <c r="JA1290" s="73"/>
      <c r="JB1290" s="73"/>
      <c r="JC1290" s="73"/>
    </row>
    <row r="1291" spans="2:263" s="72" customFormat="1">
      <c r="B1291" s="73"/>
      <c r="C1291" s="73"/>
      <c r="D1291" s="73"/>
      <c r="E1291" s="73"/>
      <c r="F1291" s="73"/>
      <c r="G1291" s="73"/>
      <c r="H1291" s="73"/>
      <c r="I1291" s="73"/>
      <c r="J1291" s="73"/>
      <c r="K1291" s="73"/>
      <c r="L1291" s="73"/>
      <c r="M1291" s="73"/>
      <c r="N1291" s="73"/>
      <c r="O1291" s="73"/>
      <c r="P1291" s="73"/>
      <c r="Q1291" s="73"/>
      <c r="R1291" s="73"/>
      <c r="S1291" s="73"/>
      <c r="T1291" s="73"/>
      <c r="U1291" s="73"/>
      <c r="V1291" s="73"/>
      <c r="W1291" s="73"/>
      <c r="GL1291" s="73"/>
      <c r="GM1291" s="73"/>
      <c r="GN1291" s="73"/>
      <c r="GO1291" s="73"/>
      <c r="GP1291" s="73"/>
      <c r="GQ1291" s="73"/>
      <c r="GR1291" s="73"/>
      <c r="GS1291" s="73"/>
      <c r="GT1291" s="73"/>
      <c r="GU1291" s="73"/>
      <c r="GV1291" s="73"/>
      <c r="GW1291" s="73"/>
      <c r="GX1291" s="73"/>
      <c r="GY1291" s="73"/>
      <c r="GZ1291" s="73"/>
      <c r="HA1291" s="73"/>
      <c r="HB1291" s="73"/>
      <c r="HC1291" s="73"/>
      <c r="HD1291" s="73"/>
      <c r="HE1291" s="73"/>
      <c r="HF1291" s="73"/>
      <c r="HG1291" s="73"/>
      <c r="HH1291" s="73"/>
      <c r="HI1291" s="73"/>
      <c r="HJ1291" s="73"/>
      <c r="HK1291" s="73"/>
      <c r="HL1291" s="73"/>
      <c r="HM1291" s="73"/>
      <c r="HN1291" s="73"/>
      <c r="HO1291" s="73"/>
      <c r="HP1291" s="73"/>
      <c r="HQ1291" s="73"/>
      <c r="HR1291" s="73"/>
      <c r="HS1291" s="73"/>
      <c r="HT1291" s="73"/>
      <c r="HU1291" s="73"/>
      <c r="HV1291" s="73"/>
      <c r="HW1291" s="73"/>
      <c r="HX1291" s="73"/>
      <c r="HY1291" s="73"/>
      <c r="HZ1291" s="73"/>
      <c r="IA1291" s="73"/>
      <c r="IB1291" s="73"/>
      <c r="IC1291" s="73"/>
      <c r="ID1291" s="73"/>
      <c r="IE1291" s="73"/>
      <c r="IF1291" s="73"/>
      <c r="IG1291" s="73"/>
      <c r="IH1291" s="73"/>
      <c r="II1291" s="73"/>
      <c r="IJ1291" s="73"/>
      <c r="IK1291" s="73"/>
      <c r="IL1291" s="73"/>
      <c r="IM1291" s="73"/>
      <c r="IN1291" s="73"/>
      <c r="IO1291" s="73"/>
      <c r="IP1291" s="73"/>
      <c r="IQ1291" s="73"/>
      <c r="IR1291" s="73"/>
      <c r="IS1291" s="73"/>
      <c r="IT1291" s="73"/>
      <c r="IU1291" s="73"/>
      <c r="IV1291" s="73"/>
      <c r="IW1291" s="73"/>
      <c r="IX1291" s="73"/>
      <c r="IY1291" s="73"/>
      <c r="IZ1291" s="73"/>
      <c r="JA1291" s="73"/>
      <c r="JB1291" s="73"/>
      <c r="JC1291" s="73"/>
    </row>
    <row r="1292" spans="2:263" s="72" customFormat="1">
      <c r="B1292" s="73"/>
      <c r="C1292" s="73"/>
      <c r="D1292" s="73"/>
      <c r="E1292" s="73"/>
      <c r="F1292" s="73"/>
      <c r="G1292" s="73"/>
      <c r="H1292" s="73"/>
      <c r="I1292" s="73"/>
      <c r="J1292" s="73"/>
      <c r="K1292" s="73"/>
      <c r="L1292" s="73"/>
      <c r="M1292" s="73"/>
      <c r="N1292" s="73"/>
      <c r="O1292" s="73"/>
      <c r="P1292" s="73"/>
      <c r="Q1292" s="73"/>
      <c r="R1292" s="73"/>
      <c r="S1292" s="73"/>
      <c r="T1292" s="73"/>
      <c r="U1292" s="73"/>
      <c r="V1292" s="73"/>
      <c r="W1292" s="73"/>
      <c r="GL1292" s="73"/>
      <c r="GM1292" s="73"/>
      <c r="GN1292" s="73"/>
      <c r="GO1292" s="73"/>
      <c r="GP1292" s="73"/>
      <c r="GQ1292" s="73"/>
      <c r="GR1292" s="73"/>
      <c r="GS1292" s="73"/>
      <c r="GT1292" s="73"/>
      <c r="GU1292" s="73"/>
      <c r="GV1292" s="73"/>
      <c r="GW1292" s="73"/>
      <c r="GX1292" s="73"/>
      <c r="GY1292" s="73"/>
      <c r="GZ1292" s="73"/>
      <c r="HA1292" s="73"/>
      <c r="HB1292" s="73"/>
      <c r="HC1292" s="73"/>
      <c r="HD1292" s="73"/>
      <c r="HE1292" s="73"/>
      <c r="HF1292" s="73"/>
      <c r="HG1292" s="73"/>
      <c r="HH1292" s="73"/>
      <c r="HI1292" s="73"/>
      <c r="HJ1292" s="73"/>
      <c r="HK1292" s="73"/>
      <c r="HL1292" s="73"/>
      <c r="HM1292" s="73"/>
      <c r="HN1292" s="73"/>
      <c r="HO1292" s="73"/>
      <c r="HP1292" s="73"/>
      <c r="HQ1292" s="73"/>
      <c r="HR1292" s="73"/>
      <c r="HS1292" s="73"/>
      <c r="HT1292" s="73"/>
      <c r="HU1292" s="73"/>
      <c r="HV1292" s="73"/>
      <c r="HW1292" s="73"/>
      <c r="HX1292" s="73"/>
      <c r="HY1292" s="73"/>
      <c r="HZ1292" s="73"/>
      <c r="IA1292" s="73"/>
      <c r="IB1292" s="73"/>
      <c r="IC1292" s="73"/>
      <c r="ID1292" s="73"/>
      <c r="IE1292" s="73"/>
      <c r="IF1292" s="73"/>
      <c r="IG1292" s="73"/>
      <c r="IH1292" s="73"/>
      <c r="II1292" s="73"/>
      <c r="IJ1292" s="73"/>
      <c r="IK1292" s="73"/>
      <c r="IL1292" s="73"/>
      <c r="IM1292" s="73"/>
      <c r="IN1292" s="73"/>
      <c r="IO1292" s="73"/>
      <c r="IP1292" s="73"/>
      <c r="IQ1292" s="73"/>
      <c r="IR1292" s="73"/>
      <c r="IS1292" s="73"/>
      <c r="IT1292" s="73"/>
      <c r="IU1292" s="73"/>
      <c r="IV1292" s="73"/>
      <c r="IW1292" s="73"/>
      <c r="IX1292" s="73"/>
      <c r="IY1292" s="73"/>
      <c r="IZ1292" s="73"/>
      <c r="JA1292" s="73"/>
      <c r="JB1292" s="73"/>
      <c r="JC1292" s="73"/>
    </row>
    <row r="1293" spans="2:263" s="72" customFormat="1">
      <c r="B1293" s="73"/>
      <c r="C1293" s="73"/>
      <c r="D1293" s="73"/>
      <c r="E1293" s="73"/>
      <c r="F1293" s="73"/>
      <c r="G1293" s="73"/>
      <c r="H1293" s="73"/>
      <c r="I1293" s="73"/>
      <c r="J1293" s="73"/>
      <c r="K1293" s="73"/>
      <c r="L1293" s="73"/>
      <c r="M1293" s="73"/>
      <c r="N1293" s="73"/>
      <c r="O1293" s="73"/>
      <c r="P1293" s="73"/>
      <c r="Q1293" s="73"/>
      <c r="R1293" s="73"/>
      <c r="S1293" s="73"/>
      <c r="T1293" s="73"/>
      <c r="U1293" s="73"/>
      <c r="V1293" s="73"/>
      <c r="W1293" s="73"/>
      <c r="GL1293" s="73"/>
      <c r="GM1293" s="73"/>
      <c r="GN1293" s="73"/>
      <c r="GO1293" s="73"/>
      <c r="GP1293" s="73"/>
      <c r="GQ1293" s="73"/>
      <c r="GR1293" s="73"/>
      <c r="GS1293" s="73"/>
      <c r="GT1293" s="73"/>
      <c r="GU1293" s="73"/>
      <c r="GV1293" s="73"/>
      <c r="GW1293" s="73"/>
      <c r="GX1293" s="73"/>
      <c r="GY1293" s="73"/>
      <c r="GZ1293" s="73"/>
      <c r="HA1293" s="73"/>
      <c r="HB1293" s="73"/>
      <c r="HC1293" s="73"/>
      <c r="HD1293" s="73"/>
      <c r="HE1293" s="73"/>
      <c r="HF1293" s="73"/>
      <c r="HG1293" s="73"/>
      <c r="HH1293" s="73"/>
      <c r="HI1293" s="73"/>
      <c r="HJ1293" s="73"/>
      <c r="HK1293" s="73"/>
      <c r="HL1293" s="73"/>
      <c r="HM1293" s="73"/>
      <c r="HN1293" s="73"/>
      <c r="HO1293" s="73"/>
      <c r="HP1293" s="73"/>
      <c r="HQ1293" s="73"/>
      <c r="HR1293" s="73"/>
      <c r="HS1293" s="73"/>
      <c r="HT1293" s="73"/>
      <c r="HU1293" s="73"/>
      <c r="HV1293" s="73"/>
      <c r="HW1293" s="73"/>
      <c r="HX1293" s="73"/>
      <c r="HY1293" s="73"/>
      <c r="HZ1293" s="73"/>
      <c r="IA1293" s="73"/>
      <c r="IB1293" s="73"/>
      <c r="IC1293" s="73"/>
      <c r="ID1293" s="73"/>
      <c r="IE1293" s="73"/>
      <c r="IF1293" s="73"/>
      <c r="IG1293" s="73"/>
      <c r="IH1293" s="73"/>
      <c r="II1293" s="73"/>
      <c r="IJ1293" s="73"/>
      <c r="IK1293" s="73"/>
      <c r="IL1293" s="73"/>
      <c r="IM1293" s="73"/>
      <c r="IN1293" s="73"/>
      <c r="IO1293" s="73"/>
      <c r="IP1293" s="73"/>
      <c r="IQ1293" s="73"/>
      <c r="IR1293" s="73"/>
      <c r="IS1293" s="73"/>
      <c r="IT1293" s="73"/>
      <c r="IU1293" s="73"/>
      <c r="IV1293" s="73"/>
      <c r="IW1293" s="73"/>
      <c r="IX1293" s="73"/>
      <c r="IY1293" s="73"/>
      <c r="IZ1293" s="73"/>
      <c r="JA1293" s="73"/>
      <c r="JB1293" s="73"/>
      <c r="JC1293" s="73"/>
    </row>
    <row r="1294" spans="2:263" s="72" customFormat="1">
      <c r="B1294" s="73"/>
      <c r="C1294" s="73"/>
      <c r="D1294" s="73"/>
      <c r="E1294" s="73"/>
      <c r="F1294" s="73"/>
      <c r="G1294" s="73"/>
      <c r="H1294" s="73"/>
      <c r="I1294" s="73"/>
      <c r="J1294" s="73"/>
      <c r="K1294" s="73"/>
      <c r="L1294" s="73"/>
      <c r="M1294" s="73"/>
      <c r="N1294" s="73"/>
      <c r="O1294" s="73"/>
      <c r="P1294" s="73"/>
      <c r="Q1294" s="73"/>
      <c r="R1294" s="73"/>
      <c r="S1294" s="73"/>
      <c r="T1294" s="73"/>
      <c r="U1294" s="73"/>
      <c r="V1294" s="73"/>
      <c r="W1294" s="73"/>
      <c r="GL1294" s="73"/>
      <c r="GM1294" s="73"/>
      <c r="GN1294" s="73"/>
      <c r="GO1294" s="73"/>
      <c r="GP1294" s="73"/>
      <c r="GQ1294" s="73"/>
      <c r="GR1294" s="73"/>
      <c r="GS1294" s="73"/>
      <c r="GT1294" s="73"/>
      <c r="GU1294" s="73"/>
      <c r="GV1294" s="73"/>
      <c r="GW1294" s="73"/>
      <c r="GX1294" s="73"/>
      <c r="GY1294" s="73"/>
      <c r="GZ1294" s="73"/>
      <c r="HA1294" s="73"/>
      <c r="HB1294" s="73"/>
      <c r="HC1294" s="73"/>
      <c r="HD1294" s="73"/>
      <c r="HE1294" s="73"/>
      <c r="HF1294" s="73"/>
      <c r="HG1294" s="73"/>
      <c r="HH1294" s="73"/>
      <c r="HI1294" s="73"/>
      <c r="HJ1294" s="73"/>
      <c r="HK1294" s="73"/>
      <c r="HL1294" s="73"/>
      <c r="HM1294" s="73"/>
      <c r="HN1294" s="73"/>
      <c r="HO1294" s="73"/>
      <c r="HP1294" s="73"/>
      <c r="HQ1294" s="73"/>
      <c r="HR1294" s="73"/>
      <c r="HS1294" s="73"/>
      <c r="HT1294" s="73"/>
      <c r="HU1294" s="73"/>
      <c r="HV1294" s="73"/>
      <c r="HW1294" s="73"/>
      <c r="HX1294" s="73"/>
      <c r="HY1294" s="73"/>
      <c r="HZ1294" s="73"/>
      <c r="IA1294" s="73"/>
      <c r="IB1294" s="73"/>
      <c r="IC1294" s="73"/>
      <c r="ID1294" s="73"/>
      <c r="IE1294" s="73"/>
      <c r="IF1294" s="73"/>
      <c r="IG1294" s="73"/>
      <c r="IH1294" s="73"/>
      <c r="II1294" s="73"/>
      <c r="IJ1294" s="73"/>
      <c r="IK1294" s="73"/>
      <c r="IL1294" s="73"/>
      <c r="IM1294" s="73"/>
      <c r="IN1294" s="73"/>
      <c r="IO1294" s="73"/>
      <c r="IP1294" s="73"/>
      <c r="IQ1294" s="73"/>
      <c r="IR1294" s="73"/>
      <c r="IS1294" s="73"/>
      <c r="IT1294" s="73"/>
      <c r="IU1294" s="73"/>
      <c r="IV1294" s="73"/>
      <c r="IW1294" s="73"/>
      <c r="IX1294" s="73"/>
      <c r="IY1294" s="73"/>
      <c r="IZ1294" s="73"/>
      <c r="JA1294" s="73"/>
      <c r="JB1294" s="73"/>
      <c r="JC1294" s="73"/>
    </row>
    <row r="1295" spans="2:263" s="72" customFormat="1">
      <c r="B1295" s="73"/>
      <c r="C1295" s="73"/>
      <c r="D1295" s="73"/>
      <c r="E1295" s="73"/>
      <c r="F1295" s="73"/>
      <c r="G1295" s="73"/>
      <c r="H1295" s="73"/>
      <c r="I1295" s="73"/>
      <c r="J1295" s="73"/>
      <c r="K1295" s="73"/>
      <c r="L1295" s="73"/>
      <c r="M1295" s="73"/>
      <c r="N1295" s="73"/>
      <c r="O1295" s="73"/>
      <c r="P1295" s="73"/>
      <c r="Q1295" s="73"/>
      <c r="R1295" s="73"/>
      <c r="S1295" s="73"/>
      <c r="T1295" s="73"/>
      <c r="U1295" s="73"/>
      <c r="V1295" s="73"/>
      <c r="W1295" s="73"/>
      <c r="GL1295" s="73"/>
      <c r="GM1295" s="73"/>
      <c r="GN1295" s="73"/>
      <c r="GO1295" s="73"/>
      <c r="GP1295" s="73"/>
      <c r="GQ1295" s="73"/>
      <c r="GR1295" s="73"/>
      <c r="GS1295" s="73"/>
      <c r="GT1295" s="73"/>
      <c r="GU1295" s="73"/>
      <c r="GV1295" s="73"/>
      <c r="GW1295" s="73"/>
      <c r="GX1295" s="73"/>
      <c r="GY1295" s="73"/>
      <c r="GZ1295" s="73"/>
      <c r="HA1295" s="73"/>
      <c r="HB1295" s="73"/>
      <c r="HC1295" s="73"/>
      <c r="HD1295" s="73"/>
      <c r="HE1295" s="73"/>
      <c r="HF1295" s="73"/>
      <c r="HG1295" s="73"/>
      <c r="HH1295" s="73"/>
      <c r="HI1295" s="73"/>
      <c r="HJ1295" s="73"/>
      <c r="HK1295" s="73"/>
      <c r="HL1295" s="73"/>
      <c r="HM1295" s="73"/>
      <c r="HN1295" s="73"/>
      <c r="HO1295" s="73"/>
      <c r="HP1295" s="73"/>
      <c r="HQ1295" s="73"/>
      <c r="HR1295" s="73"/>
      <c r="HS1295" s="73"/>
      <c r="HT1295" s="73"/>
      <c r="HU1295" s="73"/>
      <c r="HV1295" s="73"/>
      <c r="HW1295" s="73"/>
      <c r="HX1295" s="73"/>
      <c r="HY1295" s="73"/>
      <c r="HZ1295" s="73"/>
      <c r="IA1295" s="73"/>
      <c r="IB1295" s="73"/>
      <c r="IC1295" s="73"/>
      <c r="ID1295" s="73"/>
      <c r="IE1295" s="73"/>
      <c r="IF1295" s="73"/>
      <c r="IG1295" s="73"/>
      <c r="IH1295" s="73"/>
      <c r="II1295" s="73"/>
      <c r="IJ1295" s="73"/>
      <c r="IK1295" s="73"/>
      <c r="IL1295" s="73"/>
      <c r="IM1295" s="73"/>
      <c r="IN1295" s="73"/>
      <c r="IO1295" s="73"/>
      <c r="IP1295" s="73"/>
      <c r="IQ1295" s="73"/>
      <c r="IR1295" s="73"/>
      <c r="IS1295" s="73"/>
      <c r="IT1295" s="73"/>
      <c r="IU1295" s="73"/>
      <c r="IV1295" s="73"/>
      <c r="IW1295" s="73"/>
      <c r="IX1295" s="73"/>
      <c r="IY1295" s="73"/>
      <c r="IZ1295" s="73"/>
      <c r="JA1295" s="73"/>
      <c r="JB1295" s="73"/>
      <c r="JC1295" s="73"/>
    </row>
    <row r="1296" spans="2:263" s="72" customFormat="1">
      <c r="B1296" s="73"/>
      <c r="C1296" s="73"/>
      <c r="D1296" s="73"/>
      <c r="E1296" s="73"/>
      <c r="F1296" s="73"/>
      <c r="G1296" s="73"/>
      <c r="H1296" s="73"/>
      <c r="I1296" s="73"/>
      <c r="J1296" s="73"/>
      <c r="K1296" s="73"/>
      <c r="L1296" s="73"/>
      <c r="M1296" s="73"/>
      <c r="N1296" s="73"/>
      <c r="O1296" s="73"/>
      <c r="P1296" s="73"/>
      <c r="Q1296" s="73"/>
      <c r="R1296" s="73"/>
      <c r="S1296" s="73"/>
      <c r="T1296" s="73"/>
      <c r="U1296" s="73"/>
      <c r="V1296" s="73"/>
      <c r="W1296" s="73"/>
      <c r="GL1296" s="73"/>
      <c r="GM1296" s="73"/>
      <c r="GN1296" s="73"/>
      <c r="GO1296" s="73"/>
      <c r="GP1296" s="73"/>
      <c r="GQ1296" s="73"/>
      <c r="GR1296" s="73"/>
      <c r="GS1296" s="73"/>
      <c r="GT1296" s="73"/>
      <c r="GU1296" s="73"/>
      <c r="GV1296" s="73"/>
      <c r="GW1296" s="73"/>
      <c r="GX1296" s="73"/>
      <c r="GY1296" s="73"/>
      <c r="GZ1296" s="73"/>
      <c r="HA1296" s="73"/>
      <c r="HB1296" s="73"/>
      <c r="HC1296" s="73"/>
      <c r="HD1296" s="73"/>
      <c r="HE1296" s="73"/>
      <c r="HF1296" s="73"/>
      <c r="HG1296" s="73"/>
      <c r="HH1296" s="73"/>
      <c r="HI1296" s="73"/>
      <c r="HJ1296" s="73"/>
      <c r="HK1296" s="73"/>
      <c r="HL1296" s="73"/>
      <c r="HM1296" s="73"/>
      <c r="HN1296" s="73"/>
      <c r="HO1296" s="73"/>
      <c r="HP1296" s="73"/>
      <c r="HQ1296" s="73"/>
      <c r="HR1296" s="73"/>
      <c r="HS1296" s="73"/>
      <c r="HT1296" s="73"/>
      <c r="HU1296" s="73"/>
      <c r="HV1296" s="73"/>
      <c r="HW1296" s="73"/>
      <c r="HX1296" s="73"/>
      <c r="HY1296" s="73"/>
      <c r="HZ1296" s="73"/>
      <c r="IA1296" s="73"/>
      <c r="IB1296" s="73"/>
      <c r="IC1296" s="73"/>
      <c r="ID1296" s="73"/>
      <c r="IE1296" s="73"/>
      <c r="IF1296" s="73"/>
      <c r="IG1296" s="73"/>
      <c r="IH1296" s="73"/>
      <c r="II1296" s="73"/>
      <c r="IJ1296" s="73"/>
      <c r="IK1296" s="73"/>
      <c r="IL1296" s="73"/>
      <c r="IM1296" s="73"/>
      <c r="IN1296" s="73"/>
      <c r="IO1296" s="73"/>
      <c r="IP1296" s="73"/>
      <c r="IQ1296" s="73"/>
      <c r="IR1296" s="73"/>
      <c r="IS1296" s="73"/>
      <c r="IT1296" s="73"/>
      <c r="IU1296" s="73"/>
      <c r="IV1296" s="73"/>
      <c r="IW1296" s="73"/>
      <c r="IX1296" s="73"/>
      <c r="IY1296" s="73"/>
      <c r="IZ1296" s="73"/>
      <c r="JA1296" s="73"/>
      <c r="JB1296" s="73"/>
      <c r="JC1296" s="73"/>
    </row>
    <row r="1297" spans="2:263" s="72" customFormat="1">
      <c r="B1297" s="73"/>
      <c r="C1297" s="73"/>
      <c r="D1297" s="73"/>
      <c r="E1297" s="73"/>
      <c r="F1297" s="73"/>
      <c r="G1297" s="73"/>
      <c r="H1297" s="73"/>
      <c r="I1297" s="73"/>
      <c r="J1297" s="73"/>
      <c r="K1297" s="73"/>
      <c r="L1297" s="73"/>
      <c r="M1297" s="73"/>
      <c r="N1297" s="73"/>
      <c r="O1297" s="73"/>
      <c r="P1297" s="73"/>
      <c r="Q1297" s="73"/>
      <c r="R1297" s="73"/>
      <c r="S1297" s="73"/>
      <c r="T1297" s="73"/>
      <c r="U1297" s="73"/>
      <c r="V1297" s="73"/>
      <c r="W1297" s="73"/>
      <c r="GL1297" s="73"/>
      <c r="GM1297" s="73"/>
      <c r="GN1297" s="73"/>
      <c r="GO1297" s="73"/>
      <c r="GP1297" s="73"/>
      <c r="GQ1297" s="73"/>
      <c r="GR1297" s="73"/>
      <c r="GS1297" s="73"/>
      <c r="GT1297" s="73"/>
      <c r="GU1297" s="73"/>
      <c r="GV1297" s="73"/>
      <c r="GW1297" s="73"/>
      <c r="GX1297" s="73"/>
      <c r="GY1297" s="73"/>
      <c r="GZ1297" s="73"/>
      <c r="HA1297" s="73"/>
      <c r="HB1297" s="73"/>
      <c r="HC1297" s="73"/>
      <c r="HD1297" s="73"/>
      <c r="HE1297" s="73"/>
      <c r="HF1297" s="73"/>
      <c r="HG1297" s="73"/>
      <c r="HH1297" s="73"/>
      <c r="HI1297" s="73"/>
      <c r="HJ1297" s="73"/>
      <c r="HK1297" s="73"/>
      <c r="HL1297" s="73"/>
      <c r="HM1297" s="73"/>
      <c r="HN1297" s="73"/>
      <c r="HO1297" s="73"/>
      <c r="HP1297" s="73"/>
      <c r="HQ1297" s="73"/>
      <c r="HR1297" s="73"/>
      <c r="HS1297" s="73"/>
      <c r="HT1297" s="73"/>
      <c r="HU1297" s="73"/>
      <c r="HV1297" s="73"/>
      <c r="HW1297" s="73"/>
      <c r="HX1297" s="73"/>
      <c r="HY1297" s="73"/>
      <c r="HZ1297" s="73"/>
      <c r="IA1297" s="73"/>
      <c r="IB1297" s="73"/>
      <c r="IC1297" s="73"/>
      <c r="ID1297" s="73"/>
      <c r="IE1297" s="73"/>
      <c r="IF1297" s="73"/>
      <c r="IG1297" s="73"/>
      <c r="IH1297" s="73"/>
      <c r="II1297" s="73"/>
      <c r="IJ1297" s="73"/>
      <c r="IK1297" s="73"/>
      <c r="IL1297" s="73"/>
      <c r="IM1297" s="73"/>
      <c r="IN1297" s="73"/>
      <c r="IO1297" s="73"/>
      <c r="IP1297" s="73"/>
      <c r="IQ1297" s="73"/>
      <c r="IR1297" s="73"/>
      <c r="IS1297" s="73"/>
      <c r="IT1297" s="73"/>
      <c r="IU1297" s="73"/>
      <c r="IV1297" s="73"/>
      <c r="IW1297" s="73"/>
      <c r="IX1297" s="73"/>
      <c r="IY1297" s="73"/>
      <c r="IZ1297" s="73"/>
      <c r="JA1297" s="73"/>
      <c r="JB1297" s="73"/>
      <c r="JC1297" s="73"/>
    </row>
    <row r="1298" spans="2:263" s="72" customFormat="1">
      <c r="B1298" s="73"/>
      <c r="C1298" s="73"/>
      <c r="D1298" s="73"/>
      <c r="E1298" s="73"/>
      <c r="F1298" s="73"/>
      <c r="G1298" s="73"/>
      <c r="H1298" s="73"/>
      <c r="I1298" s="73"/>
      <c r="J1298" s="73"/>
      <c r="K1298" s="73"/>
      <c r="L1298" s="73"/>
      <c r="M1298" s="73"/>
      <c r="N1298" s="73"/>
      <c r="O1298" s="73"/>
      <c r="P1298" s="73"/>
      <c r="Q1298" s="73"/>
      <c r="R1298" s="73"/>
      <c r="S1298" s="73"/>
      <c r="T1298" s="73"/>
      <c r="U1298" s="73"/>
      <c r="V1298" s="73"/>
      <c r="W1298" s="73"/>
      <c r="GL1298" s="73"/>
      <c r="GM1298" s="73"/>
      <c r="GN1298" s="73"/>
      <c r="GO1298" s="73"/>
      <c r="GP1298" s="73"/>
      <c r="GQ1298" s="73"/>
      <c r="GR1298" s="73"/>
      <c r="GS1298" s="73"/>
      <c r="GT1298" s="73"/>
      <c r="GU1298" s="73"/>
      <c r="GV1298" s="73"/>
      <c r="GW1298" s="73"/>
      <c r="GX1298" s="73"/>
      <c r="GY1298" s="73"/>
      <c r="GZ1298" s="73"/>
      <c r="HA1298" s="73"/>
      <c r="HB1298" s="73"/>
      <c r="HC1298" s="73"/>
      <c r="HD1298" s="73"/>
      <c r="HE1298" s="73"/>
      <c r="HF1298" s="73"/>
      <c r="HG1298" s="73"/>
      <c r="HH1298" s="73"/>
      <c r="HI1298" s="73"/>
      <c r="HJ1298" s="73"/>
      <c r="HK1298" s="73"/>
      <c r="HL1298" s="73"/>
      <c r="HM1298" s="73"/>
      <c r="HN1298" s="73"/>
      <c r="HO1298" s="73"/>
      <c r="HP1298" s="73"/>
      <c r="HQ1298" s="73"/>
      <c r="HR1298" s="73"/>
      <c r="HS1298" s="73"/>
      <c r="HT1298" s="73"/>
      <c r="HU1298" s="73"/>
      <c r="HV1298" s="73"/>
      <c r="HW1298" s="73"/>
      <c r="HX1298" s="73"/>
      <c r="HY1298" s="73"/>
      <c r="HZ1298" s="73"/>
      <c r="IA1298" s="73"/>
      <c r="IB1298" s="73"/>
      <c r="IC1298" s="73"/>
      <c r="ID1298" s="73"/>
      <c r="IE1298" s="73"/>
      <c r="IF1298" s="73"/>
      <c r="IG1298" s="73"/>
      <c r="IH1298" s="73"/>
      <c r="II1298" s="73"/>
      <c r="IJ1298" s="73"/>
      <c r="IK1298" s="73"/>
      <c r="IL1298" s="73"/>
      <c r="IM1298" s="73"/>
      <c r="IN1298" s="73"/>
      <c r="IO1298" s="73"/>
      <c r="IP1298" s="73"/>
      <c r="IQ1298" s="73"/>
      <c r="IR1298" s="73"/>
      <c r="IS1298" s="73"/>
      <c r="IT1298" s="73"/>
      <c r="IU1298" s="73"/>
      <c r="IV1298" s="73"/>
      <c r="IW1298" s="73"/>
      <c r="IX1298" s="73"/>
      <c r="IY1298" s="73"/>
      <c r="IZ1298" s="73"/>
      <c r="JA1298" s="73"/>
      <c r="JB1298" s="73"/>
      <c r="JC1298" s="73"/>
    </row>
    <row r="1299" spans="2:263" s="72" customFormat="1">
      <c r="B1299" s="73"/>
      <c r="C1299" s="73"/>
      <c r="D1299" s="73"/>
      <c r="E1299" s="73"/>
      <c r="F1299" s="73"/>
      <c r="G1299" s="73"/>
      <c r="H1299" s="73"/>
      <c r="I1299" s="73"/>
      <c r="J1299" s="73"/>
      <c r="K1299" s="73"/>
      <c r="L1299" s="73"/>
      <c r="M1299" s="73"/>
      <c r="N1299" s="73"/>
      <c r="O1299" s="73"/>
      <c r="P1299" s="73"/>
      <c r="Q1299" s="73"/>
      <c r="R1299" s="73"/>
      <c r="S1299" s="73"/>
      <c r="T1299" s="73"/>
      <c r="U1299" s="73"/>
      <c r="V1299" s="73"/>
      <c r="W1299" s="73"/>
      <c r="GL1299" s="73"/>
      <c r="GM1299" s="73"/>
      <c r="GN1299" s="73"/>
      <c r="GO1299" s="73"/>
      <c r="GP1299" s="73"/>
      <c r="GQ1299" s="73"/>
      <c r="GR1299" s="73"/>
      <c r="GS1299" s="73"/>
      <c r="GT1299" s="73"/>
      <c r="GU1299" s="73"/>
      <c r="GV1299" s="73"/>
      <c r="GW1299" s="73"/>
      <c r="GX1299" s="73"/>
      <c r="GY1299" s="73"/>
      <c r="GZ1299" s="73"/>
      <c r="HA1299" s="73"/>
      <c r="HB1299" s="73"/>
      <c r="HC1299" s="73"/>
      <c r="HD1299" s="73"/>
      <c r="HE1299" s="73"/>
      <c r="HF1299" s="73"/>
      <c r="HG1299" s="73"/>
      <c r="HH1299" s="73"/>
      <c r="HI1299" s="73"/>
      <c r="HJ1299" s="73"/>
      <c r="HK1299" s="73"/>
      <c r="HL1299" s="73"/>
      <c r="HM1299" s="73"/>
      <c r="HN1299" s="73"/>
      <c r="HO1299" s="73"/>
      <c r="HP1299" s="73"/>
      <c r="HQ1299" s="73"/>
      <c r="HR1299" s="73"/>
      <c r="HS1299" s="73"/>
      <c r="HT1299" s="73"/>
      <c r="HU1299" s="73"/>
      <c r="HV1299" s="73"/>
      <c r="HW1299" s="73"/>
      <c r="HX1299" s="73"/>
      <c r="HY1299" s="73"/>
      <c r="HZ1299" s="73"/>
      <c r="IA1299" s="73"/>
      <c r="IB1299" s="73"/>
      <c r="IC1299" s="73"/>
      <c r="ID1299" s="73"/>
      <c r="IE1299" s="73"/>
      <c r="IF1299" s="73"/>
      <c r="IG1299" s="73"/>
      <c r="IH1299" s="73"/>
      <c r="II1299" s="73"/>
      <c r="IJ1299" s="73"/>
      <c r="IK1299" s="73"/>
      <c r="IL1299" s="73"/>
      <c r="IM1299" s="73"/>
      <c r="IN1299" s="73"/>
      <c r="IO1299" s="73"/>
      <c r="IP1299" s="73"/>
      <c r="IQ1299" s="73"/>
      <c r="IR1299" s="73"/>
      <c r="IS1299" s="73"/>
      <c r="IT1299" s="73"/>
      <c r="IU1299" s="73"/>
      <c r="IV1299" s="73"/>
      <c r="IW1299" s="73"/>
      <c r="IX1299" s="73"/>
      <c r="IY1299" s="73"/>
      <c r="IZ1299" s="73"/>
      <c r="JA1299" s="73"/>
      <c r="JB1299" s="73"/>
      <c r="JC1299" s="73"/>
    </row>
    <row r="1300" spans="2:263" s="72" customFormat="1">
      <c r="B1300" s="73"/>
      <c r="C1300" s="73"/>
      <c r="D1300" s="73"/>
      <c r="E1300" s="73"/>
      <c r="F1300" s="73"/>
      <c r="G1300" s="73"/>
      <c r="H1300" s="73"/>
      <c r="I1300" s="73"/>
      <c r="J1300" s="73"/>
      <c r="K1300" s="73"/>
      <c r="L1300" s="73"/>
      <c r="M1300" s="73"/>
      <c r="N1300" s="73"/>
      <c r="O1300" s="73"/>
      <c r="P1300" s="73"/>
      <c r="Q1300" s="73"/>
      <c r="R1300" s="73"/>
      <c r="S1300" s="73"/>
      <c r="T1300" s="73"/>
      <c r="U1300" s="73"/>
      <c r="V1300" s="73"/>
      <c r="W1300" s="73"/>
      <c r="GL1300" s="73"/>
      <c r="GM1300" s="73"/>
      <c r="GN1300" s="73"/>
      <c r="GO1300" s="73"/>
      <c r="GP1300" s="73"/>
      <c r="GQ1300" s="73"/>
      <c r="GR1300" s="73"/>
      <c r="GS1300" s="73"/>
      <c r="GT1300" s="73"/>
      <c r="GU1300" s="73"/>
      <c r="GV1300" s="73"/>
      <c r="GW1300" s="73"/>
      <c r="GX1300" s="73"/>
      <c r="GY1300" s="73"/>
      <c r="GZ1300" s="73"/>
      <c r="HA1300" s="73"/>
      <c r="HB1300" s="73"/>
      <c r="HC1300" s="73"/>
      <c r="HD1300" s="73"/>
      <c r="HE1300" s="73"/>
      <c r="HF1300" s="73"/>
      <c r="HG1300" s="73"/>
      <c r="HH1300" s="73"/>
      <c r="HI1300" s="73"/>
      <c r="HJ1300" s="73"/>
      <c r="HK1300" s="73"/>
      <c r="HL1300" s="73"/>
      <c r="HM1300" s="73"/>
      <c r="HN1300" s="73"/>
      <c r="HO1300" s="73"/>
      <c r="HP1300" s="73"/>
      <c r="HQ1300" s="73"/>
      <c r="HR1300" s="73"/>
      <c r="HS1300" s="73"/>
      <c r="HT1300" s="73"/>
      <c r="HU1300" s="73"/>
      <c r="HV1300" s="73"/>
      <c r="HW1300" s="73"/>
      <c r="HX1300" s="73"/>
      <c r="HY1300" s="73"/>
      <c r="HZ1300" s="73"/>
      <c r="IA1300" s="73"/>
      <c r="IB1300" s="73"/>
      <c r="IC1300" s="73"/>
      <c r="ID1300" s="73"/>
      <c r="IE1300" s="73"/>
      <c r="IF1300" s="73"/>
      <c r="IG1300" s="73"/>
      <c r="IH1300" s="73"/>
      <c r="II1300" s="73"/>
      <c r="IJ1300" s="73"/>
      <c r="IK1300" s="73"/>
      <c r="IL1300" s="73"/>
      <c r="IM1300" s="73"/>
      <c r="IN1300" s="73"/>
      <c r="IO1300" s="73"/>
      <c r="IP1300" s="73"/>
      <c r="IQ1300" s="73"/>
      <c r="IR1300" s="73"/>
      <c r="IS1300" s="73"/>
      <c r="IT1300" s="73"/>
      <c r="IU1300" s="73"/>
      <c r="IV1300" s="73"/>
      <c r="IW1300" s="73"/>
      <c r="IX1300" s="73"/>
      <c r="IY1300" s="73"/>
      <c r="IZ1300" s="73"/>
      <c r="JA1300" s="73"/>
      <c r="JB1300" s="73"/>
      <c r="JC1300" s="73"/>
    </row>
    <row r="1301" spans="2:263" s="72" customFormat="1">
      <c r="B1301" s="73"/>
      <c r="C1301" s="73"/>
      <c r="D1301" s="73"/>
      <c r="E1301" s="73"/>
      <c r="F1301" s="73"/>
      <c r="G1301" s="73"/>
      <c r="H1301" s="73"/>
      <c r="I1301" s="73"/>
      <c r="J1301" s="73"/>
      <c r="K1301" s="73"/>
      <c r="L1301" s="73"/>
      <c r="M1301" s="73"/>
      <c r="N1301" s="73"/>
      <c r="O1301" s="73"/>
      <c r="P1301" s="73"/>
      <c r="Q1301" s="73"/>
      <c r="R1301" s="73"/>
      <c r="S1301" s="73"/>
      <c r="T1301" s="73"/>
      <c r="U1301" s="73"/>
      <c r="V1301" s="73"/>
      <c r="W1301" s="73"/>
      <c r="GL1301" s="73"/>
      <c r="GM1301" s="73"/>
      <c r="GN1301" s="73"/>
      <c r="GO1301" s="73"/>
      <c r="GP1301" s="73"/>
      <c r="GQ1301" s="73"/>
      <c r="GR1301" s="73"/>
      <c r="GS1301" s="73"/>
      <c r="GT1301" s="73"/>
      <c r="GU1301" s="73"/>
      <c r="GV1301" s="73"/>
      <c r="GW1301" s="73"/>
      <c r="GX1301" s="73"/>
      <c r="GY1301" s="73"/>
      <c r="GZ1301" s="73"/>
      <c r="HA1301" s="73"/>
      <c r="HB1301" s="73"/>
      <c r="HC1301" s="73"/>
      <c r="HD1301" s="73"/>
      <c r="HE1301" s="73"/>
      <c r="HF1301" s="73"/>
      <c r="HG1301" s="73"/>
      <c r="HH1301" s="73"/>
      <c r="HI1301" s="73"/>
      <c r="HJ1301" s="73"/>
      <c r="HK1301" s="73"/>
      <c r="HL1301" s="73"/>
      <c r="HM1301" s="73"/>
      <c r="HN1301" s="73"/>
      <c r="HO1301" s="73"/>
      <c r="HP1301" s="73"/>
      <c r="HQ1301" s="73"/>
      <c r="HR1301" s="73"/>
      <c r="HS1301" s="73"/>
      <c r="HT1301" s="73"/>
      <c r="HU1301" s="73"/>
      <c r="HV1301" s="73"/>
      <c r="HW1301" s="73"/>
      <c r="HX1301" s="73"/>
      <c r="HY1301" s="73"/>
      <c r="HZ1301" s="73"/>
      <c r="IA1301" s="73"/>
      <c r="IB1301" s="73"/>
      <c r="IC1301" s="73"/>
      <c r="ID1301" s="73"/>
      <c r="IE1301" s="73"/>
      <c r="IF1301" s="73"/>
      <c r="IG1301" s="73"/>
      <c r="IH1301" s="73"/>
      <c r="II1301" s="73"/>
      <c r="IJ1301" s="73"/>
      <c r="IK1301" s="73"/>
      <c r="IL1301" s="73"/>
      <c r="IM1301" s="73"/>
      <c r="IN1301" s="73"/>
      <c r="IO1301" s="73"/>
      <c r="IP1301" s="73"/>
      <c r="IQ1301" s="73"/>
      <c r="IR1301" s="73"/>
      <c r="IS1301" s="73"/>
      <c r="IT1301" s="73"/>
      <c r="IU1301" s="73"/>
      <c r="IV1301" s="73"/>
      <c r="IW1301" s="73"/>
      <c r="IX1301" s="73"/>
      <c r="IY1301" s="73"/>
      <c r="IZ1301" s="73"/>
      <c r="JA1301" s="73"/>
      <c r="JB1301" s="73"/>
      <c r="JC1301" s="73"/>
    </row>
    <row r="1302" spans="2:263" s="72" customFormat="1">
      <c r="B1302" s="73"/>
      <c r="C1302" s="73"/>
      <c r="D1302" s="73"/>
      <c r="E1302" s="73"/>
      <c r="F1302" s="73"/>
      <c r="G1302" s="73"/>
      <c r="H1302" s="73"/>
      <c r="I1302" s="73"/>
      <c r="J1302" s="73"/>
      <c r="K1302" s="73"/>
      <c r="L1302" s="73"/>
      <c r="M1302" s="73"/>
      <c r="N1302" s="73"/>
      <c r="O1302" s="73"/>
      <c r="P1302" s="73"/>
      <c r="Q1302" s="73"/>
      <c r="R1302" s="73"/>
      <c r="S1302" s="73"/>
      <c r="T1302" s="73"/>
      <c r="U1302" s="73"/>
      <c r="V1302" s="73"/>
      <c r="W1302" s="73"/>
      <c r="GL1302" s="73"/>
      <c r="GM1302" s="73"/>
      <c r="GN1302" s="73"/>
      <c r="GO1302" s="73"/>
      <c r="GP1302" s="73"/>
      <c r="GQ1302" s="73"/>
      <c r="GR1302" s="73"/>
      <c r="GS1302" s="73"/>
      <c r="GT1302" s="73"/>
      <c r="GU1302" s="73"/>
      <c r="GV1302" s="73"/>
      <c r="GW1302" s="73"/>
      <c r="GX1302" s="73"/>
      <c r="GY1302" s="73"/>
      <c r="GZ1302" s="73"/>
      <c r="HA1302" s="73"/>
      <c r="HB1302" s="73"/>
      <c r="HC1302" s="73"/>
      <c r="HD1302" s="73"/>
      <c r="HE1302" s="73"/>
      <c r="HF1302" s="73"/>
      <c r="HG1302" s="73"/>
      <c r="HH1302" s="73"/>
      <c r="HI1302" s="73"/>
      <c r="HJ1302" s="73"/>
      <c r="HK1302" s="73"/>
      <c r="HL1302" s="73"/>
      <c r="HM1302" s="73"/>
      <c r="HN1302" s="73"/>
      <c r="HO1302" s="73"/>
      <c r="HP1302" s="73"/>
      <c r="HQ1302" s="73"/>
      <c r="HR1302" s="73"/>
      <c r="HS1302" s="73"/>
      <c r="HT1302" s="73"/>
      <c r="HU1302" s="73"/>
      <c r="HV1302" s="73"/>
      <c r="HW1302" s="73"/>
      <c r="HX1302" s="73"/>
      <c r="HY1302" s="73"/>
      <c r="HZ1302" s="73"/>
      <c r="IA1302" s="73"/>
      <c r="IB1302" s="73"/>
      <c r="IC1302" s="73"/>
      <c r="ID1302" s="73"/>
      <c r="IE1302" s="73"/>
      <c r="IF1302" s="73"/>
      <c r="IG1302" s="73"/>
      <c r="IH1302" s="73"/>
      <c r="II1302" s="73"/>
      <c r="IJ1302" s="73"/>
      <c r="IK1302" s="73"/>
      <c r="IL1302" s="73"/>
      <c r="IM1302" s="73"/>
      <c r="IN1302" s="73"/>
      <c r="IO1302" s="73"/>
      <c r="IP1302" s="73"/>
      <c r="IQ1302" s="73"/>
      <c r="IR1302" s="73"/>
      <c r="IS1302" s="73"/>
      <c r="IT1302" s="73"/>
      <c r="IU1302" s="73"/>
      <c r="IV1302" s="73"/>
      <c r="IW1302" s="73"/>
      <c r="IX1302" s="73"/>
      <c r="IY1302" s="73"/>
      <c r="IZ1302" s="73"/>
      <c r="JA1302" s="73"/>
      <c r="JB1302" s="73"/>
      <c r="JC1302" s="73"/>
    </row>
    <row r="1303" spans="2:263" s="72" customFormat="1">
      <c r="B1303" s="73"/>
      <c r="C1303" s="73"/>
      <c r="D1303" s="73"/>
      <c r="E1303" s="73"/>
      <c r="F1303" s="73"/>
      <c r="G1303" s="73"/>
      <c r="H1303" s="73"/>
      <c r="I1303" s="73"/>
      <c r="J1303" s="73"/>
      <c r="K1303" s="73"/>
      <c r="L1303" s="73"/>
      <c r="M1303" s="73"/>
      <c r="N1303" s="73"/>
      <c r="O1303" s="73"/>
      <c r="P1303" s="73"/>
      <c r="Q1303" s="73"/>
      <c r="R1303" s="73"/>
      <c r="S1303" s="73"/>
      <c r="T1303" s="73"/>
      <c r="U1303" s="73"/>
      <c r="V1303" s="73"/>
      <c r="W1303" s="73"/>
      <c r="GL1303" s="73"/>
      <c r="GM1303" s="73"/>
      <c r="GN1303" s="73"/>
      <c r="GO1303" s="73"/>
      <c r="GP1303" s="73"/>
      <c r="GQ1303" s="73"/>
      <c r="GR1303" s="73"/>
      <c r="GS1303" s="73"/>
      <c r="GT1303" s="73"/>
      <c r="GU1303" s="73"/>
      <c r="GV1303" s="73"/>
      <c r="GW1303" s="73"/>
      <c r="GX1303" s="73"/>
      <c r="GY1303" s="73"/>
      <c r="GZ1303" s="73"/>
      <c r="HA1303" s="73"/>
      <c r="HB1303" s="73"/>
      <c r="HC1303" s="73"/>
      <c r="HD1303" s="73"/>
      <c r="HE1303" s="73"/>
      <c r="HF1303" s="73"/>
      <c r="HG1303" s="73"/>
      <c r="HH1303" s="73"/>
      <c r="HI1303" s="73"/>
      <c r="HJ1303" s="73"/>
      <c r="HK1303" s="73"/>
      <c r="HL1303" s="73"/>
      <c r="HM1303" s="73"/>
      <c r="HN1303" s="73"/>
      <c r="HO1303" s="73"/>
      <c r="HP1303" s="73"/>
      <c r="HQ1303" s="73"/>
      <c r="HR1303" s="73"/>
      <c r="HS1303" s="73"/>
      <c r="HT1303" s="73"/>
      <c r="HU1303" s="73"/>
      <c r="HV1303" s="73"/>
      <c r="HW1303" s="73"/>
      <c r="HX1303" s="73"/>
      <c r="HY1303" s="73"/>
      <c r="HZ1303" s="73"/>
      <c r="IA1303" s="73"/>
      <c r="IB1303" s="73"/>
      <c r="IC1303" s="73"/>
      <c r="ID1303" s="73"/>
      <c r="IE1303" s="73"/>
      <c r="IF1303" s="73"/>
      <c r="IG1303" s="73"/>
      <c r="IH1303" s="73"/>
      <c r="II1303" s="73"/>
      <c r="IJ1303" s="73"/>
      <c r="IK1303" s="73"/>
      <c r="IL1303" s="73"/>
      <c r="IM1303" s="73"/>
      <c r="IN1303" s="73"/>
      <c r="IO1303" s="73"/>
      <c r="IP1303" s="73"/>
      <c r="IQ1303" s="73"/>
      <c r="IR1303" s="73"/>
      <c r="IS1303" s="73"/>
      <c r="IT1303" s="73"/>
      <c r="IU1303" s="73"/>
      <c r="IV1303" s="73"/>
      <c r="IW1303" s="73"/>
      <c r="IX1303" s="73"/>
      <c r="IY1303" s="73"/>
      <c r="IZ1303" s="73"/>
      <c r="JA1303" s="73"/>
      <c r="JB1303" s="73"/>
      <c r="JC1303" s="73"/>
    </row>
    <row r="1304" spans="2:263" s="72" customFormat="1">
      <c r="B1304" s="73"/>
      <c r="C1304" s="73"/>
      <c r="D1304" s="73"/>
      <c r="E1304" s="73"/>
      <c r="F1304" s="73"/>
      <c r="G1304" s="73"/>
      <c r="H1304" s="73"/>
      <c r="I1304" s="73"/>
      <c r="J1304" s="73"/>
      <c r="K1304" s="73"/>
      <c r="L1304" s="73"/>
      <c r="M1304" s="73"/>
      <c r="N1304" s="73"/>
      <c r="O1304" s="73"/>
      <c r="P1304" s="73"/>
      <c r="Q1304" s="73"/>
      <c r="R1304" s="73"/>
      <c r="S1304" s="73"/>
      <c r="T1304" s="73"/>
      <c r="U1304" s="73"/>
      <c r="V1304" s="73"/>
      <c r="W1304" s="73"/>
      <c r="GL1304" s="73"/>
      <c r="GM1304" s="73"/>
      <c r="GN1304" s="73"/>
      <c r="GO1304" s="73"/>
      <c r="GP1304" s="73"/>
      <c r="GQ1304" s="73"/>
      <c r="GR1304" s="73"/>
      <c r="GS1304" s="73"/>
      <c r="GT1304" s="73"/>
      <c r="GU1304" s="73"/>
      <c r="GV1304" s="73"/>
      <c r="GW1304" s="73"/>
      <c r="GX1304" s="73"/>
      <c r="GY1304" s="73"/>
      <c r="GZ1304" s="73"/>
      <c r="HA1304" s="73"/>
      <c r="HB1304" s="73"/>
      <c r="HC1304" s="73"/>
      <c r="HD1304" s="73"/>
      <c r="HE1304" s="73"/>
      <c r="HF1304" s="73"/>
      <c r="HG1304" s="73"/>
      <c r="HH1304" s="73"/>
      <c r="HI1304" s="73"/>
      <c r="HJ1304" s="73"/>
      <c r="HK1304" s="73"/>
      <c r="HL1304" s="73"/>
      <c r="HM1304" s="73"/>
      <c r="HN1304" s="73"/>
      <c r="HO1304" s="73"/>
      <c r="HP1304" s="73"/>
      <c r="HQ1304" s="73"/>
      <c r="HR1304" s="73"/>
      <c r="HS1304" s="73"/>
      <c r="HT1304" s="73"/>
      <c r="HU1304" s="73"/>
      <c r="HV1304" s="73"/>
      <c r="HW1304" s="73"/>
      <c r="HX1304" s="73"/>
      <c r="HY1304" s="73"/>
      <c r="HZ1304" s="73"/>
      <c r="IA1304" s="73"/>
      <c r="IB1304" s="73"/>
      <c r="IC1304" s="73"/>
      <c r="ID1304" s="73"/>
      <c r="IE1304" s="73"/>
      <c r="IF1304" s="73"/>
      <c r="IG1304" s="73"/>
      <c r="IH1304" s="73"/>
      <c r="II1304" s="73"/>
      <c r="IJ1304" s="73"/>
      <c r="IK1304" s="73"/>
      <c r="IL1304" s="73"/>
      <c r="IM1304" s="73"/>
      <c r="IN1304" s="73"/>
      <c r="IO1304" s="73"/>
      <c r="IP1304" s="73"/>
      <c r="IQ1304" s="73"/>
      <c r="IR1304" s="73"/>
      <c r="IS1304" s="73"/>
      <c r="IT1304" s="73"/>
      <c r="IU1304" s="73"/>
      <c r="IV1304" s="73"/>
      <c r="IW1304" s="73"/>
      <c r="IX1304" s="73"/>
      <c r="IY1304" s="73"/>
      <c r="IZ1304" s="73"/>
      <c r="JA1304" s="73"/>
      <c r="JB1304" s="73"/>
      <c r="JC1304" s="73"/>
    </row>
    <row r="1305" spans="2:263" s="72" customFormat="1">
      <c r="B1305" s="73"/>
      <c r="C1305" s="73"/>
      <c r="D1305" s="73"/>
      <c r="E1305" s="73"/>
      <c r="F1305" s="73"/>
      <c r="G1305" s="73"/>
      <c r="H1305" s="73"/>
      <c r="I1305" s="73"/>
      <c r="J1305" s="73"/>
      <c r="K1305" s="73"/>
      <c r="L1305" s="73"/>
      <c r="M1305" s="73"/>
      <c r="N1305" s="73"/>
      <c r="O1305" s="73"/>
      <c r="P1305" s="73"/>
      <c r="Q1305" s="73"/>
      <c r="R1305" s="73"/>
      <c r="S1305" s="73"/>
      <c r="T1305" s="73"/>
      <c r="U1305" s="73"/>
      <c r="V1305" s="73"/>
      <c r="W1305" s="73"/>
      <c r="GL1305" s="73"/>
      <c r="GM1305" s="73"/>
      <c r="GN1305" s="73"/>
      <c r="GO1305" s="73"/>
      <c r="GP1305" s="73"/>
      <c r="GQ1305" s="73"/>
      <c r="GR1305" s="73"/>
      <c r="GS1305" s="73"/>
      <c r="GT1305" s="73"/>
      <c r="GU1305" s="73"/>
      <c r="GV1305" s="73"/>
      <c r="GW1305" s="73"/>
      <c r="GX1305" s="73"/>
      <c r="GY1305" s="73"/>
      <c r="GZ1305" s="73"/>
      <c r="HA1305" s="73"/>
      <c r="HB1305" s="73"/>
      <c r="HC1305" s="73"/>
      <c r="HD1305" s="73"/>
      <c r="HE1305" s="73"/>
      <c r="HF1305" s="73"/>
      <c r="HG1305" s="73"/>
      <c r="HH1305" s="73"/>
      <c r="HI1305" s="73"/>
      <c r="HJ1305" s="73"/>
      <c r="HK1305" s="73"/>
      <c r="HL1305" s="73"/>
      <c r="HM1305" s="73"/>
      <c r="HN1305" s="73"/>
      <c r="HO1305" s="73"/>
      <c r="HP1305" s="73"/>
      <c r="HQ1305" s="73"/>
      <c r="HR1305" s="73"/>
      <c r="HS1305" s="73"/>
      <c r="HT1305" s="73"/>
      <c r="HU1305" s="73"/>
      <c r="HV1305" s="73"/>
      <c r="HW1305" s="73"/>
      <c r="HX1305" s="73"/>
      <c r="HY1305" s="73"/>
      <c r="HZ1305" s="73"/>
      <c r="IA1305" s="73"/>
      <c r="IB1305" s="73"/>
      <c r="IC1305" s="73"/>
      <c r="ID1305" s="73"/>
      <c r="IE1305" s="73"/>
      <c r="IF1305" s="73"/>
      <c r="IG1305" s="73"/>
      <c r="IH1305" s="73"/>
      <c r="II1305" s="73"/>
      <c r="IJ1305" s="73"/>
      <c r="IK1305" s="73"/>
      <c r="IL1305" s="73"/>
      <c r="IM1305" s="73"/>
      <c r="IN1305" s="73"/>
      <c r="IO1305" s="73"/>
      <c r="IP1305" s="73"/>
      <c r="IQ1305" s="73"/>
      <c r="IR1305" s="73"/>
      <c r="IS1305" s="73"/>
      <c r="IT1305" s="73"/>
      <c r="IU1305" s="73"/>
      <c r="IV1305" s="73"/>
      <c r="IW1305" s="73"/>
      <c r="IX1305" s="73"/>
      <c r="IY1305" s="73"/>
      <c r="IZ1305" s="73"/>
      <c r="JA1305" s="73"/>
      <c r="JB1305" s="73"/>
      <c r="JC1305" s="73"/>
    </row>
    <row r="1306" spans="2:263" s="72" customFormat="1">
      <c r="B1306" s="73"/>
      <c r="C1306" s="73"/>
      <c r="D1306" s="73"/>
      <c r="E1306" s="73"/>
      <c r="F1306" s="73"/>
      <c r="G1306" s="73"/>
      <c r="H1306" s="73"/>
      <c r="I1306" s="73"/>
      <c r="J1306" s="73"/>
      <c r="K1306" s="73"/>
      <c r="L1306" s="73"/>
      <c r="M1306" s="73"/>
      <c r="N1306" s="73"/>
      <c r="O1306" s="73"/>
      <c r="P1306" s="73"/>
      <c r="Q1306" s="73"/>
      <c r="R1306" s="73"/>
      <c r="S1306" s="73"/>
      <c r="T1306" s="73"/>
      <c r="U1306" s="73"/>
      <c r="V1306" s="73"/>
      <c r="W1306" s="73"/>
      <c r="GL1306" s="73"/>
      <c r="GM1306" s="73"/>
      <c r="GN1306" s="73"/>
      <c r="GO1306" s="73"/>
      <c r="GP1306" s="73"/>
      <c r="GQ1306" s="73"/>
      <c r="GR1306" s="73"/>
      <c r="GS1306" s="73"/>
      <c r="GT1306" s="73"/>
      <c r="GU1306" s="73"/>
      <c r="GV1306" s="73"/>
      <c r="GW1306" s="73"/>
      <c r="GX1306" s="73"/>
      <c r="GY1306" s="73"/>
      <c r="GZ1306" s="73"/>
      <c r="HA1306" s="73"/>
      <c r="HB1306" s="73"/>
      <c r="HC1306" s="73"/>
      <c r="HD1306" s="73"/>
      <c r="HE1306" s="73"/>
      <c r="HF1306" s="73"/>
      <c r="HG1306" s="73"/>
      <c r="HH1306" s="73"/>
      <c r="HI1306" s="73"/>
      <c r="HJ1306" s="73"/>
      <c r="HK1306" s="73"/>
      <c r="HL1306" s="73"/>
      <c r="HM1306" s="73"/>
      <c r="HN1306" s="73"/>
      <c r="HO1306" s="73"/>
      <c r="HP1306" s="73"/>
      <c r="HQ1306" s="73"/>
      <c r="HR1306" s="73"/>
      <c r="HS1306" s="73"/>
      <c r="HT1306" s="73"/>
      <c r="HU1306" s="73"/>
      <c r="HV1306" s="73"/>
      <c r="HW1306" s="73"/>
      <c r="HX1306" s="73"/>
      <c r="HY1306" s="73"/>
      <c r="HZ1306" s="73"/>
      <c r="IA1306" s="73"/>
      <c r="IB1306" s="73"/>
      <c r="IC1306" s="73"/>
      <c r="ID1306" s="73"/>
      <c r="IE1306" s="73"/>
      <c r="IF1306" s="73"/>
      <c r="IG1306" s="73"/>
      <c r="IH1306" s="73"/>
      <c r="II1306" s="73"/>
      <c r="IJ1306" s="73"/>
      <c r="IK1306" s="73"/>
      <c r="IL1306" s="73"/>
      <c r="IM1306" s="73"/>
      <c r="IN1306" s="73"/>
      <c r="IO1306" s="73"/>
      <c r="IP1306" s="73"/>
      <c r="IQ1306" s="73"/>
      <c r="IR1306" s="73"/>
      <c r="IS1306" s="73"/>
      <c r="IT1306" s="73"/>
      <c r="IU1306" s="73"/>
      <c r="IV1306" s="73"/>
      <c r="IW1306" s="73"/>
      <c r="IX1306" s="73"/>
      <c r="IY1306" s="73"/>
      <c r="IZ1306" s="73"/>
      <c r="JA1306" s="73"/>
      <c r="JB1306" s="73"/>
      <c r="JC1306" s="73"/>
    </row>
    <row r="1307" spans="2:263" s="72" customFormat="1">
      <c r="B1307" s="73"/>
      <c r="C1307" s="73"/>
      <c r="D1307" s="73"/>
      <c r="E1307" s="73"/>
      <c r="F1307" s="73"/>
      <c r="G1307" s="73"/>
      <c r="H1307" s="73"/>
      <c r="I1307" s="73"/>
      <c r="J1307" s="73"/>
      <c r="K1307" s="73"/>
      <c r="L1307" s="73"/>
      <c r="M1307" s="73"/>
      <c r="N1307" s="73"/>
      <c r="O1307" s="73"/>
      <c r="P1307" s="73"/>
      <c r="Q1307" s="73"/>
      <c r="R1307" s="73"/>
      <c r="S1307" s="73"/>
      <c r="T1307" s="73"/>
      <c r="U1307" s="73"/>
      <c r="V1307" s="73"/>
      <c r="W1307" s="73"/>
      <c r="GL1307" s="73"/>
      <c r="GM1307" s="73"/>
      <c r="GN1307" s="73"/>
      <c r="GO1307" s="73"/>
      <c r="GP1307" s="73"/>
      <c r="GQ1307" s="73"/>
      <c r="GR1307" s="73"/>
      <c r="GS1307" s="73"/>
      <c r="GT1307" s="73"/>
      <c r="GU1307" s="73"/>
      <c r="GV1307" s="73"/>
      <c r="GW1307" s="73"/>
      <c r="GX1307" s="73"/>
      <c r="GY1307" s="73"/>
      <c r="GZ1307" s="73"/>
      <c r="HA1307" s="73"/>
      <c r="HB1307" s="73"/>
      <c r="HC1307" s="73"/>
      <c r="HD1307" s="73"/>
      <c r="HE1307" s="73"/>
      <c r="HF1307" s="73"/>
      <c r="HG1307" s="73"/>
      <c r="HH1307" s="73"/>
      <c r="HI1307" s="73"/>
      <c r="HJ1307" s="73"/>
      <c r="HK1307" s="73"/>
      <c r="HL1307" s="73"/>
      <c r="HM1307" s="73"/>
      <c r="HN1307" s="73"/>
      <c r="HO1307" s="73"/>
      <c r="HP1307" s="73"/>
      <c r="HQ1307" s="73"/>
      <c r="HR1307" s="73"/>
      <c r="HS1307" s="73"/>
      <c r="HT1307" s="73"/>
      <c r="HU1307" s="73"/>
      <c r="HV1307" s="73"/>
      <c r="HW1307" s="73"/>
      <c r="HX1307" s="73"/>
      <c r="HY1307" s="73"/>
      <c r="HZ1307" s="73"/>
      <c r="IA1307" s="73"/>
      <c r="IB1307" s="73"/>
      <c r="IC1307" s="73"/>
      <c r="ID1307" s="73"/>
      <c r="IE1307" s="73"/>
      <c r="IF1307" s="73"/>
      <c r="IG1307" s="73"/>
      <c r="IH1307" s="73"/>
      <c r="II1307" s="73"/>
      <c r="IJ1307" s="73"/>
      <c r="IK1307" s="73"/>
      <c r="IL1307" s="73"/>
      <c r="IM1307" s="73"/>
      <c r="IN1307" s="73"/>
      <c r="IO1307" s="73"/>
      <c r="IP1307" s="73"/>
      <c r="IQ1307" s="73"/>
      <c r="IR1307" s="73"/>
      <c r="IS1307" s="73"/>
      <c r="IT1307" s="73"/>
      <c r="IU1307" s="73"/>
      <c r="IV1307" s="73"/>
      <c r="IW1307" s="73"/>
      <c r="IX1307" s="73"/>
      <c r="IY1307" s="73"/>
      <c r="IZ1307" s="73"/>
      <c r="JA1307" s="73"/>
      <c r="JB1307" s="73"/>
      <c r="JC1307" s="73"/>
    </row>
    <row r="1308" spans="2:263" s="72" customFormat="1">
      <c r="B1308" s="73"/>
      <c r="C1308" s="73"/>
      <c r="D1308" s="73"/>
      <c r="E1308" s="73"/>
      <c r="F1308" s="73"/>
      <c r="G1308" s="73"/>
      <c r="H1308" s="73"/>
      <c r="I1308" s="73"/>
      <c r="J1308" s="73"/>
      <c r="K1308" s="73"/>
      <c r="L1308" s="73"/>
      <c r="M1308" s="73"/>
      <c r="N1308" s="73"/>
      <c r="O1308" s="73"/>
      <c r="P1308" s="73"/>
      <c r="Q1308" s="73"/>
      <c r="R1308" s="73"/>
      <c r="S1308" s="73"/>
      <c r="T1308" s="73"/>
      <c r="U1308" s="73"/>
      <c r="V1308" s="73"/>
      <c r="W1308" s="73"/>
      <c r="GL1308" s="73"/>
      <c r="GM1308" s="73"/>
      <c r="GN1308" s="73"/>
      <c r="GO1308" s="73"/>
      <c r="GP1308" s="73"/>
      <c r="GQ1308" s="73"/>
      <c r="GR1308" s="73"/>
      <c r="GS1308" s="73"/>
      <c r="GT1308" s="73"/>
      <c r="GU1308" s="73"/>
      <c r="GV1308" s="73"/>
      <c r="GW1308" s="73"/>
      <c r="GX1308" s="73"/>
      <c r="GY1308" s="73"/>
      <c r="GZ1308" s="73"/>
      <c r="HA1308" s="73"/>
      <c r="HB1308" s="73"/>
      <c r="HC1308" s="73"/>
      <c r="HD1308" s="73"/>
      <c r="HE1308" s="73"/>
      <c r="HF1308" s="73"/>
      <c r="HG1308" s="73"/>
      <c r="HH1308" s="73"/>
      <c r="HI1308" s="73"/>
      <c r="HJ1308" s="73"/>
      <c r="HK1308" s="73"/>
      <c r="HL1308" s="73"/>
      <c r="HM1308" s="73"/>
      <c r="HN1308" s="73"/>
      <c r="HO1308" s="73"/>
      <c r="HP1308" s="73"/>
      <c r="HQ1308" s="73"/>
      <c r="HR1308" s="73"/>
      <c r="HS1308" s="73"/>
      <c r="HT1308" s="73"/>
      <c r="HU1308" s="73"/>
      <c r="HV1308" s="73"/>
      <c r="HW1308" s="73"/>
      <c r="HX1308" s="73"/>
      <c r="HY1308" s="73"/>
      <c r="HZ1308" s="73"/>
      <c r="IA1308" s="73"/>
      <c r="IB1308" s="73"/>
      <c r="IC1308" s="73"/>
      <c r="ID1308" s="73"/>
      <c r="IE1308" s="73"/>
      <c r="IF1308" s="73"/>
      <c r="IG1308" s="73"/>
      <c r="IH1308" s="73"/>
      <c r="II1308" s="73"/>
      <c r="IJ1308" s="73"/>
      <c r="IK1308" s="73"/>
      <c r="IL1308" s="73"/>
      <c r="IM1308" s="73"/>
      <c r="IN1308" s="73"/>
      <c r="IO1308" s="73"/>
      <c r="IP1308" s="73"/>
      <c r="IQ1308" s="73"/>
      <c r="IR1308" s="73"/>
      <c r="IS1308" s="73"/>
      <c r="IT1308" s="73"/>
      <c r="IU1308" s="73"/>
      <c r="IV1308" s="73"/>
      <c r="IW1308" s="73"/>
      <c r="IX1308" s="73"/>
      <c r="IY1308" s="73"/>
      <c r="IZ1308" s="73"/>
      <c r="JA1308" s="73"/>
      <c r="JB1308" s="73"/>
      <c r="JC1308" s="73"/>
    </row>
    <row r="1309" spans="2:263" s="72" customFormat="1">
      <c r="B1309" s="73"/>
      <c r="C1309" s="73"/>
      <c r="D1309" s="73"/>
      <c r="E1309" s="73"/>
      <c r="F1309" s="73"/>
      <c r="G1309" s="73"/>
      <c r="H1309" s="73"/>
      <c r="I1309" s="73"/>
      <c r="J1309" s="73"/>
      <c r="K1309" s="73"/>
      <c r="L1309" s="73"/>
      <c r="M1309" s="73"/>
      <c r="N1309" s="73"/>
      <c r="O1309" s="73"/>
      <c r="P1309" s="73"/>
      <c r="Q1309" s="73"/>
      <c r="R1309" s="73"/>
      <c r="S1309" s="73"/>
      <c r="T1309" s="73"/>
      <c r="U1309" s="73"/>
      <c r="V1309" s="73"/>
      <c r="W1309" s="73"/>
      <c r="GL1309" s="73"/>
      <c r="GM1309" s="73"/>
      <c r="GN1309" s="73"/>
      <c r="GO1309" s="73"/>
      <c r="GP1309" s="73"/>
      <c r="GQ1309" s="73"/>
      <c r="GR1309" s="73"/>
      <c r="GS1309" s="73"/>
      <c r="GT1309" s="73"/>
      <c r="GU1309" s="73"/>
      <c r="GV1309" s="73"/>
      <c r="GW1309" s="73"/>
      <c r="GX1309" s="73"/>
      <c r="GY1309" s="73"/>
      <c r="GZ1309" s="73"/>
      <c r="HA1309" s="73"/>
      <c r="HB1309" s="73"/>
      <c r="HC1309" s="73"/>
      <c r="HD1309" s="73"/>
      <c r="HE1309" s="73"/>
      <c r="HF1309" s="73"/>
      <c r="HG1309" s="73"/>
      <c r="HH1309" s="73"/>
      <c r="HI1309" s="73"/>
      <c r="HJ1309" s="73"/>
      <c r="HK1309" s="73"/>
      <c r="HL1309" s="73"/>
      <c r="HM1309" s="73"/>
      <c r="HN1309" s="73"/>
      <c r="HO1309" s="73"/>
      <c r="HP1309" s="73"/>
      <c r="HQ1309" s="73"/>
      <c r="HR1309" s="73"/>
      <c r="HS1309" s="73"/>
      <c r="HT1309" s="73"/>
      <c r="HU1309" s="73"/>
      <c r="HV1309" s="73"/>
      <c r="HW1309" s="73"/>
      <c r="HX1309" s="73"/>
      <c r="HY1309" s="73"/>
      <c r="HZ1309" s="73"/>
      <c r="IA1309" s="73"/>
      <c r="IB1309" s="73"/>
      <c r="IC1309" s="73"/>
      <c r="ID1309" s="73"/>
      <c r="IE1309" s="73"/>
      <c r="IF1309" s="73"/>
      <c r="IG1309" s="73"/>
      <c r="IH1309" s="73"/>
      <c r="II1309" s="73"/>
      <c r="IJ1309" s="73"/>
      <c r="IK1309" s="73"/>
      <c r="IL1309" s="73"/>
      <c r="IM1309" s="73"/>
      <c r="IN1309" s="73"/>
      <c r="IO1309" s="73"/>
      <c r="IP1309" s="73"/>
      <c r="IQ1309" s="73"/>
      <c r="IR1309" s="73"/>
      <c r="IS1309" s="73"/>
      <c r="IT1309" s="73"/>
      <c r="IU1309" s="73"/>
      <c r="IV1309" s="73"/>
      <c r="IW1309" s="73"/>
      <c r="IX1309" s="73"/>
      <c r="IY1309" s="73"/>
      <c r="IZ1309" s="73"/>
      <c r="JA1309" s="73"/>
      <c r="JB1309" s="73"/>
      <c r="JC1309" s="73"/>
    </row>
    <row r="1310" spans="2:263" s="72" customFormat="1">
      <c r="B1310" s="73"/>
      <c r="C1310" s="73"/>
      <c r="D1310" s="73"/>
      <c r="E1310" s="73"/>
      <c r="F1310" s="73"/>
      <c r="G1310" s="73"/>
      <c r="H1310" s="73"/>
      <c r="I1310" s="73"/>
      <c r="J1310" s="73"/>
      <c r="K1310" s="73"/>
      <c r="L1310" s="73"/>
      <c r="M1310" s="73"/>
      <c r="N1310" s="73"/>
      <c r="O1310" s="73"/>
      <c r="P1310" s="73"/>
      <c r="Q1310" s="73"/>
      <c r="R1310" s="73"/>
      <c r="S1310" s="73"/>
      <c r="T1310" s="73"/>
      <c r="U1310" s="73"/>
      <c r="V1310" s="73"/>
      <c r="W1310" s="73"/>
      <c r="GL1310" s="73"/>
      <c r="GM1310" s="73"/>
      <c r="GN1310" s="73"/>
      <c r="GO1310" s="73"/>
      <c r="GP1310" s="73"/>
      <c r="GQ1310" s="73"/>
      <c r="GR1310" s="73"/>
      <c r="GS1310" s="73"/>
      <c r="GT1310" s="73"/>
      <c r="GU1310" s="73"/>
      <c r="GV1310" s="73"/>
      <c r="GW1310" s="73"/>
      <c r="GX1310" s="73"/>
      <c r="GY1310" s="73"/>
      <c r="GZ1310" s="73"/>
      <c r="HA1310" s="73"/>
      <c r="HB1310" s="73"/>
      <c r="HC1310" s="73"/>
      <c r="HD1310" s="73"/>
      <c r="HE1310" s="73"/>
      <c r="HF1310" s="73"/>
      <c r="HG1310" s="73"/>
      <c r="HH1310" s="73"/>
      <c r="HI1310" s="73"/>
      <c r="HJ1310" s="73"/>
      <c r="HK1310" s="73"/>
      <c r="HL1310" s="73"/>
      <c r="HM1310" s="73"/>
      <c r="HN1310" s="73"/>
      <c r="HO1310" s="73"/>
      <c r="HP1310" s="73"/>
      <c r="HQ1310" s="73"/>
      <c r="HR1310" s="73"/>
      <c r="HS1310" s="73"/>
      <c r="HT1310" s="73"/>
      <c r="HU1310" s="73"/>
      <c r="HV1310" s="73"/>
      <c r="HW1310" s="73"/>
      <c r="HX1310" s="73"/>
      <c r="HY1310" s="73"/>
      <c r="HZ1310" s="73"/>
      <c r="IA1310" s="73"/>
      <c r="IB1310" s="73"/>
      <c r="IC1310" s="73"/>
      <c r="ID1310" s="73"/>
      <c r="IE1310" s="73"/>
      <c r="IF1310" s="73"/>
      <c r="IG1310" s="73"/>
      <c r="IH1310" s="73"/>
      <c r="II1310" s="73"/>
      <c r="IJ1310" s="73"/>
      <c r="IK1310" s="73"/>
      <c r="IL1310" s="73"/>
      <c r="IM1310" s="73"/>
      <c r="IN1310" s="73"/>
      <c r="IO1310" s="73"/>
      <c r="IP1310" s="73"/>
      <c r="IQ1310" s="73"/>
      <c r="IR1310" s="73"/>
      <c r="IS1310" s="73"/>
      <c r="IT1310" s="73"/>
      <c r="IU1310" s="73"/>
      <c r="IV1310" s="73"/>
      <c r="IW1310" s="73"/>
      <c r="IX1310" s="73"/>
      <c r="IY1310" s="73"/>
      <c r="IZ1310" s="73"/>
      <c r="JA1310" s="73"/>
      <c r="JB1310" s="73"/>
      <c r="JC1310" s="73"/>
    </row>
    <row r="1311" spans="2:263" s="72" customFormat="1">
      <c r="B1311" s="73"/>
      <c r="C1311" s="73"/>
      <c r="D1311" s="73"/>
      <c r="E1311" s="73"/>
      <c r="F1311" s="73"/>
      <c r="G1311" s="73"/>
      <c r="H1311" s="73"/>
      <c r="I1311" s="73"/>
      <c r="J1311" s="73"/>
      <c r="K1311" s="73"/>
      <c r="L1311" s="73"/>
      <c r="M1311" s="73"/>
      <c r="N1311" s="73"/>
      <c r="O1311" s="73"/>
      <c r="P1311" s="73"/>
      <c r="Q1311" s="73"/>
      <c r="R1311" s="73"/>
      <c r="S1311" s="73"/>
      <c r="T1311" s="73"/>
      <c r="U1311" s="73"/>
      <c r="V1311" s="73"/>
      <c r="W1311" s="73"/>
      <c r="GL1311" s="73"/>
      <c r="GM1311" s="73"/>
      <c r="GN1311" s="73"/>
      <c r="GO1311" s="73"/>
      <c r="GP1311" s="73"/>
      <c r="GQ1311" s="73"/>
      <c r="GR1311" s="73"/>
      <c r="GS1311" s="73"/>
      <c r="GT1311" s="73"/>
      <c r="GU1311" s="73"/>
      <c r="GV1311" s="73"/>
      <c r="GW1311" s="73"/>
      <c r="GX1311" s="73"/>
      <c r="GY1311" s="73"/>
      <c r="GZ1311" s="73"/>
      <c r="HA1311" s="73"/>
      <c r="HB1311" s="73"/>
      <c r="HC1311" s="73"/>
      <c r="HD1311" s="73"/>
      <c r="HE1311" s="73"/>
      <c r="HF1311" s="73"/>
      <c r="HG1311" s="73"/>
      <c r="HH1311" s="73"/>
      <c r="HI1311" s="73"/>
      <c r="HJ1311" s="73"/>
      <c r="HK1311" s="73"/>
      <c r="HL1311" s="73"/>
      <c r="HM1311" s="73"/>
      <c r="HN1311" s="73"/>
      <c r="HO1311" s="73"/>
      <c r="HP1311" s="73"/>
      <c r="HQ1311" s="73"/>
      <c r="HR1311" s="73"/>
      <c r="HS1311" s="73"/>
      <c r="HT1311" s="73"/>
      <c r="HU1311" s="73"/>
      <c r="HV1311" s="73"/>
      <c r="HW1311" s="73"/>
      <c r="HX1311" s="73"/>
      <c r="HY1311" s="73"/>
      <c r="HZ1311" s="73"/>
      <c r="IA1311" s="73"/>
      <c r="IB1311" s="73"/>
      <c r="IC1311" s="73"/>
      <c r="ID1311" s="73"/>
      <c r="IE1311" s="73"/>
      <c r="IF1311" s="73"/>
      <c r="IG1311" s="73"/>
      <c r="IH1311" s="73"/>
      <c r="II1311" s="73"/>
      <c r="IJ1311" s="73"/>
      <c r="IK1311" s="73"/>
      <c r="IL1311" s="73"/>
      <c r="IM1311" s="73"/>
      <c r="IN1311" s="73"/>
      <c r="IO1311" s="73"/>
      <c r="IP1311" s="73"/>
      <c r="IQ1311" s="73"/>
      <c r="IR1311" s="73"/>
      <c r="IS1311" s="73"/>
      <c r="IT1311" s="73"/>
      <c r="IU1311" s="73"/>
      <c r="IV1311" s="73"/>
      <c r="IW1311" s="73"/>
      <c r="IX1311" s="73"/>
      <c r="IY1311" s="73"/>
      <c r="IZ1311" s="73"/>
      <c r="JA1311" s="73"/>
      <c r="JB1311" s="73"/>
      <c r="JC1311" s="73"/>
    </row>
    <row r="1312" spans="2:263" s="72" customFormat="1">
      <c r="B1312" s="73"/>
      <c r="C1312" s="73"/>
      <c r="D1312" s="73"/>
      <c r="E1312" s="73"/>
      <c r="F1312" s="73"/>
      <c r="G1312" s="73"/>
      <c r="H1312" s="73"/>
      <c r="I1312" s="73"/>
      <c r="J1312" s="73"/>
      <c r="K1312" s="73"/>
      <c r="L1312" s="73"/>
      <c r="M1312" s="73"/>
      <c r="N1312" s="73"/>
      <c r="O1312" s="73"/>
      <c r="P1312" s="73"/>
      <c r="Q1312" s="73"/>
      <c r="R1312" s="73"/>
      <c r="S1312" s="73"/>
      <c r="T1312" s="73"/>
      <c r="U1312" s="73"/>
      <c r="V1312" s="73"/>
      <c r="W1312" s="73"/>
      <c r="GL1312" s="73"/>
      <c r="GM1312" s="73"/>
      <c r="GN1312" s="73"/>
      <c r="GO1312" s="73"/>
      <c r="GP1312" s="73"/>
      <c r="GQ1312" s="73"/>
      <c r="GR1312" s="73"/>
      <c r="GS1312" s="73"/>
      <c r="GT1312" s="73"/>
      <c r="GU1312" s="73"/>
      <c r="GV1312" s="73"/>
      <c r="GW1312" s="73"/>
      <c r="GX1312" s="73"/>
      <c r="GY1312" s="73"/>
      <c r="GZ1312" s="73"/>
      <c r="HA1312" s="73"/>
      <c r="HB1312" s="73"/>
      <c r="HC1312" s="73"/>
      <c r="HD1312" s="73"/>
      <c r="HE1312" s="73"/>
      <c r="HF1312" s="73"/>
      <c r="HG1312" s="73"/>
      <c r="HH1312" s="73"/>
      <c r="HI1312" s="73"/>
      <c r="HJ1312" s="73"/>
      <c r="HK1312" s="73"/>
      <c r="HL1312" s="73"/>
      <c r="HM1312" s="73"/>
      <c r="HN1312" s="73"/>
      <c r="HO1312" s="73"/>
      <c r="HP1312" s="73"/>
      <c r="HQ1312" s="73"/>
      <c r="HR1312" s="73"/>
      <c r="HS1312" s="73"/>
      <c r="HT1312" s="73"/>
      <c r="HU1312" s="73"/>
      <c r="HV1312" s="73"/>
      <c r="HW1312" s="73"/>
      <c r="HX1312" s="73"/>
      <c r="HY1312" s="73"/>
      <c r="HZ1312" s="73"/>
      <c r="IA1312" s="73"/>
      <c r="IB1312" s="73"/>
      <c r="IC1312" s="73"/>
      <c r="ID1312" s="73"/>
      <c r="IE1312" s="73"/>
      <c r="IF1312" s="73"/>
      <c r="IG1312" s="73"/>
      <c r="IH1312" s="73"/>
      <c r="II1312" s="73"/>
      <c r="IJ1312" s="73"/>
      <c r="IK1312" s="73"/>
      <c r="IL1312" s="73"/>
      <c r="IM1312" s="73"/>
      <c r="IN1312" s="73"/>
      <c r="IO1312" s="73"/>
      <c r="IP1312" s="73"/>
      <c r="IQ1312" s="73"/>
      <c r="IR1312" s="73"/>
      <c r="IS1312" s="73"/>
      <c r="IT1312" s="73"/>
      <c r="IU1312" s="73"/>
      <c r="IV1312" s="73"/>
      <c r="IW1312" s="73"/>
      <c r="IX1312" s="73"/>
      <c r="IY1312" s="73"/>
      <c r="IZ1312" s="73"/>
      <c r="JA1312" s="73"/>
      <c r="JB1312" s="73"/>
      <c r="JC1312" s="73"/>
    </row>
    <row r="1313" spans="2:263" s="72" customFormat="1">
      <c r="B1313" s="73"/>
      <c r="C1313" s="73"/>
      <c r="D1313" s="73"/>
      <c r="E1313" s="73"/>
      <c r="F1313" s="73"/>
      <c r="G1313" s="73"/>
      <c r="H1313" s="73"/>
      <c r="I1313" s="73"/>
      <c r="J1313" s="73"/>
      <c r="K1313" s="73"/>
      <c r="L1313" s="73"/>
      <c r="M1313" s="73"/>
      <c r="N1313" s="73"/>
      <c r="O1313" s="73"/>
      <c r="P1313" s="73"/>
      <c r="Q1313" s="73"/>
      <c r="R1313" s="73"/>
      <c r="S1313" s="73"/>
      <c r="T1313" s="73"/>
      <c r="U1313" s="73"/>
      <c r="V1313" s="73"/>
      <c r="W1313" s="73"/>
      <c r="GL1313" s="73"/>
      <c r="GM1313" s="73"/>
      <c r="GN1313" s="73"/>
      <c r="GO1313" s="73"/>
      <c r="GP1313" s="73"/>
      <c r="GQ1313" s="73"/>
      <c r="GR1313" s="73"/>
      <c r="GS1313" s="73"/>
      <c r="GT1313" s="73"/>
      <c r="GU1313" s="73"/>
      <c r="GV1313" s="73"/>
      <c r="GW1313" s="73"/>
      <c r="GX1313" s="73"/>
      <c r="GY1313" s="73"/>
      <c r="GZ1313" s="73"/>
      <c r="HA1313" s="73"/>
      <c r="HB1313" s="73"/>
      <c r="HC1313" s="73"/>
      <c r="HD1313" s="73"/>
      <c r="HE1313" s="73"/>
      <c r="HF1313" s="73"/>
      <c r="HG1313" s="73"/>
      <c r="HH1313" s="73"/>
      <c r="HI1313" s="73"/>
      <c r="HJ1313" s="73"/>
      <c r="HK1313" s="73"/>
      <c r="HL1313" s="73"/>
      <c r="HM1313" s="73"/>
      <c r="HN1313" s="73"/>
      <c r="HO1313" s="73"/>
      <c r="HP1313" s="73"/>
      <c r="HQ1313" s="73"/>
      <c r="HR1313" s="73"/>
      <c r="HS1313" s="73"/>
      <c r="HT1313" s="73"/>
      <c r="HU1313" s="73"/>
      <c r="HV1313" s="73"/>
      <c r="HW1313" s="73"/>
      <c r="HX1313" s="73"/>
      <c r="HY1313" s="73"/>
      <c r="HZ1313" s="73"/>
      <c r="IA1313" s="73"/>
      <c r="IB1313" s="73"/>
      <c r="IC1313" s="73"/>
      <c r="ID1313" s="73"/>
      <c r="IE1313" s="73"/>
      <c r="IF1313" s="73"/>
      <c r="IG1313" s="73"/>
      <c r="IH1313" s="73"/>
      <c r="II1313" s="73"/>
      <c r="IJ1313" s="73"/>
      <c r="IK1313" s="73"/>
      <c r="IL1313" s="73"/>
      <c r="IM1313" s="73"/>
      <c r="IN1313" s="73"/>
      <c r="IO1313" s="73"/>
      <c r="IP1313" s="73"/>
      <c r="IQ1313" s="73"/>
      <c r="IR1313" s="73"/>
      <c r="IS1313" s="73"/>
      <c r="IT1313" s="73"/>
      <c r="IU1313" s="73"/>
      <c r="IV1313" s="73"/>
      <c r="IW1313" s="73"/>
      <c r="IX1313" s="73"/>
      <c r="IY1313" s="73"/>
      <c r="IZ1313" s="73"/>
      <c r="JA1313" s="73"/>
      <c r="JB1313" s="73"/>
      <c r="JC1313" s="73"/>
    </row>
    <row r="1314" spans="2:263" s="72" customFormat="1">
      <c r="B1314" s="73"/>
      <c r="C1314" s="73"/>
      <c r="D1314" s="73"/>
      <c r="E1314" s="73"/>
      <c r="F1314" s="73"/>
      <c r="G1314" s="73"/>
      <c r="H1314" s="73"/>
      <c r="I1314" s="73"/>
      <c r="J1314" s="73"/>
      <c r="K1314" s="73"/>
      <c r="L1314" s="73"/>
      <c r="M1314" s="73"/>
      <c r="N1314" s="73"/>
      <c r="O1314" s="73"/>
      <c r="P1314" s="73"/>
      <c r="Q1314" s="73"/>
      <c r="R1314" s="73"/>
      <c r="S1314" s="73"/>
      <c r="T1314" s="73"/>
      <c r="U1314" s="73"/>
      <c r="V1314" s="73"/>
      <c r="W1314" s="73"/>
      <c r="GL1314" s="73"/>
      <c r="GM1314" s="73"/>
      <c r="GN1314" s="73"/>
      <c r="GO1314" s="73"/>
      <c r="GP1314" s="73"/>
      <c r="GQ1314" s="73"/>
      <c r="GR1314" s="73"/>
      <c r="GS1314" s="73"/>
      <c r="GT1314" s="73"/>
      <c r="GU1314" s="73"/>
      <c r="GV1314" s="73"/>
      <c r="GW1314" s="73"/>
      <c r="GX1314" s="73"/>
      <c r="GY1314" s="73"/>
      <c r="GZ1314" s="73"/>
      <c r="HA1314" s="73"/>
      <c r="HB1314" s="73"/>
      <c r="HC1314" s="73"/>
      <c r="HD1314" s="73"/>
      <c r="HE1314" s="73"/>
      <c r="HF1314" s="73"/>
      <c r="HG1314" s="73"/>
      <c r="HH1314" s="73"/>
      <c r="HI1314" s="73"/>
      <c r="HJ1314" s="73"/>
      <c r="HK1314" s="73"/>
      <c r="HL1314" s="73"/>
      <c r="HM1314" s="73"/>
      <c r="HN1314" s="73"/>
      <c r="HO1314" s="73"/>
      <c r="HP1314" s="73"/>
      <c r="HQ1314" s="73"/>
      <c r="HR1314" s="73"/>
      <c r="HS1314" s="73"/>
      <c r="HT1314" s="73"/>
      <c r="HU1314" s="73"/>
      <c r="HV1314" s="73"/>
      <c r="HW1314" s="73"/>
      <c r="HX1314" s="73"/>
      <c r="HY1314" s="73"/>
      <c r="HZ1314" s="73"/>
      <c r="IA1314" s="73"/>
      <c r="IB1314" s="73"/>
      <c r="IC1314" s="73"/>
      <c r="ID1314" s="73"/>
      <c r="IE1314" s="73"/>
      <c r="IF1314" s="73"/>
      <c r="IG1314" s="73"/>
      <c r="IH1314" s="73"/>
      <c r="II1314" s="73"/>
      <c r="IJ1314" s="73"/>
      <c r="IK1314" s="73"/>
      <c r="IL1314" s="73"/>
      <c r="IM1314" s="73"/>
      <c r="IN1314" s="73"/>
      <c r="IO1314" s="73"/>
      <c r="IP1314" s="73"/>
      <c r="IQ1314" s="73"/>
      <c r="IR1314" s="73"/>
      <c r="IS1314" s="73"/>
      <c r="IT1314" s="73"/>
      <c r="IU1314" s="73"/>
      <c r="IV1314" s="73"/>
      <c r="IW1314" s="73"/>
      <c r="IX1314" s="73"/>
      <c r="IY1314" s="73"/>
      <c r="IZ1314" s="73"/>
      <c r="JA1314" s="73"/>
      <c r="JB1314" s="73"/>
      <c r="JC1314" s="73"/>
    </row>
    <row r="1315" spans="2:263" s="72" customFormat="1">
      <c r="B1315" s="73"/>
      <c r="C1315" s="73"/>
      <c r="D1315" s="73"/>
      <c r="E1315" s="73"/>
      <c r="F1315" s="73"/>
      <c r="G1315" s="73"/>
      <c r="H1315" s="73"/>
      <c r="I1315" s="73"/>
      <c r="J1315" s="73"/>
      <c r="K1315" s="73"/>
      <c r="L1315" s="73"/>
      <c r="M1315" s="73"/>
      <c r="N1315" s="73"/>
      <c r="O1315" s="73"/>
      <c r="P1315" s="73"/>
      <c r="Q1315" s="73"/>
      <c r="R1315" s="73"/>
      <c r="S1315" s="73"/>
      <c r="T1315" s="73"/>
      <c r="U1315" s="73"/>
      <c r="V1315" s="73"/>
      <c r="W1315" s="73"/>
      <c r="GL1315" s="73"/>
      <c r="GM1315" s="73"/>
      <c r="GN1315" s="73"/>
      <c r="GO1315" s="73"/>
      <c r="GP1315" s="73"/>
      <c r="GQ1315" s="73"/>
      <c r="GR1315" s="73"/>
      <c r="GS1315" s="73"/>
      <c r="GT1315" s="73"/>
      <c r="GU1315" s="73"/>
      <c r="GV1315" s="73"/>
      <c r="GW1315" s="73"/>
      <c r="GX1315" s="73"/>
      <c r="GY1315" s="73"/>
      <c r="GZ1315" s="73"/>
      <c r="HA1315" s="73"/>
      <c r="HB1315" s="73"/>
      <c r="HC1315" s="73"/>
      <c r="HD1315" s="73"/>
      <c r="HE1315" s="73"/>
      <c r="HF1315" s="73"/>
      <c r="HG1315" s="73"/>
      <c r="HH1315" s="73"/>
      <c r="HI1315" s="73"/>
      <c r="HJ1315" s="73"/>
      <c r="HK1315" s="73"/>
      <c r="HL1315" s="73"/>
      <c r="HM1315" s="73"/>
      <c r="HN1315" s="73"/>
      <c r="HO1315" s="73"/>
      <c r="HP1315" s="73"/>
      <c r="HQ1315" s="73"/>
      <c r="HR1315" s="73"/>
      <c r="HS1315" s="73"/>
      <c r="HT1315" s="73"/>
      <c r="HU1315" s="73"/>
      <c r="HV1315" s="73"/>
      <c r="HW1315" s="73"/>
      <c r="HX1315" s="73"/>
      <c r="HY1315" s="73"/>
      <c r="HZ1315" s="73"/>
      <c r="IA1315" s="73"/>
      <c r="IB1315" s="73"/>
      <c r="IC1315" s="73"/>
      <c r="ID1315" s="73"/>
      <c r="IE1315" s="73"/>
      <c r="IF1315" s="73"/>
      <c r="IG1315" s="73"/>
      <c r="IH1315" s="73"/>
      <c r="II1315" s="73"/>
      <c r="IJ1315" s="73"/>
      <c r="IK1315" s="73"/>
      <c r="IL1315" s="73"/>
      <c r="IM1315" s="73"/>
      <c r="IN1315" s="73"/>
      <c r="IO1315" s="73"/>
      <c r="IP1315" s="73"/>
      <c r="IQ1315" s="73"/>
      <c r="IR1315" s="73"/>
      <c r="IS1315" s="73"/>
      <c r="IT1315" s="73"/>
      <c r="IU1315" s="73"/>
      <c r="IV1315" s="73"/>
      <c r="IW1315" s="73"/>
      <c r="IX1315" s="73"/>
      <c r="IY1315" s="73"/>
      <c r="IZ1315" s="73"/>
      <c r="JA1315" s="73"/>
      <c r="JB1315" s="73"/>
      <c r="JC1315" s="73"/>
    </row>
    <row r="1316" spans="2:263" s="72" customFormat="1">
      <c r="B1316" s="73"/>
      <c r="C1316" s="73"/>
      <c r="D1316" s="73"/>
      <c r="E1316" s="73"/>
      <c r="F1316" s="73"/>
      <c r="G1316" s="73"/>
      <c r="H1316" s="73"/>
      <c r="I1316" s="73"/>
      <c r="J1316" s="73"/>
      <c r="K1316" s="73"/>
      <c r="L1316" s="73"/>
      <c r="M1316" s="73"/>
      <c r="N1316" s="73"/>
      <c r="O1316" s="73"/>
      <c r="P1316" s="73"/>
      <c r="Q1316" s="73"/>
      <c r="R1316" s="73"/>
      <c r="S1316" s="73"/>
      <c r="T1316" s="73"/>
      <c r="U1316" s="73"/>
      <c r="V1316" s="73"/>
      <c r="W1316" s="73"/>
      <c r="GL1316" s="73"/>
      <c r="GM1316" s="73"/>
      <c r="GN1316" s="73"/>
      <c r="GO1316" s="73"/>
      <c r="GP1316" s="73"/>
      <c r="GQ1316" s="73"/>
      <c r="GR1316" s="73"/>
      <c r="GS1316" s="73"/>
      <c r="GT1316" s="73"/>
      <c r="GU1316" s="73"/>
      <c r="GV1316" s="73"/>
      <c r="GW1316" s="73"/>
      <c r="GX1316" s="73"/>
      <c r="GY1316" s="73"/>
      <c r="GZ1316" s="73"/>
      <c r="HA1316" s="73"/>
      <c r="HB1316" s="73"/>
      <c r="HC1316" s="73"/>
      <c r="HD1316" s="73"/>
      <c r="HE1316" s="73"/>
      <c r="HF1316" s="73"/>
      <c r="HG1316" s="73"/>
      <c r="HH1316" s="73"/>
      <c r="HI1316" s="73"/>
      <c r="HJ1316" s="73"/>
      <c r="HK1316" s="73"/>
      <c r="HL1316" s="73"/>
      <c r="HM1316" s="73"/>
      <c r="HN1316" s="73"/>
      <c r="HO1316" s="73"/>
      <c r="HP1316" s="73"/>
      <c r="HQ1316" s="73"/>
      <c r="HR1316" s="73"/>
      <c r="HS1316" s="73"/>
      <c r="HT1316" s="73"/>
      <c r="HU1316" s="73"/>
      <c r="HV1316" s="73"/>
      <c r="HW1316" s="73"/>
      <c r="HX1316" s="73"/>
      <c r="HY1316" s="73"/>
      <c r="HZ1316" s="73"/>
      <c r="IA1316" s="73"/>
      <c r="IB1316" s="73"/>
      <c r="IC1316" s="73"/>
      <c r="ID1316" s="73"/>
      <c r="IE1316" s="73"/>
      <c r="IF1316" s="73"/>
      <c r="IG1316" s="73"/>
      <c r="IH1316" s="73"/>
      <c r="II1316" s="73"/>
      <c r="IJ1316" s="73"/>
      <c r="IK1316" s="73"/>
      <c r="IL1316" s="73"/>
      <c r="IM1316" s="73"/>
      <c r="IN1316" s="73"/>
      <c r="IO1316" s="73"/>
      <c r="IP1316" s="73"/>
      <c r="IQ1316" s="73"/>
      <c r="IR1316" s="73"/>
      <c r="IS1316" s="73"/>
      <c r="IT1316" s="73"/>
      <c r="IU1316" s="73"/>
      <c r="IV1316" s="73"/>
      <c r="IW1316" s="73"/>
      <c r="IX1316" s="73"/>
      <c r="IY1316" s="73"/>
      <c r="IZ1316" s="73"/>
      <c r="JA1316" s="73"/>
      <c r="JB1316" s="73"/>
      <c r="JC1316" s="73"/>
    </row>
    <row r="1317" spans="2:263" s="72" customFormat="1">
      <c r="B1317" s="73"/>
      <c r="C1317" s="73"/>
      <c r="D1317" s="73"/>
      <c r="E1317" s="73"/>
      <c r="F1317" s="73"/>
      <c r="G1317" s="73"/>
      <c r="H1317" s="73"/>
      <c r="I1317" s="73"/>
      <c r="J1317" s="73"/>
      <c r="K1317" s="73"/>
      <c r="L1317" s="73"/>
      <c r="M1317" s="73"/>
      <c r="N1317" s="73"/>
      <c r="O1317" s="73"/>
      <c r="P1317" s="73"/>
      <c r="Q1317" s="73"/>
      <c r="R1317" s="73"/>
      <c r="S1317" s="73"/>
      <c r="T1317" s="73"/>
      <c r="U1317" s="73"/>
      <c r="V1317" s="73"/>
      <c r="W1317" s="73"/>
      <c r="GL1317" s="73"/>
      <c r="GM1317" s="73"/>
      <c r="GN1317" s="73"/>
      <c r="GO1317" s="73"/>
      <c r="GP1317" s="73"/>
      <c r="GQ1317" s="73"/>
      <c r="GR1317" s="73"/>
      <c r="GS1317" s="73"/>
      <c r="GT1317" s="73"/>
      <c r="GU1317" s="73"/>
      <c r="GV1317" s="73"/>
      <c r="GW1317" s="73"/>
      <c r="GX1317" s="73"/>
      <c r="GY1317" s="73"/>
      <c r="GZ1317" s="73"/>
      <c r="HA1317" s="73"/>
      <c r="HB1317" s="73"/>
      <c r="HC1317" s="73"/>
      <c r="HD1317" s="73"/>
      <c r="HE1317" s="73"/>
      <c r="HF1317" s="73"/>
      <c r="HG1317" s="73"/>
      <c r="HH1317" s="73"/>
      <c r="HI1317" s="73"/>
      <c r="HJ1317" s="73"/>
      <c r="HK1317" s="73"/>
      <c r="HL1317" s="73"/>
      <c r="HM1317" s="73"/>
      <c r="HN1317" s="73"/>
      <c r="HO1317" s="73"/>
      <c r="HP1317" s="73"/>
      <c r="HQ1317" s="73"/>
      <c r="HR1317" s="73"/>
      <c r="HS1317" s="73"/>
      <c r="HT1317" s="73"/>
      <c r="HU1317" s="73"/>
      <c r="HV1317" s="73"/>
      <c r="HW1317" s="73"/>
      <c r="HX1317" s="73"/>
      <c r="HY1317" s="73"/>
      <c r="HZ1317" s="73"/>
      <c r="IA1317" s="73"/>
      <c r="IB1317" s="73"/>
      <c r="IC1317" s="73"/>
      <c r="ID1317" s="73"/>
      <c r="IE1317" s="73"/>
      <c r="IF1317" s="73"/>
      <c r="IG1317" s="73"/>
      <c r="IH1317" s="73"/>
      <c r="II1317" s="73"/>
      <c r="IJ1317" s="73"/>
      <c r="IK1317" s="73"/>
      <c r="IL1317" s="73"/>
      <c r="IM1317" s="73"/>
      <c r="IN1317" s="73"/>
      <c r="IO1317" s="73"/>
      <c r="IP1317" s="73"/>
      <c r="IQ1317" s="73"/>
      <c r="IR1317" s="73"/>
      <c r="IS1317" s="73"/>
      <c r="IT1317" s="73"/>
      <c r="IU1317" s="73"/>
      <c r="IV1317" s="73"/>
      <c r="IW1317" s="73"/>
      <c r="IX1317" s="73"/>
      <c r="IY1317" s="73"/>
      <c r="IZ1317" s="73"/>
      <c r="JA1317" s="73"/>
      <c r="JB1317" s="73"/>
      <c r="JC1317" s="73"/>
    </row>
    <row r="1318" spans="2:263" s="72" customFormat="1">
      <c r="B1318" s="73"/>
      <c r="C1318" s="73"/>
      <c r="D1318" s="73"/>
      <c r="E1318" s="73"/>
      <c r="F1318" s="73"/>
      <c r="G1318" s="73"/>
      <c r="H1318" s="73"/>
      <c r="I1318" s="73"/>
      <c r="J1318" s="73"/>
      <c r="K1318" s="73"/>
      <c r="L1318" s="73"/>
      <c r="M1318" s="73"/>
      <c r="N1318" s="73"/>
      <c r="O1318" s="73"/>
      <c r="P1318" s="73"/>
      <c r="Q1318" s="73"/>
      <c r="R1318" s="73"/>
      <c r="S1318" s="73"/>
      <c r="T1318" s="73"/>
      <c r="U1318" s="73"/>
      <c r="V1318" s="73"/>
      <c r="W1318" s="73"/>
      <c r="GL1318" s="73"/>
      <c r="GM1318" s="73"/>
      <c r="GN1318" s="73"/>
      <c r="GO1318" s="73"/>
      <c r="GP1318" s="73"/>
      <c r="GQ1318" s="73"/>
      <c r="GR1318" s="73"/>
      <c r="GS1318" s="73"/>
      <c r="GT1318" s="73"/>
      <c r="GU1318" s="73"/>
      <c r="GV1318" s="73"/>
      <c r="GW1318" s="73"/>
      <c r="GX1318" s="73"/>
      <c r="GY1318" s="73"/>
      <c r="GZ1318" s="73"/>
      <c r="HA1318" s="73"/>
      <c r="HB1318" s="73"/>
      <c r="HC1318" s="73"/>
      <c r="HD1318" s="73"/>
      <c r="HE1318" s="73"/>
      <c r="HF1318" s="73"/>
      <c r="HG1318" s="73"/>
      <c r="HH1318" s="73"/>
      <c r="HI1318" s="73"/>
      <c r="HJ1318" s="73"/>
      <c r="HK1318" s="73"/>
      <c r="HL1318" s="73"/>
      <c r="HM1318" s="73"/>
      <c r="HN1318" s="73"/>
      <c r="HO1318" s="73"/>
      <c r="HP1318" s="73"/>
      <c r="HQ1318" s="73"/>
      <c r="HR1318" s="73"/>
      <c r="HS1318" s="73"/>
      <c r="HT1318" s="73"/>
      <c r="HU1318" s="73"/>
      <c r="HV1318" s="73"/>
      <c r="HW1318" s="73"/>
      <c r="HX1318" s="73"/>
      <c r="HY1318" s="73"/>
      <c r="HZ1318" s="73"/>
      <c r="IA1318" s="73"/>
      <c r="IB1318" s="73"/>
      <c r="IC1318" s="73"/>
      <c r="ID1318" s="73"/>
      <c r="IE1318" s="73"/>
      <c r="IF1318" s="73"/>
      <c r="IG1318" s="73"/>
      <c r="IH1318" s="73"/>
      <c r="II1318" s="73"/>
      <c r="IJ1318" s="73"/>
      <c r="IK1318" s="73"/>
      <c r="IL1318" s="73"/>
      <c r="IM1318" s="73"/>
      <c r="IN1318" s="73"/>
      <c r="IO1318" s="73"/>
      <c r="IP1318" s="73"/>
      <c r="IQ1318" s="73"/>
      <c r="IR1318" s="73"/>
      <c r="IS1318" s="73"/>
      <c r="IT1318" s="73"/>
      <c r="IU1318" s="73"/>
      <c r="IV1318" s="73"/>
      <c r="IW1318" s="73"/>
      <c r="IX1318" s="73"/>
      <c r="IY1318" s="73"/>
      <c r="IZ1318" s="73"/>
      <c r="JA1318" s="73"/>
      <c r="JB1318" s="73"/>
      <c r="JC1318" s="73"/>
    </row>
    <row r="1319" spans="2:263" s="72" customFormat="1">
      <c r="B1319" s="73"/>
      <c r="C1319" s="73"/>
      <c r="D1319" s="73"/>
      <c r="E1319" s="73"/>
      <c r="F1319" s="73"/>
      <c r="G1319" s="73"/>
      <c r="H1319" s="73"/>
      <c r="I1319" s="73"/>
      <c r="J1319" s="73"/>
      <c r="K1319" s="73"/>
      <c r="L1319" s="73"/>
      <c r="M1319" s="73"/>
      <c r="N1319" s="73"/>
      <c r="O1319" s="73"/>
      <c r="P1319" s="73"/>
      <c r="Q1319" s="73"/>
      <c r="R1319" s="73"/>
      <c r="S1319" s="73"/>
      <c r="T1319" s="73"/>
      <c r="U1319" s="73"/>
      <c r="V1319" s="73"/>
      <c r="W1319" s="73"/>
      <c r="GL1319" s="73"/>
      <c r="GM1319" s="73"/>
      <c r="GN1319" s="73"/>
      <c r="GO1319" s="73"/>
      <c r="GP1319" s="73"/>
      <c r="GQ1319" s="73"/>
      <c r="GR1319" s="73"/>
      <c r="GS1319" s="73"/>
      <c r="GT1319" s="73"/>
      <c r="GU1319" s="73"/>
      <c r="GV1319" s="73"/>
      <c r="GW1319" s="73"/>
      <c r="GX1319" s="73"/>
      <c r="GY1319" s="73"/>
      <c r="GZ1319" s="73"/>
      <c r="HA1319" s="73"/>
      <c r="HB1319" s="73"/>
      <c r="HC1319" s="73"/>
      <c r="HD1319" s="73"/>
      <c r="HE1319" s="73"/>
      <c r="HF1319" s="73"/>
      <c r="HG1319" s="73"/>
      <c r="HH1319" s="73"/>
      <c r="HI1319" s="73"/>
      <c r="HJ1319" s="73"/>
      <c r="HK1319" s="73"/>
      <c r="HL1319" s="73"/>
      <c r="HM1319" s="73"/>
      <c r="HN1319" s="73"/>
      <c r="HO1319" s="73"/>
      <c r="HP1319" s="73"/>
      <c r="HQ1319" s="73"/>
      <c r="HR1319" s="73"/>
      <c r="HS1319" s="73"/>
      <c r="HT1319" s="73"/>
      <c r="HU1319" s="73"/>
      <c r="HV1319" s="73"/>
      <c r="HW1319" s="73"/>
      <c r="HX1319" s="73"/>
      <c r="HY1319" s="73"/>
      <c r="HZ1319" s="73"/>
      <c r="IA1319" s="73"/>
      <c r="IB1319" s="73"/>
      <c r="IC1319" s="73"/>
      <c r="ID1319" s="73"/>
      <c r="IE1319" s="73"/>
      <c r="IF1319" s="73"/>
      <c r="IG1319" s="73"/>
      <c r="IH1319" s="73"/>
      <c r="II1319" s="73"/>
      <c r="IJ1319" s="73"/>
      <c r="IK1319" s="73"/>
      <c r="IL1319" s="73"/>
      <c r="IM1319" s="73"/>
      <c r="IN1319" s="73"/>
      <c r="IO1319" s="73"/>
      <c r="IP1319" s="73"/>
      <c r="IQ1319" s="73"/>
      <c r="IR1319" s="73"/>
      <c r="IS1319" s="73"/>
      <c r="IT1319" s="73"/>
      <c r="IU1319" s="73"/>
      <c r="IV1319" s="73"/>
      <c r="IW1319" s="73"/>
      <c r="IX1319" s="73"/>
      <c r="IY1319" s="73"/>
      <c r="IZ1319" s="73"/>
      <c r="JA1319" s="73"/>
      <c r="JB1319" s="73"/>
      <c r="JC1319" s="73"/>
    </row>
    <row r="1320" spans="2:263" s="72" customFormat="1">
      <c r="B1320" s="73"/>
      <c r="C1320" s="73"/>
      <c r="D1320" s="73"/>
      <c r="E1320" s="73"/>
      <c r="F1320" s="73"/>
      <c r="G1320" s="73"/>
      <c r="H1320" s="73"/>
      <c r="I1320" s="73"/>
      <c r="J1320" s="73"/>
      <c r="K1320" s="73"/>
      <c r="L1320" s="73"/>
      <c r="M1320" s="73"/>
      <c r="N1320" s="73"/>
      <c r="O1320" s="73"/>
      <c r="P1320" s="73"/>
      <c r="Q1320" s="73"/>
      <c r="R1320" s="73"/>
      <c r="S1320" s="73"/>
      <c r="T1320" s="73"/>
      <c r="U1320" s="73"/>
      <c r="V1320" s="73"/>
      <c r="W1320" s="73"/>
      <c r="GL1320" s="73"/>
      <c r="GM1320" s="73"/>
      <c r="GN1320" s="73"/>
      <c r="GO1320" s="73"/>
      <c r="GP1320" s="73"/>
      <c r="GQ1320" s="73"/>
      <c r="GR1320" s="73"/>
      <c r="GS1320" s="73"/>
      <c r="GT1320" s="73"/>
      <c r="GU1320" s="73"/>
      <c r="GV1320" s="73"/>
      <c r="GW1320" s="73"/>
      <c r="GX1320" s="73"/>
      <c r="GY1320" s="73"/>
      <c r="GZ1320" s="73"/>
      <c r="HA1320" s="73"/>
      <c r="HB1320" s="73"/>
      <c r="HC1320" s="73"/>
      <c r="HD1320" s="73"/>
      <c r="HE1320" s="73"/>
      <c r="HF1320" s="73"/>
      <c r="HG1320" s="73"/>
      <c r="HH1320" s="73"/>
      <c r="HI1320" s="73"/>
      <c r="HJ1320" s="73"/>
      <c r="HK1320" s="73"/>
      <c r="HL1320" s="73"/>
      <c r="HM1320" s="73"/>
      <c r="HN1320" s="73"/>
      <c r="HO1320" s="73"/>
      <c r="HP1320" s="73"/>
      <c r="HQ1320" s="73"/>
      <c r="HR1320" s="73"/>
      <c r="HS1320" s="73"/>
      <c r="HT1320" s="73"/>
      <c r="HU1320" s="73"/>
      <c r="HV1320" s="73"/>
      <c r="HW1320" s="73"/>
      <c r="HX1320" s="73"/>
      <c r="HY1320" s="73"/>
      <c r="HZ1320" s="73"/>
      <c r="IA1320" s="73"/>
      <c r="IB1320" s="73"/>
      <c r="IC1320" s="73"/>
      <c r="ID1320" s="73"/>
      <c r="IE1320" s="73"/>
      <c r="IF1320" s="73"/>
      <c r="IG1320" s="73"/>
      <c r="IH1320" s="73"/>
      <c r="II1320" s="73"/>
      <c r="IJ1320" s="73"/>
      <c r="IK1320" s="73"/>
      <c r="IL1320" s="73"/>
      <c r="IM1320" s="73"/>
      <c r="IN1320" s="73"/>
      <c r="IO1320" s="73"/>
      <c r="IP1320" s="73"/>
      <c r="IQ1320" s="73"/>
      <c r="IR1320" s="73"/>
      <c r="IS1320" s="73"/>
      <c r="IT1320" s="73"/>
      <c r="IU1320" s="73"/>
      <c r="IV1320" s="73"/>
      <c r="IW1320" s="73"/>
      <c r="IX1320" s="73"/>
      <c r="IY1320" s="73"/>
      <c r="IZ1320" s="73"/>
      <c r="JA1320" s="73"/>
      <c r="JB1320" s="73"/>
      <c r="JC1320" s="73"/>
    </row>
    <row r="1321" spans="2:263" s="72" customFormat="1">
      <c r="B1321" s="73"/>
      <c r="C1321" s="73"/>
      <c r="D1321" s="73"/>
      <c r="E1321" s="73"/>
      <c r="F1321" s="73"/>
      <c r="G1321" s="73"/>
      <c r="H1321" s="73"/>
      <c r="I1321" s="73"/>
      <c r="J1321" s="73"/>
      <c r="K1321" s="73"/>
      <c r="L1321" s="73"/>
      <c r="M1321" s="73"/>
      <c r="N1321" s="73"/>
      <c r="O1321" s="73"/>
      <c r="P1321" s="73"/>
      <c r="Q1321" s="73"/>
      <c r="R1321" s="73"/>
      <c r="S1321" s="73"/>
      <c r="T1321" s="73"/>
      <c r="U1321" s="73"/>
      <c r="V1321" s="73"/>
      <c r="W1321" s="73"/>
      <c r="GL1321" s="73"/>
      <c r="GM1321" s="73"/>
      <c r="GN1321" s="73"/>
      <c r="GO1321" s="73"/>
      <c r="GP1321" s="73"/>
      <c r="GQ1321" s="73"/>
      <c r="GR1321" s="73"/>
      <c r="GS1321" s="73"/>
      <c r="GT1321" s="73"/>
      <c r="GU1321" s="73"/>
      <c r="GV1321" s="73"/>
      <c r="GW1321" s="73"/>
      <c r="GX1321" s="73"/>
      <c r="GY1321" s="73"/>
      <c r="GZ1321" s="73"/>
      <c r="HA1321" s="73"/>
      <c r="HB1321" s="73"/>
      <c r="HC1321" s="73"/>
      <c r="HD1321" s="73"/>
      <c r="HE1321" s="73"/>
      <c r="HF1321" s="73"/>
      <c r="HG1321" s="73"/>
      <c r="HH1321" s="73"/>
      <c r="HI1321" s="73"/>
      <c r="HJ1321" s="73"/>
      <c r="HK1321" s="73"/>
      <c r="HL1321" s="73"/>
      <c r="HM1321" s="73"/>
      <c r="HN1321" s="73"/>
      <c r="HO1321" s="73"/>
      <c r="HP1321" s="73"/>
      <c r="HQ1321" s="73"/>
      <c r="HR1321" s="73"/>
      <c r="HS1321" s="73"/>
      <c r="HT1321" s="73"/>
      <c r="HU1321" s="73"/>
      <c r="HV1321" s="73"/>
      <c r="HW1321" s="73"/>
      <c r="HX1321" s="73"/>
      <c r="HY1321" s="73"/>
      <c r="HZ1321" s="73"/>
      <c r="IA1321" s="73"/>
      <c r="IB1321" s="73"/>
      <c r="IC1321" s="73"/>
      <c r="ID1321" s="73"/>
      <c r="IE1321" s="73"/>
      <c r="IF1321" s="73"/>
      <c r="IG1321" s="73"/>
      <c r="IH1321" s="73"/>
      <c r="II1321" s="73"/>
      <c r="IJ1321" s="73"/>
      <c r="IK1321" s="73"/>
      <c r="IL1321" s="73"/>
      <c r="IM1321" s="73"/>
      <c r="IN1321" s="73"/>
      <c r="IO1321" s="73"/>
      <c r="IP1321" s="73"/>
      <c r="IQ1321" s="73"/>
      <c r="IR1321" s="73"/>
      <c r="IS1321" s="73"/>
      <c r="IT1321" s="73"/>
      <c r="IU1321" s="73"/>
      <c r="IV1321" s="73"/>
      <c r="IW1321" s="73"/>
      <c r="IX1321" s="73"/>
      <c r="IY1321" s="73"/>
      <c r="IZ1321" s="73"/>
      <c r="JA1321" s="73"/>
      <c r="JB1321" s="73"/>
      <c r="JC1321" s="73"/>
    </row>
    <row r="1322" spans="2:263" s="72" customFormat="1">
      <c r="B1322" s="73"/>
      <c r="C1322" s="73"/>
      <c r="D1322" s="73"/>
      <c r="E1322" s="73"/>
      <c r="F1322" s="73"/>
      <c r="G1322" s="73"/>
      <c r="H1322" s="73"/>
      <c r="I1322" s="73"/>
      <c r="J1322" s="73"/>
      <c r="K1322" s="73"/>
      <c r="L1322" s="73"/>
      <c r="M1322" s="73"/>
      <c r="N1322" s="73"/>
      <c r="O1322" s="73"/>
      <c r="P1322" s="73"/>
      <c r="Q1322" s="73"/>
      <c r="R1322" s="73"/>
      <c r="S1322" s="73"/>
      <c r="T1322" s="73"/>
      <c r="U1322" s="73"/>
      <c r="V1322" s="73"/>
      <c r="W1322" s="73"/>
      <c r="GL1322" s="73"/>
      <c r="GM1322" s="73"/>
      <c r="GN1322" s="73"/>
      <c r="GO1322" s="73"/>
      <c r="GP1322" s="73"/>
      <c r="GQ1322" s="73"/>
      <c r="GR1322" s="73"/>
      <c r="GS1322" s="73"/>
      <c r="GT1322" s="73"/>
      <c r="GU1322" s="73"/>
      <c r="GV1322" s="73"/>
      <c r="GW1322" s="73"/>
      <c r="GX1322" s="73"/>
      <c r="GY1322" s="73"/>
      <c r="GZ1322" s="73"/>
      <c r="HA1322" s="73"/>
      <c r="HB1322" s="73"/>
      <c r="HC1322" s="73"/>
      <c r="HD1322" s="73"/>
      <c r="HE1322" s="73"/>
      <c r="HF1322" s="73"/>
      <c r="HG1322" s="73"/>
      <c r="HH1322" s="73"/>
      <c r="HI1322" s="73"/>
      <c r="HJ1322" s="73"/>
      <c r="HK1322" s="73"/>
      <c r="HL1322" s="73"/>
      <c r="HM1322" s="73"/>
      <c r="HN1322" s="73"/>
      <c r="HO1322" s="73"/>
      <c r="HP1322" s="73"/>
      <c r="HQ1322" s="73"/>
      <c r="HR1322" s="73"/>
      <c r="HS1322" s="73"/>
      <c r="HT1322" s="73"/>
      <c r="HU1322" s="73"/>
      <c r="HV1322" s="73"/>
      <c r="HW1322" s="73"/>
      <c r="HX1322" s="73"/>
      <c r="HY1322" s="73"/>
      <c r="HZ1322" s="73"/>
      <c r="IA1322" s="73"/>
      <c r="IB1322" s="73"/>
      <c r="IC1322" s="73"/>
      <c r="ID1322" s="73"/>
      <c r="IE1322" s="73"/>
      <c r="IF1322" s="73"/>
      <c r="IG1322" s="73"/>
      <c r="IH1322" s="73"/>
      <c r="II1322" s="73"/>
      <c r="IJ1322" s="73"/>
      <c r="IK1322" s="73"/>
      <c r="IL1322" s="73"/>
      <c r="IM1322" s="73"/>
      <c r="IN1322" s="73"/>
      <c r="IO1322" s="73"/>
      <c r="IP1322" s="73"/>
      <c r="IQ1322" s="73"/>
      <c r="IR1322" s="73"/>
      <c r="IS1322" s="73"/>
      <c r="IT1322" s="73"/>
      <c r="IU1322" s="73"/>
      <c r="IV1322" s="73"/>
      <c r="IW1322" s="73"/>
      <c r="IX1322" s="73"/>
      <c r="IY1322" s="73"/>
      <c r="IZ1322" s="73"/>
      <c r="JA1322" s="73"/>
      <c r="JB1322" s="73"/>
      <c r="JC1322" s="73"/>
    </row>
    <row r="1323" spans="2:263" s="72" customFormat="1">
      <c r="B1323" s="73"/>
      <c r="C1323" s="73"/>
      <c r="D1323" s="73"/>
      <c r="E1323" s="73"/>
      <c r="F1323" s="73"/>
      <c r="G1323" s="73"/>
      <c r="H1323" s="73"/>
      <c r="I1323" s="73"/>
      <c r="J1323" s="73"/>
      <c r="K1323" s="73"/>
      <c r="L1323" s="73"/>
      <c r="M1323" s="73"/>
      <c r="N1323" s="73"/>
      <c r="O1323" s="73"/>
      <c r="P1323" s="73"/>
      <c r="Q1323" s="73"/>
      <c r="R1323" s="73"/>
      <c r="S1323" s="73"/>
      <c r="T1323" s="73"/>
      <c r="U1323" s="73"/>
      <c r="V1323" s="73"/>
      <c r="W1323" s="73"/>
      <c r="GL1323" s="73"/>
      <c r="GM1323" s="73"/>
      <c r="GN1323" s="73"/>
      <c r="GO1323" s="73"/>
      <c r="GP1323" s="73"/>
      <c r="GQ1323" s="73"/>
      <c r="GR1323" s="73"/>
      <c r="GS1323" s="73"/>
      <c r="GT1323" s="73"/>
      <c r="GU1323" s="73"/>
      <c r="GV1323" s="73"/>
      <c r="GW1323" s="73"/>
      <c r="GX1323" s="73"/>
      <c r="GY1323" s="73"/>
      <c r="GZ1323" s="73"/>
      <c r="HA1323" s="73"/>
      <c r="HB1323" s="73"/>
      <c r="HC1323" s="73"/>
      <c r="HD1323" s="73"/>
      <c r="HE1323" s="73"/>
      <c r="HF1323" s="73"/>
      <c r="HG1323" s="73"/>
      <c r="HH1323" s="73"/>
      <c r="HI1323" s="73"/>
      <c r="HJ1323" s="73"/>
      <c r="HK1323" s="73"/>
      <c r="HL1323" s="73"/>
      <c r="HM1323" s="73"/>
      <c r="HN1323" s="73"/>
      <c r="HO1323" s="73"/>
      <c r="HP1323" s="73"/>
      <c r="HQ1323" s="73"/>
      <c r="HR1323" s="73"/>
      <c r="HS1323" s="73"/>
      <c r="HT1323" s="73"/>
      <c r="HU1323" s="73"/>
      <c r="HV1323" s="73"/>
      <c r="HW1323" s="73"/>
      <c r="HX1323" s="73"/>
      <c r="HY1323" s="73"/>
      <c r="HZ1323" s="73"/>
      <c r="IA1323" s="73"/>
      <c r="IB1323" s="73"/>
      <c r="IC1323" s="73"/>
      <c r="ID1323" s="73"/>
      <c r="IE1323" s="73"/>
      <c r="IF1323" s="73"/>
      <c r="IG1323" s="73"/>
      <c r="IH1323" s="73"/>
      <c r="II1323" s="73"/>
      <c r="IJ1323" s="73"/>
      <c r="IK1323" s="73"/>
      <c r="IL1323" s="73"/>
      <c r="IM1323" s="73"/>
      <c r="IN1323" s="73"/>
      <c r="IO1323" s="73"/>
      <c r="IP1323" s="73"/>
      <c r="IQ1323" s="73"/>
      <c r="IR1323" s="73"/>
      <c r="IS1323" s="73"/>
      <c r="IT1323" s="73"/>
      <c r="IU1323" s="73"/>
      <c r="IV1323" s="73"/>
      <c r="IW1323" s="73"/>
      <c r="IX1323" s="73"/>
      <c r="IY1323" s="73"/>
      <c r="IZ1323" s="73"/>
      <c r="JA1323" s="73"/>
      <c r="JB1323" s="73"/>
      <c r="JC1323" s="73"/>
    </row>
    <row r="1324" spans="2:263" s="72" customFormat="1">
      <c r="B1324" s="73"/>
      <c r="C1324" s="73"/>
      <c r="D1324" s="73"/>
      <c r="E1324" s="73"/>
      <c r="F1324" s="73"/>
      <c r="G1324" s="73"/>
      <c r="H1324" s="73"/>
      <c r="I1324" s="73"/>
      <c r="J1324" s="73"/>
      <c r="K1324" s="73"/>
      <c r="L1324" s="73"/>
      <c r="M1324" s="73"/>
      <c r="N1324" s="73"/>
      <c r="O1324" s="73"/>
      <c r="P1324" s="73"/>
      <c r="Q1324" s="73"/>
      <c r="R1324" s="73"/>
      <c r="S1324" s="73"/>
      <c r="T1324" s="73"/>
      <c r="U1324" s="73"/>
      <c r="V1324" s="73"/>
      <c r="W1324" s="73"/>
      <c r="GL1324" s="73"/>
      <c r="GM1324" s="73"/>
      <c r="GN1324" s="73"/>
      <c r="GO1324" s="73"/>
      <c r="GP1324" s="73"/>
      <c r="GQ1324" s="73"/>
      <c r="GR1324" s="73"/>
      <c r="GS1324" s="73"/>
      <c r="GT1324" s="73"/>
      <c r="GU1324" s="73"/>
      <c r="GV1324" s="73"/>
      <c r="GW1324" s="73"/>
      <c r="GX1324" s="73"/>
      <c r="GY1324" s="73"/>
      <c r="GZ1324" s="73"/>
      <c r="HA1324" s="73"/>
      <c r="HB1324" s="73"/>
      <c r="HC1324" s="73"/>
      <c r="HD1324" s="73"/>
      <c r="HE1324" s="73"/>
      <c r="HF1324" s="73"/>
      <c r="HG1324" s="73"/>
      <c r="HH1324" s="73"/>
      <c r="HI1324" s="73"/>
      <c r="HJ1324" s="73"/>
      <c r="HK1324" s="73"/>
      <c r="HL1324" s="73"/>
      <c r="HM1324" s="73"/>
      <c r="HN1324" s="73"/>
      <c r="HO1324" s="73"/>
      <c r="HP1324" s="73"/>
      <c r="HQ1324" s="73"/>
      <c r="HR1324" s="73"/>
      <c r="HS1324" s="73"/>
      <c r="HT1324" s="73"/>
      <c r="HU1324" s="73"/>
      <c r="HV1324" s="73"/>
      <c r="HW1324" s="73"/>
      <c r="HX1324" s="73"/>
      <c r="HY1324" s="73"/>
      <c r="HZ1324" s="73"/>
      <c r="IA1324" s="73"/>
      <c r="IB1324" s="73"/>
      <c r="IC1324" s="73"/>
      <c r="ID1324" s="73"/>
      <c r="IE1324" s="73"/>
      <c r="IF1324" s="73"/>
      <c r="IG1324" s="73"/>
      <c r="IH1324" s="73"/>
      <c r="II1324" s="73"/>
      <c r="IJ1324" s="73"/>
      <c r="IK1324" s="73"/>
      <c r="IL1324" s="73"/>
      <c r="IM1324" s="73"/>
      <c r="IN1324" s="73"/>
      <c r="IO1324" s="73"/>
      <c r="IP1324" s="73"/>
      <c r="IQ1324" s="73"/>
      <c r="IR1324" s="73"/>
      <c r="IS1324" s="73"/>
      <c r="IT1324" s="73"/>
      <c r="IU1324" s="73"/>
      <c r="IV1324" s="73"/>
      <c r="IW1324" s="73"/>
      <c r="IX1324" s="73"/>
      <c r="IY1324" s="73"/>
      <c r="IZ1324" s="73"/>
      <c r="JA1324" s="73"/>
      <c r="JB1324" s="73"/>
      <c r="JC1324" s="73"/>
    </row>
    <row r="1325" spans="2:263" s="72" customFormat="1">
      <c r="B1325" s="73"/>
      <c r="C1325" s="73"/>
      <c r="D1325" s="73"/>
      <c r="E1325" s="73"/>
      <c r="F1325" s="73"/>
      <c r="G1325" s="73"/>
      <c r="H1325" s="73"/>
      <c r="I1325" s="73"/>
      <c r="J1325" s="73"/>
      <c r="K1325" s="73"/>
      <c r="L1325" s="73"/>
      <c r="M1325" s="73"/>
      <c r="N1325" s="73"/>
      <c r="O1325" s="73"/>
      <c r="P1325" s="73"/>
      <c r="Q1325" s="73"/>
      <c r="R1325" s="73"/>
      <c r="S1325" s="73"/>
      <c r="T1325" s="73"/>
      <c r="U1325" s="73"/>
      <c r="V1325" s="73"/>
      <c r="W1325" s="73"/>
      <c r="GL1325" s="73"/>
      <c r="GM1325" s="73"/>
      <c r="GN1325" s="73"/>
      <c r="GO1325" s="73"/>
      <c r="GP1325" s="73"/>
      <c r="GQ1325" s="73"/>
      <c r="GR1325" s="73"/>
      <c r="GS1325" s="73"/>
      <c r="GT1325" s="73"/>
      <c r="GU1325" s="73"/>
      <c r="GV1325" s="73"/>
      <c r="GW1325" s="73"/>
      <c r="GX1325" s="73"/>
      <c r="GY1325" s="73"/>
      <c r="GZ1325" s="73"/>
      <c r="HA1325" s="73"/>
      <c r="HB1325" s="73"/>
      <c r="HC1325" s="73"/>
      <c r="HD1325" s="73"/>
      <c r="HE1325" s="73"/>
      <c r="HF1325" s="73"/>
      <c r="HG1325" s="73"/>
      <c r="HH1325" s="73"/>
      <c r="HI1325" s="73"/>
      <c r="HJ1325" s="73"/>
      <c r="HK1325" s="73"/>
      <c r="HL1325" s="73"/>
      <c r="HM1325" s="73"/>
      <c r="HN1325" s="73"/>
      <c r="HO1325" s="73"/>
      <c r="HP1325" s="73"/>
      <c r="HQ1325" s="73"/>
      <c r="HR1325" s="73"/>
      <c r="HS1325" s="73"/>
      <c r="HT1325" s="73"/>
      <c r="HU1325" s="73"/>
      <c r="HV1325" s="73"/>
      <c r="HW1325" s="73"/>
      <c r="HX1325" s="73"/>
      <c r="HY1325" s="73"/>
      <c r="HZ1325" s="73"/>
      <c r="IA1325" s="73"/>
      <c r="IB1325" s="73"/>
      <c r="IC1325" s="73"/>
      <c r="ID1325" s="73"/>
      <c r="IE1325" s="73"/>
      <c r="IF1325" s="73"/>
      <c r="IG1325" s="73"/>
      <c r="IH1325" s="73"/>
      <c r="II1325" s="73"/>
      <c r="IJ1325" s="73"/>
      <c r="IK1325" s="73"/>
      <c r="IL1325" s="73"/>
      <c r="IM1325" s="73"/>
      <c r="IN1325" s="73"/>
      <c r="IO1325" s="73"/>
      <c r="IP1325" s="73"/>
      <c r="IQ1325" s="73"/>
      <c r="IR1325" s="73"/>
      <c r="IS1325" s="73"/>
      <c r="IT1325" s="73"/>
      <c r="IU1325" s="73"/>
      <c r="IV1325" s="73"/>
      <c r="IW1325" s="73"/>
      <c r="IX1325" s="73"/>
      <c r="IY1325" s="73"/>
      <c r="IZ1325" s="73"/>
      <c r="JA1325" s="73"/>
      <c r="JB1325" s="73"/>
      <c r="JC1325" s="73"/>
    </row>
    <row r="1326" spans="2:263" s="72" customFormat="1">
      <c r="B1326" s="73"/>
      <c r="C1326" s="73"/>
      <c r="D1326" s="73"/>
      <c r="E1326" s="73"/>
      <c r="F1326" s="73"/>
      <c r="G1326" s="73"/>
      <c r="H1326" s="73"/>
      <c r="I1326" s="73"/>
      <c r="J1326" s="73"/>
      <c r="K1326" s="73"/>
      <c r="L1326" s="73"/>
      <c r="M1326" s="73"/>
      <c r="N1326" s="73"/>
      <c r="O1326" s="73"/>
      <c r="P1326" s="73"/>
      <c r="Q1326" s="73"/>
      <c r="R1326" s="73"/>
      <c r="S1326" s="73"/>
      <c r="T1326" s="73"/>
      <c r="U1326" s="73"/>
      <c r="V1326" s="73"/>
      <c r="W1326" s="73"/>
      <c r="GL1326" s="73"/>
      <c r="GM1326" s="73"/>
      <c r="GN1326" s="73"/>
      <c r="GO1326" s="73"/>
      <c r="GP1326" s="73"/>
      <c r="GQ1326" s="73"/>
      <c r="GR1326" s="73"/>
      <c r="GS1326" s="73"/>
      <c r="GT1326" s="73"/>
      <c r="GU1326" s="73"/>
      <c r="GV1326" s="73"/>
      <c r="GW1326" s="73"/>
      <c r="GX1326" s="73"/>
      <c r="GY1326" s="73"/>
      <c r="GZ1326" s="73"/>
      <c r="HA1326" s="73"/>
      <c r="HB1326" s="73"/>
      <c r="HC1326" s="73"/>
      <c r="HD1326" s="73"/>
      <c r="HE1326" s="73"/>
      <c r="HF1326" s="73"/>
      <c r="HG1326" s="73"/>
      <c r="HH1326" s="73"/>
      <c r="HI1326" s="73"/>
      <c r="HJ1326" s="73"/>
      <c r="HK1326" s="73"/>
      <c r="HL1326" s="73"/>
      <c r="HM1326" s="73"/>
      <c r="HN1326" s="73"/>
      <c r="HO1326" s="73"/>
      <c r="HP1326" s="73"/>
      <c r="HQ1326" s="73"/>
      <c r="HR1326" s="73"/>
      <c r="HS1326" s="73"/>
      <c r="HT1326" s="73"/>
      <c r="HU1326" s="73"/>
      <c r="HV1326" s="73"/>
      <c r="HW1326" s="73"/>
      <c r="HX1326" s="73"/>
      <c r="HY1326" s="73"/>
      <c r="HZ1326" s="73"/>
      <c r="IA1326" s="73"/>
      <c r="IB1326" s="73"/>
      <c r="IC1326" s="73"/>
      <c r="ID1326" s="73"/>
      <c r="IE1326" s="73"/>
      <c r="IF1326" s="73"/>
      <c r="IG1326" s="73"/>
      <c r="IH1326" s="73"/>
      <c r="II1326" s="73"/>
      <c r="IJ1326" s="73"/>
      <c r="IK1326" s="73"/>
      <c r="IL1326" s="73"/>
      <c r="IM1326" s="73"/>
      <c r="IN1326" s="73"/>
      <c r="IO1326" s="73"/>
      <c r="IP1326" s="73"/>
      <c r="IQ1326" s="73"/>
      <c r="IR1326" s="73"/>
      <c r="IS1326" s="73"/>
      <c r="IT1326" s="73"/>
      <c r="IU1326" s="73"/>
      <c r="IV1326" s="73"/>
      <c r="IW1326" s="73"/>
      <c r="IX1326" s="73"/>
      <c r="IY1326" s="73"/>
      <c r="IZ1326" s="73"/>
      <c r="JA1326" s="73"/>
      <c r="JB1326" s="73"/>
      <c r="JC1326" s="73"/>
    </row>
    <row r="1327" spans="2:263" s="72" customFormat="1">
      <c r="B1327" s="73"/>
      <c r="C1327" s="73"/>
      <c r="D1327" s="73"/>
      <c r="E1327" s="73"/>
      <c r="F1327" s="73"/>
      <c r="G1327" s="73"/>
      <c r="H1327" s="73"/>
      <c r="I1327" s="73"/>
      <c r="J1327" s="73"/>
      <c r="K1327" s="73"/>
      <c r="L1327" s="73"/>
      <c r="M1327" s="73"/>
      <c r="N1327" s="73"/>
      <c r="O1327" s="73"/>
      <c r="P1327" s="73"/>
      <c r="Q1327" s="73"/>
      <c r="R1327" s="73"/>
      <c r="S1327" s="73"/>
      <c r="T1327" s="73"/>
      <c r="U1327" s="73"/>
      <c r="V1327" s="73"/>
      <c r="W1327" s="73"/>
      <c r="GL1327" s="73"/>
      <c r="GM1327" s="73"/>
      <c r="GN1327" s="73"/>
      <c r="GO1327" s="73"/>
      <c r="GP1327" s="73"/>
      <c r="GQ1327" s="73"/>
      <c r="GR1327" s="73"/>
      <c r="GS1327" s="73"/>
      <c r="GT1327" s="73"/>
      <c r="GU1327" s="73"/>
      <c r="GV1327" s="73"/>
      <c r="GW1327" s="73"/>
      <c r="GX1327" s="73"/>
      <c r="GY1327" s="73"/>
      <c r="GZ1327" s="73"/>
      <c r="HA1327" s="73"/>
      <c r="HB1327" s="73"/>
      <c r="HC1327" s="73"/>
      <c r="HD1327" s="73"/>
      <c r="HE1327" s="73"/>
      <c r="HF1327" s="73"/>
      <c r="HG1327" s="73"/>
      <c r="HH1327" s="73"/>
      <c r="HI1327" s="73"/>
      <c r="HJ1327" s="73"/>
      <c r="HK1327" s="73"/>
      <c r="HL1327" s="73"/>
      <c r="HM1327" s="73"/>
      <c r="HN1327" s="73"/>
      <c r="HO1327" s="73"/>
      <c r="HP1327" s="73"/>
      <c r="HQ1327" s="73"/>
      <c r="HR1327" s="73"/>
      <c r="HS1327" s="73"/>
      <c r="HT1327" s="73"/>
      <c r="HU1327" s="73"/>
      <c r="HV1327" s="73"/>
      <c r="HW1327" s="73"/>
      <c r="HX1327" s="73"/>
      <c r="HY1327" s="73"/>
      <c r="HZ1327" s="73"/>
      <c r="IA1327" s="73"/>
      <c r="IB1327" s="73"/>
      <c r="IC1327" s="73"/>
      <c r="ID1327" s="73"/>
      <c r="IE1327" s="73"/>
      <c r="IF1327" s="73"/>
      <c r="IG1327" s="73"/>
      <c r="IH1327" s="73"/>
      <c r="II1327" s="73"/>
      <c r="IJ1327" s="73"/>
      <c r="IK1327" s="73"/>
      <c r="IL1327" s="73"/>
      <c r="IM1327" s="73"/>
      <c r="IN1327" s="73"/>
      <c r="IO1327" s="73"/>
      <c r="IP1327" s="73"/>
      <c r="IQ1327" s="73"/>
      <c r="IR1327" s="73"/>
      <c r="IS1327" s="73"/>
      <c r="IT1327" s="73"/>
      <c r="IU1327" s="73"/>
      <c r="IV1327" s="73"/>
      <c r="IW1327" s="73"/>
      <c r="IX1327" s="73"/>
      <c r="IY1327" s="73"/>
      <c r="IZ1327" s="73"/>
      <c r="JA1327" s="73"/>
      <c r="JB1327" s="73"/>
      <c r="JC1327" s="73"/>
    </row>
    <row r="1328" spans="2:263" s="72" customFormat="1">
      <c r="B1328" s="73"/>
      <c r="C1328" s="73"/>
      <c r="D1328" s="73"/>
      <c r="E1328" s="73"/>
      <c r="F1328" s="73"/>
      <c r="G1328" s="73"/>
      <c r="H1328" s="73"/>
      <c r="I1328" s="73"/>
      <c r="J1328" s="73"/>
      <c r="K1328" s="73"/>
      <c r="L1328" s="73"/>
      <c r="M1328" s="73"/>
      <c r="N1328" s="73"/>
      <c r="O1328" s="73"/>
      <c r="P1328" s="73"/>
      <c r="Q1328" s="73"/>
      <c r="R1328" s="73"/>
      <c r="S1328" s="73"/>
      <c r="T1328" s="73"/>
      <c r="U1328" s="73"/>
      <c r="V1328" s="73"/>
      <c r="W1328" s="73"/>
      <c r="GL1328" s="73"/>
      <c r="GM1328" s="73"/>
      <c r="GN1328" s="73"/>
      <c r="GO1328" s="73"/>
      <c r="GP1328" s="73"/>
      <c r="GQ1328" s="73"/>
      <c r="GR1328" s="73"/>
      <c r="GS1328" s="73"/>
      <c r="GT1328" s="73"/>
      <c r="GU1328" s="73"/>
      <c r="GV1328" s="73"/>
      <c r="GW1328" s="73"/>
      <c r="GX1328" s="73"/>
      <c r="GY1328" s="73"/>
      <c r="GZ1328" s="73"/>
      <c r="HA1328" s="73"/>
      <c r="HB1328" s="73"/>
      <c r="HC1328" s="73"/>
      <c r="HD1328" s="73"/>
      <c r="HE1328" s="73"/>
      <c r="HF1328" s="73"/>
      <c r="HG1328" s="73"/>
      <c r="HH1328" s="73"/>
      <c r="HI1328" s="73"/>
      <c r="HJ1328" s="73"/>
      <c r="HK1328" s="73"/>
      <c r="HL1328" s="73"/>
      <c r="HM1328" s="73"/>
      <c r="HN1328" s="73"/>
      <c r="HO1328" s="73"/>
      <c r="HP1328" s="73"/>
      <c r="HQ1328" s="73"/>
      <c r="HR1328" s="73"/>
      <c r="HS1328" s="73"/>
      <c r="HT1328" s="73"/>
      <c r="HU1328" s="73"/>
      <c r="HV1328" s="73"/>
      <c r="HW1328" s="73"/>
      <c r="HX1328" s="73"/>
      <c r="HY1328" s="73"/>
      <c r="HZ1328" s="73"/>
      <c r="IA1328" s="73"/>
      <c r="IB1328" s="73"/>
      <c r="IC1328" s="73"/>
      <c r="ID1328" s="73"/>
      <c r="IE1328" s="73"/>
      <c r="IF1328" s="73"/>
      <c r="IG1328" s="73"/>
      <c r="IH1328" s="73"/>
      <c r="II1328" s="73"/>
      <c r="IJ1328" s="73"/>
      <c r="IK1328" s="73"/>
      <c r="IL1328" s="73"/>
      <c r="IM1328" s="73"/>
      <c r="IN1328" s="73"/>
      <c r="IO1328" s="73"/>
      <c r="IP1328" s="73"/>
      <c r="IQ1328" s="73"/>
      <c r="IR1328" s="73"/>
      <c r="IS1328" s="73"/>
      <c r="IT1328" s="73"/>
      <c r="IU1328" s="73"/>
      <c r="IV1328" s="73"/>
      <c r="IW1328" s="73"/>
      <c r="IX1328" s="73"/>
      <c r="IY1328" s="73"/>
      <c r="IZ1328" s="73"/>
      <c r="JA1328" s="73"/>
      <c r="JB1328" s="73"/>
      <c r="JC1328" s="73"/>
    </row>
    <row r="1329" spans="2:263" s="72" customFormat="1">
      <c r="B1329" s="73"/>
      <c r="C1329" s="73"/>
      <c r="D1329" s="73"/>
      <c r="E1329" s="73"/>
      <c r="F1329" s="73"/>
      <c r="G1329" s="73"/>
      <c r="H1329" s="73"/>
      <c r="I1329" s="73"/>
      <c r="J1329" s="73"/>
      <c r="K1329" s="73"/>
      <c r="L1329" s="73"/>
      <c r="M1329" s="73"/>
      <c r="N1329" s="73"/>
      <c r="O1329" s="73"/>
      <c r="P1329" s="73"/>
      <c r="Q1329" s="73"/>
      <c r="R1329" s="73"/>
      <c r="S1329" s="73"/>
      <c r="T1329" s="73"/>
      <c r="U1329" s="73"/>
      <c r="V1329" s="73"/>
      <c r="W1329" s="73"/>
      <c r="GL1329" s="73"/>
      <c r="GM1329" s="73"/>
      <c r="GN1329" s="73"/>
      <c r="GO1329" s="73"/>
      <c r="GP1329" s="73"/>
      <c r="GQ1329" s="73"/>
      <c r="GR1329" s="73"/>
      <c r="GS1329" s="73"/>
      <c r="GT1329" s="73"/>
      <c r="GU1329" s="73"/>
      <c r="GV1329" s="73"/>
      <c r="GW1329" s="73"/>
      <c r="GX1329" s="73"/>
      <c r="GY1329" s="73"/>
      <c r="GZ1329" s="73"/>
      <c r="HA1329" s="73"/>
      <c r="HB1329" s="73"/>
      <c r="HC1329" s="73"/>
      <c r="HD1329" s="73"/>
      <c r="HE1329" s="73"/>
      <c r="HF1329" s="73"/>
      <c r="HG1329" s="73"/>
      <c r="HH1329" s="73"/>
      <c r="HI1329" s="73"/>
      <c r="HJ1329" s="73"/>
      <c r="HK1329" s="73"/>
      <c r="HL1329" s="73"/>
      <c r="HM1329" s="73"/>
      <c r="HN1329" s="73"/>
      <c r="HO1329" s="73"/>
      <c r="HP1329" s="73"/>
      <c r="HQ1329" s="73"/>
      <c r="HR1329" s="73"/>
      <c r="HS1329" s="73"/>
      <c r="HT1329" s="73"/>
      <c r="HU1329" s="73"/>
      <c r="HV1329" s="73"/>
      <c r="HW1329" s="73"/>
      <c r="HX1329" s="73"/>
      <c r="HY1329" s="73"/>
      <c r="HZ1329" s="73"/>
      <c r="IA1329" s="73"/>
      <c r="IB1329" s="73"/>
      <c r="IC1329" s="73"/>
      <c r="ID1329" s="73"/>
      <c r="IE1329" s="73"/>
      <c r="IF1329" s="73"/>
      <c r="IG1329" s="73"/>
      <c r="IH1329" s="73"/>
      <c r="II1329" s="73"/>
      <c r="IJ1329" s="73"/>
      <c r="IK1329" s="73"/>
      <c r="IL1329" s="73"/>
      <c r="IM1329" s="73"/>
      <c r="IN1329" s="73"/>
      <c r="IO1329" s="73"/>
      <c r="IP1329" s="73"/>
      <c r="IQ1329" s="73"/>
      <c r="IR1329" s="73"/>
      <c r="IS1329" s="73"/>
      <c r="IT1329" s="73"/>
      <c r="IU1329" s="73"/>
      <c r="IV1329" s="73"/>
      <c r="IW1329" s="73"/>
      <c r="IX1329" s="73"/>
      <c r="IY1329" s="73"/>
      <c r="IZ1329" s="73"/>
      <c r="JA1329" s="73"/>
      <c r="JB1329" s="73"/>
      <c r="JC1329" s="73"/>
    </row>
    <row r="1330" spans="2:263" s="72" customFormat="1">
      <c r="B1330" s="73"/>
      <c r="C1330" s="73"/>
      <c r="D1330" s="73"/>
      <c r="E1330" s="73"/>
      <c r="F1330" s="73"/>
      <c r="G1330" s="73"/>
      <c r="H1330" s="73"/>
      <c r="I1330" s="73"/>
      <c r="J1330" s="73"/>
      <c r="K1330" s="73"/>
      <c r="L1330" s="73"/>
      <c r="M1330" s="73"/>
      <c r="N1330" s="73"/>
      <c r="O1330" s="73"/>
      <c r="P1330" s="73"/>
      <c r="Q1330" s="73"/>
      <c r="R1330" s="73"/>
      <c r="S1330" s="73"/>
      <c r="T1330" s="73"/>
      <c r="U1330" s="73"/>
      <c r="V1330" s="73"/>
      <c r="W1330" s="73"/>
      <c r="GL1330" s="73"/>
      <c r="GM1330" s="73"/>
      <c r="GN1330" s="73"/>
      <c r="GO1330" s="73"/>
      <c r="GP1330" s="73"/>
      <c r="GQ1330" s="73"/>
      <c r="GR1330" s="73"/>
      <c r="GS1330" s="73"/>
      <c r="GT1330" s="73"/>
      <c r="GU1330" s="73"/>
      <c r="GV1330" s="73"/>
      <c r="GW1330" s="73"/>
      <c r="GX1330" s="73"/>
      <c r="GY1330" s="73"/>
      <c r="GZ1330" s="73"/>
      <c r="HA1330" s="73"/>
      <c r="HB1330" s="73"/>
      <c r="HC1330" s="73"/>
      <c r="HD1330" s="73"/>
      <c r="HE1330" s="73"/>
      <c r="HF1330" s="73"/>
      <c r="HG1330" s="73"/>
      <c r="HH1330" s="73"/>
      <c r="HI1330" s="73"/>
      <c r="HJ1330" s="73"/>
      <c r="HK1330" s="73"/>
      <c r="HL1330" s="73"/>
      <c r="HM1330" s="73"/>
      <c r="HN1330" s="73"/>
      <c r="HO1330" s="73"/>
      <c r="HP1330" s="73"/>
      <c r="HQ1330" s="73"/>
      <c r="HR1330" s="73"/>
      <c r="HS1330" s="73"/>
      <c r="HT1330" s="73"/>
      <c r="HU1330" s="73"/>
      <c r="HV1330" s="73"/>
      <c r="HW1330" s="73"/>
      <c r="HX1330" s="73"/>
      <c r="HY1330" s="73"/>
      <c r="HZ1330" s="73"/>
      <c r="IA1330" s="73"/>
      <c r="IB1330" s="73"/>
      <c r="IC1330" s="73"/>
      <c r="ID1330" s="73"/>
      <c r="IE1330" s="73"/>
      <c r="IF1330" s="73"/>
      <c r="IG1330" s="73"/>
      <c r="IH1330" s="73"/>
      <c r="II1330" s="73"/>
      <c r="IJ1330" s="73"/>
      <c r="IK1330" s="73"/>
      <c r="IL1330" s="73"/>
      <c r="IM1330" s="73"/>
      <c r="IN1330" s="73"/>
      <c r="IO1330" s="73"/>
      <c r="IP1330" s="73"/>
      <c r="IQ1330" s="73"/>
      <c r="IR1330" s="73"/>
      <c r="IS1330" s="73"/>
      <c r="IT1330" s="73"/>
      <c r="IU1330" s="73"/>
      <c r="IV1330" s="73"/>
      <c r="IW1330" s="73"/>
      <c r="IX1330" s="73"/>
      <c r="IY1330" s="73"/>
      <c r="IZ1330" s="73"/>
      <c r="JA1330" s="73"/>
      <c r="JB1330" s="73"/>
      <c r="JC1330" s="73"/>
    </row>
    <row r="1331" spans="2:263" s="72" customFormat="1">
      <c r="B1331" s="73"/>
      <c r="C1331" s="73"/>
      <c r="D1331" s="73"/>
      <c r="E1331" s="73"/>
      <c r="F1331" s="73"/>
      <c r="G1331" s="73"/>
      <c r="H1331" s="73"/>
      <c r="I1331" s="73"/>
      <c r="J1331" s="73"/>
      <c r="K1331" s="73"/>
      <c r="L1331" s="73"/>
      <c r="M1331" s="73"/>
      <c r="N1331" s="73"/>
      <c r="O1331" s="73"/>
      <c r="P1331" s="73"/>
      <c r="Q1331" s="73"/>
      <c r="R1331" s="73"/>
      <c r="S1331" s="73"/>
      <c r="T1331" s="73"/>
      <c r="U1331" s="73"/>
      <c r="V1331" s="73"/>
      <c r="W1331" s="73"/>
      <c r="GL1331" s="73"/>
      <c r="GM1331" s="73"/>
      <c r="GN1331" s="73"/>
      <c r="GO1331" s="73"/>
      <c r="GP1331" s="73"/>
      <c r="GQ1331" s="73"/>
      <c r="GR1331" s="73"/>
      <c r="GS1331" s="73"/>
      <c r="GT1331" s="73"/>
      <c r="GU1331" s="73"/>
      <c r="GV1331" s="73"/>
      <c r="GW1331" s="73"/>
      <c r="GX1331" s="73"/>
      <c r="GY1331" s="73"/>
      <c r="GZ1331" s="73"/>
      <c r="HA1331" s="73"/>
      <c r="HB1331" s="73"/>
      <c r="HC1331" s="73"/>
      <c r="HD1331" s="73"/>
      <c r="HE1331" s="73"/>
      <c r="HF1331" s="73"/>
      <c r="HG1331" s="73"/>
      <c r="HH1331" s="73"/>
      <c r="HI1331" s="73"/>
      <c r="HJ1331" s="73"/>
      <c r="HK1331" s="73"/>
      <c r="HL1331" s="73"/>
      <c r="HM1331" s="73"/>
      <c r="HN1331" s="73"/>
      <c r="HO1331" s="73"/>
      <c r="HP1331" s="73"/>
      <c r="HQ1331" s="73"/>
      <c r="HR1331" s="73"/>
      <c r="HS1331" s="73"/>
      <c r="HT1331" s="73"/>
      <c r="HU1331" s="73"/>
      <c r="HV1331" s="73"/>
      <c r="HW1331" s="73"/>
      <c r="HX1331" s="73"/>
      <c r="HY1331" s="73"/>
      <c r="HZ1331" s="73"/>
      <c r="IA1331" s="73"/>
      <c r="IB1331" s="73"/>
      <c r="IC1331" s="73"/>
      <c r="ID1331" s="73"/>
      <c r="IE1331" s="73"/>
      <c r="IF1331" s="73"/>
      <c r="IG1331" s="73"/>
      <c r="IH1331" s="73"/>
      <c r="II1331" s="73"/>
      <c r="IJ1331" s="73"/>
      <c r="IK1331" s="73"/>
      <c r="IL1331" s="73"/>
      <c r="IM1331" s="73"/>
      <c r="IN1331" s="73"/>
      <c r="IO1331" s="73"/>
      <c r="IP1331" s="73"/>
      <c r="IQ1331" s="73"/>
      <c r="IR1331" s="73"/>
      <c r="IS1331" s="73"/>
      <c r="IT1331" s="73"/>
      <c r="IU1331" s="73"/>
      <c r="IV1331" s="73"/>
      <c r="IW1331" s="73"/>
      <c r="IX1331" s="73"/>
      <c r="IY1331" s="73"/>
      <c r="IZ1331" s="73"/>
      <c r="JA1331" s="73"/>
      <c r="JB1331" s="73"/>
      <c r="JC1331" s="73"/>
    </row>
    <row r="1332" spans="2:263" s="72" customFormat="1">
      <c r="B1332" s="73"/>
      <c r="C1332" s="73"/>
      <c r="D1332" s="73"/>
      <c r="E1332" s="73"/>
      <c r="F1332" s="73"/>
      <c r="G1332" s="73"/>
      <c r="H1332" s="73"/>
      <c r="I1332" s="73"/>
      <c r="J1332" s="73"/>
      <c r="K1332" s="73"/>
      <c r="L1332" s="73"/>
      <c r="M1332" s="73"/>
      <c r="N1332" s="73"/>
      <c r="O1332" s="73"/>
      <c r="P1332" s="73"/>
      <c r="Q1332" s="73"/>
      <c r="R1332" s="73"/>
      <c r="S1332" s="73"/>
      <c r="T1332" s="73"/>
      <c r="U1332" s="73"/>
      <c r="V1332" s="73"/>
      <c r="W1332" s="73"/>
      <c r="GL1332" s="73"/>
      <c r="GM1332" s="73"/>
      <c r="GN1332" s="73"/>
      <c r="GO1332" s="73"/>
      <c r="GP1332" s="73"/>
      <c r="GQ1332" s="73"/>
      <c r="GR1332" s="73"/>
      <c r="GS1332" s="73"/>
      <c r="GT1332" s="73"/>
      <c r="GU1332" s="73"/>
      <c r="GV1332" s="73"/>
      <c r="GW1332" s="73"/>
      <c r="GX1332" s="73"/>
      <c r="GY1332" s="73"/>
      <c r="GZ1332" s="73"/>
      <c r="HA1332" s="73"/>
      <c r="HB1332" s="73"/>
      <c r="HC1332" s="73"/>
      <c r="HD1332" s="73"/>
      <c r="HE1332" s="73"/>
      <c r="HF1332" s="73"/>
      <c r="HG1332" s="73"/>
      <c r="HH1332" s="73"/>
      <c r="HI1332" s="73"/>
      <c r="HJ1332" s="73"/>
      <c r="HK1332" s="73"/>
      <c r="HL1332" s="73"/>
      <c r="HM1332" s="73"/>
      <c r="HN1332" s="73"/>
      <c r="HO1332" s="73"/>
      <c r="HP1332" s="73"/>
      <c r="HQ1332" s="73"/>
      <c r="HR1332" s="73"/>
      <c r="HS1332" s="73"/>
      <c r="HT1332" s="73"/>
      <c r="HU1332" s="73"/>
      <c r="HV1332" s="73"/>
      <c r="HW1332" s="73"/>
      <c r="HX1332" s="73"/>
      <c r="HY1332" s="73"/>
      <c r="HZ1332" s="73"/>
      <c r="IA1332" s="73"/>
      <c r="IB1332" s="73"/>
      <c r="IC1332" s="73"/>
      <c r="ID1332" s="73"/>
      <c r="IE1332" s="73"/>
      <c r="IF1332" s="73"/>
      <c r="IG1332" s="73"/>
      <c r="IH1332" s="73"/>
      <c r="II1332" s="73"/>
      <c r="IJ1332" s="73"/>
      <c r="IK1332" s="73"/>
      <c r="IL1332" s="73"/>
      <c r="IM1332" s="73"/>
      <c r="IN1332" s="73"/>
      <c r="IO1332" s="73"/>
      <c r="IP1332" s="73"/>
      <c r="IQ1332" s="73"/>
      <c r="IR1332" s="73"/>
      <c r="IS1332" s="73"/>
      <c r="IT1332" s="73"/>
      <c r="IU1332" s="73"/>
      <c r="IV1332" s="73"/>
      <c r="IW1332" s="73"/>
      <c r="IX1332" s="73"/>
      <c r="IY1332" s="73"/>
      <c r="IZ1332" s="73"/>
      <c r="JA1332" s="73"/>
      <c r="JB1332" s="73"/>
      <c r="JC1332" s="73"/>
    </row>
    <row r="1333" spans="2:263" s="72" customFormat="1">
      <c r="B1333" s="73"/>
      <c r="C1333" s="73"/>
      <c r="D1333" s="73"/>
      <c r="E1333" s="73"/>
      <c r="F1333" s="73"/>
      <c r="G1333" s="73"/>
      <c r="H1333" s="73"/>
      <c r="I1333" s="73"/>
      <c r="J1333" s="73"/>
      <c r="K1333" s="73"/>
      <c r="L1333" s="73"/>
      <c r="M1333" s="73"/>
      <c r="N1333" s="73"/>
      <c r="O1333" s="73"/>
      <c r="P1333" s="73"/>
      <c r="Q1333" s="73"/>
      <c r="R1333" s="73"/>
      <c r="S1333" s="73"/>
      <c r="T1333" s="73"/>
      <c r="U1333" s="73"/>
      <c r="V1333" s="73"/>
      <c r="W1333" s="73"/>
      <c r="GL1333" s="73"/>
      <c r="GM1333" s="73"/>
      <c r="GN1333" s="73"/>
      <c r="GO1333" s="73"/>
      <c r="GP1333" s="73"/>
      <c r="GQ1333" s="73"/>
      <c r="GR1333" s="73"/>
      <c r="GS1333" s="73"/>
      <c r="GT1333" s="73"/>
      <c r="GU1333" s="73"/>
      <c r="GV1333" s="73"/>
      <c r="GW1333" s="73"/>
      <c r="GX1333" s="73"/>
      <c r="GY1333" s="73"/>
      <c r="GZ1333" s="73"/>
      <c r="HA1333" s="73"/>
      <c r="HB1333" s="73"/>
      <c r="HC1333" s="73"/>
      <c r="HD1333" s="73"/>
      <c r="HE1333" s="73"/>
      <c r="HF1333" s="73"/>
      <c r="HG1333" s="73"/>
      <c r="HH1333" s="73"/>
      <c r="HI1333" s="73"/>
      <c r="HJ1333" s="73"/>
      <c r="HK1333" s="73"/>
      <c r="HL1333" s="73"/>
      <c r="HM1333" s="73"/>
      <c r="HN1333" s="73"/>
      <c r="HO1333" s="73"/>
      <c r="HP1333" s="73"/>
      <c r="HQ1333" s="73"/>
      <c r="HR1333" s="73"/>
      <c r="HS1333" s="73"/>
      <c r="HT1333" s="73"/>
      <c r="HU1333" s="73"/>
      <c r="HV1333" s="73"/>
      <c r="HW1333" s="73"/>
      <c r="HX1333" s="73"/>
      <c r="HY1333" s="73"/>
      <c r="HZ1333" s="73"/>
      <c r="IA1333" s="73"/>
      <c r="IB1333" s="73"/>
      <c r="IC1333" s="73"/>
      <c r="ID1333" s="73"/>
      <c r="IE1333" s="73"/>
      <c r="IF1333" s="73"/>
      <c r="IG1333" s="73"/>
      <c r="IH1333" s="73"/>
      <c r="II1333" s="73"/>
      <c r="IJ1333" s="73"/>
      <c r="IK1333" s="73"/>
      <c r="IL1333" s="73"/>
      <c r="IM1333" s="73"/>
      <c r="IN1333" s="73"/>
      <c r="IO1333" s="73"/>
      <c r="IP1333" s="73"/>
      <c r="IQ1333" s="73"/>
      <c r="IR1333" s="73"/>
      <c r="IS1333" s="73"/>
      <c r="IT1333" s="73"/>
      <c r="IU1333" s="73"/>
      <c r="IV1333" s="73"/>
      <c r="IW1333" s="73"/>
      <c r="IX1333" s="73"/>
      <c r="IY1333" s="73"/>
      <c r="IZ1333" s="73"/>
      <c r="JA1333" s="73"/>
      <c r="JB1333" s="73"/>
      <c r="JC1333" s="73"/>
    </row>
    <row r="1334" spans="2:263" s="72" customFormat="1">
      <c r="B1334" s="73"/>
      <c r="C1334" s="73"/>
      <c r="D1334" s="73"/>
      <c r="E1334" s="73"/>
      <c r="F1334" s="73"/>
      <c r="G1334" s="73"/>
      <c r="H1334" s="73"/>
      <c r="I1334" s="73"/>
      <c r="J1334" s="73"/>
      <c r="K1334" s="73"/>
      <c r="L1334" s="73"/>
      <c r="M1334" s="73"/>
      <c r="N1334" s="73"/>
      <c r="O1334" s="73"/>
      <c r="P1334" s="73"/>
      <c r="Q1334" s="73"/>
      <c r="R1334" s="73"/>
      <c r="S1334" s="73"/>
      <c r="T1334" s="73"/>
      <c r="U1334" s="73"/>
      <c r="V1334" s="73"/>
      <c r="W1334" s="73"/>
      <c r="GL1334" s="73"/>
      <c r="GM1334" s="73"/>
      <c r="GN1334" s="73"/>
      <c r="GO1334" s="73"/>
      <c r="GP1334" s="73"/>
      <c r="GQ1334" s="73"/>
      <c r="GR1334" s="73"/>
      <c r="GS1334" s="73"/>
      <c r="GT1334" s="73"/>
      <c r="GU1334" s="73"/>
      <c r="GV1334" s="73"/>
      <c r="GW1334" s="73"/>
      <c r="GX1334" s="73"/>
      <c r="GY1334" s="73"/>
      <c r="GZ1334" s="73"/>
      <c r="HA1334" s="73"/>
      <c r="HB1334" s="73"/>
      <c r="HC1334" s="73"/>
      <c r="HD1334" s="73"/>
      <c r="HE1334" s="73"/>
      <c r="HF1334" s="73"/>
      <c r="HG1334" s="73"/>
      <c r="HH1334" s="73"/>
      <c r="HI1334" s="73"/>
      <c r="HJ1334" s="73"/>
      <c r="HK1334" s="73"/>
      <c r="HL1334" s="73"/>
      <c r="HM1334" s="73"/>
      <c r="HN1334" s="73"/>
      <c r="HO1334" s="73"/>
      <c r="HP1334" s="73"/>
      <c r="HQ1334" s="73"/>
      <c r="HR1334" s="73"/>
      <c r="HS1334" s="73"/>
      <c r="HT1334" s="73"/>
      <c r="HU1334" s="73"/>
      <c r="HV1334" s="73"/>
      <c r="HW1334" s="73"/>
      <c r="HX1334" s="73"/>
      <c r="HY1334" s="73"/>
      <c r="HZ1334" s="73"/>
      <c r="IA1334" s="73"/>
      <c r="IB1334" s="73"/>
      <c r="IC1334" s="73"/>
      <c r="ID1334" s="73"/>
      <c r="IE1334" s="73"/>
      <c r="IF1334" s="73"/>
      <c r="IG1334" s="73"/>
      <c r="IH1334" s="73"/>
      <c r="II1334" s="73"/>
      <c r="IJ1334" s="73"/>
      <c r="IK1334" s="73"/>
      <c r="IL1334" s="73"/>
      <c r="IM1334" s="73"/>
      <c r="IN1334" s="73"/>
      <c r="IO1334" s="73"/>
      <c r="IP1334" s="73"/>
      <c r="IQ1334" s="73"/>
      <c r="IR1334" s="73"/>
      <c r="IS1334" s="73"/>
      <c r="IT1334" s="73"/>
      <c r="IU1334" s="73"/>
      <c r="IV1334" s="73"/>
      <c r="IW1334" s="73"/>
      <c r="IX1334" s="73"/>
      <c r="IY1334" s="73"/>
      <c r="IZ1334" s="73"/>
      <c r="JA1334" s="73"/>
      <c r="JB1334" s="73"/>
      <c r="JC1334" s="73"/>
    </row>
    <row r="1335" spans="2:263" s="72" customFormat="1">
      <c r="B1335" s="73"/>
      <c r="C1335" s="73"/>
      <c r="D1335" s="73"/>
      <c r="E1335" s="73"/>
      <c r="F1335" s="73"/>
      <c r="G1335" s="73"/>
      <c r="H1335" s="73"/>
      <c r="I1335" s="73"/>
      <c r="J1335" s="73"/>
      <c r="K1335" s="73"/>
      <c r="L1335" s="73"/>
      <c r="M1335" s="73"/>
      <c r="N1335" s="73"/>
      <c r="O1335" s="73"/>
      <c r="P1335" s="73"/>
      <c r="Q1335" s="73"/>
      <c r="R1335" s="73"/>
      <c r="S1335" s="73"/>
      <c r="T1335" s="73"/>
      <c r="U1335" s="73"/>
      <c r="V1335" s="73"/>
      <c r="W1335" s="73"/>
      <c r="GL1335" s="73"/>
      <c r="GM1335" s="73"/>
      <c r="GN1335" s="73"/>
      <c r="GO1335" s="73"/>
      <c r="GP1335" s="73"/>
      <c r="GQ1335" s="73"/>
      <c r="GR1335" s="73"/>
      <c r="GS1335" s="73"/>
      <c r="GT1335" s="73"/>
      <c r="GU1335" s="73"/>
      <c r="GV1335" s="73"/>
      <c r="GW1335" s="73"/>
      <c r="GX1335" s="73"/>
      <c r="GY1335" s="73"/>
      <c r="GZ1335" s="73"/>
      <c r="HA1335" s="73"/>
      <c r="HB1335" s="73"/>
      <c r="HC1335" s="73"/>
      <c r="HD1335" s="73"/>
      <c r="HE1335" s="73"/>
      <c r="HF1335" s="73"/>
      <c r="HG1335" s="73"/>
      <c r="HH1335" s="73"/>
      <c r="HI1335" s="73"/>
      <c r="HJ1335" s="73"/>
      <c r="HK1335" s="73"/>
      <c r="HL1335" s="73"/>
      <c r="HM1335" s="73"/>
      <c r="HN1335" s="73"/>
      <c r="HO1335" s="73"/>
      <c r="HP1335" s="73"/>
      <c r="HQ1335" s="73"/>
      <c r="HR1335" s="73"/>
      <c r="HS1335" s="73"/>
      <c r="HT1335" s="73"/>
      <c r="HU1335" s="73"/>
      <c r="HV1335" s="73"/>
      <c r="HW1335" s="73"/>
      <c r="HX1335" s="73"/>
      <c r="HY1335" s="73"/>
      <c r="HZ1335" s="73"/>
      <c r="IA1335" s="73"/>
      <c r="IB1335" s="73"/>
      <c r="IC1335" s="73"/>
      <c r="ID1335" s="73"/>
      <c r="IE1335" s="73"/>
      <c r="IF1335" s="73"/>
      <c r="IG1335" s="73"/>
      <c r="IH1335" s="73"/>
      <c r="II1335" s="73"/>
      <c r="IJ1335" s="73"/>
      <c r="IK1335" s="73"/>
      <c r="IL1335" s="73"/>
      <c r="IM1335" s="73"/>
      <c r="IN1335" s="73"/>
      <c r="IO1335" s="73"/>
      <c r="IP1335" s="73"/>
      <c r="IQ1335" s="73"/>
      <c r="IR1335" s="73"/>
      <c r="IS1335" s="73"/>
      <c r="IT1335" s="73"/>
      <c r="IU1335" s="73"/>
      <c r="IV1335" s="73"/>
      <c r="IW1335" s="73"/>
      <c r="IX1335" s="73"/>
      <c r="IY1335" s="73"/>
      <c r="IZ1335" s="73"/>
      <c r="JA1335" s="73"/>
      <c r="JB1335" s="73"/>
      <c r="JC1335" s="73"/>
    </row>
    <row r="1336" spans="2:263" s="72" customFormat="1">
      <c r="B1336" s="73"/>
      <c r="C1336" s="73"/>
      <c r="D1336" s="73"/>
      <c r="E1336" s="73"/>
      <c r="F1336" s="73"/>
      <c r="G1336" s="73"/>
      <c r="H1336" s="73"/>
      <c r="I1336" s="73"/>
      <c r="J1336" s="73"/>
      <c r="K1336" s="73"/>
      <c r="L1336" s="73"/>
      <c r="M1336" s="73"/>
      <c r="N1336" s="73"/>
      <c r="O1336" s="73"/>
      <c r="P1336" s="73"/>
      <c r="Q1336" s="73"/>
      <c r="R1336" s="73"/>
      <c r="S1336" s="73"/>
      <c r="T1336" s="73"/>
      <c r="U1336" s="73"/>
      <c r="V1336" s="73"/>
      <c r="W1336" s="73"/>
      <c r="GL1336" s="73"/>
      <c r="GM1336" s="73"/>
      <c r="GN1336" s="73"/>
      <c r="GO1336" s="73"/>
      <c r="GP1336" s="73"/>
      <c r="GQ1336" s="73"/>
      <c r="GR1336" s="73"/>
      <c r="GS1336" s="73"/>
      <c r="GT1336" s="73"/>
      <c r="GU1336" s="73"/>
      <c r="GV1336" s="73"/>
      <c r="GW1336" s="73"/>
      <c r="GX1336" s="73"/>
      <c r="GY1336" s="73"/>
      <c r="GZ1336" s="73"/>
      <c r="HA1336" s="73"/>
      <c r="HB1336" s="73"/>
      <c r="HC1336" s="73"/>
      <c r="HD1336" s="73"/>
      <c r="HE1336" s="73"/>
      <c r="HF1336" s="73"/>
      <c r="HG1336" s="73"/>
      <c r="HH1336" s="73"/>
      <c r="HI1336" s="73"/>
      <c r="HJ1336" s="73"/>
      <c r="HK1336" s="73"/>
      <c r="HL1336" s="73"/>
      <c r="HM1336" s="73"/>
      <c r="HN1336" s="73"/>
      <c r="HO1336" s="73"/>
      <c r="HP1336" s="73"/>
      <c r="HQ1336" s="73"/>
      <c r="HR1336" s="73"/>
      <c r="HS1336" s="73"/>
      <c r="HT1336" s="73"/>
      <c r="HU1336" s="73"/>
      <c r="HV1336" s="73"/>
      <c r="HW1336" s="73"/>
      <c r="HX1336" s="73"/>
      <c r="HY1336" s="73"/>
      <c r="HZ1336" s="73"/>
      <c r="IA1336" s="73"/>
      <c r="IB1336" s="73"/>
      <c r="IC1336" s="73"/>
      <c r="ID1336" s="73"/>
      <c r="IE1336" s="73"/>
      <c r="IF1336" s="73"/>
      <c r="IG1336" s="73"/>
      <c r="IH1336" s="73"/>
      <c r="II1336" s="73"/>
      <c r="IJ1336" s="73"/>
      <c r="IK1336" s="73"/>
      <c r="IL1336" s="73"/>
      <c r="IM1336" s="73"/>
      <c r="IN1336" s="73"/>
      <c r="IO1336" s="73"/>
      <c r="IP1336" s="73"/>
      <c r="IQ1336" s="73"/>
      <c r="IR1336" s="73"/>
      <c r="IS1336" s="73"/>
      <c r="IT1336" s="73"/>
      <c r="IU1336" s="73"/>
      <c r="IV1336" s="73"/>
      <c r="IW1336" s="73"/>
      <c r="IX1336" s="73"/>
      <c r="IY1336" s="73"/>
      <c r="IZ1336" s="73"/>
      <c r="JA1336" s="73"/>
      <c r="JB1336" s="73"/>
      <c r="JC1336" s="73"/>
    </row>
    <row r="1337" spans="2:263" s="72" customFormat="1">
      <c r="B1337" s="73"/>
      <c r="C1337" s="73"/>
      <c r="D1337" s="73"/>
      <c r="E1337" s="73"/>
      <c r="F1337" s="73"/>
      <c r="G1337" s="73"/>
      <c r="H1337" s="73"/>
      <c r="I1337" s="73"/>
      <c r="J1337" s="73"/>
      <c r="K1337" s="73"/>
      <c r="L1337" s="73"/>
      <c r="M1337" s="73"/>
      <c r="N1337" s="73"/>
      <c r="O1337" s="73"/>
      <c r="P1337" s="73"/>
      <c r="Q1337" s="73"/>
      <c r="R1337" s="73"/>
      <c r="S1337" s="73"/>
      <c r="T1337" s="73"/>
      <c r="U1337" s="73"/>
      <c r="V1337" s="73"/>
      <c r="W1337" s="73"/>
      <c r="GL1337" s="73"/>
      <c r="GM1337" s="73"/>
      <c r="GN1337" s="73"/>
      <c r="GO1337" s="73"/>
      <c r="GP1337" s="73"/>
      <c r="GQ1337" s="73"/>
      <c r="GR1337" s="73"/>
      <c r="GS1337" s="73"/>
      <c r="GT1337" s="73"/>
      <c r="GU1337" s="73"/>
      <c r="GV1337" s="73"/>
      <c r="GW1337" s="73"/>
      <c r="GX1337" s="73"/>
      <c r="GY1337" s="73"/>
      <c r="GZ1337" s="73"/>
      <c r="HA1337" s="73"/>
      <c r="HB1337" s="73"/>
      <c r="HC1337" s="73"/>
      <c r="HD1337" s="73"/>
      <c r="HE1337" s="73"/>
      <c r="HF1337" s="73"/>
      <c r="HG1337" s="73"/>
      <c r="HH1337" s="73"/>
      <c r="HI1337" s="73"/>
      <c r="HJ1337" s="73"/>
      <c r="HK1337" s="73"/>
      <c r="HL1337" s="73"/>
      <c r="HM1337" s="73"/>
      <c r="HN1337" s="73"/>
      <c r="HO1337" s="73"/>
      <c r="HP1337" s="73"/>
      <c r="HQ1337" s="73"/>
      <c r="HR1337" s="73"/>
      <c r="HS1337" s="73"/>
      <c r="HT1337" s="73"/>
      <c r="HU1337" s="73"/>
      <c r="HV1337" s="73"/>
      <c r="HW1337" s="73"/>
      <c r="HX1337" s="73"/>
      <c r="HY1337" s="73"/>
      <c r="HZ1337" s="73"/>
      <c r="IA1337" s="73"/>
      <c r="IB1337" s="73"/>
      <c r="IC1337" s="73"/>
      <c r="ID1337" s="73"/>
      <c r="IE1337" s="73"/>
      <c r="IF1337" s="73"/>
      <c r="IG1337" s="73"/>
      <c r="IH1337" s="73"/>
      <c r="II1337" s="73"/>
      <c r="IJ1337" s="73"/>
      <c r="IK1337" s="73"/>
      <c r="IL1337" s="73"/>
      <c r="IM1337" s="73"/>
      <c r="IN1337" s="73"/>
      <c r="IO1337" s="73"/>
      <c r="IP1337" s="73"/>
      <c r="IQ1337" s="73"/>
      <c r="IR1337" s="73"/>
      <c r="IS1337" s="73"/>
      <c r="IT1337" s="73"/>
      <c r="IU1337" s="73"/>
      <c r="IV1337" s="73"/>
      <c r="IW1337" s="73"/>
      <c r="IX1337" s="73"/>
      <c r="IY1337" s="73"/>
      <c r="IZ1337" s="73"/>
      <c r="JA1337" s="73"/>
      <c r="JB1337" s="73"/>
      <c r="JC1337" s="73"/>
    </row>
    <row r="1338" spans="2:263" s="72" customFormat="1">
      <c r="B1338" s="73"/>
      <c r="C1338" s="73"/>
      <c r="D1338" s="73"/>
      <c r="E1338" s="73"/>
      <c r="F1338" s="73"/>
      <c r="G1338" s="73"/>
      <c r="H1338" s="73"/>
      <c r="I1338" s="73"/>
      <c r="J1338" s="73"/>
      <c r="K1338" s="73"/>
      <c r="L1338" s="73"/>
      <c r="M1338" s="73"/>
      <c r="N1338" s="73"/>
      <c r="O1338" s="73"/>
      <c r="P1338" s="73"/>
      <c r="Q1338" s="73"/>
      <c r="R1338" s="73"/>
      <c r="S1338" s="73"/>
      <c r="T1338" s="73"/>
      <c r="U1338" s="73"/>
      <c r="V1338" s="73"/>
      <c r="W1338" s="73"/>
      <c r="GL1338" s="73"/>
      <c r="GM1338" s="73"/>
      <c r="GN1338" s="73"/>
      <c r="GO1338" s="73"/>
      <c r="GP1338" s="73"/>
      <c r="GQ1338" s="73"/>
      <c r="GR1338" s="73"/>
      <c r="GS1338" s="73"/>
      <c r="GT1338" s="73"/>
      <c r="GU1338" s="73"/>
      <c r="GV1338" s="73"/>
      <c r="GW1338" s="73"/>
      <c r="GX1338" s="73"/>
      <c r="GY1338" s="73"/>
      <c r="GZ1338" s="73"/>
      <c r="HA1338" s="73"/>
      <c r="HB1338" s="73"/>
      <c r="HC1338" s="73"/>
      <c r="HD1338" s="73"/>
      <c r="HE1338" s="73"/>
      <c r="HF1338" s="73"/>
      <c r="HG1338" s="73"/>
      <c r="HH1338" s="73"/>
      <c r="HI1338" s="73"/>
      <c r="HJ1338" s="73"/>
      <c r="HK1338" s="73"/>
      <c r="HL1338" s="73"/>
      <c r="HM1338" s="73"/>
      <c r="HN1338" s="73"/>
      <c r="HO1338" s="73"/>
      <c r="HP1338" s="73"/>
      <c r="HQ1338" s="73"/>
      <c r="HR1338" s="73"/>
      <c r="HS1338" s="73"/>
      <c r="HT1338" s="73"/>
      <c r="HU1338" s="73"/>
      <c r="HV1338" s="73"/>
      <c r="HW1338" s="73"/>
      <c r="HX1338" s="73"/>
      <c r="HY1338" s="73"/>
      <c r="HZ1338" s="73"/>
      <c r="IA1338" s="73"/>
      <c r="IB1338" s="73"/>
      <c r="IC1338" s="73"/>
      <c r="ID1338" s="73"/>
      <c r="IE1338" s="73"/>
      <c r="IF1338" s="73"/>
      <c r="IG1338" s="73"/>
      <c r="IH1338" s="73"/>
      <c r="II1338" s="73"/>
      <c r="IJ1338" s="73"/>
      <c r="IK1338" s="73"/>
      <c r="IL1338" s="73"/>
      <c r="IM1338" s="73"/>
      <c r="IN1338" s="73"/>
      <c r="IO1338" s="73"/>
      <c r="IP1338" s="73"/>
      <c r="IQ1338" s="73"/>
      <c r="IR1338" s="73"/>
      <c r="IS1338" s="73"/>
      <c r="IT1338" s="73"/>
      <c r="IU1338" s="73"/>
      <c r="IV1338" s="73"/>
      <c r="IW1338" s="73"/>
      <c r="IX1338" s="73"/>
      <c r="IY1338" s="73"/>
      <c r="IZ1338" s="73"/>
      <c r="JA1338" s="73"/>
      <c r="JB1338" s="73"/>
      <c r="JC1338" s="73"/>
    </row>
    <row r="1339" spans="2:263" s="72" customFormat="1">
      <c r="B1339" s="73"/>
      <c r="C1339" s="73"/>
      <c r="D1339" s="73"/>
      <c r="E1339" s="73"/>
      <c r="F1339" s="73"/>
      <c r="G1339" s="73"/>
      <c r="H1339" s="73"/>
      <c r="I1339" s="73"/>
      <c r="J1339" s="73"/>
      <c r="K1339" s="73"/>
      <c r="L1339" s="73"/>
      <c r="M1339" s="73"/>
      <c r="N1339" s="73"/>
      <c r="O1339" s="73"/>
      <c r="P1339" s="73"/>
      <c r="Q1339" s="73"/>
      <c r="R1339" s="73"/>
      <c r="S1339" s="73"/>
      <c r="T1339" s="73"/>
      <c r="U1339" s="73"/>
      <c r="V1339" s="73"/>
      <c r="W1339" s="73"/>
      <c r="GL1339" s="73"/>
      <c r="GM1339" s="73"/>
      <c r="GN1339" s="73"/>
      <c r="GO1339" s="73"/>
      <c r="GP1339" s="73"/>
      <c r="GQ1339" s="73"/>
      <c r="GR1339" s="73"/>
      <c r="GS1339" s="73"/>
      <c r="GT1339" s="73"/>
      <c r="GU1339" s="73"/>
      <c r="GV1339" s="73"/>
      <c r="GW1339" s="73"/>
      <c r="GX1339" s="73"/>
      <c r="GY1339" s="73"/>
      <c r="GZ1339" s="73"/>
      <c r="HA1339" s="73"/>
      <c r="HB1339" s="73"/>
      <c r="HC1339" s="73"/>
      <c r="HD1339" s="73"/>
      <c r="HE1339" s="73"/>
      <c r="HF1339" s="73"/>
      <c r="HG1339" s="73"/>
      <c r="HH1339" s="73"/>
      <c r="HI1339" s="73"/>
      <c r="HJ1339" s="73"/>
      <c r="HK1339" s="73"/>
      <c r="HL1339" s="73"/>
      <c r="HM1339" s="73"/>
      <c r="HN1339" s="73"/>
      <c r="HO1339" s="73"/>
      <c r="HP1339" s="73"/>
      <c r="HQ1339" s="73"/>
      <c r="HR1339" s="73"/>
      <c r="HS1339" s="73"/>
      <c r="HT1339" s="73"/>
      <c r="HU1339" s="73"/>
      <c r="HV1339" s="73"/>
      <c r="HW1339" s="73"/>
      <c r="HX1339" s="73"/>
      <c r="HY1339" s="73"/>
      <c r="HZ1339" s="73"/>
      <c r="IA1339" s="73"/>
      <c r="IB1339" s="73"/>
      <c r="IC1339" s="73"/>
      <c r="ID1339" s="73"/>
      <c r="IE1339" s="73"/>
      <c r="IF1339" s="73"/>
      <c r="IG1339" s="73"/>
      <c r="IH1339" s="73"/>
      <c r="II1339" s="73"/>
      <c r="IJ1339" s="73"/>
      <c r="IK1339" s="73"/>
      <c r="IL1339" s="73"/>
      <c r="IM1339" s="73"/>
      <c r="IN1339" s="73"/>
      <c r="IO1339" s="73"/>
      <c r="IP1339" s="73"/>
      <c r="IQ1339" s="73"/>
      <c r="IR1339" s="73"/>
      <c r="IS1339" s="73"/>
      <c r="IT1339" s="73"/>
      <c r="IU1339" s="73"/>
      <c r="IV1339" s="73"/>
      <c r="IW1339" s="73"/>
      <c r="IX1339" s="73"/>
      <c r="IY1339" s="73"/>
      <c r="IZ1339" s="73"/>
      <c r="JA1339" s="73"/>
      <c r="JB1339" s="73"/>
      <c r="JC1339" s="73"/>
    </row>
    <row r="1340" spans="2:263" s="72" customFormat="1">
      <c r="B1340" s="73"/>
      <c r="C1340" s="73"/>
      <c r="D1340" s="73"/>
      <c r="E1340" s="73"/>
      <c r="F1340" s="73"/>
      <c r="G1340" s="73"/>
      <c r="H1340" s="73"/>
      <c r="I1340" s="73"/>
      <c r="J1340" s="73"/>
      <c r="K1340" s="73"/>
      <c r="L1340" s="73"/>
      <c r="M1340" s="73"/>
      <c r="N1340" s="73"/>
      <c r="O1340" s="73"/>
      <c r="P1340" s="73"/>
      <c r="Q1340" s="73"/>
      <c r="R1340" s="73"/>
      <c r="S1340" s="73"/>
      <c r="T1340" s="73"/>
      <c r="U1340" s="73"/>
      <c r="V1340" s="73"/>
      <c r="W1340" s="73"/>
      <c r="GL1340" s="73"/>
      <c r="GM1340" s="73"/>
      <c r="GN1340" s="73"/>
      <c r="GO1340" s="73"/>
      <c r="GP1340" s="73"/>
      <c r="GQ1340" s="73"/>
      <c r="GR1340" s="73"/>
      <c r="GS1340" s="73"/>
      <c r="GT1340" s="73"/>
      <c r="GU1340" s="73"/>
      <c r="GV1340" s="73"/>
      <c r="GW1340" s="73"/>
      <c r="GX1340" s="73"/>
      <c r="GY1340" s="73"/>
      <c r="GZ1340" s="73"/>
      <c r="HA1340" s="73"/>
      <c r="HB1340" s="73"/>
      <c r="HC1340" s="73"/>
      <c r="HD1340" s="73"/>
      <c r="HE1340" s="73"/>
      <c r="HF1340" s="73"/>
      <c r="HG1340" s="73"/>
      <c r="HH1340" s="73"/>
      <c r="HI1340" s="73"/>
      <c r="HJ1340" s="73"/>
      <c r="HK1340" s="73"/>
      <c r="HL1340" s="73"/>
      <c r="HM1340" s="73"/>
      <c r="HN1340" s="73"/>
      <c r="HO1340" s="73"/>
      <c r="HP1340" s="73"/>
      <c r="HQ1340" s="73"/>
      <c r="HR1340" s="73"/>
      <c r="HS1340" s="73"/>
      <c r="HT1340" s="73"/>
      <c r="HU1340" s="73"/>
      <c r="HV1340" s="73"/>
      <c r="HW1340" s="73"/>
      <c r="HX1340" s="73"/>
      <c r="HY1340" s="73"/>
      <c r="HZ1340" s="73"/>
      <c r="IA1340" s="73"/>
      <c r="IB1340" s="73"/>
      <c r="IC1340" s="73"/>
      <c r="ID1340" s="73"/>
      <c r="IE1340" s="73"/>
      <c r="IF1340" s="73"/>
      <c r="IG1340" s="73"/>
      <c r="IH1340" s="73"/>
      <c r="II1340" s="73"/>
      <c r="IJ1340" s="73"/>
      <c r="IK1340" s="73"/>
      <c r="IL1340" s="73"/>
      <c r="IM1340" s="73"/>
      <c r="IN1340" s="73"/>
      <c r="IO1340" s="73"/>
      <c r="IP1340" s="73"/>
      <c r="IQ1340" s="73"/>
      <c r="IR1340" s="73"/>
      <c r="IS1340" s="73"/>
      <c r="IT1340" s="73"/>
      <c r="IU1340" s="73"/>
      <c r="IV1340" s="73"/>
      <c r="IW1340" s="73"/>
      <c r="IX1340" s="73"/>
      <c r="IY1340" s="73"/>
      <c r="IZ1340" s="73"/>
      <c r="JA1340" s="73"/>
      <c r="JB1340" s="73"/>
      <c r="JC1340" s="73"/>
    </row>
    <row r="1341" spans="2:263" s="72" customFormat="1">
      <c r="B1341" s="73"/>
      <c r="C1341" s="73"/>
      <c r="D1341" s="73"/>
      <c r="E1341" s="73"/>
      <c r="F1341" s="73"/>
      <c r="G1341" s="73"/>
      <c r="H1341" s="73"/>
      <c r="I1341" s="73"/>
      <c r="J1341" s="73"/>
      <c r="K1341" s="73"/>
      <c r="L1341" s="73"/>
      <c r="M1341" s="73"/>
      <c r="N1341" s="73"/>
      <c r="O1341" s="73"/>
      <c r="P1341" s="73"/>
      <c r="Q1341" s="73"/>
      <c r="R1341" s="73"/>
      <c r="S1341" s="73"/>
      <c r="T1341" s="73"/>
      <c r="U1341" s="73"/>
      <c r="V1341" s="73"/>
      <c r="W1341" s="73"/>
      <c r="GL1341" s="73"/>
      <c r="GM1341" s="73"/>
      <c r="GN1341" s="73"/>
      <c r="GO1341" s="73"/>
      <c r="GP1341" s="73"/>
      <c r="GQ1341" s="73"/>
      <c r="GR1341" s="73"/>
      <c r="GS1341" s="73"/>
      <c r="GT1341" s="73"/>
      <c r="GU1341" s="73"/>
      <c r="GV1341" s="73"/>
      <c r="GW1341" s="73"/>
      <c r="GX1341" s="73"/>
      <c r="GY1341" s="73"/>
      <c r="GZ1341" s="73"/>
      <c r="HA1341" s="73"/>
      <c r="HB1341" s="73"/>
      <c r="HC1341" s="73"/>
      <c r="HD1341" s="73"/>
      <c r="HE1341" s="73"/>
      <c r="HF1341" s="73"/>
      <c r="HG1341" s="73"/>
      <c r="HH1341" s="73"/>
      <c r="HI1341" s="73"/>
      <c r="HJ1341" s="73"/>
      <c r="HK1341" s="73"/>
      <c r="HL1341" s="73"/>
      <c r="HM1341" s="73"/>
      <c r="HN1341" s="73"/>
      <c r="HO1341" s="73"/>
      <c r="HP1341" s="73"/>
      <c r="HQ1341" s="73"/>
      <c r="HR1341" s="73"/>
      <c r="HS1341" s="73"/>
      <c r="HT1341" s="73"/>
      <c r="HU1341" s="73"/>
      <c r="HV1341" s="73"/>
      <c r="HW1341" s="73"/>
      <c r="HX1341" s="73"/>
      <c r="HY1341" s="73"/>
      <c r="HZ1341" s="73"/>
      <c r="IA1341" s="73"/>
      <c r="IB1341" s="73"/>
      <c r="IC1341" s="73"/>
      <c r="ID1341" s="73"/>
      <c r="IE1341" s="73"/>
      <c r="IF1341" s="73"/>
      <c r="IG1341" s="73"/>
      <c r="IH1341" s="73"/>
      <c r="II1341" s="73"/>
      <c r="IJ1341" s="73"/>
      <c r="IK1341" s="73"/>
      <c r="IL1341" s="73"/>
      <c r="IM1341" s="73"/>
      <c r="IN1341" s="73"/>
      <c r="IO1341" s="73"/>
      <c r="IP1341" s="73"/>
      <c r="IQ1341" s="73"/>
      <c r="IR1341" s="73"/>
      <c r="IS1341" s="73"/>
      <c r="IT1341" s="73"/>
      <c r="IU1341" s="73"/>
      <c r="IV1341" s="73"/>
      <c r="IW1341" s="73"/>
      <c r="IX1341" s="73"/>
      <c r="IY1341" s="73"/>
      <c r="IZ1341" s="73"/>
      <c r="JA1341" s="73"/>
      <c r="JB1341" s="73"/>
      <c r="JC1341" s="73"/>
    </row>
    <row r="1342" spans="2:263" s="72" customFormat="1">
      <c r="B1342" s="73"/>
      <c r="C1342" s="73"/>
      <c r="D1342" s="73"/>
      <c r="E1342" s="73"/>
      <c r="F1342" s="73"/>
      <c r="G1342" s="73"/>
      <c r="H1342" s="73"/>
      <c r="I1342" s="73"/>
      <c r="J1342" s="73"/>
      <c r="K1342" s="73"/>
      <c r="L1342" s="73"/>
      <c r="M1342" s="73"/>
      <c r="N1342" s="73"/>
      <c r="O1342" s="73"/>
      <c r="P1342" s="73"/>
      <c r="Q1342" s="73"/>
      <c r="R1342" s="73"/>
      <c r="S1342" s="73"/>
      <c r="T1342" s="73"/>
      <c r="U1342" s="73"/>
      <c r="V1342" s="73"/>
      <c r="W1342" s="73"/>
      <c r="GL1342" s="73"/>
      <c r="GM1342" s="73"/>
      <c r="GN1342" s="73"/>
      <c r="GO1342" s="73"/>
      <c r="GP1342" s="73"/>
      <c r="GQ1342" s="73"/>
      <c r="GR1342" s="73"/>
      <c r="GS1342" s="73"/>
      <c r="GT1342" s="73"/>
      <c r="GU1342" s="73"/>
      <c r="GV1342" s="73"/>
      <c r="GW1342" s="73"/>
      <c r="GX1342" s="73"/>
      <c r="GY1342" s="73"/>
      <c r="GZ1342" s="73"/>
      <c r="HA1342" s="73"/>
      <c r="HB1342" s="73"/>
      <c r="HC1342" s="73"/>
      <c r="HD1342" s="73"/>
      <c r="HE1342" s="73"/>
      <c r="HF1342" s="73"/>
      <c r="HG1342" s="73"/>
      <c r="HH1342" s="73"/>
      <c r="HI1342" s="73"/>
      <c r="HJ1342" s="73"/>
      <c r="HK1342" s="73"/>
      <c r="HL1342" s="73"/>
      <c r="HM1342" s="73"/>
      <c r="HN1342" s="73"/>
      <c r="HO1342" s="73"/>
      <c r="HP1342" s="73"/>
      <c r="HQ1342" s="73"/>
      <c r="HR1342" s="73"/>
      <c r="HS1342" s="73"/>
      <c r="HT1342" s="73"/>
      <c r="HU1342" s="73"/>
      <c r="HV1342" s="73"/>
      <c r="HW1342" s="73"/>
      <c r="HX1342" s="73"/>
      <c r="HY1342" s="73"/>
      <c r="HZ1342" s="73"/>
      <c r="IA1342" s="73"/>
      <c r="IB1342" s="73"/>
      <c r="IC1342" s="73"/>
      <c r="ID1342" s="73"/>
      <c r="IE1342" s="73"/>
      <c r="IF1342" s="73"/>
      <c r="IG1342" s="73"/>
      <c r="IH1342" s="73"/>
      <c r="II1342" s="73"/>
      <c r="IJ1342" s="73"/>
      <c r="IK1342" s="73"/>
      <c r="IL1342" s="73"/>
      <c r="IM1342" s="73"/>
      <c r="IN1342" s="73"/>
      <c r="IO1342" s="73"/>
      <c r="IP1342" s="73"/>
      <c r="IQ1342" s="73"/>
      <c r="IR1342" s="73"/>
      <c r="IS1342" s="73"/>
      <c r="IT1342" s="73"/>
      <c r="IU1342" s="73"/>
      <c r="IV1342" s="73"/>
      <c r="IW1342" s="73"/>
      <c r="IX1342" s="73"/>
      <c r="IY1342" s="73"/>
      <c r="IZ1342" s="73"/>
      <c r="JA1342" s="73"/>
      <c r="JB1342" s="73"/>
      <c r="JC1342" s="73"/>
    </row>
    <row r="1343" spans="2:263" s="72" customFormat="1">
      <c r="B1343" s="73"/>
      <c r="C1343" s="73"/>
      <c r="D1343" s="73"/>
      <c r="E1343" s="73"/>
      <c r="F1343" s="73"/>
      <c r="G1343" s="73"/>
      <c r="H1343" s="73"/>
      <c r="I1343" s="73"/>
      <c r="J1343" s="73"/>
      <c r="K1343" s="73"/>
      <c r="L1343" s="73"/>
      <c r="M1343" s="73"/>
      <c r="N1343" s="73"/>
      <c r="O1343" s="73"/>
      <c r="P1343" s="73"/>
      <c r="Q1343" s="73"/>
      <c r="R1343" s="73"/>
      <c r="S1343" s="73"/>
      <c r="T1343" s="73"/>
      <c r="U1343" s="73"/>
      <c r="V1343" s="73"/>
      <c r="W1343" s="73"/>
      <c r="GL1343" s="73"/>
      <c r="GM1343" s="73"/>
      <c r="GN1343" s="73"/>
      <c r="GO1343" s="73"/>
      <c r="GP1343" s="73"/>
      <c r="GQ1343" s="73"/>
      <c r="GR1343" s="73"/>
      <c r="GS1343" s="73"/>
      <c r="GT1343" s="73"/>
      <c r="GU1343" s="73"/>
      <c r="GV1343" s="73"/>
      <c r="GW1343" s="73"/>
      <c r="GX1343" s="73"/>
      <c r="GY1343" s="73"/>
      <c r="GZ1343" s="73"/>
      <c r="HA1343" s="73"/>
      <c r="HB1343" s="73"/>
      <c r="HC1343" s="73"/>
      <c r="HD1343" s="73"/>
      <c r="HE1343" s="73"/>
      <c r="HF1343" s="73"/>
      <c r="HG1343" s="73"/>
      <c r="HH1343" s="73"/>
      <c r="HI1343" s="73"/>
      <c r="HJ1343" s="73"/>
      <c r="HK1343" s="73"/>
      <c r="HL1343" s="73"/>
      <c r="HM1343" s="73"/>
      <c r="HN1343" s="73"/>
      <c r="HO1343" s="73"/>
      <c r="HP1343" s="73"/>
      <c r="HQ1343" s="73"/>
      <c r="HR1343" s="73"/>
      <c r="HS1343" s="73"/>
      <c r="HT1343" s="73"/>
      <c r="HU1343" s="73"/>
      <c r="HV1343" s="73"/>
      <c r="HW1343" s="73"/>
      <c r="HX1343" s="73"/>
      <c r="HY1343" s="73"/>
      <c r="HZ1343" s="73"/>
      <c r="IA1343" s="73"/>
      <c r="IB1343" s="73"/>
      <c r="IC1343" s="73"/>
      <c r="ID1343" s="73"/>
      <c r="IE1343" s="73"/>
      <c r="IF1343" s="73"/>
      <c r="IG1343" s="73"/>
      <c r="IH1343" s="73"/>
      <c r="II1343" s="73"/>
      <c r="IJ1343" s="73"/>
      <c r="IK1343" s="73"/>
      <c r="IL1343" s="73"/>
      <c r="IM1343" s="73"/>
      <c r="IN1343" s="73"/>
      <c r="IO1343" s="73"/>
      <c r="IP1343" s="73"/>
      <c r="IQ1343" s="73"/>
      <c r="IR1343" s="73"/>
      <c r="IS1343" s="73"/>
      <c r="IT1343" s="73"/>
      <c r="IU1343" s="73"/>
      <c r="IV1343" s="73"/>
      <c r="IW1343" s="73"/>
      <c r="IX1343" s="73"/>
      <c r="IY1343" s="73"/>
      <c r="IZ1343" s="73"/>
      <c r="JA1343" s="73"/>
      <c r="JB1343" s="73"/>
      <c r="JC1343" s="73"/>
    </row>
    <row r="1344" spans="2:263" s="72" customFormat="1">
      <c r="B1344" s="73"/>
      <c r="C1344" s="73"/>
      <c r="D1344" s="73"/>
      <c r="E1344" s="73"/>
      <c r="F1344" s="73"/>
      <c r="G1344" s="73"/>
      <c r="H1344" s="73"/>
      <c r="I1344" s="73"/>
      <c r="J1344" s="73"/>
      <c r="K1344" s="73"/>
      <c r="L1344" s="73"/>
      <c r="M1344" s="73"/>
      <c r="N1344" s="73"/>
      <c r="O1344" s="73"/>
      <c r="P1344" s="73"/>
      <c r="Q1344" s="73"/>
      <c r="R1344" s="73"/>
      <c r="S1344" s="73"/>
      <c r="T1344" s="73"/>
      <c r="U1344" s="73"/>
      <c r="V1344" s="73"/>
      <c r="W1344" s="73"/>
      <c r="GL1344" s="73"/>
      <c r="GM1344" s="73"/>
      <c r="GN1344" s="73"/>
      <c r="GO1344" s="73"/>
      <c r="GP1344" s="73"/>
      <c r="GQ1344" s="73"/>
      <c r="GR1344" s="73"/>
      <c r="GS1344" s="73"/>
      <c r="GT1344" s="73"/>
      <c r="GU1344" s="73"/>
      <c r="GV1344" s="73"/>
      <c r="GW1344" s="73"/>
      <c r="GX1344" s="73"/>
      <c r="GY1344" s="73"/>
      <c r="GZ1344" s="73"/>
      <c r="HA1344" s="73"/>
      <c r="HB1344" s="73"/>
      <c r="HC1344" s="73"/>
      <c r="HD1344" s="73"/>
      <c r="HE1344" s="73"/>
      <c r="HF1344" s="73"/>
      <c r="HG1344" s="73"/>
      <c r="HH1344" s="73"/>
      <c r="HI1344" s="73"/>
      <c r="HJ1344" s="73"/>
      <c r="HK1344" s="73"/>
      <c r="HL1344" s="73"/>
      <c r="HM1344" s="73"/>
      <c r="HN1344" s="73"/>
      <c r="HO1344" s="73"/>
      <c r="HP1344" s="73"/>
      <c r="HQ1344" s="73"/>
      <c r="HR1344" s="73"/>
      <c r="HS1344" s="73"/>
      <c r="HT1344" s="73"/>
      <c r="HU1344" s="73"/>
      <c r="HV1344" s="73"/>
      <c r="HW1344" s="73"/>
      <c r="HX1344" s="73"/>
      <c r="HY1344" s="73"/>
      <c r="HZ1344" s="73"/>
      <c r="IA1344" s="73"/>
      <c r="IB1344" s="73"/>
      <c r="IC1344" s="73"/>
      <c r="ID1344" s="73"/>
      <c r="IE1344" s="73"/>
      <c r="IF1344" s="73"/>
      <c r="IG1344" s="73"/>
      <c r="IH1344" s="73"/>
      <c r="II1344" s="73"/>
      <c r="IJ1344" s="73"/>
      <c r="IK1344" s="73"/>
      <c r="IL1344" s="73"/>
      <c r="IM1344" s="73"/>
      <c r="IN1344" s="73"/>
      <c r="IO1344" s="73"/>
      <c r="IP1344" s="73"/>
      <c r="IQ1344" s="73"/>
      <c r="IR1344" s="73"/>
      <c r="IS1344" s="73"/>
      <c r="IT1344" s="73"/>
      <c r="IU1344" s="73"/>
      <c r="IV1344" s="73"/>
      <c r="IW1344" s="73"/>
      <c r="IX1344" s="73"/>
      <c r="IY1344" s="73"/>
      <c r="IZ1344" s="73"/>
      <c r="JA1344" s="73"/>
      <c r="JB1344" s="73"/>
      <c r="JC1344" s="73"/>
    </row>
    <row r="1345" spans="2:263" s="72" customFormat="1">
      <c r="B1345" s="73"/>
      <c r="C1345" s="73"/>
      <c r="D1345" s="73"/>
      <c r="E1345" s="73"/>
      <c r="F1345" s="73"/>
      <c r="G1345" s="73"/>
      <c r="H1345" s="73"/>
      <c r="I1345" s="73"/>
      <c r="J1345" s="73"/>
      <c r="K1345" s="73"/>
      <c r="L1345" s="73"/>
      <c r="M1345" s="73"/>
      <c r="N1345" s="73"/>
      <c r="O1345" s="73"/>
      <c r="P1345" s="73"/>
      <c r="Q1345" s="73"/>
      <c r="R1345" s="73"/>
      <c r="S1345" s="73"/>
      <c r="T1345" s="73"/>
      <c r="U1345" s="73"/>
      <c r="V1345" s="73"/>
      <c r="W1345" s="73"/>
      <c r="GL1345" s="73"/>
      <c r="GM1345" s="73"/>
      <c r="GN1345" s="73"/>
      <c r="GO1345" s="73"/>
      <c r="GP1345" s="73"/>
      <c r="GQ1345" s="73"/>
      <c r="GR1345" s="73"/>
      <c r="GS1345" s="73"/>
      <c r="GT1345" s="73"/>
      <c r="GU1345" s="73"/>
      <c r="GV1345" s="73"/>
      <c r="GW1345" s="73"/>
      <c r="GX1345" s="73"/>
      <c r="GY1345" s="73"/>
      <c r="GZ1345" s="73"/>
      <c r="HA1345" s="73"/>
      <c r="HB1345" s="73"/>
      <c r="HC1345" s="73"/>
      <c r="HD1345" s="73"/>
      <c r="HE1345" s="73"/>
      <c r="HF1345" s="73"/>
      <c r="HG1345" s="73"/>
      <c r="HH1345" s="73"/>
      <c r="HI1345" s="73"/>
      <c r="HJ1345" s="73"/>
      <c r="HK1345" s="73"/>
      <c r="HL1345" s="73"/>
      <c r="HM1345" s="73"/>
      <c r="HN1345" s="73"/>
      <c r="HO1345" s="73"/>
      <c r="HP1345" s="73"/>
      <c r="HQ1345" s="73"/>
      <c r="HR1345" s="73"/>
      <c r="HS1345" s="73"/>
      <c r="HT1345" s="73"/>
      <c r="HU1345" s="73"/>
      <c r="HV1345" s="73"/>
      <c r="HW1345" s="73"/>
      <c r="HX1345" s="73"/>
      <c r="HY1345" s="73"/>
      <c r="HZ1345" s="73"/>
      <c r="IA1345" s="73"/>
      <c r="IB1345" s="73"/>
      <c r="IC1345" s="73"/>
      <c r="ID1345" s="73"/>
      <c r="IE1345" s="73"/>
      <c r="IF1345" s="73"/>
      <c r="IG1345" s="73"/>
      <c r="IH1345" s="73"/>
      <c r="II1345" s="73"/>
      <c r="IJ1345" s="73"/>
      <c r="IK1345" s="73"/>
      <c r="IL1345" s="73"/>
      <c r="IM1345" s="73"/>
      <c r="IN1345" s="73"/>
      <c r="IO1345" s="73"/>
      <c r="IP1345" s="73"/>
      <c r="IQ1345" s="73"/>
      <c r="IR1345" s="73"/>
      <c r="IS1345" s="73"/>
      <c r="IT1345" s="73"/>
      <c r="IU1345" s="73"/>
      <c r="IV1345" s="73"/>
      <c r="IW1345" s="73"/>
      <c r="IX1345" s="73"/>
      <c r="IY1345" s="73"/>
      <c r="IZ1345" s="73"/>
      <c r="JA1345" s="73"/>
      <c r="JB1345" s="73"/>
      <c r="JC1345" s="73"/>
    </row>
    <row r="1346" spans="2:263" s="72" customFormat="1">
      <c r="B1346" s="73"/>
      <c r="C1346" s="73"/>
      <c r="D1346" s="73"/>
      <c r="E1346" s="73"/>
      <c r="F1346" s="73"/>
      <c r="G1346" s="73"/>
      <c r="H1346" s="73"/>
      <c r="I1346" s="73"/>
      <c r="J1346" s="73"/>
      <c r="K1346" s="73"/>
      <c r="L1346" s="73"/>
      <c r="M1346" s="73"/>
      <c r="N1346" s="73"/>
      <c r="O1346" s="73"/>
      <c r="P1346" s="73"/>
      <c r="Q1346" s="73"/>
      <c r="R1346" s="73"/>
      <c r="S1346" s="73"/>
      <c r="T1346" s="73"/>
      <c r="U1346" s="73"/>
      <c r="V1346" s="73"/>
      <c r="W1346" s="73"/>
      <c r="GL1346" s="73"/>
      <c r="GM1346" s="73"/>
      <c r="GN1346" s="73"/>
      <c r="GO1346" s="73"/>
      <c r="GP1346" s="73"/>
      <c r="GQ1346" s="73"/>
      <c r="GR1346" s="73"/>
      <c r="GS1346" s="73"/>
      <c r="GT1346" s="73"/>
      <c r="GU1346" s="73"/>
      <c r="GV1346" s="73"/>
      <c r="GW1346" s="73"/>
      <c r="GX1346" s="73"/>
      <c r="GY1346" s="73"/>
      <c r="GZ1346" s="73"/>
      <c r="HA1346" s="73"/>
      <c r="HB1346" s="73"/>
      <c r="HC1346" s="73"/>
      <c r="HD1346" s="73"/>
      <c r="HE1346" s="73"/>
      <c r="HF1346" s="73"/>
      <c r="HG1346" s="73"/>
      <c r="HH1346" s="73"/>
      <c r="HI1346" s="73"/>
      <c r="HJ1346" s="73"/>
      <c r="HK1346" s="73"/>
      <c r="HL1346" s="73"/>
      <c r="HM1346" s="73"/>
      <c r="HN1346" s="73"/>
      <c r="HO1346" s="73"/>
      <c r="HP1346" s="73"/>
      <c r="HQ1346" s="73"/>
      <c r="HR1346" s="73"/>
      <c r="HS1346" s="73"/>
      <c r="HT1346" s="73"/>
      <c r="HU1346" s="73"/>
      <c r="HV1346" s="73"/>
      <c r="HW1346" s="73"/>
      <c r="HX1346" s="73"/>
      <c r="HY1346" s="73"/>
      <c r="HZ1346" s="73"/>
      <c r="IA1346" s="73"/>
      <c r="IB1346" s="73"/>
      <c r="IC1346" s="73"/>
      <c r="ID1346" s="73"/>
      <c r="IE1346" s="73"/>
      <c r="IF1346" s="73"/>
      <c r="IG1346" s="73"/>
      <c r="IH1346" s="73"/>
      <c r="II1346" s="73"/>
      <c r="IJ1346" s="73"/>
      <c r="IK1346" s="73"/>
      <c r="IL1346" s="73"/>
      <c r="IM1346" s="73"/>
      <c r="IN1346" s="73"/>
      <c r="IO1346" s="73"/>
      <c r="IP1346" s="73"/>
      <c r="IQ1346" s="73"/>
      <c r="IR1346" s="73"/>
      <c r="IS1346" s="73"/>
      <c r="IT1346" s="73"/>
      <c r="IU1346" s="73"/>
      <c r="IV1346" s="73"/>
      <c r="IW1346" s="73"/>
      <c r="IX1346" s="73"/>
      <c r="IY1346" s="73"/>
      <c r="IZ1346" s="73"/>
      <c r="JA1346" s="73"/>
      <c r="JB1346" s="73"/>
      <c r="JC1346" s="73"/>
    </row>
    <row r="1347" spans="2:263" s="72" customFormat="1">
      <c r="B1347" s="73"/>
      <c r="C1347" s="73"/>
      <c r="D1347" s="73"/>
      <c r="E1347" s="73"/>
      <c r="F1347" s="73"/>
      <c r="G1347" s="73"/>
      <c r="H1347" s="73"/>
      <c r="I1347" s="73"/>
      <c r="J1347" s="73"/>
      <c r="K1347" s="73"/>
      <c r="L1347" s="73"/>
      <c r="M1347" s="73"/>
      <c r="N1347" s="73"/>
      <c r="O1347" s="73"/>
      <c r="P1347" s="73"/>
      <c r="Q1347" s="73"/>
      <c r="R1347" s="73"/>
      <c r="S1347" s="73"/>
      <c r="T1347" s="73"/>
      <c r="U1347" s="73"/>
      <c r="V1347" s="73"/>
      <c r="W1347" s="73"/>
      <c r="GL1347" s="73"/>
      <c r="GM1347" s="73"/>
      <c r="GN1347" s="73"/>
      <c r="GO1347" s="73"/>
      <c r="GP1347" s="73"/>
      <c r="GQ1347" s="73"/>
      <c r="GR1347" s="73"/>
      <c r="GS1347" s="73"/>
      <c r="GT1347" s="73"/>
      <c r="GU1347" s="73"/>
      <c r="GV1347" s="73"/>
      <c r="GW1347" s="73"/>
      <c r="GX1347" s="73"/>
      <c r="GY1347" s="73"/>
      <c r="GZ1347" s="73"/>
      <c r="HA1347" s="73"/>
      <c r="HB1347" s="73"/>
      <c r="HC1347" s="73"/>
      <c r="HD1347" s="73"/>
      <c r="HE1347" s="73"/>
      <c r="HF1347" s="73"/>
      <c r="HG1347" s="73"/>
      <c r="HH1347" s="73"/>
      <c r="HI1347" s="73"/>
      <c r="HJ1347" s="73"/>
      <c r="HK1347" s="73"/>
      <c r="HL1347" s="73"/>
      <c r="HM1347" s="73"/>
      <c r="HN1347" s="73"/>
      <c r="HO1347" s="73"/>
      <c r="HP1347" s="73"/>
      <c r="HQ1347" s="73"/>
      <c r="HR1347" s="73"/>
      <c r="HS1347" s="73"/>
      <c r="HT1347" s="73"/>
      <c r="HU1347" s="73"/>
      <c r="HV1347" s="73"/>
      <c r="HW1347" s="73"/>
      <c r="HX1347" s="73"/>
      <c r="HY1347" s="73"/>
      <c r="HZ1347" s="73"/>
      <c r="IA1347" s="73"/>
      <c r="IB1347" s="73"/>
      <c r="IC1347" s="73"/>
      <c r="ID1347" s="73"/>
      <c r="IE1347" s="73"/>
      <c r="IF1347" s="73"/>
      <c r="IG1347" s="73"/>
      <c r="IH1347" s="73"/>
      <c r="II1347" s="73"/>
      <c r="IJ1347" s="73"/>
      <c r="IK1347" s="73"/>
      <c r="IL1347" s="73"/>
      <c r="IM1347" s="73"/>
      <c r="IN1347" s="73"/>
      <c r="IO1347" s="73"/>
      <c r="IP1347" s="73"/>
      <c r="IQ1347" s="73"/>
      <c r="IR1347" s="73"/>
      <c r="IS1347" s="73"/>
      <c r="IT1347" s="73"/>
      <c r="IU1347" s="73"/>
      <c r="IV1347" s="73"/>
      <c r="IW1347" s="73"/>
      <c r="IX1347" s="73"/>
      <c r="IY1347" s="73"/>
      <c r="IZ1347" s="73"/>
      <c r="JA1347" s="73"/>
      <c r="JB1347" s="73"/>
      <c r="JC1347" s="73"/>
    </row>
    <row r="1348" spans="2:263" s="72" customFormat="1">
      <c r="B1348" s="73"/>
      <c r="C1348" s="73"/>
      <c r="D1348" s="73"/>
      <c r="E1348" s="73"/>
      <c r="F1348" s="73"/>
      <c r="G1348" s="73"/>
      <c r="H1348" s="73"/>
      <c r="I1348" s="73"/>
      <c r="J1348" s="73"/>
      <c r="K1348" s="73"/>
      <c r="L1348" s="73"/>
      <c r="M1348" s="73"/>
      <c r="N1348" s="73"/>
      <c r="O1348" s="73"/>
      <c r="P1348" s="73"/>
      <c r="Q1348" s="73"/>
      <c r="R1348" s="73"/>
      <c r="S1348" s="73"/>
      <c r="T1348" s="73"/>
      <c r="U1348" s="73"/>
      <c r="V1348" s="73"/>
      <c r="W1348" s="73"/>
      <c r="GL1348" s="73"/>
      <c r="GM1348" s="73"/>
      <c r="GN1348" s="73"/>
      <c r="GO1348" s="73"/>
      <c r="GP1348" s="73"/>
      <c r="GQ1348" s="73"/>
      <c r="GR1348" s="73"/>
      <c r="GS1348" s="73"/>
      <c r="GT1348" s="73"/>
      <c r="GU1348" s="73"/>
      <c r="GV1348" s="73"/>
      <c r="GW1348" s="73"/>
      <c r="GX1348" s="73"/>
      <c r="GY1348" s="73"/>
      <c r="GZ1348" s="73"/>
      <c r="HA1348" s="73"/>
      <c r="HB1348" s="73"/>
      <c r="HC1348" s="73"/>
      <c r="HD1348" s="73"/>
      <c r="HE1348" s="73"/>
      <c r="HF1348" s="73"/>
      <c r="HG1348" s="73"/>
      <c r="HH1348" s="73"/>
      <c r="HI1348" s="73"/>
      <c r="HJ1348" s="73"/>
      <c r="HK1348" s="73"/>
      <c r="HL1348" s="73"/>
      <c r="HM1348" s="73"/>
      <c r="HN1348" s="73"/>
      <c r="HO1348" s="73"/>
      <c r="HP1348" s="73"/>
      <c r="HQ1348" s="73"/>
      <c r="HR1348" s="73"/>
      <c r="HS1348" s="73"/>
      <c r="HT1348" s="73"/>
      <c r="HU1348" s="73"/>
      <c r="HV1348" s="73"/>
      <c r="HW1348" s="73"/>
      <c r="HX1348" s="73"/>
      <c r="HY1348" s="73"/>
      <c r="HZ1348" s="73"/>
      <c r="IA1348" s="73"/>
      <c r="IB1348" s="73"/>
      <c r="IC1348" s="73"/>
      <c r="ID1348" s="73"/>
      <c r="IE1348" s="73"/>
      <c r="IF1348" s="73"/>
      <c r="IG1348" s="73"/>
      <c r="IH1348" s="73"/>
      <c r="II1348" s="73"/>
      <c r="IJ1348" s="73"/>
      <c r="IK1348" s="73"/>
      <c r="IL1348" s="73"/>
      <c r="IM1348" s="73"/>
      <c r="IN1348" s="73"/>
      <c r="IO1348" s="73"/>
      <c r="IP1348" s="73"/>
      <c r="IQ1348" s="73"/>
      <c r="IR1348" s="73"/>
      <c r="IS1348" s="73"/>
      <c r="IT1348" s="73"/>
      <c r="IU1348" s="73"/>
      <c r="IV1348" s="73"/>
      <c r="IW1348" s="73"/>
      <c r="IX1348" s="73"/>
      <c r="IY1348" s="73"/>
      <c r="IZ1348" s="73"/>
      <c r="JA1348" s="73"/>
      <c r="JB1348" s="73"/>
      <c r="JC1348" s="73"/>
    </row>
    <row r="1349" spans="2:263" s="72" customFormat="1">
      <c r="B1349" s="73"/>
      <c r="C1349" s="73"/>
      <c r="D1349" s="73"/>
      <c r="E1349" s="73"/>
      <c r="F1349" s="73"/>
      <c r="G1349" s="73"/>
      <c r="H1349" s="73"/>
      <c r="I1349" s="73"/>
      <c r="J1349" s="73"/>
      <c r="K1349" s="73"/>
      <c r="L1349" s="73"/>
      <c r="M1349" s="73"/>
      <c r="N1349" s="73"/>
      <c r="O1349" s="73"/>
      <c r="P1349" s="73"/>
      <c r="Q1349" s="73"/>
      <c r="R1349" s="73"/>
      <c r="S1349" s="73"/>
      <c r="T1349" s="73"/>
      <c r="U1349" s="73"/>
      <c r="V1349" s="73"/>
      <c r="W1349" s="73"/>
      <c r="GL1349" s="73"/>
      <c r="GM1349" s="73"/>
      <c r="GN1349" s="73"/>
      <c r="GO1349" s="73"/>
      <c r="GP1349" s="73"/>
      <c r="GQ1349" s="73"/>
      <c r="GR1349" s="73"/>
      <c r="GS1349" s="73"/>
      <c r="GT1349" s="73"/>
      <c r="GU1349" s="73"/>
      <c r="GV1349" s="73"/>
      <c r="GW1349" s="73"/>
      <c r="GX1349" s="73"/>
      <c r="GY1349" s="73"/>
      <c r="GZ1349" s="73"/>
      <c r="HA1349" s="73"/>
      <c r="HB1349" s="73"/>
      <c r="HC1349" s="73"/>
      <c r="HD1349" s="73"/>
      <c r="HE1349" s="73"/>
      <c r="HF1349" s="73"/>
      <c r="HG1349" s="73"/>
      <c r="HH1349" s="73"/>
      <c r="HI1349" s="73"/>
      <c r="HJ1349" s="73"/>
      <c r="HK1349" s="73"/>
      <c r="HL1349" s="73"/>
      <c r="HM1349" s="73"/>
      <c r="HN1349" s="73"/>
      <c r="HO1349" s="73"/>
      <c r="HP1349" s="73"/>
      <c r="HQ1349" s="73"/>
      <c r="HR1349" s="73"/>
      <c r="HS1349" s="73"/>
      <c r="HT1349" s="73"/>
      <c r="HU1349" s="73"/>
      <c r="HV1349" s="73"/>
      <c r="HW1349" s="73"/>
      <c r="HX1349" s="73"/>
      <c r="HY1349" s="73"/>
      <c r="HZ1349" s="73"/>
      <c r="IA1349" s="73"/>
      <c r="IB1349" s="73"/>
      <c r="IC1349" s="73"/>
      <c r="ID1349" s="73"/>
      <c r="IE1349" s="73"/>
      <c r="IF1349" s="73"/>
      <c r="IG1349" s="73"/>
      <c r="IH1349" s="73"/>
      <c r="II1349" s="73"/>
      <c r="IJ1349" s="73"/>
      <c r="IK1349" s="73"/>
      <c r="IL1349" s="73"/>
      <c r="IM1349" s="73"/>
      <c r="IN1349" s="73"/>
      <c r="IO1349" s="73"/>
      <c r="IP1349" s="73"/>
      <c r="IQ1349" s="73"/>
      <c r="IR1349" s="73"/>
      <c r="IS1349" s="73"/>
      <c r="IT1349" s="73"/>
      <c r="IU1349" s="73"/>
      <c r="IV1349" s="73"/>
      <c r="IW1349" s="73"/>
      <c r="IX1349" s="73"/>
      <c r="IY1349" s="73"/>
      <c r="IZ1349" s="73"/>
      <c r="JA1349" s="73"/>
      <c r="JB1349" s="73"/>
      <c r="JC1349" s="73"/>
    </row>
    <row r="1350" spans="2:263" s="72" customFormat="1">
      <c r="B1350" s="73"/>
      <c r="C1350" s="73"/>
      <c r="D1350" s="73"/>
      <c r="E1350" s="73"/>
      <c r="F1350" s="73"/>
      <c r="G1350" s="73"/>
      <c r="H1350" s="73"/>
      <c r="I1350" s="73"/>
      <c r="J1350" s="73"/>
      <c r="K1350" s="73"/>
      <c r="L1350" s="73"/>
      <c r="M1350" s="73"/>
      <c r="N1350" s="73"/>
      <c r="O1350" s="73"/>
      <c r="P1350" s="73"/>
      <c r="Q1350" s="73"/>
      <c r="R1350" s="73"/>
      <c r="S1350" s="73"/>
      <c r="T1350" s="73"/>
      <c r="U1350" s="73"/>
      <c r="V1350" s="73"/>
      <c r="W1350" s="73"/>
      <c r="GL1350" s="73"/>
      <c r="GM1350" s="73"/>
      <c r="GN1350" s="73"/>
      <c r="GO1350" s="73"/>
      <c r="GP1350" s="73"/>
      <c r="GQ1350" s="73"/>
      <c r="GR1350" s="73"/>
      <c r="GS1350" s="73"/>
      <c r="GT1350" s="73"/>
      <c r="GU1350" s="73"/>
      <c r="GV1350" s="73"/>
      <c r="GW1350" s="73"/>
      <c r="GX1350" s="73"/>
      <c r="GY1350" s="73"/>
      <c r="GZ1350" s="73"/>
      <c r="HA1350" s="73"/>
      <c r="HB1350" s="73"/>
      <c r="HC1350" s="73"/>
      <c r="HD1350" s="73"/>
      <c r="HE1350" s="73"/>
      <c r="HF1350" s="73"/>
      <c r="HG1350" s="73"/>
      <c r="HH1350" s="73"/>
      <c r="HI1350" s="73"/>
      <c r="HJ1350" s="73"/>
      <c r="HK1350" s="73"/>
      <c r="HL1350" s="73"/>
      <c r="HM1350" s="73"/>
      <c r="HN1350" s="73"/>
      <c r="HO1350" s="73"/>
      <c r="HP1350" s="73"/>
      <c r="HQ1350" s="73"/>
      <c r="HR1350" s="73"/>
      <c r="HS1350" s="73"/>
      <c r="HT1350" s="73"/>
      <c r="HU1350" s="73"/>
      <c r="HV1350" s="73"/>
      <c r="HW1350" s="73"/>
      <c r="HX1350" s="73"/>
      <c r="HY1350" s="73"/>
      <c r="HZ1350" s="73"/>
      <c r="IA1350" s="73"/>
      <c r="IB1350" s="73"/>
      <c r="IC1350" s="73"/>
      <c r="ID1350" s="73"/>
      <c r="IE1350" s="73"/>
      <c r="IF1350" s="73"/>
      <c r="IG1350" s="73"/>
      <c r="IH1350" s="73"/>
      <c r="II1350" s="73"/>
      <c r="IJ1350" s="73"/>
      <c r="IK1350" s="73"/>
      <c r="IL1350" s="73"/>
      <c r="IM1350" s="73"/>
      <c r="IN1350" s="73"/>
      <c r="IO1350" s="73"/>
      <c r="IP1350" s="73"/>
      <c r="IQ1350" s="73"/>
      <c r="IR1350" s="73"/>
      <c r="IS1350" s="73"/>
      <c r="IT1350" s="73"/>
      <c r="IU1350" s="73"/>
      <c r="IV1350" s="73"/>
      <c r="IW1350" s="73"/>
      <c r="IX1350" s="73"/>
      <c r="IY1350" s="73"/>
      <c r="IZ1350" s="73"/>
      <c r="JA1350" s="73"/>
      <c r="JB1350" s="73"/>
      <c r="JC1350" s="73"/>
    </row>
    <row r="1351" spans="2:263" s="72" customFormat="1">
      <c r="B1351" s="73"/>
      <c r="C1351" s="73"/>
      <c r="D1351" s="73"/>
      <c r="E1351" s="73"/>
      <c r="F1351" s="73"/>
      <c r="G1351" s="73"/>
      <c r="H1351" s="73"/>
      <c r="I1351" s="73"/>
      <c r="J1351" s="73"/>
      <c r="K1351" s="73"/>
      <c r="L1351" s="73"/>
      <c r="M1351" s="73"/>
      <c r="N1351" s="73"/>
      <c r="O1351" s="73"/>
      <c r="P1351" s="73"/>
      <c r="Q1351" s="73"/>
      <c r="R1351" s="73"/>
      <c r="S1351" s="73"/>
      <c r="T1351" s="73"/>
      <c r="U1351" s="73"/>
      <c r="V1351" s="73"/>
      <c r="W1351" s="73"/>
      <c r="GL1351" s="73"/>
      <c r="GM1351" s="73"/>
      <c r="GN1351" s="73"/>
      <c r="GO1351" s="73"/>
      <c r="GP1351" s="73"/>
      <c r="GQ1351" s="73"/>
      <c r="GR1351" s="73"/>
      <c r="GS1351" s="73"/>
      <c r="GT1351" s="73"/>
      <c r="GU1351" s="73"/>
      <c r="GV1351" s="73"/>
      <c r="GW1351" s="73"/>
      <c r="GX1351" s="73"/>
      <c r="GY1351" s="73"/>
      <c r="GZ1351" s="73"/>
      <c r="HA1351" s="73"/>
      <c r="HB1351" s="73"/>
      <c r="HC1351" s="73"/>
      <c r="HD1351" s="73"/>
      <c r="HE1351" s="73"/>
      <c r="HF1351" s="73"/>
      <c r="HG1351" s="73"/>
      <c r="HH1351" s="73"/>
      <c r="HI1351" s="73"/>
      <c r="HJ1351" s="73"/>
      <c r="HK1351" s="73"/>
      <c r="HL1351" s="73"/>
      <c r="HM1351" s="73"/>
      <c r="HN1351" s="73"/>
      <c r="HO1351" s="73"/>
      <c r="HP1351" s="73"/>
      <c r="HQ1351" s="73"/>
      <c r="HR1351" s="73"/>
      <c r="HS1351" s="73"/>
      <c r="HT1351" s="73"/>
      <c r="HU1351" s="73"/>
      <c r="HV1351" s="73"/>
      <c r="HW1351" s="73"/>
      <c r="HX1351" s="73"/>
      <c r="HY1351" s="73"/>
      <c r="HZ1351" s="73"/>
      <c r="IA1351" s="73"/>
      <c r="IB1351" s="73"/>
      <c r="IC1351" s="73"/>
      <c r="ID1351" s="73"/>
      <c r="IE1351" s="73"/>
      <c r="IF1351" s="73"/>
      <c r="IG1351" s="73"/>
      <c r="IH1351" s="73"/>
      <c r="II1351" s="73"/>
      <c r="IJ1351" s="73"/>
      <c r="IK1351" s="73"/>
      <c r="IL1351" s="73"/>
      <c r="IM1351" s="73"/>
      <c r="IN1351" s="73"/>
      <c r="IO1351" s="73"/>
      <c r="IP1351" s="73"/>
      <c r="IQ1351" s="73"/>
      <c r="IR1351" s="73"/>
      <c r="IS1351" s="73"/>
      <c r="IT1351" s="73"/>
      <c r="IU1351" s="73"/>
      <c r="IV1351" s="73"/>
      <c r="IW1351" s="73"/>
      <c r="IX1351" s="73"/>
      <c r="IY1351" s="73"/>
      <c r="IZ1351" s="73"/>
      <c r="JA1351" s="73"/>
      <c r="JB1351" s="73"/>
      <c r="JC1351" s="73"/>
    </row>
    <row r="1352" spans="2:263" s="72" customFormat="1">
      <c r="B1352" s="73"/>
      <c r="C1352" s="73"/>
      <c r="D1352" s="73"/>
      <c r="E1352" s="73"/>
      <c r="F1352" s="73"/>
      <c r="G1352" s="73"/>
      <c r="H1352" s="73"/>
      <c r="I1352" s="73"/>
      <c r="J1352" s="73"/>
      <c r="K1352" s="73"/>
      <c r="L1352" s="73"/>
      <c r="M1352" s="73"/>
      <c r="N1352" s="73"/>
      <c r="O1352" s="73"/>
      <c r="P1352" s="73"/>
      <c r="Q1352" s="73"/>
      <c r="R1352" s="73"/>
      <c r="S1352" s="73"/>
      <c r="T1352" s="73"/>
      <c r="U1352" s="73"/>
      <c r="V1352" s="73"/>
      <c r="W1352" s="73"/>
      <c r="GL1352" s="73"/>
      <c r="GM1352" s="73"/>
      <c r="GN1352" s="73"/>
      <c r="GO1352" s="73"/>
      <c r="GP1352" s="73"/>
      <c r="GQ1352" s="73"/>
      <c r="GR1352" s="73"/>
      <c r="GS1352" s="73"/>
      <c r="GT1352" s="73"/>
      <c r="GU1352" s="73"/>
      <c r="GV1352" s="73"/>
      <c r="GW1352" s="73"/>
      <c r="GX1352" s="73"/>
      <c r="GY1352" s="73"/>
      <c r="GZ1352" s="73"/>
      <c r="HA1352" s="73"/>
      <c r="HB1352" s="73"/>
      <c r="HC1352" s="73"/>
      <c r="HD1352" s="73"/>
      <c r="HE1352" s="73"/>
      <c r="HF1352" s="73"/>
      <c r="HG1352" s="73"/>
      <c r="HH1352" s="73"/>
      <c r="HI1352" s="73"/>
      <c r="HJ1352" s="73"/>
      <c r="HK1352" s="73"/>
      <c r="HL1352" s="73"/>
      <c r="HM1352" s="73"/>
      <c r="HN1352" s="73"/>
      <c r="HO1352" s="73"/>
      <c r="HP1352" s="73"/>
      <c r="HQ1352" s="73"/>
      <c r="HR1352" s="73"/>
      <c r="HS1352" s="73"/>
      <c r="HT1352" s="73"/>
      <c r="HU1352" s="73"/>
      <c r="HV1352" s="73"/>
      <c r="HW1352" s="73"/>
      <c r="HX1352" s="73"/>
      <c r="HY1352" s="73"/>
      <c r="HZ1352" s="73"/>
      <c r="IA1352" s="73"/>
      <c r="IB1352" s="73"/>
      <c r="IC1352" s="73"/>
      <c r="ID1352" s="73"/>
      <c r="IE1352" s="73"/>
      <c r="IF1352" s="73"/>
      <c r="IG1352" s="73"/>
      <c r="IH1352" s="73"/>
      <c r="II1352" s="73"/>
      <c r="IJ1352" s="73"/>
      <c r="IK1352" s="73"/>
      <c r="IL1352" s="73"/>
      <c r="IM1352" s="73"/>
      <c r="IN1352" s="73"/>
      <c r="IO1352" s="73"/>
      <c r="IP1352" s="73"/>
      <c r="IQ1352" s="73"/>
      <c r="IR1352" s="73"/>
      <c r="IS1352" s="73"/>
      <c r="IT1352" s="73"/>
      <c r="IU1352" s="73"/>
      <c r="IV1352" s="73"/>
      <c r="IW1352" s="73"/>
      <c r="IX1352" s="73"/>
      <c r="IY1352" s="73"/>
      <c r="IZ1352" s="73"/>
      <c r="JA1352" s="73"/>
      <c r="JB1352" s="73"/>
      <c r="JC1352" s="73"/>
    </row>
    <row r="1353" spans="2:263" s="72" customFormat="1">
      <c r="B1353" s="73"/>
      <c r="C1353" s="73"/>
      <c r="D1353" s="73"/>
      <c r="E1353" s="73"/>
      <c r="F1353" s="73"/>
      <c r="G1353" s="73"/>
      <c r="H1353" s="73"/>
      <c r="I1353" s="73"/>
      <c r="J1353" s="73"/>
      <c r="K1353" s="73"/>
      <c r="L1353" s="73"/>
      <c r="M1353" s="73"/>
      <c r="N1353" s="73"/>
      <c r="O1353" s="73"/>
      <c r="P1353" s="73"/>
      <c r="Q1353" s="73"/>
      <c r="R1353" s="73"/>
      <c r="S1353" s="73"/>
      <c r="T1353" s="73"/>
      <c r="U1353" s="73"/>
      <c r="V1353" s="73"/>
      <c r="W1353" s="73"/>
      <c r="GL1353" s="73"/>
      <c r="GM1353" s="73"/>
      <c r="GN1353" s="73"/>
      <c r="GO1353" s="73"/>
      <c r="GP1353" s="73"/>
      <c r="GQ1353" s="73"/>
      <c r="GR1353" s="73"/>
      <c r="GS1353" s="73"/>
      <c r="GT1353" s="73"/>
      <c r="GU1353" s="73"/>
      <c r="GV1353" s="73"/>
      <c r="GW1353" s="73"/>
      <c r="GX1353" s="73"/>
      <c r="GY1353" s="73"/>
      <c r="GZ1353" s="73"/>
      <c r="HA1353" s="73"/>
      <c r="HB1353" s="73"/>
      <c r="HC1353" s="73"/>
      <c r="HD1353" s="73"/>
      <c r="HE1353" s="73"/>
      <c r="HF1353" s="73"/>
      <c r="HG1353" s="73"/>
      <c r="HH1353" s="73"/>
      <c r="HI1353" s="73"/>
      <c r="HJ1353" s="73"/>
      <c r="HK1353" s="73"/>
      <c r="HL1353" s="73"/>
      <c r="HM1353" s="73"/>
      <c r="HN1353" s="73"/>
      <c r="HO1353" s="73"/>
      <c r="HP1353" s="73"/>
      <c r="HQ1353" s="73"/>
      <c r="HR1353" s="73"/>
      <c r="HS1353" s="73"/>
      <c r="HT1353" s="73"/>
      <c r="HU1353" s="73"/>
      <c r="HV1353" s="73"/>
      <c r="HW1353" s="73"/>
      <c r="HX1353" s="73"/>
      <c r="HY1353" s="73"/>
      <c r="HZ1353" s="73"/>
      <c r="IA1353" s="73"/>
      <c r="IB1353" s="73"/>
      <c r="IC1353" s="73"/>
      <c r="ID1353" s="73"/>
      <c r="IE1353" s="73"/>
      <c r="IF1353" s="73"/>
      <c r="IG1353" s="73"/>
      <c r="IH1353" s="73"/>
      <c r="II1353" s="73"/>
      <c r="IJ1353" s="73"/>
      <c r="IK1353" s="73"/>
      <c r="IL1353" s="73"/>
      <c r="IM1353" s="73"/>
      <c r="IN1353" s="73"/>
      <c r="IO1353" s="73"/>
      <c r="IP1353" s="73"/>
      <c r="IQ1353" s="73"/>
      <c r="IR1353" s="73"/>
      <c r="IS1353" s="73"/>
      <c r="IT1353" s="73"/>
      <c r="IU1353" s="73"/>
      <c r="IV1353" s="73"/>
      <c r="IW1353" s="73"/>
      <c r="IX1353" s="73"/>
      <c r="IY1353" s="73"/>
      <c r="IZ1353" s="73"/>
      <c r="JA1353" s="73"/>
      <c r="JB1353" s="73"/>
      <c r="JC1353" s="73"/>
    </row>
    <row r="1354" spans="2:263" s="72" customFormat="1">
      <c r="B1354" s="73"/>
      <c r="C1354" s="73"/>
      <c r="D1354" s="73"/>
      <c r="E1354" s="73"/>
      <c r="F1354" s="73"/>
      <c r="G1354" s="73"/>
      <c r="H1354" s="73"/>
      <c r="I1354" s="73"/>
      <c r="J1354" s="73"/>
      <c r="K1354" s="73"/>
      <c r="L1354" s="73"/>
      <c r="M1354" s="73"/>
      <c r="N1354" s="73"/>
      <c r="O1354" s="73"/>
      <c r="P1354" s="73"/>
      <c r="Q1354" s="73"/>
      <c r="R1354" s="73"/>
      <c r="S1354" s="73"/>
      <c r="T1354" s="73"/>
      <c r="U1354" s="73"/>
      <c r="V1354" s="73"/>
      <c r="W1354" s="73"/>
      <c r="GL1354" s="73"/>
      <c r="GM1354" s="73"/>
      <c r="GN1354" s="73"/>
      <c r="GO1354" s="73"/>
      <c r="GP1354" s="73"/>
      <c r="GQ1354" s="73"/>
      <c r="GR1354" s="73"/>
      <c r="GS1354" s="73"/>
      <c r="GT1354" s="73"/>
      <c r="GU1354" s="73"/>
      <c r="GV1354" s="73"/>
      <c r="GW1354" s="73"/>
      <c r="GX1354" s="73"/>
      <c r="GY1354" s="73"/>
      <c r="GZ1354" s="73"/>
      <c r="HA1354" s="73"/>
      <c r="HB1354" s="73"/>
      <c r="HC1354" s="73"/>
      <c r="HD1354" s="73"/>
      <c r="HE1354" s="73"/>
      <c r="HF1354" s="73"/>
      <c r="HG1354" s="73"/>
      <c r="HH1354" s="73"/>
      <c r="HI1354" s="73"/>
      <c r="HJ1354" s="73"/>
      <c r="HK1354" s="73"/>
      <c r="HL1354" s="73"/>
      <c r="HM1354" s="73"/>
      <c r="HN1354" s="73"/>
      <c r="HO1354" s="73"/>
      <c r="HP1354" s="73"/>
      <c r="HQ1354" s="73"/>
      <c r="HR1354" s="73"/>
      <c r="HS1354" s="73"/>
      <c r="HT1354" s="73"/>
      <c r="HU1354" s="73"/>
      <c r="HV1354" s="73"/>
      <c r="HW1354" s="73"/>
      <c r="HX1354" s="73"/>
      <c r="HY1354" s="73"/>
      <c r="HZ1354" s="73"/>
      <c r="IA1354" s="73"/>
      <c r="IB1354" s="73"/>
      <c r="IC1354" s="73"/>
      <c r="ID1354" s="73"/>
      <c r="IE1354" s="73"/>
      <c r="IF1354" s="73"/>
      <c r="IG1354" s="73"/>
      <c r="IH1354" s="73"/>
      <c r="II1354" s="73"/>
      <c r="IJ1354" s="73"/>
      <c r="IK1354" s="73"/>
      <c r="IL1354" s="73"/>
      <c r="IM1354" s="73"/>
      <c r="IN1354" s="73"/>
      <c r="IO1354" s="73"/>
      <c r="IP1354" s="73"/>
      <c r="IQ1354" s="73"/>
      <c r="IR1354" s="73"/>
      <c r="IS1354" s="73"/>
      <c r="IT1354" s="73"/>
      <c r="IU1354" s="73"/>
      <c r="IV1354" s="73"/>
      <c r="IW1354" s="73"/>
      <c r="IX1354" s="73"/>
      <c r="IY1354" s="73"/>
      <c r="IZ1354" s="73"/>
      <c r="JA1354" s="73"/>
      <c r="JB1354" s="73"/>
      <c r="JC1354" s="73"/>
    </row>
    <row r="1355" spans="2:263" s="72" customFormat="1">
      <c r="B1355" s="73"/>
      <c r="C1355" s="73"/>
      <c r="D1355" s="73"/>
      <c r="E1355" s="73"/>
      <c r="F1355" s="73"/>
      <c r="G1355" s="73"/>
      <c r="H1355" s="73"/>
      <c r="I1355" s="73"/>
      <c r="J1355" s="73"/>
      <c r="K1355" s="73"/>
      <c r="L1355" s="73"/>
      <c r="M1355" s="73"/>
      <c r="N1355" s="73"/>
      <c r="O1355" s="73"/>
      <c r="P1355" s="73"/>
      <c r="Q1355" s="73"/>
      <c r="R1355" s="73"/>
      <c r="S1355" s="73"/>
      <c r="T1355" s="73"/>
      <c r="U1355" s="73"/>
      <c r="V1355" s="73"/>
      <c r="W1355" s="73"/>
      <c r="GL1355" s="73"/>
      <c r="GM1355" s="73"/>
      <c r="GN1355" s="73"/>
      <c r="GO1355" s="73"/>
      <c r="GP1355" s="73"/>
      <c r="GQ1355" s="73"/>
      <c r="GR1355" s="73"/>
      <c r="GS1355" s="73"/>
      <c r="GT1355" s="73"/>
      <c r="GU1355" s="73"/>
      <c r="GV1355" s="73"/>
      <c r="GW1355" s="73"/>
      <c r="GX1355" s="73"/>
      <c r="GY1355" s="73"/>
      <c r="GZ1355" s="73"/>
      <c r="HA1355" s="73"/>
      <c r="HB1355" s="73"/>
      <c r="HC1355" s="73"/>
      <c r="HD1355" s="73"/>
      <c r="HE1355" s="73"/>
      <c r="HF1355" s="73"/>
      <c r="HG1355" s="73"/>
      <c r="HH1355" s="73"/>
      <c r="HI1355" s="73"/>
      <c r="HJ1355" s="73"/>
      <c r="HK1355" s="73"/>
      <c r="HL1355" s="73"/>
      <c r="HM1355" s="73"/>
      <c r="HN1355" s="73"/>
      <c r="HO1355" s="73"/>
      <c r="HP1355" s="73"/>
      <c r="HQ1355" s="73"/>
      <c r="HR1355" s="73"/>
      <c r="HS1355" s="73"/>
      <c r="HT1355" s="73"/>
      <c r="HU1355" s="73"/>
      <c r="HV1355" s="73"/>
      <c r="HW1355" s="73"/>
      <c r="HX1355" s="73"/>
      <c r="HY1355" s="73"/>
      <c r="HZ1355" s="73"/>
      <c r="IA1355" s="73"/>
      <c r="IB1355" s="73"/>
      <c r="IC1355" s="73"/>
      <c r="ID1355" s="73"/>
      <c r="IE1355" s="73"/>
      <c r="IF1355" s="73"/>
      <c r="IG1355" s="73"/>
      <c r="IH1355" s="73"/>
      <c r="II1355" s="73"/>
      <c r="IJ1355" s="73"/>
      <c r="IK1355" s="73"/>
      <c r="IL1355" s="73"/>
      <c r="IM1355" s="73"/>
      <c r="IN1355" s="73"/>
      <c r="IO1355" s="73"/>
      <c r="IP1355" s="73"/>
      <c r="IQ1355" s="73"/>
      <c r="IR1355" s="73"/>
      <c r="IS1355" s="73"/>
      <c r="IT1355" s="73"/>
      <c r="IU1355" s="73"/>
      <c r="IV1355" s="73"/>
      <c r="IW1355" s="73"/>
      <c r="IX1355" s="73"/>
      <c r="IY1355" s="73"/>
      <c r="IZ1355" s="73"/>
      <c r="JA1355" s="73"/>
      <c r="JB1355" s="73"/>
      <c r="JC1355" s="73"/>
    </row>
    <row r="1356" spans="2:263" s="72" customFormat="1">
      <c r="B1356" s="73"/>
      <c r="C1356" s="73"/>
      <c r="D1356" s="73"/>
      <c r="E1356" s="73"/>
      <c r="F1356" s="73"/>
      <c r="G1356" s="73"/>
      <c r="H1356" s="73"/>
      <c r="I1356" s="73"/>
      <c r="J1356" s="73"/>
      <c r="K1356" s="73"/>
      <c r="L1356" s="73"/>
      <c r="M1356" s="73"/>
      <c r="N1356" s="73"/>
      <c r="O1356" s="73"/>
      <c r="P1356" s="73"/>
      <c r="Q1356" s="73"/>
      <c r="R1356" s="73"/>
      <c r="S1356" s="73"/>
      <c r="T1356" s="73"/>
      <c r="U1356" s="73"/>
      <c r="V1356" s="73"/>
      <c r="W1356" s="73"/>
      <c r="GL1356" s="73"/>
      <c r="GM1356" s="73"/>
      <c r="GN1356" s="73"/>
      <c r="GO1356" s="73"/>
      <c r="GP1356" s="73"/>
      <c r="GQ1356" s="73"/>
      <c r="GR1356" s="73"/>
      <c r="GS1356" s="73"/>
      <c r="GT1356" s="73"/>
      <c r="GU1356" s="73"/>
      <c r="GV1356" s="73"/>
      <c r="GW1356" s="73"/>
      <c r="GX1356" s="73"/>
      <c r="GY1356" s="73"/>
      <c r="GZ1356" s="73"/>
      <c r="HA1356" s="73"/>
      <c r="HB1356" s="73"/>
      <c r="HC1356" s="73"/>
      <c r="HD1356" s="73"/>
      <c r="HE1356" s="73"/>
      <c r="HF1356" s="73"/>
      <c r="HG1356" s="73"/>
      <c r="HH1356" s="73"/>
      <c r="HI1356" s="73"/>
      <c r="HJ1356" s="73"/>
      <c r="HK1356" s="73"/>
      <c r="HL1356" s="73"/>
      <c r="HM1356" s="73"/>
      <c r="HN1356" s="73"/>
      <c r="HO1356" s="73"/>
      <c r="HP1356" s="73"/>
      <c r="HQ1356" s="73"/>
      <c r="HR1356" s="73"/>
      <c r="HS1356" s="73"/>
      <c r="HT1356" s="73"/>
      <c r="HU1356" s="73"/>
      <c r="HV1356" s="73"/>
      <c r="HW1356" s="73"/>
      <c r="HX1356" s="73"/>
      <c r="HY1356" s="73"/>
      <c r="HZ1356" s="73"/>
      <c r="IA1356" s="73"/>
      <c r="IB1356" s="73"/>
      <c r="IC1356" s="73"/>
      <c r="ID1356" s="73"/>
      <c r="IE1356" s="73"/>
      <c r="IF1356" s="73"/>
      <c r="IG1356" s="73"/>
      <c r="IH1356" s="73"/>
      <c r="II1356" s="73"/>
      <c r="IJ1356" s="73"/>
      <c r="IK1356" s="73"/>
      <c r="IL1356" s="73"/>
      <c r="IM1356" s="73"/>
      <c r="IN1356" s="73"/>
      <c r="IO1356" s="73"/>
      <c r="IP1356" s="73"/>
      <c r="IQ1356" s="73"/>
      <c r="IR1356" s="73"/>
      <c r="IS1356" s="73"/>
      <c r="IT1356" s="73"/>
      <c r="IU1356" s="73"/>
      <c r="IV1356" s="73"/>
      <c r="IW1356" s="73"/>
      <c r="IX1356" s="73"/>
      <c r="IY1356" s="73"/>
      <c r="IZ1356" s="73"/>
      <c r="JA1356" s="73"/>
      <c r="JB1356" s="73"/>
      <c r="JC1356" s="73"/>
    </row>
    <row r="1357" spans="2:263" s="72" customFormat="1">
      <c r="B1357" s="73"/>
      <c r="C1357" s="73"/>
      <c r="D1357" s="73"/>
      <c r="E1357" s="73"/>
      <c r="F1357" s="73"/>
      <c r="G1357" s="73"/>
      <c r="H1357" s="73"/>
      <c r="I1357" s="73"/>
      <c r="J1357" s="73"/>
      <c r="K1357" s="73"/>
      <c r="L1357" s="73"/>
      <c r="M1357" s="73"/>
      <c r="N1357" s="73"/>
      <c r="O1357" s="73"/>
      <c r="P1357" s="73"/>
      <c r="Q1357" s="73"/>
      <c r="R1357" s="73"/>
      <c r="S1357" s="73"/>
      <c r="T1357" s="73"/>
      <c r="U1357" s="73"/>
      <c r="V1357" s="73"/>
      <c r="W1357" s="73"/>
      <c r="GL1357" s="73"/>
      <c r="GM1357" s="73"/>
      <c r="GN1357" s="73"/>
      <c r="GO1357" s="73"/>
      <c r="GP1357" s="73"/>
      <c r="GQ1357" s="73"/>
      <c r="GR1357" s="73"/>
      <c r="GS1357" s="73"/>
      <c r="GT1357" s="73"/>
      <c r="GU1357" s="73"/>
      <c r="GV1357" s="73"/>
      <c r="GW1357" s="73"/>
      <c r="GX1357" s="73"/>
      <c r="GY1357" s="73"/>
      <c r="GZ1357" s="73"/>
      <c r="HA1357" s="73"/>
      <c r="HB1357" s="73"/>
      <c r="HC1357" s="73"/>
      <c r="HD1357" s="73"/>
      <c r="HE1357" s="73"/>
      <c r="HF1357" s="73"/>
      <c r="HG1357" s="73"/>
      <c r="HH1357" s="73"/>
      <c r="HI1357" s="73"/>
      <c r="HJ1357" s="73"/>
      <c r="HK1357" s="73"/>
      <c r="HL1357" s="73"/>
      <c r="HM1357" s="73"/>
      <c r="HN1357" s="73"/>
      <c r="HO1357" s="73"/>
      <c r="HP1357" s="73"/>
      <c r="HQ1357" s="73"/>
      <c r="HR1357" s="73"/>
      <c r="HS1357" s="73"/>
      <c r="HT1357" s="73"/>
      <c r="HU1357" s="73"/>
      <c r="HV1357" s="73"/>
      <c r="HW1357" s="73"/>
      <c r="HX1357" s="73"/>
      <c r="HY1357" s="73"/>
      <c r="HZ1357" s="73"/>
      <c r="IA1357" s="73"/>
      <c r="IB1357" s="73"/>
      <c r="IC1357" s="73"/>
      <c r="ID1357" s="73"/>
      <c r="IE1357" s="73"/>
      <c r="IF1357" s="73"/>
      <c r="IG1357" s="73"/>
      <c r="IH1357" s="73"/>
      <c r="II1357" s="73"/>
      <c r="IJ1357" s="73"/>
      <c r="IK1357" s="73"/>
      <c r="IL1357" s="73"/>
      <c r="IM1357" s="73"/>
      <c r="IN1357" s="73"/>
      <c r="IO1357" s="73"/>
      <c r="IP1357" s="73"/>
      <c r="IQ1357" s="73"/>
      <c r="IR1357" s="73"/>
      <c r="IS1357" s="73"/>
      <c r="IT1357" s="73"/>
      <c r="IU1357" s="73"/>
      <c r="IV1357" s="73"/>
      <c r="IW1357" s="73"/>
      <c r="IX1357" s="73"/>
      <c r="IY1357" s="73"/>
      <c r="IZ1357" s="73"/>
      <c r="JA1357" s="73"/>
      <c r="JB1357" s="73"/>
      <c r="JC1357" s="73"/>
    </row>
    <row r="1358" spans="2:263" s="72" customFormat="1">
      <c r="B1358" s="73"/>
      <c r="C1358" s="73"/>
      <c r="D1358" s="73"/>
      <c r="E1358" s="73"/>
      <c r="F1358" s="73"/>
      <c r="G1358" s="73"/>
      <c r="H1358" s="73"/>
      <c r="I1358" s="73"/>
      <c r="J1358" s="73"/>
      <c r="K1358" s="73"/>
      <c r="L1358" s="73"/>
      <c r="M1358" s="73"/>
      <c r="N1358" s="73"/>
      <c r="O1358" s="73"/>
      <c r="P1358" s="73"/>
      <c r="Q1358" s="73"/>
      <c r="R1358" s="73"/>
      <c r="S1358" s="73"/>
      <c r="T1358" s="73"/>
      <c r="U1358" s="73"/>
      <c r="V1358" s="73"/>
      <c r="W1358" s="73"/>
      <c r="GL1358" s="73"/>
      <c r="GM1358" s="73"/>
      <c r="GN1358" s="73"/>
      <c r="GO1358" s="73"/>
      <c r="GP1358" s="73"/>
      <c r="GQ1358" s="73"/>
      <c r="GR1358" s="73"/>
      <c r="GS1358" s="73"/>
      <c r="GT1358" s="73"/>
      <c r="GU1358" s="73"/>
      <c r="GV1358" s="73"/>
      <c r="GW1358" s="73"/>
      <c r="GX1358" s="73"/>
      <c r="GY1358" s="73"/>
      <c r="GZ1358" s="73"/>
      <c r="HA1358" s="73"/>
      <c r="HB1358" s="73"/>
      <c r="HC1358" s="73"/>
      <c r="HD1358" s="73"/>
      <c r="HE1358" s="73"/>
      <c r="HF1358" s="73"/>
      <c r="HG1358" s="73"/>
      <c r="HH1358" s="73"/>
      <c r="HI1358" s="73"/>
      <c r="HJ1358" s="73"/>
      <c r="HK1358" s="73"/>
      <c r="HL1358" s="73"/>
      <c r="HM1358" s="73"/>
      <c r="HN1358" s="73"/>
      <c r="HO1358" s="73"/>
      <c r="HP1358" s="73"/>
      <c r="HQ1358" s="73"/>
      <c r="HR1358" s="73"/>
      <c r="HS1358" s="73"/>
      <c r="HT1358" s="73"/>
      <c r="HU1358" s="73"/>
      <c r="HV1358" s="73"/>
      <c r="HW1358" s="73"/>
      <c r="HX1358" s="73"/>
      <c r="HY1358" s="73"/>
      <c r="HZ1358" s="73"/>
      <c r="IA1358" s="73"/>
      <c r="IB1358" s="73"/>
      <c r="IC1358" s="73"/>
      <c r="ID1358" s="73"/>
      <c r="IE1358" s="73"/>
      <c r="IF1358" s="73"/>
      <c r="IG1358" s="73"/>
      <c r="IH1358" s="73"/>
      <c r="II1358" s="73"/>
      <c r="IJ1358" s="73"/>
      <c r="IK1358" s="73"/>
      <c r="IL1358" s="73"/>
      <c r="IM1358" s="73"/>
      <c r="IN1358" s="73"/>
      <c r="IO1358" s="73"/>
      <c r="IP1358" s="73"/>
      <c r="IQ1358" s="73"/>
      <c r="IR1358" s="73"/>
      <c r="IS1358" s="73"/>
      <c r="IT1358" s="73"/>
      <c r="IU1358" s="73"/>
      <c r="IV1358" s="73"/>
      <c r="IW1358" s="73"/>
      <c r="IX1358" s="73"/>
      <c r="IY1358" s="73"/>
      <c r="IZ1358" s="73"/>
      <c r="JA1358" s="73"/>
      <c r="JB1358" s="73"/>
      <c r="JC1358" s="73"/>
    </row>
    <row r="1359" spans="2:263" s="72" customFormat="1">
      <c r="B1359" s="73"/>
      <c r="C1359" s="73"/>
      <c r="D1359" s="73"/>
      <c r="E1359" s="73"/>
      <c r="F1359" s="73"/>
      <c r="G1359" s="73"/>
      <c r="H1359" s="73"/>
      <c r="I1359" s="73"/>
      <c r="J1359" s="73"/>
      <c r="K1359" s="73"/>
      <c r="L1359" s="73"/>
      <c r="M1359" s="73"/>
      <c r="N1359" s="73"/>
      <c r="O1359" s="73"/>
      <c r="P1359" s="73"/>
      <c r="Q1359" s="73"/>
      <c r="R1359" s="73"/>
      <c r="S1359" s="73"/>
      <c r="T1359" s="73"/>
      <c r="U1359" s="73"/>
      <c r="V1359" s="73"/>
      <c r="W1359" s="73"/>
      <c r="GL1359" s="73"/>
      <c r="GM1359" s="73"/>
      <c r="GN1359" s="73"/>
      <c r="GO1359" s="73"/>
      <c r="GP1359" s="73"/>
      <c r="GQ1359" s="73"/>
      <c r="GR1359" s="73"/>
      <c r="GS1359" s="73"/>
      <c r="GT1359" s="73"/>
      <c r="GU1359" s="73"/>
      <c r="GV1359" s="73"/>
      <c r="GW1359" s="73"/>
      <c r="GX1359" s="73"/>
      <c r="GY1359" s="73"/>
      <c r="GZ1359" s="73"/>
      <c r="HA1359" s="73"/>
      <c r="HB1359" s="73"/>
      <c r="HC1359" s="73"/>
      <c r="HD1359" s="73"/>
      <c r="HE1359" s="73"/>
      <c r="HF1359" s="73"/>
      <c r="HG1359" s="73"/>
      <c r="HH1359" s="73"/>
      <c r="HI1359" s="73"/>
      <c r="HJ1359" s="73"/>
      <c r="HK1359" s="73"/>
      <c r="HL1359" s="73"/>
      <c r="HM1359" s="73"/>
      <c r="HN1359" s="73"/>
      <c r="HO1359" s="73"/>
      <c r="HP1359" s="73"/>
      <c r="HQ1359" s="73"/>
      <c r="HR1359" s="73"/>
      <c r="HS1359" s="73"/>
      <c r="HT1359" s="73"/>
      <c r="HU1359" s="73"/>
      <c r="HV1359" s="73"/>
      <c r="HW1359" s="73"/>
      <c r="HX1359" s="73"/>
      <c r="HY1359" s="73"/>
      <c r="HZ1359" s="73"/>
      <c r="IA1359" s="73"/>
      <c r="IB1359" s="73"/>
      <c r="IC1359" s="73"/>
      <c r="ID1359" s="73"/>
      <c r="IE1359" s="73"/>
      <c r="IF1359" s="73"/>
      <c r="IG1359" s="73"/>
      <c r="IH1359" s="73"/>
      <c r="II1359" s="73"/>
      <c r="IJ1359" s="73"/>
      <c r="IK1359" s="73"/>
      <c r="IL1359" s="73"/>
      <c r="IM1359" s="73"/>
      <c r="IN1359" s="73"/>
      <c r="IO1359" s="73"/>
      <c r="IP1359" s="73"/>
      <c r="IQ1359" s="73"/>
      <c r="IR1359" s="73"/>
      <c r="IS1359" s="73"/>
      <c r="IT1359" s="73"/>
      <c r="IU1359" s="73"/>
      <c r="IV1359" s="73"/>
      <c r="IW1359" s="73"/>
      <c r="IX1359" s="73"/>
      <c r="IY1359" s="73"/>
      <c r="IZ1359" s="73"/>
      <c r="JA1359" s="73"/>
      <c r="JB1359" s="73"/>
      <c r="JC1359" s="73"/>
    </row>
    <row r="1360" spans="2:263" s="72" customFormat="1">
      <c r="B1360" s="73"/>
      <c r="C1360" s="73"/>
      <c r="D1360" s="73"/>
      <c r="E1360" s="73"/>
      <c r="F1360" s="73"/>
      <c r="G1360" s="73"/>
      <c r="H1360" s="73"/>
      <c r="I1360" s="73"/>
      <c r="J1360" s="73"/>
      <c r="K1360" s="73"/>
      <c r="L1360" s="73"/>
      <c r="M1360" s="73"/>
      <c r="N1360" s="73"/>
      <c r="O1360" s="73"/>
      <c r="P1360" s="73"/>
      <c r="Q1360" s="73"/>
      <c r="R1360" s="73"/>
      <c r="S1360" s="73"/>
      <c r="T1360" s="73"/>
      <c r="U1360" s="73"/>
      <c r="V1360" s="73"/>
      <c r="W1360" s="73"/>
      <c r="GL1360" s="73"/>
      <c r="GM1360" s="73"/>
      <c r="GN1360" s="73"/>
      <c r="GO1360" s="73"/>
      <c r="GP1360" s="73"/>
      <c r="GQ1360" s="73"/>
      <c r="GR1360" s="73"/>
      <c r="GS1360" s="73"/>
      <c r="GT1360" s="73"/>
      <c r="GU1360" s="73"/>
      <c r="GV1360" s="73"/>
      <c r="GW1360" s="73"/>
      <c r="GX1360" s="73"/>
      <c r="GY1360" s="73"/>
      <c r="GZ1360" s="73"/>
      <c r="HA1360" s="73"/>
      <c r="HB1360" s="73"/>
      <c r="HC1360" s="73"/>
      <c r="HD1360" s="73"/>
      <c r="HE1360" s="73"/>
      <c r="HF1360" s="73"/>
      <c r="HG1360" s="73"/>
      <c r="HH1360" s="73"/>
      <c r="HI1360" s="73"/>
      <c r="HJ1360" s="73"/>
      <c r="HK1360" s="73"/>
      <c r="HL1360" s="73"/>
      <c r="HM1360" s="73"/>
      <c r="HN1360" s="73"/>
      <c r="HO1360" s="73"/>
      <c r="HP1360" s="73"/>
      <c r="HQ1360" s="73"/>
      <c r="HR1360" s="73"/>
      <c r="HS1360" s="73"/>
      <c r="HT1360" s="73"/>
      <c r="HU1360" s="73"/>
      <c r="HV1360" s="73"/>
      <c r="HW1360" s="73"/>
      <c r="HX1360" s="73"/>
      <c r="HY1360" s="73"/>
      <c r="HZ1360" s="73"/>
      <c r="IA1360" s="73"/>
      <c r="IB1360" s="73"/>
      <c r="IC1360" s="73"/>
      <c r="ID1360" s="73"/>
      <c r="IE1360" s="73"/>
      <c r="IF1360" s="73"/>
      <c r="IG1360" s="73"/>
      <c r="IH1360" s="73"/>
      <c r="II1360" s="73"/>
      <c r="IJ1360" s="73"/>
      <c r="IK1360" s="73"/>
      <c r="IL1360" s="73"/>
      <c r="IM1360" s="73"/>
      <c r="IN1360" s="73"/>
      <c r="IO1360" s="73"/>
      <c r="IP1360" s="73"/>
      <c r="IQ1360" s="73"/>
      <c r="IR1360" s="73"/>
      <c r="IS1360" s="73"/>
      <c r="IT1360" s="73"/>
      <c r="IU1360" s="73"/>
      <c r="IV1360" s="73"/>
      <c r="IW1360" s="73"/>
      <c r="IX1360" s="73"/>
      <c r="IY1360" s="73"/>
      <c r="IZ1360" s="73"/>
      <c r="JA1360" s="73"/>
      <c r="JB1360" s="73"/>
      <c r="JC1360" s="73"/>
    </row>
    <row r="1361" spans="2:263" s="72" customFormat="1">
      <c r="B1361" s="73"/>
      <c r="C1361" s="73"/>
      <c r="D1361" s="73"/>
      <c r="E1361" s="73"/>
      <c r="F1361" s="73"/>
      <c r="G1361" s="73"/>
      <c r="H1361" s="73"/>
      <c r="I1361" s="73"/>
      <c r="J1361" s="73"/>
      <c r="K1361" s="73"/>
      <c r="L1361" s="73"/>
      <c r="M1361" s="73"/>
      <c r="N1361" s="73"/>
      <c r="O1361" s="73"/>
      <c r="P1361" s="73"/>
      <c r="Q1361" s="73"/>
      <c r="R1361" s="73"/>
      <c r="S1361" s="73"/>
      <c r="T1361" s="73"/>
      <c r="U1361" s="73"/>
      <c r="V1361" s="73"/>
      <c r="W1361" s="73"/>
      <c r="GL1361" s="73"/>
      <c r="GM1361" s="73"/>
      <c r="GN1361" s="73"/>
      <c r="GO1361" s="73"/>
      <c r="GP1361" s="73"/>
      <c r="GQ1361" s="73"/>
      <c r="GR1361" s="73"/>
      <c r="GS1361" s="73"/>
      <c r="GT1361" s="73"/>
      <c r="GU1361" s="73"/>
      <c r="GV1361" s="73"/>
      <c r="GW1361" s="73"/>
      <c r="GX1361" s="73"/>
      <c r="GY1361" s="73"/>
      <c r="GZ1361" s="73"/>
      <c r="HA1361" s="73"/>
      <c r="HB1361" s="73"/>
      <c r="HC1361" s="73"/>
      <c r="HD1361" s="73"/>
      <c r="HE1361" s="73"/>
      <c r="HF1361" s="73"/>
      <c r="HG1361" s="73"/>
      <c r="HH1361" s="73"/>
      <c r="HI1361" s="73"/>
      <c r="HJ1361" s="73"/>
      <c r="HK1361" s="73"/>
      <c r="HL1361" s="73"/>
      <c r="HM1361" s="73"/>
      <c r="HN1361" s="73"/>
      <c r="HO1361" s="73"/>
      <c r="HP1361" s="73"/>
      <c r="HQ1361" s="73"/>
      <c r="HR1361" s="73"/>
      <c r="HS1361" s="73"/>
      <c r="HT1361" s="73"/>
      <c r="HU1361" s="73"/>
      <c r="HV1361" s="73"/>
      <c r="HW1361" s="73"/>
      <c r="HX1361" s="73"/>
      <c r="HY1361" s="73"/>
      <c r="HZ1361" s="73"/>
      <c r="IA1361" s="73"/>
      <c r="IB1361" s="73"/>
      <c r="IC1361" s="73"/>
      <c r="ID1361" s="73"/>
      <c r="IE1361" s="73"/>
      <c r="IF1361" s="73"/>
      <c r="IG1361" s="73"/>
      <c r="IH1361" s="73"/>
      <c r="II1361" s="73"/>
      <c r="IJ1361" s="73"/>
      <c r="IK1361" s="73"/>
      <c r="IL1361" s="73"/>
      <c r="IM1361" s="73"/>
      <c r="IN1361" s="73"/>
      <c r="IO1361" s="73"/>
      <c r="IP1361" s="73"/>
      <c r="IQ1361" s="73"/>
      <c r="IR1361" s="73"/>
      <c r="IS1361" s="73"/>
      <c r="IT1361" s="73"/>
      <c r="IU1361" s="73"/>
      <c r="IV1361" s="73"/>
      <c r="IW1361" s="73"/>
      <c r="IX1361" s="73"/>
      <c r="IY1361" s="73"/>
      <c r="IZ1361" s="73"/>
      <c r="JA1361" s="73"/>
      <c r="JB1361" s="73"/>
      <c r="JC1361" s="73"/>
    </row>
    <row r="1362" spans="2:263" s="72" customFormat="1">
      <c r="B1362" s="73"/>
      <c r="C1362" s="73"/>
      <c r="D1362" s="73"/>
      <c r="E1362" s="73"/>
      <c r="F1362" s="73"/>
      <c r="G1362" s="73"/>
      <c r="H1362" s="73"/>
      <c r="I1362" s="73"/>
      <c r="J1362" s="73"/>
      <c r="K1362" s="73"/>
      <c r="L1362" s="73"/>
      <c r="M1362" s="73"/>
      <c r="N1362" s="73"/>
      <c r="O1362" s="73"/>
      <c r="P1362" s="73"/>
      <c r="Q1362" s="73"/>
      <c r="R1362" s="73"/>
      <c r="S1362" s="73"/>
      <c r="T1362" s="73"/>
      <c r="U1362" s="73"/>
      <c r="V1362" s="73"/>
      <c r="W1362" s="73"/>
      <c r="GL1362" s="73"/>
      <c r="GM1362" s="73"/>
      <c r="GN1362" s="73"/>
      <c r="GO1362" s="73"/>
      <c r="GP1362" s="73"/>
      <c r="GQ1362" s="73"/>
      <c r="GR1362" s="73"/>
      <c r="GS1362" s="73"/>
      <c r="GT1362" s="73"/>
      <c r="GU1362" s="73"/>
      <c r="GV1362" s="73"/>
      <c r="GW1362" s="73"/>
      <c r="GX1362" s="73"/>
      <c r="GY1362" s="73"/>
      <c r="GZ1362" s="73"/>
      <c r="HA1362" s="73"/>
      <c r="HB1362" s="73"/>
      <c r="HC1362" s="73"/>
      <c r="HD1362" s="73"/>
      <c r="HE1362" s="73"/>
      <c r="HF1362" s="73"/>
      <c r="HG1362" s="73"/>
      <c r="HH1362" s="73"/>
      <c r="HI1362" s="73"/>
      <c r="HJ1362" s="73"/>
      <c r="HK1362" s="73"/>
      <c r="HL1362" s="73"/>
      <c r="HM1362" s="73"/>
      <c r="HN1362" s="73"/>
      <c r="HO1362" s="73"/>
      <c r="HP1362" s="73"/>
      <c r="HQ1362" s="73"/>
      <c r="HR1362" s="73"/>
      <c r="HS1362" s="73"/>
      <c r="HT1362" s="73"/>
      <c r="HU1362" s="73"/>
      <c r="HV1362" s="73"/>
      <c r="HW1362" s="73"/>
      <c r="HX1362" s="73"/>
      <c r="HY1362" s="73"/>
      <c r="HZ1362" s="73"/>
      <c r="IA1362" s="73"/>
      <c r="IB1362" s="73"/>
      <c r="IC1362" s="73"/>
      <c r="ID1362" s="73"/>
      <c r="IE1362" s="73"/>
      <c r="IF1362" s="73"/>
      <c r="IG1362" s="73"/>
      <c r="IH1362" s="73"/>
      <c r="II1362" s="73"/>
      <c r="IJ1362" s="73"/>
      <c r="IK1362" s="73"/>
      <c r="IL1362" s="73"/>
      <c r="IM1362" s="73"/>
      <c r="IN1362" s="73"/>
      <c r="IO1362" s="73"/>
      <c r="IP1362" s="73"/>
      <c r="IQ1362" s="73"/>
      <c r="IR1362" s="73"/>
      <c r="IS1362" s="73"/>
      <c r="IT1362" s="73"/>
      <c r="IU1362" s="73"/>
      <c r="IV1362" s="73"/>
      <c r="IW1362" s="73"/>
      <c r="IX1362" s="73"/>
      <c r="IY1362" s="73"/>
      <c r="IZ1362" s="73"/>
      <c r="JA1362" s="73"/>
      <c r="JB1362" s="73"/>
      <c r="JC1362" s="73"/>
    </row>
    <row r="1363" spans="2:263" s="72" customFormat="1">
      <c r="B1363" s="73"/>
      <c r="C1363" s="73"/>
      <c r="D1363" s="73"/>
      <c r="E1363" s="73"/>
      <c r="F1363" s="73"/>
      <c r="G1363" s="73"/>
      <c r="H1363" s="73"/>
      <c r="I1363" s="73"/>
      <c r="J1363" s="73"/>
      <c r="K1363" s="73"/>
      <c r="L1363" s="73"/>
      <c r="M1363" s="73"/>
      <c r="N1363" s="73"/>
      <c r="O1363" s="73"/>
      <c r="P1363" s="73"/>
      <c r="Q1363" s="73"/>
      <c r="R1363" s="73"/>
      <c r="S1363" s="73"/>
      <c r="T1363" s="73"/>
      <c r="U1363" s="73"/>
      <c r="V1363" s="73"/>
      <c r="W1363" s="73"/>
      <c r="GL1363" s="73"/>
      <c r="GM1363" s="73"/>
      <c r="GN1363" s="73"/>
      <c r="GO1363" s="73"/>
      <c r="GP1363" s="73"/>
      <c r="GQ1363" s="73"/>
      <c r="GR1363" s="73"/>
      <c r="GS1363" s="73"/>
      <c r="GT1363" s="73"/>
      <c r="GU1363" s="73"/>
      <c r="GV1363" s="73"/>
      <c r="GW1363" s="73"/>
      <c r="GX1363" s="73"/>
      <c r="GY1363" s="73"/>
      <c r="GZ1363" s="73"/>
      <c r="HA1363" s="73"/>
      <c r="HB1363" s="73"/>
      <c r="HC1363" s="73"/>
      <c r="HD1363" s="73"/>
      <c r="HE1363" s="73"/>
      <c r="HF1363" s="73"/>
      <c r="HG1363" s="73"/>
      <c r="HH1363" s="73"/>
      <c r="HI1363" s="73"/>
      <c r="HJ1363" s="73"/>
      <c r="HK1363" s="73"/>
      <c r="HL1363" s="73"/>
      <c r="HM1363" s="73"/>
      <c r="HN1363" s="73"/>
      <c r="HO1363" s="73"/>
      <c r="HP1363" s="73"/>
      <c r="HQ1363" s="73"/>
      <c r="HR1363" s="73"/>
      <c r="HS1363" s="73"/>
      <c r="HT1363" s="73"/>
      <c r="HU1363" s="73"/>
      <c r="HV1363" s="73"/>
      <c r="HW1363" s="73"/>
      <c r="HX1363" s="73"/>
      <c r="HY1363" s="73"/>
      <c r="HZ1363" s="73"/>
      <c r="IA1363" s="73"/>
      <c r="IB1363" s="73"/>
      <c r="IC1363" s="73"/>
      <c r="ID1363" s="73"/>
      <c r="IE1363" s="73"/>
      <c r="IF1363" s="73"/>
      <c r="IG1363" s="73"/>
      <c r="IH1363" s="73"/>
      <c r="II1363" s="73"/>
      <c r="IJ1363" s="73"/>
      <c r="IK1363" s="73"/>
      <c r="IL1363" s="73"/>
      <c r="IM1363" s="73"/>
      <c r="IN1363" s="73"/>
      <c r="IO1363" s="73"/>
      <c r="IP1363" s="73"/>
      <c r="IQ1363" s="73"/>
      <c r="IR1363" s="73"/>
      <c r="IS1363" s="73"/>
      <c r="IT1363" s="73"/>
      <c r="IU1363" s="73"/>
      <c r="IV1363" s="73"/>
      <c r="IW1363" s="73"/>
      <c r="IX1363" s="73"/>
      <c r="IY1363" s="73"/>
      <c r="IZ1363" s="73"/>
      <c r="JA1363" s="73"/>
      <c r="JB1363" s="73"/>
      <c r="JC1363" s="73"/>
    </row>
    <row r="1364" spans="2:263" s="72" customFormat="1">
      <c r="B1364" s="73"/>
      <c r="C1364" s="73"/>
      <c r="D1364" s="73"/>
      <c r="E1364" s="73"/>
      <c r="F1364" s="73"/>
      <c r="G1364" s="73"/>
      <c r="H1364" s="73"/>
      <c r="I1364" s="73"/>
      <c r="J1364" s="73"/>
      <c r="K1364" s="73"/>
      <c r="L1364" s="73"/>
      <c r="M1364" s="73"/>
      <c r="N1364" s="73"/>
      <c r="O1364" s="73"/>
      <c r="P1364" s="73"/>
      <c r="Q1364" s="73"/>
      <c r="R1364" s="73"/>
      <c r="S1364" s="73"/>
      <c r="T1364" s="73"/>
      <c r="U1364" s="73"/>
      <c r="V1364" s="73"/>
      <c r="W1364" s="73"/>
      <c r="GL1364" s="73"/>
      <c r="GM1364" s="73"/>
      <c r="GN1364" s="73"/>
      <c r="GO1364" s="73"/>
      <c r="GP1364" s="73"/>
      <c r="GQ1364" s="73"/>
      <c r="GR1364" s="73"/>
      <c r="GS1364" s="73"/>
      <c r="GT1364" s="73"/>
      <c r="GU1364" s="73"/>
      <c r="GV1364" s="73"/>
      <c r="GW1364" s="73"/>
      <c r="GX1364" s="73"/>
      <c r="GY1364" s="73"/>
      <c r="GZ1364" s="73"/>
      <c r="HA1364" s="73"/>
      <c r="HB1364" s="73"/>
      <c r="HC1364" s="73"/>
      <c r="HD1364" s="73"/>
      <c r="HE1364" s="73"/>
      <c r="HF1364" s="73"/>
      <c r="HG1364" s="73"/>
      <c r="HH1364" s="73"/>
      <c r="HI1364" s="73"/>
      <c r="HJ1364" s="73"/>
      <c r="HK1364" s="73"/>
      <c r="HL1364" s="73"/>
      <c r="HM1364" s="73"/>
      <c r="HN1364" s="73"/>
      <c r="HO1364" s="73"/>
      <c r="HP1364" s="73"/>
      <c r="HQ1364" s="73"/>
      <c r="HR1364" s="73"/>
      <c r="HS1364" s="73"/>
      <c r="HT1364" s="73"/>
      <c r="HU1364" s="73"/>
      <c r="HV1364" s="73"/>
      <c r="HW1364" s="73"/>
      <c r="HX1364" s="73"/>
      <c r="HY1364" s="73"/>
      <c r="HZ1364" s="73"/>
      <c r="IA1364" s="73"/>
      <c r="IB1364" s="73"/>
      <c r="IC1364" s="73"/>
      <c r="ID1364" s="73"/>
      <c r="IE1364" s="73"/>
      <c r="IF1364" s="73"/>
      <c r="IG1364" s="73"/>
      <c r="IH1364" s="73"/>
      <c r="II1364" s="73"/>
      <c r="IJ1364" s="73"/>
      <c r="IK1364" s="73"/>
      <c r="IL1364" s="73"/>
      <c r="IM1364" s="73"/>
      <c r="IN1364" s="73"/>
      <c r="IO1364" s="73"/>
      <c r="IP1364" s="73"/>
      <c r="IQ1364" s="73"/>
      <c r="IR1364" s="73"/>
      <c r="IS1364" s="73"/>
      <c r="IT1364" s="73"/>
      <c r="IU1364" s="73"/>
      <c r="IV1364" s="73"/>
      <c r="IW1364" s="73"/>
      <c r="IX1364" s="73"/>
      <c r="IY1364" s="73"/>
      <c r="IZ1364" s="73"/>
      <c r="JA1364" s="73"/>
      <c r="JB1364" s="73"/>
      <c r="JC1364" s="73"/>
    </row>
    <row r="1365" spans="2:263" s="72" customFormat="1">
      <c r="B1365" s="73"/>
      <c r="C1365" s="73"/>
      <c r="D1365" s="73"/>
      <c r="E1365" s="73"/>
      <c r="F1365" s="73"/>
      <c r="G1365" s="73"/>
      <c r="H1365" s="73"/>
      <c r="I1365" s="73"/>
      <c r="J1365" s="73"/>
      <c r="K1365" s="73"/>
      <c r="L1365" s="73"/>
      <c r="M1365" s="73"/>
      <c r="N1365" s="73"/>
      <c r="O1365" s="73"/>
      <c r="P1365" s="73"/>
      <c r="Q1365" s="73"/>
      <c r="R1365" s="73"/>
      <c r="S1365" s="73"/>
      <c r="T1365" s="73"/>
      <c r="U1365" s="73"/>
      <c r="V1365" s="73"/>
      <c r="W1365" s="73"/>
      <c r="GL1365" s="73"/>
      <c r="GM1365" s="73"/>
      <c r="GN1365" s="73"/>
      <c r="GO1365" s="73"/>
      <c r="GP1365" s="73"/>
      <c r="GQ1365" s="73"/>
      <c r="GR1365" s="73"/>
      <c r="GS1365" s="73"/>
      <c r="GT1365" s="73"/>
      <c r="GU1365" s="73"/>
      <c r="GV1365" s="73"/>
      <c r="GW1365" s="73"/>
      <c r="GX1365" s="73"/>
      <c r="GY1365" s="73"/>
      <c r="GZ1365" s="73"/>
      <c r="HA1365" s="73"/>
      <c r="HB1365" s="73"/>
      <c r="HC1365" s="73"/>
      <c r="HD1365" s="73"/>
      <c r="HE1365" s="73"/>
      <c r="HF1365" s="73"/>
      <c r="HG1365" s="73"/>
      <c r="HH1365" s="73"/>
      <c r="HI1365" s="73"/>
      <c r="HJ1365" s="73"/>
      <c r="HK1365" s="73"/>
      <c r="HL1365" s="73"/>
      <c r="HM1365" s="73"/>
      <c r="HN1365" s="73"/>
      <c r="HO1365" s="73"/>
      <c r="HP1365" s="73"/>
      <c r="HQ1365" s="73"/>
      <c r="HR1365" s="73"/>
      <c r="HS1365" s="73"/>
      <c r="HT1365" s="73"/>
      <c r="HU1365" s="73"/>
      <c r="HV1365" s="73"/>
      <c r="HW1365" s="73"/>
      <c r="HX1365" s="73"/>
      <c r="HY1365" s="73"/>
      <c r="HZ1365" s="73"/>
      <c r="IA1365" s="73"/>
      <c r="IB1365" s="73"/>
      <c r="IC1365" s="73"/>
      <c r="ID1365" s="73"/>
      <c r="IE1365" s="73"/>
      <c r="IF1365" s="73"/>
      <c r="IG1365" s="73"/>
      <c r="IH1365" s="73"/>
      <c r="II1365" s="73"/>
      <c r="IJ1365" s="73"/>
      <c r="IK1365" s="73"/>
      <c r="IL1365" s="73"/>
      <c r="IM1365" s="73"/>
      <c r="IN1365" s="73"/>
      <c r="IO1365" s="73"/>
      <c r="IP1365" s="73"/>
      <c r="IQ1365" s="73"/>
      <c r="IR1365" s="73"/>
      <c r="IS1365" s="73"/>
      <c r="IT1365" s="73"/>
      <c r="IU1365" s="73"/>
      <c r="IV1365" s="73"/>
      <c r="IW1365" s="73"/>
      <c r="IX1365" s="73"/>
      <c r="IY1365" s="73"/>
      <c r="IZ1365" s="73"/>
      <c r="JA1365" s="73"/>
      <c r="JB1365" s="73"/>
      <c r="JC1365" s="73"/>
    </row>
    <row r="1366" spans="2:263" s="72" customFormat="1">
      <c r="B1366" s="73"/>
      <c r="C1366" s="73"/>
      <c r="D1366" s="73"/>
      <c r="E1366" s="73"/>
      <c r="F1366" s="73"/>
      <c r="G1366" s="73"/>
      <c r="H1366" s="73"/>
      <c r="I1366" s="73"/>
      <c r="J1366" s="73"/>
      <c r="K1366" s="73"/>
      <c r="L1366" s="73"/>
      <c r="M1366" s="73"/>
      <c r="N1366" s="73"/>
      <c r="O1366" s="73"/>
      <c r="P1366" s="73"/>
      <c r="Q1366" s="73"/>
      <c r="R1366" s="73"/>
      <c r="S1366" s="73"/>
      <c r="T1366" s="73"/>
      <c r="U1366" s="73"/>
      <c r="V1366" s="73"/>
      <c r="W1366" s="73"/>
      <c r="GL1366" s="73"/>
      <c r="GM1366" s="73"/>
      <c r="GN1366" s="73"/>
      <c r="GO1366" s="73"/>
      <c r="GP1366" s="73"/>
      <c r="GQ1366" s="73"/>
      <c r="GR1366" s="73"/>
      <c r="GS1366" s="73"/>
      <c r="GT1366" s="73"/>
      <c r="GU1366" s="73"/>
      <c r="GV1366" s="73"/>
      <c r="GW1366" s="73"/>
      <c r="GX1366" s="73"/>
      <c r="GY1366" s="73"/>
      <c r="GZ1366" s="73"/>
      <c r="HA1366" s="73"/>
      <c r="HB1366" s="73"/>
      <c r="HC1366" s="73"/>
      <c r="HD1366" s="73"/>
      <c r="HE1366" s="73"/>
      <c r="HF1366" s="73"/>
      <c r="HG1366" s="73"/>
      <c r="HH1366" s="73"/>
      <c r="HI1366" s="73"/>
      <c r="HJ1366" s="73"/>
      <c r="HK1366" s="73"/>
      <c r="HL1366" s="73"/>
      <c r="HM1366" s="73"/>
      <c r="HN1366" s="73"/>
      <c r="HO1366" s="73"/>
      <c r="HP1366" s="73"/>
      <c r="HQ1366" s="73"/>
      <c r="HR1366" s="73"/>
      <c r="HS1366" s="73"/>
      <c r="HT1366" s="73"/>
      <c r="HU1366" s="73"/>
      <c r="HV1366" s="73"/>
      <c r="HW1366" s="73"/>
      <c r="HX1366" s="73"/>
      <c r="HY1366" s="73"/>
      <c r="HZ1366" s="73"/>
      <c r="IA1366" s="73"/>
      <c r="IB1366" s="73"/>
      <c r="IC1366" s="73"/>
      <c r="ID1366" s="73"/>
      <c r="IE1366" s="73"/>
      <c r="IF1366" s="73"/>
      <c r="IG1366" s="73"/>
      <c r="IH1366" s="73"/>
      <c r="II1366" s="73"/>
      <c r="IJ1366" s="73"/>
      <c r="IK1366" s="73"/>
      <c r="IL1366" s="73"/>
      <c r="IM1366" s="73"/>
      <c r="IN1366" s="73"/>
      <c r="IO1366" s="73"/>
      <c r="IP1366" s="73"/>
      <c r="IQ1366" s="73"/>
      <c r="IR1366" s="73"/>
      <c r="IS1366" s="73"/>
      <c r="IT1366" s="73"/>
      <c r="IU1366" s="73"/>
      <c r="IV1366" s="73"/>
      <c r="IW1366" s="73"/>
      <c r="IX1366" s="73"/>
      <c r="IY1366" s="73"/>
      <c r="IZ1366" s="73"/>
      <c r="JA1366" s="73"/>
      <c r="JB1366" s="73"/>
      <c r="JC1366" s="73"/>
    </row>
    <row r="1367" spans="2:263" s="72" customFormat="1">
      <c r="B1367" s="73"/>
      <c r="C1367" s="73"/>
      <c r="D1367" s="73"/>
      <c r="E1367" s="73"/>
      <c r="F1367" s="73"/>
      <c r="G1367" s="73"/>
      <c r="H1367" s="73"/>
      <c r="I1367" s="73"/>
      <c r="J1367" s="73"/>
      <c r="K1367" s="73"/>
      <c r="L1367" s="73"/>
      <c r="M1367" s="73"/>
      <c r="N1367" s="73"/>
      <c r="O1367" s="73"/>
      <c r="P1367" s="73"/>
      <c r="Q1367" s="73"/>
      <c r="R1367" s="73"/>
      <c r="S1367" s="73"/>
      <c r="T1367" s="73"/>
      <c r="U1367" s="73"/>
      <c r="V1367" s="73"/>
      <c r="W1367" s="73"/>
      <c r="GL1367" s="73"/>
      <c r="GM1367" s="73"/>
      <c r="GN1367" s="73"/>
      <c r="GO1367" s="73"/>
      <c r="GP1367" s="73"/>
      <c r="GQ1367" s="73"/>
      <c r="GR1367" s="73"/>
      <c r="GS1367" s="73"/>
      <c r="GT1367" s="73"/>
      <c r="GU1367" s="73"/>
      <c r="GV1367" s="73"/>
      <c r="GW1367" s="73"/>
      <c r="GX1367" s="73"/>
      <c r="GY1367" s="73"/>
      <c r="GZ1367" s="73"/>
      <c r="HA1367" s="73"/>
      <c r="HB1367" s="73"/>
      <c r="HC1367" s="73"/>
      <c r="HD1367" s="73"/>
      <c r="HE1367" s="73"/>
      <c r="HF1367" s="73"/>
      <c r="HG1367" s="73"/>
      <c r="HH1367" s="73"/>
      <c r="HI1367" s="73"/>
      <c r="HJ1367" s="73"/>
      <c r="HK1367" s="73"/>
      <c r="HL1367" s="73"/>
      <c r="HM1367" s="73"/>
      <c r="HN1367" s="73"/>
      <c r="HO1367" s="73"/>
      <c r="HP1367" s="73"/>
      <c r="HQ1367" s="73"/>
      <c r="HR1367" s="73"/>
      <c r="HS1367" s="73"/>
      <c r="HT1367" s="73"/>
      <c r="HU1367" s="73"/>
      <c r="HV1367" s="73"/>
      <c r="HW1367" s="73"/>
      <c r="HX1367" s="73"/>
      <c r="HY1367" s="73"/>
      <c r="HZ1367" s="73"/>
      <c r="IA1367" s="73"/>
      <c r="IB1367" s="73"/>
      <c r="IC1367" s="73"/>
      <c r="ID1367" s="73"/>
      <c r="IE1367" s="73"/>
      <c r="IF1367" s="73"/>
      <c r="IG1367" s="73"/>
      <c r="IH1367" s="73"/>
      <c r="II1367" s="73"/>
      <c r="IJ1367" s="73"/>
      <c r="IK1367" s="73"/>
      <c r="IL1367" s="73"/>
      <c r="IM1367" s="73"/>
      <c r="IN1367" s="73"/>
      <c r="IO1367" s="73"/>
      <c r="IP1367" s="73"/>
      <c r="IQ1367" s="73"/>
      <c r="IR1367" s="73"/>
      <c r="IS1367" s="73"/>
      <c r="IT1367" s="73"/>
      <c r="IU1367" s="73"/>
      <c r="IV1367" s="73"/>
      <c r="IW1367" s="73"/>
      <c r="IX1367" s="73"/>
      <c r="IY1367" s="73"/>
      <c r="IZ1367" s="73"/>
      <c r="JA1367" s="73"/>
      <c r="JB1367" s="73"/>
      <c r="JC1367" s="73"/>
    </row>
    <row r="1368" spans="2:263" s="72" customFormat="1">
      <c r="B1368" s="73"/>
      <c r="C1368" s="73"/>
      <c r="D1368" s="73"/>
      <c r="E1368" s="73"/>
      <c r="F1368" s="73"/>
      <c r="G1368" s="73"/>
      <c r="H1368" s="73"/>
      <c r="I1368" s="73"/>
      <c r="J1368" s="73"/>
      <c r="K1368" s="73"/>
      <c r="L1368" s="73"/>
      <c r="M1368" s="73"/>
      <c r="N1368" s="73"/>
      <c r="O1368" s="73"/>
      <c r="P1368" s="73"/>
      <c r="Q1368" s="73"/>
      <c r="R1368" s="73"/>
      <c r="S1368" s="73"/>
      <c r="T1368" s="73"/>
      <c r="U1368" s="73"/>
      <c r="V1368" s="73"/>
      <c r="W1368" s="73"/>
      <c r="GL1368" s="73"/>
      <c r="GM1368" s="73"/>
      <c r="GN1368" s="73"/>
      <c r="GO1368" s="73"/>
      <c r="GP1368" s="73"/>
      <c r="GQ1368" s="73"/>
      <c r="GR1368" s="73"/>
      <c r="GS1368" s="73"/>
      <c r="GT1368" s="73"/>
      <c r="GU1368" s="73"/>
      <c r="GV1368" s="73"/>
      <c r="GW1368" s="73"/>
      <c r="GX1368" s="73"/>
      <c r="GY1368" s="73"/>
      <c r="GZ1368" s="73"/>
      <c r="HA1368" s="73"/>
      <c r="HB1368" s="73"/>
      <c r="HC1368" s="73"/>
      <c r="HD1368" s="73"/>
      <c r="HE1368" s="73"/>
      <c r="HF1368" s="73"/>
      <c r="HG1368" s="73"/>
      <c r="HH1368" s="73"/>
      <c r="HI1368" s="73"/>
      <c r="HJ1368" s="73"/>
      <c r="HK1368" s="73"/>
      <c r="HL1368" s="73"/>
      <c r="HM1368" s="73"/>
      <c r="HN1368" s="73"/>
      <c r="HO1368" s="73"/>
      <c r="HP1368" s="73"/>
      <c r="HQ1368" s="73"/>
      <c r="HR1368" s="73"/>
      <c r="HS1368" s="73"/>
      <c r="HT1368" s="73"/>
      <c r="HU1368" s="73"/>
      <c r="HV1368" s="73"/>
      <c r="HW1368" s="73"/>
      <c r="HX1368" s="73"/>
      <c r="HY1368" s="73"/>
      <c r="HZ1368" s="73"/>
      <c r="IA1368" s="73"/>
      <c r="IB1368" s="73"/>
      <c r="IC1368" s="73"/>
      <c r="ID1368" s="73"/>
      <c r="IE1368" s="73"/>
      <c r="IF1368" s="73"/>
      <c r="IG1368" s="73"/>
      <c r="IH1368" s="73"/>
      <c r="II1368" s="73"/>
      <c r="IJ1368" s="73"/>
      <c r="IK1368" s="73"/>
      <c r="IL1368" s="73"/>
      <c r="IM1368" s="73"/>
      <c r="IN1368" s="73"/>
      <c r="IO1368" s="73"/>
      <c r="IP1368" s="73"/>
      <c r="IQ1368" s="73"/>
      <c r="IR1368" s="73"/>
      <c r="IS1368" s="73"/>
      <c r="IT1368" s="73"/>
      <c r="IU1368" s="73"/>
      <c r="IV1368" s="73"/>
      <c r="IW1368" s="73"/>
      <c r="IX1368" s="73"/>
      <c r="IY1368" s="73"/>
      <c r="IZ1368" s="73"/>
      <c r="JA1368" s="73"/>
      <c r="JB1368" s="73"/>
      <c r="JC1368" s="73"/>
    </row>
    <row r="1369" spans="2:263" s="72" customFormat="1">
      <c r="B1369" s="73"/>
      <c r="C1369" s="73"/>
      <c r="D1369" s="73"/>
      <c r="E1369" s="73"/>
      <c r="F1369" s="73"/>
      <c r="G1369" s="73"/>
      <c r="H1369" s="73"/>
      <c r="I1369" s="73"/>
      <c r="J1369" s="73"/>
      <c r="K1369" s="73"/>
      <c r="L1369" s="73"/>
      <c r="M1369" s="73"/>
      <c r="N1369" s="73"/>
      <c r="O1369" s="73"/>
      <c r="P1369" s="73"/>
      <c r="Q1369" s="73"/>
      <c r="R1369" s="73"/>
      <c r="S1369" s="73"/>
      <c r="T1369" s="73"/>
      <c r="U1369" s="73"/>
      <c r="V1369" s="73"/>
      <c r="W1369" s="73"/>
      <c r="GL1369" s="73"/>
      <c r="GM1369" s="73"/>
      <c r="GN1369" s="73"/>
      <c r="GO1369" s="73"/>
      <c r="GP1369" s="73"/>
      <c r="GQ1369" s="73"/>
      <c r="GR1369" s="73"/>
      <c r="GS1369" s="73"/>
      <c r="GT1369" s="73"/>
      <c r="GU1369" s="73"/>
      <c r="GV1369" s="73"/>
      <c r="GW1369" s="73"/>
      <c r="GX1369" s="73"/>
      <c r="GY1369" s="73"/>
      <c r="GZ1369" s="73"/>
      <c r="HA1369" s="73"/>
      <c r="HB1369" s="73"/>
      <c r="HC1369" s="73"/>
      <c r="HD1369" s="73"/>
      <c r="HE1369" s="73"/>
      <c r="HF1369" s="73"/>
      <c r="HG1369" s="73"/>
      <c r="HH1369" s="73"/>
      <c r="HI1369" s="73"/>
      <c r="HJ1369" s="73"/>
      <c r="HK1369" s="73"/>
      <c r="HL1369" s="73"/>
      <c r="HM1369" s="73"/>
      <c r="HN1369" s="73"/>
      <c r="HO1369" s="73"/>
      <c r="HP1369" s="73"/>
      <c r="HQ1369" s="73"/>
      <c r="HR1369" s="73"/>
      <c r="HS1369" s="73"/>
      <c r="HT1369" s="73"/>
      <c r="HU1369" s="73"/>
      <c r="HV1369" s="73"/>
      <c r="HW1369" s="73"/>
      <c r="HX1369" s="73"/>
      <c r="HY1369" s="73"/>
      <c r="HZ1369" s="73"/>
      <c r="IA1369" s="73"/>
      <c r="IB1369" s="73"/>
      <c r="IC1369" s="73"/>
      <c r="ID1369" s="73"/>
      <c r="IE1369" s="73"/>
      <c r="IF1369" s="73"/>
      <c r="IG1369" s="73"/>
      <c r="IH1369" s="73"/>
      <c r="II1369" s="73"/>
      <c r="IJ1369" s="73"/>
      <c r="IK1369" s="73"/>
      <c r="IL1369" s="73"/>
      <c r="IM1369" s="73"/>
      <c r="IN1369" s="73"/>
      <c r="IO1369" s="73"/>
      <c r="IP1369" s="73"/>
      <c r="IQ1369" s="73"/>
      <c r="IR1369" s="73"/>
      <c r="IS1369" s="73"/>
      <c r="IT1369" s="73"/>
      <c r="IU1369" s="73"/>
      <c r="IV1369" s="73"/>
      <c r="IW1369" s="73"/>
      <c r="IX1369" s="73"/>
      <c r="IY1369" s="73"/>
      <c r="IZ1369" s="73"/>
      <c r="JA1369" s="73"/>
      <c r="JB1369" s="73"/>
      <c r="JC1369" s="73"/>
    </row>
    <row r="1370" spans="2:263" s="72" customFormat="1">
      <c r="B1370" s="73"/>
      <c r="C1370" s="73"/>
      <c r="D1370" s="73"/>
      <c r="E1370" s="73"/>
      <c r="F1370" s="73"/>
      <c r="G1370" s="73"/>
      <c r="H1370" s="73"/>
      <c r="I1370" s="73"/>
      <c r="J1370" s="73"/>
      <c r="K1370" s="73"/>
      <c r="L1370" s="73"/>
      <c r="M1370" s="73"/>
      <c r="N1370" s="73"/>
      <c r="O1370" s="73"/>
      <c r="P1370" s="73"/>
      <c r="Q1370" s="73"/>
      <c r="R1370" s="73"/>
      <c r="S1370" s="73"/>
      <c r="T1370" s="73"/>
      <c r="U1370" s="73"/>
      <c r="V1370" s="73"/>
      <c r="W1370" s="73"/>
      <c r="GL1370" s="73"/>
      <c r="GM1370" s="73"/>
      <c r="GN1370" s="73"/>
      <c r="GO1370" s="73"/>
      <c r="GP1370" s="73"/>
      <c r="GQ1370" s="73"/>
      <c r="GR1370" s="73"/>
      <c r="GS1370" s="73"/>
      <c r="GT1370" s="73"/>
      <c r="GU1370" s="73"/>
      <c r="GV1370" s="73"/>
      <c r="GW1370" s="73"/>
      <c r="GX1370" s="73"/>
      <c r="GY1370" s="73"/>
      <c r="GZ1370" s="73"/>
      <c r="HA1370" s="73"/>
      <c r="HB1370" s="73"/>
      <c r="HC1370" s="73"/>
      <c r="HD1370" s="73"/>
      <c r="HE1370" s="73"/>
      <c r="HF1370" s="73"/>
      <c r="HG1370" s="73"/>
      <c r="HH1370" s="73"/>
      <c r="HI1370" s="73"/>
      <c r="HJ1370" s="73"/>
      <c r="HK1370" s="73"/>
      <c r="HL1370" s="73"/>
      <c r="HM1370" s="73"/>
      <c r="HN1370" s="73"/>
      <c r="HO1370" s="73"/>
      <c r="HP1370" s="73"/>
      <c r="HQ1370" s="73"/>
      <c r="HR1370" s="73"/>
      <c r="HS1370" s="73"/>
      <c r="HT1370" s="73"/>
      <c r="HU1370" s="73"/>
      <c r="HV1370" s="73"/>
      <c r="HW1370" s="73"/>
      <c r="HX1370" s="73"/>
      <c r="HY1370" s="73"/>
      <c r="HZ1370" s="73"/>
      <c r="IA1370" s="73"/>
      <c r="IB1370" s="73"/>
      <c r="IC1370" s="73"/>
      <c r="ID1370" s="73"/>
      <c r="IE1370" s="73"/>
      <c r="IF1370" s="73"/>
      <c r="IG1370" s="73"/>
      <c r="IH1370" s="73"/>
      <c r="II1370" s="73"/>
      <c r="IJ1370" s="73"/>
      <c r="IK1370" s="73"/>
      <c r="IL1370" s="73"/>
      <c r="IM1370" s="73"/>
      <c r="IN1370" s="73"/>
      <c r="IO1370" s="73"/>
      <c r="IP1370" s="73"/>
      <c r="IQ1370" s="73"/>
      <c r="IR1370" s="73"/>
      <c r="IS1370" s="73"/>
      <c r="IT1370" s="73"/>
      <c r="IU1370" s="73"/>
      <c r="IV1370" s="73"/>
      <c r="IW1370" s="73"/>
      <c r="IX1370" s="73"/>
      <c r="IY1370" s="73"/>
      <c r="IZ1370" s="73"/>
      <c r="JA1370" s="73"/>
      <c r="JB1370" s="73"/>
      <c r="JC1370" s="73"/>
    </row>
    <row r="1371" spans="2:263" s="72" customFormat="1">
      <c r="B1371" s="73"/>
      <c r="C1371" s="73"/>
      <c r="D1371" s="73"/>
      <c r="E1371" s="73"/>
      <c r="F1371" s="73"/>
      <c r="G1371" s="73"/>
      <c r="H1371" s="73"/>
      <c r="I1371" s="73"/>
      <c r="J1371" s="73"/>
      <c r="K1371" s="73"/>
      <c r="L1371" s="73"/>
      <c r="M1371" s="73"/>
      <c r="N1371" s="73"/>
      <c r="O1371" s="73"/>
      <c r="P1371" s="73"/>
      <c r="Q1371" s="73"/>
      <c r="R1371" s="73"/>
      <c r="S1371" s="73"/>
      <c r="T1371" s="73"/>
      <c r="U1371" s="73"/>
      <c r="V1371" s="73"/>
      <c r="W1371" s="73"/>
      <c r="GL1371" s="73"/>
      <c r="GM1371" s="73"/>
      <c r="GN1371" s="73"/>
      <c r="GO1371" s="73"/>
      <c r="GP1371" s="73"/>
      <c r="GQ1371" s="73"/>
      <c r="GR1371" s="73"/>
      <c r="GS1371" s="73"/>
      <c r="GT1371" s="73"/>
      <c r="GU1371" s="73"/>
      <c r="GV1371" s="73"/>
      <c r="GW1371" s="73"/>
      <c r="GX1371" s="73"/>
      <c r="GY1371" s="73"/>
      <c r="GZ1371" s="73"/>
      <c r="HA1371" s="73"/>
      <c r="HB1371" s="73"/>
      <c r="HC1371" s="73"/>
      <c r="HD1371" s="73"/>
      <c r="HE1371" s="73"/>
      <c r="HF1371" s="73"/>
      <c r="HG1371" s="73"/>
      <c r="HH1371" s="73"/>
      <c r="HI1371" s="73"/>
      <c r="HJ1371" s="73"/>
      <c r="HK1371" s="73"/>
      <c r="HL1371" s="73"/>
      <c r="HM1371" s="73"/>
      <c r="HN1371" s="73"/>
      <c r="HO1371" s="73"/>
      <c r="HP1371" s="73"/>
      <c r="HQ1371" s="73"/>
      <c r="HR1371" s="73"/>
      <c r="HS1371" s="73"/>
      <c r="HT1371" s="73"/>
      <c r="HU1371" s="73"/>
      <c r="HV1371" s="73"/>
      <c r="HW1371" s="73"/>
      <c r="HX1371" s="73"/>
      <c r="HY1371" s="73"/>
      <c r="HZ1371" s="73"/>
      <c r="IA1371" s="73"/>
      <c r="IB1371" s="73"/>
      <c r="IC1371" s="73"/>
      <c r="ID1371" s="73"/>
      <c r="IE1371" s="73"/>
      <c r="IF1371" s="73"/>
      <c r="IG1371" s="73"/>
      <c r="IH1371" s="73"/>
      <c r="II1371" s="73"/>
      <c r="IJ1371" s="73"/>
      <c r="IK1371" s="73"/>
      <c r="IL1371" s="73"/>
      <c r="IM1371" s="73"/>
      <c r="IN1371" s="73"/>
      <c r="IO1371" s="73"/>
      <c r="IP1371" s="73"/>
      <c r="IQ1371" s="73"/>
      <c r="IR1371" s="73"/>
      <c r="IS1371" s="73"/>
      <c r="IT1371" s="73"/>
      <c r="IU1371" s="73"/>
      <c r="IV1371" s="73"/>
      <c r="IW1371" s="73"/>
      <c r="IX1371" s="73"/>
      <c r="IY1371" s="73"/>
      <c r="IZ1371" s="73"/>
      <c r="JA1371" s="73"/>
      <c r="JB1371" s="73"/>
      <c r="JC1371" s="73"/>
    </row>
    <row r="1372" spans="2:263" s="72" customFormat="1">
      <c r="B1372" s="73"/>
      <c r="C1372" s="73"/>
      <c r="D1372" s="73"/>
      <c r="E1372" s="73"/>
      <c r="F1372" s="73"/>
      <c r="G1372" s="73"/>
      <c r="H1372" s="73"/>
      <c r="I1372" s="73"/>
      <c r="J1372" s="73"/>
      <c r="K1372" s="73"/>
      <c r="L1372" s="73"/>
      <c r="M1372" s="73"/>
      <c r="N1372" s="73"/>
      <c r="O1372" s="73"/>
      <c r="P1372" s="73"/>
      <c r="Q1372" s="73"/>
      <c r="R1372" s="73"/>
      <c r="S1372" s="73"/>
      <c r="T1372" s="73"/>
      <c r="U1372" s="73"/>
      <c r="V1372" s="73"/>
      <c r="W1372" s="73"/>
      <c r="GL1372" s="73"/>
      <c r="GM1372" s="73"/>
      <c r="GN1372" s="73"/>
      <c r="GO1372" s="73"/>
      <c r="GP1372" s="73"/>
      <c r="GQ1372" s="73"/>
      <c r="GR1372" s="73"/>
      <c r="GS1372" s="73"/>
      <c r="GT1372" s="73"/>
      <c r="GU1372" s="73"/>
      <c r="GV1372" s="73"/>
      <c r="GW1372" s="73"/>
      <c r="GX1372" s="73"/>
      <c r="GY1372" s="73"/>
      <c r="GZ1372" s="73"/>
      <c r="HA1372" s="73"/>
      <c r="HB1372" s="73"/>
      <c r="HC1372" s="73"/>
      <c r="HD1372" s="73"/>
      <c r="HE1372" s="73"/>
      <c r="HF1372" s="73"/>
      <c r="HG1372" s="73"/>
      <c r="HH1372" s="73"/>
      <c r="HI1372" s="73"/>
      <c r="HJ1372" s="73"/>
      <c r="HK1372" s="73"/>
      <c r="HL1372" s="73"/>
      <c r="HM1372" s="73"/>
      <c r="HN1372" s="73"/>
      <c r="HO1372" s="73"/>
      <c r="HP1372" s="73"/>
      <c r="HQ1372" s="73"/>
      <c r="HR1372" s="73"/>
      <c r="HS1372" s="73"/>
      <c r="HT1372" s="73"/>
      <c r="HU1372" s="73"/>
      <c r="HV1372" s="73"/>
      <c r="HW1372" s="73"/>
      <c r="HX1372" s="73"/>
      <c r="HY1372" s="73"/>
      <c r="HZ1372" s="73"/>
      <c r="IA1372" s="73"/>
      <c r="IB1372" s="73"/>
      <c r="IC1372" s="73"/>
      <c r="ID1372" s="73"/>
      <c r="IE1372" s="73"/>
      <c r="IF1372" s="73"/>
      <c r="IG1372" s="73"/>
      <c r="IH1372" s="73"/>
      <c r="II1372" s="73"/>
      <c r="IJ1372" s="73"/>
      <c r="IK1372" s="73"/>
      <c r="IL1372" s="73"/>
      <c r="IM1372" s="73"/>
      <c r="IN1372" s="73"/>
      <c r="IO1372" s="73"/>
      <c r="IP1372" s="73"/>
      <c r="IQ1372" s="73"/>
      <c r="IR1372" s="73"/>
      <c r="IS1372" s="73"/>
      <c r="IT1372" s="73"/>
      <c r="IU1372" s="73"/>
      <c r="IV1372" s="73"/>
      <c r="IW1372" s="73"/>
      <c r="IX1372" s="73"/>
      <c r="IY1372" s="73"/>
      <c r="IZ1372" s="73"/>
      <c r="JA1372" s="73"/>
      <c r="JB1372" s="73"/>
      <c r="JC1372" s="73"/>
    </row>
    <row r="1373" spans="2:263" s="72" customFormat="1">
      <c r="B1373" s="73"/>
      <c r="C1373" s="73"/>
      <c r="D1373" s="73"/>
      <c r="E1373" s="73"/>
      <c r="F1373" s="73"/>
      <c r="G1373" s="73"/>
      <c r="H1373" s="73"/>
      <c r="I1373" s="73"/>
      <c r="J1373" s="73"/>
      <c r="K1373" s="73"/>
      <c r="L1373" s="73"/>
      <c r="M1373" s="73"/>
      <c r="N1373" s="73"/>
      <c r="O1373" s="73"/>
      <c r="P1373" s="73"/>
      <c r="Q1373" s="73"/>
      <c r="R1373" s="73"/>
      <c r="S1373" s="73"/>
      <c r="T1373" s="73"/>
      <c r="U1373" s="73"/>
      <c r="V1373" s="73"/>
      <c r="W1373" s="73"/>
      <c r="GL1373" s="73"/>
      <c r="GM1373" s="73"/>
      <c r="GN1373" s="73"/>
      <c r="GO1373" s="73"/>
      <c r="GP1373" s="73"/>
      <c r="GQ1373" s="73"/>
      <c r="GR1373" s="73"/>
      <c r="GS1373" s="73"/>
      <c r="GT1373" s="73"/>
      <c r="GU1373" s="73"/>
      <c r="GV1373" s="73"/>
      <c r="GW1373" s="73"/>
      <c r="GX1373" s="73"/>
      <c r="GY1373" s="73"/>
      <c r="GZ1373" s="73"/>
      <c r="HA1373" s="73"/>
      <c r="HB1373" s="73"/>
      <c r="HC1373" s="73"/>
      <c r="HD1373" s="73"/>
      <c r="HE1373" s="73"/>
      <c r="HF1373" s="73"/>
      <c r="HG1373" s="73"/>
      <c r="HH1373" s="73"/>
      <c r="HI1373" s="73"/>
      <c r="HJ1373" s="73"/>
      <c r="HK1373" s="73"/>
      <c r="HL1373" s="73"/>
      <c r="HM1373" s="73"/>
      <c r="HN1373" s="73"/>
      <c r="HO1373" s="73"/>
      <c r="HP1373" s="73"/>
      <c r="HQ1373" s="73"/>
      <c r="HR1373" s="73"/>
      <c r="HS1373" s="73"/>
      <c r="HT1373" s="73"/>
      <c r="HU1373" s="73"/>
      <c r="HV1373" s="73"/>
      <c r="HW1373" s="73"/>
      <c r="HX1373" s="73"/>
      <c r="HY1373" s="73"/>
      <c r="HZ1373" s="73"/>
      <c r="IA1373" s="73"/>
      <c r="IB1373" s="73"/>
      <c r="IC1373" s="73"/>
      <c r="ID1373" s="73"/>
      <c r="IE1373" s="73"/>
      <c r="IF1373" s="73"/>
      <c r="IG1373" s="73"/>
      <c r="IH1373" s="73"/>
      <c r="II1373" s="73"/>
      <c r="IJ1373" s="73"/>
      <c r="IK1373" s="73"/>
      <c r="IL1373" s="73"/>
      <c r="IM1373" s="73"/>
      <c r="IN1373" s="73"/>
      <c r="IO1373" s="73"/>
      <c r="IP1373" s="73"/>
      <c r="IQ1373" s="73"/>
      <c r="IR1373" s="73"/>
      <c r="IS1373" s="73"/>
      <c r="IT1373" s="73"/>
      <c r="IU1373" s="73"/>
      <c r="IV1373" s="73"/>
      <c r="IW1373" s="73"/>
      <c r="IX1373" s="73"/>
      <c r="IY1373" s="73"/>
      <c r="IZ1373" s="73"/>
      <c r="JA1373" s="73"/>
      <c r="JB1373" s="73"/>
      <c r="JC1373" s="73"/>
    </row>
    <row r="1374" spans="2:263" s="72" customFormat="1">
      <c r="B1374" s="73"/>
      <c r="C1374" s="73"/>
      <c r="D1374" s="73"/>
      <c r="E1374" s="73"/>
      <c r="F1374" s="73"/>
      <c r="G1374" s="73"/>
      <c r="H1374" s="73"/>
      <c r="I1374" s="73"/>
      <c r="J1374" s="73"/>
      <c r="K1374" s="73"/>
      <c r="L1374" s="73"/>
      <c r="M1374" s="73"/>
      <c r="N1374" s="73"/>
      <c r="O1374" s="73"/>
      <c r="P1374" s="73"/>
      <c r="Q1374" s="73"/>
      <c r="R1374" s="73"/>
      <c r="S1374" s="73"/>
      <c r="T1374" s="73"/>
      <c r="U1374" s="73"/>
      <c r="V1374" s="73"/>
      <c r="W1374" s="73"/>
      <c r="GL1374" s="73"/>
      <c r="GM1374" s="73"/>
      <c r="GN1374" s="73"/>
      <c r="GO1374" s="73"/>
      <c r="GP1374" s="73"/>
      <c r="GQ1374" s="73"/>
      <c r="GR1374" s="73"/>
      <c r="GS1374" s="73"/>
      <c r="GT1374" s="73"/>
      <c r="GU1374" s="73"/>
      <c r="GV1374" s="73"/>
      <c r="GW1374" s="73"/>
      <c r="GX1374" s="73"/>
      <c r="GY1374" s="73"/>
      <c r="GZ1374" s="73"/>
      <c r="HA1374" s="73"/>
      <c r="HB1374" s="73"/>
      <c r="HC1374" s="73"/>
      <c r="HD1374" s="73"/>
      <c r="HE1374" s="73"/>
      <c r="HF1374" s="73"/>
      <c r="HG1374" s="73"/>
      <c r="HH1374" s="73"/>
      <c r="HI1374" s="73"/>
      <c r="HJ1374" s="73"/>
      <c r="HK1374" s="73"/>
      <c r="HL1374" s="73"/>
      <c r="HM1374" s="73"/>
      <c r="HN1374" s="73"/>
      <c r="HO1374" s="73"/>
      <c r="HP1374" s="73"/>
      <c r="HQ1374" s="73"/>
      <c r="HR1374" s="73"/>
      <c r="HS1374" s="73"/>
      <c r="HT1374" s="73"/>
      <c r="HU1374" s="73"/>
      <c r="HV1374" s="73"/>
      <c r="HW1374" s="73"/>
      <c r="HX1374" s="73"/>
      <c r="HY1374" s="73"/>
      <c r="HZ1374" s="73"/>
      <c r="IA1374" s="73"/>
      <c r="IB1374" s="73"/>
      <c r="IC1374" s="73"/>
      <c r="ID1374" s="73"/>
      <c r="IE1374" s="73"/>
      <c r="IF1374" s="73"/>
      <c r="IG1374" s="73"/>
      <c r="IH1374" s="73"/>
      <c r="II1374" s="73"/>
      <c r="IJ1374" s="73"/>
      <c r="IK1374" s="73"/>
      <c r="IL1374" s="73"/>
      <c r="IM1374" s="73"/>
      <c r="IN1374" s="73"/>
      <c r="IO1374" s="73"/>
      <c r="IP1374" s="73"/>
      <c r="IQ1374" s="73"/>
      <c r="IR1374" s="73"/>
      <c r="IS1374" s="73"/>
      <c r="IT1374" s="73"/>
      <c r="IU1374" s="73"/>
      <c r="IV1374" s="73"/>
      <c r="IW1374" s="73"/>
      <c r="IX1374" s="73"/>
      <c r="IY1374" s="73"/>
      <c r="IZ1374" s="73"/>
      <c r="JA1374" s="73"/>
      <c r="JB1374" s="73"/>
      <c r="JC1374" s="73"/>
    </row>
    <row r="1375" spans="2:263" s="72" customFormat="1">
      <c r="B1375" s="73"/>
      <c r="C1375" s="73"/>
      <c r="D1375" s="73"/>
      <c r="E1375" s="73"/>
      <c r="F1375" s="73"/>
      <c r="G1375" s="73"/>
      <c r="H1375" s="73"/>
      <c r="I1375" s="73"/>
      <c r="J1375" s="73"/>
      <c r="K1375" s="73"/>
      <c r="L1375" s="73"/>
      <c r="M1375" s="73"/>
      <c r="N1375" s="73"/>
      <c r="O1375" s="73"/>
      <c r="P1375" s="73"/>
      <c r="Q1375" s="73"/>
      <c r="R1375" s="73"/>
      <c r="S1375" s="73"/>
      <c r="T1375" s="73"/>
      <c r="U1375" s="73"/>
      <c r="V1375" s="73"/>
      <c r="W1375" s="73"/>
      <c r="GL1375" s="73"/>
      <c r="GM1375" s="73"/>
      <c r="GN1375" s="73"/>
      <c r="GO1375" s="73"/>
      <c r="GP1375" s="73"/>
      <c r="GQ1375" s="73"/>
      <c r="GR1375" s="73"/>
      <c r="GS1375" s="73"/>
      <c r="GT1375" s="73"/>
      <c r="GU1375" s="73"/>
      <c r="GV1375" s="73"/>
      <c r="GW1375" s="73"/>
      <c r="GX1375" s="73"/>
      <c r="GY1375" s="73"/>
      <c r="GZ1375" s="73"/>
      <c r="HA1375" s="73"/>
      <c r="HB1375" s="73"/>
      <c r="HC1375" s="73"/>
      <c r="HD1375" s="73"/>
      <c r="HE1375" s="73"/>
      <c r="HF1375" s="73"/>
      <c r="HG1375" s="73"/>
      <c r="HH1375" s="73"/>
      <c r="HI1375" s="73"/>
      <c r="HJ1375" s="73"/>
      <c r="HK1375" s="73"/>
      <c r="HL1375" s="73"/>
      <c r="HM1375" s="73"/>
      <c r="HN1375" s="73"/>
      <c r="HO1375" s="73"/>
      <c r="HP1375" s="73"/>
      <c r="HQ1375" s="73"/>
      <c r="HR1375" s="73"/>
      <c r="HS1375" s="73"/>
      <c r="HT1375" s="73"/>
      <c r="HU1375" s="73"/>
      <c r="HV1375" s="73"/>
      <c r="HW1375" s="73"/>
      <c r="HX1375" s="73"/>
      <c r="HY1375" s="73"/>
      <c r="HZ1375" s="73"/>
      <c r="IA1375" s="73"/>
      <c r="IB1375" s="73"/>
      <c r="IC1375" s="73"/>
      <c r="ID1375" s="73"/>
      <c r="IE1375" s="73"/>
      <c r="IF1375" s="73"/>
      <c r="IG1375" s="73"/>
      <c r="IH1375" s="73"/>
      <c r="II1375" s="73"/>
      <c r="IJ1375" s="73"/>
      <c r="IK1375" s="73"/>
      <c r="IL1375" s="73"/>
      <c r="IM1375" s="73"/>
      <c r="IN1375" s="73"/>
      <c r="IO1375" s="73"/>
      <c r="IP1375" s="73"/>
      <c r="IQ1375" s="73"/>
      <c r="IR1375" s="73"/>
      <c r="IS1375" s="73"/>
      <c r="IT1375" s="73"/>
      <c r="IU1375" s="73"/>
      <c r="IV1375" s="73"/>
      <c r="IW1375" s="73"/>
      <c r="IX1375" s="73"/>
      <c r="IY1375" s="73"/>
      <c r="IZ1375" s="73"/>
      <c r="JA1375" s="73"/>
      <c r="JB1375" s="73"/>
      <c r="JC1375" s="73"/>
    </row>
    <row r="1376" spans="2:263" s="72" customFormat="1">
      <c r="B1376" s="73"/>
      <c r="C1376" s="73"/>
      <c r="D1376" s="73"/>
      <c r="E1376" s="73"/>
      <c r="F1376" s="73"/>
      <c r="G1376" s="73"/>
      <c r="H1376" s="73"/>
      <c r="I1376" s="73"/>
      <c r="J1376" s="73"/>
      <c r="K1376" s="73"/>
      <c r="L1376" s="73"/>
      <c r="M1376" s="73"/>
      <c r="N1376" s="73"/>
      <c r="O1376" s="73"/>
      <c r="P1376" s="73"/>
      <c r="Q1376" s="73"/>
      <c r="R1376" s="73"/>
      <c r="S1376" s="73"/>
      <c r="T1376" s="73"/>
      <c r="U1376" s="73"/>
      <c r="V1376" s="73"/>
      <c r="W1376" s="73"/>
      <c r="GL1376" s="73"/>
      <c r="GM1376" s="73"/>
      <c r="GN1376" s="73"/>
      <c r="GO1376" s="73"/>
      <c r="GP1376" s="73"/>
      <c r="GQ1376" s="73"/>
      <c r="GR1376" s="73"/>
      <c r="GS1376" s="73"/>
      <c r="GT1376" s="73"/>
      <c r="GU1376" s="73"/>
      <c r="GV1376" s="73"/>
      <c r="GW1376" s="73"/>
      <c r="GX1376" s="73"/>
      <c r="GY1376" s="73"/>
      <c r="GZ1376" s="73"/>
      <c r="HA1376" s="73"/>
      <c r="HB1376" s="73"/>
      <c r="HC1376" s="73"/>
      <c r="HD1376" s="73"/>
      <c r="HE1376" s="73"/>
      <c r="HF1376" s="73"/>
      <c r="HG1376" s="73"/>
      <c r="HH1376" s="73"/>
      <c r="HI1376" s="73"/>
      <c r="HJ1376" s="73"/>
      <c r="HK1376" s="73"/>
      <c r="HL1376" s="73"/>
      <c r="HM1376" s="73"/>
      <c r="HN1376" s="73"/>
      <c r="HO1376" s="73"/>
      <c r="HP1376" s="73"/>
      <c r="HQ1376" s="73"/>
      <c r="HR1376" s="73"/>
      <c r="HS1376" s="73"/>
      <c r="HT1376" s="73"/>
      <c r="HU1376" s="73"/>
      <c r="HV1376" s="73"/>
      <c r="HW1376" s="73"/>
      <c r="HX1376" s="73"/>
      <c r="HY1376" s="73"/>
      <c r="HZ1376" s="73"/>
      <c r="IA1376" s="73"/>
      <c r="IB1376" s="73"/>
      <c r="IC1376" s="73"/>
      <c r="ID1376" s="73"/>
      <c r="IE1376" s="73"/>
      <c r="IF1376" s="73"/>
      <c r="IG1376" s="73"/>
      <c r="IH1376" s="73"/>
      <c r="II1376" s="73"/>
      <c r="IJ1376" s="73"/>
      <c r="IK1376" s="73"/>
      <c r="IL1376" s="73"/>
      <c r="IM1376" s="73"/>
      <c r="IN1376" s="73"/>
      <c r="IO1376" s="73"/>
      <c r="IP1376" s="73"/>
      <c r="IQ1376" s="73"/>
      <c r="IR1376" s="73"/>
      <c r="IS1376" s="73"/>
      <c r="IT1376" s="73"/>
      <c r="IU1376" s="73"/>
      <c r="IV1376" s="73"/>
      <c r="IW1376" s="73"/>
      <c r="IX1376" s="73"/>
      <c r="IY1376" s="73"/>
      <c r="IZ1376" s="73"/>
      <c r="JA1376" s="73"/>
      <c r="JB1376" s="73"/>
      <c r="JC1376" s="73"/>
    </row>
    <row r="1377" spans="2:263" s="72" customFormat="1">
      <c r="B1377" s="73"/>
      <c r="C1377" s="73"/>
      <c r="D1377" s="73"/>
      <c r="E1377" s="73"/>
      <c r="F1377" s="73"/>
      <c r="G1377" s="73"/>
      <c r="H1377" s="73"/>
      <c r="I1377" s="73"/>
      <c r="J1377" s="73"/>
      <c r="K1377" s="73"/>
      <c r="L1377" s="73"/>
      <c r="M1377" s="73"/>
      <c r="N1377" s="73"/>
      <c r="O1377" s="73"/>
      <c r="P1377" s="73"/>
      <c r="Q1377" s="73"/>
      <c r="R1377" s="73"/>
      <c r="S1377" s="73"/>
      <c r="T1377" s="73"/>
      <c r="U1377" s="73"/>
      <c r="V1377" s="73"/>
      <c r="W1377" s="73"/>
      <c r="GL1377" s="73"/>
      <c r="GM1377" s="73"/>
      <c r="GN1377" s="73"/>
      <c r="GO1377" s="73"/>
      <c r="GP1377" s="73"/>
      <c r="GQ1377" s="73"/>
      <c r="GR1377" s="73"/>
      <c r="GS1377" s="73"/>
      <c r="GT1377" s="73"/>
      <c r="GU1377" s="73"/>
      <c r="GV1377" s="73"/>
      <c r="GW1377" s="73"/>
      <c r="GX1377" s="73"/>
      <c r="GY1377" s="73"/>
      <c r="GZ1377" s="73"/>
      <c r="HA1377" s="73"/>
      <c r="HB1377" s="73"/>
      <c r="HC1377" s="73"/>
      <c r="HD1377" s="73"/>
      <c r="HE1377" s="73"/>
      <c r="HF1377" s="73"/>
      <c r="HG1377" s="73"/>
      <c r="HH1377" s="73"/>
      <c r="HI1377" s="73"/>
      <c r="HJ1377" s="73"/>
      <c r="HK1377" s="73"/>
      <c r="HL1377" s="73"/>
      <c r="HM1377" s="73"/>
      <c r="HN1377" s="73"/>
      <c r="HO1377" s="73"/>
      <c r="HP1377" s="73"/>
      <c r="HQ1377" s="73"/>
      <c r="HR1377" s="73"/>
      <c r="HS1377" s="73"/>
      <c r="HT1377" s="73"/>
      <c r="HU1377" s="73"/>
      <c r="HV1377" s="73"/>
      <c r="HW1377" s="73"/>
      <c r="HX1377" s="73"/>
      <c r="HY1377" s="73"/>
      <c r="HZ1377" s="73"/>
      <c r="IA1377" s="73"/>
      <c r="IB1377" s="73"/>
      <c r="IC1377" s="73"/>
      <c r="ID1377" s="73"/>
      <c r="IE1377" s="73"/>
      <c r="IF1377" s="73"/>
      <c r="IG1377" s="73"/>
      <c r="IH1377" s="73"/>
      <c r="II1377" s="73"/>
      <c r="IJ1377" s="73"/>
      <c r="IK1377" s="73"/>
      <c r="IL1377" s="73"/>
      <c r="IM1377" s="73"/>
      <c r="IN1377" s="73"/>
      <c r="IO1377" s="73"/>
      <c r="IP1377" s="73"/>
      <c r="IQ1377" s="73"/>
      <c r="IR1377" s="73"/>
      <c r="IS1377" s="73"/>
      <c r="IT1377" s="73"/>
      <c r="IU1377" s="73"/>
      <c r="IV1377" s="73"/>
      <c r="IW1377" s="73"/>
      <c r="IX1377" s="73"/>
      <c r="IY1377" s="73"/>
      <c r="IZ1377" s="73"/>
      <c r="JA1377" s="73"/>
      <c r="JB1377" s="73"/>
      <c r="JC1377" s="73"/>
    </row>
    <row r="1378" spans="2:263" s="72" customFormat="1">
      <c r="B1378" s="73"/>
      <c r="C1378" s="73"/>
      <c r="D1378" s="73"/>
      <c r="E1378" s="73"/>
      <c r="F1378" s="73"/>
      <c r="G1378" s="73"/>
      <c r="H1378" s="73"/>
      <c r="I1378" s="73"/>
      <c r="J1378" s="73"/>
      <c r="K1378" s="73"/>
      <c r="L1378" s="73"/>
      <c r="M1378" s="73"/>
      <c r="N1378" s="73"/>
      <c r="O1378" s="73"/>
      <c r="P1378" s="73"/>
      <c r="Q1378" s="73"/>
      <c r="R1378" s="73"/>
      <c r="S1378" s="73"/>
      <c r="T1378" s="73"/>
      <c r="U1378" s="73"/>
      <c r="V1378" s="73"/>
      <c r="W1378" s="73"/>
      <c r="GL1378" s="73"/>
      <c r="GM1378" s="73"/>
      <c r="GN1378" s="73"/>
      <c r="GO1378" s="73"/>
      <c r="GP1378" s="73"/>
      <c r="GQ1378" s="73"/>
      <c r="GR1378" s="73"/>
      <c r="GS1378" s="73"/>
      <c r="GT1378" s="73"/>
      <c r="GU1378" s="73"/>
      <c r="GV1378" s="73"/>
      <c r="GW1378" s="73"/>
      <c r="GX1378" s="73"/>
      <c r="GY1378" s="73"/>
      <c r="GZ1378" s="73"/>
      <c r="HA1378" s="73"/>
      <c r="HB1378" s="73"/>
      <c r="HC1378" s="73"/>
      <c r="HD1378" s="73"/>
      <c r="HE1378" s="73"/>
      <c r="HF1378" s="73"/>
      <c r="HG1378" s="73"/>
      <c r="HH1378" s="73"/>
      <c r="HI1378" s="73"/>
      <c r="HJ1378" s="73"/>
      <c r="HK1378" s="73"/>
      <c r="HL1378" s="73"/>
      <c r="HM1378" s="73"/>
      <c r="HN1378" s="73"/>
      <c r="HO1378" s="73"/>
      <c r="HP1378" s="73"/>
      <c r="HQ1378" s="73"/>
      <c r="HR1378" s="73"/>
      <c r="HS1378" s="73"/>
      <c r="HT1378" s="73"/>
      <c r="HU1378" s="73"/>
      <c r="HV1378" s="73"/>
      <c r="HW1378" s="73"/>
      <c r="HX1378" s="73"/>
      <c r="HY1378" s="73"/>
      <c r="HZ1378" s="73"/>
      <c r="IA1378" s="73"/>
      <c r="IB1378" s="73"/>
      <c r="IC1378" s="73"/>
      <c r="ID1378" s="73"/>
      <c r="IE1378" s="73"/>
      <c r="IF1378" s="73"/>
      <c r="IG1378" s="73"/>
      <c r="IH1378" s="73"/>
      <c r="II1378" s="73"/>
      <c r="IJ1378" s="73"/>
      <c r="IK1378" s="73"/>
      <c r="IL1378" s="73"/>
      <c r="IM1378" s="73"/>
      <c r="IN1378" s="73"/>
      <c r="IO1378" s="73"/>
      <c r="IP1378" s="73"/>
      <c r="IQ1378" s="73"/>
      <c r="IR1378" s="73"/>
      <c r="IS1378" s="73"/>
      <c r="IT1378" s="73"/>
      <c r="IU1378" s="73"/>
      <c r="IV1378" s="73"/>
      <c r="IW1378" s="73"/>
      <c r="IX1378" s="73"/>
      <c r="IY1378" s="73"/>
      <c r="IZ1378" s="73"/>
      <c r="JA1378" s="73"/>
      <c r="JB1378" s="73"/>
      <c r="JC1378" s="73"/>
    </row>
    <row r="1379" spans="2:263" s="72" customFormat="1">
      <c r="B1379" s="73"/>
      <c r="C1379" s="73"/>
      <c r="D1379" s="73"/>
      <c r="E1379" s="73"/>
      <c r="F1379" s="73"/>
      <c r="G1379" s="73"/>
      <c r="H1379" s="73"/>
      <c r="I1379" s="73"/>
      <c r="J1379" s="73"/>
      <c r="K1379" s="73"/>
      <c r="L1379" s="73"/>
      <c r="M1379" s="73"/>
      <c r="N1379" s="73"/>
      <c r="O1379" s="73"/>
      <c r="P1379" s="73"/>
      <c r="Q1379" s="73"/>
      <c r="R1379" s="73"/>
      <c r="S1379" s="73"/>
      <c r="T1379" s="73"/>
      <c r="U1379" s="73"/>
      <c r="V1379" s="73"/>
      <c r="W1379" s="73"/>
      <c r="GL1379" s="73"/>
      <c r="GM1379" s="73"/>
      <c r="GN1379" s="73"/>
      <c r="GO1379" s="73"/>
      <c r="GP1379" s="73"/>
      <c r="GQ1379" s="73"/>
      <c r="GR1379" s="73"/>
      <c r="GS1379" s="73"/>
      <c r="GT1379" s="73"/>
      <c r="GU1379" s="73"/>
      <c r="GV1379" s="73"/>
      <c r="GW1379" s="73"/>
      <c r="GX1379" s="73"/>
      <c r="GY1379" s="73"/>
      <c r="GZ1379" s="73"/>
      <c r="HA1379" s="73"/>
      <c r="HB1379" s="73"/>
      <c r="HC1379" s="73"/>
      <c r="HD1379" s="73"/>
      <c r="HE1379" s="73"/>
      <c r="HF1379" s="73"/>
      <c r="HG1379" s="73"/>
      <c r="HH1379" s="73"/>
      <c r="HI1379" s="73"/>
      <c r="HJ1379" s="73"/>
      <c r="HK1379" s="73"/>
      <c r="HL1379" s="73"/>
      <c r="HM1379" s="73"/>
      <c r="HN1379" s="73"/>
      <c r="HO1379" s="73"/>
      <c r="HP1379" s="73"/>
      <c r="HQ1379" s="73"/>
      <c r="HR1379" s="73"/>
      <c r="HS1379" s="73"/>
      <c r="HT1379" s="73"/>
      <c r="HU1379" s="73"/>
      <c r="HV1379" s="73"/>
      <c r="HW1379" s="73"/>
      <c r="HX1379" s="73"/>
      <c r="HY1379" s="73"/>
      <c r="HZ1379" s="73"/>
      <c r="IA1379" s="73"/>
      <c r="IB1379" s="73"/>
      <c r="IC1379" s="73"/>
      <c r="ID1379" s="73"/>
      <c r="IE1379" s="73"/>
      <c r="IF1379" s="73"/>
      <c r="IG1379" s="73"/>
      <c r="IH1379" s="73"/>
      <c r="II1379" s="73"/>
      <c r="IJ1379" s="73"/>
      <c r="IK1379" s="73"/>
      <c r="IL1379" s="73"/>
      <c r="IM1379" s="73"/>
      <c r="IN1379" s="73"/>
      <c r="IO1379" s="73"/>
      <c r="IP1379" s="73"/>
      <c r="IQ1379" s="73"/>
      <c r="IR1379" s="73"/>
      <c r="IS1379" s="73"/>
      <c r="IT1379" s="73"/>
      <c r="IU1379" s="73"/>
      <c r="IV1379" s="73"/>
      <c r="IW1379" s="73"/>
      <c r="IX1379" s="73"/>
      <c r="IY1379" s="73"/>
      <c r="IZ1379" s="73"/>
      <c r="JA1379" s="73"/>
      <c r="JB1379" s="73"/>
      <c r="JC1379" s="73"/>
    </row>
    <row r="1380" spans="2:263" s="72" customFormat="1">
      <c r="B1380" s="73"/>
      <c r="C1380" s="73"/>
      <c r="D1380" s="73"/>
      <c r="E1380" s="73"/>
      <c r="F1380" s="73"/>
      <c r="G1380" s="73"/>
      <c r="H1380" s="73"/>
      <c r="I1380" s="73"/>
      <c r="J1380" s="73"/>
      <c r="K1380" s="73"/>
      <c r="L1380" s="73"/>
      <c r="M1380" s="73"/>
      <c r="N1380" s="73"/>
      <c r="O1380" s="73"/>
      <c r="P1380" s="73"/>
      <c r="Q1380" s="73"/>
      <c r="R1380" s="73"/>
      <c r="S1380" s="73"/>
      <c r="T1380" s="73"/>
      <c r="U1380" s="73"/>
      <c r="V1380" s="73"/>
      <c r="W1380" s="73"/>
      <c r="GL1380" s="73"/>
      <c r="GM1380" s="73"/>
      <c r="GN1380" s="73"/>
      <c r="GO1380" s="73"/>
      <c r="GP1380" s="73"/>
      <c r="GQ1380" s="73"/>
      <c r="GR1380" s="73"/>
      <c r="GS1380" s="73"/>
      <c r="GT1380" s="73"/>
      <c r="GU1380" s="73"/>
      <c r="GV1380" s="73"/>
      <c r="GW1380" s="73"/>
      <c r="GX1380" s="73"/>
      <c r="GY1380" s="73"/>
      <c r="GZ1380" s="73"/>
      <c r="HA1380" s="73"/>
      <c r="HB1380" s="73"/>
      <c r="HC1380" s="73"/>
      <c r="HD1380" s="73"/>
      <c r="HE1380" s="73"/>
      <c r="HF1380" s="73"/>
      <c r="HG1380" s="73"/>
      <c r="HH1380" s="73"/>
      <c r="HI1380" s="73"/>
      <c r="HJ1380" s="73"/>
      <c r="HK1380" s="73"/>
      <c r="HL1380" s="73"/>
      <c r="HM1380" s="73"/>
      <c r="HN1380" s="73"/>
      <c r="HO1380" s="73"/>
      <c r="HP1380" s="73"/>
      <c r="HQ1380" s="73"/>
      <c r="HR1380" s="73"/>
      <c r="HS1380" s="73"/>
      <c r="HT1380" s="73"/>
      <c r="HU1380" s="73"/>
      <c r="HV1380" s="73"/>
      <c r="HW1380" s="73"/>
      <c r="HX1380" s="73"/>
      <c r="HY1380" s="73"/>
      <c r="HZ1380" s="73"/>
      <c r="IA1380" s="73"/>
      <c r="IB1380" s="73"/>
      <c r="IC1380" s="73"/>
      <c r="ID1380" s="73"/>
      <c r="IE1380" s="73"/>
      <c r="IF1380" s="73"/>
      <c r="IG1380" s="73"/>
      <c r="IH1380" s="73"/>
      <c r="II1380" s="73"/>
      <c r="IJ1380" s="73"/>
      <c r="IK1380" s="73"/>
      <c r="IL1380" s="73"/>
      <c r="IM1380" s="73"/>
      <c r="IN1380" s="73"/>
      <c r="IO1380" s="73"/>
      <c r="IP1380" s="73"/>
      <c r="IQ1380" s="73"/>
      <c r="IR1380" s="73"/>
      <c r="IS1380" s="73"/>
      <c r="IT1380" s="73"/>
      <c r="IU1380" s="73"/>
      <c r="IV1380" s="73"/>
      <c r="IW1380" s="73"/>
      <c r="IX1380" s="73"/>
      <c r="IY1380" s="73"/>
      <c r="IZ1380" s="73"/>
      <c r="JA1380" s="73"/>
      <c r="JB1380" s="73"/>
      <c r="JC1380" s="73"/>
    </row>
    <row r="1381" spans="2:263" s="72" customFormat="1">
      <c r="B1381" s="73"/>
      <c r="C1381" s="73"/>
      <c r="D1381" s="73"/>
      <c r="E1381" s="73"/>
      <c r="F1381" s="73"/>
      <c r="G1381" s="73"/>
      <c r="H1381" s="73"/>
      <c r="I1381" s="73"/>
      <c r="J1381" s="73"/>
      <c r="K1381" s="73"/>
      <c r="L1381" s="73"/>
      <c r="M1381" s="73"/>
      <c r="N1381" s="73"/>
      <c r="O1381" s="73"/>
      <c r="P1381" s="73"/>
      <c r="Q1381" s="73"/>
      <c r="R1381" s="73"/>
      <c r="S1381" s="73"/>
      <c r="T1381" s="73"/>
      <c r="U1381" s="73"/>
      <c r="V1381" s="73"/>
      <c r="W1381" s="73"/>
      <c r="GL1381" s="73"/>
      <c r="GM1381" s="73"/>
      <c r="GN1381" s="73"/>
      <c r="GO1381" s="73"/>
      <c r="GP1381" s="73"/>
      <c r="GQ1381" s="73"/>
      <c r="GR1381" s="73"/>
      <c r="GS1381" s="73"/>
      <c r="GT1381" s="73"/>
      <c r="GU1381" s="73"/>
      <c r="GV1381" s="73"/>
      <c r="GW1381" s="73"/>
      <c r="GX1381" s="73"/>
      <c r="GY1381" s="73"/>
      <c r="GZ1381" s="73"/>
      <c r="HA1381" s="73"/>
      <c r="HB1381" s="73"/>
      <c r="HC1381" s="73"/>
      <c r="HD1381" s="73"/>
      <c r="HE1381" s="73"/>
      <c r="HF1381" s="73"/>
      <c r="HG1381" s="73"/>
      <c r="HH1381" s="73"/>
      <c r="HI1381" s="73"/>
      <c r="HJ1381" s="73"/>
      <c r="HK1381" s="73"/>
      <c r="HL1381" s="73"/>
      <c r="HM1381" s="73"/>
      <c r="HN1381" s="73"/>
      <c r="HO1381" s="73"/>
      <c r="HP1381" s="73"/>
      <c r="HQ1381" s="73"/>
      <c r="HR1381" s="73"/>
      <c r="HS1381" s="73"/>
      <c r="HT1381" s="73"/>
      <c r="HU1381" s="73"/>
      <c r="HV1381" s="73"/>
      <c r="HW1381" s="73"/>
      <c r="HX1381" s="73"/>
      <c r="HY1381" s="73"/>
      <c r="HZ1381" s="73"/>
      <c r="IA1381" s="73"/>
      <c r="IB1381" s="73"/>
      <c r="IC1381" s="73"/>
      <c r="ID1381" s="73"/>
      <c r="IE1381" s="73"/>
      <c r="IF1381" s="73"/>
      <c r="IG1381" s="73"/>
      <c r="IH1381" s="73"/>
      <c r="II1381" s="73"/>
      <c r="IJ1381" s="73"/>
      <c r="IK1381" s="73"/>
      <c r="IL1381" s="73"/>
      <c r="IM1381" s="73"/>
      <c r="IN1381" s="73"/>
      <c r="IO1381" s="73"/>
      <c r="IP1381" s="73"/>
      <c r="IQ1381" s="73"/>
      <c r="IR1381" s="73"/>
      <c r="IS1381" s="73"/>
      <c r="IT1381" s="73"/>
      <c r="IU1381" s="73"/>
      <c r="IV1381" s="73"/>
      <c r="IW1381" s="73"/>
      <c r="IX1381" s="73"/>
      <c r="IY1381" s="73"/>
      <c r="IZ1381" s="73"/>
      <c r="JA1381" s="73"/>
      <c r="JB1381" s="73"/>
      <c r="JC1381" s="73"/>
    </row>
    <row r="1382" spans="2:263" s="72" customFormat="1">
      <c r="B1382" s="73"/>
      <c r="C1382" s="73"/>
      <c r="D1382" s="73"/>
      <c r="E1382" s="73"/>
      <c r="F1382" s="73"/>
      <c r="G1382" s="73"/>
      <c r="H1382" s="73"/>
      <c r="I1382" s="73"/>
      <c r="J1382" s="73"/>
      <c r="K1382" s="73"/>
      <c r="L1382" s="73"/>
      <c r="M1382" s="73"/>
      <c r="N1382" s="73"/>
      <c r="O1382" s="73"/>
      <c r="P1382" s="73"/>
      <c r="Q1382" s="73"/>
      <c r="R1382" s="73"/>
      <c r="S1382" s="73"/>
      <c r="T1382" s="73"/>
      <c r="U1382" s="73"/>
      <c r="V1382" s="73"/>
      <c r="W1382" s="73"/>
      <c r="GL1382" s="73"/>
      <c r="GM1382" s="73"/>
      <c r="GN1382" s="73"/>
      <c r="GO1382" s="73"/>
      <c r="GP1382" s="73"/>
      <c r="GQ1382" s="73"/>
      <c r="GR1382" s="73"/>
      <c r="GS1382" s="73"/>
      <c r="GT1382" s="73"/>
      <c r="GU1382" s="73"/>
      <c r="GV1382" s="73"/>
      <c r="GW1382" s="73"/>
      <c r="GX1382" s="73"/>
      <c r="GY1382" s="73"/>
      <c r="GZ1382" s="73"/>
      <c r="HA1382" s="73"/>
      <c r="HB1382" s="73"/>
      <c r="HC1382" s="73"/>
      <c r="HD1382" s="73"/>
      <c r="HE1382" s="73"/>
      <c r="HF1382" s="73"/>
      <c r="HG1382" s="73"/>
      <c r="HH1382" s="73"/>
      <c r="HI1382" s="73"/>
      <c r="HJ1382" s="73"/>
      <c r="HK1382" s="73"/>
      <c r="HL1382" s="73"/>
      <c r="HM1382" s="73"/>
      <c r="HN1382" s="73"/>
      <c r="HO1382" s="73"/>
      <c r="HP1382" s="73"/>
      <c r="HQ1382" s="73"/>
      <c r="HR1382" s="73"/>
      <c r="HS1382" s="73"/>
      <c r="HT1382" s="73"/>
      <c r="HU1382" s="73"/>
      <c r="HV1382" s="73"/>
      <c r="HW1382" s="73"/>
      <c r="HX1382" s="73"/>
      <c r="HY1382" s="73"/>
      <c r="HZ1382" s="73"/>
      <c r="IA1382" s="73"/>
      <c r="IB1382" s="73"/>
      <c r="IC1382" s="73"/>
      <c r="ID1382" s="73"/>
      <c r="IE1382" s="73"/>
      <c r="IF1382" s="73"/>
      <c r="IG1382" s="73"/>
      <c r="IH1382" s="73"/>
      <c r="II1382" s="73"/>
      <c r="IJ1382" s="73"/>
      <c r="IK1382" s="73"/>
      <c r="IL1382" s="73"/>
      <c r="IM1382" s="73"/>
      <c r="IN1382" s="73"/>
      <c r="IO1382" s="73"/>
      <c r="IP1382" s="73"/>
      <c r="IQ1382" s="73"/>
      <c r="IR1382" s="73"/>
      <c r="IS1382" s="73"/>
      <c r="IT1382" s="73"/>
      <c r="IU1382" s="73"/>
      <c r="IV1382" s="73"/>
      <c r="IW1382" s="73"/>
      <c r="IX1382" s="73"/>
      <c r="IY1382" s="73"/>
      <c r="IZ1382" s="73"/>
      <c r="JA1382" s="73"/>
      <c r="JB1382" s="73"/>
      <c r="JC1382" s="73"/>
    </row>
    <row r="1383" spans="2:263" s="72" customFormat="1">
      <c r="B1383" s="73"/>
      <c r="C1383" s="73"/>
      <c r="D1383" s="73"/>
      <c r="E1383" s="73"/>
      <c r="F1383" s="73"/>
      <c r="G1383" s="73"/>
      <c r="H1383" s="73"/>
      <c r="I1383" s="73"/>
      <c r="J1383" s="73"/>
      <c r="K1383" s="73"/>
      <c r="L1383" s="73"/>
      <c r="M1383" s="73"/>
      <c r="N1383" s="73"/>
      <c r="O1383" s="73"/>
      <c r="P1383" s="73"/>
      <c r="Q1383" s="73"/>
      <c r="R1383" s="73"/>
      <c r="S1383" s="73"/>
      <c r="T1383" s="73"/>
      <c r="U1383" s="73"/>
      <c r="V1383" s="73"/>
      <c r="W1383" s="73"/>
      <c r="GL1383" s="73"/>
      <c r="GM1383" s="73"/>
      <c r="GN1383" s="73"/>
      <c r="GO1383" s="73"/>
      <c r="GP1383" s="73"/>
      <c r="GQ1383" s="73"/>
      <c r="GR1383" s="73"/>
      <c r="GS1383" s="73"/>
      <c r="GT1383" s="73"/>
      <c r="GU1383" s="73"/>
      <c r="GV1383" s="73"/>
      <c r="GW1383" s="73"/>
      <c r="GX1383" s="73"/>
      <c r="GY1383" s="73"/>
      <c r="GZ1383" s="73"/>
      <c r="HA1383" s="73"/>
      <c r="HB1383" s="73"/>
      <c r="HC1383" s="73"/>
      <c r="HD1383" s="73"/>
      <c r="HE1383" s="73"/>
      <c r="HF1383" s="73"/>
      <c r="HG1383" s="73"/>
      <c r="HH1383" s="73"/>
      <c r="HI1383" s="73"/>
      <c r="HJ1383" s="73"/>
      <c r="HK1383" s="73"/>
      <c r="HL1383" s="73"/>
      <c r="HM1383" s="73"/>
      <c r="HN1383" s="73"/>
      <c r="HO1383" s="73"/>
      <c r="HP1383" s="73"/>
      <c r="HQ1383" s="73"/>
      <c r="HR1383" s="73"/>
      <c r="HS1383" s="73"/>
      <c r="HT1383" s="73"/>
      <c r="HU1383" s="73"/>
      <c r="HV1383" s="73"/>
      <c r="HW1383" s="73"/>
      <c r="HX1383" s="73"/>
      <c r="HY1383" s="73"/>
      <c r="HZ1383" s="73"/>
      <c r="IA1383" s="73"/>
      <c r="IB1383" s="73"/>
      <c r="IC1383" s="73"/>
      <c r="ID1383" s="73"/>
      <c r="IE1383" s="73"/>
      <c r="IF1383" s="73"/>
      <c r="IG1383" s="73"/>
      <c r="IH1383" s="73"/>
      <c r="II1383" s="73"/>
      <c r="IJ1383" s="73"/>
      <c r="IK1383" s="73"/>
      <c r="IL1383" s="73"/>
      <c r="IM1383" s="73"/>
      <c r="IN1383" s="73"/>
      <c r="IO1383" s="73"/>
      <c r="IP1383" s="73"/>
      <c r="IQ1383" s="73"/>
      <c r="IR1383" s="73"/>
      <c r="IS1383" s="73"/>
      <c r="IT1383" s="73"/>
      <c r="IU1383" s="73"/>
      <c r="IV1383" s="73"/>
      <c r="IW1383" s="73"/>
      <c r="IX1383" s="73"/>
      <c r="IY1383" s="73"/>
      <c r="IZ1383" s="73"/>
      <c r="JA1383" s="73"/>
      <c r="JB1383" s="73"/>
      <c r="JC1383" s="73"/>
    </row>
    <row r="1384" spans="2:263" s="72" customFormat="1">
      <c r="B1384" s="73"/>
      <c r="C1384" s="73"/>
      <c r="D1384" s="73"/>
      <c r="E1384" s="73"/>
      <c r="F1384" s="73"/>
      <c r="G1384" s="73"/>
      <c r="H1384" s="73"/>
      <c r="I1384" s="73"/>
      <c r="J1384" s="73"/>
      <c r="K1384" s="73"/>
      <c r="L1384" s="73"/>
      <c r="M1384" s="73"/>
      <c r="N1384" s="73"/>
      <c r="O1384" s="73"/>
      <c r="P1384" s="73"/>
      <c r="Q1384" s="73"/>
      <c r="R1384" s="73"/>
      <c r="S1384" s="73"/>
      <c r="T1384" s="73"/>
      <c r="U1384" s="73"/>
      <c r="V1384" s="73"/>
      <c r="W1384" s="73"/>
      <c r="GL1384" s="73"/>
      <c r="GM1384" s="73"/>
      <c r="GN1384" s="73"/>
      <c r="GO1384" s="73"/>
      <c r="GP1384" s="73"/>
      <c r="GQ1384" s="73"/>
      <c r="GR1384" s="73"/>
      <c r="GS1384" s="73"/>
      <c r="GT1384" s="73"/>
      <c r="GU1384" s="73"/>
      <c r="GV1384" s="73"/>
      <c r="GW1384" s="73"/>
      <c r="GX1384" s="73"/>
      <c r="GY1384" s="73"/>
      <c r="GZ1384" s="73"/>
      <c r="HA1384" s="73"/>
      <c r="HB1384" s="73"/>
      <c r="HC1384" s="73"/>
      <c r="HD1384" s="73"/>
      <c r="HE1384" s="73"/>
      <c r="HF1384" s="73"/>
      <c r="HG1384" s="73"/>
      <c r="HH1384" s="73"/>
      <c r="HI1384" s="73"/>
      <c r="HJ1384" s="73"/>
      <c r="HK1384" s="73"/>
      <c r="HL1384" s="73"/>
      <c r="HM1384" s="73"/>
      <c r="HN1384" s="73"/>
      <c r="HO1384" s="73"/>
      <c r="HP1384" s="73"/>
      <c r="HQ1384" s="73"/>
      <c r="HR1384" s="73"/>
      <c r="HS1384" s="73"/>
      <c r="HT1384" s="73"/>
      <c r="HU1384" s="73"/>
      <c r="HV1384" s="73"/>
      <c r="HW1384" s="73"/>
      <c r="HX1384" s="73"/>
      <c r="HY1384" s="73"/>
      <c r="HZ1384" s="73"/>
      <c r="IA1384" s="73"/>
      <c r="IB1384" s="73"/>
      <c r="IC1384" s="73"/>
      <c r="ID1384" s="73"/>
      <c r="IE1384" s="73"/>
      <c r="IF1384" s="73"/>
      <c r="IG1384" s="73"/>
      <c r="IH1384" s="73"/>
      <c r="II1384" s="73"/>
      <c r="IJ1384" s="73"/>
      <c r="IK1384" s="73"/>
      <c r="IL1384" s="73"/>
      <c r="IM1384" s="73"/>
      <c r="IN1384" s="73"/>
      <c r="IO1384" s="73"/>
      <c r="IP1384" s="73"/>
      <c r="IQ1384" s="73"/>
      <c r="IR1384" s="73"/>
      <c r="IS1384" s="73"/>
      <c r="IT1384" s="73"/>
      <c r="IU1384" s="73"/>
      <c r="IV1384" s="73"/>
      <c r="IW1384" s="73"/>
      <c r="IX1384" s="73"/>
      <c r="IY1384" s="73"/>
      <c r="IZ1384" s="73"/>
      <c r="JA1384" s="73"/>
      <c r="JB1384" s="73"/>
      <c r="JC1384" s="73"/>
    </row>
    <row r="1385" spans="2:263" s="72" customFormat="1">
      <c r="B1385" s="73"/>
      <c r="C1385" s="73"/>
      <c r="D1385" s="73"/>
      <c r="E1385" s="73"/>
      <c r="F1385" s="73"/>
      <c r="G1385" s="73"/>
      <c r="H1385" s="73"/>
      <c r="I1385" s="73"/>
      <c r="J1385" s="73"/>
      <c r="K1385" s="73"/>
      <c r="L1385" s="73"/>
      <c r="M1385" s="73"/>
      <c r="N1385" s="73"/>
      <c r="O1385" s="73"/>
      <c r="P1385" s="73"/>
      <c r="Q1385" s="73"/>
      <c r="R1385" s="73"/>
      <c r="S1385" s="73"/>
      <c r="T1385" s="73"/>
      <c r="U1385" s="73"/>
      <c r="V1385" s="73"/>
      <c r="W1385" s="73"/>
      <c r="GL1385" s="73"/>
      <c r="GM1385" s="73"/>
      <c r="GN1385" s="73"/>
      <c r="GO1385" s="73"/>
      <c r="GP1385" s="73"/>
      <c r="GQ1385" s="73"/>
      <c r="GR1385" s="73"/>
      <c r="GS1385" s="73"/>
      <c r="GT1385" s="73"/>
      <c r="GU1385" s="73"/>
      <c r="GV1385" s="73"/>
      <c r="GW1385" s="73"/>
      <c r="GX1385" s="73"/>
      <c r="GY1385" s="73"/>
      <c r="GZ1385" s="73"/>
      <c r="HA1385" s="73"/>
      <c r="HB1385" s="73"/>
      <c r="HC1385" s="73"/>
      <c r="HD1385" s="73"/>
      <c r="HE1385" s="73"/>
      <c r="HF1385" s="73"/>
      <c r="HG1385" s="73"/>
      <c r="HH1385" s="73"/>
      <c r="HI1385" s="73"/>
      <c r="HJ1385" s="73"/>
      <c r="HK1385" s="73"/>
      <c r="HL1385" s="73"/>
      <c r="HM1385" s="73"/>
      <c r="HN1385" s="73"/>
      <c r="HO1385" s="73"/>
      <c r="HP1385" s="73"/>
      <c r="HQ1385" s="73"/>
      <c r="HR1385" s="73"/>
      <c r="HS1385" s="73"/>
      <c r="HT1385" s="73"/>
      <c r="HU1385" s="73"/>
      <c r="HV1385" s="73"/>
      <c r="HW1385" s="73"/>
      <c r="HX1385" s="73"/>
      <c r="HY1385" s="73"/>
      <c r="HZ1385" s="73"/>
      <c r="IA1385" s="73"/>
      <c r="IB1385" s="73"/>
      <c r="IC1385" s="73"/>
      <c r="ID1385" s="73"/>
      <c r="IE1385" s="73"/>
      <c r="IF1385" s="73"/>
      <c r="IG1385" s="73"/>
      <c r="IH1385" s="73"/>
      <c r="II1385" s="73"/>
      <c r="IJ1385" s="73"/>
      <c r="IK1385" s="73"/>
      <c r="IL1385" s="73"/>
      <c r="IM1385" s="73"/>
      <c r="IN1385" s="73"/>
      <c r="IO1385" s="73"/>
      <c r="IP1385" s="73"/>
      <c r="IQ1385" s="73"/>
      <c r="IR1385" s="73"/>
      <c r="IS1385" s="73"/>
      <c r="IT1385" s="73"/>
      <c r="IU1385" s="73"/>
      <c r="IV1385" s="73"/>
      <c r="IW1385" s="73"/>
      <c r="IX1385" s="73"/>
      <c r="IY1385" s="73"/>
      <c r="IZ1385" s="73"/>
      <c r="JA1385" s="73"/>
      <c r="JB1385" s="73"/>
      <c r="JC1385" s="73"/>
    </row>
    <row r="1386" spans="2:263" s="72" customFormat="1">
      <c r="B1386" s="73"/>
      <c r="C1386" s="73"/>
      <c r="D1386" s="73"/>
      <c r="E1386" s="73"/>
      <c r="F1386" s="73"/>
      <c r="G1386" s="73"/>
      <c r="H1386" s="73"/>
      <c r="I1386" s="73"/>
      <c r="J1386" s="73"/>
      <c r="K1386" s="73"/>
      <c r="L1386" s="73"/>
      <c r="M1386" s="73"/>
      <c r="N1386" s="73"/>
      <c r="O1386" s="73"/>
      <c r="P1386" s="73"/>
      <c r="Q1386" s="73"/>
      <c r="R1386" s="73"/>
      <c r="S1386" s="73"/>
      <c r="T1386" s="73"/>
      <c r="U1386" s="73"/>
      <c r="V1386" s="73"/>
      <c r="W1386" s="73"/>
      <c r="GL1386" s="73"/>
      <c r="GM1386" s="73"/>
      <c r="GN1386" s="73"/>
      <c r="GO1386" s="73"/>
      <c r="GP1386" s="73"/>
      <c r="GQ1386" s="73"/>
      <c r="GR1386" s="73"/>
      <c r="GS1386" s="73"/>
      <c r="GT1386" s="73"/>
      <c r="GU1386" s="73"/>
      <c r="GV1386" s="73"/>
      <c r="GW1386" s="73"/>
      <c r="GX1386" s="73"/>
      <c r="GY1386" s="73"/>
      <c r="GZ1386" s="73"/>
      <c r="HA1386" s="73"/>
      <c r="HB1386" s="73"/>
      <c r="HC1386" s="73"/>
      <c r="HD1386" s="73"/>
      <c r="HE1386" s="73"/>
      <c r="HF1386" s="73"/>
      <c r="HG1386" s="73"/>
      <c r="HH1386" s="73"/>
      <c r="HI1386" s="73"/>
      <c r="HJ1386" s="73"/>
      <c r="HK1386" s="73"/>
      <c r="HL1386" s="73"/>
      <c r="HM1386" s="73"/>
      <c r="HN1386" s="73"/>
      <c r="HO1386" s="73"/>
      <c r="HP1386" s="73"/>
      <c r="HQ1386" s="73"/>
      <c r="HR1386" s="73"/>
      <c r="HS1386" s="73"/>
      <c r="HT1386" s="73"/>
      <c r="HU1386" s="73"/>
      <c r="HV1386" s="73"/>
      <c r="HW1386" s="73"/>
      <c r="HX1386" s="73"/>
      <c r="HY1386" s="73"/>
      <c r="HZ1386" s="73"/>
      <c r="IA1386" s="73"/>
      <c r="IB1386" s="73"/>
      <c r="IC1386" s="73"/>
      <c r="ID1386" s="73"/>
      <c r="IE1386" s="73"/>
      <c r="IF1386" s="73"/>
      <c r="IG1386" s="73"/>
      <c r="IH1386" s="73"/>
      <c r="II1386" s="73"/>
      <c r="IJ1386" s="73"/>
      <c r="IK1386" s="73"/>
      <c r="IL1386" s="73"/>
      <c r="IM1386" s="73"/>
      <c r="IN1386" s="73"/>
      <c r="IO1386" s="73"/>
      <c r="IP1386" s="73"/>
      <c r="IQ1386" s="73"/>
      <c r="IR1386" s="73"/>
      <c r="IS1386" s="73"/>
      <c r="IT1386" s="73"/>
      <c r="IU1386" s="73"/>
      <c r="IV1386" s="73"/>
      <c r="IW1386" s="73"/>
      <c r="IX1386" s="73"/>
      <c r="IY1386" s="73"/>
      <c r="IZ1386" s="73"/>
      <c r="JA1386" s="73"/>
      <c r="JB1386" s="73"/>
      <c r="JC1386" s="73"/>
    </row>
    <row r="1387" spans="2:263" s="72" customFormat="1">
      <c r="B1387" s="73"/>
      <c r="C1387" s="73"/>
      <c r="D1387" s="73"/>
      <c r="E1387" s="73"/>
      <c r="F1387" s="73"/>
      <c r="G1387" s="73"/>
      <c r="H1387" s="73"/>
      <c r="I1387" s="73"/>
      <c r="J1387" s="73"/>
      <c r="K1387" s="73"/>
      <c r="L1387" s="73"/>
      <c r="M1387" s="73"/>
      <c r="N1387" s="73"/>
      <c r="O1387" s="73"/>
      <c r="P1387" s="73"/>
      <c r="Q1387" s="73"/>
      <c r="R1387" s="73"/>
      <c r="S1387" s="73"/>
      <c r="T1387" s="73"/>
      <c r="U1387" s="73"/>
      <c r="V1387" s="73"/>
      <c r="W1387" s="73"/>
      <c r="GL1387" s="73"/>
      <c r="GM1387" s="73"/>
      <c r="GN1387" s="73"/>
      <c r="GO1387" s="73"/>
      <c r="GP1387" s="73"/>
      <c r="GQ1387" s="73"/>
      <c r="GR1387" s="73"/>
      <c r="GS1387" s="73"/>
      <c r="GT1387" s="73"/>
      <c r="GU1387" s="73"/>
      <c r="GV1387" s="73"/>
      <c r="GW1387" s="73"/>
      <c r="GX1387" s="73"/>
      <c r="GY1387" s="73"/>
      <c r="GZ1387" s="73"/>
      <c r="HA1387" s="73"/>
      <c r="HB1387" s="73"/>
      <c r="HC1387" s="73"/>
      <c r="HD1387" s="73"/>
      <c r="HE1387" s="73"/>
      <c r="HF1387" s="73"/>
      <c r="HG1387" s="73"/>
      <c r="HH1387" s="73"/>
      <c r="HI1387" s="73"/>
      <c r="HJ1387" s="73"/>
      <c r="HK1387" s="73"/>
      <c r="HL1387" s="73"/>
      <c r="HM1387" s="73"/>
      <c r="HN1387" s="73"/>
      <c r="HO1387" s="73"/>
      <c r="HP1387" s="73"/>
      <c r="HQ1387" s="73"/>
      <c r="HR1387" s="73"/>
      <c r="HS1387" s="73"/>
      <c r="HT1387" s="73"/>
      <c r="HU1387" s="73"/>
      <c r="HV1387" s="73"/>
      <c r="HW1387" s="73"/>
      <c r="HX1387" s="73"/>
      <c r="HY1387" s="73"/>
      <c r="HZ1387" s="73"/>
      <c r="IA1387" s="73"/>
      <c r="IB1387" s="73"/>
      <c r="IC1387" s="73"/>
      <c r="ID1387" s="73"/>
      <c r="IE1387" s="73"/>
      <c r="IF1387" s="73"/>
      <c r="IG1387" s="73"/>
      <c r="IH1387" s="73"/>
      <c r="II1387" s="73"/>
      <c r="IJ1387" s="73"/>
      <c r="IK1387" s="73"/>
      <c r="IL1387" s="73"/>
      <c r="IM1387" s="73"/>
      <c r="IN1387" s="73"/>
      <c r="IO1387" s="73"/>
      <c r="IP1387" s="73"/>
      <c r="IQ1387" s="73"/>
      <c r="IR1387" s="73"/>
      <c r="IS1387" s="73"/>
      <c r="IT1387" s="73"/>
      <c r="IU1387" s="73"/>
      <c r="IV1387" s="73"/>
      <c r="IW1387" s="73"/>
      <c r="IX1387" s="73"/>
      <c r="IY1387" s="73"/>
      <c r="IZ1387" s="73"/>
      <c r="JA1387" s="73"/>
      <c r="JB1387" s="73"/>
      <c r="JC1387" s="73"/>
    </row>
    <row r="1388" spans="2:263" s="72" customFormat="1">
      <c r="B1388" s="73"/>
      <c r="C1388" s="73"/>
      <c r="D1388" s="73"/>
      <c r="E1388" s="73"/>
      <c r="F1388" s="73"/>
      <c r="G1388" s="73"/>
      <c r="H1388" s="73"/>
      <c r="I1388" s="73"/>
      <c r="J1388" s="73"/>
      <c r="K1388" s="73"/>
      <c r="L1388" s="73"/>
      <c r="M1388" s="73"/>
      <c r="N1388" s="73"/>
      <c r="O1388" s="73"/>
      <c r="P1388" s="73"/>
      <c r="Q1388" s="73"/>
      <c r="R1388" s="73"/>
      <c r="S1388" s="73"/>
      <c r="T1388" s="73"/>
      <c r="U1388" s="73"/>
      <c r="V1388" s="73"/>
      <c r="W1388" s="73"/>
      <c r="GL1388" s="73"/>
      <c r="GM1388" s="73"/>
      <c r="GN1388" s="73"/>
      <c r="GO1388" s="73"/>
      <c r="GP1388" s="73"/>
      <c r="GQ1388" s="73"/>
      <c r="GR1388" s="73"/>
      <c r="GS1388" s="73"/>
      <c r="GT1388" s="73"/>
      <c r="GU1388" s="73"/>
      <c r="GV1388" s="73"/>
      <c r="GW1388" s="73"/>
      <c r="GX1388" s="73"/>
      <c r="GY1388" s="73"/>
      <c r="GZ1388" s="73"/>
      <c r="HA1388" s="73"/>
      <c r="HB1388" s="73"/>
      <c r="HC1388" s="73"/>
      <c r="HD1388" s="73"/>
      <c r="HE1388" s="73"/>
      <c r="HF1388" s="73"/>
      <c r="HG1388" s="73"/>
      <c r="HH1388" s="73"/>
      <c r="HI1388" s="73"/>
      <c r="HJ1388" s="73"/>
      <c r="HK1388" s="73"/>
      <c r="HL1388" s="73"/>
      <c r="HM1388" s="73"/>
      <c r="HN1388" s="73"/>
      <c r="HO1388" s="73"/>
      <c r="HP1388" s="73"/>
      <c r="HQ1388" s="73"/>
      <c r="HR1388" s="73"/>
      <c r="HS1388" s="73"/>
      <c r="HT1388" s="73"/>
      <c r="HU1388" s="73"/>
      <c r="HV1388" s="73"/>
      <c r="HW1388" s="73"/>
      <c r="HX1388" s="73"/>
      <c r="HY1388" s="73"/>
      <c r="HZ1388" s="73"/>
      <c r="IA1388" s="73"/>
      <c r="IB1388" s="73"/>
      <c r="IC1388" s="73"/>
      <c r="ID1388" s="73"/>
      <c r="IE1388" s="73"/>
      <c r="IF1388" s="73"/>
      <c r="IG1388" s="73"/>
      <c r="IH1388" s="73"/>
      <c r="II1388" s="73"/>
      <c r="IJ1388" s="73"/>
      <c r="IK1388" s="73"/>
      <c r="IL1388" s="73"/>
      <c r="IM1388" s="73"/>
      <c r="IN1388" s="73"/>
      <c r="IO1388" s="73"/>
      <c r="IP1388" s="73"/>
      <c r="IQ1388" s="73"/>
      <c r="IR1388" s="73"/>
      <c r="IS1388" s="73"/>
      <c r="IT1388" s="73"/>
      <c r="IU1388" s="73"/>
      <c r="IV1388" s="73"/>
      <c r="IW1388" s="73"/>
      <c r="IX1388" s="73"/>
      <c r="IY1388" s="73"/>
      <c r="IZ1388" s="73"/>
      <c r="JA1388" s="73"/>
      <c r="JB1388" s="73"/>
      <c r="JC1388" s="73"/>
    </row>
    <row r="1389" spans="2:263" s="72" customFormat="1">
      <c r="B1389" s="73"/>
      <c r="C1389" s="73"/>
      <c r="D1389" s="73"/>
      <c r="E1389" s="73"/>
      <c r="F1389" s="73"/>
      <c r="G1389" s="73"/>
      <c r="H1389" s="73"/>
      <c r="I1389" s="73"/>
      <c r="J1389" s="73"/>
      <c r="K1389" s="73"/>
      <c r="L1389" s="73"/>
      <c r="M1389" s="73"/>
      <c r="N1389" s="73"/>
      <c r="O1389" s="73"/>
      <c r="P1389" s="73"/>
      <c r="Q1389" s="73"/>
      <c r="R1389" s="73"/>
      <c r="S1389" s="73"/>
      <c r="T1389" s="73"/>
      <c r="U1389" s="73"/>
      <c r="V1389" s="73"/>
      <c r="W1389" s="73"/>
      <c r="GL1389" s="73"/>
      <c r="GM1389" s="73"/>
      <c r="GN1389" s="73"/>
      <c r="GO1389" s="73"/>
      <c r="GP1389" s="73"/>
      <c r="GQ1389" s="73"/>
      <c r="GR1389" s="73"/>
      <c r="GS1389" s="73"/>
      <c r="GT1389" s="73"/>
      <c r="GU1389" s="73"/>
      <c r="GV1389" s="73"/>
      <c r="GW1389" s="73"/>
      <c r="GX1389" s="73"/>
      <c r="GY1389" s="73"/>
      <c r="GZ1389" s="73"/>
      <c r="HA1389" s="73"/>
      <c r="HB1389" s="73"/>
      <c r="HC1389" s="73"/>
      <c r="HD1389" s="73"/>
      <c r="HE1389" s="73"/>
      <c r="HF1389" s="73"/>
      <c r="HG1389" s="73"/>
      <c r="HH1389" s="73"/>
      <c r="HI1389" s="73"/>
      <c r="HJ1389" s="73"/>
      <c r="HK1389" s="73"/>
      <c r="HL1389" s="73"/>
      <c r="HM1389" s="73"/>
      <c r="HN1389" s="73"/>
      <c r="HO1389" s="73"/>
      <c r="HP1389" s="73"/>
      <c r="HQ1389" s="73"/>
      <c r="HR1389" s="73"/>
      <c r="HS1389" s="73"/>
      <c r="HT1389" s="73"/>
      <c r="HU1389" s="73"/>
      <c r="HV1389" s="73"/>
      <c r="HW1389" s="73"/>
      <c r="HX1389" s="73"/>
      <c r="HY1389" s="73"/>
      <c r="HZ1389" s="73"/>
      <c r="IA1389" s="73"/>
      <c r="IB1389" s="73"/>
      <c r="IC1389" s="73"/>
      <c r="ID1389" s="73"/>
      <c r="IE1389" s="73"/>
      <c r="IF1389" s="73"/>
      <c r="IG1389" s="73"/>
      <c r="IH1389" s="73"/>
      <c r="II1389" s="73"/>
      <c r="IJ1389" s="73"/>
      <c r="IK1389" s="73"/>
      <c r="IL1389" s="73"/>
      <c r="IM1389" s="73"/>
      <c r="IN1389" s="73"/>
      <c r="IO1389" s="73"/>
      <c r="IP1389" s="73"/>
      <c r="IQ1389" s="73"/>
      <c r="IR1389" s="73"/>
      <c r="IS1389" s="73"/>
      <c r="IT1389" s="73"/>
      <c r="IU1389" s="73"/>
      <c r="IV1389" s="73"/>
      <c r="IW1389" s="73"/>
      <c r="IX1389" s="73"/>
      <c r="IY1389" s="73"/>
      <c r="IZ1389" s="73"/>
      <c r="JA1389" s="73"/>
      <c r="JB1389" s="73"/>
      <c r="JC1389" s="73"/>
    </row>
    <row r="1390" spans="2:263" s="72" customFormat="1">
      <c r="B1390" s="73"/>
      <c r="C1390" s="73"/>
      <c r="D1390" s="73"/>
      <c r="E1390" s="73"/>
      <c r="F1390" s="73"/>
      <c r="G1390" s="73"/>
      <c r="H1390" s="73"/>
      <c r="I1390" s="73"/>
      <c r="J1390" s="73"/>
      <c r="K1390" s="73"/>
      <c r="L1390" s="73"/>
      <c r="M1390" s="73"/>
      <c r="N1390" s="73"/>
      <c r="O1390" s="73"/>
      <c r="P1390" s="73"/>
      <c r="Q1390" s="73"/>
      <c r="R1390" s="73"/>
      <c r="S1390" s="73"/>
      <c r="T1390" s="73"/>
      <c r="U1390" s="73"/>
      <c r="V1390" s="73"/>
      <c r="W1390" s="73"/>
      <c r="GL1390" s="73"/>
      <c r="GM1390" s="73"/>
      <c r="GN1390" s="73"/>
      <c r="GO1390" s="73"/>
      <c r="GP1390" s="73"/>
      <c r="GQ1390" s="73"/>
      <c r="GR1390" s="73"/>
      <c r="GS1390" s="73"/>
      <c r="GT1390" s="73"/>
      <c r="GU1390" s="73"/>
      <c r="GV1390" s="73"/>
      <c r="GW1390" s="73"/>
      <c r="GX1390" s="73"/>
      <c r="GY1390" s="73"/>
      <c r="GZ1390" s="73"/>
      <c r="HA1390" s="73"/>
      <c r="HB1390" s="73"/>
      <c r="HC1390" s="73"/>
      <c r="HD1390" s="73"/>
      <c r="HE1390" s="73"/>
      <c r="HF1390" s="73"/>
      <c r="HG1390" s="73"/>
      <c r="HH1390" s="73"/>
      <c r="HI1390" s="73"/>
      <c r="HJ1390" s="73"/>
      <c r="HK1390" s="73"/>
      <c r="HL1390" s="73"/>
      <c r="HM1390" s="73"/>
      <c r="HN1390" s="73"/>
      <c r="HO1390" s="73"/>
      <c r="HP1390" s="73"/>
      <c r="HQ1390" s="73"/>
      <c r="HR1390" s="73"/>
      <c r="HS1390" s="73"/>
      <c r="HT1390" s="73"/>
      <c r="HU1390" s="73"/>
      <c r="HV1390" s="73"/>
      <c r="HW1390" s="73"/>
      <c r="HX1390" s="73"/>
      <c r="HY1390" s="73"/>
      <c r="HZ1390" s="73"/>
      <c r="IA1390" s="73"/>
      <c r="IB1390" s="73"/>
      <c r="IC1390" s="73"/>
      <c r="ID1390" s="73"/>
      <c r="IE1390" s="73"/>
      <c r="IF1390" s="73"/>
      <c r="IG1390" s="73"/>
      <c r="IH1390" s="73"/>
      <c r="II1390" s="73"/>
      <c r="IJ1390" s="73"/>
      <c r="IK1390" s="73"/>
      <c r="IL1390" s="73"/>
      <c r="IM1390" s="73"/>
      <c r="IN1390" s="73"/>
      <c r="IO1390" s="73"/>
      <c r="IP1390" s="73"/>
      <c r="IQ1390" s="73"/>
      <c r="IR1390" s="73"/>
      <c r="IS1390" s="73"/>
      <c r="IT1390" s="73"/>
      <c r="IU1390" s="73"/>
      <c r="IV1390" s="73"/>
      <c r="IW1390" s="73"/>
      <c r="IX1390" s="73"/>
      <c r="IY1390" s="73"/>
      <c r="IZ1390" s="73"/>
      <c r="JA1390" s="73"/>
      <c r="JB1390" s="73"/>
      <c r="JC1390" s="73"/>
    </row>
    <row r="1391" spans="2:263" s="72" customFormat="1">
      <c r="B1391" s="73"/>
      <c r="C1391" s="73"/>
      <c r="D1391" s="73"/>
      <c r="E1391" s="73"/>
      <c r="F1391" s="73"/>
      <c r="G1391" s="73"/>
      <c r="H1391" s="73"/>
      <c r="I1391" s="73"/>
      <c r="J1391" s="73"/>
      <c r="K1391" s="73"/>
      <c r="L1391" s="73"/>
      <c r="M1391" s="73"/>
      <c r="N1391" s="73"/>
      <c r="O1391" s="73"/>
      <c r="P1391" s="73"/>
      <c r="Q1391" s="73"/>
      <c r="R1391" s="73"/>
      <c r="S1391" s="73"/>
      <c r="T1391" s="73"/>
      <c r="U1391" s="73"/>
      <c r="V1391" s="73"/>
      <c r="W1391" s="73"/>
      <c r="GL1391" s="73"/>
      <c r="GM1391" s="73"/>
      <c r="GN1391" s="73"/>
      <c r="GO1391" s="73"/>
      <c r="GP1391" s="73"/>
      <c r="GQ1391" s="73"/>
      <c r="GR1391" s="73"/>
      <c r="GS1391" s="73"/>
      <c r="GT1391" s="73"/>
      <c r="GU1391" s="73"/>
      <c r="GV1391" s="73"/>
      <c r="GW1391" s="73"/>
      <c r="GX1391" s="73"/>
      <c r="GY1391" s="73"/>
      <c r="GZ1391" s="73"/>
      <c r="HA1391" s="73"/>
      <c r="HB1391" s="73"/>
      <c r="HC1391" s="73"/>
      <c r="HD1391" s="73"/>
      <c r="HE1391" s="73"/>
      <c r="HF1391" s="73"/>
      <c r="HG1391" s="73"/>
      <c r="HH1391" s="73"/>
      <c r="HI1391" s="73"/>
      <c r="HJ1391" s="73"/>
      <c r="HK1391" s="73"/>
      <c r="HL1391" s="73"/>
      <c r="HM1391" s="73"/>
      <c r="HN1391" s="73"/>
      <c r="HO1391" s="73"/>
      <c r="HP1391" s="73"/>
      <c r="HQ1391" s="73"/>
      <c r="HR1391" s="73"/>
      <c r="HS1391" s="73"/>
      <c r="HT1391" s="73"/>
      <c r="HU1391" s="73"/>
      <c r="HV1391" s="73"/>
      <c r="HW1391" s="73"/>
      <c r="HX1391" s="73"/>
      <c r="HY1391" s="73"/>
      <c r="HZ1391" s="73"/>
      <c r="IA1391" s="73"/>
      <c r="IB1391" s="73"/>
      <c r="IC1391" s="73"/>
      <c r="ID1391" s="73"/>
      <c r="IE1391" s="73"/>
      <c r="IF1391" s="73"/>
      <c r="IG1391" s="73"/>
      <c r="IH1391" s="73"/>
      <c r="II1391" s="73"/>
      <c r="IJ1391" s="73"/>
      <c r="IK1391" s="73"/>
      <c r="IL1391" s="73"/>
      <c r="IM1391" s="73"/>
      <c r="IN1391" s="73"/>
      <c r="IO1391" s="73"/>
      <c r="IP1391" s="73"/>
      <c r="IQ1391" s="73"/>
      <c r="IR1391" s="73"/>
      <c r="IS1391" s="73"/>
      <c r="IT1391" s="73"/>
      <c r="IU1391" s="73"/>
      <c r="IV1391" s="73"/>
      <c r="IW1391" s="73"/>
      <c r="IX1391" s="73"/>
      <c r="IY1391" s="73"/>
      <c r="IZ1391" s="73"/>
      <c r="JA1391" s="73"/>
      <c r="JB1391" s="73"/>
      <c r="JC1391" s="73"/>
    </row>
    <row r="1392" spans="2:263" s="72" customFormat="1">
      <c r="B1392" s="73"/>
      <c r="C1392" s="73"/>
      <c r="D1392" s="73"/>
      <c r="E1392" s="73"/>
      <c r="F1392" s="73"/>
      <c r="G1392" s="73"/>
      <c r="H1392" s="73"/>
      <c r="I1392" s="73"/>
      <c r="J1392" s="73"/>
      <c r="K1392" s="73"/>
      <c r="L1392" s="73"/>
      <c r="M1392" s="73"/>
      <c r="N1392" s="73"/>
      <c r="O1392" s="73"/>
      <c r="P1392" s="73"/>
      <c r="Q1392" s="73"/>
      <c r="R1392" s="73"/>
      <c r="S1392" s="73"/>
      <c r="T1392" s="73"/>
      <c r="U1392" s="73"/>
      <c r="V1392" s="73"/>
      <c r="W1392" s="73"/>
      <c r="GL1392" s="73"/>
      <c r="GM1392" s="73"/>
      <c r="GN1392" s="73"/>
      <c r="GO1392" s="73"/>
      <c r="GP1392" s="73"/>
      <c r="GQ1392" s="73"/>
      <c r="GR1392" s="73"/>
      <c r="GS1392" s="73"/>
      <c r="GT1392" s="73"/>
      <c r="GU1392" s="73"/>
      <c r="GV1392" s="73"/>
      <c r="GW1392" s="73"/>
      <c r="GX1392" s="73"/>
      <c r="GY1392" s="73"/>
      <c r="GZ1392" s="73"/>
      <c r="HA1392" s="73"/>
      <c r="HB1392" s="73"/>
      <c r="HC1392" s="73"/>
      <c r="HD1392" s="73"/>
      <c r="HE1392" s="73"/>
      <c r="HF1392" s="73"/>
      <c r="HG1392" s="73"/>
      <c r="HH1392" s="73"/>
      <c r="HI1392" s="73"/>
      <c r="HJ1392" s="73"/>
      <c r="HK1392" s="73"/>
      <c r="HL1392" s="73"/>
      <c r="HM1392" s="73"/>
      <c r="HN1392" s="73"/>
      <c r="HO1392" s="73"/>
      <c r="HP1392" s="73"/>
      <c r="HQ1392" s="73"/>
      <c r="HR1392" s="73"/>
      <c r="HS1392" s="73"/>
      <c r="HT1392" s="73"/>
      <c r="HU1392" s="73"/>
      <c r="HV1392" s="73"/>
      <c r="HW1392" s="73"/>
      <c r="HX1392" s="73"/>
      <c r="HY1392" s="73"/>
      <c r="HZ1392" s="73"/>
      <c r="IA1392" s="73"/>
      <c r="IB1392" s="73"/>
      <c r="IC1392" s="73"/>
      <c r="ID1392" s="73"/>
      <c r="IE1392" s="73"/>
      <c r="IF1392" s="73"/>
      <c r="IG1392" s="73"/>
      <c r="IH1392" s="73"/>
      <c r="II1392" s="73"/>
      <c r="IJ1392" s="73"/>
      <c r="IK1392" s="73"/>
      <c r="IL1392" s="73"/>
      <c r="IM1392" s="73"/>
      <c r="IN1392" s="73"/>
      <c r="IO1392" s="73"/>
      <c r="IP1392" s="73"/>
      <c r="IQ1392" s="73"/>
      <c r="IR1392" s="73"/>
      <c r="IS1392" s="73"/>
      <c r="IT1392" s="73"/>
      <c r="IU1392" s="73"/>
      <c r="IV1392" s="73"/>
      <c r="IW1392" s="73"/>
      <c r="IX1392" s="73"/>
      <c r="IY1392" s="73"/>
      <c r="IZ1392" s="73"/>
      <c r="JA1392" s="73"/>
      <c r="JB1392" s="73"/>
      <c r="JC1392" s="73"/>
    </row>
    <row r="1393" spans="2:263" s="72" customFormat="1">
      <c r="B1393" s="73"/>
      <c r="C1393" s="73"/>
      <c r="D1393" s="73"/>
      <c r="E1393" s="73"/>
      <c r="F1393" s="73"/>
      <c r="G1393" s="73"/>
      <c r="H1393" s="73"/>
      <c r="I1393" s="73"/>
      <c r="J1393" s="73"/>
      <c r="K1393" s="73"/>
      <c r="L1393" s="73"/>
      <c r="M1393" s="73"/>
      <c r="N1393" s="73"/>
      <c r="O1393" s="73"/>
      <c r="P1393" s="73"/>
      <c r="Q1393" s="73"/>
      <c r="R1393" s="73"/>
      <c r="S1393" s="73"/>
      <c r="T1393" s="73"/>
      <c r="U1393" s="73"/>
      <c r="V1393" s="73"/>
      <c r="W1393" s="73"/>
      <c r="GL1393" s="73"/>
      <c r="GM1393" s="73"/>
      <c r="GN1393" s="73"/>
      <c r="GO1393" s="73"/>
      <c r="GP1393" s="73"/>
      <c r="GQ1393" s="73"/>
      <c r="GR1393" s="73"/>
      <c r="GS1393" s="73"/>
      <c r="GT1393" s="73"/>
      <c r="GU1393" s="73"/>
      <c r="GV1393" s="73"/>
      <c r="GW1393" s="73"/>
      <c r="GX1393" s="73"/>
      <c r="GY1393" s="73"/>
      <c r="GZ1393" s="73"/>
      <c r="HA1393" s="73"/>
      <c r="HB1393" s="73"/>
      <c r="HC1393" s="73"/>
      <c r="HD1393" s="73"/>
      <c r="HE1393" s="73"/>
      <c r="HF1393" s="73"/>
      <c r="HG1393" s="73"/>
      <c r="HH1393" s="73"/>
      <c r="HI1393" s="73"/>
      <c r="HJ1393" s="73"/>
      <c r="HK1393" s="73"/>
      <c r="HL1393" s="73"/>
      <c r="HM1393" s="73"/>
      <c r="HN1393" s="73"/>
      <c r="HO1393" s="73"/>
      <c r="HP1393" s="73"/>
      <c r="HQ1393" s="73"/>
      <c r="HR1393" s="73"/>
      <c r="HS1393" s="73"/>
      <c r="HT1393" s="73"/>
      <c r="HU1393" s="73"/>
      <c r="HV1393" s="73"/>
      <c r="HW1393" s="73"/>
      <c r="HX1393" s="73"/>
      <c r="HY1393" s="73"/>
      <c r="HZ1393" s="73"/>
      <c r="IA1393" s="73"/>
      <c r="IB1393" s="73"/>
      <c r="IC1393" s="73"/>
      <c r="ID1393" s="73"/>
      <c r="IE1393" s="73"/>
      <c r="IF1393" s="73"/>
      <c r="IG1393" s="73"/>
      <c r="IH1393" s="73"/>
      <c r="II1393" s="73"/>
      <c r="IJ1393" s="73"/>
      <c r="IK1393" s="73"/>
      <c r="IL1393" s="73"/>
      <c r="IM1393" s="73"/>
      <c r="IN1393" s="73"/>
      <c r="IO1393" s="73"/>
      <c r="IP1393" s="73"/>
      <c r="IQ1393" s="73"/>
      <c r="IR1393" s="73"/>
      <c r="IS1393" s="73"/>
      <c r="IT1393" s="73"/>
      <c r="IU1393" s="73"/>
      <c r="IV1393" s="73"/>
      <c r="IW1393" s="73"/>
      <c r="IX1393" s="73"/>
      <c r="IY1393" s="73"/>
      <c r="IZ1393" s="73"/>
      <c r="JA1393" s="73"/>
      <c r="JB1393" s="73"/>
      <c r="JC1393" s="73"/>
    </row>
    <row r="1394" spans="2:263" s="72" customFormat="1">
      <c r="B1394" s="73"/>
      <c r="C1394" s="73"/>
      <c r="D1394" s="73"/>
      <c r="E1394" s="73"/>
      <c r="F1394" s="73"/>
      <c r="G1394" s="73"/>
      <c r="H1394" s="73"/>
      <c r="I1394" s="73"/>
      <c r="J1394" s="73"/>
      <c r="K1394" s="73"/>
      <c r="L1394" s="73"/>
      <c r="M1394" s="73"/>
      <c r="N1394" s="73"/>
      <c r="O1394" s="73"/>
      <c r="P1394" s="73"/>
      <c r="Q1394" s="73"/>
      <c r="R1394" s="73"/>
      <c r="S1394" s="73"/>
      <c r="T1394" s="73"/>
      <c r="U1394" s="73"/>
      <c r="V1394" s="73"/>
      <c r="W1394" s="73"/>
      <c r="GL1394" s="73"/>
      <c r="GM1394" s="73"/>
      <c r="GN1394" s="73"/>
      <c r="GO1394" s="73"/>
      <c r="GP1394" s="73"/>
      <c r="GQ1394" s="73"/>
      <c r="GR1394" s="73"/>
      <c r="GS1394" s="73"/>
      <c r="GT1394" s="73"/>
      <c r="GU1394" s="73"/>
      <c r="GV1394" s="73"/>
      <c r="GW1394" s="73"/>
      <c r="GX1394" s="73"/>
      <c r="GY1394" s="73"/>
      <c r="GZ1394" s="73"/>
      <c r="HA1394" s="73"/>
      <c r="HB1394" s="73"/>
      <c r="HC1394" s="73"/>
      <c r="HD1394" s="73"/>
      <c r="HE1394" s="73"/>
      <c r="HF1394" s="73"/>
      <c r="HG1394" s="73"/>
      <c r="HH1394" s="73"/>
      <c r="HI1394" s="73"/>
      <c r="HJ1394" s="73"/>
      <c r="HK1394" s="73"/>
      <c r="HL1394" s="73"/>
      <c r="HM1394" s="73"/>
      <c r="HN1394" s="73"/>
      <c r="HO1394" s="73"/>
      <c r="HP1394" s="73"/>
      <c r="HQ1394" s="73"/>
      <c r="HR1394" s="73"/>
      <c r="HS1394" s="73"/>
      <c r="HT1394" s="73"/>
      <c r="HU1394" s="73"/>
      <c r="HV1394" s="73"/>
      <c r="HW1394" s="73"/>
      <c r="HX1394" s="73"/>
      <c r="HY1394" s="73"/>
      <c r="HZ1394" s="73"/>
      <c r="IA1394" s="73"/>
      <c r="IB1394" s="73"/>
      <c r="IC1394" s="73"/>
      <c r="ID1394" s="73"/>
      <c r="IE1394" s="73"/>
      <c r="IF1394" s="73"/>
      <c r="IG1394" s="73"/>
      <c r="IH1394" s="73"/>
      <c r="II1394" s="73"/>
      <c r="IJ1394" s="73"/>
      <c r="IK1394" s="73"/>
      <c r="IL1394" s="73"/>
      <c r="IM1394" s="73"/>
      <c r="IN1394" s="73"/>
      <c r="IO1394" s="73"/>
      <c r="IP1394" s="73"/>
      <c r="IQ1394" s="73"/>
      <c r="IR1394" s="73"/>
      <c r="IS1394" s="73"/>
      <c r="IT1394" s="73"/>
      <c r="IU1394" s="73"/>
      <c r="IV1394" s="73"/>
      <c r="IW1394" s="73"/>
      <c r="IX1394" s="73"/>
      <c r="IY1394" s="73"/>
      <c r="IZ1394" s="73"/>
      <c r="JA1394" s="73"/>
      <c r="JB1394" s="73"/>
      <c r="JC1394" s="73"/>
    </row>
    <row r="1395" spans="2:263" s="72" customFormat="1">
      <c r="B1395" s="73"/>
      <c r="C1395" s="73"/>
      <c r="D1395" s="73"/>
      <c r="E1395" s="73"/>
      <c r="F1395" s="73"/>
      <c r="G1395" s="73"/>
      <c r="H1395" s="73"/>
      <c r="I1395" s="73"/>
      <c r="J1395" s="73"/>
      <c r="K1395" s="73"/>
      <c r="L1395" s="73"/>
      <c r="M1395" s="73"/>
      <c r="N1395" s="73"/>
      <c r="O1395" s="73"/>
      <c r="P1395" s="73"/>
      <c r="Q1395" s="73"/>
      <c r="R1395" s="73"/>
      <c r="S1395" s="73"/>
      <c r="T1395" s="73"/>
      <c r="U1395" s="73"/>
      <c r="V1395" s="73"/>
      <c r="W1395" s="73"/>
      <c r="GL1395" s="73"/>
      <c r="GM1395" s="73"/>
      <c r="GN1395" s="73"/>
      <c r="GO1395" s="73"/>
      <c r="GP1395" s="73"/>
      <c r="GQ1395" s="73"/>
      <c r="GR1395" s="73"/>
      <c r="GS1395" s="73"/>
      <c r="GT1395" s="73"/>
      <c r="GU1395" s="73"/>
      <c r="GV1395" s="73"/>
      <c r="GW1395" s="73"/>
      <c r="GX1395" s="73"/>
      <c r="GY1395" s="73"/>
      <c r="GZ1395" s="73"/>
      <c r="HA1395" s="73"/>
      <c r="HB1395" s="73"/>
      <c r="HC1395" s="73"/>
      <c r="HD1395" s="73"/>
      <c r="HE1395" s="73"/>
      <c r="HF1395" s="73"/>
      <c r="HG1395" s="73"/>
      <c r="HH1395" s="73"/>
      <c r="HI1395" s="73"/>
      <c r="HJ1395" s="73"/>
      <c r="HK1395" s="73"/>
      <c r="HL1395" s="73"/>
      <c r="HM1395" s="73"/>
      <c r="HN1395" s="73"/>
      <c r="HO1395" s="73"/>
      <c r="HP1395" s="73"/>
      <c r="HQ1395" s="73"/>
      <c r="HR1395" s="73"/>
      <c r="HS1395" s="73"/>
      <c r="HT1395" s="73"/>
      <c r="HU1395" s="73"/>
      <c r="HV1395" s="73"/>
      <c r="HW1395" s="73"/>
      <c r="HX1395" s="73"/>
      <c r="HY1395" s="73"/>
      <c r="HZ1395" s="73"/>
      <c r="IA1395" s="73"/>
      <c r="IB1395" s="73"/>
      <c r="IC1395" s="73"/>
      <c r="ID1395" s="73"/>
      <c r="IE1395" s="73"/>
      <c r="IF1395" s="73"/>
      <c r="IG1395" s="73"/>
      <c r="IH1395" s="73"/>
      <c r="II1395" s="73"/>
      <c r="IJ1395" s="73"/>
      <c r="IK1395" s="73"/>
      <c r="IL1395" s="73"/>
      <c r="IM1395" s="73"/>
      <c r="IN1395" s="73"/>
      <c r="IO1395" s="73"/>
      <c r="IP1395" s="73"/>
      <c r="IQ1395" s="73"/>
      <c r="IR1395" s="73"/>
      <c r="IS1395" s="73"/>
      <c r="IT1395" s="73"/>
      <c r="IU1395" s="73"/>
      <c r="IV1395" s="73"/>
      <c r="IW1395" s="73"/>
      <c r="IX1395" s="73"/>
      <c r="IY1395" s="73"/>
      <c r="IZ1395" s="73"/>
      <c r="JA1395" s="73"/>
      <c r="JB1395" s="73"/>
      <c r="JC1395" s="73"/>
    </row>
    <row r="1396" spans="2:263" s="72" customFormat="1">
      <c r="B1396" s="73"/>
      <c r="C1396" s="73"/>
      <c r="D1396" s="73"/>
      <c r="E1396" s="73"/>
      <c r="F1396" s="73"/>
      <c r="G1396" s="73"/>
      <c r="H1396" s="73"/>
      <c r="I1396" s="73"/>
      <c r="J1396" s="73"/>
      <c r="K1396" s="73"/>
      <c r="L1396" s="73"/>
      <c r="M1396" s="73"/>
      <c r="N1396" s="73"/>
      <c r="O1396" s="73"/>
      <c r="P1396" s="73"/>
      <c r="Q1396" s="73"/>
      <c r="R1396" s="73"/>
      <c r="S1396" s="73"/>
      <c r="T1396" s="73"/>
      <c r="U1396" s="73"/>
      <c r="V1396" s="73"/>
      <c r="W1396" s="73"/>
      <c r="GL1396" s="73"/>
      <c r="GM1396" s="73"/>
      <c r="GN1396" s="73"/>
      <c r="GO1396" s="73"/>
      <c r="GP1396" s="73"/>
      <c r="GQ1396" s="73"/>
      <c r="GR1396" s="73"/>
      <c r="GS1396" s="73"/>
      <c r="GT1396" s="73"/>
      <c r="GU1396" s="73"/>
      <c r="GV1396" s="73"/>
      <c r="GW1396" s="73"/>
      <c r="GX1396" s="73"/>
      <c r="GY1396" s="73"/>
      <c r="GZ1396" s="73"/>
      <c r="HA1396" s="73"/>
      <c r="HB1396" s="73"/>
      <c r="HC1396" s="73"/>
      <c r="HD1396" s="73"/>
      <c r="HE1396" s="73"/>
      <c r="HF1396" s="73"/>
      <c r="HG1396" s="73"/>
      <c r="HH1396" s="73"/>
      <c r="HI1396" s="73"/>
      <c r="HJ1396" s="73"/>
      <c r="HK1396" s="73"/>
      <c r="HL1396" s="73"/>
      <c r="HM1396" s="73"/>
      <c r="HN1396" s="73"/>
      <c r="HO1396" s="73"/>
      <c r="HP1396" s="73"/>
      <c r="HQ1396" s="73"/>
      <c r="HR1396" s="73"/>
      <c r="HS1396" s="73"/>
      <c r="HT1396" s="73"/>
      <c r="HU1396" s="73"/>
      <c r="HV1396" s="73"/>
      <c r="HW1396" s="73"/>
      <c r="HX1396" s="73"/>
      <c r="HY1396" s="73"/>
      <c r="HZ1396" s="73"/>
      <c r="IA1396" s="73"/>
      <c r="IB1396" s="73"/>
      <c r="IC1396" s="73"/>
      <c r="ID1396" s="73"/>
      <c r="IE1396" s="73"/>
      <c r="IF1396" s="73"/>
      <c r="IG1396" s="73"/>
      <c r="IH1396" s="73"/>
      <c r="II1396" s="73"/>
      <c r="IJ1396" s="73"/>
      <c r="IK1396" s="73"/>
      <c r="IL1396" s="73"/>
      <c r="IM1396" s="73"/>
      <c r="IN1396" s="73"/>
      <c r="IO1396" s="73"/>
      <c r="IP1396" s="73"/>
      <c r="IQ1396" s="73"/>
      <c r="IR1396" s="73"/>
      <c r="IS1396" s="73"/>
      <c r="IT1396" s="73"/>
      <c r="IU1396" s="73"/>
      <c r="IV1396" s="73"/>
      <c r="IW1396" s="73"/>
      <c r="IX1396" s="73"/>
      <c r="IY1396" s="73"/>
      <c r="IZ1396" s="73"/>
      <c r="JA1396" s="73"/>
      <c r="JB1396" s="73"/>
      <c r="JC1396" s="73"/>
    </row>
    <row r="1397" spans="2:263" s="72" customFormat="1">
      <c r="B1397" s="73"/>
      <c r="C1397" s="73"/>
      <c r="D1397" s="73"/>
      <c r="E1397" s="73"/>
      <c r="F1397" s="73"/>
      <c r="G1397" s="73"/>
      <c r="H1397" s="73"/>
      <c r="I1397" s="73"/>
      <c r="J1397" s="73"/>
      <c r="K1397" s="73"/>
      <c r="L1397" s="73"/>
      <c r="M1397" s="73"/>
      <c r="N1397" s="73"/>
      <c r="O1397" s="73"/>
      <c r="P1397" s="73"/>
      <c r="Q1397" s="73"/>
      <c r="R1397" s="73"/>
      <c r="S1397" s="73"/>
      <c r="T1397" s="73"/>
      <c r="U1397" s="73"/>
      <c r="V1397" s="73"/>
      <c r="W1397" s="73"/>
      <c r="GL1397" s="73"/>
      <c r="GM1397" s="73"/>
      <c r="GN1397" s="73"/>
      <c r="GO1397" s="73"/>
      <c r="GP1397" s="73"/>
      <c r="GQ1397" s="73"/>
      <c r="GR1397" s="73"/>
      <c r="GS1397" s="73"/>
      <c r="GT1397" s="73"/>
      <c r="GU1397" s="73"/>
      <c r="GV1397" s="73"/>
      <c r="GW1397" s="73"/>
      <c r="GX1397" s="73"/>
      <c r="GY1397" s="73"/>
      <c r="GZ1397" s="73"/>
      <c r="HA1397" s="73"/>
      <c r="HB1397" s="73"/>
      <c r="HC1397" s="73"/>
      <c r="HD1397" s="73"/>
      <c r="HE1397" s="73"/>
      <c r="HF1397" s="73"/>
      <c r="HG1397" s="73"/>
      <c r="HH1397" s="73"/>
      <c r="HI1397" s="73"/>
      <c r="HJ1397" s="73"/>
      <c r="HK1397" s="73"/>
      <c r="HL1397" s="73"/>
      <c r="HM1397" s="73"/>
      <c r="HN1397" s="73"/>
      <c r="HO1397" s="73"/>
      <c r="HP1397" s="73"/>
      <c r="HQ1397" s="73"/>
      <c r="HR1397" s="73"/>
      <c r="HS1397" s="73"/>
      <c r="HT1397" s="73"/>
      <c r="HU1397" s="73"/>
      <c r="HV1397" s="73"/>
      <c r="HW1397" s="73"/>
      <c r="HX1397" s="73"/>
      <c r="HY1397" s="73"/>
      <c r="HZ1397" s="73"/>
      <c r="IA1397" s="73"/>
      <c r="IB1397" s="73"/>
      <c r="IC1397" s="73"/>
      <c r="ID1397" s="73"/>
      <c r="IE1397" s="73"/>
      <c r="IF1397" s="73"/>
      <c r="IG1397" s="73"/>
      <c r="IH1397" s="73"/>
      <c r="II1397" s="73"/>
      <c r="IJ1397" s="73"/>
      <c r="IK1397" s="73"/>
      <c r="IL1397" s="73"/>
      <c r="IM1397" s="73"/>
      <c r="IN1397" s="73"/>
      <c r="IO1397" s="73"/>
      <c r="IP1397" s="73"/>
      <c r="IQ1397" s="73"/>
      <c r="IR1397" s="73"/>
      <c r="IS1397" s="73"/>
      <c r="IT1397" s="73"/>
      <c r="IU1397" s="73"/>
      <c r="IV1397" s="73"/>
      <c r="IW1397" s="73"/>
      <c r="IX1397" s="73"/>
      <c r="IY1397" s="73"/>
      <c r="IZ1397" s="73"/>
      <c r="JA1397" s="73"/>
      <c r="JB1397" s="73"/>
      <c r="JC1397" s="73"/>
    </row>
    <row r="1398" spans="2:263" s="72" customFormat="1">
      <c r="B1398" s="73"/>
      <c r="C1398" s="73"/>
      <c r="D1398" s="73"/>
      <c r="E1398" s="73"/>
      <c r="F1398" s="73"/>
      <c r="G1398" s="73"/>
      <c r="H1398" s="73"/>
      <c r="I1398" s="73"/>
      <c r="J1398" s="73"/>
      <c r="K1398" s="73"/>
      <c r="L1398" s="73"/>
      <c r="M1398" s="73"/>
      <c r="N1398" s="73"/>
      <c r="O1398" s="73"/>
      <c r="P1398" s="73"/>
      <c r="Q1398" s="73"/>
      <c r="R1398" s="73"/>
      <c r="S1398" s="73"/>
      <c r="T1398" s="73"/>
      <c r="U1398" s="73"/>
      <c r="V1398" s="73"/>
      <c r="W1398" s="73"/>
      <c r="GL1398" s="73"/>
      <c r="GM1398" s="73"/>
      <c r="GN1398" s="73"/>
      <c r="GO1398" s="73"/>
      <c r="GP1398" s="73"/>
      <c r="GQ1398" s="73"/>
      <c r="GR1398" s="73"/>
      <c r="GS1398" s="73"/>
      <c r="GT1398" s="73"/>
      <c r="GU1398" s="73"/>
      <c r="GV1398" s="73"/>
      <c r="GW1398" s="73"/>
      <c r="GX1398" s="73"/>
      <c r="GY1398" s="73"/>
      <c r="GZ1398" s="73"/>
      <c r="HA1398" s="73"/>
      <c r="HB1398" s="73"/>
      <c r="HC1398" s="73"/>
      <c r="HD1398" s="73"/>
      <c r="HE1398" s="73"/>
      <c r="HF1398" s="73"/>
      <c r="HG1398" s="73"/>
      <c r="HH1398" s="73"/>
      <c r="HI1398" s="73"/>
      <c r="HJ1398" s="73"/>
      <c r="HK1398" s="73"/>
      <c r="HL1398" s="73"/>
      <c r="HM1398" s="73"/>
      <c r="HN1398" s="73"/>
      <c r="HO1398" s="73"/>
      <c r="HP1398" s="73"/>
      <c r="HQ1398" s="73"/>
      <c r="HR1398" s="73"/>
      <c r="HS1398" s="73"/>
      <c r="HT1398" s="73"/>
      <c r="HU1398" s="73"/>
      <c r="HV1398" s="73"/>
      <c r="HW1398" s="73"/>
      <c r="HX1398" s="73"/>
      <c r="HY1398" s="73"/>
      <c r="HZ1398" s="73"/>
      <c r="IA1398" s="73"/>
      <c r="IB1398" s="73"/>
      <c r="IC1398" s="73"/>
      <c r="ID1398" s="73"/>
      <c r="IE1398" s="73"/>
      <c r="IF1398" s="73"/>
      <c r="IG1398" s="73"/>
      <c r="IH1398" s="73"/>
      <c r="II1398" s="73"/>
      <c r="IJ1398" s="73"/>
      <c r="IK1398" s="73"/>
      <c r="IL1398" s="73"/>
      <c r="IM1398" s="73"/>
      <c r="IN1398" s="73"/>
      <c r="IO1398" s="73"/>
      <c r="IP1398" s="73"/>
      <c r="IQ1398" s="73"/>
      <c r="IR1398" s="73"/>
      <c r="IS1398" s="73"/>
      <c r="IT1398" s="73"/>
      <c r="IU1398" s="73"/>
      <c r="IV1398" s="73"/>
      <c r="IW1398" s="73"/>
      <c r="IX1398" s="73"/>
      <c r="IY1398" s="73"/>
      <c r="IZ1398" s="73"/>
      <c r="JA1398" s="73"/>
      <c r="JB1398" s="73"/>
      <c r="JC1398" s="73"/>
    </row>
    <row r="1399" spans="2:263" s="72" customFormat="1">
      <c r="B1399" s="73"/>
      <c r="C1399" s="73"/>
      <c r="D1399" s="73"/>
      <c r="E1399" s="73"/>
      <c r="F1399" s="73"/>
      <c r="G1399" s="73"/>
      <c r="H1399" s="73"/>
      <c r="I1399" s="73"/>
      <c r="J1399" s="73"/>
      <c r="K1399" s="73"/>
      <c r="L1399" s="73"/>
      <c r="M1399" s="73"/>
      <c r="N1399" s="73"/>
      <c r="O1399" s="73"/>
      <c r="P1399" s="73"/>
      <c r="Q1399" s="73"/>
      <c r="R1399" s="73"/>
      <c r="S1399" s="73"/>
      <c r="T1399" s="73"/>
      <c r="U1399" s="73"/>
      <c r="V1399" s="73"/>
      <c r="W1399" s="73"/>
      <c r="GL1399" s="73"/>
      <c r="GM1399" s="73"/>
      <c r="GN1399" s="73"/>
      <c r="GO1399" s="73"/>
      <c r="GP1399" s="73"/>
      <c r="GQ1399" s="73"/>
      <c r="GR1399" s="73"/>
      <c r="GS1399" s="73"/>
      <c r="GT1399" s="73"/>
      <c r="GU1399" s="73"/>
      <c r="GV1399" s="73"/>
      <c r="GW1399" s="73"/>
      <c r="GX1399" s="73"/>
      <c r="GY1399" s="73"/>
      <c r="GZ1399" s="73"/>
      <c r="HA1399" s="73"/>
      <c r="HB1399" s="73"/>
      <c r="HC1399" s="73"/>
      <c r="HD1399" s="73"/>
      <c r="HE1399" s="73"/>
      <c r="HF1399" s="73"/>
      <c r="HG1399" s="73"/>
      <c r="HH1399" s="73"/>
      <c r="HI1399" s="73"/>
      <c r="HJ1399" s="73"/>
      <c r="HK1399" s="73"/>
      <c r="HL1399" s="73"/>
      <c r="HM1399" s="73"/>
      <c r="HN1399" s="73"/>
      <c r="HO1399" s="73"/>
      <c r="HP1399" s="73"/>
      <c r="HQ1399" s="73"/>
      <c r="HR1399" s="73"/>
      <c r="HS1399" s="73"/>
      <c r="HT1399" s="73"/>
      <c r="HU1399" s="73"/>
      <c r="HV1399" s="73"/>
      <c r="HW1399" s="73"/>
      <c r="HX1399" s="73"/>
      <c r="HY1399" s="73"/>
      <c r="HZ1399" s="73"/>
      <c r="IA1399" s="73"/>
      <c r="IB1399" s="73"/>
      <c r="IC1399" s="73"/>
      <c r="ID1399" s="73"/>
      <c r="IE1399" s="73"/>
      <c r="IF1399" s="73"/>
      <c r="IG1399" s="73"/>
      <c r="IH1399" s="73"/>
      <c r="II1399" s="73"/>
      <c r="IJ1399" s="73"/>
      <c r="IK1399" s="73"/>
      <c r="IL1399" s="73"/>
      <c r="IM1399" s="73"/>
      <c r="IN1399" s="73"/>
      <c r="IO1399" s="73"/>
      <c r="IP1399" s="73"/>
      <c r="IQ1399" s="73"/>
      <c r="IR1399" s="73"/>
      <c r="IS1399" s="73"/>
      <c r="IT1399" s="73"/>
      <c r="IU1399" s="73"/>
      <c r="IV1399" s="73"/>
      <c r="IW1399" s="73"/>
      <c r="IX1399" s="73"/>
      <c r="IY1399" s="73"/>
      <c r="IZ1399" s="73"/>
      <c r="JA1399" s="73"/>
      <c r="JB1399" s="73"/>
      <c r="JC1399" s="73"/>
    </row>
    <row r="1400" spans="2:263" s="72" customFormat="1">
      <c r="B1400" s="73"/>
      <c r="C1400" s="73"/>
      <c r="D1400" s="73"/>
      <c r="E1400" s="73"/>
      <c r="F1400" s="73"/>
      <c r="G1400" s="73"/>
      <c r="H1400" s="73"/>
      <c r="I1400" s="73"/>
      <c r="J1400" s="73"/>
      <c r="K1400" s="73"/>
      <c r="L1400" s="73"/>
      <c r="M1400" s="73"/>
      <c r="N1400" s="73"/>
      <c r="O1400" s="73"/>
      <c r="P1400" s="73"/>
      <c r="Q1400" s="73"/>
      <c r="R1400" s="73"/>
      <c r="S1400" s="73"/>
      <c r="T1400" s="73"/>
      <c r="U1400" s="73"/>
      <c r="V1400" s="73"/>
      <c r="W1400" s="73"/>
      <c r="GL1400" s="73"/>
      <c r="GM1400" s="73"/>
      <c r="GN1400" s="73"/>
      <c r="GO1400" s="73"/>
      <c r="GP1400" s="73"/>
      <c r="GQ1400" s="73"/>
      <c r="GR1400" s="73"/>
      <c r="GS1400" s="73"/>
      <c r="GT1400" s="73"/>
      <c r="GU1400" s="73"/>
      <c r="GV1400" s="73"/>
      <c r="GW1400" s="73"/>
      <c r="GX1400" s="73"/>
      <c r="GY1400" s="73"/>
      <c r="GZ1400" s="73"/>
      <c r="HA1400" s="73"/>
      <c r="HB1400" s="73"/>
      <c r="HC1400" s="73"/>
      <c r="HD1400" s="73"/>
      <c r="HE1400" s="73"/>
      <c r="HF1400" s="73"/>
      <c r="HG1400" s="73"/>
      <c r="HH1400" s="73"/>
      <c r="HI1400" s="73"/>
      <c r="HJ1400" s="73"/>
      <c r="HK1400" s="73"/>
      <c r="HL1400" s="73"/>
      <c r="HM1400" s="73"/>
      <c r="HN1400" s="73"/>
      <c r="HO1400" s="73"/>
      <c r="HP1400" s="73"/>
      <c r="HQ1400" s="73"/>
      <c r="HR1400" s="73"/>
      <c r="HS1400" s="73"/>
      <c r="HT1400" s="73"/>
      <c r="HU1400" s="73"/>
      <c r="HV1400" s="73"/>
      <c r="HW1400" s="73"/>
      <c r="HX1400" s="73"/>
      <c r="HY1400" s="73"/>
      <c r="HZ1400" s="73"/>
      <c r="IA1400" s="73"/>
      <c r="IB1400" s="73"/>
      <c r="IC1400" s="73"/>
      <c r="ID1400" s="73"/>
      <c r="IE1400" s="73"/>
      <c r="IF1400" s="73"/>
      <c r="IG1400" s="73"/>
      <c r="IH1400" s="73"/>
      <c r="II1400" s="73"/>
      <c r="IJ1400" s="73"/>
      <c r="IK1400" s="73"/>
      <c r="IL1400" s="73"/>
      <c r="IM1400" s="73"/>
      <c r="IN1400" s="73"/>
      <c r="IO1400" s="73"/>
      <c r="IP1400" s="73"/>
      <c r="IQ1400" s="73"/>
      <c r="IR1400" s="73"/>
      <c r="IS1400" s="73"/>
      <c r="IT1400" s="73"/>
      <c r="IU1400" s="73"/>
      <c r="IV1400" s="73"/>
      <c r="IW1400" s="73"/>
      <c r="IX1400" s="73"/>
      <c r="IY1400" s="73"/>
      <c r="IZ1400" s="73"/>
      <c r="JA1400" s="73"/>
      <c r="JB1400" s="73"/>
      <c r="JC1400" s="73"/>
    </row>
    <row r="1401" spans="2:263" s="72" customFormat="1">
      <c r="B1401" s="73"/>
      <c r="C1401" s="73"/>
      <c r="D1401" s="73"/>
      <c r="E1401" s="73"/>
      <c r="F1401" s="73"/>
      <c r="G1401" s="73"/>
      <c r="H1401" s="73"/>
      <c r="I1401" s="73"/>
      <c r="J1401" s="73"/>
      <c r="K1401" s="73"/>
      <c r="L1401" s="73"/>
      <c r="M1401" s="73"/>
      <c r="N1401" s="73"/>
      <c r="O1401" s="73"/>
      <c r="P1401" s="73"/>
      <c r="Q1401" s="73"/>
      <c r="R1401" s="73"/>
      <c r="S1401" s="73"/>
      <c r="T1401" s="73"/>
      <c r="U1401" s="73"/>
      <c r="V1401" s="73"/>
      <c r="W1401" s="73"/>
      <c r="GL1401" s="73"/>
      <c r="GM1401" s="73"/>
      <c r="GN1401" s="73"/>
      <c r="GO1401" s="73"/>
      <c r="GP1401" s="73"/>
      <c r="GQ1401" s="73"/>
      <c r="GR1401" s="73"/>
      <c r="GS1401" s="73"/>
      <c r="GT1401" s="73"/>
      <c r="GU1401" s="73"/>
      <c r="GV1401" s="73"/>
      <c r="GW1401" s="73"/>
      <c r="GX1401" s="73"/>
      <c r="GY1401" s="73"/>
      <c r="GZ1401" s="73"/>
      <c r="HA1401" s="73"/>
      <c r="HB1401" s="73"/>
      <c r="HC1401" s="73"/>
      <c r="HD1401" s="73"/>
      <c r="HE1401" s="73"/>
      <c r="HF1401" s="73"/>
      <c r="HG1401" s="73"/>
      <c r="HH1401" s="73"/>
      <c r="HI1401" s="73"/>
      <c r="HJ1401" s="73"/>
      <c r="HK1401" s="73"/>
      <c r="HL1401" s="73"/>
      <c r="HM1401" s="73"/>
      <c r="HN1401" s="73"/>
      <c r="HO1401" s="73"/>
      <c r="HP1401" s="73"/>
      <c r="HQ1401" s="73"/>
      <c r="HR1401" s="73"/>
      <c r="HS1401" s="73"/>
      <c r="HT1401" s="73"/>
      <c r="HU1401" s="73"/>
      <c r="HV1401" s="73"/>
      <c r="HW1401" s="73"/>
      <c r="HX1401" s="73"/>
      <c r="HY1401" s="73"/>
      <c r="HZ1401" s="73"/>
      <c r="IA1401" s="73"/>
      <c r="IB1401" s="73"/>
      <c r="IC1401" s="73"/>
      <c r="ID1401" s="73"/>
      <c r="IE1401" s="73"/>
      <c r="IF1401" s="73"/>
      <c r="IG1401" s="73"/>
      <c r="IH1401" s="73"/>
      <c r="II1401" s="73"/>
      <c r="IJ1401" s="73"/>
      <c r="IK1401" s="73"/>
      <c r="IL1401" s="73"/>
      <c r="IM1401" s="73"/>
      <c r="IN1401" s="73"/>
      <c r="IO1401" s="73"/>
      <c r="IP1401" s="73"/>
      <c r="IQ1401" s="73"/>
      <c r="IR1401" s="73"/>
      <c r="IS1401" s="73"/>
      <c r="IT1401" s="73"/>
      <c r="IU1401" s="73"/>
      <c r="IV1401" s="73"/>
      <c r="IW1401" s="73"/>
      <c r="IX1401" s="73"/>
      <c r="IY1401" s="73"/>
      <c r="IZ1401" s="73"/>
      <c r="JA1401" s="73"/>
      <c r="JB1401" s="73"/>
      <c r="JC1401" s="73"/>
    </row>
    <row r="1402" spans="2:263" s="72" customFormat="1">
      <c r="B1402" s="73"/>
      <c r="C1402" s="73"/>
      <c r="D1402" s="73"/>
      <c r="E1402" s="73"/>
      <c r="F1402" s="73"/>
      <c r="G1402" s="73"/>
      <c r="H1402" s="73"/>
      <c r="I1402" s="73"/>
      <c r="J1402" s="73"/>
      <c r="K1402" s="73"/>
      <c r="L1402" s="73"/>
      <c r="M1402" s="73"/>
      <c r="N1402" s="73"/>
      <c r="O1402" s="73"/>
      <c r="P1402" s="73"/>
      <c r="Q1402" s="73"/>
      <c r="R1402" s="73"/>
      <c r="S1402" s="73"/>
      <c r="T1402" s="73"/>
      <c r="U1402" s="73"/>
      <c r="V1402" s="73"/>
      <c r="W1402" s="73"/>
      <c r="GL1402" s="73"/>
      <c r="GM1402" s="73"/>
      <c r="GN1402" s="73"/>
      <c r="GO1402" s="73"/>
      <c r="GP1402" s="73"/>
      <c r="GQ1402" s="73"/>
      <c r="GR1402" s="73"/>
      <c r="GS1402" s="73"/>
      <c r="GT1402" s="73"/>
      <c r="GU1402" s="73"/>
      <c r="GV1402" s="73"/>
      <c r="GW1402" s="73"/>
      <c r="GX1402" s="73"/>
      <c r="GY1402" s="73"/>
      <c r="GZ1402" s="73"/>
      <c r="HA1402" s="73"/>
      <c r="HB1402" s="73"/>
      <c r="HC1402" s="73"/>
      <c r="HD1402" s="73"/>
      <c r="HE1402" s="73"/>
      <c r="HF1402" s="73"/>
      <c r="HG1402" s="73"/>
      <c r="HH1402" s="73"/>
      <c r="HI1402" s="73"/>
      <c r="HJ1402" s="73"/>
      <c r="HK1402" s="73"/>
      <c r="HL1402" s="73"/>
      <c r="HM1402" s="73"/>
      <c r="HN1402" s="73"/>
      <c r="HO1402" s="73"/>
      <c r="HP1402" s="73"/>
      <c r="HQ1402" s="73"/>
      <c r="HR1402" s="73"/>
      <c r="HS1402" s="73"/>
      <c r="HT1402" s="73"/>
      <c r="HU1402" s="73"/>
      <c r="HV1402" s="73"/>
      <c r="HW1402" s="73"/>
      <c r="HX1402" s="73"/>
      <c r="HY1402" s="73"/>
      <c r="HZ1402" s="73"/>
      <c r="IA1402" s="73"/>
      <c r="IB1402" s="73"/>
      <c r="IC1402" s="73"/>
      <c r="ID1402" s="73"/>
      <c r="IE1402" s="73"/>
      <c r="IF1402" s="73"/>
      <c r="IG1402" s="73"/>
      <c r="IH1402" s="73"/>
      <c r="II1402" s="73"/>
      <c r="IJ1402" s="73"/>
      <c r="IK1402" s="73"/>
      <c r="IL1402" s="73"/>
      <c r="IM1402" s="73"/>
      <c r="IN1402" s="73"/>
      <c r="IO1402" s="73"/>
      <c r="IP1402" s="73"/>
      <c r="IQ1402" s="73"/>
      <c r="IR1402" s="73"/>
      <c r="IS1402" s="73"/>
      <c r="IT1402" s="73"/>
      <c r="IU1402" s="73"/>
      <c r="IV1402" s="73"/>
      <c r="IW1402" s="73"/>
      <c r="IX1402" s="73"/>
      <c r="IY1402" s="73"/>
      <c r="IZ1402" s="73"/>
      <c r="JA1402" s="73"/>
      <c r="JB1402" s="73"/>
      <c r="JC1402" s="73"/>
    </row>
    <row r="1403" spans="2:263" s="72" customFormat="1">
      <c r="B1403" s="73"/>
      <c r="C1403" s="73"/>
      <c r="D1403" s="73"/>
      <c r="E1403" s="73"/>
      <c r="F1403" s="73"/>
      <c r="G1403" s="73"/>
      <c r="H1403" s="73"/>
      <c r="I1403" s="73"/>
      <c r="J1403" s="73"/>
      <c r="K1403" s="73"/>
      <c r="L1403" s="73"/>
      <c r="M1403" s="73"/>
      <c r="N1403" s="73"/>
      <c r="O1403" s="73"/>
      <c r="P1403" s="73"/>
      <c r="Q1403" s="73"/>
      <c r="R1403" s="73"/>
      <c r="S1403" s="73"/>
      <c r="T1403" s="73"/>
      <c r="U1403" s="73"/>
      <c r="V1403" s="73"/>
      <c r="W1403" s="73"/>
      <c r="GL1403" s="73"/>
      <c r="GM1403" s="73"/>
      <c r="GN1403" s="73"/>
      <c r="GO1403" s="73"/>
      <c r="GP1403" s="73"/>
      <c r="GQ1403" s="73"/>
      <c r="GR1403" s="73"/>
      <c r="GS1403" s="73"/>
      <c r="GT1403" s="73"/>
      <c r="GU1403" s="73"/>
      <c r="GV1403" s="73"/>
      <c r="GW1403" s="73"/>
      <c r="GX1403" s="73"/>
      <c r="GY1403" s="73"/>
      <c r="GZ1403" s="73"/>
      <c r="HA1403" s="73"/>
      <c r="HB1403" s="73"/>
      <c r="HC1403" s="73"/>
      <c r="HD1403" s="73"/>
      <c r="HE1403" s="73"/>
      <c r="HF1403" s="73"/>
      <c r="HG1403" s="73"/>
      <c r="HH1403" s="73"/>
      <c r="HI1403" s="73"/>
      <c r="HJ1403" s="73"/>
      <c r="HK1403" s="73"/>
      <c r="HL1403" s="73"/>
      <c r="HM1403" s="73"/>
      <c r="HN1403" s="73"/>
      <c r="HO1403" s="73"/>
      <c r="HP1403" s="73"/>
      <c r="HQ1403" s="73"/>
      <c r="HR1403" s="73"/>
      <c r="HS1403" s="73"/>
      <c r="HT1403" s="73"/>
      <c r="HU1403" s="73"/>
      <c r="HV1403" s="73"/>
      <c r="HW1403" s="73"/>
      <c r="HX1403" s="73"/>
      <c r="HY1403" s="73"/>
      <c r="HZ1403" s="73"/>
      <c r="IA1403" s="73"/>
      <c r="IB1403" s="73"/>
      <c r="IC1403" s="73"/>
      <c r="ID1403" s="73"/>
      <c r="IE1403" s="73"/>
      <c r="IF1403" s="73"/>
      <c r="IG1403" s="73"/>
      <c r="IH1403" s="73"/>
      <c r="II1403" s="73"/>
      <c r="IJ1403" s="73"/>
      <c r="IK1403" s="73"/>
      <c r="IL1403" s="73"/>
      <c r="IM1403" s="73"/>
      <c r="IN1403" s="73"/>
      <c r="IO1403" s="73"/>
      <c r="IP1403" s="73"/>
      <c r="IQ1403" s="73"/>
      <c r="IR1403" s="73"/>
      <c r="IS1403" s="73"/>
      <c r="IT1403" s="73"/>
      <c r="IU1403" s="73"/>
      <c r="IV1403" s="73"/>
      <c r="IW1403" s="73"/>
      <c r="IX1403" s="73"/>
      <c r="IY1403" s="73"/>
      <c r="IZ1403" s="73"/>
      <c r="JA1403" s="73"/>
      <c r="JB1403" s="73"/>
      <c r="JC1403" s="73"/>
    </row>
    <row r="1404" spans="2:263" s="72" customFormat="1">
      <c r="B1404" s="73"/>
      <c r="C1404" s="73"/>
      <c r="D1404" s="73"/>
      <c r="E1404" s="73"/>
      <c r="F1404" s="73"/>
      <c r="G1404" s="73"/>
      <c r="H1404" s="73"/>
      <c r="I1404" s="73"/>
      <c r="J1404" s="73"/>
      <c r="K1404" s="73"/>
      <c r="L1404" s="73"/>
      <c r="M1404" s="73"/>
      <c r="N1404" s="73"/>
      <c r="O1404" s="73"/>
      <c r="P1404" s="73"/>
      <c r="Q1404" s="73"/>
      <c r="R1404" s="73"/>
      <c r="S1404" s="73"/>
      <c r="T1404" s="73"/>
      <c r="U1404" s="73"/>
      <c r="V1404" s="73"/>
      <c r="W1404" s="73"/>
      <c r="GL1404" s="73"/>
      <c r="GM1404" s="73"/>
      <c r="GN1404" s="73"/>
      <c r="GO1404" s="73"/>
      <c r="GP1404" s="73"/>
      <c r="GQ1404" s="73"/>
      <c r="GR1404" s="73"/>
      <c r="GS1404" s="73"/>
      <c r="GT1404" s="73"/>
      <c r="GU1404" s="73"/>
      <c r="GV1404" s="73"/>
      <c r="GW1404" s="73"/>
      <c r="GX1404" s="73"/>
      <c r="GY1404" s="73"/>
      <c r="GZ1404" s="73"/>
      <c r="HA1404" s="73"/>
      <c r="HB1404" s="73"/>
      <c r="HC1404" s="73"/>
      <c r="HD1404" s="73"/>
      <c r="HE1404" s="73"/>
      <c r="HF1404" s="73"/>
      <c r="HG1404" s="73"/>
      <c r="HH1404" s="73"/>
      <c r="HI1404" s="73"/>
      <c r="HJ1404" s="73"/>
      <c r="HK1404" s="73"/>
      <c r="HL1404" s="73"/>
      <c r="HM1404" s="73"/>
      <c r="HN1404" s="73"/>
      <c r="HO1404" s="73"/>
      <c r="HP1404" s="73"/>
      <c r="HQ1404" s="73"/>
      <c r="HR1404" s="73"/>
      <c r="HS1404" s="73"/>
      <c r="HT1404" s="73"/>
      <c r="HU1404" s="73"/>
      <c r="HV1404" s="73"/>
      <c r="HW1404" s="73"/>
      <c r="HX1404" s="73"/>
      <c r="HY1404" s="73"/>
      <c r="HZ1404" s="73"/>
      <c r="IA1404" s="73"/>
      <c r="IB1404" s="73"/>
      <c r="IC1404" s="73"/>
      <c r="ID1404" s="73"/>
      <c r="IE1404" s="73"/>
      <c r="IF1404" s="73"/>
      <c r="IG1404" s="73"/>
      <c r="IH1404" s="73"/>
      <c r="II1404" s="73"/>
      <c r="IJ1404" s="73"/>
      <c r="IK1404" s="73"/>
      <c r="IL1404" s="73"/>
      <c r="IM1404" s="73"/>
      <c r="IN1404" s="73"/>
      <c r="IO1404" s="73"/>
      <c r="IP1404" s="73"/>
      <c r="IQ1404" s="73"/>
      <c r="IR1404" s="73"/>
      <c r="IS1404" s="73"/>
      <c r="IT1404" s="73"/>
      <c r="IU1404" s="73"/>
      <c r="IV1404" s="73"/>
      <c r="IW1404" s="73"/>
      <c r="IX1404" s="73"/>
      <c r="IY1404" s="73"/>
      <c r="IZ1404" s="73"/>
      <c r="JA1404" s="73"/>
      <c r="JB1404" s="73"/>
      <c r="JC1404" s="73"/>
    </row>
    <row r="1405" spans="2:263" s="72" customFormat="1">
      <c r="B1405" s="73"/>
      <c r="C1405" s="73"/>
      <c r="D1405" s="73"/>
      <c r="E1405" s="73"/>
      <c r="F1405" s="73"/>
      <c r="G1405" s="73"/>
      <c r="H1405" s="73"/>
      <c r="I1405" s="73"/>
      <c r="J1405" s="73"/>
      <c r="K1405" s="73"/>
      <c r="L1405" s="73"/>
      <c r="M1405" s="73"/>
      <c r="N1405" s="73"/>
      <c r="O1405" s="73"/>
      <c r="P1405" s="73"/>
      <c r="Q1405" s="73"/>
      <c r="R1405" s="73"/>
      <c r="S1405" s="73"/>
      <c r="T1405" s="73"/>
      <c r="U1405" s="73"/>
      <c r="V1405" s="73"/>
      <c r="W1405" s="73"/>
      <c r="GL1405" s="73"/>
      <c r="GM1405" s="73"/>
      <c r="GN1405" s="73"/>
      <c r="GO1405" s="73"/>
      <c r="GP1405" s="73"/>
      <c r="GQ1405" s="73"/>
      <c r="GR1405" s="73"/>
      <c r="GS1405" s="73"/>
      <c r="GT1405" s="73"/>
      <c r="GU1405" s="73"/>
      <c r="GV1405" s="73"/>
      <c r="GW1405" s="73"/>
      <c r="GX1405" s="73"/>
      <c r="GY1405" s="73"/>
      <c r="GZ1405" s="73"/>
      <c r="HA1405" s="73"/>
      <c r="HB1405" s="73"/>
      <c r="HC1405" s="73"/>
      <c r="HD1405" s="73"/>
      <c r="HE1405" s="73"/>
      <c r="HF1405" s="73"/>
      <c r="HG1405" s="73"/>
      <c r="HH1405" s="73"/>
      <c r="HI1405" s="73"/>
      <c r="HJ1405" s="73"/>
      <c r="HK1405" s="73"/>
      <c r="HL1405" s="73"/>
      <c r="HM1405" s="73"/>
      <c r="HN1405" s="73"/>
      <c r="HO1405" s="73"/>
      <c r="HP1405" s="73"/>
      <c r="HQ1405" s="73"/>
      <c r="HR1405" s="73"/>
      <c r="HS1405" s="73"/>
      <c r="HT1405" s="73"/>
      <c r="HU1405" s="73"/>
      <c r="HV1405" s="73"/>
      <c r="HW1405" s="73"/>
      <c r="HX1405" s="73"/>
      <c r="HY1405" s="73"/>
      <c r="HZ1405" s="73"/>
      <c r="IA1405" s="73"/>
      <c r="IB1405" s="73"/>
      <c r="IC1405" s="73"/>
      <c r="ID1405" s="73"/>
      <c r="IE1405" s="73"/>
      <c r="IF1405" s="73"/>
      <c r="IG1405" s="73"/>
      <c r="IH1405" s="73"/>
      <c r="II1405" s="73"/>
      <c r="IJ1405" s="73"/>
      <c r="IK1405" s="73"/>
      <c r="IL1405" s="73"/>
      <c r="IM1405" s="73"/>
      <c r="IN1405" s="73"/>
      <c r="IO1405" s="73"/>
      <c r="IP1405" s="73"/>
      <c r="IQ1405" s="73"/>
      <c r="IR1405" s="73"/>
      <c r="IS1405" s="73"/>
      <c r="IT1405" s="73"/>
      <c r="IU1405" s="73"/>
      <c r="IV1405" s="73"/>
      <c r="IW1405" s="73"/>
      <c r="IX1405" s="73"/>
      <c r="IY1405" s="73"/>
      <c r="IZ1405" s="73"/>
      <c r="JA1405" s="73"/>
      <c r="JB1405" s="73"/>
      <c r="JC1405" s="73"/>
    </row>
    <row r="1406" spans="2:263" s="72" customFormat="1">
      <c r="B1406" s="73"/>
      <c r="C1406" s="73"/>
      <c r="D1406" s="73"/>
      <c r="E1406" s="73"/>
      <c r="F1406" s="73"/>
      <c r="G1406" s="73"/>
      <c r="H1406" s="73"/>
      <c r="I1406" s="73"/>
      <c r="J1406" s="73"/>
      <c r="K1406" s="73"/>
      <c r="L1406" s="73"/>
      <c r="M1406" s="73"/>
      <c r="N1406" s="73"/>
      <c r="O1406" s="73"/>
      <c r="P1406" s="73"/>
      <c r="Q1406" s="73"/>
      <c r="R1406" s="73"/>
      <c r="S1406" s="73"/>
      <c r="T1406" s="73"/>
      <c r="U1406" s="73"/>
      <c r="V1406" s="73"/>
      <c r="W1406" s="73"/>
      <c r="GL1406" s="73"/>
      <c r="GM1406" s="73"/>
      <c r="GN1406" s="73"/>
      <c r="GO1406" s="73"/>
      <c r="GP1406" s="73"/>
      <c r="GQ1406" s="73"/>
      <c r="GR1406" s="73"/>
      <c r="GS1406" s="73"/>
      <c r="GT1406" s="73"/>
      <c r="GU1406" s="73"/>
      <c r="GV1406" s="73"/>
      <c r="GW1406" s="73"/>
      <c r="GX1406" s="73"/>
      <c r="GY1406" s="73"/>
      <c r="GZ1406" s="73"/>
      <c r="HA1406" s="73"/>
      <c r="HB1406" s="73"/>
      <c r="HC1406" s="73"/>
      <c r="HD1406" s="73"/>
      <c r="HE1406" s="73"/>
      <c r="HF1406" s="73"/>
      <c r="HG1406" s="73"/>
      <c r="HH1406" s="73"/>
      <c r="HI1406" s="73"/>
      <c r="HJ1406" s="73"/>
      <c r="HK1406" s="73"/>
      <c r="HL1406" s="73"/>
      <c r="HM1406" s="73"/>
      <c r="HN1406" s="73"/>
      <c r="HO1406" s="73"/>
      <c r="HP1406" s="73"/>
      <c r="HQ1406" s="73"/>
      <c r="HR1406" s="73"/>
      <c r="HS1406" s="73"/>
      <c r="HT1406" s="73"/>
      <c r="HU1406" s="73"/>
      <c r="HV1406" s="73"/>
      <c r="HW1406" s="73"/>
      <c r="HX1406" s="73"/>
      <c r="HY1406" s="73"/>
      <c r="HZ1406" s="73"/>
      <c r="IA1406" s="73"/>
      <c r="IB1406" s="73"/>
      <c r="IC1406" s="73"/>
      <c r="ID1406" s="73"/>
      <c r="IE1406" s="73"/>
      <c r="IF1406" s="73"/>
      <c r="IG1406" s="73"/>
      <c r="IH1406" s="73"/>
      <c r="II1406" s="73"/>
      <c r="IJ1406" s="73"/>
      <c r="IK1406" s="73"/>
      <c r="IL1406" s="73"/>
      <c r="IM1406" s="73"/>
      <c r="IN1406" s="73"/>
      <c r="IO1406" s="73"/>
      <c r="IP1406" s="73"/>
      <c r="IQ1406" s="73"/>
      <c r="IR1406" s="73"/>
      <c r="IS1406" s="73"/>
      <c r="IT1406" s="73"/>
      <c r="IU1406" s="73"/>
      <c r="IV1406" s="73"/>
      <c r="IW1406" s="73"/>
      <c r="IX1406" s="73"/>
      <c r="IY1406" s="73"/>
      <c r="IZ1406" s="73"/>
      <c r="JA1406" s="73"/>
      <c r="JB1406" s="73"/>
      <c r="JC1406" s="73"/>
    </row>
    <row r="1407" spans="2:263" s="72" customFormat="1">
      <c r="B1407" s="73"/>
      <c r="C1407" s="73"/>
      <c r="D1407" s="73"/>
      <c r="E1407" s="73"/>
      <c r="F1407" s="73"/>
      <c r="G1407" s="73"/>
      <c r="H1407" s="73"/>
      <c r="I1407" s="73"/>
      <c r="J1407" s="73"/>
      <c r="K1407" s="73"/>
      <c r="L1407" s="73"/>
      <c r="M1407" s="73"/>
      <c r="N1407" s="73"/>
      <c r="O1407" s="73"/>
      <c r="P1407" s="73"/>
      <c r="Q1407" s="73"/>
      <c r="R1407" s="73"/>
      <c r="S1407" s="73"/>
      <c r="T1407" s="73"/>
      <c r="U1407" s="73"/>
      <c r="V1407" s="73"/>
      <c r="W1407" s="73"/>
      <c r="GL1407" s="73"/>
      <c r="GM1407" s="73"/>
      <c r="GN1407" s="73"/>
      <c r="GO1407" s="73"/>
      <c r="GP1407" s="73"/>
      <c r="GQ1407" s="73"/>
      <c r="GR1407" s="73"/>
      <c r="GS1407" s="73"/>
      <c r="GT1407" s="73"/>
      <c r="GU1407" s="73"/>
      <c r="GV1407" s="73"/>
      <c r="GW1407" s="73"/>
      <c r="GX1407" s="73"/>
      <c r="GY1407" s="73"/>
      <c r="GZ1407" s="73"/>
      <c r="HA1407" s="73"/>
      <c r="HB1407" s="73"/>
      <c r="HC1407" s="73"/>
      <c r="HD1407" s="73"/>
      <c r="HE1407" s="73"/>
      <c r="HF1407" s="73"/>
      <c r="HG1407" s="73"/>
      <c r="HH1407" s="73"/>
      <c r="HI1407" s="73"/>
      <c r="HJ1407" s="73"/>
      <c r="HK1407" s="73"/>
      <c r="HL1407" s="73"/>
      <c r="HM1407" s="73"/>
      <c r="HN1407" s="73"/>
      <c r="HO1407" s="73"/>
      <c r="HP1407" s="73"/>
      <c r="HQ1407" s="73"/>
      <c r="HR1407" s="73"/>
      <c r="HS1407" s="73"/>
      <c r="HT1407" s="73"/>
      <c r="HU1407" s="73"/>
      <c r="HV1407" s="73"/>
      <c r="HW1407" s="73"/>
      <c r="HX1407" s="73"/>
      <c r="HY1407" s="73"/>
      <c r="HZ1407" s="73"/>
      <c r="IA1407" s="73"/>
      <c r="IB1407" s="73"/>
      <c r="IC1407" s="73"/>
      <c r="ID1407" s="73"/>
      <c r="IE1407" s="73"/>
      <c r="IF1407" s="73"/>
      <c r="IG1407" s="73"/>
      <c r="IH1407" s="73"/>
      <c r="II1407" s="73"/>
      <c r="IJ1407" s="73"/>
      <c r="IK1407" s="73"/>
      <c r="IL1407" s="73"/>
      <c r="IM1407" s="73"/>
      <c r="IN1407" s="73"/>
      <c r="IO1407" s="73"/>
      <c r="IP1407" s="73"/>
      <c r="IQ1407" s="73"/>
      <c r="IR1407" s="73"/>
      <c r="IS1407" s="73"/>
      <c r="IT1407" s="73"/>
      <c r="IU1407" s="73"/>
      <c r="IV1407" s="73"/>
      <c r="IW1407" s="73"/>
      <c r="IX1407" s="73"/>
      <c r="IY1407" s="73"/>
      <c r="IZ1407" s="73"/>
      <c r="JA1407" s="73"/>
      <c r="JB1407" s="73"/>
      <c r="JC1407" s="73"/>
    </row>
    <row r="1408" spans="2:263" s="72" customFormat="1">
      <c r="B1408" s="73"/>
      <c r="C1408" s="73"/>
      <c r="D1408" s="73"/>
      <c r="E1408" s="73"/>
      <c r="F1408" s="73"/>
      <c r="G1408" s="73"/>
      <c r="H1408" s="73"/>
      <c r="I1408" s="73"/>
      <c r="J1408" s="73"/>
      <c r="K1408" s="73"/>
      <c r="L1408" s="73"/>
      <c r="M1408" s="73"/>
      <c r="N1408" s="73"/>
      <c r="O1408" s="73"/>
      <c r="P1408" s="73"/>
      <c r="Q1408" s="73"/>
      <c r="R1408" s="73"/>
      <c r="S1408" s="73"/>
      <c r="T1408" s="73"/>
      <c r="U1408" s="73"/>
      <c r="V1408" s="73"/>
      <c r="W1408" s="73"/>
      <c r="GL1408" s="73"/>
      <c r="GM1408" s="73"/>
      <c r="GN1408" s="73"/>
      <c r="GO1408" s="73"/>
      <c r="GP1408" s="73"/>
      <c r="GQ1408" s="73"/>
      <c r="GR1408" s="73"/>
      <c r="GS1408" s="73"/>
      <c r="GT1408" s="73"/>
      <c r="GU1408" s="73"/>
      <c r="GV1408" s="73"/>
      <c r="GW1408" s="73"/>
      <c r="GX1408" s="73"/>
      <c r="GY1408" s="73"/>
      <c r="GZ1408" s="73"/>
      <c r="HA1408" s="73"/>
      <c r="HB1408" s="73"/>
      <c r="HC1408" s="73"/>
      <c r="HD1408" s="73"/>
      <c r="HE1408" s="73"/>
      <c r="HF1408" s="73"/>
      <c r="HG1408" s="73"/>
      <c r="HH1408" s="73"/>
      <c r="HI1408" s="73"/>
      <c r="HJ1408" s="73"/>
      <c r="HK1408" s="73"/>
      <c r="HL1408" s="73"/>
      <c r="HM1408" s="73"/>
      <c r="HN1408" s="73"/>
      <c r="HO1408" s="73"/>
      <c r="HP1408" s="73"/>
      <c r="HQ1408" s="73"/>
      <c r="HR1408" s="73"/>
      <c r="HS1408" s="73"/>
      <c r="HT1408" s="73"/>
      <c r="HU1408" s="73"/>
      <c r="HV1408" s="73"/>
      <c r="HW1408" s="73"/>
      <c r="HX1408" s="73"/>
      <c r="HY1408" s="73"/>
      <c r="HZ1408" s="73"/>
      <c r="IA1408" s="73"/>
      <c r="IB1408" s="73"/>
      <c r="IC1408" s="73"/>
      <c r="ID1408" s="73"/>
      <c r="IE1408" s="73"/>
      <c r="IF1408" s="73"/>
      <c r="IG1408" s="73"/>
      <c r="IH1408" s="73"/>
      <c r="II1408" s="73"/>
      <c r="IJ1408" s="73"/>
      <c r="IK1408" s="73"/>
      <c r="IL1408" s="73"/>
      <c r="IM1408" s="73"/>
      <c r="IN1408" s="73"/>
      <c r="IO1408" s="73"/>
      <c r="IP1408" s="73"/>
      <c r="IQ1408" s="73"/>
      <c r="IR1408" s="73"/>
      <c r="IS1408" s="73"/>
      <c r="IT1408" s="73"/>
      <c r="IU1408" s="73"/>
      <c r="IV1408" s="73"/>
      <c r="IW1408" s="73"/>
      <c r="IX1408" s="73"/>
      <c r="IY1408" s="73"/>
      <c r="IZ1408" s="73"/>
      <c r="JA1408" s="73"/>
      <c r="JB1408" s="73"/>
      <c r="JC1408" s="73"/>
    </row>
    <row r="1409" spans="2:263" s="72" customFormat="1">
      <c r="B1409" s="73"/>
      <c r="C1409" s="73"/>
      <c r="D1409" s="73"/>
      <c r="E1409" s="73"/>
      <c r="F1409" s="73"/>
      <c r="G1409" s="73"/>
      <c r="H1409" s="73"/>
      <c r="I1409" s="73"/>
      <c r="J1409" s="73"/>
      <c r="K1409" s="73"/>
      <c r="L1409" s="73"/>
      <c r="M1409" s="73"/>
      <c r="N1409" s="73"/>
      <c r="O1409" s="73"/>
      <c r="P1409" s="73"/>
      <c r="Q1409" s="73"/>
      <c r="R1409" s="73"/>
      <c r="S1409" s="73"/>
      <c r="T1409" s="73"/>
      <c r="U1409" s="73"/>
      <c r="V1409" s="73"/>
      <c r="W1409" s="73"/>
      <c r="GL1409" s="73"/>
      <c r="GM1409" s="73"/>
      <c r="GN1409" s="73"/>
      <c r="GO1409" s="73"/>
      <c r="GP1409" s="73"/>
      <c r="GQ1409" s="73"/>
      <c r="GR1409" s="73"/>
      <c r="GS1409" s="73"/>
      <c r="GT1409" s="73"/>
      <c r="GU1409" s="73"/>
      <c r="GV1409" s="73"/>
      <c r="GW1409" s="73"/>
      <c r="GX1409" s="73"/>
      <c r="GY1409" s="73"/>
      <c r="GZ1409" s="73"/>
      <c r="HA1409" s="73"/>
      <c r="HB1409" s="73"/>
      <c r="HC1409" s="73"/>
      <c r="HD1409" s="73"/>
      <c r="HE1409" s="73"/>
      <c r="HF1409" s="73"/>
      <c r="HG1409" s="73"/>
      <c r="HH1409" s="73"/>
      <c r="HI1409" s="73"/>
      <c r="HJ1409" s="73"/>
      <c r="HK1409" s="73"/>
      <c r="HL1409" s="73"/>
      <c r="HM1409" s="73"/>
      <c r="HN1409" s="73"/>
      <c r="HO1409" s="73"/>
      <c r="HP1409" s="73"/>
      <c r="HQ1409" s="73"/>
      <c r="HR1409" s="73"/>
      <c r="HS1409" s="73"/>
      <c r="HT1409" s="73"/>
      <c r="HU1409" s="73"/>
      <c r="HV1409" s="73"/>
      <c r="HW1409" s="73"/>
      <c r="HX1409" s="73"/>
      <c r="HY1409" s="73"/>
      <c r="HZ1409" s="73"/>
      <c r="IA1409" s="73"/>
      <c r="IB1409" s="73"/>
      <c r="IC1409" s="73"/>
      <c r="ID1409" s="73"/>
      <c r="IE1409" s="73"/>
      <c r="IF1409" s="73"/>
      <c r="IG1409" s="73"/>
      <c r="IH1409" s="73"/>
      <c r="II1409" s="73"/>
      <c r="IJ1409" s="73"/>
      <c r="IK1409" s="73"/>
      <c r="IL1409" s="73"/>
      <c r="IM1409" s="73"/>
      <c r="IN1409" s="73"/>
      <c r="IO1409" s="73"/>
      <c r="IP1409" s="73"/>
      <c r="IQ1409" s="73"/>
      <c r="IR1409" s="73"/>
      <c r="IS1409" s="73"/>
      <c r="IT1409" s="73"/>
      <c r="IU1409" s="73"/>
      <c r="IV1409" s="73"/>
      <c r="IW1409" s="73"/>
      <c r="IX1409" s="73"/>
      <c r="IY1409" s="73"/>
      <c r="IZ1409" s="73"/>
      <c r="JA1409" s="73"/>
      <c r="JB1409" s="73"/>
      <c r="JC1409" s="73"/>
    </row>
    <row r="1410" spans="2:263" s="72" customFormat="1">
      <c r="B1410" s="73"/>
      <c r="C1410" s="73"/>
      <c r="D1410" s="73"/>
      <c r="E1410" s="73"/>
      <c r="F1410" s="73"/>
      <c r="G1410" s="73"/>
      <c r="H1410" s="73"/>
      <c r="I1410" s="73"/>
      <c r="J1410" s="73"/>
      <c r="K1410" s="73"/>
      <c r="L1410" s="73"/>
      <c r="M1410" s="73"/>
      <c r="N1410" s="73"/>
      <c r="O1410" s="73"/>
      <c r="P1410" s="73"/>
      <c r="Q1410" s="73"/>
      <c r="R1410" s="73"/>
      <c r="S1410" s="73"/>
      <c r="T1410" s="73"/>
      <c r="U1410" s="73"/>
      <c r="V1410" s="73"/>
      <c r="W1410" s="73"/>
      <c r="GL1410" s="73"/>
      <c r="GM1410" s="73"/>
      <c r="GN1410" s="73"/>
      <c r="GO1410" s="73"/>
      <c r="GP1410" s="73"/>
      <c r="GQ1410" s="73"/>
      <c r="GR1410" s="73"/>
      <c r="GS1410" s="73"/>
      <c r="GT1410" s="73"/>
      <c r="GU1410" s="73"/>
      <c r="GV1410" s="73"/>
      <c r="GW1410" s="73"/>
      <c r="GX1410" s="73"/>
      <c r="GY1410" s="73"/>
      <c r="GZ1410" s="73"/>
      <c r="HA1410" s="73"/>
      <c r="HB1410" s="73"/>
      <c r="HC1410" s="73"/>
      <c r="HD1410" s="73"/>
      <c r="HE1410" s="73"/>
      <c r="HF1410" s="73"/>
      <c r="HG1410" s="73"/>
      <c r="HH1410" s="73"/>
      <c r="HI1410" s="73"/>
      <c r="HJ1410" s="73"/>
      <c r="HK1410" s="73"/>
      <c r="HL1410" s="73"/>
      <c r="HM1410" s="73"/>
      <c r="HN1410" s="73"/>
      <c r="HO1410" s="73"/>
      <c r="HP1410" s="73"/>
      <c r="HQ1410" s="73"/>
      <c r="HR1410" s="73"/>
      <c r="HS1410" s="73"/>
      <c r="HT1410" s="73"/>
      <c r="HU1410" s="73"/>
      <c r="HV1410" s="73"/>
      <c r="HW1410" s="73"/>
      <c r="HX1410" s="73"/>
      <c r="HY1410" s="73"/>
      <c r="HZ1410" s="73"/>
      <c r="IA1410" s="73"/>
      <c r="IB1410" s="73"/>
      <c r="IC1410" s="73"/>
      <c r="ID1410" s="73"/>
      <c r="IE1410" s="73"/>
      <c r="IF1410" s="73"/>
      <c r="IG1410" s="73"/>
      <c r="IH1410" s="73"/>
      <c r="II1410" s="73"/>
      <c r="IJ1410" s="73"/>
      <c r="IK1410" s="73"/>
      <c r="IL1410" s="73"/>
      <c r="IM1410" s="73"/>
      <c r="IN1410" s="73"/>
      <c r="IO1410" s="73"/>
      <c r="IP1410" s="73"/>
      <c r="IQ1410" s="73"/>
      <c r="IR1410" s="73"/>
      <c r="IS1410" s="73"/>
      <c r="IT1410" s="73"/>
      <c r="IU1410" s="73"/>
      <c r="IV1410" s="73"/>
      <c r="IW1410" s="73"/>
      <c r="IX1410" s="73"/>
      <c r="IY1410" s="73"/>
      <c r="IZ1410" s="73"/>
      <c r="JA1410" s="73"/>
      <c r="JB1410" s="73"/>
      <c r="JC1410" s="73"/>
    </row>
    <row r="1411" spans="2:263" s="72" customFormat="1">
      <c r="B1411" s="73"/>
      <c r="C1411" s="73"/>
      <c r="D1411" s="73"/>
      <c r="E1411" s="73"/>
      <c r="F1411" s="73"/>
      <c r="G1411" s="73"/>
      <c r="H1411" s="73"/>
      <c r="I1411" s="73"/>
      <c r="J1411" s="73"/>
      <c r="K1411" s="73"/>
      <c r="L1411" s="73"/>
      <c r="M1411" s="73"/>
      <c r="N1411" s="73"/>
      <c r="O1411" s="73"/>
      <c r="P1411" s="73"/>
      <c r="Q1411" s="73"/>
      <c r="R1411" s="73"/>
      <c r="S1411" s="73"/>
      <c r="T1411" s="73"/>
      <c r="U1411" s="73"/>
      <c r="V1411" s="73"/>
      <c r="W1411" s="73"/>
      <c r="GL1411" s="73"/>
      <c r="GM1411" s="73"/>
      <c r="GN1411" s="73"/>
      <c r="GO1411" s="73"/>
      <c r="GP1411" s="73"/>
      <c r="GQ1411" s="73"/>
      <c r="GR1411" s="73"/>
      <c r="GS1411" s="73"/>
      <c r="GT1411" s="73"/>
      <c r="GU1411" s="73"/>
      <c r="GV1411" s="73"/>
      <c r="GW1411" s="73"/>
      <c r="GX1411" s="73"/>
      <c r="GY1411" s="73"/>
      <c r="GZ1411" s="73"/>
      <c r="HA1411" s="73"/>
      <c r="HB1411" s="73"/>
      <c r="HC1411" s="73"/>
      <c r="HD1411" s="73"/>
      <c r="HE1411" s="73"/>
      <c r="HF1411" s="73"/>
      <c r="HG1411" s="73"/>
      <c r="HH1411" s="73"/>
      <c r="HI1411" s="73"/>
      <c r="HJ1411" s="73"/>
      <c r="HK1411" s="73"/>
      <c r="HL1411" s="73"/>
      <c r="HM1411" s="73"/>
      <c r="HN1411" s="73"/>
      <c r="HO1411" s="73"/>
      <c r="HP1411" s="73"/>
      <c r="HQ1411" s="73"/>
      <c r="HR1411" s="73"/>
      <c r="HS1411" s="73"/>
      <c r="HT1411" s="73"/>
      <c r="HU1411" s="73"/>
      <c r="HV1411" s="73"/>
      <c r="HW1411" s="73"/>
      <c r="HX1411" s="73"/>
      <c r="HY1411" s="73"/>
      <c r="HZ1411" s="73"/>
      <c r="IA1411" s="73"/>
      <c r="IB1411" s="73"/>
      <c r="IC1411" s="73"/>
      <c r="ID1411" s="73"/>
      <c r="IE1411" s="73"/>
      <c r="IF1411" s="73"/>
      <c r="IG1411" s="73"/>
      <c r="IH1411" s="73"/>
      <c r="II1411" s="73"/>
      <c r="IJ1411" s="73"/>
      <c r="IK1411" s="73"/>
      <c r="IL1411" s="73"/>
      <c r="IM1411" s="73"/>
      <c r="IN1411" s="73"/>
      <c r="IO1411" s="73"/>
      <c r="IP1411" s="73"/>
      <c r="IQ1411" s="73"/>
      <c r="IR1411" s="73"/>
      <c r="IS1411" s="73"/>
      <c r="IT1411" s="73"/>
      <c r="IU1411" s="73"/>
      <c r="IV1411" s="73"/>
      <c r="IW1411" s="73"/>
      <c r="IX1411" s="73"/>
      <c r="IY1411" s="73"/>
      <c r="IZ1411" s="73"/>
      <c r="JA1411" s="73"/>
      <c r="JB1411" s="73"/>
      <c r="JC1411" s="73"/>
    </row>
    <row r="1412" spans="2:263" s="72" customFormat="1">
      <c r="B1412" s="73"/>
      <c r="C1412" s="73"/>
      <c r="D1412" s="73"/>
      <c r="E1412" s="73"/>
      <c r="F1412" s="73"/>
      <c r="G1412" s="73"/>
      <c r="H1412" s="73"/>
      <c r="I1412" s="73"/>
      <c r="J1412" s="73"/>
      <c r="K1412" s="73"/>
      <c r="L1412" s="73"/>
      <c r="M1412" s="73"/>
      <c r="N1412" s="73"/>
      <c r="O1412" s="73"/>
      <c r="P1412" s="73"/>
      <c r="Q1412" s="73"/>
      <c r="R1412" s="73"/>
      <c r="S1412" s="73"/>
      <c r="T1412" s="73"/>
      <c r="U1412" s="73"/>
      <c r="V1412" s="73"/>
      <c r="W1412" s="73"/>
      <c r="GL1412" s="73"/>
      <c r="GM1412" s="73"/>
      <c r="GN1412" s="73"/>
      <c r="GO1412" s="73"/>
      <c r="GP1412" s="73"/>
      <c r="GQ1412" s="73"/>
      <c r="GR1412" s="73"/>
      <c r="GS1412" s="73"/>
      <c r="GT1412" s="73"/>
      <c r="GU1412" s="73"/>
      <c r="GV1412" s="73"/>
      <c r="GW1412" s="73"/>
      <c r="GX1412" s="73"/>
      <c r="GY1412" s="73"/>
      <c r="GZ1412" s="73"/>
      <c r="HA1412" s="73"/>
      <c r="HB1412" s="73"/>
      <c r="HC1412" s="73"/>
      <c r="HD1412" s="73"/>
      <c r="HE1412" s="73"/>
      <c r="HF1412" s="73"/>
      <c r="HG1412" s="73"/>
      <c r="HH1412" s="73"/>
      <c r="HI1412" s="73"/>
      <c r="HJ1412" s="73"/>
      <c r="HK1412" s="73"/>
      <c r="HL1412" s="73"/>
      <c r="HM1412" s="73"/>
      <c r="HN1412" s="73"/>
      <c r="HO1412" s="73"/>
      <c r="HP1412" s="73"/>
      <c r="HQ1412" s="73"/>
      <c r="HR1412" s="73"/>
      <c r="HS1412" s="73"/>
      <c r="HT1412" s="73"/>
      <c r="HU1412" s="73"/>
      <c r="HV1412" s="73"/>
      <c r="HW1412" s="73"/>
      <c r="HX1412" s="73"/>
      <c r="HY1412" s="73"/>
      <c r="HZ1412" s="73"/>
      <c r="IA1412" s="73"/>
      <c r="IB1412" s="73"/>
      <c r="IC1412" s="73"/>
      <c r="ID1412" s="73"/>
      <c r="IE1412" s="73"/>
      <c r="IF1412" s="73"/>
      <c r="IG1412" s="73"/>
      <c r="IH1412" s="73"/>
      <c r="II1412" s="73"/>
      <c r="IJ1412" s="73"/>
      <c r="IK1412" s="73"/>
      <c r="IL1412" s="73"/>
      <c r="IM1412" s="73"/>
      <c r="IN1412" s="73"/>
      <c r="IO1412" s="73"/>
      <c r="IP1412" s="73"/>
      <c r="IQ1412" s="73"/>
      <c r="IR1412" s="73"/>
      <c r="IS1412" s="73"/>
      <c r="IT1412" s="73"/>
      <c r="IU1412" s="73"/>
      <c r="IV1412" s="73"/>
      <c r="IW1412" s="73"/>
      <c r="IX1412" s="73"/>
      <c r="IY1412" s="73"/>
      <c r="IZ1412" s="73"/>
      <c r="JA1412" s="73"/>
      <c r="JB1412" s="73"/>
      <c r="JC1412" s="73"/>
    </row>
    <row r="1413" spans="2:263" s="72" customFormat="1">
      <c r="B1413" s="73"/>
      <c r="C1413" s="73"/>
      <c r="D1413" s="73"/>
      <c r="E1413" s="73"/>
      <c r="F1413" s="73"/>
      <c r="G1413" s="73"/>
      <c r="H1413" s="73"/>
      <c r="I1413" s="73"/>
      <c r="J1413" s="73"/>
      <c r="K1413" s="73"/>
      <c r="L1413" s="73"/>
      <c r="M1413" s="73"/>
      <c r="N1413" s="73"/>
      <c r="O1413" s="73"/>
      <c r="P1413" s="73"/>
      <c r="Q1413" s="73"/>
      <c r="R1413" s="73"/>
      <c r="S1413" s="73"/>
      <c r="T1413" s="73"/>
      <c r="U1413" s="73"/>
      <c r="V1413" s="73"/>
      <c r="W1413" s="73"/>
      <c r="GL1413" s="73"/>
      <c r="GM1413" s="73"/>
      <c r="GN1413" s="73"/>
      <c r="GO1413" s="73"/>
      <c r="GP1413" s="73"/>
      <c r="GQ1413" s="73"/>
      <c r="GR1413" s="73"/>
      <c r="GS1413" s="73"/>
      <c r="GT1413" s="73"/>
      <c r="GU1413" s="73"/>
      <c r="GV1413" s="73"/>
      <c r="GW1413" s="73"/>
      <c r="GX1413" s="73"/>
      <c r="GY1413" s="73"/>
      <c r="GZ1413" s="73"/>
      <c r="HA1413" s="73"/>
      <c r="HB1413" s="73"/>
      <c r="HC1413" s="73"/>
      <c r="HD1413" s="73"/>
      <c r="HE1413" s="73"/>
      <c r="HF1413" s="73"/>
      <c r="HG1413" s="73"/>
      <c r="HH1413" s="73"/>
      <c r="HI1413" s="73"/>
      <c r="HJ1413" s="73"/>
      <c r="HK1413" s="73"/>
      <c r="HL1413" s="73"/>
      <c r="HM1413" s="73"/>
      <c r="HN1413" s="73"/>
      <c r="HO1413" s="73"/>
      <c r="HP1413" s="73"/>
      <c r="HQ1413" s="73"/>
      <c r="HR1413" s="73"/>
      <c r="HS1413" s="73"/>
      <c r="HT1413" s="73"/>
      <c r="HU1413" s="73"/>
      <c r="HV1413" s="73"/>
      <c r="HW1413" s="73"/>
      <c r="HX1413" s="73"/>
      <c r="HY1413" s="73"/>
      <c r="HZ1413" s="73"/>
      <c r="IA1413" s="73"/>
      <c r="IB1413" s="73"/>
      <c r="IC1413" s="73"/>
      <c r="ID1413" s="73"/>
      <c r="IE1413" s="73"/>
      <c r="IF1413" s="73"/>
      <c r="IG1413" s="73"/>
      <c r="IH1413" s="73"/>
      <c r="II1413" s="73"/>
      <c r="IJ1413" s="73"/>
      <c r="IK1413" s="73"/>
      <c r="IL1413" s="73"/>
      <c r="IM1413" s="73"/>
      <c r="IN1413" s="73"/>
      <c r="IO1413" s="73"/>
      <c r="IP1413" s="73"/>
      <c r="IQ1413" s="73"/>
      <c r="IR1413" s="73"/>
      <c r="IS1413" s="73"/>
      <c r="IT1413" s="73"/>
      <c r="IU1413" s="73"/>
      <c r="IV1413" s="73"/>
      <c r="IW1413" s="73"/>
      <c r="IX1413" s="73"/>
      <c r="IY1413" s="73"/>
      <c r="IZ1413" s="73"/>
      <c r="JA1413" s="73"/>
      <c r="JB1413" s="73"/>
      <c r="JC1413" s="73"/>
    </row>
    <row r="1414" spans="2:263" s="72" customFormat="1">
      <c r="B1414" s="73"/>
      <c r="C1414" s="73"/>
      <c r="D1414" s="73"/>
      <c r="E1414" s="73"/>
      <c r="F1414" s="73"/>
      <c r="G1414" s="73"/>
      <c r="H1414" s="73"/>
      <c r="I1414" s="73"/>
      <c r="J1414" s="73"/>
      <c r="K1414" s="73"/>
      <c r="L1414" s="73"/>
      <c r="M1414" s="73"/>
      <c r="N1414" s="73"/>
      <c r="O1414" s="73"/>
      <c r="P1414" s="73"/>
      <c r="Q1414" s="73"/>
      <c r="R1414" s="73"/>
      <c r="S1414" s="73"/>
      <c r="T1414" s="73"/>
      <c r="U1414" s="73"/>
      <c r="V1414" s="73"/>
      <c r="W1414" s="73"/>
      <c r="GL1414" s="73"/>
      <c r="GM1414" s="73"/>
      <c r="GN1414" s="73"/>
      <c r="GO1414" s="73"/>
      <c r="GP1414" s="73"/>
      <c r="GQ1414" s="73"/>
      <c r="GR1414" s="73"/>
      <c r="GS1414" s="73"/>
      <c r="GT1414" s="73"/>
      <c r="GU1414" s="73"/>
      <c r="GV1414" s="73"/>
      <c r="GW1414" s="73"/>
      <c r="GX1414" s="73"/>
      <c r="GY1414" s="73"/>
      <c r="GZ1414" s="73"/>
      <c r="HA1414" s="73"/>
      <c r="HB1414" s="73"/>
      <c r="HC1414" s="73"/>
      <c r="HD1414" s="73"/>
      <c r="HE1414" s="73"/>
      <c r="HF1414" s="73"/>
      <c r="HG1414" s="73"/>
      <c r="HH1414" s="73"/>
      <c r="HI1414" s="73"/>
      <c r="HJ1414" s="73"/>
      <c r="HK1414" s="73"/>
      <c r="HL1414" s="73"/>
      <c r="HM1414" s="73"/>
      <c r="HN1414" s="73"/>
      <c r="HO1414" s="73"/>
      <c r="HP1414" s="73"/>
      <c r="HQ1414" s="73"/>
      <c r="HR1414" s="73"/>
      <c r="HS1414" s="73"/>
      <c r="HT1414" s="73"/>
      <c r="HU1414" s="73"/>
      <c r="HV1414" s="73"/>
      <c r="HW1414" s="73"/>
      <c r="HX1414" s="73"/>
      <c r="HY1414" s="73"/>
      <c r="HZ1414" s="73"/>
      <c r="IA1414" s="73"/>
      <c r="IB1414" s="73"/>
      <c r="IC1414" s="73"/>
      <c r="ID1414" s="73"/>
      <c r="IE1414" s="73"/>
      <c r="IF1414" s="73"/>
      <c r="IG1414" s="73"/>
      <c r="IH1414" s="73"/>
      <c r="II1414" s="73"/>
      <c r="IJ1414" s="73"/>
      <c r="IK1414" s="73"/>
      <c r="IL1414" s="73"/>
      <c r="IM1414" s="73"/>
      <c r="IN1414" s="73"/>
      <c r="IO1414" s="73"/>
      <c r="IP1414" s="73"/>
      <c r="IQ1414" s="73"/>
      <c r="IR1414" s="73"/>
      <c r="IS1414" s="73"/>
      <c r="IT1414" s="73"/>
      <c r="IU1414" s="73"/>
      <c r="IV1414" s="73"/>
      <c r="IW1414" s="73"/>
      <c r="IX1414" s="73"/>
      <c r="IY1414" s="73"/>
      <c r="IZ1414" s="73"/>
      <c r="JA1414" s="73"/>
      <c r="JB1414" s="73"/>
      <c r="JC1414" s="73"/>
    </row>
    <row r="1415" spans="2:263" s="72" customFormat="1">
      <c r="B1415" s="73"/>
      <c r="C1415" s="73"/>
      <c r="D1415" s="73"/>
      <c r="E1415" s="73"/>
      <c r="F1415" s="73"/>
      <c r="G1415" s="73"/>
      <c r="H1415" s="73"/>
      <c r="I1415" s="73"/>
      <c r="J1415" s="73"/>
      <c r="K1415" s="73"/>
      <c r="L1415" s="73"/>
      <c r="M1415" s="73"/>
      <c r="N1415" s="73"/>
      <c r="O1415" s="73"/>
      <c r="P1415" s="73"/>
      <c r="Q1415" s="73"/>
      <c r="R1415" s="73"/>
      <c r="S1415" s="73"/>
      <c r="T1415" s="73"/>
      <c r="U1415" s="73"/>
      <c r="V1415" s="73"/>
      <c r="W1415" s="73"/>
      <c r="GL1415" s="73"/>
      <c r="GM1415" s="73"/>
      <c r="GN1415" s="73"/>
      <c r="GO1415" s="73"/>
      <c r="GP1415" s="73"/>
      <c r="GQ1415" s="73"/>
      <c r="GR1415" s="73"/>
      <c r="GS1415" s="73"/>
      <c r="GT1415" s="73"/>
      <c r="GU1415" s="73"/>
      <c r="GV1415" s="73"/>
      <c r="GW1415" s="73"/>
      <c r="GX1415" s="73"/>
      <c r="GY1415" s="73"/>
      <c r="GZ1415" s="73"/>
      <c r="HA1415" s="73"/>
      <c r="HB1415" s="73"/>
      <c r="HC1415" s="73"/>
      <c r="HD1415" s="73"/>
      <c r="HE1415" s="73"/>
      <c r="HF1415" s="73"/>
      <c r="HG1415" s="73"/>
      <c r="HH1415" s="73"/>
      <c r="HI1415" s="73"/>
      <c r="HJ1415" s="73"/>
      <c r="HK1415" s="73"/>
      <c r="HL1415" s="73"/>
      <c r="HM1415" s="73"/>
      <c r="HN1415" s="73"/>
      <c r="HO1415" s="73"/>
      <c r="HP1415" s="73"/>
      <c r="HQ1415" s="73"/>
      <c r="HR1415" s="73"/>
      <c r="HS1415" s="73"/>
      <c r="HT1415" s="73"/>
      <c r="HU1415" s="73"/>
      <c r="HV1415" s="73"/>
      <c r="HW1415" s="73"/>
      <c r="HX1415" s="73"/>
      <c r="HY1415" s="73"/>
      <c r="HZ1415" s="73"/>
      <c r="IA1415" s="73"/>
      <c r="IB1415" s="73"/>
      <c r="IC1415" s="73"/>
      <c r="ID1415" s="73"/>
      <c r="IE1415" s="73"/>
      <c r="IF1415" s="73"/>
      <c r="IG1415" s="73"/>
      <c r="IH1415" s="73"/>
      <c r="II1415" s="73"/>
      <c r="IJ1415" s="73"/>
      <c r="IK1415" s="73"/>
      <c r="IL1415" s="73"/>
      <c r="IM1415" s="73"/>
      <c r="IN1415" s="73"/>
      <c r="IO1415" s="73"/>
      <c r="IP1415" s="73"/>
      <c r="IQ1415" s="73"/>
      <c r="IR1415" s="73"/>
      <c r="IS1415" s="73"/>
      <c r="IT1415" s="73"/>
      <c r="IU1415" s="73"/>
      <c r="IV1415" s="73"/>
      <c r="IW1415" s="73"/>
      <c r="IX1415" s="73"/>
      <c r="IY1415" s="73"/>
      <c r="IZ1415" s="73"/>
      <c r="JA1415" s="73"/>
      <c r="JB1415" s="73"/>
      <c r="JC1415" s="73"/>
    </row>
    <row r="1416" spans="2:263" s="72" customFormat="1">
      <c r="B1416" s="73"/>
      <c r="C1416" s="73"/>
      <c r="D1416" s="73"/>
      <c r="E1416" s="73"/>
      <c r="F1416" s="73"/>
      <c r="G1416" s="73"/>
      <c r="H1416" s="73"/>
      <c r="I1416" s="73"/>
      <c r="J1416" s="73"/>
      <c r="K1416" s="73"/>
      <c r="L1416" s="73"/>
      <c r="M1416" s="73"/>
      <c r="N1416" s="73"/>
      <c r="O1416" s="73"/>
      <c r="P1416" s="73"/>
      <c r="Q1416" s="73"/>
      <c r="R1416" s="73"/>
      <c r="S1416" s="73"/>
      <c r="T1416" s="73"/>
      <c r="U1416" s="73"/>
      <c r="V1416" s="73"/>
      <c r="W1416" s="73"/>
      <c r="GL1416" s="73"/>
      <c r="GM1416" s="73"/>
      <c r="GN1416" s="73"/>
      <c r="GO1416" s="73"/>
      <c r="GP1416" s="73"/>
      <c r="GQ1416" s="73"/>
      <c r="GR1416" s="73"/>
      <c r="GS1416" s="73"/>
      <c r="GT1416" s="73"/>
      <c r="GU1416" s="73"/>
      <c r="GV1416" s="73"/>
      <c r="GW1416" s="73"/>
      <c r="GX1416" s="73"/>
      <c r="GY1416" s="73"/>
      <c r="GZ1416" s="73"/>
      <c r="HA1416" s="73"/>
      <c r="HB1416" s="73"/>
      <c r="HC1416" s="73"/>
      <c r="HD1416" s="73"/>
      <c r="HE1416" s="73"/>
      <c r="HF1416" s="73"/>
      <c r="HG1416" s="73"/>
      <c r="HH1416" s="73"/>
      <c r="HI1416" s="73"/>
      <c r="HJ1416" s="73"/>
      <c r="HK1416" s="73"/>
      <c r="HL1416" s="73"/>
      <c r="HM1416" s="73"/>
      <c r="HN1416" s="73"/>
      <c r="HO1416" s="73"/>
      <c r="HP1416" s="73"/>
      <c r="HQ1416" s="73"/>
      <c r="HR1416" s="73"/>
      <c r="HS1416" s="73"/>
      <c r="HT1416" s="73"/>
      <c r="HU1416" s="73"/>
      <c r="HV1416" s="73"/>
      <c r="HW1416" s="73"/>
      <c r="HX1416" s="73"/>
      <c r="HY1416" s="73"/>
      <c r="HZ1416" s="73"/>
      <c r="IA1416" s="73"/>
      <c r="IB1416" s="73"/>
      <c r="IC1416" s="73"/>
      <c r="ID1416" s="73"/>
      <c r="IE1416" s="73"/>
      <c r="IF1416" s="73"/>
      <c r="IG1416" s="73"/>
      <c r="IH1416" s="73"/>
      <c r="II1416" s="73"/>
      <c r="IJ1416" s="73"/>
      <c r="IK1416" s="73"/>
      <c r="IL1416" s="73"/>
      <c r="IM1416" s="73"/>
      <c r="IN1416" s="73"/>
      <c r="IO1416" s="73"/>
      <c r="IP1416" s="73"/>
      <c r="IQ1416" s="73"/>
      <c r="IR1416" s="73"/>
      <c r="IS1416" s="73"/>
      <c r="IT1416" s="73"/>
      <c r="IU1416" s="73"/>
      <c r="IV1416" s="73"/>
      <c r="IW1416" s="73"/>
      <c r="IX1416" s="73"/>
      <c r="IY1416" s="73"/>
      <c r="IZ1416" s="73"/>
      <c r="JA1416" s="73"/>
      <c r="JB1416" s="73"/>
      <c r="JC1416" s="73"/>
    </row>
    <row r="1417" spans="2:263" s="72" customFormat="1">
      <c r="B1417" s="73"/>
      <c r="C1417" s="73"/>
      <c r="D1417" s="73"/>
      <c r="E1417" s="73"/>
      <c r="F1417" s="73"/>
      <c r="G1417" s="73"/>
      <c r="H1417" s="73"/>
      <c r="I1417" s="73"/>
      <c r="J1417" s="73"/>
      <c r="K1417" s="73"/>
      <c r="L1417" s="73"/>
      <c r="M1417" s="73"/>
      <c r="N1417" s="73"/>
      <c r="O1417" s="73"/>
      <c r="P1417" s="73"/>
      <c r="Q1417" s="73"/>
      <c r="R1417" s="73"/>
      <c r="S1417" s="73"/>
      <c r="T1417" s="73"/>
      <c r="U1417" s="73"/>
      <c r="V1417" s="73"/>
      <c r="W1417" s="73"/>
      <c r="GL1417" s="73"/>
      <c r="GM1417" s="73"/>
      <c r="GN1417" s="73"/>
      <c r="GO1417" s="73"/>
      <c r="GP1417" s="73"/>
      <c r="GQ1417" s="73"/>
      <c r="GR1417" s="73"/>
      <c r="GS1417" s="73"/>
      <c r="GT1417" s="73"/>
      <c r="GU1417" s="73"/>
      <c r="GV1417" s="73"/>
      <c r="GW1417" s="73"/>
      <c r="GX1417" s="73"/>
      <c r="GY1417" s="73"/>
      <c r="GZ1417" s="73"/>
      <c r="HA1417" s="73"/>
      <c r="HB1417" s="73"/>
      <c r="HC1417" s="73"/>
      <c r="HD1417" s="73"/>
      <c r="HE1417" s="73"/>
      <c r="HF1417" s="73"/>
      <c r="HG1417" s="73"/>
      <c r="HH1417" s="73"/>
      <c r="HI1417" s="73"/>
      <c r="HJ1417" s="73"/>
      <c r="HK1417" s="73"/>
      <c r="HL1417" s="73"/>
      <c r="HM1417" s="73"/>
      <c r="HN1417" s="73"/>
      <c r="HO1417" s="73"/>
      <c r="HP1417" s="73"/>
      <c r="HQ1417" s="73"/>
      <c r="HR1417" s="73"/>
      <c r="HS1417" s="73"/>
      <c r="HT1417" s="73"/>
      <c r="HU1417" s="73"/>
      <c r="HV1417" s="73"/>
      <c r="HW1417" s="73"/>
      <c r="HX1417" s="73"/>
      <c r="HY1417" s="73"/>
      <c r="HZ1417" s="73"/>
      <c r="IA1417" s="73"/>
      <c r="IB1417" s="73"/>
      <c r="IC1417" s="73"/>
      <c r="ID1417" s="73"/>
      <c r="IE1417" s="73"/>
      <c r="IF1417" s="73"/>
      <c r="IG1417" s="73"/>
      <c r="IH1417" s="73"/>
      <c r="II1417" s="73"/>
      <c r="IJ1417" s="73"/>
      <c r="IK1417" s="73"/>
      <c r="IL1417" s="73"/>
      <c r="IM1417" s="73"/>
      <c r="IN1417" s="73"/>
      <c r="IO1417" s="73"/>
      <c r="IP1417" s="73"/>
      <c r="IQ1417" s="73"/>
      <c r="IR1417" s="73"/>
      <c r="IS1417" s="73"/>
      <c r="IT1417" s="73"/>
      <c r="IU1417" s="73"/>
      <c r="IV1417" s="73"/>
      <c r="IW1417" s="73"/>
      <c r="IX1417" s="73"/>
      <c r="IY1417" s="73"/>
      <c r="IZ1417" s="73"/>
      <c r="JA1417" s="73"/>
      <c r="JB1417" s="73"/>
      <c r="JC1417" s="73"/>
    </row>
    <row r="1418" spans="2:263" s="72" customFormat="1">
      <c r="B1418" s="73"/>
      <c r="C1418" s="73"/>
      <c r="D1418" s="73"/>
      <c r="E1418" s="73"/>
      <c r="F1418" s="73"/>
      <c r="G1418" s="73"/>
      <c r="H1418" s="73"/>
      <c r="I1418" s="73"/>
      <c r="J1418" s="73"/>
      <c r="K1418" s="73"/>
      <c r="L1418" s="73"/>
      <c r="M1418" s="73"/>
      <c r="N1418" s="73"/>
      <c r="O1418" s="73"/>
      <c r="P1418" s="73"/>
      <c r="Q1418" s="73"/>
      <c r="R1418" s="73"/>
      <c r="S1418" s="73"/>
      <c r="T1418" s="73"/>
      <c r="U1418" s="73"/>
      <c r="V1418" s="73"/>
      <c r="W1418" s="73"/>
      <c r="GL1418" s="73"/>
      <c r="GM1418" s="73"/>
      <c r="GN1418" s="73"/>
      <c r="GO1418" s="73"/>
      <c r="GP1418" s="73"/>
      <c r="GQ1418" s="73"/>
      <c r="GR1418" s="73"/>
      <c r="GS1418" s="73"/>
      <c r="GT1418" s="73"/>
      <c r="GU1418" s="73"/>
      <c r="GV1418" s="73"/>
      <c r="GW1418" s="73"/>
      <c r="GX1418" s="73"/>
      <c r="GY1418" s="73"/>
      <c r="GZ1418" s="73"/>
      <c r="HA1418" s="73"/>
      <c r="HB1418" s="73"/>
      <c r="HC1418" s="73"/>
      <c r="HD1418" s="73"/>
      <c r="HE1418" s="73"/>
      <c r="HF1418" s="73"/>
      <c r="HG1418" s="73"/>
      <c r="HH1418" s="73"/>
      <c r="HI1418" s="73"/>
      <c r="HJ1418" s="73"/>
      <c r="HK1418" s="73"/>
      <c r="HL1418" s="73"/>
      <c r="HM1418" s="73"/>
      <c r="HN1418" s="73"/>
      <c r="HO1418" s="73"/>
      <c r="HP1418" s="73"/>
      <c r="HQ1418" s="73"/>
      <c r="HR1418" s="73"/>
      <c r="HS1418" s="73"/>
      <c r="HT1418" s="73"/>
      <c r="HU1418" s="73"/>
      <c r="HV1418" s="73"/>
      <c r="HW1418" s="73"/>
      <c r="HX1418" s="73"/>
      <c r="HY1418" s="73"/>
      <c r="HZ1418" s="73"/>
      <c r="IA1418" s="73"/>
      <c r="IB1418" s="73"/>
      <c r="IC1418" s="73"/>
      <c r="ID1418" s="73"/>
      <c r="IE1418" s="73"/>
      <c r="IF1418" s="73"/>
      <c r="IG1418" s="73"/>
      <c r="IH1418" s="73"/>
      <c r="II1418" s="73"/>
      <c r="IJ1418" s="73"/>
      <c r="IK1418" s="73"/>
      <c r="IL1418" s="73"/>
      <c r="IM1418" s="73"/>
      <c r="IN1418" s="73"/>
      <c r="IO1418" s="73"/>
      <c r="IP1418" s="73"/>
      <c r="IQ1418" s="73"/>
      <c r="IR1418" s="73"/>
      <c r="IS1418" s="73"/>
      <c r="IT1418" s="73"/>
      <c r="IU1418" s="73"/>
      <c r="IV1418" s="73"/>
      <c r="IW1418" s="73"/>
      <c r="IX1418" s="73"/>
      <c r="IY1418" s="73"/>
      <c r="IZ1418" s="73"/>
      <c r="JA1418" s="73"/>
      <c r="JB1418" s="73"/>
      <c r="JC1418" s="73"/>
    </row>
    <row r="1419" spans="2:263" s="72" customFormat="1">
      <c r="B1419" s="73"/>
      <c r="C1419" s="73"/>
      <c r="D1419" s="73"/>
      <c r="E1419" s="73"/>
      <c r="F1419" s="73"/>
      <c r="G1419" s="73"/>
      <c r="H1419" s="73"/>
      <c r="I1419" s="73"/>
      <c r="J1419" s="73"/>
      <c r="K1419" s="73"/>
      <c r="L1419" s="73"/>
      <c r="M1419" s="73"/>
      <c r="N1419" s="73"/>
      <c r="O1419" s="73"/>
      <c r="P1419" s="73"/>
      <c r="Q1419" s="73"/>
      <c r="R1419" s="73"/>
      <c r="S1419" s="73"/>
      <c r="T1419" s="73"/>
      <c r="U1419" s="73"/>
      <c r="V1419" s="73"/>
      <c r="W1419" s="73"/>
      <c r="GL1419" s="73"/>
      <c r="GM1419" s="73"/>
      <c r="GN1419" s="73"/>
      <c r="GO1419" s="73"/>
      <c r="GP1419" s="73"/>
      <c r="GQ1419" s="73"/>
      <c r="GR1419" s="73"/>
      <c r="GS1419" s="73"/>
      <c r="GT1419" s="73"/>
      <c r="GU1419" s="73"/>
      <c r="GV1419" s="73"/>
      <c r="GW1419" s="73"/>
      <c r="GX1419" s="73"/>
      <c r="GY1419" s="73"/>
      <c r="GZ1419" s="73"/>
      <c r="HA1419" s="73"/>
      <c r="HB1419" s="73"/>
      <c r="HC1419" s="73"/>
      <c r="HD1419" s="73"/>
      <c r="HE1419" s="73"/>
      <c r="HF1419" s="73"/>
      <c r="HG1419" s="73"/>
      <c r="HH1419" s="73"/>
      <c r="HI1419" s="73"/>
      <c r="HJ1419" s="73"/>
      <c r="HK1419" s="73"/>
      <c r="HL1419" s="73"/>
      <c r="HM1419" s="73"/>
      <c r="HN1419" s="73"/>
      <c r="HO1419" s="73"/>
      <c r="HP1419" s="73"/>
      <c r="HQ1419" s="73"/>
      <c r="HR1419" s="73"/>
      <c r="HS1419" s="73"/>
      <c r="HT1419" s="73"/>
      <c r="HU1419" s="73"/>
      <c r="HV1419" s="73"/>
      <c r="HW1419" s="73"/>
      <c r="HX1419" s="73"/>
      <c r="HY1419" s="73"/>
      <c r="HZ1419" s="73"/>
      <c r="IA1419" s="73"/>
      <c r="IB1419" s="73"/>
      <c r="IC1419" s="73"/>
      <c r="ID1419" s="73"/>
      <c r="IE1419" s="73"/>
      <c r="IF1419" s="73"/>
      <c r="IG1419" s="73"/>
      <c r="IH1419" s="73"/>
      <c r="II1419" s="73"/>
      <c r="IJ1419" s="73"/>
      <c r="IK1419" s="73"/>
      <c r="IL1419" s="73"/>
      <c r="IM1419" s="73"/>
      <c r="IN1419" s="73"/>
      <c r="IO1419" s="73"/>
      <c r="IP1419" s="73"/>
      <c r="IQ1419" s="73"/>
      <c r="IR1419" s="73"/>
      <c r="IS1419" s="73"/>
      <c r="IT1419" s="73"/>
      <c r="IU1419" s="73"/>
      <c r="IV1419" s="73"/>
      <c r="IW1419" s="73"/>
      <c r="IX1419" s="73"/>
      <c r="IY1419" s="73"/>
      <c r="IZ1419" s="73"/>
      <c r="JA1419" s="73"/>
      <c r="JB1419" s="73"/>
      <c r="JC1419" s="73"/>
    </row>
    <row r="1420" spans="2:263" s="72" customFormat="1">
      <c r="B1420" s="73"/>
      <c r="C1420" s="73"/>
      <c r="D1420" s="73"/>
      <c r="E1420" s="73"/>
      <c r="F1420" s="73"/>
      <c r="G1420" s="73"/>
      <c r="H1420" s="73"/>
      <c r="I1420" s="73"/>
      <c r="J1420" s="73"/>
      <c r="K1420" s="73"/>
      <c r="L1420" s="73"/>
      <c r="M1420" s="73"/>
      <c r="N1420" s="73"/>
      <c r="O1420" s="73"/>
      <c r="P1420" s="73"/>
      <c r="Q1420" s="73"/>
      <c r="R1420" s="73"/>
      <c r="S1420" s="73"/>
      <c r="T1420" s="73"/>
      <c r="U1420" s="73"/>
      <c r="V1420" s="73"/>
      <c r="W1420" s="73"/>
      <c r="GL1420" s="73"/>
      <c r="GM1420" s="73"/>
      <c r="GN1420" s="73"/>
      <c r="GO1420" s="73"/>
      <c r="GP1420" s="73"/>
      <c r="GQ1420" s="73"/>
      <c r="GR1420" s="73"/>
      <c r="GS1420" s="73"/>
      <c r="GT1420" s="73"/>
      <c r="GU1420" s="73"/>
      <c r="GV1420" s="73"/>
      <c r="GW1420" s="73"/>
      <c r="GX1420" s="73"/>
      <c r="GY1420" s="73"/>
      <c r="GZ1420" s="73"/>
      <c r="HA1420" s="73"/>
      <c r="HB1420" s="73"/>
      <c r="HC1420" s="73"/>
      <c r="HD1420" s="73"/>
      <c r="HE1420" s="73"/>
      <c r="HF1420" s="73"/>
      <c r="HG1420" s="73"/>
      <c r="HH1420" s="73"/>
      <c r="HI1420" s="73"/>
      <c r="HJ1420" s="73"/>
      <c r="HK1420" s="73"/>
      <c r="HL1420" s="73"/>
      <c r="HM1420" s="73"/>
      <c r="HN1420" s="73"/>
      <c r="HO1420" s="73"/>
      <c r="HP1420" s="73"/>
      <c r="HQ1420" s="73"/>
      <c r="HR1420" s="73"/>
      <c r="HS1420" s="73"/>
      <c r="HT1420" s="73"/>
      <c r="HU1420" s="73"/>
      <c r="HV1420" s="73"/>
      <c r="HW1420" s="73"/>
      <c r="HX1420" s="73"/>
      <c r="HY1420" s="73"/>
      <c r="HZ1420" s="73"/>
      <c r="IA1420" s="73"/>
      <c r="IB1420" s="73"/>
      <c r="IC1420" s="73"/>
      <c r="ID1420" s="73"/>
      <c r="IE1420" s="73"/>
      <c r="IF1420" s="73"/>
      <c r="IG1420" s="73"/>
      <c r="IH1420" s="73"/>
      <c r="II1420" s="73"/>
      <c r="IJ1420" s="73"/>
      <c r="IK1420" s="73"/>
      <c r="IL1420" s="73"/>
      <c r="IM1420" s="73"/>
      <c r="IN1420" s="73"/>
      <c r="IO1420" s="73"/>
      <c r="IP1420" s="73"/>
      <c r="IQ1420" s="73"/>
      <c r="IR1420" s="73"/>
      <c r="IS1420" s="73"/>
      <c r="IT1420" s="73"/>
      <c r="IU1420" s="73"/>
      <c r="IV1420" s="73"/>
      <c r="IW1420" s="73"/>
      <c r="IX1420" s="73"/>
      <c r="IY1420" s="73"/>
      <c r="IZ1420" s="73"/>
      <c r="JA1420" s="73"/>
      <c r="JB1420" s="73"/>
      <c r="JC1420" s="73"/>
    </row>
    <row r="1421" spans="2:263" s="72" customFormat="1">
      <c r="B1421" s="73"/>
      <c r="C1421" s="73"/>
      <c r="D1421" s="73"/>
      <c r="E1421" s="73"/>
      <c r="F1421" s="73"/>
      <c r="G1421" s="73"/>
      <c r="H1421" s="73"/>
      <c r="I1421" s="73"/>
      <c r="J1421" s="73"/>
      <c r="K1421" s="73"/>
      <c r="L1421" s="73"/>
      <c r="M1421" s="73"/>
      <c r="N1421" s="73"/>
      <c r="O1421" s="73"/>
      <c r="P1421" s="73"/>
      <c r="Q1421" s="73"/>
      <c r="R1421" s="73"/>
      <c r="S1421" s="73"/>
      <c r="T1421" s="73"/>
      <c r="U1421" s="73"/>
      <c r="V1421" s="73"/>
      <c r="W1421" s="73"/>
      <c r="GL1421" s="73"/>
      <c r="GM1421" s="73"/>
      <c r="GN1421" s="73"/>
      <c r="GO1421" s="73"/>
      <c r="GP1421" s="73"/>
      <c r="GQ1421" s="73"/>
      <c r="GR1421" s="73"/>
      <c r="GS1421" s="73"/>
      <c r="GT1421" s="73"/>
      <c r="GU1421" s="73"/>
      <c r="GV1421" s="73"/>
      <c r="GW1421" s="73"/>
      <c r="GX1421" s="73"/>
      <c r="GY1421" s="73"/>
      <c r="GZ1421" s="73"/>
      <c r="HA1421" s="73"/>
      <c r="HB1421" s="73"/>
      <c r="HC1421" s="73"/>
      <c r="HD1421" s="73"/>
      <c r="HE1421" s="73"/>
      <c r="HF1421" s="73"/>
      <c r="HG1421" s="73"/>
      <c r="HH1421" s="73"/>
      <c r="HI1421" s="73"/>
      <c r="HJ1421" s="73"/>
      <c r="HK1421" s="73"/>
      <c r="HL1421" s="73"/>
      <c r="HM1421" s="73"/>
      <c r="HN1421" s="73"/>
      <c r="HO1421" s="73"/>
      <c r="HP1421" s="73"/>
      <c r="HQ1421" s="73"/>
      <c r="HR1421" s="73"/>
      <c r="HS1421" s="73"/>
      <c r="HT1421" s="73"/>
      <c r="HU1421" s="73"/>
      <c r="HV1421" s="73"/>
      <c r="HW1421" s="73"/>
      <c r="HX1421" s="73"/>
      <c r="HY1421" s="73"/>
      <c r="HZ1421" s="73"/>
      <c r="IA1421" s="73"/>
      <c r="IB1421" s="73"/>
      <c r="IC1421" s="73"/>
      <c r="ID1421" s="73"/>
      <c r="IE1421" s="73"/>
      <c r="IF1421" s="73"/>
      <c r="IG1421" s="73"/>
      <c r="IH1421" s="73"/>
      <c r="II1421" s="73"/>
      <c r="IJ1421" s="73"/>
      <c r="IK1421" s="73"/>
      <c r="IL1421" s="73"/>
      <c r="IM1421" s="73"/>
      <c r="IN1421" s="73"/>
      <c r="IO1421" s="73"/>
      <c r="IP1421" s="73"/>
      <c r="IQ1421" s="73"/>
      <c r="IR1421" s="73"/>
      <c r="IS1421" s="73"/>
      <c r="IT1421" s="73"/>
      <c r="IU1421" s="73"/>
      <c r="IV1421" s="73"/>
      <c r="IW1421" s="73"/>
      <c r="IX1421" s="73"/>
      <c r="IY1421" s="73"/>
      <c r="IZ1421" s="73"/>
      <c r="JA1421" s="73"/>
      <c r="JB1421" s="73"/>
      <c r="JC1421" s="73"/>
    </row>
    <row r="1422" spans="2:263" s="72" customFormat="1">
      <c r="B1422" s="73"/>
      <c r="C1422" s="73"/>
      <c r="D1422" s="73"/>
      <c r="E1422" s="73"/>
      <c r="F1422" s="73"/>
      <c r="G1422" s="73"/>
      <c r="H1422" s="73"/>
      <c r="I1422" s="73"/>
      <c r="J1422" s="73"/>
      <c r="K1422" s="73"/>
      <c r="L1422" s="73"/>
      <c r="M1422" s="73"/>
      <c r="N1422" s="73"/>
      <c r="O1422" s="73"/>
      <c r="P1422" s="73"/>
      <c r="Q1422" s="73"/>
      <c r="R1422" s="73"/>
      <c r="S1422" s="73"/>
      <c r="T1422" s="73"/>
      <c r="U1422" s="73"/>
      <c r="V1422" s="73"/>
      <c r="W1422" s="73"/>
      <c r="GL1422" s="73"/>
      <c r="GM1422" s="73"/>
      <c r="GN1422" s="73"/>
      <c r="GO1422" s="73"/>
      <c r="GP1422" s="73"/>
      <c r="GQ1422" s="73"/>
      <c r="GR1422" s="73"/>
      <c r="GS1422" s="73"/>
      <c r="GT1422" s="73"/>
      <c r="GU1422" s="73"/>
      <c r="GV1422" s="73"/>
      <c r="GW1422" s="73"/>
      <c r="GX1422" s="73"/>
      <c r="GY1422" s="73"/>
      <c r="GZ1422" s="73"/>
      <c r="HA1422" s="73"/>
      <c r="HB1422" s="73"/>
      <c r="HC1422" s="73"/>
      <c r="HD1422" s="73"/>
      <c r="HE1422" s="73"/>
      <c r="HF1422" s="73"/>
      <c r="HG1422" s="73"/>
      <c r="HH1422" s="73"/>
      <c r="HI1422" s="73"/>
      <c r="HJ1422" s="73"/>
      <c r="HK1422" s="73"/>
      <c r="HL1422" s="73"/>
      <c r="HM1422" s="73"/>
      <c r="HN1422" s="73"/>
      <c r="HO1422" s="73"/>
      <c r="HP1422" s="73"/>
      <c r="HQ1422" s="73"/>
      <c r="HR1422" s="73"/>
      <c r="HS1422" s="73"/>
      <c r="HT1422" s="73"/>
      <c r="HU1422" s="73"/>
      <c r="HV1422" s="73"/>
      <c r="HW1422" s="73"/>
      <c r="HX1422" s="73"/>
      <c r="HY1422" s="73"/>
      <c r="HZ1422" s="73"/>
      <c r="IA1422" s="73"/>
      <c r="IB1422" s="73"/>
      <c r="IC1422" s="73"/>
      <c r="ID1422" s="73"/>
      <c r="IE1422" s="73"/>
      <c r="IF1422" s="73"/>
      <c r="IG1422" s="73"/>
      <c r="IH1422" s="73"/>
      <c r="II1422" s="73"/>
      <c r="IJ1422" s="73"/>
      <c r="IK1422" s="73"/>
      <c r="IL1422" s="73"/>
      <c r="IM1422" s="73"/>
      <c r="IN1422" s="73"/>
      <c r="IO1422" s="73"/>
      <c r="IP1422" s="73"/>
      <c r="IQ1422" s="73"/>
      <c r="IR1422" s="73"/>
      <c r="IS1422" s="73"/>
      <c r="IT1422" s="73"/>
      <c r="IU1422" s="73"/>
      <c r="IV1422" s="73"/>
      <c r="IW1422" s="73"/>
      <c r="IX1422" s="73"/>
      <c r="IY1422" s="73"/>
      <c r="IZ1422" s="73"/>
      <c r="JA1422" s="73"/>
      <c r="JB1422" s="73"/>
      <c r="JC1422" s="73"/>
    </row>
    <row r="1423" spans="2:263" s="72" customFormat="1">
      <c r="B1423" s="73"/>
      <c r="C1423" s="73"/>
      <c r="D1423" s="73"/>
      <c r="E1423" s="73"/>
      <c r="F1423" s="73"/>
      <c r="G1423" s="73"/>
      <c r="H1423" s="73"/>
      <c r="I1423" s="73"/>
      <c r="J1423" s="73"/>
      <c r="K1423" s="73"/>
      <c r="L1423" s="73"/>
      <c r="M1423" s="73"/>
      <c r="N1423" s="73"/>
      <c r="O1423" s="73"/>
      <c r="P1423" s="73"/>
      <c r="Q1423" s="73"/>
      <c r="R1423" s="73"/>
      <c r="S1423" s="73"/>
      <c r="T1423" s="73"/>
      <c r="U1423" s="73"/>
      <c r="V1423" s="73"/>
      <c r="W1423" s="73"/>
      <c r="GL1423" s="73"/>
      <c r="GM1423" s="73"/>
      <c r="GN1423" s="73"/>
      <c r="GO1423" s="73"/>
      <c r="GP1423" s="73"/>
      <c r="GQ1423" s="73"/>
      <c r="GR1423" s="73"/>
      <c r="GS1423" s="73"/>
      <c r="GT1423" s="73"/>
      <c r="GU1423" s="73"/>
      <c r="GV1423" s="73"/>
      <c r="GW1423" s="73"/>
      <c r="GX1423" s="73"/>
      <c r="GY1423" s="73"/>
      <c r="GZ1423" s="73"/>
      <c r="HA1423" s="73"/>
      <c r="HB1423" s="73"/>
      <c r="HC1423" s="73"/>
      <c r="HD1423" s="73"/>
      <c r="HE1423" s="73"/>
      <c r="HF1423" s="73"/>
      <c r="HG1423" s="73"/>
      <c r="HH1423" s="73"/>
      <c r="HI1423" s="73"/>
      <c r="HJ1423" s="73"/>
      <c r="HK1423" s="73"/>
      <c r="HL1423" s="73"/>
      <c r="HM1423" s="73"/>
      <c r="HN1423" s="73"/>
      <c r="HO1423" s="73"/>
      <c r="HP1423" s="73"/>
      <c r="HQ1423" s="73"/>
      <c r="HR1423" s="73"/>
      <c r="HS1423" s="73"/>
      <c r="HT1423" s="73"/>
      <c r="HU1423" s="73"/>
      <c r="HV1423" s="73"/>
      <c r="HW1423" s="73"/>
      <c r="HX1423" s="73"/>
      <c r="HY1423" s="73"/>
      <c r="HZ1423" s="73"/>
      <c r="IA1423" s="73"/>
      <c r="IB1423" s="73"/>
      <c r="IC1423" s="73"/>
      <c r="ID1423" s="73"/>
      <c r="IE1423" s="73"/>
      <c r="IF1423" s="73"/>
      <c r="IG1423" s="73"/>
      <c r="IH1423" s="73"/>
      <c r="II1423" s="73"/>
      <c r="IJ1423" s="73"/>
      <c r="IK1423" s="73"/>
      <c r="IL1423" s="73"/>
      <c r="IM1423" s="73"/>
      <c r="IN1423" s="73"/>
      <c r="IO1423" s="73"/>
      <c r="IP1423" s="73"/>
      <c r="IQ1423" s="73"/>
      <c r="IR1423" s="73"/>
      <c r="IS1423" s="73"/>
      <c r="IT1423" s="73"/>
      <c r="IU1423" s="73"/>
      <c r="IV1423" s="73"/>
      <c r="IW1423" s="73"/>
      <c r="IX1423" s="73"/>
      <c r="IY1423" s="73"/>
      <c r="IZ1423" s="73"/>
      <c r="JA1423" s="73"/>
      <c r="JB1423" s="73"/>
      <c r="JC1423" s="73"/>
    </row>
    <row r="1424" spans="2:263" s="72" customFormat="1">
      <c r="B1424" s="73"/>
      <c r="C1424" s="73"/>
      <c r="D1424" s="73"/>
      <c r="E1424" s="73"/>
      <c r="F1424" s="73"/>
      <c r="G1424" s="73"/>
      <c r="H1424" s="73"/>
      <c r="I1424" s="73"/>
      <c r="J1424" s="73"/>
      <c r="K1424" s="73"/>
      <c r="L1424" s="73"/>
      <c r="M1424" s="73"/>
      <c r="N1424" s="73"/>
      <c r="O1424" s="73"/>
      <c r="P1424" s="73"/>
      <c r="Q1424" s="73"/>
      <c r="R1424" s="73"/>
      <c r="S1424" s="73"/>
      <c r="T1424" s="73"/>
      <c r="U1424" s="73"/>
      <c r="V1424" s="73"/>
      <c r="W1424" s="73"/>
      <c r="GL1424" s="73"/>
      <c r="GM1424" s="73"/>
      <c r="GN1424" s="73"/>
      <c r="GO1424" s="73"/>
      <c r="GP1424" s="73"/>
      <c r="GQ1424" s="73"/>
      <c r="GR1424" s="73"/>
      <c r="GS1424" s="73"/>
      <c r="GT1424" s="73"/>
      <c r="GU1424" s="73"/>
      <c r="GV1424" s="73"/>
      <c r="GW1424" s="73"/>
      <c r="GX1424" s="73"/>
      <c r="GY1424" s="73"/>
      <c r="GZ1424" s="73"/>
      <c r="HA1424" s="73"/>
      <c r="HB1424" s="73"/>
      <c r="HC1424" s="73"/>
      <c r="HD1424" s="73"/>
      <c r="HE1424" s="73"/>
      <c r="HF1424" s="73"/>
      <c r="HG1424" s="73"/>
      <c r="HH1424" s="73"/>
      <c r="HI1424" s="73"/>
      <c r="HJ1424" s="73"/>
      <c r="HK1424" s="73"/>
      <c r="HL1424" s="73"/>
      <c r="HM1424" s="73"/>
      <c r="HN1424" s="73"/>
      <c r="HO1424" s="73"/>
      <c r="HP1424" s="73"/>
      <c r="HQ1424" s="73"/>
      <c r="HR1424" s="73"/>
      <c r="HS1424" s="73"/>
      <c r="HT1424" s="73"/>
      <c r="HU1424" s="73"/>
      <c r="HV1424" s="73"/>
      <c r="HW1424" s="73"/>
      <c r="HX1424" s="73"/>
      <c r="HY1424" s="73"/>
      <c r="HZ1424" s="73"/>
      <c r="IA1424" s="73"/>
      <c r="IB1424" s="73"/>
      <c r="IC1424" s="73"/>
      <c r="ID1424" s="73"/>
      <c r="IE1424" s="73"/>
      <c r="IF1424" s="73"/>
      <c r="IG1424" s="73"/>
      <c r="IH1424" s="73"/>
      <c r="II1424" s="73"/>
      <c r="IJ1424" s="73"/>
      <c r="IK1424" s="73"/>
      <c r="IL1424" s="73"/>
      <c r="IM1424" s="73"/>
      <c r="IN1424" s="73"/>
      <c r="IO1424" s="73"/>
      <c r="IP1424" s="73"/>
      <c r="IQ1424" s="73"/>
      <c r="IR1424" s="73"/>
      <c r="IS1424" s="73"/>
      <c r="IT1424" s="73"/>
      <c r="IU1424" s="73"/>
      <c r="IV1424" s="73"/>
      <c r="IW1424" s="73"/>
      <c r="IX1424" s="73"/>
      <c r="IY1424" s="73"/>
      <c r="IZ1424" s="73"/>
      <c r="JA1424" s="73"/>
      <c r="JB1424" s="73"/>
      <c r="JC1424" s="73"/>
    </row>
    <row r="1425" spans="2:263" s="72" customFormat="1">
      <c r="B1425" s="73"/>
      <c r="C1425" s="73"/>
      <c r="D1425" s="73"/>
      <c r="E1425" s="73"/>
      <c r="F1425" s="73"/>
      <c r="G1425" s="73"/>
      <c r="H1425" s="73"/>
      <c r="I1425" s="73"/>
      <c r="J1425" s="73"/>
      <c r="K1425" s="73"/>
      <c r="L1425" s="73"/>
      <c r="M1425" s="73"/>
      <c r="N1425" s="73"/>
      <c r="O1425" s="73"/>
      <c r="P1425" s="73"/>
      <c r="Q1425" s="73"/>
      <c r="R1425" s="73"/>
      <c r="S1425" s="73"/>
      <c r="T1425" s="73"/>
      <c r="U1425" s="73"/>
      <c r="V1425" s="73"/>
      <c r="W1425" s="73"/>
      <c r="GL1425" s="73"/>
      <c r="GM1425" s="73"/>
      <c r="GN1425" s="73"/>
      <c r="GO1425" s="73"/>
      <c r="GP1425" s="73"/>
      <c r="GQ1425" s="73"/>
      <c r="GR1425" s="73"/>
      <c r="GS1425" s="73"/>
      <c r="GT1425" s="73"/>
      <c r="GU1425" s="73"/>
      <c r="GV1425" s="73"/>
      <c r="GW1425" s="73"/>
      <c r="GX1425" s="73"/>
      <c r="GY1425" s="73"/>
      <c r="GZ1425" s="73"/>
      <c r="HA1425" s="73"/>
      <c r="HB1425" s="73"/>
      <c r="HC1425" s="73"/>
      <c r="HD1425" s="73"/>
      <c r="HE1425" s="73"/>
      <c r="HF1425" s="73"/>
      <c r="HG1425" s="73"/>
      <c r="HH1425" s="73"/>
      <c r="HI1425" s="73"/>
      <c r="HJ1425" s="73"/>
      <c r="HK1425" s="73"/>
      <c r="HL1425" s="73"/>
      <c r="HM1425" s="73"/>
      <c r="HN1425" s="73"/>
      <c r="HO1425" s="73"/>
      <c r="HP1425" s="73"/>
      <c r="HQ1425" s="73"/>
      <c r="HR1425" s="73"/>
      <c r="HS1425" s="73"/>
      <c r="HT1425" s="73"/>
      <c r="HU1425" s="73"/>
      <c r="HV1425" s="73"/>
      <c r="HW1425" s="73"/>
      <c r="HX1425" s="73"/>
      <c r="HY1425" s="73"/>
      <c r="HZ1425" s="73"/>
      <c r="IA1425" s="73"/>
      <c r="IB1425" s="73"/>
      <c r="IC1425" s="73"/>
      <c r="ID1425" s="73"/>
      <c r="IE1425" s="73"/>
      <c r="IF1425" s="73"/>
      <c r="IG1425" s="73"/>
      <c r="IH1425" s="73"/>
      <c r="II1425" s="73"/>
      <c r="IJ1425" s="73"/>
      <c r="IK1425" s="73"/>
      <c r="IL1425" s="73"/>
      <c r="IM1425" s="73"/>
      <c r="IN1425" s="73"/>
      <c r="IO1425" s="73"/>
      <c r="IP1425" s="73"/>
      <c r="IQ1425" s="73"/>
      <c r="IR1425" s="73"/>
      <c r="IS1425" s="73"/>
      <c r="IT1425" s="73"/>
      <c r="IU1425" s="73"/>
      <c r="IV1425" s="73"/>
      <c r="IW1425" s="73"/>
      <c r="IX1425" s="73"/>
      <c r="IY1425" s="73"/>
      <c r="IZ1425" s="73"/>
      <c r="JA1425" s="73"/>
      <c r="JB1425" s="73"/>
      <c r="JC1425" s="73"/>
    </row>
    <row r="1426" spans="2:263" s="72" customFormat="1">
      <c r="B1426" s="73"/>
      <c r="C1426" s="73"/>
      <c r="D1426" s="73"/>
      <c r="E1426" s="73"/>
      <c r="F1426" s="73"/>
      <c r="G1426" s="73"/>
      <c r="H1426" s="73"/>
      <c r="I1426" s="73"/>
      <c r="J1426" s="73"/>
      <c r="K1426" s="73"/>
      <c r="L1426" s="73"/>
      <c r="M1426" s="73"/>
      <c r="N1426" s="73"/>
      <c r="O1426" s="73"/>
      <c r="P1426" s="73"/>
      <c r="Q1426" s="73"/>
      <c r="R1426" s="73"/>
      <c r="S1426" s="73"/>
      <c r="T1426" s="73"/>
      <c r="U1426" s="73"/>
      <c r="V1426" s="73"/>
      <c r="W1426" s="73"/>
      <c r="GL1426" s="73"/>
      <c r="GM1426" s="73"/>
      <c r="GN1426" s="73"/>
      <c r="GO1426" s="73"/>
      <c r="GP1426" s="73"/>
      <c r="GQ1426" s="73"/>
      <c r="GR1426" s="73"/>
      <c r="GS1426" s="73"/>
      <c r="GT1426" s="73"/>
      <c r="GU1426" s="73"/>
      <c r="GV1426" s="73"/>
      <c r="GW1426" s="73"/>
      <c r="GX1426" s="73"/>
      <c r="GY1426" s="73"/>
      <c r="GZ1426" s="73"/>
      <c r="HA1426" s="73"/>
      <c r="HB1426" s="73"/>
      <c r="HC1426" s="73"/>
      <c r="HD1426" s="73"/>
      <c r="HE1426" s="73"/>
      <c r="HF1426" s="73"/>
      <c r="HG1426" s="73"/>
      <c r="HH1426" s="73"/>
      <c r="HI1426" s="73"/>
      <c r="HJ1426" s="73"/>
      <c r="HK1426" s="73"/>
      <c r="HL1426" s="73"/>
      <c r="HM1426" s="73"/>
      <c r="HN1426" s="73"/>
      <c r="HO1426" s="73"/>
      <c r="HP1426" s="73"/>
      <c r="HQ1426" s="73"/>
      <c r="HR1426" s="73"/>
      <c r="HS1426" s="73"/>
      <c r="HT1426" s="73"/>
      <c r="HU1426" s="73"/>
      <c r="HV1426" s="73"/>
      <c r="HW1426" s="73"/>
      <c r="HX1426" s="73"/>
      <c r="HY1426" s="73"/>
      <c r="HZ1426" s="73"/>
      <c r="IA1426" s="73"/>
      <c r="IB1426" s="73"/>
      <c r="IC1426" s="73"/>
      <c r="ID1426" s="73"/>
      <c r="IE1426" s="73"/>
      <c r="IF1426" s="73"/>
      <c r="IG1426" s="73"/>
      <c r="IH1426" s="73"/>
      <c r="II1426" s="73"/>
      <c r="IJ1426" s="73"/>
      <c r="IK1426" s="73"/>
      <c r="IL1426" s="73"/>
      <c r="IM1426" s="73"/>
      <c r="IN1426" s="73"/>
      <c r="IO1426" s="73"/>
      <c r="IP1426" s="73"/>
      <c r="IQ1426" s="73"/>
      <c r="IR1426" s="73"/>
      <c r="IS1426" s="73"/>
      <c r="IT1426" s="73"/>
      <c r="IU1426" s="73"/>
      <c r="IV1426" s="73"/>
      <c r="IW1426" s="73"/>
      <c r="IX1426" s="73"/>
      <c r="IY1426" s="73"/>
      <c r="IZ1426" s="73"/>
      <c r="JA1426" s="73"/>
      <c r="JB1426" s="73"/>
      <c r="JC1426" s="73"/>
    </row>
    <row r="1427" spans="2:263" s="72" customFormat="1">
      <c r="B1427" s="73"/>
      <c r="C1427" s="73"/>
      <c r="D1427" s="73"/>
      <c r="E1427" s="73"/>
      <c r="F1427" s="73"/>
      <c r="G1427" s="73"/>
      <c r="H1427" s="73"/>
      <c r="I1427" s="73"/>
      <c r="J1427" s="73"/>
      <c r="K1427" s="73"/>
      <c r="L1427" s="73"/>
      <c r="M1427" s="73"/>
      <c r="N1427" s="73"/>
      <c r="O1427" s="73"/>
      <c r="P1427" s="73"/>
      <c r="Q1427" s="73"/>
      <c r="R1427" s="73"/>
      <c r="S1427" s="73"/>
      <c r="T1427" s="73"/>
      <c r="U1427" s="73"/>
      <c r="V1427" s="73"/>
      <c r="W1427" s="73"/>
      <c r="GL1427" s="73"/>
      <c r="GM1427" s="73"/>
      <c r="GN1427" s="73"/>
      <c r="GO1427" s="73"/>
      <c r="GP1427" s="73"/>
      <c r="GQ1427" s="73"/>
      <c r="GR1427" s="73"/>
      <c r="GS1427" s="73"/>
      <c r="GT1427" s="73"/>
      <c r="GU1427" s="73"/>
      <c r="GV1427" s="73"/>
      <c r="GW1427" s="73"/>
      <c r="GX1427" s="73"/>
      <c r="GY1427" s="73"/>
      <c r="GZ1427" s="73"/>
      <c r="HA1427" s="73"/>
      <c r="HB1427" s="73"/>
      <c r="HC1427" s="73"/>
      <c r="HD1427" s="73"/>
      <c r="HE1427" s="73"/>
      <c r="HF1427" s="73"/>
      <c r="HG1427" s="73"/>
      <c r="HH1427" s="73"/>
      <c r="HI1427" s="73"/>
      <c r="HJ1427" s="73"/>
      <c r="HK1427" s="73"/>
      <c r="HL1427" s="73"/>
      <c r="HM1427" s="73"/>
      <c r="HN1427" s="73"/>
      <c r="HO1427" s="73"/>
      <c r="HP1427" s="73"/>
      <c r="HQ1427" s="73"/>
      <c r="HR1427" s="73"/>
      <c r="HS1427" s="73"/>
      <c r="HT1427" s="73"/>
      <c r="HU1427" s="73"/>
      <c r="HV1427" s="73"/>
      <c r="HW1427" s="73"/>
      <c r="HX1427" s="73"/>
      <c r="HY1427" s="73"/>
      <c r="HZ1427" s="73"/>
      <c r="IA1427" s="73"/>
      <c r="IB1427" s="73"/>
      <c r="IC1427" s="73"/>
      <c r="ID1427" s="73"/>
      <c r="IE1427" s="73"/>
      <c r="IF1427" s="73"/>
      <c r="IG1427" s="73"/>
      <c r="IH1427" s="73"/>
      <c r="II1427" s="73"/>
      <c r="IJ1427" s="73"/>
      <c r="IK1427" s="73"/>
      <c r="IL1427" s="73"/>
      <c r="IM1427" s="73"/>
      <c r="IN1427" s="73"/>
      <c r="IO1427" s="73"/>
      <c r="IP1427" s="73"/>
      <c r="IQ1427" s="73"/>
      <c r="IR1427" s="73"/>
      <c r="IS1427" s="73"/>
      <c r="IT1427" s="73"/>
      <c r="IU1427" s="73"/>
      <c r="IV1427" s="73"/>
      <c r="IW1427" s="73"/>
      <c r="IX1427" s="73"/>
      <c r="IY1427" s="73"/>
      <c r="IZ1427" s="73"/>
      <c r="JA1427" s="73"/>
      <c r="JB1427" s="73"/>
      <c r="JC1427" s="73"/>
    </row>
    <row r="1428" spans="2:263" s="72" customFormat="1">
      <c r="B1428" s="73"/>
      <c r="C1428" s="73"/>
      <c r="D1428" s="73"/>
      <c r="E1428" s="73"/>
      <c r="F1428" s="73"/>
      <c r="G1428" s="73"/>
      <c r="H1428" s="73"/>
      <c r="I1428" s="73"/>
      <c r="J1428" s="73"/>
      <c r="K1428" s="73"/>
      <c r="L1428" s="73"/>
      <c r="M1428" s="73"/>
      <c r="N1428" s="73"/>
      <c r="O1428" s="73"/>
      <c r="P1428" s="73"/>
      <c r="Q1428" s="73"/>
      <c r="R1428" s="73"/>
      <c r="S1428" s="73"/>
      <c r="T1428" s="73"/>
      <c r="U1428" s="73"/>
      <c r="V1428" s="73"/>
      <c r="W1428" s="73"/>
      <c r="GL1428" s="73"/>
      <c r="GM1428" s="73"/>
      <c r="GN1428" s="73"/>
      <c r="GO1428" s="73"/>
      <c r="GP1428" s="73"/>
      <c r="GQ1428" s="73"/>
      <c r="GR1428" s="73"/>
      <c r="GS1428" s="73"/>
      <c r="GT1428" s="73"/>
      <c r="GU1428" s="73"/>
      <c r="GV1428" s="73"/>
      <c r="GW1428" s="73"/>
      <c r="GX1428" s="73"/>
      <c r="GY1428" s="73"/>
      <c r="GZ1428" s="73"/>
      <c r="HA1428" s="73"/>
      <c r="HB1428" s="73"/>
      <c r="HC1428" s="73"/>
      <c r="HD1428" s="73"/>
      <c r="HE1428" s="73"/>
      <c r="HF1428" s="73"/>
      <c r="HG1428" s="73"/>
      <c r="HH1428" s="73"/>
      <c r="HI1428" s="73"/>
      <c r="HJ1428" s="73"/>
      <c r="HK1428" s="73"/>
      <c r="HL1428" s="73"/>
      <c r="HM1428" s="73"/>
      <c r="HN1428" s="73"/>
      <c r="HO1428" s="73"/>
      <c r="HP1428" s="73"/>
      <c r="HQ1428" s="73"/>
      <c r="HR1428" s="73"/>
      <c r="HS1428" s="73"/>
      <c r="HT1428" s="73"/>
      <c r="HU1428" s="73"/>
      <c r="HV1428" s="73"/>
      <c r="HW1428" s="73"/>
      <c r="HX1428" s="73"/>
      <c r="HY1428" s="73"/>
      <c r="HZ1428" s="73"/>
      <c r="IA1428" s="73"/>
      <c r="IB1428" s="73"/>
      <c r="IC1428" s="73"/>
      <c r="ID1428" s="73"/>
      <c r="IE1428" s="73"/>
      <c r="IF1428" s="73"/>
      <c r="IG1428" s="73"/>
      <c r="IH1428" s="73"/>
      <c r="II1428" s="73"/>
      <c r="IJ1428" s="73"/>
      <c r="IK1428" s="73"/>
      <c r="IL1428" s="73"/>
      <c r="IM1428" s="73"/>
      <c r="IN1428" s="73"/>
      <c r="IO1428" s="73"/>
      <c r="IP1428" s="73"/>
      <c r="IQ1428" s="73"/>
      <c r="IR1428" s="73"/>
      <c r="IS1428" s="73"/>
      <c r="IT1428" s="73"/>
      <c r="IU1428" s="73"/>
      <c r="IV1428" s="73"/>
      <c r="IW1428" s="73"/>
      <c r="IX1428" s="73"/>
      <c r="IY1428" s="73"/>
      <c r="IZ1428" s="73"/>
      <c r="JA1428" s="73"/>
      <c r="JB1428" s="73"/>
      <c r="JC1428" s="73"/>
    </row>
    <row r="1429" spans="2:263" s="72" customFormat="1">
      <c r="B1429" s="73"/>
      <c r="C1429" s="73"/>
      <c r="D1429" s="73"/>
      <c r="E1429" s="73"/>
      <c r="F1429" s="73"/>
      <c r="G1429" s="73"/>
      <c r="H1429" s="73"/>
      <c r="I1429" s="73"/>
      <c r="J1429" s="73"/>
      <c r="K1429" s="73"/>
      <c r="L1429" s="73"/>
      <c r="M1429" s="73"/>
      <c r="N1429" s="73"/>
      <c r="O1429" s="73"/>
      <c r="P1429" s="73"/>
      <c r="Q1429" s="73"/>
      <c r="R1429" s="73"/>
      <c r="S1429" s="73"/>
      <c r="T1429" s="73"/>
      <c r="U1429" s="73"/>
      <c r="V1429" s="73"/>
      <c r="W1429" s="73"/>
      <c r="GL1429" s="73"/>
      <c r="GM1429" s="73"/>
      <c r="GN1429" s="73"/>
      <c r="GO1429" s="73"/>
      <c r="GP1429" s="73"/>
      <c r="GQ1429" s="73"/>
      <c r="GR1429" s="73"/>
      <c r="GS1429" s="73"/>
      <c r="GT1429" s="73"/>
      <c r="GU1429" s="73"/>
      <c r="GV1429" s="73"/>
      <c r="GW1429" s="73"/>
      <c r="GX1429" s="73"/>
      <c r="GY1429" s="73"/>
      <c r="GZ1429" s="73"/>
      <c r="HA1429" s="73"/>
      <c r="HB1429" s="73"/>
      <c r="HC1429" s="73"/>
      <c r="HD1429" s="73"/>
      <c r="HE1429" s="73"/>
      <c r="HF1429" s="73"/>
      <c r="HG1429" s="73"/>
      <c r="HH1429" s="73"/>
      <c r="HI1429" s="73"/>
      <c r="HJ1429" s="73"/>
      <c r="HK1429" s="73"/>
      <c r="HL1429" s="73"/>
      <c r="HM1429" s="73"/>
      <c r="HN1429" s="73"/>
      <c r="HO1429" s="73"/>
      <c r="HP1429" s="73"/>
      <c r="HQ1429" s="73"/>
      <c r="HR1429" s="73"/>
      <c r="HS1429" s="73"/>
      <c r="HT1429" s="73"/>
      <c r="HU1429" s="73"/>
      <c r="HV1429" s="73"/>
      <c r="HW1429" s="73"/>
      <c r="HX1429" s="73"/>
      <c r="HY1429" s="73"/>
      <c r="HZ1429" s="73"/>
      <c r="IA1429" s="73"/>
      <c r="IB1429" s="73"/>
      <c r="IC1429" s="73"/>
      <c r="ID1429" s="73"/>
      <c r="IE1429" s="73"/>
      <c r="IF1429" s="73"/>
      <c r="IG1429" s="73"/>
      <c r="IH1429" s="73"/>
      <c r="II1429" s="73"/>
      <c r="IJ1429" s="73"/>
      <c r="IK1429" s="73"/>
      <c r="IL1429" s="73"/>
      <c r="IM1429" s="73"/>
      <c r="IN1429" s="73"/>
      <c r="IO1429" s="73"/>
      <c r="IP1429" s="73"/>
      <c r="IQ1429" s="73"/>
      <c r="IR1429" s="73"/>
      <c r="IS1429" s="73"/>
      <c r="IT1429" s="73"/>
      <c r="IU1429" s="73"/>
      <c r="IV1429" s="73"/>
      <c r="IW1429" s="73"/>
      <c r="IX1429" s="73"/>
      <c r="IY1429" s="73"/>
      <c r="IZ1429" s="73"/>
      <c r="JA1429" s="73"/>
      <c r="JB1429" s="73"/>
      <c r="JC1429" s="73"/>
    </row>
    <row r="1430" spans="2:263" s="72" customFormat="1">
      <c r="B1430" s="73"/>
      <c r="C1430" s="73"/>
      <c r="D1430" s="73"/>
      <c r="E1430" s="73"/>
      <c r="F1430" s="73"/>
      <c r="G1430" s="73"/>
      <c r="H1430" s="73"/>
      <c r="I1430" s="73"/>
      <c r="J1430" s="73"/>
      <c r="K1430" s="73"/>
      <c r="L1430" s="73"/>
      <c r="M1430" s="73"/>
      <c r="N1430" s="73"/>
      <c r="O1430" s="73"/>
      <c r="P1430" s="73"/>
      <c r="Q1430" s="73"/>
      <c r="R1430" s="73"/>
      <c r="S1430" s="73"/>
      <c r="T1430" s="73"/>
      <c r="U1430" s="73"/>
      <c r="V1430" s="73"/>
      <c r="W1430" s="73"/>
      <c r="GL1430" s="73"/>
      <c r="GM1430" s="73"/>
      <c r="GN1430" s="73"/>
      <c r="GO1430" s="73"/>
      <c r="GP1430" s="73"/>
      <c r="GQ1430" s="73"/>
      <c r="GR1430" s="73"/>
      <c r="GS1430" s="73"/>
      <c r="GT1430" s="73"/>
      <c r="GU1430" s="73"/>
      <c r="GV1430" s="73"/>
      <c r="GW1430" s="73"/>
      <c r="GX1430" s="73"/>
      <c r="GY1430" s="73"/>
      <c r="GZ1430" s="73"/>
      <c r="HA1430" s="73"/>
      <c r="HB1430" s="73"/>
      <c r="HC1430" s="73"/>
      <c r="HD1430" s="73"/>
      <c r="HE1430" s="73"/>
      <c r="HF1430" s="73"/>
      <c r="HG1430" s="73"/>
      <c r="HH1430" s="73"/>
      <c r="HI1430" s="73"/>
      <c r="HJ1430" s="73"/>
      <c r="HK1430" s="73"/>
      <c r="HL1430" s="73"/>
      <c r="HM1430" s="73"/>
      <c r="HN1430" s="73"/>
      <c r="HO1430" s="73"/>
      <c r="HP1430" s="73"/>
      <c r="HQ1430" s="73"/>
      <c r="HR1430" s="73"/>
      <c r="HS1430" s="73"/>
      <c r="HT1430" s="73"/>
      <c r="HU1430" s="73"/>
      <c r="HV1430" s="73"/>
      <c r="HW1430" s="73"/>
      <c r="HX1430" s="73"/>
      <c r="HY1430" s="73"/>
      <c r="HZ1430" s="73"/>
      <c r="IA1430" s="73"/>
      <c r="IB1430" s="73"/>
      <c r="IC1430" s="73"/>
      <c r="ID1430" s="73"/>
      <c r="IE1430" s="73"/>
      <c r="IF1430" s="73"/>
      <c r="IG1430" s="73"/>
      <c r="IH1430" s="73"/>
      <c r="II1430" s="73"/>
      <c r="IJ1430" s="73"/>
      <c r="IK1430" s="73"/>
      <c r="IL1430" s="73"/>
      <c r="IM1430" s="73"/>
      <c r="IN1430" s="73"/>
      <c r="IO1430" s="73"/>
      <c r="IP1430" s="73"/>
      <c r="IQ1430" s="73"/>
      <c r="IR1430" s="73"/>
      <c r="IS1430" s="73"/>
      <c r="IT1430" s="73"/>
      <c r="IU1430" s="73"/>
      <c r="IV1430" s="73"/>
      <c r="IW1430" s="73"/>
      <c r="IX1430" s="73"/>
      <c r="IY1430" s="73"/>
      <c r="IZ1430" s="73"/>
      <c r="JA1430" s="73"/>
      <c r="JB1430" s="73"/>
      <c r="JC1430" s="73"/>
    </row>
    <row r="1431" spans="2:263" s="72" customFormat="1">
      <c r="B1431" s="73"/>
      <c r="C1431" s="73"/>
      <c r="D1431" s="73"/>
      <c r="E1431" s="73"/>
      <c r="F1431" s="73"/>
      <c r="G1431" s="73"/>
      <c r="H1431" s="73"/>
      <c r="I1431" s="73"/>
      <c r="J1431" s="73"/>
      <c r="K1431" s="73"/>
      <c r="L1431" s="73"/>
      <c r="M1431" s="73"/>
      <c r="N1431" s="73"/>
      <c r="O1431" s="73"/>
      <c r="P1431" s="73"/>
      <c r="Q1431" s="73"/>
      <c r="R1431" s="73"/>
      <c r="S1431" s="73"/>
      <c r="T1431" s="73"/>
      <c r="U1431" s="73"/>
      <c r="V1431" s="73"/>
      <c r="W1431" s="73"/>
      <c r="GL1431" s="73"/>
      <c r="GM1431" s="73"/>
      <c r="GN1431" s="73"/>
      <c r="GO1431" s="73"/>
      <c r="GP1431" s="73"/>
      <c r="GQ1431" s="73"/>
      <c r="GR1431" s="73"/>
      <c r="GS1431" s="73"/>
      <c r="GT1431" s="73"/>
      <c r="GU1431" s="73"/>
      <c r="GV1431" s="73"/>
      <c r="GW1431" s="73"/>
      <c r="GX1431" s="73"/>
      <c r="GY1431" s="73"/>
      <c r="GZ1431" s="73"/>
      <c r="HA1431" s="73"/>
      <c r="HB1431" s="73"/>
      <c r="HC1431" s="73"/>
      <c r="HD1431" s="73"/>
      <c r="HE1431" s="73"/>
      <c r="HF1431" s="73"/>
      <c r="HG1431" s="73"/>
      <c r="HH1431" s="73"/>
      <c r="HI1431" s="73"/>
      <c r="HJ1431" s="73"/>
      <c r="HK1431" s="73"/>
      <c r="HL1431" s="73"/>
      <c r="HM1431" s="73"/>
      <c r="HN1431" s="73"/>
      <c r="HO1431" s="73"/>
      <c r="HP1431" s="73"/>
      <c r="HQ1431" s="73"/>
      <c r="HR1431" s="73"/>
      <c r="HS1431" s="73"/>
      <c r="HT1431" s="73"/>
      <c r="HU1431" s="73"/>
      <c r="HV1431" s="73"/>
      <c r="HW1431" s="73"/>
      <c r="HX1431" s="73"/>
      <c r="HY1431" s="73"/>
      <c r="HZ1431" s="73"/>
      <c r="IA1431" s="73"/>
      <c r="IB1431" s="73"/>
      <c r="IC1431" s="73"/>
      <c r="ID1431" s="73"/>
      <c r="IE1431" s="73"/>
      <c r="IF1431" s="73"/>
      <c r="IG1431" s="73"/>
      <c r="IH1431" s="73"/>
      <c r="II1431" s="73"/>
      <c r="IJ1431" s="73"/>
      <c r="IK1431" s="73"/>
      <c r="IL1431" s="73"/>
      <c r="IM1431" s="73"/>
      <c r="IN1431" s="73"/>
      <c r="IO1431" s="73"/>
      <c r="IP1431" s="73"/>
      <c r="IQ1431" s="73"/>
      <c r="IR1431" s="73"/>
      <c r="IS1431" s="73"/>
      <c r="IT1431" s="73"/>
      <c r="IU1431" s="73"/>
      <c r="IV1431" s="73"/>
      <c r="IW1431" s="73"/>
      <c r="IX1431" s="73"/>
      <c r="IY1431" s="73"/>
      <c r="IZ1431" s="73"/>
      <c r="JA1431" s="73"/>
      <c r="JB1431" s="73"/>
      <c r="JC1431" s="73"/>
    </row>
    <row r="1432" spans="2:263" s="72" customFormat="1">
      <c r="B1432" s="73"/>
      <c r="C1432" s="73"/>
      <c r="D1432" s="73"/>
      <c r="E1432" s="73"/>
      <c r="F1432" s="73"/>
      <c r="G1432" s="73"/>
      <c r="H1432" s="73"/>
      <c r="I1432" s="73"/>
      <c r="J1432" s="73"/>
      <c r="K1432" s="73"/>
      <c r="L1432" s="73"/>
      <c r="M1432" s="73"/>
      <c r="N1432" s="73"/>
      <c r="O1432" s="73"/>
      <c r="P1432" s="73"/>
      <c r="Q1432" s="73"/>
      <c r="R1432" s="73"/>
      <c r="S1432" s="73"/>
      <c r="T1432" s="73"/>
      <c r="U1432" s="73"/>
      <c r="V1432" s="73"/>
      <c r="W1432" s="73"/>
      <c r="GL1432" s="73"/>
      <c r="GM1432" s="73"/>
      <c r="GN1432" s="73"/>
      <c r="GO1432" s="73"/>
      <c r="GP1432" s="73"/>
      <c r="GQ1432" s="73"/>
      <c r="GR1432" s="73"/>
      <c r="GS1432" s="73"/>
      <c r="GT1432" s="73"/>
      <c r="GU1432" s="73"/>
      <c r="GV1432" s="73"/>
      <c r="GW1432" s="73"/>
      <c r="GX1432" s="73"/>
      <c r="GY1432" s="73"/>
      <c r="GZ1432" s="73"/>
      <c r="HA1432" s="73"/>
      <c r="HB1432" s="73"/>
      <c r="HC1432" s="73"/>
      <c r="HD1432" s="73"/>
      <c r="HE1432" s="73"/>
      <c r="HF1432" s="73"/>
      <c r="HG1432" s="73"/>
      <c r="HH1432" s="73"/>
      <c r="HI1432" s="73"/>
      <c r="HJ1432" s="73"/>
      <c r="HK1432" s="73"/>
      <c r="HL1432" s="73"/>
      <c r="HM1432" s="73"/>
      <c r="HN1432" s="73"/>
      <c r="HO1432" s="73"/>
      <c r="HP1432" s="73"/>
      <c r="HQ1432" s="73"/>
      <c r="HR1432" s="73"/>
      <c r="HS1432" s="73"/>
      <c r="HT1432" s="73"/>
      <c r="HU1432" s="73"/>
      <c r="HV1432" s="73"/>
      <c r="HW1432" s="73"/>
      <c r="HX1432" s="73"/>
      <c r="HY1432" s="73"/>
      <c r="HZ1432" s="73"/>
      <c r="IA1432" s="73"/>
      <c r="IB1432" s="73"/>
      <c r="IC1432" s="73"/>
      <c r="ID1432" s="73"/>
      <c r="IE1432" s="73"/>
      <c r="IF1432" s="73"/>
      <c r="IG1432" s="73"/>
      <c r="IH1432" s="73"/>
      <c r="II1432" s="73"/>
      <c r="IJ1432" s="73"/>
      <c r="IK1432" s="73"/>
      <c r="IL1432" s="73"/>
      <c r="IM1432" s="73"/>
      <c r="IN1432" s="73"/>
      <c r="IO1432" s="73"/>
      <c r="IP1432" s="73"/>
      <c r="IQ1432" s="73"/>
      <c r="IR1432" s="73"/>
      <c r="IS1432" s="73"/>
      <c r="IT1432" s="73"/>
      <c r="IU1432" s="73"/>
      <c r="IV1432" s="73"/>
      <c r="IW1432" s="73"/>
      <c r="IX1432" s="73"/>
      <c r="IY1432" s="73"/>
      <c r="IZ1432" s="73"/>
      <c r="JA1432" s="73"/>
      <c r="JB1432" s="73"/>
      <c r="JC1432" s="73"/>
    </row>
    <row r="1433" spans="2:263" s="72" customFormat="1">
      <c r="B1433" s="73"/>
      <c r="C1433" s="73"/>
      <c r="D1433" s="73"/>
      <c r="E1433" s="73"/>
      <c r="F1433" s="73"/>
      <c r="G1433" s="73"/>
      <c r="H1433" s="73"/>
      <c r="I1433" s="73"/>
      <c r="J1433" s="73"/>
      <c r="K1433" s="73"/>
      <c r="L1433" s="73"/>
      <c r="M1433" s="73"/>
      <c r="N1433" s="73"/>
      <c r="O1433" s="73"/>
      <c r="P1433" s="73"/>
      <c r="Q1433" s="73"/>
      <c r="R1433" s="73"/>
      <c r="S1433" s="73"/>
      <c r="T1433" s="73"/>
      <c r="U1433" s="73"/>
      <c r="V1433" s="73"/>
      <c r="W1433" s="73"/>
      <c r="GL1433" s="73"/>
      <c r="GM1433" s="73"/>
      <c r="GN1433" s="73"/>
      <c r="GO1433" s="73"/>
      <c r="GP1433" s="73"/>
      <c r="GQ1433" s="73"/>
      <c r="GR1433" s="73"/>
      <c r="GS1433" s="73"/>
      <c r="GT1433" s="73"/>
      <c r="GU1433" s="73"/>
      <c r="GV1433" s="73"/>
      <c r="GW1433" s="73"/>
      <c r="GX1433" s="73"/>
      <c r="GY1433" s="73"/>
      <c r="GZ1433" s="73"/>
      <c r="HA1433" s="73"/>
      <c r="HB1433" s="73"/>
      <c r="HC1433" s="73"/>
      <c r="HD1433" s="73"/>
      <c r="HE1433" s="73"/>
      <c r="HF1433" s="73"/>
      <c r="HG1433" s="73"/>
      <c r="HH1433" s="73"/>
      <c r="HI1433" s="73"/>
      <c r="HJ1433" s="73"/>
      <c r="HK1433" s="73"/>
      <c r="HL1433" s="73"/>
      <c r="HM1433" s="73"/>
      <c r="HN1433" s="73"/>
      <c r="HO1433" s="73"/>
      <c r="HP1433" s="73"/>
      <c r="HQ1433" s="73"/>
      <c r="HR1433" s="73"/>
      <c r="HS1433" s="73"/>
      <c r="HT1433" s="73"/>
      <c r="HU1433" s="73"/>
      <c r="HV1433" s="73"/>
      <c r="HW1433" s="73"/>
      <c r="HX1433" s="73"/>
      <c r="HY1433" s="73"/>
      <c r="HZ1433" s="73"/>
      <c r="IA1433" s="73"/>
      <c r="IB1433" s="73"/>
      <c r="IC1433" s="73"/>
      <c r="ID1433" s="73"/>
      <c r="IE1433" s="73"/>
      <c r="IF1433" s="73"/>
      <c r="IG1433" s="73"/>
      <c r="IH1433" s="73"/>
      <c r="II1433" s="73"/>
      <c r="IJ1433" s="73"/>
      <c r="IK1433" s="73"/>
      <c r="IL1433" s="73"/>
      <c r="IM1433" s="73"/>
      <c r="IN1433" s="73"/>
      <c r="IO1433" s="73"/>
      <c r="IP1433" s="73"/>
      <c r="IQ1433" s="73"/>
      <c r="IR1433" s="73"/>
      <c r="IS1433" s="73"/>
      <c r="IT1433" s="73"/>
      <c r="IU1433" s="73"/>
      <c r="IV1433" s="73"/>
      <c r="IW1433" s="73"/>
      <c r="IX1433" s="73"/>
      <c r="IY1433" s="73"/>
      <c r="IZ1433" s="73"/>
      <c r="JA1433" s="73"/>
      <c r="JB1433" s="73"/>
      <c r="JC1433" s="73"/>
    </row>
    <row r="1434" spans="2:263" s="72" customFormat="1">
      <c r="B1434" s="73"/>
      <c r="C1434" s="73"/>
      <c r="D1434" s="73"/>
      <c r="E1434" s="73"/>
      <c r="F1434" s="73"/>
      <c r="G1434" s="73"/>
      <c r="H1434" s="73"/>
      <c r="I1434" s="73"/>
      <c r="J1434" s="73"/>
      <c r="K1434" s="73"/>
      <c r="L1434" s="73"/>
      <c r="M1434" s="73"/>
      <c r="N1434" s="73"/>
      <c r="O1434" s="73"/>
      <c r="P1434" s="73"/>
      <c r="Q1434" s="73"/>
      <c r="R1434" s="73"/>
      <c r="S1434" s="73"/>
      <c r="T1434" s="73"/>
      <c r="U1434" s="73"/>
      <c r="V1434" s="73"/>
      <c r="W1434" s="73"/>
      <c r="GL1434" s="73"/>
      <c r="GM1434" s="73"/>
      <c r="GN1434" s="73"/>
      <c r="GO1434" s="73"/>
      <c r="GP1434" s="73"/>
      <c r="GQ1434" s="73"/>
      <c r="GR1434" s="73"/>
      <c r="GS1434" s="73"/>
      <c r="GT1434" s="73"/>
      <c r="GU1434" s="73"/>
      <c r="GV1434" s="73"/>
      <c r="GW1434" s="73"/>
      <c r="GX1434" s="73"/>
      <c r="GY1434" s="73"/>
      <c r="GZ1434" s="73"/>
      <c r="HA1434" s="73"/>
      <c r="HB1434" s="73"/>
      <c r="HC1434" s="73"/>
      <c r="HD1434" s="73"/>
      <c r="HE1434" s="73"/>
      <c r="HF1434" s="73"/>
      <c r="HG1434" s="73"/>
      <c r="HH1434" s="73"/>
      <c r="HI1434" s="73"/>
      <c r="HJ1434" s="73"/>
      <c r="HK1434" s="73"/>
      <c r="HL1434" s="73"/>
      <c r="HM1434" s="73"/>
      <c r="HN1434" s="73"/>
      <c r="HO1434" s="73"/>
      <c r="HP1434" s="73"/>
      <c r="HQ1434" s="73"/>
      <c r="HR1434" s="73"/>
      <c r="HS1434" s="73"/>
      <c r="HT1434" s="73"/>
      <c r="HU1434" s="73"/>
      <c r="HV1434" s="73"/>
      <c r="HW1434" s="73"/>
      <c r="HX1434" s="73"/>
      <c r="HY1434" s="73"/>
      <c r="HZ1434" s="73"/>
      <c r="IA1434" s="73"/>
      <c r="IB1434" s="73"/>
      <c r="IC1434" s="73"/>
      <c r="ID1434" s="73"/>
      <c r="IE1434" s="73"/>
      <c r="IF1434" s="73"/>
      <c r="IG1434" s="73"/>
      <c r="IH1434" s="73"/>
      <c r="II1434" s="73"/>
      <c r="IJ1434" s="73"/>
      <c r="IK1434" s="73"/>
      <c r="IL1434" s="73"/>
      <c r="IM1434" s="73"/>
      <c r="IN1434" s="73"/>
      <c r="IO1434" s="73"/>
      <c r="IP1434" s="73"/>
      <c r="IQ1434" s="73"/>
      <c r="IR1434" s="73"/>
      <c r="IS1434" s="73"/>
      <c r="IT1434" s="73"/>
      <c r="IU1434" s="73"/>
      <c r="IV1434" s="73"/>
      <c r="IW1434" s="73"/>
      <c r="IX1434" s="73"/>
      <c r="IY1434" s="73"/>
      <c r="IZ1434" s="73"/>
      <c r="JA1434" s="73"/>
      <c r="JB1434" s="73"/>
      <c r="JC1434" s="73"/>
    </row>
    <row r="1435" spans="2:263" s="72" customFormat="1">
      <c r="B1435" s="73"/>
      <c r="C1435" s="73"/>
      <c r="D1435" s="73"/>
      <c r="E1435" s="73"/>
      <c r="F1435" s="73"/>
      <c r="G1435" s="73"/>
      <c r="H1435" s="73"/>
      <c r="I1435" s="73"/>
      <c r="J1435" s="73"/>
      <c r="K1435" s="73"/>
      <c r="L1435" s="73"/>
      <c r="M1435" s="73"/>
      <c r="N1435" s="73"/>
      <c r="O1435" s="73"/>
      <c r="P1435" s="73"/>
      <c r="Q1435" s="73"/>
      <c r="R1435" s="73"/>
      <c r="S1435" s="73"/>
      <c r="T1435" s="73"/>
      <c r="U1435" s="73"/>
      <c r="V1435" s="73"/>
      <c r="W1435" s="73"/>
      <c r="GL1435" s="73"/>
      <c r="GM1435" s="73"/>
      <c r="GN1435" s="73"/>
      <c r="GO1435" s="73"/>
      <c r="GP1435" s="73"/>
      <c r="GQ1435" s="73"/>
      <c r="GR1435" s="73"/>
      <c r="GS1435" s="73"/>
      <c r="GT1435" s="73"/>
      <c r="GU1435" s="73"/>
      <c r="GV1435" s="73"/>
      <c r="GW1435" s="73"/>
      <c r="GX1435" s="73"/>
      <c r="GY1435" s="73"/>
      <c r="GZ1435" s="73"/>
      <c r="HA1435" s="73"/>
      <c r="HB1435" s="73"/>
      <c r="HC1435" s="73"/>
      <c r="HD1435" s="73"/>
      <c r="HE1435" s="73"/>
      <c r="HF1435" s="73"/>
      <c r="HG1435" s="73"/>
      <c r="HH1435" s="73"/>
      <c r="HI1435" s="73"/>
      <c r="HJ1435" s="73"/>
      <c r="HK1435" s="73"/>
      <c r="HL1435" s="73"/>
      <c r="HM1435" s="73"/>
      <c r="HN1435" s="73"/>
      <c r="HO1435" s="73"/>
      <c r="HP1435" s="73"/>
      <c r="HQ1435" s="73"/>
      <c r="HR1435" s="73"/>
      <c r="HS1435" s="73"/>
      <c r="HT1435" s="73"/>
      <c r="HU1435" s="73"/>
      <c r="HV1435" s="73"/>
      <c r="HW1435" s="73"/>
      <c r="HX1435" s="73"/>
      <c r="HY1435" s="73"/>
      <c r="HZ1435" s="73"/>
      <c r="IA1435" s="73"/>
      <c r="IB1435" s="73"/>
      <c r="IC1435" s="73"/>
      <c r="ID1435" s="73"/>
      <c r="IE1435" s="73"/>
      <c r="IF1435" s="73"/>
      <c r="IG1435" s="73"/>
      <c r="IH1435" s="73"/>
      <c r="II1435" s="73"/>
      <c r="IJ1435" s="73"/>
      <c r="IK1435" s="73"/>
      <c r="IL1435" s="73"/>
      <c r="IM1435" s="73"/>
      <c r="IN1435" s="73"/>
      <c r="IO1435" s="73"/>
      <c r="IP1435" s="73"/>
      <c r="IQ1435" s="73"/>
      <c r="IR1435" s="73"/>
      <c r="IS1435" s="73"/>
      <c r="IT1435" s="73"/>
      <c r="IU1435" s="73"/>
      <c r="IV1435" s="73"/>
      <c r="IW1435" s="73"/>
      <c r="IX1435" s="73"/>
      <c r="IY1435" s="73"/>
      <c r="IZ1435" s="73"/>
      <c r="JA1435" s="73"/>
      <c r="JB1435" s="73"/>
      <c r="JC1435" s="73"/>
    </row>
    <row r="1436" spans="2:263" s="72" customFormat="1">
      <c r="B1436" s="73"/>
      <c r="C1436" s="73"/>
      <c r="D1436" s="73"/>
      <c r="E1436" s="73"/>
      <c r="F1436" s="73"/>
      <c r="G1436" s="73"/>
      <c r="H1436" s="73"/>
      <c r="I1436" s="73"/>
      <c r="J1436" s="73"/>
      <c r="K1436" s="73"/>
      <c r="L1436" s="73"/>
      <c r="M1436" s="73"/>
      <c r="N1436" s="73"/>
      <c r="O1436" s="73"/>
      <c r="P1436" s="73"/>
      <c r="Q1436" s="73"/>
      <c r="R1436" s="73"/>
      <c r="S1436" s="73"/>
      <c r="T1436" s="73"/>
      <c r="U1436" s="73"/>
      <c r="V1436" s="73"/>
      <c r="W1436" s="73"/>
      <c r="GL1436" s="73"/>
      <c r="GM1436" s="73"/>
      <c r="GN1436" s="73"/>
      <c r="GO1436" s="73"/>
      <c r="GP1436" s="73"/>
      <c r="GQ1436" s="73"/>
      <c r="GR1436" s="73"/>
      <c r="GS1436" s="73"/>
      <c r="GT1436" s="73"/>
      <c r="GU1436" s="73"/>
      <c r="GV1436" s="73"/>
      <c r="GW1436" s="73"/>
      <c r="GX1436" s="73"/>
      <c r="GY1436" s="73"/>
      <c r="GZ1436" s="73"/>
      <c r="HA1436" s="73"/>
      <c r="HB1436" s="73"/>
      <c r="HC1436" s="73"/>
      <c r="HD1436" s="73"/>
      <c r="HE1436" s="73"/>
      <c r="HF1436" s="73"/>
      <c r="HG1436" s="73"/>
      <c r="HH1436" s="73"/>
      <c r="HI1436" s="73"/>
      <c r="HJ1436" s="73"/>
      <c r="HK1436" s="73"/>
      <c r="HL1436" s="73"/>
      <c r="HM1436" s="73"/>
      <c r="HN1436" s="73"/>
      <c r="HO1436" s="73"/>
      <c r="HP1436" s="73"/>
      <c r="HQ1436" s="73"/>
      <c r="HR1436" s="73"/>
      <c r="HS1436" s="73"/>
      <c r="HT1436" s="73"/>
      <c r="HU1436" s="73"/>
      <c r="HV1436" s="73"/>
      <c r="HW1436" s="73"/>
      <c r="HX1436" s="73"/>
      <c r="HY1436" s="73"/>
      <c r="HZ1436" s="73"/>
      <c r="IA1436" s="73"/>
      <c r="IB1436" s="73"/>
      <c r="IC1436" s="73"/>
      <c r="ID1436" s="73"/>
      <c r="IE1436" s="73"/>
      <c r="IF1436" s="73"/>
      <c r="IG1436" s="73"/>
      <c r="IH1436" s="73"/>
      <c r="II1436" s="73"/>
      <c r="IJ1436" s="73"/>
      <c r="IK1436" s="73"/>
      <c r="IL1436" s="73"/>
      <c r="IM1436" s="73"/>
      <c r="IN1436" s="73"/>
      <c r="IO1436" s="73"/>
      <c r="IP1436" s="73"/>
      <c r="IQ1436" s="73"/>
      <c r="IR1436" s="73"/>
      <c r="IS1436" s="73"/>
      <c r="IT1436" s="73"/>
      <c r="IU1436" s="73"/>
      <c r="IV1436" s="73"/>
      <c r="IW1436" s="73"/>
      <c r="IX1436" s="73"/>
      <c r="IY1436" s="73"/>
      <c r="IZ1436" s="73"/>
      <c r="JA1436" s="73"/>
      <c r="JB1436" s="73"/>
      <c r="JC1436" s="73"/>
    </row>
    <row r="1437" spans="2:263" s="72" customFormat="1">
      <c r="B1437" s="73"/>
      <c r="C1437" s="73"/>
      <c r="D1437" s="73"/>
      <c r="E1437" s="73"/>
      <c r="F1437" s="73"/>
      <c r="G1437" s="73"/>
      <c r="H1437" s="73"/>
      <c r="I1437" s="73"/>
      <c r="J1437" s="73"/>
      <c r="K1437" s="73"/>
      <c r="L1437" s="73"/>
      <c r="M1437" s="73"/>
      <c r="N1437" s="73"/>
      <c r="O1437" s="73"/>
      <c r="P1437" s="73"/>
      <c r="Q1437" s="73"/>
      <c r="R1437" s="73"/>
      <c r="S1437" s="73"/>
      <c r="T1437" s="73"/>
      <c r="U1437" s="73"/>
      <c r="V1437" s="73"/>
      <c r="W1437" s="73"/>
      <c r="GL1437" s="73"/>
      <c r="GM1437" s="73"/>
      <c r="GN1437" s="73"/>
      <c r="GO1437" s="73"/>
      <c r="GP1437" s="73"/>
      <c r="GQ1437" s="73"/>
      <c r="GR1437" s="73"/>
      <c r="GS1437" s="73"/>
      <c r="GT1437" s="73"/>
      <c r="GU1437" s="73"/>
      <c r="GV1437" s="73"/>
      <c r="GW1437" s="73"/>
      <c r="GX1437" s="73"/>
      <c r="GY1437" s="73"/>
      <c r="GZ1437" s="73"/>
      <c r="HA1437" s="73"/>
      <c r="HB1437" s="73"/>
      <c r="HC1437" s="73"/>
      <c r="HD1437" s="73"/>
      <c r="HE1437" s="73"/>
      <c r="HF1437" s="73"/>
      <c r="HG1437" s="73"/>
      <c r="HH1437" s="73"/>
      <c r="HI1437" s="73"/>
      <c r="HJ1437" s="73"/>
      <c r="HK1437" s="73"/>
      <c r="HL1437" s="73"/>
      <c r="HM1437" s="73"/>
      <c r="HN1437" s="73"/>
      <c r="HO1437" s="73"/>
      <c r="HP1437" s="73"/>
      <c r="HQ1437" s="73"/>
      <c r="HR1437" s="73"/>
      <c r="HS1437" s="73"/>
      <c r="HT1437" s="73"/>
      <c r="HU1437" s="73"/>
      <c r="HV1437" s="73"/>
      <c r="HW1437" s="73"/>
      <c r="HX1437" s="73"/>
      <c r="HY1437" s="73"/>
      <c r="HZ1437" s="73"/>
      <c r="IA1437" s="73"/>
      <c r="IB1437" s="73"/>
      <c r="IC1437" s="73"/>
      <c r="ID1437" s="73"/>
      <c r="IE1437" s="73"/>
      <c r="IF1437" s="73"/>
      <c r="IG1437" s="73"/>
      <c r="IH1437" s="73"/>
      <c r="II1437" s="73"/>
      <c r="IJ1437" s="73"/>
      <c r="IK1437" s="73"/>
      <c r="IL1437" s="73"/>
      <c r="IM1437" s="73"/>
      <c r="IN1437" s="73"/>
      <c r="IO1437" s="73"/>
      <c r="IP1437" s="73"/>
      <c r="IQ1437" s="73"/>
      <c r="IR1437" s="73"/>
      <c r="IS1437" s="73"/>
      <c r="IT1437" s="73"/>
      <c r="IU1437" s="73"/>
      <c r="IV1437" s="73"/>
      <c r="IW1437" s="73"/>
      <c r="IX1437" s="73"/>
      <c r="IY1437" s="73"/>
      <c r="IZ1437" s="73"/>
      <c r="JA1437" s="73"/>
      <c r="JB1437" s="73"/>
      <c r="JC1437" s="73"/>
    </row>
    <row r="1438" spans="2:263" s="72" customFormat="1">
      <c r="B1438" s="73"/>
      <c r="C1438" s="73"/>
      <c r="D1438" s="73"/>
      <c r="E1438" s="73"/>
      <c r="F1438" s="73"/>
      <c r="G1438" s="73"/>
      <c r="H1438" s="73"/>
      <c r="I1438" s="73"/>
      <c r="J1438" s="73"/>
      <c r="K1438" s="73"/>
      <c r="L1438" s="73"/>
      <c r="M1438" s="73"/>
      <c r="N1438" s="73"/>
      <c r="O1438" s="73"/>
      <c r="P1438" s="73"/>
      <c r="Q1438" s="73"/>
      <c r="R1438" s="73"/>
      <c r="S1438" s="73"/>
      <c r="T1438" s="73"/>
      <c r="U1438" s="73"/>
      <c r="V1438" s="73"/>
      <c r="W1438" s="73"/>
      <c r="GL1438" s="73"/>
      <c r="GM1438" s="73"/>
      <c r="GN1438" s="73"/>
      <c r="GO1438" s="73"/>
      <c r="GP1438" s="73"/>
      <c r="GQ1438" s="73"/>
      <c r="GR1438" s="73"/>
      <c r="GS1438" s="73"/>
      <c r="GT1438" s="73"/>
      <c r="GU1438" s="73"/>
      <c r="GV1438" s="73"/>
      <c r="GW1438" s="73"/>
      <c r="GX1438" s="73"/>
      <c r="GY1438" s="73"/>
      <c r="GZ1438" s="73"/>
      <c r="HA1438" s="73"/>
      <c r="HB1438" s="73"/>
      <c r="HC1438" s="73"/>
      <c r="HD1438" s="73"/>
      <c r="HE1438" s="73"/>
      <c r="HF1438" s="73"/>
      <c r="HG1438" s="73"/>
      <c r="HH1438" s="73"/>
      <c r="HI1438" s="73"/>
      <c r="HJ1438" s="73"/>
      <c r="HK1438" s="73"/>
      <c r="HL1438" s="73"/>
      <c r="HM1438" s="73"/>
      <c r="HN1438" s="73"/>
      <c r="HO1438" s="73"/>
      <c r="HP1438" s="73"/>
      <c r="HQ1438" s="73"/>
      <c r="HR1438" s="73"/>
      <c r="HS1438" s="73"/>
      <c r="HT1438" s="73"/>
      <c r="HU1438" s="73"/>
      <c r="HV1438" s="73"/>
      <c r="HW1438" s="73"/>
      <c r="HX1438" s="73"/>
      <c r="HY1438" s="73"/>
      <c r="HZ1438" s="73"/>
      <c r="IA1438" s="73"/>
      <c r="IB1438" s="73"/>
      <c r="IC1438" s="73"/>
      <c r="ID1438" s="73"/>
      <c r="IE1438" s="73"/>
      <c r="IF1438" s="73"/>
      <c r="IG1438" s="73"/>
      <c r="IH1438" s="73"/>
      <c r="II1438" s="73"/>
      <c r="IJ1438" s="73"/>
      <c r="IK1438" s="73"/>
      <c r="IL1438" s="73"/>
      <c r="IM1438" s="73"/>
      <c r="IN1438" s="73"/>
      <c r="IO1438" s="73"/>
      <c r="IP1438" s="73"/>
      <c r="IQ1438" s="73"/>
      <c r="IR1438" s="73"/>
      <c r="IS1438" s="73"/>
      <c r="IT1438" s="73"/>
      <c r="IU1438" s="73"/>
      <c r="IV1438" s="73"/>
      <c r="IW1438" s="73"/>
      <c r="IX1438" s="73"/>
      <c r="IY1438" s="73"/>
      <c r="IZ1438" s="73"/>
      <c r="JA1438" s="73"/>
      <c r="JB1438" s="73"/>
      <c r="JC1438" s="73"/>
    </row>
    <row r="1439" spans="2:263" s="72" customFormat="1">
      <c r="B1439" s="73"/>
      <c r="C1439" s="73"/>
      <c r="D1439" s="73"/>
      <c r="E1439" s="73"/>
      <c r="F1439" s="73"/>
      <c r="G1439" s="73"/>
      <c r="H1439" s="73"/>
      <c r="I1439" s="73"/>
      <c r="J1439" s="73"/>
      <c r="K1439" s="73"/>
      <c r="L1439" s="73"/>
      <c r="M1439" s="73"/>
      <c r="N1439" s="73"/>
      <c r="O1439" s="73"/>
      <c r="P1439" s="73"/>
      <c r="Q1439" s="73"/>
      <c r="R1439" s="73"/>
      <c r="S1439" s="73"/>
      <c r="T1439" s="73"/>
      <c r="U1439" s="73"/>
      <c r="V1439" s="73"/>
      <c r="W1439" s="73"/>
      <c r="GL1439" s="73"/>
      <c r="GM1439" s="73"/>
      <c r="GN1439" s="73"/>
      <c r="GO1439" s="73"/>
      <c r="GP1439" s="73"/>
      <c r="GQ1439" s="73"/>
      <c r="GR1439" s="73"/>
      <c r="GS1439" s="73"/>
      <c r="GT1439" s="73"/>
      <c r="GU1439" s="73"/>
      <c r="GV1439" s="73"/>
      <c r="GW1439" s="73"/>
      <c r="GX1439" s="73"/>
      <c r="GY1439" s="73"/>
      <c r="GZ1439" s="73"/>
      <c r="HA1439" s="73"/>
      <c r="HB1439" s="73"/>
      <c r="HC1439" s="73"/>
      <c r="HD1439" s="73"/>
      <c r="HE1439" s="73"/>
      <c r="HF1439" s="73"/>
      <c r="HG1439" s="73"/>
      <c r="HH1439" s="73"/>
      <c r="HI1439" s="73"/>
      <c r="HJ1439" s="73"/>
      <c r="HK1439" s="73"/>
      <c r="HL1439" s="73"/>
      <c r="HM1439" s="73"/>
      <c r="HN1439" s="73"/>
      <c r="HO1439" s="73"/>
      <c r="HP1439" s="73"/>
      <c r="HQ1439" s="73"/>
      <c r="HR1439" s="73"/>
      <c r="HS1439" s="73"/>
      <c r="HT1439" s="73"/>
      <c r="HU1439" s="73"/>
      <c r="HV1439" s="73"/>
      <c r="HW1439" s="73"/>
      <c r="HX1439" s="73"/>
      <c r="HY1439" s="73"/>
      <c r="HZ1439" s="73"/>
      <c r="IA1439" s="73"/>
      <c r="IB1439" s="73"/>
      <c r="IC1439" s="73"/>
      <c r="ID1439" s="73"/>
      <c r="IE1439" s="73"/>
      <c r="IF1439" s="73"/>
      <c r="IG1439" s="73"/>
      <c r="IH1439" s="73"/>
      <c r="II1439" s="73"/>
      <c r="IJ1439" s="73"/>
      <c r="IK1439" s="73"/>
      <c r="IL1439" s="73"/>
      <c r="IM1439" s="73"/>
      <c r="IN1439" s="73"/>
      <c r="IO1439" s="73"/>
      <c r="IP1439" s="73"/>
      <c r="IQ1439" s="73"/>
      <c r="IR1439" s="73"/>
      <c r="IS1439" s="73"/>
      <c r="IT1439" s="73"/>
      <c r="IU1439" s="73"/>
      <c r="IV1439" s="73"/>
      <c r="IW1439" s="73"/>
      <c r="IX1439" s="73"/>
      <c r="IY1439" s="73"/>
      <c r="IZ1439" s="73"/>
      <c r="JA1439" s="73"/>
      <c r="JB1439" s="73"/>
      <c r="JC1439" s="73"/>
    </row>
    <row r="1440" spans="2:263" s="72" customFormat="1">
      <c r="B1440" s="73"/>
      <c r="C1440" s="73"/>
      <c r="D1440" s="73"/>
      <c r="E1440" s="73"/>
      <c r="F1440" s="73"/>
      <c r="G1440" s="73"/>
      <c r="H1440" s="73"/>
      <c r="I1440" s="73"/>
      <c r="J1440" s="73"/>
      <c r="K1440" s="73"/>
      <c r="L1440" s="73"/>
      <c r="M1440" s="73"/>
      <c r="N1440" s="73"/>
      <c r="O1440" s="73"/>
      <c r="P1440" s="73"/>
      <c r="Q1440" s="73"/>
      <c r="R1440" s="73"/>
      <c r="S1440" s="73"/>
      <c r="T1440" s="73"/>
      <c r="U1440" s="73"/>
      <c r="V1440" s="73"/>
      <c r="W1440" s="73"/>
      <c r="GL1440" s="73"/>
      <c r="GM1440" s="73"/>
      <c r="GN1440" s="73"/>
      <c r="GO1440" s="73"/>
      <c r="GP1440" s="73"/>
      <c r="GQ1440" s="73"/>
      <c r="GR1440" s="73"/>
      <c r="GS1440" s="73"/>
      <c r="GT1440" s="73"/>
      <c r="GU1440" s="73"/>
      <c r="GV1440" s="73"/>
      <c r="GW1440" s="73"/>
      <c r="GX1440" s="73"/>
      <c r="GY1440" s="73"/>
      <c r="GZ1440" s="73"/>
      <c r="HA1440" s="73"/>
      <c r="HB1440" s="73"/>
      <c r="HC1440" s="73"/>
      <c r="HD1440" s="73"/>
      <c r="HE1440" s="73"/>
      <c r="HF1440" s="73"/>
      <c r="HG1440" s="73"/>
      <c r="HH1440" s="73"/>
      <c r="HI1440" s="73"/>
      <c r="HJ1440" s="73"/>
      <c r="HK1440" s="73"/>
      <c r="HL1440" s="73"/>
      <c r="HM1440" s="73"/>
      <c r="HN1440" s="73"/>
      <c r="HO1440" s="73"/>
      <c r="HP1440" s="73"/>
      <c r="HQ1440" s="73"/>
      <c r="HR1440" s="73"/>
      <c r="HS1440" s="73"/>
      <c r="HT1440" s="73"/>
      <c r="HU1440" s="73"/>
      <c r="HV1440" s="73"/>
      <c r="HW1440" s="73"/>
      <c r="HX1440" s="73"/>
      <c r="HY1440" s="73"/>
      <c r="HZ1440" s="73"/>
      <c r="IA1440" s="73"/>
      <c r="IB1440" s="73"/>
      <c r="IC1440" s="73"/>
      <c r="ID1440" s="73"/>
      <c r="IE1440" s="73"/>
      <c r="IF1440" s="73"/>
      <c r="IG1440" s="73"/>
      <c r="IH1440" s="73"/>
      <c r="II1440" s="73"/>
      <c r="IJ1440" s="73"/>
      <c r="IK1440" s="73"/>
      <c r="IL1440" s="73"/>
      <c r="IM1440" s="73"/>
      <c r="IN1440" s="73"/>
      <c r="IO1440" s="73"/>
      <c r="IP1440" s="73"/>
      <c r="IQ1440" s="73"/>
      <c r="IR1440" s="73"/>
      <c r="IS1440" s="73"/>
      <c r="IT1440" s="73"/>
      <c r="IU1440" s="73"/>
      <c r="IV1440" s="73"/>
      <c r="IW1440" s="73"/>
      <c r="IX1440" s="73"/>
      <c r="IY1440" s="73"/>
      <c r="IZ1440" s="73"/>
      <c r="JA1440" s="73"/>
      <c r="JB1440" s="73"/>
      <c r="JC1440" s="73"/>
    </row>
    <row r="1441" spans="2:263" s="72" customFormat="1">
      <c r="B1441" s="73"/>
      <c r="C1441" s="73"/>
      <c r="D1441" s="73"/>
      <c r="E1441" s="73"/>
      <c r="F1441" s="73"/>
      <c r="G1441" s="73"/>
      <c r="H1441" s="73"/>
      <c r="I1441" s="73"/>
      <c r="J1441" s="73"/>
      <c r="K1441" s="73"/>
      <c r="L1441" s="73"/>
      <c r="M1441" s="73"/>
      <c r="N1441" s="73"/>
      <c r="O1441" s="73"/>
      <c r="P1441" s="73"/>
      <c r="Q1441" s="73"/>
      <c r="R1441" s="73"/>
      <c r="S1441" s="73"/>
      <c r="T1441" s="73"/>
      <c r="U1441" s="73"/>
      <c r="V1441" s="73"/>
      <c r="W1441" s="73"/>
      <c r="GL1441" s="73"/>
      <c r="GM1441" s="73"/>
      <c r="GN1441" s="73"/>
      <c r="GO1441" s="73"/>
      <c r="GP1441" s="73"/>
      <c r="GQ1441" s="73"/>
      <c r="GR1441" s="73"/>
      <c r="GS1441" s="73"/>
      <c r="GT1441" s="73"/>
      <c r="GU1441" s="73"/>
      <c r="GV1441" s="73"/>
      <c r="GW1441" s="73"/>
      <c r="GX1441" s="73"/>
      <c r="GY1441" s="73"/>
      <c r="GZ1441" s="73"/>
      <c r="HA1441" s="73"/>
      <c r="HB1441" s="73"/>
      <c r="HC1441" s="73"/>
      <c r="HD1441" s="73"/>
      <c r="HE1441" s="73"/>
      <c r="HF1441" s="73"/>
      <c r="HG1441" s="73"/>
      <c r="HH1441" s="73"/>
      <c r="HI1441" s="73"/>
      <c r="HJ1441" s="73"/>
      <c r="HK1441" s="73"/>
      <c r="HL1441" s="73"/>
      <c r="HM1441" s="73"/>
      <c r="HN1441" s="73"/>
      <c r="HO1441" s="73"/>
      <c r="HP1441" s="73"/>
      <c r="HQ1441" s="73"/>
      <c r="HR1441" s="73"/>
      <c r="HS1441" s="73"/>
      <c r="HT1441" s="73"/>
      <c r="HU1441" s="73"/>
      <c r="HV1441" s="73"/>
      <c r="HW1441" s="73"/>
      <c r="HX1441" s="73"/>
      <c r="HY1441" s="73"/>
      <c r="HZ1441" s="73"/>
      <c r="IA1441" s="73"/>
      <c r="IB1441" s="73"/>
      <c r="IC1441" s="73"/>
      <c r="ID1441" s="73"/>
      <c r="IE1441" s="73"/>
      <c r="IF1441" s="73"/>
      <c r="IG1441" s="73"/>
      <c r="IH1441" s="73"/>
      <c r="II1441" s="73"/>
      <c r="IJ1441" s="73"/>
      <c r="IK1441" s="73"/>
      <c r="IL1441" s="73"/>
      <c r="IM1441" s="73"/>
      <c r="IN1441" s="73"/>
      <c r="IO1441" s="73"/>
      <c r="IP1441" s="73"/>
      <c r="IQ1441" s="73"/>
      <c r="IR1441" s="73"/>
      <c r="IS1441" s="73"/>
      <c r="IT1441" s="73"/>
      <c r="IU1441" s="73"/>
      <c r="IV1441" s="73"/>
      <c r="IW1441" s="73"/>
      <c r="IX1441" s="73"/>
      <c r="IY1441" s="73"/>
      <c r="IZ1441" s="73"/>
      <c r="JA1441" s="73"/>
      <c r="JB1441" s="73"/>
      <c r="JC1441" s="73"/>
    </row>
    <row r="1442" spans="2:263" s="72" customFormat="1">
      <c r="B1442" s="73"/>
      <c r="C1442" s="73"/>
      <c r="D1442" s="73"/>
      <c r="E1442" s="73"/>
      <c r="F1442" s="73"/>
      <c r="G1442" s="73"/>
      <c r="H1442" s="73"/>
      <c r="I1442" s="73"/>
      <c r="J1442" s="73"/>
      <c r="K1442" s="73"/>
      <c r="L1442" s="73"/>
      <c r="M1442" s="73"/>
      <c r="N1442" s="73"/>
      <c r="O1442" s="73"/>
      <c r="P1442" s="73"/>
      <c r="Q1442" s="73"/>
      <c r="R1442" s="73"/>
      <c r="S1442" s="73"/>
      <c r="T1442" s="73"/>
      <c r="U1442" s="73"/>
      <c r="V1442" s="73"/>
      <c r="W1442" s="73"/>
      <c r="GL1442" s="73"/>
      <c r="GM1442" s="73"/>
      <c r="GN1442" s="73"/>
      <c r="GO1442" s="73"/>
      <c r="GP1442" s="73"/>
      <c r="GQ1442" s="73"/>
      <c r="GR1442" s="73"/>
      <c r="GS1442" s="73"/>
      <c r="GT1442" s="73"/>
      <c r="GU1442" s="73"/>
      <c r="GV1442" s="73"/>
      <c r="GW1442" s="73"/>
      <c r="GX1442" s="73"/>
      <c r="GY1442" s="73"/>
      <c r="GZ1442" s="73"/>
      <c r="HA1442" s="73"/>
      <c r="HB1442" s="73"/>
      <c r="HC1442" s="73"/>
      <c r="HD1442" s="73"/>
      <c r="HE1442" s="73"/>
      <c r="HF1442" s="73"/>
      <c r="HG1442" s="73"/>
      <c r="HH1442" s="73"/>
      <c r="HI1442" s="73"/>
      <c r="HJ1442" s="73"/>
      <c r="HK1442" s="73"/>
      <c r="HL1442" s="73"/>
      <c r="HM1442" s="73"/>
      <c r="HN1442" s="73"/>
      <c r="HO1442" s="73"/>
      <c r="HP1442" s="73"/>
      <c r="HQ1442" s="73"/>
      <c r="HR1442" s="73"/>
      <c r="HS1442" s="73"/>
      <c r="HT1442" s="73"/>
      <c r="HU1442" s="73"/>
      <c r="HV1442" s="73"/>
      <c r="HW1442" s="73"/>
      <c r="HX1442" s="73"/>
      <c r="HY1442" s="73"/>
      <c r="HZ1442" s="73"/>
      <c r="IA1442" s="73"/>
      <c r="IB1442" s="73"/>
      <c r="IC1442" s="73"/>
      <c r="ID1442" s="73"/>
      <c r="IE1442" s="73"/>
      <c r="IF1442" s="73"/>
      <c r="IG1442" s="73"/>
      <c r="IH1442" s="73"/>
      <c r="II1442" s="73"/>
      <c r="IJ1442" s="73"/>
      <c r="IK1442" s="73"/>
      <c r="IL1442" s="73"/>
      <c r="IM1442" s="73"/>
      <c r="IN1442" s="73"/>
      <c r="IO1442" s="73"/>
      <c r="IP1442" s="73"/>
      <c r="IQ1442" s="73"/>
      <c r="IR1442" s="73"/>
      <c r="IS1442" s="73"/>
      <c r="IT1442" s="73"/>
      <c r="IU1442" s="73"/>
      <c r="IV1442" s="73"/>
      <c r="IW1442" s="73"/>
      <c r="IX1442" s="73"/>
      <c r="IY1442" s="73"/>
      <c r="IZ1442" s="73"/>
      <c r="JA1442" s="73"/>
      <c r="JB1442" s="73"/>
      <c r="JC1442" s="73"/>
    </row>
    <row r="1443" spans="2:263" s="72" customFormat="1">
      <c r="B1443" s="73"/>
      <c r="C1443" s="73"/>
      <c r="D1443" s="73"/>
      <c r="E1443" s="73"/>
      <c r="F1443" s="73"/>
      <c r="G1443" s="73"/>
      <c r="H1443" s="73"/>
      <c r="I1443" s="73"/>
      <c r="J1443" s="73"/>
      <c r="K1443" s="73"/>
      <c r="L1443" s="73"/>
      <c r="M1443" s="73"/>
      <c r="N1443" s="73"/>
      <c r="O1443" s="73"/>
      <c r="P1443" s="73"/>
      <c r="Q1443" s="73"/>
      <c r="R1443" s="73"/>
      <c r="S1443" s="73"/>
      <c r="T1443" s="73"/>
      <c r="U1443" s="73"/>
      <c r="V1443" s="73"/>
      <c r="W1443" s="73"/>
      <c r="GL1443" s="73"/>
      <c r="GM1443" s="73"/>
      <c r="GN1443" s="73"/>
      <c r="GO1443" s="73"/>
      <c r="GP1443" s="73"/>
      <c r="GQ1443" s="73"/>
      <c r="GR1443" s="73"/>
      <c r="GS1443" s="73"/>
      <c r="GT1443" s="73"/>
      <c r="GU1443" s="73"/>
      <c r="GV1443" s="73"/>
      <c r="GW1443" s="73"/>
      <c r="GX1443" s="73"/>
      <c r="GY1443" s="73"/>
      <c r="GZ1443" s="73"/>
      <c r="HA1443" s="73"/>
      <c r="HB1443" s="73"/>
      <c r="HC1443" s="73"/>
      <c r="HD1443" s="73"/>
      <c r="HE1443" s="73"/>
      <c r="HF1443" s="73"/>
      <c r="HG1443" s="73"/>
      <c r="HH1443" s="73"/>
      <c r="HI1443" s="73"/>
      <c r="HJ1443" s="73"/>
      <c r="HK1443" s="73"/>
      <c r="HL1443" s="73"/>
      <c r="HM1443" s="73"/>
      <c r="HN1443" s="73"/>
      <c r="HO1443" s="73"/>
      <c r="HP1443" s="73"/>
      <c r="HQ1443" s="73"/>
      <c r="HR1443" s="73"/>
      <c r="HS1443" s="73"/>
      <c r="HT1443" s="73"/>
      <c r="HU1443" s="73"/>
      <c r="HV1443" s="73"/>
      <c r="HW1443" s="73"/>
      <c r="HX1443" s="73"/>
      <c r="HY1443" s="73"/>
      <c r="HZ1443" s="73"/>
      <c r="IA1443" s="73"/>
      <c r="IB1443" s="73"/>
      <c r="IC1443" s="73"/>
      <c r="ID1443" s="73"/>
      <c r="IE1443" s="73"/>
      <c r="IF1443" s="73"/>
      <c r="IG1443" s="73"/>
      <c r="IH1443" s="73"/>
      <c r="II1443" s="73"/>
      <c r="IJ1443" s="73"/>
      <c r="IK1443" s="73"/>
      <c r="IL1443" s="73"/>
      <c r="IM1443" s="73"/>
      <c r="IN1443" s="73"/>
      <c r="IO1443" s="73"/>
      <c r="IP1443" s="73"/>
      <c r="IQ1443" s="73"/>
      <c r="IR1443" s="73"/>
      <c r="IS1443" s="73"/>
      <c r="IT1443" s="73"/>
      <c r="IU1443" s="73"/>
      <c r="IV1443" s="73"/>
      <c r="IW1443" s="73"/>
      <c r="IX1443" s="73"/>
      <c r="IY1443" s="73"/>
      <c r="IZ1443" s="73"/>
      <c r="JA1443" s="73"/>
      <c r="JB1443" s="73"/>
      <c r="JC1443" s="73"/>
    </row>
    <row r="1444" spans="2:263" s="72" customFormat="1">
      <c r="B1444" s="73"/>
      <c r="C1444" s="73"/>
      <c r="D1444" s="73"/>
      <c r="E1444" s="73"/>
      <c r="F1444" s="73"/>
      <c r="G1444" s="73"/>
      <c r="H1444" s="73"/>
      <c r="I1444" s="73"/>
      <c r="J1444" s="73"/>
      <c r="K1444" s="73"/>
      <c r="L1444" s="73"/>
      <c r="M1444" s="73"/>
      <c r="N1444" s="73"/>
      <c r="O1444" s="73"/>
      <c r="P1444" s="73"/>
      <c r="Q1444" s="73"/>
      <c r="R1444" s="73"/>
      <c r="S1444" s="73"/>
      <c r="T1444" s="73"/>
      <c r="U1444" s="73"/>
      <c r="V1444" s="73"/>
      <c r="W1444" s="73"/>
      <c r="GL1444" s="73"/>
      <c r="GM1444" s="73"/>
      <c r="GN1444" s="73"/>
      <c r="GO1444" s="73"/>
      <c r="GP1444" s="73"/>
      <c r="GQ1444" s="73"/>
      <c r="GR1444" s="73"/>
      <c r="GS1444" s="73"/>
      <c r="GT1444" s="73"/>
      <c r="GU1444" s="73"/>
      <c r="GV1444" s="73"/>
      <c r="GW1444" s="73"/>
      <c r="GX1444" s="73"/>
      <c r="GY1444" s="73"/>
      <c r="GZ1444" s="73"/>
      <c r="HA1444" s="73"/>
      <c r="HB1444" s="73"/>
      <c r="HC1444" s="73"/>
      <c r="HD1444" s="73"/>
      <c r="HE1444" s="73"/>
      <c r="HF1444" s="73"/>
      <c r="HG1444" s="73"/>
      <c r="HH1444" s="73"/>
      <c r="HI1444" s="73"/>
      <c r="HJ1444" s="73"/>
      <c r="HK1444" s="73"/>
      <c r="HL1444" s="73"/>
      <c r="HM1444" s="73"/>
      <c r="HN1444" s="73"/>
      <c r="HO1444" s="73"/>
      <c r="HP1444" s="73"/>
      <c r="HQ1444" s="73"/>
      <c r="HR1444" s="73"/>
      <c r="HS1444" s="73"/>
      <c r="HT1444" s="73"/>
      <c r="HU1444" s="73"/>
      <c r="HV1444" s="73"/>
      <c r="HW1444" s="73"/>
      <c r="HX1444" s="73"/>
      <c r="HY1444" s="73"/>
      <c r="HZ1444" s="73"/>
      <c r="IA1444" s="73"/>
      <c r="IB1444" s="73"/>
      <c r="IC1444" s="73"/>
      <c r="ID1444" s="73"/>
      <c r="IE1444" s="73"/>
      <c r="IF1444" s="73"/>
      <c r="IG1444" s="73"/>
      <c r="IH1444" s="73"/>
      <c r="II1444" s="73"/>
      <c r="IJ1444" s="73"/>
      <c r="IK1444" s="73"/>
      <c r="IL1444" s="73"/>
      <c r="IM1444" s="73"/>
      <c r="IN1444" s="73"/>
      <c r="IO1444" s="73"/>
      <c r="IP1444" s="73"/>
      <c r="IQ1444" s="73"/>
      <c r="IR1444" s="73"/>
      <c r="IS1444" s="73"/>
      <c r="IT1444" s="73"/>
      <c r="IU1444" s="73"/>
      <c r="IV1444" s="73"/>
      <c r="IW1444" s="73"/>
      <c r="IX1444" s="73"/>
      <c r="IY1444" s="73"/>
      <c r="IZ1444" s="73"/>
      <c r="JA1444" s="73"/>
      <c r="JB1444" s="73"/>
      <c r="JC1444" s="73"/>
    </row>
    <row r="1445" spans="2:263" s="72" customFormat="1">
      <c r="B1445" s="73"/>
      <c r="C1445" s="73"/>
      <c r="D1445" s="73"/>
      <c r="E1445" s="73"/>
      <c r="F1445" s="73"/>
      <c r="G1445" s="73"/>
      <c r="H1445" s="73"/>
      <c r="I1445" s="73"/>
      <c r="J1445" s="73"/>
      <c r="K1445" s="73"/>
      <c r="L1445" s="73"/>
      <c r="M1445" s="73"/>
      <c r="N1445" s="73"/>
      <c r="O1445" s="73"/>
      <c r="P1445" s="73"/>
      <c r="Q1445" s="73"/>
      <c r="R1445" s="73"/>
      <c r="S1445" s="73"/>
      <c r="T1445" s="73"/>
      <c r="U1445" s="73"/>
      <c r="V1445" s="73"/>
      <c r="W1445" s="73"/>
      <c r="GL1445" s="73"/>
      <c r="GM1445" s="73"/>
      <c r="GN1445" s="73"/>
      <c r="GO1445" s="73"/>
      <c r="GP1445" s="73"/>
      <c r="GQ1445" s="73"/>
      <c r="GR1445" s="73"/>
      <c r="GS1445" s="73"/>
      <c r="GT1445" s="73"/>
      <c r="GU1445" s="73"/>
      <c r="GV1445" s="73"/>
      <c r="GW1445" s="73"/>
      <c r="GX1445" s="73"/>
      <c r="GY1445" s="73"/>
      <c r="GZ1445" s="73"/>
      <c r="HA1445" s="73"/>
      <c r="HB1445" s="73"/>
      <c r="HC1445" s="73"/>
      <c r="HD1445" s="73"/>
      <c r="HE1445" s="73"/>
      <c r="HF1445" s="73"/>
      <c r="HG1445" s="73"/>
      <c r="HH1445" s="73"/>
      <c r="HI1445" s="73"/>
      <c r="HJ1445" s="73"/>
      <c r="HK1445" s="73"/>
      <c r="HL1445" s="73"/>
      <c r="HM1445" s="73"/>
      <c r="HN1445" s="73"/>
      <c r="HO1445" s="73"/>
      <c r="HP1445" s="73"/>
      <c r="HQ1445" s="73"/>
      <c r="HR1445" s="73"/>
      <c r="HS1445" s="73"/>
      <c r="HT1445" s="73"/>
      <c r="HU1445" s="73"/>
      <c r="HV1445" s="73"/>
      <c r="HW1445" s="73"/>
      <c r="HX1445" s="73"/>
      <c r="HY1445" s="73"/>
      <c r="HZ1445" s="73"/>
      <c r="IA1445" s="73"/>
      <c r="IB1445" s="73"/>
      <c r="IC1445" s="73"/>
      <c r="ID1445" s="73"/>
      <c r="IE1445" s="73"/>
      <c r="IF1445" s="73"/>
      <c r="IG1445" s="73"/>
      <c r="IH1445" s="73"/>
      <c r="II1445" s="73"/>
      <c r="IJ1445" s="73"/>
      <c r="IK1445" s="73"/>
      <c r="IL1445" s="73"/>
      <c r="IM1445" s="73"/>
      <c r="IN1445" s="73"/>
      <c r="IO1445" s="73"/>
      <c r="IP1445" s="73"/>
      <c r="IQ1445" s="73"/>
      <c r="IR1445" s="73"/>
      <c r="IS1445" s="73"/>
      <c r="IT1445" s="73"/>
      <c r="IU1445" s="73"/>
      <c r="IV1445" s="73"/>
      <c r="IW1445" s="73"/>
      <c r="IX1445" s="73"/>
      <c r="IY1445" s="73"/>
      <c r="IZ1445" s="73"/>
      <c r="JA1445" s="73"/>
      <c r="JB1445" s="73"/>
      <c r="JC1445" s="73"/>
    </row>
    <row r="1446" spans="2:263" s="72" customFormat="1">
      <c r="B1446" s="73"/>
      <c r="C1446" s="73"/>
      <c r="D1446" s="73"/>
      <c r="E1446" s="73"/>
      <c r="F1446" s="73"/>
      <c r="G1446" s="73"/>
      <c r="H1446" s="73"/>
      <c r="I1446" s="73"/>
      <c r="J1446" s="73"/>
      <c r="K1446" s="73"/>
      <c r="L1446" s="73"/>
      <c r="M1446" s="73"/>
      <c r="N1446" s="73"/>
      <c r="O1446" s="73"/>
      <c r="P1446" s="73"/>
      <c r="Q1446" s="73"/>
      <c r="R1446" s="73"/>
      <c r="S1446" s="73"/>
      <c r="T1446" s="73"/>
      <c r="U1446" s="73"/>
      <c r="V1446" s="73"/>
      <c r="W1446" s="73"/>
      <c r="GL1446" s="73"/>
      <c r="GM1446" s="73"/>
      <c r="GN1446" s="73"/>
      <c r="GO1446" s="73"/>
      <c r="GP1446" s="73"/>
      <c r="GQ1446" s="73"/>
      <c r="GR1446" s="73"/>
      <c r="GS1446" s="73"/>
      <c r="GT1446" s="73"/>
      <c r="GU1446" s="73"/>
      <c r="GV1446" s="73"/>
      <c r="GW1446" s="73"/>
      <c r="GX1446" s="73"/>
      <c r="GY1446" s="73"/>
      <c r="GZ1446" s="73"/>
      <c r="HA1446" s="73"/>
      <c r="HB1446" s="73"/>
      <c r="HC1446" s="73"/>
      <c r="HD1446" s="73"/>
      <c r="HE1446" s="73"/>
      <c r="HF1446" s="73"/>
      <c r="HG1446" s="73"/>
      <c r="HH1446" s="73"/>
      <c r="HI1446" s="73"/>
      <c r="HJ1446" s="73"/>
      <c r="HK1446" s="73"/>
      <c r="HL1446" s="73"/>
      <c r="HM1446" s="73"/>
      <c r="HN1446" s="73"/>
      <c r="HO1446" s="73"/>
      <c r="HP1446" s="73"/>
      <c r="HQ1446" s="73"/>
      <c r="HR1446" s="73"/>
      <c r="HS1446" s="73"/>
      <c r="HT1446" s="73"/>
      <c r="HU1446" s="73"/>
      <c r="HV1446" s="73"/>
      <c r="HW1446" s="73"/>
      <c r="HX1446" s="73"/>
      <c r="HY1446" s="73"/>
      <c r="HZ1446" s="73"/>
      <c r="IA1446" s="73"/>
      <c r="IB1446" s="73"/>
      <c r="IC1446" s="73"/>
      <c r="ID1446" s="73"/>
      <c r="IE1446" s="73"/>
      <c r="IF1446" s="73"/>
      <c r="IG1446" s="73"/>
      <c r="IH1446" s="73"/>
      <c r="II1446" s="73"/>
      <c r="IJ1446" s="73"/>
      <c r="IK1446" s="73"/>
      <c r="IL1446" s="73"/>
      <c r="IM1446" s="73"/>
      <c r="IN1446" s="73"/>
      <c r="IO1446" s="73"/>
      <c r="IP1446" s="73"/>
      <c r="IQ1446" s="73"/>
      <c r="IR1446" s="73"/>
      <c r="IS1446" s="73"/>
      <c r="IT1446" s="73"/>
      <c r="IU1446" s="73"/>
      <c r="IV1446" s="73"/>
      <c r="IW1446" s="73"/>
      <c r="IX1446" s="73"/>
      <c r="IY1446" s="73"/>
      <c r="IZ1446" s="73"/>
      <c r="JA1446" s="73"/>
      <c r="JB1446" s="73"/>
      <c r="JC1446" s="73"/>
    </row>
    <row r="1447" spans="2:263" s="72" customFormat="1">
      <c r="B1447" s="73"/>
      <c r="C1447" s="73"/>
      <c r="D1447" s="73"/>
      <c r="E1447" s="73"/>
      <c r="F1447" s="73"/>
      <c r="G1447" s="73"/>
      <c r="H1447" s="73"/>
      <c r="I1447" s="73"/>
      <c r="J1447" s="73"/>
      <c r="K1447" s="73"/>
      <c r="L1447" s="73"/>
      <c r="M1447" s="73"/>
      <c r="N1447" s="73"/>
      <c r="O1447" s="73"/>
      <c r="P1447" s="73"/>
      <c r="Q1447" s="73"/>
      <c r="R1447" s="73"/>
      <c r="S1447" s="73"/>
      <c r="T1447" s="73"/>
      <c r="U1447" s="73"/>
      <c r="V1447" s="73"/>
      <c r="W1447" s="73"/>
      <c r="GL1447" s="73"/>
      <c r="GM1447" s="73"/>
      <c r="GN1447" s="73"/>
      <c r="GO1447" s="73"/>
      <c r="GP1447" s="73"/>
      <c r="GQ1447" s="73"/>
      <c r="GR1447" s="73"/>
      <c r="GS1447" s="73"/>
      <c r="GT1447" s="73"/>
      <c r="GU1447" s="73"/>
      <c r="GV1447" s="73"/>
      <c r="GW1447" s="73"/>
      <c r="GX1447" s="73"/>
      <c r="GY1447" s="73"/>
      <c r="GZ1447" s="73"/>
      <c r="HA1447" s="73"/>
      <c r="HB1447" s="73"/>
      <c r="HC1447" s="73"/>
      <c r="HD1447" s="73"/>
      <c r="HE1447" s="73"/>
      <c r="HF1447" s="73"/>
      <c r="HG1447" s="73"/>
      <c r="HH1447" s="73"/>
      <c r="HI1447" s="73"/>
      <c r="HJ1447" s="73"/>
      <c r="HK1447" s="73"/>
      <c r="HL1447" s="73"/>
      <c r="HM1447" s="73"/>
      <c r="HN1447" s="73"/>
      <c r="HO1447" s="73"/>
      <c r="HP1447" s="73"/>
      <c r="HQ1447" s="73"/>
      <c r="HR1447" s="73"/>
      <c r="HS1447" s="73"/>
      <c r="HT1447" s="73"/>
      <c r="HU1447" s="73"/>
      <c r="HV1447" s="73"/>
      <c r="HW1447" s="73"/>
      <c r="HX1447" s="73"/>
      <c r="HY1447" s="73"/>
      <c r="HZ1447" s="73"/>
      <c r="IA1447" s="73"/>
      <c r="IB1447" s="73"/>
      <c r="IC1447" s="73"/>
      <c r="ID1447" s="73"/>
      <c r="IE1447" s="73"/>
      <c r="IF1447" s="73"/>
      <c r="IG1447" s="73"/>
      <c r="IH1447" s="73"/>
      <c r="II1447" s="73"/>
      <c r="IJ1447" s="73"/>
      <c r="IK1447" s="73"/>
      <c r="IL1447" s="73"/>
      <c r="IM1447" s="73"/>
      <c r="IN1447" s="73"/>
      <c r="IO1447" s="73"/>
      <c r="IP1447" s="73"/>
      <c r="IQ1447" s="73"/>
      <c r="IR1447" s="73"/>
      <c r="IS1447" s="73"/>
      <c r="IT1447" s="73"/>
      <c r="IU1447" s="73"/>
      <c r="IV1447" s="73"/>
      <c r="IW1447" s="73"/>
      <c r="IX1447" s="73"/>
      <c r="IY1447" s="73"/>
      <c r="IZ1447" s="73"/>
      <c r="JA1447" s="73"/>
      <c r="JB1447" s="73"/>
      <c r="JC1447" s="73"/>
    </row>
    <row r="1448" spans="2:263" s="72" customFormat="1">
      <c r="B1448" s="73"/>
      <c r="C1448" s="73"/>
      <c r="D1448" s="73"/>
      <c r="E1448" s="73"/>
      <c r="F1448" s="73"/>
      <c r="G1448" s="73"/>
      <c r="H1448" s="73"/>
      <c r="I1448" s="73"/>
      <c r="J1448" s="73"/>
      <c r="K1448" s="73"/>
      <c r="L1448" s="73"/>
      <c r="M1448" s="73"/>
      <c r="N1448" s="73"/>
      <c r="O1448" s="73"/>
      <c r="P1448" s="73"/>
      <c r="Q1448" s="73"/>
      <c r="R1448" s="73"/>
      <c r="S1448" s="73"/>
      <c r="T1448" s="73"/>
      <c r="U1448" s="73"/>
      <c r="V1448" s="73"/>
      <c r="W1448" s="73"/>
      <c r="GL1448" s="73"/>
      <c r="GM1448" s="73"/>
      <c r="GN1448" s="73"/>
      <c r="GO1448" s="73"/>
      <c r="GP1448" s="73"/>
      <c r="GQ1448" s="73"/>
      <c r="GR1448" s="73"/>
      <c r="GS1448" s="73"/>
      <c r="GT1448" s="73"/>
      <c r="GU1448" s="73"/>
      <c r="GV1448" s="73"/>
      <c r="GW1448" s="73"/>
      <c r="GX1448" s="73"/>
      <c r="GY1448" s="73"/>
      <c r="GZ1448" s="73"/>
      <c r="HA1448" s="73"/>
      <c r="HB1448" s="73"/>
      <c r="HC1448" s="73"/>
      <c r="HD1448" s="73"/>
      <c r="HE1448" s="73"/>
      <c r="HF1448" s="73"/>
      <c r="HG1448" s="73"/>
      <c r="HH1448" s="73"/>
      <c r="HI1448" s="73"/>
      <c r="HJ1448" s="73"/>
      <c r="HK1448" s="73"/>
      <c r="HL1448" s="73"/>
      <c r="HM1448" s="73"/>
      <c r="HN1448" s="73"/>
      <c r="HO1448" s="73"/>
      <c r="HP1448" s="73"/>
      <c r="HQ1448" s="73"/>
      <c r="HR1448" s="73"/>
      <c r="HS1448" s="73"/>
      <c r="HT1448" s="73"/>
      <c r="HU1448" s="73"/>
      <c r="HV1448" s="73"/>
      <c r="HW1448" s="73"/>
      <c r="HX1448" s="73"/>
      <c r="HY1448" s="73"/>
      <c r="HZ1448" s="73"/>
      <c r="IA1448" s="73"/>
      <c r="IB1448" s="73"/>
      <c r="IC1448" s="73"/>
      <c r="ID1448" s="73"/>
      <c r="IE1448" s="73"/>
      <c r="IF1448" s="73"/>
      <c r="IG1448" s="73"/>
      <c r="IH1448" s="73"/>
      <c r="II1448" s="73"/>
      <c r="IJ1448" s="73"/>
      <c r="IK1448" s="73"/>
      <c r="IL1448" s="73"/>
      <c r="IM1448" s="73"/>
      <c r="IN1448" s="73"/>
      <c r="IO1448" s="73"/>
      <c r="IP1448" s="73"/>
      <c r="IQ1448" s="73"/>
      <c r="IR1448" s="73"/>
      <c r="IS1448" s="73"/>
      <c r="IT1448" s="73"/>
      <c r="IU1448" s="73"/>
      <c r="IV1448" s="73"/>
      <c r="IW1448" s="73"/>
      <c r="IX1448" s="73"/>
      <c r="IY1448" s="73"/>
      <c r="IZ1448" s="73"/>
      <c r="JA1448" s="73"/>
      <c r="JB1448" s="73"/>
      <c r="JC1448" s="73"/>
    </row>
    <row r="1449" spans="2:263" s="72" customFormat="1">
      <c r="B1449" s="73"/>
      <c r="C1449" s="73"/>
      <c r="D1449" s="73"/>
      <c r="E1449" s="73"/>
      <c r="F1449" s="73"/>
      <c r="G1449" s="73"/>
      <c r="H1449" s="73"/>
      <c r="I1449" s="73"/>
      <c r="J1449" s="73"/>
      <c r="K1449" s="73"/>
      <c r="L1449" s="73"/>
      <c r="M1449" s="73"/>
      <c r="N1449" s="73"/>
      <c r="O1449" s="73"/>
      <c r="P1449" s="73"/>
      <c r="Q1449" s="73"/>
      <c r="R1449" s="73"/>
      <c r="S1449" s="73"/>
      <c r="T1449" s="73"/>
      <c r="U1449" s="73"/>
      <c r="V1449" s="73"/>
      <c r="W1449" s="73"/>
      <c r="GL1449" s="73"/>
      <c r="GM1449" s="73"/>
      <c r="GN1449" s="73"/>
      <c r="GO1449" s="73"/>
      <c r="GP1449" s="73"/>
      <c r="GQ1449" s="73"/>
      <c r="GR1449" s="73"/>
      <c r="GS1449" s="73"/>
      <c r="GT1449" s="73"/>
      <c r="GU1449" s="73"/>
      <c r="GV1449" s="73"/>
      <c r="GW1449" s="73"/>
      <c r="GX1449" s="73"/>
      <c r="GY1449" s="73"/>
      <c r="GZ1449" s="73"/>
      <c r="HA1449" s="73"/>
      <c r="HB1449" s="73"/>
      <c r="HC1449" s="73"/>
      <c r="HD1449" s="73"/>
      <c r="HE1449" s="73"/>
      <c r="HF1449" s="73"/>
      <c r="HG1449" s="73"/>
      <c r="HH1449" s="73"/>
      <c r="HI1449" s="73"/>
      <c r="HJ1449" s="73"/>
      <c r="HK1449" s="73"/>
      <c r="HL1449" s="73"/>
      <c r="HM1449" s="73"/>
      <c r="HN1449" s="73"/>
      <c r="HO1449" s="73"/>
      <c r="HP1449" s="73"/>
      <c r="HQ1449" s="73"/>
      <c r="HR1449" s="73"/>
      <c r="HS1449" s="73"/>
      <c r="HT1449" s="73"/>
      <c r="HU1449" s="73"/>
      <c r="HV1449" s="73"/>
      <c r="HW1449" s="73"/>
      <c r="HX1449" s="73"/>
      <c r="HY1449" s="73"/>
      <c r="HZ1449" s="73"/>
      <c r="IA1449" s="73"/>
      <c r="IB1449" s="73"/>
      <c r="IC1449" s="73"/>
      <c r="ID1449" s="73"/>
      <c r="IE1449" s="73"/>
      <c r="IF1449" s="73"/>
      <c r="IG1449" s="73"/>
      <c r="IH1449" s="73"/>
      <c r="II1449" s="73"/>
      <c r="IJ1449" s="73"/>
      <c r="IK1449" s="73"/>
      <c r="IL1449" s="73"/>
      <c r="IM1449" s="73"/>
      <c r="IN1449" s="73"/>
      <c r="IO1449" s="73"/>
      <c r="IP1449" s="73"/>
      <c r="IQ1449" s="73"/>
      <c r="IR1449" s="73"/>
      <c r="IS1449" s="73"/>
      <c r="IT1449" s="73"/>
      <c r="IU1449" s="73"/>
      <c r="IV1449" s="73"/>
      <c r="IW1449" s="73"/>
      <c r="IX1449" s="73"/>
      <c r="IY1449" s="73"/>
      <c r="IZ1449" s="73"/>
      <c r="JA1449" s="73"/>
      <c r="JB1449" s="73"/>
      <c r="JC1449" s="73"/>
    </row>
    <row r="1450" spans="2:263" s="72" customFormat="1">
      <c r="B1450" s="73"/>
      <c r="C1450" s="73"/>
      <c r="D1450" s="73"/>
      <c r="E1450" s="73"/>
      <c r="F1450" s="73"/>
      <c r="G1450" s="73"/>
      <c r="H1450" s="73"/>
      <c r="I1450" s="73"/>
      <c r="J1450" s="73"/>
      <c r="K1450" s="73"/>
      <c r="L1450" s="73"/>
      <c r="M1450" s="73"/>
      <c r="N1450" s="73"/>
      <c r="O1450" s="73"/>
      <c r="P1450" s="73"/>
      <c r="Q1450" s="73"/>
      <c r="R1450" s="73"/>
      <c r="S1450" s="73"/>
      <c r="T1450" s="73"/>
      <c r="U1450" s="73"/>
      <c r="V1450" s="73"/>
      <c r="W1450" s="73"/>
      <c r="GL1450" s="73"/>
      <c r="GM1450" s="73"/>
      <c r="GN1450" s="73"/>
      <c r="GO1450" s="73"/>
      <c r="GP1450" s="73"/>
      <c r="GQ1450" s="73"/>
      <c r="GR1450" s="73"/>
      <c r="GS1450" s="73"/>
      <c r="GT1450" s="73"/>
      <c r="GU1450" s="73"/>
      <c r="GV1450" s="73"/>
      <c r="GW1450" s="73"/>
      <c r="GX1450" s="73"/>
      <c r="GY1450" s="73"/>
      <c r="GZ1450" s="73"/>
      <c r="HA1450" s="73"/>
      <c r="HB1450" s="73"/>
      <c r="HC1450" s="73"/>
      <c r="HD1450" s="73"/>
      <c r="HE1450" s="73"/>
      <c r="HF1450" s="73"/>
      <c r="HG1450" s="73"/>
      <c r="HH1450" s="73"/>
      <c r="HI1450" s="73"/>
      <c r="HJ1450" s="73"/>
      <c r="HK1450" s="73"/>
      <c r="HL1450" s="73"/>
      <c r="HM1450" s="73"/>
      <c r="HN1450" s="73"/>
      <c r="HO1450" s="73"/>
      <c r="HP1450" s="73"/>
      <c r="HQ1450" s="73"/>
      <c r="HR1450" s="73"/>
      <c r="HS1450" s="73"/>
      <c r="HT1450" s="73"/>
      <c r="HU1450" s="73"/>
      <c r="HV1450" s="73"/>
      <c r="HW1450" s="73"/>
      <c r="HX1450" s="73"/>
      <c r="HY1450" s="73"/>
      <c r="HZ1450" s="73"/>
      <c r="IA1450" s="73"/>
      <c r="IB1450" s="73"/>
      <c r="IC1450" s="73"/>
      <c r="ID1450" s="73"/>
      <c r="IE1450" s="73"/>
      <c r="IF1450" s="73"/>
      <c r="IG1450" s="73"/>
      <c r="IH1450" s="73"/>
      <c r="II1450" s="73"/>
      <c r="IJ1450" s="73"/>
      <c r="IK1450" s="73"/>
      <c r="IL1450" s="73"/>
      <c r="IM1450" s="73"/>
      <c r="IN1450" s="73"/>
      <c r="IO1450" s="73"/>
      <c r="IP1450" s="73"/>
      <c r="IQ1450" s="73"/>
      <c r="IR1450" s="73"/>
      <c r="IS1450" s="73"/>
      <c r="IT1450" s="73"/>
      <c r="IU1450" s="73"/>
      <c r="IV1450" s="73"/>
      <c r="IW1450" s="73"/>
      <c r="IX1450" s="73"/>
      <c r="IY1450" s="73"/>
      <c r="IZ1450" s="73"/>
      <c r="JA1450" s="73"/>
      <c r="JB1450" s="73"/>
      <c r="JC1450" s="73"/>
    </row>
    <row r="1451" spans="2:263" s="72" customFormat="1">
      <c r="B1451" s="73"/>
      <c r="C1451" s="73"/>
      <c r="D1451" s="73"/>
      <c r="E1451" s="73"/>
      <c r="F1451" s="73"/>
      <c r="G1451" s="73"/>
      <c r="H1451" s="73"/>
      <c r="I1451" s="73"/>
      <c r="J1451" s="73"/>
      <c r="K1451" s="73"/>
      <c r="L1451" s="73"/>
      <c r="M1451" s="73"/>
      <c r="N1451" s="73"/>
      <c r="O1451" s="73"/>
      <c r="P1451" s="73"/>
      <c r="Q1451" s="73"/>
      <c r="R1451" s="73"/>
      <c r="S1451" s="73"/>
      <c r="T1451" s="73"/>
      <c r="U1451" s="73"/>
      <c r="V1451" s="73"/>
      <c r="W1451" s="73"/>
      <c r="GL1451" s="73"/>
      <c r="GM1451" s="73"/>
      <c r="GN1451" s="73"/>
      <c r="GO1451" s="73"/>
      <c r="GP1451" s="73"/>
      <c r="GQ1451" s="73"/>
      <c r="GR1451" s="73"/>
      <c r="GS1451" s="73"/>
      <c r="GT1451" s="73"/>
      <c r="GU1451" s="73"/>
      <c r="GV1451" s="73"/>
      <c r="GW1451" s="73"/>
      <c r="GX1451" s="73"/>
      <c r="GY1451" s="73"/>
      <c r="GZ1451" s="73"/>
      <c r="HA1451" s="73"/>
      <c r="HB1451" s="73"/>
      <c r="HC1451" s="73"/>
      <c r="HD1451" s="73"/>
      <c r="HE1451" s="73"/>
      <c r="HF1451" s="73"/>
      <c r="HG1451" s="73"/>
      <c r="HH1451" s="73"/>
      <c r="HI1451" s="73"/>
      <c r="HJ1451" s="73"/>
      <c r="HK1451" s="73"/>
      <c r="HL1451" s="73"/>
      <c r="HM1451" s="73"/>
      <c r="HN1451" s="73"/>
      <c r="HO1451" s="73"/>
      <c r="HP1451" s="73"/>
      <c r="HQ1451" s="73"/>
      <c r="HR1451" s="73"/>
      <c r="HS1451" s="73"/>
      <c r="HT1451" s="73"/>
      <c r="HU1451" s="73"/>
      <c r="HV1451" s="73"/>
      <c r="HW1451" s="73"/>
      <c r="HX1451" s="73"/>
      <c r="HY1451" s="73"/>
      <c r="HZ1451" s="73"/>
      <c r="IA1451" s="73"/>
      <c r="IB1451" s="73"/>
      <c r="IC1451" s="73"/>
      <c r="ID1451" s="73"/>
      <c r="IE1451" s="73"/>
      <c r="IF1451" s="73"/>
      <c r="IG1451" s="73"/>
      <c r="IH1451" s="73"/>
      <c r="II1451" s="73"/>
      <c r="IJ1451" s="73"/>
      <c r="IK1451" s="73"/>
      <c r="IL1451" s="73"/>
      <c r="IM1451" s="73"/>
      <c r="IN1451" s="73"/>
      <c r="IO1451" s="73"/>
      <c r="IP1451" s="73"/>
      <c r="IQ1451" s="73"/>
      <c r="IR1451" s="73"/>
      <c r="IS1451" s="73"/>
      <c r="IT1451" s="73"/>
      <c r="IU1451" s="73"/>
      <c r="IV1451" s="73"/>
      <c r="IW1451" s="73"/>
      <c r="IX1451" s="73"/>
      <c r="IY1451" s="73"/>
      <c r="IZ1451" s="73"/>
      <c r="JA1451" s="73"/>
      <c r="JB1451" s="73"/>
      <c r="JC1451" s="73"/>
    </row>
    <row r="1452" spans="2:263" s="72" customFormat="1">
      <c r="B1452" s="73"/>
      <c r="C1452" s="73"/>
      <c r="D1452" s="73"/>
      <c r="E1452" s="73"/>
      <c r="F1452" s="73"/>
      <c r="G1452" s="73"/>
      <c r="H1452" s="73"/>
      <c r="I1452" s="73"/>
      <c r="J1452" s="73"/>
      <c r="K1452" s="73"/>
      <c r="L1452" s="73"/>
      <c r="M1452" s="73"/>
      <c r="N1452" s="73"/>
      <c r="O1452" s="73"/>
      <c r="P1452" s="73"/>
      <c r="Q1452" s="73"/>
      <c r="R1452" s="73"/>
      <c r="S1452" s="73"/>
      <c r="T1452" s="73"/>
      <c r="U1452" s="73"/>
      <c r="V1452" s="73"/>
      <c r="W1452" s="73"/>
      <c r="GL1452" s="73"/>
      <c r="GM1452" s="73"/>
      <c r="GN1452" s="73"/>
      <c r="GO1452" s="73"/>
      <c r="GP1452" s="73"/>
      <c r="GQ1452" s="73"/>
      <c r="GR1452" s="73"/>
      <c r="GS1452" s="73"/>
      <c r="GT1452" s="73"/>
      <c r="GU1452" s="73"/>
      <c r="GV1452" s="73"/>
      <c r="GW1452" s="73"/>
      <c r="GX1452" s="73"/>
      <c r="GY1452" s="73"/>
      <c r="GZ1452" s="73"/>
      <c r="HA1452" s="73"/>
      <c r="HB1452" s="73"/>
      <c r="HC1452" s="73"/>
      <c r="HD1452" s="73"/>
      <c r="HE1452" s="73"/>
      <c r="HF1452" s="73"/>
      <c r="HG1452" s="73"/>
      <c r="HH1452" s="73"/>
      <c r="HI1452" s="73"/>
      <c r="HJ1452" s="73"/>
      <c r="HK1452" s="73"/>
      <c r="HL1452" s="73"/>
      <c r="HM1452" s="73"/>
      <c r="HN1452" s="73"/>
      <c r="HO1452" s="73"/>
      <c r="HP1452" s="73"/>
      <c r="HQ1452" s="73"/>
      <c r="HR1452" s="73"/>
      <c r="HS1452" s="73"/>
      <c r="HT1452" s="73"/>
      <c r="HU1452" s="73"/>
      <c r="HV1452" s="73"/>
      <c r="HW1452" s="73"/>
      <c r="HX1452" s="73"/>
      <c r="HY1452" s="73"/>
      <c r="HZ1452" s="73"/>
      <c r="IA1452" s="73"/>
      <c r="IB1452" s="73"/>
      <c r="IC1452" s="73"/>
      <c r="ID1452" s="73"/>
      <c r="IE1452" s="73"/>
      <c r="IF1452" s="73"/>
      <c r="IG1452" s="73"/>
      <c r="IH1452" s="73"/>
      <c r="II1452" s="73"/>
      <c r="IJ1452" s="73"/>
      <c r="IK1452" s="73"/>
      <c r="IL1452" s="73"/>
      <c r="IM1452" s="73"/>
      <c r="IN1452" s="73"/>
      <c r="IO1452" s="73"/>
      <c r="IP1452" s="73"/>
      <c r="IQ1452" s="73"/>
      <c r="IR1452" s="73"/>
      <c r="IS1452" s="73"/>
      <c r="IT1452" s="73"/>
      <c r="IU1452" s="73"/>
      <c r="IV1452" s="73"/>
      <c r="IW1452" s="73"/>
      <c r="IX1452" s="73"/>
      <c r="IY1452" s="73"/>
      <c r="IZ1452" s="73"/>
      <c r="JA1452" s="73"/>
      <c r="JB1452" s="73"/>
      <c r="JC1452" s="73"/>
    </row>
    <row r="1453" spans="2:263" s="72" customFormat="1">
      <c r="B1453" s="73"/>
      <c r="C1453" s="73"/>
      <c r="D1453" s="73"/>
      <c r="E1453" s="73"/>
      <c r="F1453" s="73"/>
      <c r="G1453" s="73"/>
      <c r="H1453" s="73"/>
      <c r="I1453" s="73"/>
      <c r="J1453" s="73"/>
      <c r="K1453" s="73"/>
      <c r="L1453" s="73"/>
      <c r="M1453" s="73"/>
      <c r="N1453" s="73"/>
      <c r="O1453" s="73"/>
      <c r="P1453" s="73"/>
      <c r="Q1453" s="73"/>
      <c r="R1453" s="73"/>
      <c r="S1453" s="73"/>
      <c r="T1453" s="73"/>
      <c r="U1453" s="73"/>
      <c r="V1453" s="73"/>
      <c r="W1453" s="73"/>
      <c r="GL1453" s="73"/>
      <c r="GM1453" s="73"/>
      <c r="GN1453" s="73"/>
      <c r="GO1453" s="73"/>
      <c r="GP1453" s="73"/>
      <c r="GQ1453" s="73"/>
      <c r="GR1453" s="73"/>
      <c r="GS1453" s="73"/>
      <c r="GT1453" s="73"/>
      <c r="GU1453" s="73"/>
      <c r="GV1453" s="73"/>
      <c r="GW1453" s="73"/>
      <c r="GX1453" s="73"/>
      <c r="GY1453" s="73"/>
      <c r="GZ1453" s="73"/>
      <c r="HA1453" s="73"/>
      <c r="HB1453" s="73"/>
      <c r="HC1453" s="73"/>
      <c r="HD1453" s="73"/>
      <c r="HE1453" s="73"/>
      <c r="HF1453" s="73"/>
      <c r="HG1453" s="73"/>
      <c r="HH1453" s="73"/>
      <c r="HI1453" s="73"/>
      <c r="HJ1453" s="73"/>
      <c r="HK1453" s="73"/>
      <c r="HL1453" s="73"/>
      <c r="HM1453" s="73"/>
      <c r="HN1453" s="73"/>
      <c r="HO1453" s="73"/>
      <c r="HP1453" s="73"/>
      <c r="HQ1453" s="73"/>
      <c r="HR1453" s="73"/>
      <c r="HS1453" s="73"/>
      <c r="HT1453" s="73"/>
      <c r="HU1453" s="73"/>
      <c r="HV1453" s="73"/>
      <c r="HW1453" s="73"/>
      <c r="HX1453" s="73"/>
      <c r="HY1453" s="73"/>
      <c r="HZ1453" s="73"/>
      <c r="IA1453" s="73"/>
      <c r="IB1453" s="73"/>
      <c r="IC1453" s="73"/>
      <c r="ID1453" s="73"/>
      <c r="IE1453" s="73"/>
      <c r="IF1453" s="73"/>
      <c r="IG1453" s="73"/>
      <c r="IH1453" s="73"/>
      <c r="II1453" s="73"/>
      <c r="IJ1453" s="73"/>
      <c r="IK1453" s="73"/>
      <c r="IL1453" s="73"/>
      <c r="IM1453" s="73"/>
      <c r="IN1453" s="73"/>
      <c r="IO1453" s="73"/>
      <c r="IP1453" s="73"/>
      <c r="IQ1453" s="73"/>
      <c r="IR1453" s="73"/>
      <c r="IS1453" s="73"/>
      <c r="IT1453" s="73"/>
      <c r="IU1453" s="73"/>
      <c r="IV1453" s="73"/>
      <c r="IW1453" s="73"/>
      <c r="IX1453" s="73"/>
      <c r="IY1453" s="73"/>
      <c r="IZ1453" s="73"/>
      <c r="JA1453" s="73"/>
      <c r="JB1453" s="73"/>
      <c r="JC1453" s="73"/>
    </row>
    <row r="1454" spans="2:263" s="72" customFormat="1">
      <c r="B1454" s="73"/>
      <c r="C1454" s="73"/>
      <c r="D1454" s="73"/>
      <c r="E1454" s="73"/>
      <c r="F1454" s="73"/>
      <c r="G1454" s="73"/>
      <c r="H1454" s="73"/>
      <c r="I1454" s="73"/>
      <c r="J1454" s="73"/>
      <c r="K1454" s="73"/>
      <c r="L1454" s="73"/>
      <c r="M1454" s="73"/>
      <c r="N1454" s="73"/>
      <c r="O1454" s="73"/>
      <c r="P1454" s="73"/>
      <c r="Q1454" s="73"/>
      <c r="R1454" s="73"/>
      <c r="S1454" s="73"/>
      <c r="T1454" s="73"/>
      <c r="U1454" s="73"/>
      <c r="V1454" s="73"/>
      <c r="W1454" s="73"/>
      <c r="GL1454" s="73"/>
      <c r="GM1454" s="73"/>
      <c r="GN1454" s="73"/>
      <c r="GO1454" s="73"/>
      <c r="GP1454" s="73"/>
      <c r="GQ1454" s="73"/>
      <c r="GR1454" s="73"/>
      <c r="GS1454" s="73"/>
      <c r="GT1454" s="73"/>
      <c r="GU1454" s="73"/>
      <c r="GV1454" s="73"/>
      <c r="GW1454" s="73"/>
      <c r="GX1454" s="73"/>
      <c r="GY1454" s="73"/>
      <c r="GZ1454" s="73"/>
      <c r="HA1454" s="73"/>
      <c r="HB1454" s="73"/>
      <c r="HC1454" s="73"/>
      <c r="HD1454" s="73"/>
      <c r="HE1454" s="73"/>
      <c r="HF1454" s="73"/>
      <c r="HG1454" s="73"/>
      <c r="HH1454" s="73"/>
      <c r="HI1454" s="73"/>
      <c r="HJ1454" s="73"/>
      <c r="HK1454" s="73"/>
      <c r="HL1454" s="73"/>
      <c r="HM1454" s="73"/>
      <c r="HN1454" s="73"/>
      <c r="HO1454" s="73"/>
      <c r="HP1454" s="73"/>
      <c r="HQ1454" s="73"/>
      <c r="HR1454" s="73"/>
      <c r="HS1454" s="73"/>
      <c r="HT1454" s="73"/>
      <c r="HU1454" s="73"/>
      <c r="HV1454" s="73"/>
      <c r="HW1454" s="73"/>
      <c r="HX1454" s="73"/>
      <c r="HY1454" s="73"/>
      <c r="HZ1454" s="73"/>
      <c r="IA1454" s="73"/>
      <c r="IB1454" s="73"/>
      <c r="IC1454" s="73"/>
      <c r="ID1454" s="73"/>
      <c r="IE1454" s="73"/>
      <c r="IF1454" s="73"/>
      <c r="IG1454" s="73"/>
      <c r="IH1454" s="73"/>
      <c r="II1454" s="73"/>
      <c r="IJ1454" s="73"/>
      <c r="IK1454" s="73"/>
      <c r="IL1454" s="73"/>
      <c r="IM1454" s="73"/>
      <c r="IN1454" s="73"/>
      <c r="IO1454" s="73"/>
      <c r="IP1454" s="73"/>
      <c r="IQ1454" s="73"/>
      <c r="IR1454" s="73"/>
      <c r="IS1454" s="73"/>
      <c r="IT1454" s="73"/>
      <c r="IU1454" s="73"/>
      <c r="IV1454" s="73"/>
      <c r="IW1454" s="73"/>
      <c r="IX1454" s="73"/>
      <c r="IY1454" s="73"/>
      <c r="IZ1454" s="73"/>
      <c r="JA1454" s="73"/>
      <c r="JB1454" s="73"/>
      <c r="JC1454" s="73"/>
    </row>
    <row r="1455" spans="2:263" s="72" customFormat="1">
      <c r="B1455" s="73"/>
      <c r="C1455" s="73"/>
      <c r="D1455" s="73"/>
      <c r="E1455" s="73"/>
      <c r="F1455" s="73"/>
      <c r="G1455" s="73"/>
      <c r="H1455" s="73"/>
      <c r="I1455" s="73"/>
      <c r="J1455" s="73"/>
      <c r="K1455" s="73"/>
      <c r="L1455" s="73"/>
      <c r="M1455" s="73"/>
      <c r="N1455" s="73"/>
      <c r="O1455" s="73"/>
      <c r="P1455" s="73"/>
      <c r="Q1455" s="73"/>
      <c r="R1455" s="73"/>
      <c r="S1455" s="73"/>
      <c r="T1455" s="73"/>
      <c r="U1455" s="73"/>
      <c r="V1455" s="73"/>
      <c r="W1455" s="73"/>
      <c r="GL1455" s="73"/>
      <c r="GM1455" s="73"/>
      <c r="GN1455" s="73"/>
      <c r="GO1455" s="73"/>
      <c r="GP1455" s="73"/>
      <c r="GQ1455" s="73"/>
      <c r="GR1455" s="73"/>
      <c r="GS1455" s="73"/>
      <c r="GT1455" s="73"/>
      <c r="GU1455" s="73"/>
      <c r="GV1455" s="73"/>
      <c r="GW1455" s="73"/>
      <c r="GX1455" s="73"/>
      <c r="GY1455" s="73"/>
      <c r="GZ1455" s="73"/>
      <c r="HA1455" s="73"/>
      <c r="HB1455" s="73"/>
      <c r="HC1455" s="73"/>
      <c r="HD1455" s="73"/>
      <c r="HE1455" s="73"/>
      <c r="HF1455" s="73"/>
      <c r="HG1455" s="73"/>
      <c r="HH1455" s="73"/>
      <c r="HI1455" s="73"/>
      <c r="HJ1455" s="73"/>
      <c r="HK1455" s="73"/>
      <c r="HL1455" s="73"/>
      <c r="HM1455" s="73"/>
      <c r="HN1455" s="73"/>
      <c r="HO1455" s="73"/>
      <c r="HP1455" s="73"/>
      <c r="HQ1455" s="73"/>
      <c r="HR1455" s="73"/>
      <c r="HS1455" s="73"/>
      <c r="HT1455" s="73"/>
      <c r="HU1455" s="73"/>
      <c r="HV1455" s="73"/>
      <c r="HW1455" s="73"/>
      <c r="HX1455" s="73"/>
      <c r="HY1455" s="73"/>
      <c r="HZ1455" s="73"/>
      <c r="IA1455" s="73"/>
      <c r="IB1455" s="73"/>
      <c r="IC1455" s="73"/>
      <c r="ID1455" s="73"/>
      <c r="IE1455" s="73"/>
      <c r="IF1455" s="73"/>
      <c r="IG1455" s="73"/>
      <c r="IH1455" s="73"/>
      <c r="II1455" s="73"/>
      <c r="IJ1455" s="73"/>
      <c r="IK1455" s="73"/>
      <c r="IL1455" s="73"/>
      <c r="IM1455" s="73"/>
      <c r="IN1455" s="73"/>
      <c r="IO1455" s="73"/>
      <c r="IP1455" s="73"/>
      <c r="IQ1455" s="73"/>
      <c r="IR1455" s="73"/>
      <c r="IS1455" s="73"/>
      <c r="IT1455" s="73"/>
      <c r="IU1455" s="73"/>
      <c r="IV1455" s="73"/>
      <c r="IW1455" s="73"/>
      <c r="IX1455" s="73"/>
      <c r="IY1455" s="73"/>
      <c r="IZ1455" s="73"/>
      <c r="JA1455" s="73"/>
      <c r="JB1455" s="73"/>
      <c r="JC1455" s="73"/>
    </row>
    <row r="1456" spans="2:263" s="72" customFormat="1">
      <c r="B1456" s="73"/>
      <c r="C1456" s="73"/>
      <c r="D1456" s="73"/>
      <c r="E1456" s="73"/>
      <c r="F1456" s="73"/>
      <c r="G1456" s="73"/>
      <c r="H1456" s="73"/>
      <c r="I1456" s="73"/>
      <c r="J1456" s="73"/>
      <c r="K1456" s="73"/>
      <c r="L1456" s="73"/>
      <c r="M1456" s="73"/>
      <c r="N1456" s="73"/>
      <c r="O1456" s="73"/>
      <c r="P1456" s="73"/>
      <c r="Q1456" s="73"/>
      <c r="R1456" s="73"/>
      <c r="S1456" s="73"/>
      <c r="T1456" s="73"/>
      <c r="U1456" s="73"/>
      <c r="V1456" s="73"/>
      <c r="W1456" s="73"/>
      <c r="GL1456" s="73"/>
      <c r="GM1456" s="73"/>
      <c r="GN1456" s="73"/>
      <c r="GO1456" s="73"/>
      <c r="GP1456" s="73"/>
      <c r="GQ1456" s="73"/>
      <c r="GR1456" s="73"/>
      <c r="GS1456" s="73"/>
      <c r="GT1456" s="73"/>
      <c r="GU1456" s="73"/>
      <c r="GV1456" s="73"/>
      <c r="GW1456" s="73"/>
      <c r="GX1456" s="73"/>
      <c r="GY1456" s="73"/>
      <c r="GZ1456" s="73"/>
      <c r="HA1456" s="73"/>
      <c r="HB1456" s="73"/>
      <c r="HC1456" s="73"/>
      <c r="HD1456" s="73"/>
      <c r="HE1456" s="73"/>
      <c r="HF1456" s="73"/>
      <c r="HG1456" s="73"/>
      <c r="HH1456" s="73"/>
      <c r="HI1456" s="73"/>
      <c r="HJ1456" s="73"/>
      <c r="HK1456" s="73"/>
      <c r="HL1456" s="73"/>
      <c r="HM1456" s="73"/>
      <c r="HN1456" s="73"/>
      <c r="HO1456" s="73"/>
      <c r="HP1456" s="73"/>
      <c r="HQ1456" s="73"/>
      <c r="HR1456" s="73"/>
      <c r="HS1456" s="73"/>
      <c r="HT1456" s="73"/>
      <c r="HU1456" s="73"/>
      <c r="HV1456" s="73"/>
      <c r="HW1456" s="73"/>
      <c r="HX1456" s="73"/>
      <c r="HY1456" s="73"/>
      <c r="HZ1456" s="73"/>
      <c r="IA1456" s="73"/>
      <c r="IB1456" s="73"/>
      <c r="IC1456" s="73"/>
      <c r="ID1456" s="73"/>
      <c r="IE1456" s="73"/>
      <c r="IF1456" s="73"/>
      <c r="IG1456" s="73"/>
      <c r="IH1456" s="73"/>
      <c r="II1456" s="73"/>
      <c r="IJ1456" s="73"/>
      <c r="IK1456" s="73"/>
      <c r="IL1456" s="73"/>
      <c r="IM1456" s="73"/>
      <c r="IN1456" s="73"/>
      <c r="IO1456" s="73"/>
      <c r="IP1456" s="73"/>
      <c r="IQ1456" s="73"/>
      <c r="IR1456" s="73"/>
      <c r="IS1456" s="73"/>
      <c r="IT1456" s="73"/>
      <c r="IU1456" s="73"/>
      <c r="IV1456" s="73"/>
      <c r="IW1456" s="73"/>
      <c r="IX1456" s="73"/>
      <c r="IY1456" s="73"/>
      <c r="IZ1456" s="73"/>
      <c r="JA1456" s="73"/>
      <c r="JB1456" s="73"/>
      <c r="JC1456" s="73"/>
    </row>
    <row r="1457" spans="2:263" s="72" customFormat="1">
      <c r="B1457" s="73"/>
      <c r="C1457" s="73"/>
      <c r="D1457" s="73"/>
      <c r="E1457" s="73"/>
      <c r="F1457" s="73"/>
      <c r="G1457" s="73"/>
      <c r="H1457" s="73"/>
      <c r="I1457" s="73"/>
      <c r="J1457" s="73"/>
      <c r="K1457" s="73"/>
      <c r="L1457" s="73"/>
      <c r="M1457" s="73"/>
      <c r="N1457" s="73"/>
      <c r="O1457" s="73"/>
      <c r="P1457" s="73"/>
      <c r="Q1457" s="73"/>
      <c r="R1457" s="73"/>
      <c r="S1457" s="73"/>
      <c r="T1457" s="73"/>
      <c r="U1457" s="73"/>
      <c r="V1457" s="73"/>
      <c r="W1457" s="73"/>
      <c r="GL1457" s="73"/>
      <c r="GM1457" s="73"/>
      <c r="GN1457" s="73"/>
      <c r="GO1457" s="73"/>
      <c r="GP1457" s="73"/>
      <c r="GQ1457" s="73"/>
      <c r="GR1457" s="73"/>
      <c r="GS1457" s="73"/>
      <c r="GT1457" s="73"/>
      <c r="GU1457" s="73"/>
      <c r="GV1457" s="73"/>
      <c r="GW1457" s="73"/>
      <c r="GX1457" s="73"/>
      <c r="GY1457" s="73"/>
      <c r="GZ1457" s="73"/>
      <c r="HA1457" s="73"/>
      <c r="HB1457" s="73"/>
      <c r="HC1457" s="73"/>
      <c r="HD1457" s="73"/>
      <c r="HE1457" s="73"/>
      <c r="HF1457" s="73"/>
      <c r="HG1457" s="73"/>
      <c r="HH1457" s="73"/>
      <c r="HI1457" s="73"/>
      <c r="HJ1457" s="73"/>
      <c r="HK1457" s="73"/>
      <c r="HL1457" s="73"/>
      <c r="HM1457" s="73"/>
      <c r="HN1457" s="73"/>
      <c r="HO1457" s="73"/>
      <c r="HP1457" s="73"/>
      <c r="HQ1457" s="73"/>
      <c r="HR1457" s="73"/>
      <c r="HS1457" s="73"/>
      <c r="HT1457" s="73"/>
      <c r="HU1457" s="73"/>
      <c r="HV1457" s="73"/>
      <c r="HW1457" s="73"/>
      <c r="HX1457" s="73"/>
      <c r="HY1457" s="73"/>
      <c r="HZ1457" s="73"/>
      <c r="IA1457" s="73"/>
      <c r="IB1457" s="73"/>
      <c r="IC1457" s="73"/>
      <c r="ID1457" s="73"/>
      <c r="IE1457" s="73"/>
      <c r="IF1457" s="73"/>
      <c r="IG1457" s="73"/>
      <c r="IH1457" s="73"/>
      <c r="II1457" s="73"/>
      <c r="IJ1457" s="73"/>
      <c r="IK1457" s="73"/>
      <c r="IL1457" s="73"/>
      <c r="IM1457" s="73"/>
      <c r="IN1457" s="73"/>
      <c r="IO1457" s="73"/>
      <c r="IP1457" s="73"/>
      <c r="IQ1457" s="73"/>
      <c r="IR1457" s="73"/>
      <c r="IS1457" s="73"/>
      <c r="IT1457" s="73"/>
      <c r="IU1457" s="73"/>
      <c r="IV1457" s="73"/>
      <c r="IW1457" s="73"/>
      <c r="IX1457" s="73"/>
      <c r="IY1457" s="73"/>
      <c r="IZ1457" s="73"/>
      <c r="JA1457" s="73"/>
      <c r="JB1457" s="73"/>
      <c r="JC1457" s="73"/>
    </row>
    <row r="1458" spans="2:263" s="72" customFormat="1">
      <c r="B1458" s="73"/>
      <c r="C1458" s="73"/>
      <c r="D1458" s="73"/>
      <c r="E1458" s="73"/>
      <c r="F1458" s="73"/>
      <c r="G1458" s="73"/>
      <c r="H1458" s="73"/>
      <c r="I1458" s="73"/>
      <c r="J1458" s="73"/>
      <c r="K1458" s="73"/>
      <c r="L1458" s="73"/>
      <c r="M1458" s="73"/>
      <c r="N1458" s="73"/>
      <c r="O1458" s="73"/>
      <c r="P1458" s="73"/>
      <c r="Q1458" s="73"/>
      <c r="R1458" s="73"/>
      <c r="S1458" s="73"/>
      <c r="T1458" s="73"/>
      <c r="U1458" s="73"/>
      <c r="V1458" s="73"/>
      <c r="W1458" s="73"/>
      <c r="GL1458" s="73"/>
      <c r="GM1458" s="73"/>
      <c r="GN1458" s="73"/>
      <c r="GO1458" s="73"/>
      <c r="GP1458" s="73"/>
      <c r="GQ1458" s="73"/>
      <c r="GR1458" s="73"/>
      <c r="GS1458" s="73"/>
      <c r="GT1458" s="73"/>
      <c r="GU1458" s="73"/>
      <c r="GV1458" s="73"/>
      <c r="GW1458" s="73"/>
      <c r="GX1458" s="73"/>
      <c r="GY1458" s="73"/>
      <c r="GZ1458" s="73"/>
      <c r="HA1458" s="73"/>
      <c r="HB1458" s="73"/>
      <c r="HC1458" s="73"/>
      <c r="HD1458" s="73"/>
      <c r="HE1458" s="73"/>
      <c r="HF1458" s="73"/>
      <c r="HG1458" s="73"/>
      <c r="HH1458" s="73"/>
      <c r="HI1458" s="73"/>
      <c r="HJ1458" s="73"/>
      <c r="HK1458" s="73"/>
      <c r="HL1458" s="73"/>
      <c r="HM1458" s="73"/>
      <c r="HN1458" s="73"/>
      <c r="HO1458" s="73"/>
      <c r="HP1458" s="73"/>
      <c r="HQ1458" s="73"/>
      <c r="HR1458" s="73"/>
      <c r="HS1458" s="73"/>
      <c r="HT1458" s="73"/>
      <c r="HU1458" s="73"/>
      <c r="HV1458" s="73"/>
      <c r="HW1458" s="73"/>
      <c r="HX1458" s="73"/>
      <c r="HY1458" s="73"/>
      <c r="HZ1458" s="73"/>
      <c r="IA1458" s="73"/>
      <c r="IB1458" s="73"/>
      <c r="IC1458" s="73"/>
      <c r="ID1458" s="73"/>
      <c r="IE1458" s="73"/>
      <c r="IF1458" s="73"/>
      <c r="IG1458" s="73"/>
      <c r="IH1458" s="73"/>
      <c r="II1458" s="73"/>
      <c r="IJ1458" s="73"/>
      <c r="IK1458" s="73"/>
      <c r="IL1458" s="73"/>
      <c r="IM1458" s="73"/>
      <c r="IN1458" s="73"/>
      <c r="IO1458" s="73"/>
      <c r="IP1458" s="73"/>
      <c r="IQ1458" s="73"/>
      <c r="IR1458" s="73"/>
      <c r="IS1458" s="73"/>
      <c r="IT1458" s="73"/>
      <c r="IU1458" s="73"/>
      <c r="IV1458" s="73"/>
      <c r="IW1458" s="73"/>
      <c r="IX1458" s="73"/>
      <c r="IY1458" s="73"/>
      <c r="IZ1458" s="73"/>
      <c r="JA1458" s="73"/>
      <c r="JB1458" s="73"/>
      <c r="JC1458" s="73"/>
    </row>
    <row r="1459" spans="2:263" s="72" customFormat="1">
      <c r="B1459" s="73"/>
      <c r="C1459" s="73"/>
      <c r="D1459" s="73"/>
      <c r="E1459" s="73"/>
      <c r="F1459" s="73"/>
      <c r="G1459" s="73"/>
      <c r="H1459" s="73"/>
      <c r="I1459" s="73"/>
      <c r="J1459" s="73"/>
      <c r="K1459" s="73"/>
      <c r="L1459" s="73"/>
      <c r="M1459" s="73"/>
      <c r="N1459" s="73"/>
      <c r="O1459" s="73"/>
      <c r="P1459" s="73"/>
      <c r="Q1459" s="73"/>
      <c r="R1459" s="73"/>
      <c r="S1459" s="73"/>
      <c r="T1459" s="73"/>
      <c r="U1459" s="73"/>
      <c r="V1459" s="73"/>
      <c r="W1459" s="73"/>
      <c r="GL1459" s="73"/>
      <c r="GM1459" s="73"/>
      <c r="GN1459" s="73"/>
      <c r="GO1459" s="73"/>
      <c r="GP1459" s="73"/>
      <c r="GQ1459" s="73"/>
      <c r="GR1459" s="73"/>
      <c r="GS1459" s="73"/>
      <c r="GT1459" s="73"/>
      <c r="GU1459" s="73"/>
      <c r="GV1459" s="73"/>
      <c r="GW1459" s="73"/>
      <c r="GX1459" s="73"/>
      <c r="GY1459" s="73"/>
      <c r="GZ1459" s="73"/>
      <c r="HA1459" s="73"/>
      <c r="HB1459" s="73"/>
      <c r="HC1459" s="73"/>
      <c r="HD1459" s="73"/>
      <c r="HE1459" s="73"/>
      <c r="HF1459" s="73"/>
      <c r="HG1459" s="73"/>
      <c r="HH1459" s="73"/>
      <c r="HI1459" s="73"/>
      <c r="HJ1459" s="73"/>
      <c r="HK1459" s="73"/>
      <c r="HL1459" s="73"/>
      <c r="HM1459" s="73"/>
      <c r="HN1459" s="73"/>
      <c r="HO1459" s="73"/>
      <c r="HP1459" s="73"/>
      <c r="HQ1459" s="73"/>
      <c r="HR1459" s="73"/>
      <c r="HS1459" s="73"/>
      <c r="HT1459" s="73"/>
      <c r="HU1459" s="73"/>
      <c r="HV1459" s="73"/>
      <c r="HW1459" s="73"/>
      <c r="HX1459" s="73"/>
      <c r="HY1459" s="73"/>
      <c r="HZ1459" s="73"/>
      <c r="IA1459" s="73"/>
      <c r="IB1459" s="73"/>
      <c r="IC1459" s="73"/>
      <c r="ID1459" s="73"/>
      <c r="IE1459" s="73"/>
      <c r="IF1459" s="73"/>
      <c r="IG1459" s="73"/>
      <c r="IH1459" s="73"/>
      <c r="II1459" s="73"/>
      <c r="IJ1459" s="73"/>
      <c r="IK1459" s="73"/>
      <c r="IL1459" s="73"/>
      <c r="IM1459" s="73"/>
      <c r="IN1459" s="73"/>
      <c r="IO1459" s="73"/>
      <c r="IP1459" s="73"/>
      <c r="IQ1459" s="73"/>
      <c r="IR1459" s="73"/>
      <c r="IS1459" s="73"/>
      <c r="IT1459" s="73"/>
      <c r="IU1459" s="73"/>
      <c r="IV1459" s="73"/>
      <c r="IW1459" s="73"/>
      <c r="IX1459" s="73"/>
      <c r="IY1459" s="73"/>
      <c r="IZ1459" s="73"/>
      <c r="JA1459" s="73"/>
      <c r="JB1459" s="73"/>
      <c r="JC1459" s="73"/>
    </row>
    <row r="1460" spans="2:263" s="72" customFormat="1">
      <c r="B1460" s="73"/>
      <c r="C1460" s="73"/>
      <c r="D1460" s="73"/>
      <c r="E1460" s="73"/>
      <c r="F1460" s="73"/>
      <c r="G1460" s="73"/>
      <c r="H1460" s="73"/>
      <c r="I1460" s="73"/>
      <c r="J1460" s="73"/>
      <c r="K1460" s="73"/>
      <c r="L1460" s="73"/>
      <c r="M1460" s="73"/>
      <c r="N1460" s="73"/>
      <c r="O1460" s="73"/>
      <c r="P1460" s="73"/>
      <c r="Q1460" s="73"/>
      <c r="R1460" s="73"/>
      <c r="S1460" s="73"/>
      <c r="T1460" s="73"/>
      <c r="U1460" s="73"/>
      <c r="V1460" s="73"/>
      <c r="W1460" s="73"/>
      <c r="GL1460" s="73"/>
      <c r="GM1460" s="73"/>
      <c r="GN1460" s="73"/>
      <c r="GO1460" s="73"/>
      <c r="GP1460" s="73"/>
      <c r="GQ1460" s="73"/>
      <c r="GR1460" s="73"/>
      <c r="GS1460" s="73"/>
      <c r="GT1460" s="73"/>
      <c r="GU1460" s="73"/>
      <c r="GV1460" s="73"/>
      <c r="GW1460" s="73"/>
      <c r="GX1460" s="73"/>
      <c r="GY1460" s="73"/>
      <c r="GZ1460" s="73"/>
      <c r="HA1460" s="73"/>
      <c r="HB1460" s="73"/>
      <c r="HC1460" s="73"/>
      <c r="HD1460" s="73"/>
      <c r="HE1460" s="73"/>
      <c r="HF1460" s="73"/>
      <c r="HG1460" s="73"/>
      <c r="HH1460" s="73"/>
      <c r="HI1460" s="73"/>
      <c r="HJ1460" s="73"/>
      <c r="HK1460" s="73"/>
      <c r="HL1460" s="73"/>
      <c r="HM1460" s="73"/>
      <c r="HN1460" s="73"/>
      <c r="HO1460" s="73"/>
      <c r="HP1460" s="73"/>
      <c r="HQ1460" s="73"/>
      <c r="HR1460" s="73"/>
      <c r="HS1460" s="73"/>
      <c r="HT1460" s="73"/>
      <c r="HU1460" s="73"/>
      <c r="HV1460" s="73"/>
      <c r="HW1460" s="73"/>
      <c r="HX1460" s="73"/>
      <c r="HY1460" s="73"/>
      <c r="HZ1460" s="73"/>
      <c r="IA1460" s="73"/>
      <c r="IB1460" s="73"/>
      <c r="IC1460" s="73"/>
      <c r="ID1460" s="73"/>
      <c r="IE1460" s="73"/>
      <c r="IF1460" s="73"/>
      <c r="IG1460" s="73"/>
      <c r="IH1460" s="73"/>
      <c r="II1460" s="73"/>
      <c r="IJ1460" s="73"/>
      <c r="IK1460" s="73"/>
      <c r="IL1460" s="73"/>
      <c r="IM1460" s="73"/>
      <c r="IN1460" s="73"/>
      <c r="IO1460" s="73"/>
      <c r="IP1460" s="73"/>
      <c r="IQ1460" s="73"/>
      <c r="IR1460" s="73"/>
      <c r="IS1460" s="73"/>
      <c r="IT1460" s="73"/>
      <c r="IU1460" s="73"/>
      <c r="IV1460" s="73"/>
      <c r="IW1460" s="73"/>
      <c r="IX1460" s="73"/>
      <c r="IY1460" s="73"/>
      <c r="IZ1460" s="73"/>
      <c r="JA1460" s="73"/>
      <c r="JB1460" s="73"/>
      <c r="JC1460" s="73"/>
    </row>
    <row r="1461" spans="2:263" s="72" customFormat="1">
      <c r="B1461" s="73"/>
      <c r="C1461" s="73"/>
      <c r="D1461" s="73"/>
      <c r="E1461" s="73"/>
      <c r="F1461" s="73"/>
      <c r="G1461" s="73"/>
      <c r="H1461" s="73"/>
      <c r="I1461" s="73"/>
      <c r="J1461" s="73"/>
      <c r="K1461" s="73"/>
      <c r="L1461" s="73"/>
      <c r="M1461" s="73"/>
      <c r="N1461" s="73"/>
      <c r="O1461" s="73"/>
      <c r="P1461" s="73"/>
      <c r="Q1461" s="73"/>
      <c r="R1461" s="73"/>
      <c r="S1461" s="73"/>
      <c r="T1461" s="73"/>
      <c r="U1461" s="73"/>
      <c r="V1461" s="73"/>
      <c r="W1461" s="73"/>
      <c r="GL1461" s="73"/>
      <c r="GM1461" s="73"/>
      <c r="GN1461" s="73"/>
      <c r="GO1461" s="73"/>
      <c r="GP1461" s="73"/>
      <c r="GQ1461" s="73"/>
      <c r="GR1461" s="73"/>
      <c r="GS1461" s="73"/>
      <c r="GT1461" s="73"/>
      <c r="GU1461" s="73"/>
      <c r="GV1461" s="73"/>
      <c r="GW1461" s="73"/>
      <c r="GX1461" s="73"/>
      <c r="GY1461" s="73"/>
      <c r="GZ1461" s="73"/>
      <c r="HA1461" s="73"/>
      <c r="HB1461" s="73"/>
      <c r="HC1461" s="73"/>
      <c r="HD1461" s="73"/>
      <c r="HE1461" s="73"/>
      <c r="HF1461" s="73"/>
      <c r="HG1461" s="73"/>
      <c r="HH1461" s="73"/>
      <c r="HI1461" s="73"/>
      <c r="HJ1461" s="73"/>
      <c r="HK1461" s="73"/>
      <c r="HL1461" s="73"/>
      <c r="HM1461" s="73"/>
      <c r="HN1461" s="73"/>
      <c r="HO1461" s="73"/>
      <c r="HP1461" s="73"/>
      <c r="HQ1461" s="73"/>
      <c r="HR1461" s="73"/>
      <c r="HS1461" s="73"/>
      <c r="HT1461" s="73"/>
      <c r="HU1461" s="73"/>
      <c r="HV1461" s="73"/>
      <c r="HW1461" s="73"/>
      <c r="HX1461" s="73"/>
      <c r="HY1461" s="73"/>
      <c r="HZ1461" s="73"/>
      <c r="IA1461" s="73"/>
      <c r="IB1461" s="73"/>
      <c r="IC1461" s="73"/>
      <c r="ID1461" s="73"/>
      <c r="IE1461" s="73"/>
      <c r="IF1461" s="73"/>
      <c r="IG1461" s="73"/>
      <c r="IH1461" s="73"/>
      <c r="II1461" s="73"/>
      <c r="IJ1461" s="73"/>
      <c r="IK1461" s="73"/>
      <c r="IL1461" s="73"/>
      <c r="IM1461" s="73"/>
      <c r="IN1461" s="73"/>
      <c r="IO1461" s="73"/>
      <c r="IP1461" s="73"/>
      <c r="IQ1461" s="73"/>
      <c r="IR1461" s="73"/>
      <c r="IS1461" s="73"/>
      <c r="IT1461" s="73"/>
      <c r="IU1461" s="73"/>
      <c r="IV1461" s="73"/>
      <c r="IW1461" s="73"/>
      <c r="IX1461" s="73"/>
      <c r="IY1461" s="73"/>
      <c r="IZ1461" s="73"/>
      <c r="JA1461" s="73"/>
      <c r="JB1461" s="73"/>
      <c r="JC1461" s="73"/>
    </row>
    <row r="1462" spans="2:263" s="72" customFormat="1">
      <c r="B1462" s="73"/>
      <c r="C1462" s="73"/>
      <c r="D1462" s="73"/>
      <c r="E1462" s="73"/>
      <c r="F1462" s="73"/>
      <c r="G1462" s="73"/>
      <c r="H1462" s="73"/>
      <c r="I1462" s="73"/>
      <c r="J1462" s="73"/>
      <c r="K1462" s="73"/>
      <c r="L1462" s="73"/>
      <c r="M1462" s="73"/>
      <c r="N1462" s="73"/>
      <c r="O1462" s="73"/>
      <c r="P1462" s="73"/>
      <c r="Q1462" s="73"/>
      <c r="R1462" s="73"/>
      <c r="S1462" s="73"/>
      <c r="T1462" s="73"/>
      <c r="U1462" s="73"/>
      <c r="V1462" s="73"/>
      <c r="W1462" s="73"/>
      <c r="GL1462" s="73"/>
      <c r="GM1462" s="73"/>
      <c r="GN1462" s="73"/>
      <c r="GO1462" s="73"/>
      <c r="GP1462" s="73"/>
      <c r="GQ1462" s="73"/>
      <c r="GR1462" s="73"/>
      <c r="GS1462" s="73"/>
      <c r="GT1462" s="73"/>
      <c r="GU1462" s="73"/>
      <c r="GV1462" s="73"/>
      <c r="GW1462" s="73"/>
      <c r="GX1462" s="73"/>
      <c r="GY1462" s="73"/>
      <c r="GZ1462" s="73"/>
      <c r="HA1462" s="73"/>
      <c r="HB1462" s="73"/>
      <c r="HC1462" s="73"/>
      <c r="HD1462" s="73"/>
      <c r="HE1462" s="73"/>
      <c r="HF1462" s="73"/>
      <c r="HG1462" s="73"/>
      <c r="HH1462" s="73"/>
      <c r="HI1462" s="73"/>
      <c r="HJ1462" s="73"/>
      <c r="HK1462" s="73"/>
      <c r="HL1462" s="73"/>
      <c r="HM1462" s="73"/>
      <c r="HN1462" s="73"/>
      <c r="HO1462" s="73"/>
      <c r="HP1462" s="73"/>
      <c r="HQ1462" s="73"/>
      <c r="HR1462" s="73"/>
      <c r="HS1462" s="73"/>
      <c r="HT1462" s="73"/>
      <c r="HU1462" s="73"/>
      <c r="HV1462" s="73"/>
      <c r="HW1462" s="73"/>
      <c r="HX1462" s="73"/>
      <c r="HY1462" s="73"/>
      <c r="HZ1462" s="73"/>
      <c r="IA1462" s="73"/>
      <c r="IB1462" s="73"/>
      <c r="IC1462" s="73"/>
      <c r="ID1462" s="73"/>
      <c r="IE1462" s="73"/>
      <c r="IF1462" s="73"/>
      <c r="IG1462" s="73"/>
      <c r="IH1462" s="73"/>
      <c r="II1462" s="73"/>
      <c r="IJ1462" s="73"/>
      <c r="IK1462" s="73"/>
      <c r="IL1462" s="73"/>
      <c r="IM1462" s="73"/>
      <c r="IN1462" s="73"/>
      <c r="IO1462" s="73"/>
      <c r="IP1462" s="73"/>
      <c r="IQ1462" s="73"/>
      <c r="IR1462" s="73"/>
      <c r="IS1462" s="73"/>
      <c r="IT1462" s="73"/>
      <c r="IU1462" s="73"/>
      <c r="IV1462" s="73"/>
      <c r="IW1462" s="73"/>
      <c r="IX1462" s="73"/>
      <c r="IY1462" s="73"/>
      <c r="IZ1462" s="73"/>
      <c r="JA1462" s="73"/>
      <c r="JB1462" s="73"/>
      <c r="JC1462" s="73"/>
    </row>
    <row r="1463" spans="2:263" s="72" customFormat="1">
      <c r="B1463" s="73"/>
      <c r="C1463" s="73"/>
      <c r="D1463" s="73"/>
      <c r="E1463" s="73"/>
      <c r="F1463" s="73"/>
      <c r="G1463" s="73"/>
      <c r="H1463" s="73"/>
      <c r="I1463" s="73"/>
      <c r="J1463" s="73"/>
      <c r="K1463" s="73"/>
      <c r="L1463" s="73"/>
      <c r="M1463" s="73"/>
      <c r="N1463" s="73"/>
      <c r="O1463" s="73"/>
      <c r="P1463" s="73"/>
      <c r="Q1463" s="73"/>
      <c r="R1463" s="73"/>
      <c r="S1463" s="73"/>
      <c r="T1463" s="73"/>
      <c r="U1463" s="73"/>
      <c r="V1463" s="73"/>
      <c r="W1463" s="73"/>
      <c r="GL1463" s="73"/>
      <c r="GM1463" s="73"/>
      <c r="GN1463" s="73"/>
      <c r="GO1463" s="73"/>
      <c r="GP1463" s="73"/>
      <c r="GQ1463" s="73"/>
      <c r="GR1463" s="73"/>
      <c r="GS1463" s="73"/>
      <c r="GT1463" s="73"/>
      <c r="GU1463" s="73"/>
      <c r="GV1463" s="73"/>
      <c r="GW1463" s="73"/>
      <c r="GX1463" s="73"/>
      <c r="GY1463" s="73"/>
      <c r="GZ1463" s="73"/>
      <c r="HA1463" s="73"/>
      <c r="HB1463" s="73"/>
      <c r="HC1463" s="73"/>
      <c r="HD1463" s="73"/>
      <c r="HE1463" s="73"/>
      <c r="HF1463" s="73"/>
      <c r="HG1463" s="73"/>
      <c r="HH1463" s="73"/>
      <c r="HI1463" s="73"/>
      <c r="HJ1463" s="73"/>
      <c r="HK1463" s="73"/>
      <c r="HL1463" s="73"/>
      <c r="HM1463" s="73"/>
      <c r="HN1463" s="73"/>
      <c r="HO1463" s="73"/>
      <c r="HP1463" s="73"/>
      <c r="HQ1463" s="73"/>
      <c r="HR1463" s="73"/>
      <c r="HS1463" s="73"/>
      <c r="HT1463" s="73"/>
      <c r="HU1463" s="73"/>
      <c r="HV1463" s="73"/>
      <c r="HW1463" s="73"/>
      <c r="HX1463" s="73"/>
      <c r="HY1463" s="73"/>
      <c r="HZ1463" s="73"/>
      <c r="IA1463" s="73"/>
      <c r="IB1463" s="73"/>
      <c r="IC1463" s="73"/>
      <c r="ID1463" s="73"/>
      <c r="IE1463" s="73"/>
      <c r="IF1463" s="73"/>
      <c r="IG1463" s="73"/>
      <c r="IH1463" s="73"/>
      <c r="II1463" s="73"/>
      <c r="IJ1463" s="73"/>
      <c r="IK1463" s="73"/>
      <c r="IL1463" s="73"/>
      <c r="IM1463" s="73"/>
      <c r="IN1463" s="73"/>
      <c r="IO1463" s="73"/>
      <c r="IP1463" s="73"/>
      <c r="IQ1463" s="73"/>
      <c r="IR1463" s="73"/>
      <c r="IS1463" s="73"/>
      <c r="IT1463" s="73"/>
      <c r="IU1463" s="73"/>
      <c r="IV1463" s="73"/>
      <c r="IW1463" s="73"/>
      <c r="IX1463" s="73"/>
      <c r="IY1463" s="73"/>
      <c r="IZ1463" s="73"/>
      <c r="JA1463" s="73"/>
      <c r="JB1463" s="73"/>
      <c r="JC1463" s="73"/>
    </row>
    <row r="1464" spans="2:263" s="72" customFormat="1">
      <c r="B1464" s="73"/>
      <c r="C1464" s="73"/>
      <c r="D1464" s="73"/>
      <c r="E1464" s="73"/>
      <c r="F1464" s="73"/>
      <c r="G1464" s="73"/>
      <c r="H1464" s="73"/>
      <c r="I1464" s="73"/>
      <c r="J1464" s="73"/>
      <c r="K1464" s="73"/>
      <c r="L1464" s="73"/>
      <c r="M1464" s="73"/>
      <c r="N1464" s="73"/>
      <c r="O1464" s="73"/>
      <c r="P1464" s="73"/>
      <c r="Q1464" s="73"/>
      <c r="R1464" s="73"/>
      <c r="S1464" s="73"/>
      <c r="T1464" s="73"/>
      <c r="U1464" s="73"/>
      <c r="V1464" s="73"/>
      <c r="W1464" s="73"/>
      <c r="GL1464" s="73"/>
      <c r="GM1464" s="73"/>
      <c r="GN1464" s="73"/>
      <c r="GO1464" s="73"/>
      <c r="GP1464" s="73"/>
      <c r="GQ1464" s="73"/>
      <c r="GR1464" s="73"/>
      <c r="GS1464" s="73"/>
      <c r="GT1464" s="73"/>
      <c r="GU1464" s="73"/>
      <c r="GV1464" s="73"/>
      <c r="GW1464" s="73"/>
      <c r="GX1464" s="73"/>
      <c r="GY1464" s="73"/>
      <c r="GZ1464" s="73"/>
      <c r="HA1464" s="73"/>
      <c r="HB1464" s="73"/>
      <c r="HC1464" s="73"/>
      <c r="HD1464" s="73"/>
      <c r="HE1464" s="73"/>
      <c r="HF1464" s="73"/>
      <c r="HG1464" s="73"/>
      <c r="HH1464" s="73"/>
      <c r="HI1464" s="73"/>
      <c r="HJ1464" s="73"/>
      <c r="HK1464" s="73"/>
      <c r="HL1464" s="73"/>
      <c r="HM1464" s="73"/>
      <c r="HN1464" s="73"/>
      <c r="HO1464" s="73"/>
      <c r="HP1464" s="73"/>
      <c r="HQ1464" s="73"/>
      <c r="HR1464" s="73"/>
      <c r="HS1464" s="73"/>
      <c r="HT1464" s="73"/>
      <c r="HU1464" s="73"/>
      <c r="HV1464" s="73"/>
      <c r="HW1464" s="73"/>
      <c r="HX1464" s="73"/>
      <c r="HY1464" s="73"/>
      <c r="HZ1464" s="73"/>
      <c r="IA1464" s="73"/>
      <c r="IB1464" s="73"/>
      <c r="IC1464" s="73"/>
      <c r="ID1464" s="73"/>
      <c r="IE1464" s="73"/>
      <c r="IF1464" s="73"/>
      <c r="IG1464" s="73"/>
      <c r="IH1464" s="73"/>
      <c r="II1464" s="73"/>
      <c r="IJ1464" s="73"/>
      <c r="IK1464" s="73"/>
      <c r="IL1464" s="73"/>
      <c r="IM1464" s="73"/>
      <c r="IN1464" s="73"/>
      <c r="IO1464" s="73"/>
      <c r="IP1464" s="73"/>
      <c r="IQ1464" s="73"/>
      <c r="IR1464" s="73"/>
      <c r="IS1464" s="73"/>
      <c r="IT1464" s="73"/>
      <c r="IU1464" s="73"/>
      <c r="IV1464" s="73"/>
      <c r="IW1464" s="73"/>
      <c r="IX1464" s="73"/>
      <c r="IY1464" s="73"/>
      <c r="IZ1464" s="73"/>
      <c r="JA1464" s="73"/>
      <c r="JB1464" s="73"/>
      <c r="JC1464" s="73"/>
    </row>
    <row r="1465" spans="2:263" s="72" customFormat="1">
      <c r="B1465" s="73"/>
      <c r="C1465" s="73"/>
      <c r="D1465" s="73"/>
      <c r="E1465" s="73"/>
      <c r="F1465" s="73"/>
      <c r="G1465" s="73"/>
      <c r="H1465" s="73"/>
      <c r="I1465" s="73"/>
      <c r="J1465" s="73"/>
      <c r="K1465" s="73"/>
      <c r="L1465" s="73"/>
      <c r="M1465" s="73"/>
      <c r="N1465" s="73"/>
      <c r="O1465" s="73"/>
      <c r="P1465" s="73"/>
      <c r="Q1465" s="73"/>
      <c r="R1465" s="73"/>
      <c r="S1465" s="73"/>
      <c r="T1465" s="73"/>
      <c r="U1465" s="73"/>
      <c r="V1465" s="73"/>
      <c r="W1465" s="73"/>
      <c r="GL1465" s="73"/>
      <c r="GM1465" s="73"/>
      <c r="GN1465" s="73"/>
      <c r="GO1465" s="73"/>
      <c r="GP1465" s="73"/>
      <c r="GQ1465" s="73"/>
      <c r="GR1465" s="73"/>
      <c r="GS1465" s="73"/>
      <c r="GT1465" s="73"/>
      <c r="GU1465" s="73"/>
      <c r="GV1465" s="73"/>
      <c r="GW1465" s="73"/>
      <c r="GX1465" s="73"/>
      <c r="GY1465" s="73"/>
      <c r="GZ1465" s="73"/>
      <c r="HA1465" s="73"/>
      <c r="HB1465" s="73"/>
      <c r="HC1465" s="73"/>
      <c r="HD1465" s="73"/>
      <c r="HE1465" s="73"/>
      <c r="HF1465" s="73"/>
      <c r="HG1465" s="73"/>
      <c r="HH1465" s="73"/>
      <c r="HI1465" s="73"/>
      <c r="HJ1465" s="73"/>
      <c r="HK1465" s="73"/>
      <c r="HL1465" s="73"/>
      <c r="HM1465" s="73"/>
      <c r="HN1465" s="73"/>
      <c r="HO1465" s="73"/>
      <c r="HP1465" s="73"/>
      <c r="HQ1465" s="73"/>
      <c r="HR1465" s="73"/>
      <c r="HS1465" s="73"/>
      <c r="HT1465" s="73"/>
      <c r="HU1465" s="73"/>
      <c r="HV1465" s="73"/>
      <c r="HW1465" s="73"/>
      <c r="HX1465" s="73"/>
      <c r="HY1465" s="73"/>
      <c r="HZ1465" s="73"/>
      <c r="IA1465" s="73"/>
      <c r="IB1465" s="73"/>
      <c r="IC1465" s="73"/>
      <c r="ID1465" s="73"/>
      <c r="IE1465" s="73"/>
      <c r="IF1465" s="73"/>
      <c r="IG1465" s="73"/>
      <c r="IH1465" s="73"/>
      <c r="II1465" s="73"/>
      <c r="IJ1465" s="73"/>
      <c r="IK1465" s="73"/>
      <c r="IL1465" s="73"/>
      <c r="IM1465" s="73"/>
      <c r="IN1465" s="73"/>
      <c r="IO1465" s="73"/>
      <c r="IP1465" s="73"/>
      <c r="IQ1465" s="73"/>
      <c r="IR1465" s="73"/>
      <c r="IS1465" s="73"/>
      <c r="IT1465" s="73"/>
      <c r="IU1465" s="73"/>
      <c r="IV1465" s="73"/>
      <c r="IW1465" s="73"/>
      <c r="IX1465" s="73"/>
      <c r="IY1465" s="73"/>
      <c r="IZ1465" s="73"/>
      <c r="JA1465" s="73"/>
      <c r="JB1465" s="73"/>
      <c r="JC1465" s="73"/>
    </row>
    <row r="1466" spans="2:263" s="72" customFormat="1">
      <c r="B1466" s="73"/>
      <c r="C1466" s="73"/>
      <c r="D1466" s="73"/>
      <c r="E1466" s="73"/>
      <c r="F1466" s="73"/>
      <c r="G1466" s="73"/>
      <c r="H1466" s="73"/>
      <c r="I1466" s="73"/>
      <c r="J1466" s="73"/>
      <c r="K1466" s="73"/>
      <c r="L1466" s="73"/>
      <c r="M1466" s="73"/>
      <c r="N1466" s="73"/>
      <c r="O1466" s="73"/>
      <c r="P1466" s="73"/>
      <c r="Q1466" s="73"/>
      <c r="R1466" s="73"/>
      <c r="S1466" s="73"/>
      <c r="T1466" s="73"/>
      <c r="U1466" s="73"/>
      <c r="V1466" s="73"/>
      <c r="W1466" s="73"/>
      <c r="GL1466" s="73"/>
      <c r="GM1466" s="73"/>
      <c r="GN1466" s="73"/>
      <c r="GO1466" s="73"/>
      <c r="GP1466" s="73"/>
      <c r="GQ1466" s="73"/>
      <c r="GR1466" s="73"/>
      <c r="GS1466" s="73"/>
      <c r="GT1466" s="73"/>
      <c r="GU1466" s="73"/>
      <c r="GV1466" s="73"/>
      <c r="GW1466" s="73"/>
      <c r="GX1466" s="73"/>
      <c r="GY1466" s="73"/>
      <c r="GZ1466" s="73"/>
      <c r="HA1466" s="73"/>
      <c r="HB1466" s="73"/>
      <c r="HC1466" s="73"/>
      <c r="HD1466" s="73"/>
      <c r="HE1466" s="73"/>
      <c r="HF1466" s="73"/>
      <c r="HG1466" s="73"/>
      <c r="HH1466" s="73"/>
      <c r="HI1466" s="73"/>
      <c r="HJ1466" s="73"/>
      <c r="HK1466" s="73"/>
      <c r="HL1466" s="73"/>
      <c r="HM1466" s="73"/>
      <c r="HN1466" s="73"/>
      <c r="HO1466" s="73"/>
      <c r="HP1466" s="73"/>
      <c r="HQ1466" s="73"/>
      <c r="HR1466" s="73"/>
      <c r="HS1466" s="73"/>
      <c r="HT1466" s="73"/>
      <c r="HU1466" s="73"/>
      <c r="HV1466" s="73"/>
      <c r="HW1466" s="73"/>
      <c r="HX1466" s="73"/>
      <c r="HY1466" s="73"/>
      <c r="HZ1466" s="73"/>
      <c r="IA1466" s="73"/>
      <c r="IB1466" s="73"/>
      <c r="IC1466" s="73"/>
      <c r="ID1466" s="73"/>
      <c r="IE1466" s="73"/>
      <c r="IF1466" s="73"/>
      <c r="IG1466" s="73"/>
      <c r="IH1466" s="73"/>
      <c r="II1466" s="73"/>
      <c r="IJ1466" s="73"/>
      <c r="IK1466" s="73"/>
      <c r="IL1466" s="73"/>
      <c r="IM1466" s="73"/>
      <c r="IN1466" s="73"/>
      <c r="IO1466" s="73"/>
      <c r="IP1466" s="73"/>
      <c r="IQ1466" s="73"/>
      <c r="IR1466" s="73"/>
      <c r="IS1466" s="73"/>
      <c r="IT1466" s="73"/>
      <c r="IU1466" s="73"/>
      <c r="IV1466" s="73"/>
      <c r="IW1466" s="73"/>
      <c r="IX1466" s="73"/>
      <c r="IY1466" s="73"/>
      <c r="IZ1466" s="73"/>
      <c r="JA1466" s="73"/>
      <c r="JB1466" s="73"/>
      <c r="JC1466" s="73"/>
    </row>
    <row r="1467" spans="2:263" s="72" customFormat="1">
      <c r="B1467" s="73"/>
      <c r="C1467" s="73"/>
      <c r="D1467" s="73"/>
      <c r="E1467" s="73"/>
      <c r="F1467" s="73"/>
      <c r="G1467" s="73"/>
      <c r="H1467" s="73"/>
      <c r="I1467" s="73"/>
      <c r="J1467" s="73"/>
      <c r="K1467" s="73"/>
      <c r="L1467" s="73"/>
      <c r="M1467" s="73"/>
      <c r="N1467" s="73"/>
      <c r="O1467" s="73"/>
      <c r="P1467" s="73"/>
      <c r="Q1467" s="73"/>
      <c r="R1467" s="73"/>
      <c r="S1467" s="73"/>
      <c r="T1467" s="73"/>
      <c r="U1467" s="73"/>
      <c r="V1467" s="73"/>
      <c r="W1467" s="73"/>
      <c r="GL1467" s="73"/>
      <c r="GM1467" s="73"/>
      <c r="GN1467" s="73"/>
      <c r="GO1467" s="73"/>
      <c r="GP1467" s="73"/>
      <c r="GQ1467" s="73"/>
      <c r="GR1467" s="73"/>
      <c r="GS1467" s="73"/>
      <c r="GT1467" s="73"/>
      <c r="GU1467" s="73"/>
      <c r="GV1467" s="73"/>
      <c r="GW1467" s="73"/>
      <c r="GX1467" s="73"/>
      <c r="GY1467" s="73"/>
      <c r="GZ1467" s="73"/>
      <c r="HA1467" s="73"/>
      <c r="HB1467" s="73"/>
      <c r="HC1467" s="73"/>
      <c r="HD1467" s="73"/>
      <c r="HE1467" s="73"/>
      <c r="HF1467" s="73"/>
      <c r="HG1467" s="73"/>
      <c r="HH1467" s="73"/>
      <c r="HI1467" s="73"/>
      <c r="HJ1467" s="73"/>
      <c r="HK1467" s="73"/>
      <c r="HL1467" s="73"/>
      <c r="HM1467" s="73"/>
      <c r="HN1467" s="73"/>
      <c r="HO1467" s="73"/>
      <c r="HP1467" s="73"/>
      <c r="HQ1467" s="73"/>
      <c r="HR1467" s="73"/>
      <c r="HS1467" s="73"/>
      <c r="HT1467" s="73"/>
      <c r="HU1467" s="73"/>
      <c r="HV1467" s="73"/>
      <c r="HW1467" s="73"/>
      <c r="HX1467" s="73"/>
      <c r="HY1467" s="73"/>
      <c r="HZ1467" s="73"/>
      <c r="IA1467" s="73"/>
      <c r="IB1467" s="73"/>
      <c r="IC1467" s="73"/>
      <c r="ID1467" s="73"/>
      <c r="IE1467" s="73"/>
      <c r="IF1467" s="73"/>
      <c r="IG1467" s="73"/>
      <c r="IH1467" s="73"/>
      <c r="II1467" s="73"/>
      <c r="IJ1467" s="73"/>
      <c r="IK1467" s="73"/>
      <c r="IL1467" s="73"/>
      <c r="IM1467" s="73"/>
      <c r="IN1467" s="73"/>
      <c r="IO1467" s="73"/>
      <c r="IP1467" s="73"/>
      <c r="IQ1467" s="73"/>
      <c r="IR1467" s="73"/>
      <c r="IS1467" s="73"/>
      <c r="IT1467" s="73"/>
      <c r="IU1467" s="73"/>
      <c r="IV1467" s="73"/>
      <c r="IW1467" s="73"/>
      <c r="IX1467" s="73"/>
      <c r="IY1467" s="73"/>
      <c r="IZ1467" s="73"/>
      <c r="JA1467" s="73"/>
      <c r="JB1467" s="73"/>
      <c r="JC1467" s="73"/>
    </row>
    <row r="1468" spans="2:263" s="72" customFormat="1">
      <c r="B1468" s="73"/>
      <c r="C1468" s="73"/>
      <c r="D1468" s="73"/>
      <c r="E1468" s="73"/>
      <c r="F1468" s="73"/>
      <c r="G1468" s="73"/>
      <c r="H1468" s="73"/>
      <c r="I1468" s="73"/>
      <c r="J1468" s="73"/>
      <c r="K1468" s="73"/>
      <c r="L1468" s="73"/>
      <c r="M1468" s="73"/>
      <c r="N1468" s="73"/>
      <c r="O1468" s="73"/>
      <c r="P1468" s="73"/>
      <c r="Q1468" s="73"/>
      <c r="R1468" s="73"/>
      <c r="S1468" s="73"/>
      <c r="T1468" s="73"/>
      <c r="U1468" s="73"/>
      <c r="V1468" s="73"/>
      <c r="W1468" s="73"/>
      <c r="GL1468" s="73"/>
      <c r="GM1468" s="73"/>
      <c r="GN1468" s="73"/>
      <c r="GO1468" s="73"/>
      <c r="GP1468" s="73"/>
      <c r="GQ1468" s="73"/>
      <c r="GR1468" s="73"/>
      <c r="GS1468" s="73"/>
      <c r="GT1468" s="73"/>
      <c r="GU1468" s="73"/>
      <c r="GV1468" s="73"/>
      <c r="GW1468" s="73"/>
      <c r="GX1468" s="73"/>
      <c r="GY1468" s="73"/>
      <c r="GZ1468" s="73"/>
      <c r="HA1468" s="73"/>
      <c r="HB1468" s="73"/>
      <c r="HC1468" s="73"/>
      <c r="HD1468" s="73"/>
      <c r="HE1468" s="73"/>
      <c r="HF1468" s="73"/>
      <c r="HG1468" s="73"/>
      <c r="HH1468" s="73"/>
      <c r="HI1468" s="73"/>
      <c r="HJ1468" s="73"/>
      <c r="HK1468" s="73"/>
      <c r="HL1468" s="73"/>
      <c r="HM1468" s="73"/>
      <c r="HN1468" s="73"/>
      <c r="HO1468" s="73"/>
      <c r="HP1468" s="73"/>
      <c r="HQ1468" s="73"/>
      <c r="HR1468" s="73"/>
      <c r="HS1468" s="73"/>
      <c r="HT1468" s="73"/>
      <c r="HU1468" s="73"/>
      <c r="HV1468" s="73"/>
      <c r="HW1468" s="73"/>
      <c r="HX1468" s="73"/>
      <c r="HY1468" s="73"/>
      <c r="HZ1468" s="73"/>
      <c r="IA1468" s="73"/>
      <c r="IB1468" s="73"/>
      <c r="IC1468" s="73"/>
      <c r="ID1468" s="73"/>
      <c r="IE1468" s="73"/>
      <c r="IF1468" s="73"/>
      <c r="IG1468" s="73"/>
      <c r="IH1468" s="73"/>
      <c r="II1468" s="73"/>
      <c r="IJ1468" s="73"/>
      <c r="IK1468" s="73"/>
      <c r="IL1468" s="73"/>
      <c r="IM1468" s="73"/>
      <c r="IN1468" s="73"/>
      <c r="IO1468" s="73"/>
      <c r="IP1468" s="73"/>
      <c r="IQ1468" s="73"/>
      <c r="IR1468" s="73"/>
      <c r="IS1468" s="73"/>
      <c r="IT1468" s="73"/>
      <c r="IU1468" s="73"/>
      <c r="IV1468" s="73"/>
      <c r="IW1468" s="73"/>
      <c r="IX1468" s="73"/>
      <c r="IY1468" s="73"/>
      <c r="IZ1468" s="73"/>
      <c r="JA1468" s="73"/>
      <c r="JB1468" s="73"/>
      <c r="JC1468" s="73"/>
    </row>
    <row r="1469" spans="2:263" s="72" customFormat="1">
      <c r="B1469" s="73"/>
      <c r="C1469" s="73"/>
      <c r="D1469" s="73"/>
      <c r="E1469" s="73"/>
      <c r="F1469" s="73"/>
      <c r="G1469" s="73"/>
      <c r="H1469" s="73"/>
      <c r="I1469" s="73"/>
      <c r="J1469" s="73"/>
      <c r="K1469" s="73"/>
      <c r="L1469" s="73"/>
      <c r="M1469" s="73"/>
      <c r="N1469" s="73"/>
      <c r="O1469" s="73"/>
      <c r="P1469" s="73"/>
      <c r="Q1469" s="73"/>
      <c r="R1469" s="73"/>
      <c r="S1469" s="73"/>
      <c r="T1469" s="73"/>
      <c r="U1469" s="73"/>
      <c r="V1469" s="73"/>
      <c r="W1469" s="73"/>
      <c r="GL1469" s="73"/>
      <c r="GM1469" s="73"/>
      <c r="GN1469" s="73"/>
      <c r="GO1469" s="73"/>
      <c r="GP1469" s="73"/>
      <c r="GQ1469" s="73"/>
      <c r="GR1469" s="73"/>
      <c r="GS1469" s="73"/>
      <c r="GT1469" s="73"/>
      <c r="GU1469" s="73"/>
      <c r="GV1469" s="73"/>
      <c r="GW1469" s="73"/>
      <c r="GX1469" s="73"/>
      <c r="GY1469" s="73"/>
      <c r="GZ1469" s="73"/>
      <c r="HA1469" s="73"/>
      <c r="HB1469" s="73"/>
      <c r="HC1469" s="73"/>
      <c r="HD1469" s="73"/>
      <c r="HE1469" s="73"/>
      <c r="HF1469" s="73"/>
      <c r="HG1469" s="73"/>
      <c r="HH1469" s="73"/>
      <c r="HI1469" s="73"/>
      <c r="HJ1469" s="73"/>
      <c r="HK1469" s="73"/>
      <c r="HL1469" s="73"/>
      <c r="HM1469" s="73"/>
      <c r="HN1469" s="73"/>
      <c r="HO1469" s="73"/>
      <c r="HP1469" s="73"/>
      <c r="HQ1469" s="73"/>
      <c r="HR1469" s="73"/>
      <c r="HS1469" s="73"/>
      <c r="HT1469" s="73"/>
      <c r="HU1469" s="73"/>
      <c r="HV1469" s="73"/>
      <c r="HW1469" s="73"/>
      <c r="HX1469" s="73"/>
      <c r="HY1469" s="73"/>
      <c r="HZ1469" s="73"/>
      <c r="IA1469" s="73"/>
      <c r="IB1469" s="73"/>
      <c r="IC1469" s="73"/>
      <c r="ID1469" s="73"/>
      <c r="IE1469" s="73"/>
      <c r="IF1469" s="73"/>
      <c r="IG1469" s="73"/>
      <c r="IH1469" s="73"/>
      <c r="II1469" s="73"/>
      <c r="IJ1469" s="73"/>
      <c r="IK1469" s="73"/>
      <c r="IL1469" s="73"/>
      <c r="IM1469" s="73"/>
      <c r="IN1469" s="73"/>
      <c r="IO1469" s="73"/>
      <c r="IP1469" s="73"/>
      <c r="IQ1469" s="73"/>
      <c r="IR1469" s="73"/>
      <c r="IS1469" s="73"/>
      <c r="IT1469" s="73"/>
      <c r="IU1469" s="73"/>
      <c r="IV1469" s="73"/>
      <c r="IW1469" s="73"/>
      <c r="IX1469" s="73"/>
      <c r="IY1469" s="73"/>
      <c r="IZ1469" s="73"/>
      <c r="JA1469" s="73"/>
      <c r="JB1469" s="73"/>
      <c r="JC1469" s="73"/>
    </row>
    <row r="1470" spans="2:263" s="72" customFormat="1">
      <c r="B1470" s="73"/>
      <c r="C1470" s="73"/>
      <c r="D1470" s="73"/>
      <c r="E1470" s="73"/>
      <c r="F1470" s="73"/>
      <c r="G1470" s="73"/>
      <c r="H1470" s="73"/>
      <c r="I1470" s="73"/>
      <c r="J1470" s="73"/>
      <c r="K1470" s="73"/>
      <c r="L1470" s="73"/>
      <c r="M1470" s="73"/>
      <c r="N1470" s="73"/>
      <c r="O1470" s="73"/>
      <c r="P1470" s="73"/>
      <c r="Q1470" s="73"/>
      <c r="R1470" s="73"/>
      <c r="S1470" s="73"/>
      <c r="T1470" s="73"/>
      <c r="U1470" s="73"/>
      <c r="V1470" s="73"/>
      <c r="W1470" s="73"/>
      <c r="GL1470" s="73"/>
      <c r="GM1470" s="73"/>
      <c r="GN1470" s="73"/>
      <c r="GO1470" s="73"/>
      <c r="GP1470" s="73"/>
      <c r="GQ1470" s="73"/>
      <c r="GR1470" s="73"/>
      <c r="GS1470" s="73"/>
      <c r="GT1470" s="73"/>
      <c r="GU1470" s="73"/>
      <c r="GV1470" s="73"/>
      <c r="GW1470" s="73"/>
      <c r="GX1470" s="73"/>
      <c r="GY1470" s="73"/>
      <c r="GZ1470" s="73"/>
      <c r="HA1470" s="73"/>
      <c r="HB1470" s="73"/>
      <c r="HC1470" s="73"/>
      <c r="HD1470" s="73"/>
      <c r="HE1470" s="73"/>
      <c r="HF1470" s="73"/>
      <c r="HG1470" s="73"/>
      <c r="HH1470" s="73"/>
      <c r="HI1470" s="73"/>
      <c r="HJ1470" s="73"/>
      <c r="HK1470" s="73"/>
      <c r="HL1470" s="73"/>
      <c r="HM1470" s="73"/>
      <c r="HN1470" s="73"/>
      <c r="HO1470" s="73"/>
      <c r="HP1470" s="73"/>
      <c r="HQ1470" s="73"/>
      <c r="HR1470" s="73"/>
      <c r="HS1470" s="73"/>
      <c r="HT1470" s="73"/>
      <c r="HU1470" s="73"/>
      <c r="HV1470" s="73"/>
      <c r="HW1470" s="73"/>
      <c r="HX1470" s="73"/>
      <c r="HY1470" s="73"/>
      <c r="HZ1470" s="73"/>
      <c r="IA1470" s="73"/>
      <c r="IB1470" s="73"/>
      <c r="IC1470" s="73"/>
      <c r="ID1470" s="73"/>
      <c r="IE1470" s="73"/>
      <c r="IF1470" s="73"/>
      <c r="IG1470" s="73"/>
      <c r="IH1470" s="73"/>
      <c r="II1470" s="73"/>
      <c r="IJ1470" s="73"/>
      <c r="IK1470" s="73"/>
      <c r="IL1470" s="73"/>
      <c r="IM1470" s="73"/>
      <c r="IN1470" s="73"/>
      <c r="IO1470" s="73"/>
      <c r="IP1470" s="73"/>
      <c r="IQ1470" s="73"/>
      <c r="IR1470" s="73"/>
      <c r="IS1470" s="73"/>
      <c r="IT1470" s="73"/>
      <c r="IU1470" s="73"/>
      <c r="IV1470" s="73"/>
      <c r="IW1470" s="73"/>
      <c r="IX1470" s="73"/>
      <c r="IY1470" s="73"/>
      <c r="IZ1470" s="73"/>
      <c r="JA1470" s="73"/>
      <c r="JB1470" s="73"/>
      <c r="JC1470" s="73"/>
    </row>
    <row r="1471" spans="2:263" s="72" customFormat="1">
      <c r="B1471" s="73"/>
      <c r="C1471" s="73"/>
      <c r="D1471" s="73"/>
      <c r="E1471" s="73"/>
      <c r="F1471" s="73"/>
      <c r="G1471" s="73"/>
      <c r="H1471" s="73"/>
      <c r="I1471" s="73"/>
      <c r="J1471" s="73"/>
      <c r="K1471" s="73"/>
      <c r="L1471" s="73"/>
      <c r="M1471" s="73"/>
      <c r="N1471" s="73"/>
      <c r="O1471" s="73"/>
      <c r="P1471" s="73"/>
      <c r="Q1471" s="73"/>
      <c r="R1471" s="73"/>
      <c r="S1471" s="73"/>
      <c r="T1471" s="73"/>
      <c r="U1471" s="73"/>
      <c r="V1471" s="73"/>
      <c r="W1471" s="73"/>
      <c r="GL1471" s="73"/>
      <c r="GM1471" s="73"/>
      <c r="GN1471" s="73"/>
      <c r="GO1471" s="73"/>
      <c r="GP1471" s="73"/>
      <c r="GQ1471" s="73"/>
      <c r="GR1471" s="73"/>
      <c r="GS1471" s="73"/>
      <c r="GT1471" s="73"/>
      <c r="GU1471" s="73"/>
      <c r="GV1471" s="73"/>
      <c r="GW1471" s="73"/>
      <c r="GX1471" s="73"/>
      <c r="GY1471" s="73"/>
      <c r="GZ1471" s="73"/>
      <c r="HA1471" s="73"/>
      <c r="HB1471" s="73"/>
      <c r="HC1471" s="73"/>
      <c r="HD1471" s="73"/>
      <c r="HE1471" s="73"/>
      <c r="HF1471" s="73"/>
      <c r="HG1471" s="73"/>
      <c r="HH1471" s="73"/>
      <c r="HI1471" s="73"/>
      <c r="HJ1471" s="73"/>
      <c r="HK1471" s="73"/>
      <c r="HL1471" s="73"/>
      <c r="HM1471" s="73"/>
      <c r="HN1471" s="73"/>
      <c r="HO1471" s="73"/>
      <c r="HP1471" s="73"/>
      <c r="HQ1471" s="73"/>
      <c r="HR1471" s="73"/>
      <c r="HS1471" s="73"/>
      <c r="HT1471" s="73"/>
      <c r="HU1471" s="73"/>
      <c r="HV1471" s="73"/>
      <c r="HW1471" s="73"/>
      <c r="HX1471" s="73"/>
      <c r="HY1471" s="73"/>
      <c r="HZ1471" s="73"/>
      <c r="IA1471" s="73"/>
      <c r="IB1471" s="73"/>
      <c r="IC1471" s="73"/>
      <c r="ID1471" s="73"/>
      <c r="IE1471" s="73"/>
      <c r="IF1471" s="73"/>
      <c r="IG1471" s="73"/>
      <c r="IH1471" s="73"/>
      <c r="II1471" s="73"/>
      <c r="IJ1471" s="73"/>
      <c r="IK1471" s="73"/>
      <c r="IL1471" s="73"/>
      <c r="IM1471" s="73"/>
      <c r="IN1471" s="73"/>
      <c r="IO1471" s="73"/>
      <c r="IP1471" s="73"/>
      <c r="IQ1471" s="73"/>
      <c r="IR1471" s="73"/>
      <c r="IS1471" s="73"/>
      <c r="IT1471" s="73"/>
      <c r="IU1471" s="73"/>
      <c r="IV1471" s="73"/>
      <c r="IW1471" s="73"/>
      <c r="IX1471" s="73"/>
      <c r="IY1471" s="73"/>
      <c r="IZ1471" s="73"/>
      <c r="JA1471" s="73"/>
      <c r="JB1471" s="73"/>
      <c r="JC1471" s="73"/>
    </row>
    <row r="1472" spans="2:263" s="72" customFormat="1">
      <c r="B1472" s="73"/>
      <c r="C1472" s="73"/>
      <c r="D1472" s="73"/>
      <c r="E1472" s="73"/>
      <c r="F1472" s="73"/>
      <c r="G1472" s="73"/>
      <c r="H1472" s="73"/>
      <c r="I1472" s="73"/>
      <c r="J1472" s="73"/>
      <c r="K1472" s="73"/>
      <c r="L1472" s="73"/>
      <c r="M1472" s="73"/>
      <c r="N1472" s="73"/>
      <c r="O1472" s="73"/>
      <c r="P1472" s="73"/>
      <c r="Q1472" s="73"/>
      <c r="R1472" s="73"/>
      <c r="S1472" s="73"/>
      <c r="T1472" s="73"/>
      <c r="U1472" s="73"/>
      <c r="V1472" s="73"/>
      <c r="W1472" s="73"/>
      <c r="GL1472" s="73"/>
      <c r="GM1472" s="73"/>
      <c r="GN1472" s="73"/>
      <c r="GO1472" s="73"/>
      <c r="GP1472" s="73"/>
      <c r="GQ1472" s="73"/>
      <c r="GR1472" s="73"/>
      <c r="GS1472" s="73"/>
      <c r="GT1472" s="73"/>
      <c r="GU1472" s="73"/>
      <c r="GV1472" s="73"/>
      <c r="GW1472" s="73"/>
      <c r="GX1472" s="73"/>
      <c r="GY1472" s="73"/>
      <c r="GZ1472" s="73"/>
      <c r="HA1472" s="73"/>
      <c r="HB1472" s="73"/>
      <c r="HC1472" s="73"/>
      <c r="HD1472" s="73"/>
      <c r="HE1472" s="73"/>
      <c r="HF1472" s="73"/>
      <c r="HG1472" s="73"/>
      <c r="HH1472" s="73"/>
      <c r="HI1472" s="73"/>
      <c r="HJ1472" s="73"/>
      <c r="HK1472" s="73"/>
      <c r="HL1472" s="73"/>
      <c r="HM1472" s="73"/>
      <c r="HN1472" s="73"/>
      <c r="HO1472" s="73"/>
      <c r="HP1472" s="73"/>
      <c r="HQ1472" s="73"/>
      <c r="HR1472" s="73"/>
      <c r="HS1472" s="73"/>
      <c r="HT1472" s="73"/>
      <c r="HU1472" s="73"/>
      <c r="HV1472" s="73"/>
      <c r="HW1472" s="73"/>
      <c r="HX1472" s="73"/>
      <c r="HY1472" s="73"/>
      <c r="HZ1472" s="73"/>
      <c r="IA1472" s="73"/>
      <c r="IB1472" s="73"/>
      <c r="IC1472" s="73"/>
      <c r="ID1472" s="73"/>
      <c r="IE1472" s="73"/>
      <c r="IF1472" s="73"/>
      <c r="IG1472" s="73"/>
      <c r="IH1472" s="73"/>
      <c r="II1472" s="73"/>
      <c r="IJ1472" s="73"/>
      <c r="IK1472" s="73"/>
      <c r="IL1472" s="73"/>
      <c r="IM1472" s="73"/>
      <c r="IN1472" s="73"/>
      <c r="IO1472" s="73"/>
      <c r="IP1472" s="73"/>
      <c r="IQ1472" s="73"/>
      <c r="IR1472" s="73"/>
      <c r="IS1472" s="73"/>
      <c r="IT1472" s="73"/>
      <c r="IU1472" s="73"/>
      <c r="IV1472" s="73"/>
      <c r="IW1472" s="73"/>
      <c r="IX1472" s="73"/>
      <c r="IY1472" s="73"/>
      <c r="IZ1472" s="73"/>
      <c r="JA1472" s="73"/>
      <c r="JB1472" s="73"/>
      <c r="JC1472" s="73"/>
    </row>
    <row r="1473" spans="2:263" s="72" customFormat="1">
      <c r="B1473" s="73"/>
      <c r="C1473" s="73"/>
      <c r="D1473" s="73"/>
      <c r="E1473" s="73"/>
      <c r="F1473" s="73"/>
      <c r="G1473" s="73"/>
      <c r="H1473" s="73"/>
      <c r="I1473" s="73"/>
      <c r="J1473" s="73"/>
      <c r="K1473" s="73"/>
      <c r="L1473" s="73"/>
      <c r="M1473" s="73"/>
      <c r="N1473" s="73"/>
      <c r="O1473" s="73"/>
      <c r="P1473" s="73"/>
      <c r="Q1473" s="73"/>
      <c r="R1473" s="73"/>
      <c r="S1473" s="73"/>
      <c r="T1473" s="73"/>
      <c r="U1473" s="73"/>
      <c r="V1473" s="73"/>
      <c r="W1473" s="73"/>
      <c r="GL1473" s="73"/>
      <c r="GM1473" s="73"/>
      <c r="GN1473" s="73"/>
      <c r="GO1473" s="73"/>
      <c r="GP1473" s="73"/>
      <c r="GQ1473" s="73"/>
      <c r="GR1473" s="73"/>
      <c r="GS1473" s="73"/>
      <c r="GT1473" s="73"/>
      <c r="GU1473" s="73"/>
      <c r="GV1473" s="73"/>
      <c r="GW1473" s="73"/>
      <c r="GX1473" s="73"/>
      <c r="GY1473" s="73"/>
      <c r="GZ1473" s="73"/>
      <c r="HA1473" s="73"/>
      <c r="HB1473" s="73"/>
      <c r="HC1473" s="73"/>
      <c r="HD1473" s="73"/>
      <c r="HE1473" s="73"/>
      <c r="HF1473" s="73"/>
      <c r="HG1473" s="73"/>
      <c r="HH1473" s="73"/>
      <c r="HI1473" s="73"/>
      <c r="HJ1473" s="73"/>
      <c r="HK1473" s="73"/>
      <c r="HL1473" s="73"/>
      <c r="HM1473" s="73"/>
      <c r="HN1473" s="73"/>
      <c r="HO1473" s="73"/>
      <c r="HP1473" s="73"/>
      <c r="HQ1473" s="73"/>
      <c r="HR1473" s="73"/>
      <c r="HS1473" s="73"/>
      <c r="HT1473" s="73"/>
      <c r="HU1473" s="73"/>
      <c r="HV1473" s="73"/>
      <c r="HW1473" s="73"/>
      <c r="HX1473" s="73"/>
      <c r="HY1473" s="73"/>
      <c r="HZ1473" s="73"/>
      <c r="IA1473" s="73"/>
      <c r="IB1473" s="73"/>
      <c r="IC1473" s="73"/>
      <c r="ID1473" s="73"/>
      <c r="IE1473" s="73"/>
      <c r="IF1473" s="73"/>
      <c r="IG1473" s="73"/>
      <c r="IH1473" s="73"/>
      <c r="II1473" s="73"/>
      <c r="IJ1473" s="73"/>
      <c r="IK1473" s="73"/>
      <c r="IL1473" s="73"/>
      <c r="IM1473" s="73"/>
      <c r="IN1473" s="73"/>
      <c r="IO1473" s="73"/>
      <c r="IP1473" s="73"/>
      <c r="IQ1473" s="73"/>
      <c r="IR1473" s="73"/>
      <c r="IS1473" s="73"/>
      <c r="IT1473" s="73"/>
      <c r="IU1473" s="73"/>
      <c r="IV1473" s="73"/>
      <c r="IW1473" s="73"/>
      <c r="IX1473" s="73"/>
      <c r="IY1473" s="73"/>
      <c r="IZ1473" s="73"/>
      <c r="JA1473" s="73"/>
      <c r="JB1473" s="73"/>
      <c r="JC1473" s="73"/>
    </row>
    <row r="1474" spans="2:263" s="72" customFormat="1">
      <c r="B1474" s="73"/>
      <c r="C1474" s="73"/>
      <c r="D1474" s="73"/>
      <c r="E1474" s="73"/>
      <c r="F1474" s="73"/>
      <c r="G1474" s="73"/>
      <c r="H1474" s="73"/>
      <c r="I1474" s="73"/>
      <c r="J1474" s="73"/>
      <c r="K1474" s="73"/>
      <c r="L1474" s="73"/>
      <c r="M1474" s="73"/>
      <c r="N1474" s="73"/>
      <c r="O1474" s="73"/>
      <c r="P1474" s="73"/>
      <c r="Q1474" s="73"/>
      <c r="R1474" s="73"/>
      <c r="S1474" s="73"/>
      <c r="T1474" s="73"/>
      <c r="U1474" s="73"/>
      <c r="V1474" s="73"/>
      <c r="W1474" s="73"/>
      <c r="GL1474" s="73"/>
      <c r="GM1474" s="73"/>
      <c r="GN1474" s="73"/>
      <c r="GO1474" s="73"/>
      <c r="GP1474" s="73"/>
      <c r="GQ1474" s="73"/>
      <c r="GR1474" s="73"/>
      <c r="GS1474" s="73"/>
      <c r="GT1474" s="73"/>
      <c r="GU1474" s="73"/>
      <c r="GV1474" s="73"/>
      <c r="GW1474" s="73"/>
      <c r="GX1474" s="73"/>
      <c r="GY1474" s="73"/>
      <c r="GZ1474" s="73"/>
      <c r="HA1474" s="73"/>
      <c r="HB1474" s="73"/>
      <c r="HC1474" s="73"/>
      <c r="HD1474" s="73"/>
      <c r="HE1474" s="73"/>
      <c r="HF1474" s="73"/>
      <c r="HG1474" s="73"/>
      <c r="HH1474" s="73"/>
      <c r="HI1474" s="73"/>
      <c r="HJ1474" s="73"/>
      <c r="HK1474" s="73"/>
      <c r="HL1474" s="73"/>
      <c r="HM1474" s="73"/>
      <c r="HN1474" s="73"/>
      <c r="HO1474" s="73"/>
      <c r="HP1474" s="73"/>
      <c r="HQ1474" s="73"/>
      <c r="HR1474" s="73"/>
      <c r="HS1474" s="73"/>
      <c r="HT1474" s="73"/>
      <c r="HU1474" s="73"/>
      <c r="HV1474" s="73"/>
      <c r="HW1474" s="73"/>
      <c r="HX1474" s="73"/>
      <c r="HY1474" s="73"/>
      <c r="HZ1474" s="73"/>
      <c r="IA1474" s="73"/>
      <c r="IB1474" s="73"/>
      <c r="IC1474" s="73"/>
      <c r="ID1474" s="73"/>
      <c r="IE1474" s="73"/>
      <c r="IF1474" s="73"/>
      <c r="IG1474" s="73"/>
      <c r="IH1474" s="73"/>
      <c r="II1474" s="73"/>
      <c r="IJ1474" s="73"/>
      <c r="IK1474" s="73"/>
      <c r="IL1474" s="73"/>
      <c r="IM1474" s="73"/>
      <c r="IN1474" s="73"/>
      <c r="IO1474" s="73"/>
      <c r="IP1474" s="73"/>
      <c r="IQ1474" s="73"/>
      <c r="IR1474" s="73"/>
      <c r="IS1474" s="73"/>
      <c r="IT1474" s="73"/>
      <c r="IU1474" s="73"/>
      <c r="IV1474" s="73"/>
      <c r="IW1474" s="73"/>
      <c r="IX1474" s="73"/>
      <c r="IY1474" s="73"/>
      <c r="IZ1474" s="73"/>
      <c r="JA1474" s="73"/>
      <c r="JB1474" s="73"/>
      <c r="JC1474" s="73"/>
    </row>
    <row r="1475" spans="2:263" s="72" customFormat="1">
      <c r="B1475" s="73"/>
      <c r="C1475" s="73"/>
      <c r="D1475" s="73"/>
      <c r="E1475" s="73"/>
      <c r="F1475" s="73"/>
      <c r="G1475" s="73"/>
      <c r="H1475" s="73"/>
      <c r="I1475" s="73"/>
      <c r="J1475" s="73"/>
      <c r="K1475" s="73"/>
      <c r="L1475" s="73"/>
      <c r="M1475" s="73"/>
      <c r="N1475" s="73"/>
      <c r="O1475" s="73"/>
      <c r="P1475" s="73"/>
      <c r="Q1475" s="73"/>
      <c r="R1475" s="73"/>
      <c r="S1475" s="73"/>
      <c r="T1475" s="73"/>
      <c r="U1475" s="73"/>
      <c r="V1475" s="73"/>
      <c r="W1475" s="73"/>
      <c r="GL1475" s="73"/>
      <c r="GM1475" s="73"/>
      <c r="GN1475" s="73"/>
      <c r="GO1475" s="73"/>
      <c r="GP1475" s="73"/>
      <c r="GQ1475" s="73"/>
      <c r="GR1475" s="73"/>
      <c r="GS1475" s="73"/>
      <c r="GT1475" s="73"/>
      <c r="GU1475" s="73"/>
      <c r="GV1475" s="73"/>
      <c r="GW1475" s="73"/>
      <c r="GX1475" s="73"/>
      <c r="GY1475" s="73"/>
      <c r="GZ1475" s="73"/>
      <c r="HA1475" s="73"/>
      <c r="HB1475" s="73"/>
      <c r="HC1475" s="73"/>
      <c r="HD1475" s="73"/>
      <c r="HE1475" s="73"/>
      <c r="HF1475" s="73"/>
      <c r="HG1475" s="73"/>
      <c r="HH1475" s="73"/>
      <c r="HI1475" s="73"/>
      <c r="HJ1475" s="73"/>
      <c r="HK1475" s="73"/>
      <c r="HL1475" s="73"/>
      <c r="HM1475" s="73"/>
      <c r="HN1475" s="73"/>
      <c r="HO1475" s="73"/>
      <c r="HP1475" s="73"/>
      <c r="HQ1475" s="73"/>
      <c r="HR1475" s="73"/>
      <c r="HS1475" s="73"/>
      <c r="HT1475" s="73"/>
      <c r="HU1475" s="73"/>
      <c r="HV1475" s="73"/>
      <c r="HW1475" s="73"/>
      <c r="HX1475" s="73"/>
      <c r="HY1475" s="73"/>
      <c r="HZ1475" s="73"/>
      <c r="IA1475" s="73"/>
      <c r="IB1475" s="73"/>
      <c r="IC1475" s="73"/>
      <c r="ID1475" s="73"/>
      <c r="IE1475" s="73"/>
      <c r="IF1475" s="73"/>
      <c r="IG1475" s="73"/>
      <c r="IH1475" s="73"/>
      <c r="II1475" s="73"/>
      <c r="IJ1475" s="73"/>
      <c r="IK1475" s="73"/>
      <c r="IL1475" s="73"/>
      <c r="IM1475" s="73"/>
      <c r="IN1475" s="73"/>
      <c r="IO1475" s="73"/>
      <c r="IP1475" s="73"/>
      <c r="IQ1475" s="73"/>
      <c r="IR1475" s="73"/>
      <c r="IS1475" s="73"/>
      <c r="IT1475" s="73"/>
      <c r="IU1475" s="73"/>
      <c r="IV1475" s="73"/>
      <c r="IW1475" s="73"/>
      <c r="IX1475" s="73"/>
      <c r="IY1475" s="73"/>
      <c r="IZ1475" s="73"/>
      <c r="JA1475" s="73"/>
      <c r="JB1475" s="73"/>
      <c r="JC1475" s="73"/>
    </row>
    <row r="1476" spans="2:263" s="72" customFormat="1">
      <c r="B1476" s="73"/>
      <c r="C1476" s="73"/>
      <c r="D1476" s="73"/>
      <c r="E1476" s="73"/>
      <c r="F1476" s="73"/>
      <c r="G1476" s="73"/>
      <c r="H1476" s="73"/>
      <c r="I1476" s="73"/>
      <c r="J1476" s="73"/>
      <c r="K1476" s="73"/>
      <c r="L1476" s="73"/>
      <c r="M1476" s="73"/>
      <c r="N1476" s="73"/>
      <c r="O1476" s="73"/>
      <c r="P1476" s="73"/>
      <c r="Q1476" s="73"/>
      <c r="R1476" s="73"/>
      <c r="S1476" s="73"/>
      <c r="T1476" s="73"/>
      <c r="U1476" s="73"/>
      <c r="V1476" s="73"/>
      <c r="W1476" s="73"/>
      <c r="GL1476" s="73"/>
      <c r="GM1476" s="73"/>
      <c r="GN1476" s="73"/>
      <c r="GO1476" s="73"/>
      <c r="GP1476" s="73"/>
      <c r="GQ1476" s="73"/>
      <c r="GR1476" s="73"/>
      <c r="GS1476" s="73"/>
      <c r="GT1476" s="73"/>
      <c r="GU1476" s="73"/>
      <c r="GV1476" s="73"/>
      <c r="GW1476" s="73"/>
      <c r="GX1476" s="73"/>
      <c r="GY1476" s="73"/>
      <c r="GZ1476" s="73"/>
      <c r="HA1476" s="73"/>
      <c r="HB1476" s="73"/>
      <c r="HC1476" s="73"/>
      <c r="HD1476" s="73"/>
      <c r="HE1476" s="73"/>
      <c r="HF1476" s="73"/>
      <c r="HG1476" s="73"/>
      <c r="HH1476" s="73"/>
      <c r="HI1476" s="73"/>
      <c r="HJ1476" s="73"/>
      <c r="HK1476" s="73"/>
      <c r="HL1476" s="73"/>
      <c r="HM1476" s="73"/>
      <c r="HN1476" s="73"/>
      <c r="HO1476" s="73"/>
      <c r="HP1476" s="73"/>
      <c r="HQ1476" s="73"/>
      <c r="HR1476" s="73"/>
      <c r="HS1476" s="73"/>
      <c r="HT1476" s="73"/>
      <c r="HU1476" s="73"/>
      <c r="HV1476" s="73"/>
      <c r="HW1476" s="73"/>
      <c r="HX1476" s="73"/>
      <c r="HY1476" s="73"/>
      <c r="HZ1476" s="73"/>
      <c r="IA1476" s="73"/>
      <c r="IB1476" s="73"/>
      <c r="IC1476" s="73"/>
      <c r="ID1476" s="73"/>
      <c r="IE1476" s="73"/>
      <c r="IF1476" s="73"/>
      <c r="IG1476" s="73"/>
      <c r="IH1476" s="73"/>
      <c r="II1476" s="73"/>
      <c r="IJ1476" s="73"/>
      <c r="IK1476" s="73"/>
      <c r="IL1476" s="73"/>
      <c r="IM1476" s="73"/>
      <c r="IN1476" s="73"/>
      <c r="IO1476" s="73"/>
      <c r="IP1476" s="73"/>
      <c r="IQ1476" s="73"/>
      <c r="IR1476" s="73"/>
      <c r="IS1476" s="73"/>
      <c r="IT1476" s="73"/>
      <c r="IU1476" s="73"/>
      <c r="IV1476" s="73"/>
      <c r="IW1476" s="73"/>
      <c r="IX1476" s="73"/>
      <c r="IY1476" s="73"/>
      <c r="IZ1476" s="73"/>
      <c r="JA1476" s="73"/>
      <c r="JB1476" s="73"/>
      <c r="JC1476" s="73"/>
    </row>
    <row r="1477" spans="2:263" s="72" customFormat="1">
      <c r="B1477" s="73"/>
      <c r="C1477" s="73"/>
      <c r="D1477" s="73"/>
      <c r="E1477" s="73"/>
      <c r="F1477" s="73"/>
      <c r="G1477" s="73"/>
      <c r="H1477" s="73"/>
      <c r="I1477" s="73"/>
      <c r="J1477" s="73"/>
      <c r="K1477" s="73"/>
      <c r="L1477" s="73"/>
      <c r="M1477" s="73"/>
      <c r="N1477" s="73"/>
      <c r="O1477" s="73"/>
      <c r="P1477" s="73"/>
      <c r="Q1477" s="73"/>
      <c r="R1477" s="73"/>
      <c r="S1477" s="73"/>
      <c r="T1477" s="73"/>
      <c r="U1477" s="73"/>
      <c r="V1477" s="73"/>
      <c r="W1477" s="73"/>
      <c r="GL1477" s="73"/>
      <c r="GM1477" s="73"/>
      <c r="GN1477" s="73"/>
      <c r="GO1477" s="73"/>
      <c r="GP1477" s="73"/>
      <c r="GQ1477" s="73"/>
      <c r="GR1477" s="73"/>
      <c r="GS1477" s="73"/>
      <c r="GT1477" s="73"/>
      <c r="GU1477" s="73"/>
      <c r="GV1477" s="73"/>
      <c r="GW1477" s="73"/>
      <c r="GX1477" s="73"/>
      <c r="GY1477" s="73"/>
      <c r="GZ1477" s="73"/>
      <c r="HA1477" s="73"/>
      <c r="HB1477" s="73"/>
      <c r="HC1477" s="73"/>
      <c r="HD1477" s="73"/>
      <c r="HE1477" s="73"/>
      <c r="HF1477" s="73"/>
      <c r="HG1477" s="73"/>
      <c r="HH1477" s="73"/>
      <c r="HI1477" s="73"/>
      <c r="HJ1477" s="73"/>
      <c r="HK1477" s="73"/>
      <c r="HL1477" s="73"/>
      <c r="HM1477" s="73"/>
      <c r="HN1477" s="73"/>
      <c r="HO1477" s="73"/>
      <c r="HP1477" s="73"/>
      <c r="HQ1477" s="73"/>
      <c r="HR1477" s="73"/>
      <c r="HS1477" s="73"/>
      <c r="HT1477" s="73"/>
      <c r="HU1477" s="73"/>
      <c r="HV1477" s="73"/>
      <c r="HW1477" s="73"/>
      <c r="HX1477" s="73"/>
      <c r="HY1477" s="73"/>
      <c r="HZ1477" s="73"/>
      <c r="IA1477" s="73"/>
      <c r="IB1477" s="73"/>
      <c r="IC1477" s="73"/>
      <c r="ID1477" s="73"/>
      <c r="IE1477" s="73"/>
      <c r="IF1477" s="73"/>
      <c r="IG1477" s="73"/>
      <c r="IH1477" s="73"/>
      <c r="II1477" s="73"/>
      <c r="IJ1477" s="73"/>
      <c r="IK1477" s="73"/>
      <c r="IL1477" s="73"/>
      <c r="IM1477" s="73"/>
      <c r="IN1477" s="73"/>
      <c r="IO1477" s="73"/>
      <c r="IP1477" s="73"/>
      <c r="IQ1477" s="73"/>
      <c r="IR1477" s="73"/>
      <c r="IS1477" s="73"/>
      <c r="IT1477" s="73"/>
      <c r="IU1477" s="73"/>
      <c r="IV1477" s="73"/>
      <c r="IW1477" s="73"/>
      <c r="IX1477" s="73"/>
      <c r="IY1477" s="73"/>
      <c r="IZ1477" s="73"/>
      <c r="JA1477" s="73"/>
      <c r="JB1477" s="73"/>
      <c r="JC1477" s="73"/>
    </row>
    <row r="1478" spans="2:263" s="72" customFormat="1">
      <c r="B1478" s="73"/>
      <c r="C1478" s="73"/>
      <c r="D1478" s="73"/>
      <c r="E1478" s="73"/>
      <c r="F1478" s="73"/>
      <c r="G1478" s="73"/>
      <c r="H1478" s="73"/>
      <c r="I1478" s="73"/>
      <c r="J1478" s="73"/>
      <c r="K1478" s="73"/>
      <c r="L1478" s="73"/>
      <c r="M1478" s="73"/>
      <c r="N1478" s="73"/>
      <c r="O1478" s="73"/>
      <c r="P1478" s="73"/>
      <c r="Q1478" s="73"/>
      <c r="R1478" s="73"/>
      <c r="S1478" s="73"/>
      <c r="T1478" s="73"/>
      <c r="U1478" s="73"/>
      <c r="V1478" s="73"/>
      <c r="W1478" s="73"/>
      <c r="GL1478" s="73"/>
      <c r="GM1478" s="73"/>
      <c r="GN1478" s="73"/>
      <c r="GO1478" s="73"/>
      <c r="GP1478" s="73"/>
      <c r="GQ1478" s="73"/>
      <c r="GR1478" s="73"/>
      <c r="GS1478" s="73"/>
      <c r="GT1478" s="73"/>
      <c r="GU1478" s="73"/>
      <c r="GV1478" s="73"/>
      <c r="GW1478" s="73"/>
      <c r="GX1478" s="73"/>
      <c r="GY1478" s="73"/>
      <c r="GZ1478" s="73"/>
      <c r="HA1478" s="73"/>
      <c r="HB1478" s="73"/>
      <c r="HC1478" s="73"/>
      <c r="HD1478" s="73"/>
      <c r="HE1478" s="73"/>
      <c r="HF1478" s="73"/>
      <c r="HG1478" s="73"/>
      <c r="HH1478" s="73"/>
      <c r="HI1478" s="73"/>
      <c r="HJ1478" s="73"/>
      <c r="HK1478" s="73"/>
      <c r="HL1478" s="73"/>
      <c r="HM1478" s="73"/>
      <c r="HN1478" s="73"/>
      <c r="HO1478" s="73"/>
      <c r="HP1478" s="73"/>
      <c r="HQ1478" s="73"/>
      <c r="HR1478" s="73"/>
      <c r="HS1478" s="73"/>
      <c r="HT1478" s="73"/>
      <c r="HU1478" s="73"/>
      <c r="HV1478" s="73"/>
      <c r="HW1478" s="73"/>
      <c r="HX1478" s="73"/>
      <c r="HY1478" s="73"/>
      <c r="HZ1478" s="73"/>
      <c r="IA1478" s="73"/>
      <c r="IB1478" s="73"/>
      <c r="IC1478" s="73"/>
      <c r="ID1478" s="73"/>
      <c r="IE1478" s="73"/>
      <c r="IF1478" s="73"/>
      <c r="IG1478" s="73"/>
      <c r="IH1478" s="73"/>
      <c r="II1478" s="73"/>
      <c r="IJ1478" s="73"/>
      <c r="IK1478" s="73"/>
      <c r="IL1478" s="73"/>
      <c r="IM1478" s="73"/>
      <c r="IN1478" s="73"/>
      <c r="IO1478" s="73"/>
      <c r="IP1478" s="73"/>
      <c r="IQ1478" s="73"/>
      <c r="IR1478" s="73"/>
      <c r="IS1478" s="73"/>
      <c r="IT1478" s="73"/>
      <c r="IU1478" s="73"/>
      <c r="IV1478" s="73"/>
      <c r="IW1478" s="73"/>
      <c r="IX1478" s="73"/>
      <c r="IY1478" s="73"/>
      <c r="IZ1478" s="73"/>
      <c r="JA1478" s="73"/>
      <c r="JB1478" s="73"/>
      <c r="JC1478" s="73"/>
    </row>
    <row r="1479" spans="2:263" s="72" customFormat="1">
      <c r="B1479" s="73"/>
      <c r="C1479" s="73"/>
      <c r="D1479" s="73"/>
      <c r="E1479" s="73"/>
      <c r="F1479" s="73"/>
      <c r="G1479" s="73"/>
      <c r="H1479" s="73"/>
      <c r="I1479" s="73"/>
      <c r="J1479" s="73"/>
      <c r="K1479" s="73"/>
      <c r="L1479" s="73"/>
      <c r="M1479" s="73"/>
      <c r="N1479" s="73"/>
      <c r="O1479" s="73"/>
      <c r="P1479" s="73"/>
      <c r="Q1479" s="73"/>
      <c r="R1479" s="73"/>
      <c r="S1479" s="73"/>
      <c r="T1479" s="73"/>
      <c r="U1479" s="73"/>
      <c r="V1479" s="73"/>
      <c r="W1479" s="73"/>
      <c r="GL1479" s="73"/>
      <c r="GM1479" s="73"/>
      <c r="GN1479" s="73"/>
      <c r="GO1479" s="73"/>
      <c r="GP1479" s="73"/>
      <c r="GQ1479" s="73"/>
      <c r="GR1479" s="73"/>
      <c r="GS1479" s="73"/>
      <c r="GT1479" s="73"/>
      <c r="GU1479" s="73"/>
      <c r="GV1479" s="73"/>
      <c r="GW1479" s="73"/>
      <c r="GX1479" s="73"/>
      <c r="GY1479" s="73"/>
      <c r="GZ1479" s="73"/>
      <c r="HA1479" s="73"/>
      <c r="HB1479" s="73"/>
      <c r="HC1479" s="73"/>
      <c r="HD1479" s="73"/>
      <c r="HE1479" s="73"/>
      <c r="HF1479" s="73"/>
      <c r="HG1479" s="73"/>
      <c r="HH1479" s="73"/>
      <c r="HI1479" s="73"/>
      <c r="HJ1479" s="73"/>
      <c r="HK1479" s="73"/>
      <c r="HL1479" s="73"/>
      <c r="HM1479" s="73"/>
      <c r="HN1479" s="73"/>
      <c r="HO1479" s="73"/>
      <c r="HP1479" s="73"/>
      <c r="HQ1479" s="73"/>
      <c r="HR1479" s="73"/>
      <c r="HS1479" s="73"/>
      <c r="HT1479" s="73"/>
      <c r="HU1479" s="73"/>
      <c r="HV1479" s="73"/>
      <c r="HW1479" s="73"/>
      <c r="HX1479" s="73"/>
      <c r="HY1479" s="73"/>
      <c r="HZ1479" s="73"/>
      <c r="IA1479" s="73"/>
      <c r="IB1479" s="73"/>
      <c r="IC1479" s="73"/>
      <c r="ID1479" s="73"/>
      <c r="IE1479" s="73"/>
      <c r="IF1479" s="73"/>
      <c r="IG1479" s="73"/>
      <c r="IH1479" s="73"/>
      <c r="II1479" s="73"/>
      <c r="IJ1479" s="73"/>
      <c r="IK1479" s="73"/>
      <c r="IL1479" s="73"/>
      <c r="IM1479" s="73"/>
      <c r="IN1479" s="73"/>
      <c r="IO1479" s="73"/>
      <c r="IP1479" s="73"/>
      <c r="IQ1479" s="73"/>
      <c r="IR1479" s="73"/>
      <c r="IS1479" s="73"/>
      <c r="IT1479" s="73"/>
      <c r="IU1479" s="73"/>
      <c r="IV1479" s="73"/>
      <c r="IW1479" s="73"/>
      <c r="IX1479" s="73"/>
      <c r="IY1479" s="73"/>
      <c r="IZ1479" s="73"/>
      <c r="JA1479" s="73"/>
      <c r="JB1479" s="73"/>
      <c r="JC1479" s="73"/>
    </row>
    <row r="1480" spans="2:263" s="72" customFormat="1">
      <c r="B1480" s="73"/>
      <c r="C1480" s="73"/>
      <c r="D1480" s="73"/>
      <c r="E1480" s="73"/>
      <c r="F1480" s="73"/>
      <c r="G1480" s="73"/>
      <c r="H1480" s="73"/>
      <c r="I1480" s="73"/>
      <c r="J1480" s="73"/>
      <c r="K1480" s="73"/>
      <c r="L1480" s="73"/>
      <c r="M1480" s="73"/>
      <c r="N1480" s="73"/>
      <c r="O1480" s="73"/>
      <c r="P1480" s="73"/>
      <c r="Q1480" s="73"/>
      <c r="R1480" s="73"/>
      <c r="S1480" s="73"/>
      <c r="T1480" s="73"/>
      <c r="U1480" s="73"/>
      <c r="V1480" s="73"/>
      <c r="W1480" s="73"/>
      <c r="GL1480" s="73"/>
      <c r="GM1480" s="73"/>
      <c r="GN1480" s="73"/>
      <c r="GO1480" s="73"/>
      <c r="GP1480" s="73"/>
      <c r="GQ1480" s="73"/>
      <c r="GR1480" s="73"/>
      <c r="GS1480" s="73"/>
      <c r="GT1480" s="73"/>
      <c r="GU1480" s="73"/>
      <c r="GV1480" s="73"/>
      <c r="GW1480" s="73"/>
      <c r="GX1480" s="73"/>
      <c r="GY1480" s="73"/>
      <c r="GZ1480" s="73"/>
      <c r="HA1480" s="73"/>
      <c r="HB1480" s="73"/>
      <c r="HC1480" s="73"/>
      <c r="HD1480" s="73"/>
      <c r="HE1480" s="73"/>
      <c r="HF1480" s="73"/>
      <c r="HG1480" s="73"/>
      <c r="HH1480" s="73"/>
      <c r="HI1480" s="73"/>
      <c r="HJ1480" s="73"/>
      <c r="HK1480" s="73"/>
      <c r="HL1480" s="73"/>
      <c r="HM1480" s="73"/>
      <c r="HN1480" s="73"/>
      <c r="HO1480" s="73"/>
      <c r="HP1480" s="73"/>
      <c r="HQ1480" s="73"/>
      <c r="HR1480" s="73"/>
      <c r="HS1480" s="73"/>
      <c r="HT1480" s="73"/>
      <c r="HU1480" s="73"/>
      <c r="HV1480" s="73"/>
      <c r="HW1480" s="73"/>
      <c r="HX1480" s="73"/>
      <c r="HY1480" s="73"/>
      <c r="HZ1480" s="73"/>
      <c r="IA1480" s="73"/>
      <c r="IB1480" s="73"/>
      <c r="IC1480" s="73"/>
      <c r="ID1480" s="73"/>
      <c r="IE1480" s="73"/>
      <c r="IF1480" s="73"/>
      <c r="IG1480" s="73"/>
      <c r="IH1480" s="73"/>
      <c r="II1480" s="73"/>
      <c r="IJ1480" s="73"/>
      <c r="IK1480" s="73"/>
      <c r="IL1480" s="73"/>
      <c r="IM1480" s="73"/>
      <c r="IN1480" s="73"/>
      <c r="IO1480" s="73"/>
      <c r="IP1480" s="73"/>
      <c r="IQ1480" s="73"/>
      <c r="IR1480" s="73"/>
      <c r="IS1480" s="73"/>
      <c r="IT1480" s="73"/>
      <c r="IU1480" s="73"/>
      <c r="IV1480" s="73"/>
      <c r="IW1480" s="73"/>
      <c r="IX1480" s="73"/>
      <c r="IY1480" s="73"/>
      <c r="IZ1480" s="73"/>
      <c r="JA1480" s="73"/>
      <c r="JB1480" s="73"/>
      <c r="JC1480" s="73"/>
    </row>
    <row r="1481" spans="2:263" s="72" customFormat="1">
      <c r="B1481" s="73"/>
      <c r="C1481" s="73"/>
      <c r="D1481" s="73"/>
      <c r="E1481" s="73"/>
      <c r="F1481" s="73"/>
      <c r="G1481" s="73"/>
      <c r="H1481" s="73"/>
      <c r="I1481" s="73"/>
      <c r="J1481" s="73"/>
      <c r="K1481" s="73"/>
      <c r="L1481" s="73"/>
      <c r="M1481" s="73"/>
      <c r="N1481" s="73"/>
      <c r="O1481" s="73"/>
      <c r="P1481" s="73"/>
      <c r="Q1481" s="73"/>
      <c r="R1481" s="73"/>
      <c r="S1481" s="73"/>
      <c r="T1481" s="73"/>
      <c r="U1481" s="73"/>
      <c r="V1481" s="73"/>
      <c r="W1481" s="73"/>
      <c r="GL1481" s="73"/>
      <c r="GM1481" s="73"/>
      <c r="GN1481" s="73"/>
      <c r="GO1481" s="73"/>
      <c r="GP1481" s="73"/>
      <c r="GQ1481" s="73"/>
      <c r="GR1481" s="73"/>
      <c r="GS1481" s="73"/>
      <c r="GT1481" s="73"/>
      <c r="GU1481" s="73"/>
      <c r="GV1481" s="73"/>
      <c r="GW1481" s="73"/>
      <c r="GX1481" s="73"/>
      <c r="GY1481" s="73"/>
      <c r="GZ1481" s="73"/>
      <c r="HA1481" s="73"/>
      <c r="HB1481" s="73"/>
      <c r="HC1481" s="73"/>
      <c r="HD1481" s="73"/>
      <c r="HE1481" s="73"/>
      <c r="HF1481" s="73"/>
      <c r="HG1481" s="73"/>
      <c r="HH1481" s="73"/>
      <c r="HI1481" s="73"/>
      <c r="HJ1481" s="73"/>
      <c r="HK1481" s="73"/>
      <c r="HL1481" s="73"/>
      <c r="HM1481" s="73"/>
      <c r="HN1481" s="73"/>
      <c r="HO1481" s="73"/>
      <c r="HP1481" s="73"/>
      <c r="HQ1481" s="73"/>
      <c r="HR1481" s="73"/>
      <c r="HS1481" s="73"/>
      <c r="HT1481" s="73"/>
      <c r="HU1481" s="73"/>
      <c r="HV1481" s="73"/>
      <c r="HW1481" s="73"/>
      <c r="HX1481" s="73"/>
      <c r="HY1481" s="73"/>
      <c r="HZ1481" s="73"/>
      <c r="IA1481" s="73"/>
      <c r="IB1481" s="73"/>
      <c r="IC1481" s="73"/>
      <c r="ID1481" s="73"/>
      <c r="IE1481" s="73"/>
      <c r="IF1481" s="73"/>
      <c r="IG1481" s="73"/>
      <c r="IH1481" s="73"/>
      <c r="II1481" s="73"/>
      <c r="IJ1481" s="73"/>
      <c r="IK1481" s="73"/>
      <c r="IL1481" s="73"/>
      <c r="IM1481" s="73"/>
      <c r="IN1481" s="73"/>
      <c r="IO1481" s="73"/>
      <c r="IP1481" s="73"/>
      <c r="IQ1481" s="73"/>
      <c r="IR1481" s="73"/>
      <c r="IS1481" s="73"/>
      <c r="IT1481" s="73"/>
      <c r="IU1481" s="73"/>
      <c r="IV1481" s="73"/>
      <c r="IW1481" s="73"/>
      <c r="IX1481" s="73"/>
      <c r="IY1481" s="73"/>
      <c r="IZ1481" s="73"/>
      <c r="JA1481" s="73"/>
      <c r="JB1481" s="73"/>
      <c r="JC1481" s="73"/>
    </row>
    <row r="1482" spans="2:263" s="72" customFormat="1">
      <c r="B1482" s="73"/>
      <c r="C1482" s="73"/>
      <c r="D1482" s="73"/>
      <c r="E1482" s="73"/>
      <c r="F1482" s="73"/>
      <c r="G1482" s="73"/>
      <c r="H1482" s="73"/>
      <c r="I1482" s="73"/>
      <c r="J1482" s="73"/>
      <c r="K1482" s="73"/>
      <c r="L1482" s="73"/>
      <c r="M1482" s="73"/>
      <c r="N1482" s="73"/>
      <c r="O1482" s="73"/>
      <c r="P1482" s="73"/>
      <c r="Q1482" s="73"/>
      <c r="R1482" s="73"/>
      <c r="S1482" s="73"/>
      <c r="T1482" s="73"/>
      <c r="U1482" s="73"/>
      <c r="V1482" s="73"/>
      <c r="W1482" s="73"/>
      <c r="GL1482" s="73"/>
      <c r="GM1482" s="73"/>
      <c r="GN1482" s="73"/>
      <c r="GO1482" s="73"/>
      <c r="GP1482" s="73"/>
      <c r="GQ1482" s="73"/>
      <c r="GR1482" s="73"/>
      <c r="GS1482" s="73"/>
      <c r="GT1482" s="73"/>
      <c r="GU1482" s="73"/>
      <c r="GV1482" s="73"/>
      <c r="GW1482" s="73"/>
      <c r="GX1482" s="73"/>
      <c r="GY1482" s="73"/>
      <c r="GZ1482" s="73"/>
      <c r="HA1482" s="73"/>
      <c r="HB1482" s="73"/>
      <c r="HC1482" s="73"/>
      <c r="HD1482" s="73"/>
      <c r="HE1482" s="73"/>
      <c r="HF1482" s="73"/>
      <c r="HG1482" s="73"/>
      <c r="HH1482" s="73"/>
      <c r="HI1482" s="73"/>
      <c r="HJ1482" s="73"/>
      <c r="HK1482" s="73"/>
      <c r="HL1482" s="73"/>
      <c r="HM1482" s="73"/>
      <c r="HN1482" s="73"/>
      <c r="HO1482" s="73"/>
      <c r="HP1482" s="73"/>
      <c r="HQ1482" s="73"/>
      <c r="HR1482" s="73"/>
      <c r="HS1482" s="73"/>
      <c r="HT1482" s="73"/>
      <c r="HU1482" s="73"/>
      <c r="HV1482" s="73"/>
      <c r="HW1482" s="73"/>
      <c r="HX1482" s="73"/>
      <c r="HY1482" s="73"/>
      <c r="HZ1482" s="73"/>
      <c r="IA1482" s="73"/>
      <c r="IB1482" s="73"/>
      <c r="IC1482" s="73"/>
      <c r="ID1482" s="73"/>
      <c r="IE1482" s="73"/>
      <c r="IF1482" s="73"/>
      <c r="IG1482" s="73"/>
      <c r="IH1482" s="73"/>
      <c r="II1482" s="73"/>
      <c r="IJ1482" s="73"/>
      <c r="IK1482" s="73"/>
      <c r="IL1482" s="73"/>
      <c r="IM1482" s="73"/>
      <c r="IN1482" s="73"/>
      <c r="IO1482" s="73"/>
      <c r="IP1482" s="73"/>
      <c r="IQ1482" s="73"/>
      <c r="IR1482" s="73"/>
      <c r="IS1482" s="73"/>
      <c r="IT1482" s="73"/>
      <c r="IU1482" s="73"/>
      <c r="IV1482" s="73"/>
      <c r="IW1482" s="73"/>
      <c r="IX1482" s="73"/>
      <c r="IY1482" s="73"/>
      <c r="IZ1482" s="73"/>
      <c r="JA1482" s="73"/>
      <c r="JB1482" s="73"/>
      <c r="JC1482" s="73"/>
    </row>
    <row r="1483" spans="2:263" s="72" customFormat="1">
      <c r="B1483" s="73"/>
      <c r="C1483" s="73"/>
      <c r="D1483" s="73"/>
      <c r="E1483" s="73"/>
      <c r="F1483" s="73"/>
      <c r="G1483" s="73"/>
      <c r="H1483" s="73"/>
      <c r="I1483" s="73"/>
      <c r="J1483" s="73"/>
      <c r="K1483" s="73"/>
      <c r="L1483" s="73"/>
      <c r="M1483" s="73"/>
      <c r="N1483" s="73"/>
      <c r="O1483" s="73"/>
      <c r="P1483" s="73"/>
      <c r="Q1483" s="73"/>
      <c r="R1483" s="73"/>
      <c r="S1483" s="73"/>
      <c r="T1483" s="73"/>
      <c r="U1483" s="73"/>
      <c r="V1483" s="73"/>
      <c r="W1483" s="73"/>
      <c r="GL1483" s="73"/>
      <c r="GM1483" s="73"/>
      <c r="GN1483" s="73"/>
      <c r="GO1483" s="73"/>
      <c r="GP1483" s="73"/>
      <c r="GQ1483" s="73"/>
      <c r="GR1483" s="73"/>
      <c r="GS1483" s="73"/>
      <c r="GT1483" s="73"/>
      <c r="GU1483" s="73"/>
      <c r="GV1483" s="73"/>
      <c r="GW1483" s="73"/>
      <c r="GX1483" s="73"/>
      <c r="GY1483" s="73"/>
      <c r="GZ1483" s="73"/>
      <c r="HA1483" s="73"/>
      <c r="HB1483" s="73"/>
      <c r="HC1483" s="73"/>
      <c r="HD1483" s="73"/>
      <c r="HE1483" s="73"/>
      <c r="HF1483" s="73"/>
      <c r="HG1483" s="73"/>
      <c r="HH1483" s="73"/>
      <c r="HI1483" s="73"/>
      <c r="HJ1483" s="73"/>
      <c r="HK1483" s="73"/>
      <c r="HL1483" s="73"/>
      <c r="HM1483" s="73"/>
      <c r="HN1483" s="73"/>
      <c r="HO1483" s="73"/>
      <c r="HP1483" s="73"/>
      <c r="HQ1483" s="73"/>
      <c r="HR1483" s="73"/>
      <c r="HS1483" s="73"/>
      <c r="HT1483" s="73"/>
      <c r="HU1483" s="73"/>
      <c r="HV1483" s="73"/>
      <c r="HW1483" s="73"/>
      <c r="HX1483" s="73"/>
      <c r="HY1483" s="73"/>
      <c r="HZ1483" s="73"/>
      <c r="IA1483" s="73"/>
      <c r="IB1483" s="73"/>
      <c r="IC1483" s="73"/>
      <c r="ID1483" s="73"/>
      <c r="IE1483" s="73"/>
      <c r="IF1483" s="73"/>
      <c r="IG1483" s="73"/>
      <c r="IH1483" s="73"/>
      <c r="II1483" s="73"/>
      <c r="IJ1483" s="73"/>
      <c r="IK1483" s="73"/>
      <c r="IL1483" s="73"/>
      <c r="IM1483" s="73"/>
      <c r="IN1483" s="73"/>
      <c r="IO1483" s="73"/>
      <c r="IP1483" s="73"/>
      <c r="IQ1483" s="73"/>
      <c r="IR1483" s="73"/>
      <c r="IS1483" s="73"/>
      <c r="IT1483" s="73"/>
      <c r="IU1483" s="73"/>
      <c r="IV1483" s="73"/>
      <c r="IW1483" s="73"/>
      <c r="IX1483" s="73"/>
      <c r="IY1483" s="73"/>
      <c r="IZ1483" s="73"/>
      <c r="JA1483" s="73"/>
      <c r="JB1483" s="73"/>
      <c r="JC1483" s="73"/>
    </row>
    <row r="1484" spans="2:263" s="72" customFormat="1">
      <c r="B1484" s="73"/>
      <c r="C1484" s="73"/>
      <c r="D1484" s="73"/>
      <c r="E1484" s="73"/>
      <c r="F1484" s="73"/>
      <c r="G1484" s="73"/>
      <c r="H1484" s="73"/>
      <c r="I1484" s="73"/>
      <c r="J1484" s="73"/>
      <c r="K1484" s="73"/>
      <c r="L1484" s="73"/>
      <c r="M1484" s="73"/>
      <c r="N1484" s="73"/>
      <c r="O1484" s="73"/>
      <c r="P1484" s="73"/>
      <c r="Q1484" s="73"/>
      <c r="R1484" s="73"/>
      <c r="S1484" s="73"/>
      <c r="T1484" s="73"/>
      <c r="U1484" s="73"/>
      <c r="V1484" s="73"/>
      <c r="W1484" s="73"/>
      <c r="GL1484" s="73"/>
      <c r="GM1484" s="73"/>
      <c r="GN1484" s="73"/>
      <c r="GO1484" s="73"/>
      <c r="GP1484" s="73"/>
      <c r="GQ1484" s="73"/>
      <c r="GR1484" s="73"/>
      <c r="GS1484" s="73"/>
      <c r="GT1484" s="73"/>
      <c r="GU1484" s="73"/>
      <c r="GV1484" s="73"/>
      <c r="GW1484" s="73"/>
      <c r="GX1484" s="73"/>
      <c r="GY1484" s="73"/>
      <c r="GZ1484" s="73"/>
      <c r="HA1484" s="73"/>
      <c r="HB1484" s="73"/>
      <c r="HC1484" s="73"/>
      <c r="HD1484" s="73"/>
      <c r="HE1484" s="73"/>
      <c r="HF1484" s="73"/>
      <c r="HG1484" s="73"/>
      <c r="HH1484" s="73"/>
      <c r="HI1484" s="73"/>
      <c r="HJ1484" s="73"/>
      <c r="HK1484" s="73"/>
      <c r="HL1484" s="73"/>
      <c r="HM1484" s="73"/>
      <c r="HN1484" s="73"/>
      <c r="HO1484" s="73"/>
      <c r="HP1484" s="73"/>
      <c r="HQ1484" s="73"/>
      <c r="HR1484" s="73"/>
      <c r="HS1484" s="73"/>
      <c r="HT1484" s="73"/>
      <c r="HU1484" s="73"/>
      <c r="HV1484" s="73"/>
      <c r="HW1484" s="73"/>
      <c r="HX1484" s="73"/>
      <c r="HY1484" s="73"/>
      <c r="HZ1484" s="73"/>
      <c r="IA1484" s="73"/>
      <c r="IB1484" s="73"/>
      <c r="IC1484" s="73"/>
      <c r="ID1484" s="73"/>
      <c r="IE1484" s="73"/>
      <c r="IF1484" s="73"/>
      <c r="IG1484" s="73"/>
      <c r="IH1484" s="73"/>
      <c r="II1484" s="73"/>
      <c r="IJ1484" s="73"/>
      <c r="IK1484" s="73"/>
      <c r="IL1484" s="73"/>
      <c r="IM1484" s="73"/>
      <c r="IN1484" s="73"/>
      <c r="IO1484" s="73"/>
      <c r="IP1484" s="73"/>
      <c r="IQ1484" s="73"/>
      <c r="IR1484" s="73"/>
      <c r="IS1484" s="73"/>
      <c r="IT1484" s="73"/>
      <c r="IU1484" s="73"/>
      <c r="IV1484" s="73"/>
      <c r="IW1484" s="73"/>
      <c r="IX1484" s="73"/>
      <c r="IY1484" s="73"/>
      <c r="IZ1484" s="73"/>
      <c r="JA1484" s="73"/>
      <c r="JB1484" s="73"/>
      <c r="JC1484" s="73"/>
    </row>
    <row r="1485" spans="2:263" s="72" customFormat="1">
      <c r="B1485" s="73"/>
      <c r="C1485" s="73"/>
      <c r="D1485" s="73"/>
      <c r="E1485" s="73"/>
      <c r="F1485" s="73"/>
      <c r="G1485" s="73"/>
      <c r="H1485" s="73"/>
      <c r="I1485" s="73"/>
      <c r="J1485" s="73"/>
      <c r="K1485" s="73"/>
      <c r="L1485" s="73"/>
      <c r="M1485" s="73"/>
      <c r="N1485" s="73"/>
      <c r="O1485" s="73"/>
      <c r="P1485" s="73"/>
      <c r="Q1485" s="73"/>
      <c r="R1485" s="73"/>
      <c r="S1485" s="73"/>
      <c r="T1485" s="73"/>
      <c r="U1485" s="73"/>
      <c r="V1485" s="73"/>
      <c r="W1485" s="73"/>
      <c r="GL1485" s="73"/>
      <c r="GM1485" s="73"/>
      <c r="GN1485" s="73"/>
      <c r="GO1485" s="73"/>
      <c r="GP1485" s="73"/>
      <c r="GQ1485" s="73"/>
      <c r="GR1485" s="73"/>
      <c r="GS1485" s="73"/>
      <c r="GT1485" s="73"/>
      <c r="GU1485" s="73"/>
      <c r="GV1485" s="73"/>
      <c r="GW1485" s="73"/>
      <c r="GX1485" s="73"/>
      <c r="GY1485" s="73"/>
      <c r="GZ1485" s="73"/>
      <c r="HA1485" s="73"/>
      <c r="HB1485" s="73"/>
      <c r="HC1485" s="73"/>
      <c r="HD1485" s="73"/>
      <c r="HE1485" s="73"/>
      <c r="HF1485" s="73"/>
      <c r="HG1485" s="73"/>
      <c r="HH1485" s="73"/>
      <c r="HI1485" s="73"/>
      <c r="HJ1485" s="73"/>
      <c r="HK1485" s="73"/>
      <c r="HL1485" s="73"/>
      <c r="HM1485" s="73"/>
      <c r="HN1485" s="73"/>
      <c r="HO1485" s="73"/>
      <c r="HP1485" s="73"/>
      <c r="HQ1485" s="73"/>
      <c r="HR1485" s="73"/>
      <c r="HS1485" s="73"/>
      <c r="HT1485" s="73"/>
      <c r="HU1485" s="73"/>
      <c r="HV1485" s="73"/>
      <c r="HW1485" s="73"/>
      <c r="HX1485" s="73"/>
      <c r="HY1485" s="73"/>
      <c r="HZ1485" s="73"/>
      <c r="IA1485" s="73"/>
      <c r="IB1485" s="73"/>
      <c r="IC1485" s="73"/>
      <c r="ID1485" s="73"/>
      <c r="IE1485" s="73"/>
      <c r="IF1485" s="73"/>
      <c r="IG1485" s="73"/>
      <c r="IH1485" s="73"/>
      <c r="II1485" s="73"/>
      <c r="IJ1485" s="73"/>
      <c r="IK1485" s="73"/>
      <c r="IL1485" s="73"/>
      <c r="IM1485" s="73"/>
      <c r="IN1485" s="73"/>
      <c r="IO1485" s="73"/>
      <c r="IP1485" s="73"/>
      <c r="IQ1485" s="73"/>
      <c r="IR1485" s="73"/>
      <c r="IS1485" s="73"/>
      <c r="IT1485" s="73"/>
      <c r="IU1485" s="73"/>
      <c r="IV1485" s="73"/>
      <c r="IW1485" s="73"/>
      <c r="IX1485" s="73"/>
      <c r="IY1485" s="73"/>
      <c r="IZ1485" s="73"/>
      <c r="JA1485" s="73"/>
      <c r="JB1485" s="73"/>
      <c r="JC1485" s="73"/>
    </row>
    <row r="1486" spans="2:263" s="72" customFormat="1">
      <c r="B1486" s="73"/>
      <c r="C1486" s="73"/>
      <c r="D1486" s="73"/>
      <c r="E1486" s="73"/>
      <c r="F1486" s="73"/>
      <c r="G1486" s="73"/>
      <c r="H1486" s="73"/>
      <c r="I1486" s="73"/>
      <c r="J1486" s="73"/>
      <c r="K1486" s="73"/>
      <c r="L1486" s="73"/>
      <c r="M1486" s="73"/>
      <c r="N1486" s="73"/>
      <c r="O1486" s="73"/>
      <c r="P1486" s="73"/>
      <c r="Q1486" s="73"/>
      <c r="R1486" s="73"/>
      <c r="S1486" s="73"/>
      <c r="T1486" s="73"/>
      <c r="U1486" s="73"/>
      <c r="V1486" s="73"/>
      <c r="W1486" s="73"/>
      <c r="GL1486" s="73"/>
      <c r="GM1486" s="73"/>
      <c r="GN1486" s="73"/>
      <c r="GO1486" s="73"/>
      <c r="GP1486" s="73"/>
      <c r="GQ1486" s="73"/>
      <c r="GR1486" s="73"/>
      <c r="GS1486" s="73"/>
      <c r="GT1486" s="73"/>
      <c r="GU1486" s="73"/>
      <c r="GV1486" s="73"/>
      <c r="GW1486" s="73"/>
      <c r="GX1486" s="73"/>
      <c r="GY1486" s="73"/>
      <c r="GZ1486" s="73"/>
      <c r="HA1486" s="73"/>
      <c r="HB1486" s="73"/>
      <c r="HC1486" s="73"/>
      <c r="HD1486" s="73"/>
      <c r="HE1486" s="73"/>
      <c r="HF1486" s="73"/>
      <c r="HG1486" s="73"/>
      <c r="HH1486" s="73"/>
      <c r="HI1486" s="73"/>
      <c r="HJ1486" s="73"/>
      <c r="HK1486" s="73"/>
      <c r="HL1486" s="73"/>
      <c r="HM1486" s="73"/>
      <c r="HN1486" s="73"/>
      <c r="HO1486" s="73"/>
      <c r="HP1486" s="73"/>
      <c r="HQ1486" s="73"/>
      <c r="HR1486" s="73"/>
      <c r="HS1486" s="73"/>
      <c r="HT1486" s="73"/>
      <c r="HU1486" s="73"/>
      <c r="HV1486" s="73"/>
      <c r="HW1486" s="73"/>
      <c r="HX1486" s="73"/>
      <c r="HY1486" s="73"/>
      <c r="HZ1486" s="73"/>
      <c r="IA1486" s="73"/>
      <c r="IB1486" s="73"/>
      <c r="IC1486" s="73"/>
      <c r="ID1486" s="73"/>
      <c r="IE1486" s="73"/>
      <c r="IF1486" s="73"/>
      <c r="IG1486" s="73"/>
      <c r="IH1486" s="73"/>
      <c r="II1486" s="73"/>
      <c r="IJ1486" s="73"/>
      <c r="IK1486" s="73"/>
      <c r="IL1486" s="73"/>
      <c r="IM1486" s="73"/>
      <c r="IN1486" s="73"/>
      <c r="IO1486" s="73"/>
      <c r="IP1486" s="73"/>
      <c r="IQ1486" s="73"/>
      <c r="IR1486" s="73"/>
      <c r="IS1486" s="73"/>
      <c r="IT1486" s="73"/>
      <c r="IU1486" s="73"/>
      <c r="IV1486" s="73"/>
      <c r="IW1486" s="73"/>
      <c r="IX1486" s="73"/>
      <c r="IY1486" s="73"/>
      <c r="IZ1486" s="73"/>
      <c r="JA1486" s="73"/>
      <c r="JB1486" s="73"/>
      <c r="JC1486" s="73"/>
    </row>
    <row r="1487" spans="2:263" s="72" customFormat="1">
      <c r="B1487" s="73"/>
      <c r="C1487" s="73"/>
      <c r="D1487" s="73"/>
      <c r="E1487" s="73"/>
      <c r="F1487" s="73"/>
      <c r="G1487" s="73"/>
      <c r="H1487" s="73"/>
      <c r="I1487" s="73"/>
      <c r="J1487" s="73"/>
      <c r="K1487" s="73"/>
      <c r="L1487" s="73"/>
      <c r="M1487" s="73"/>
      <c r="N1487" s="73"/>
      <c r="O1487" s="73"/>
      <c r="P1487" s="73"/>
      <c r="Q1487" s="73"/>
      <c r="R1487" s="73"/>
      <c r="S1487" s="73"/>
      <c r="T1487" s="73"/>
      <c r="U1487" s="73"/>
      <c r="V1487" s="73"/>
      <c r="W1487" s="73"/>
      <c r="GL1487" s="73"/>
      <c r="GM1487" s="73"/>
      <c r="GN1487" s="73"/>
      <c r="GO1487" s="73"/>
      <c r="GP1487" s="73"/>
      <c r="GQ1487" s="73"/>
      <c r="GR1487" s="73"/>
      <c r="GS1487" s="73"/>
      <c r="GT1487" s="73"/>
      <c r="GU1487" s="73"/>
      <c r="GV1487" s="73"/>
      <c r="GW1487" s="73"/>
      <c r="GX1487" s="73"/>
      <c r="GY1487" s="73"/>
      <c r="GZ1487" s="73"/>
      <c r="HA1487" s="73"/>
      <c r="HB1487" s="73"/>
      <c r="HC1487" s="73"/>
      <c r="HD1487" s="73"/>
      <c r="HE1487" s="73"/>
      <c r="HF1487" s="73"/>
      <c r="HG1487" s="73"/>
      <c r="HH1487" s="73"/>
      <c r="HI1487" s="73"/>
      <c r="HJ1487" s="73"/>
      <c r="HK1487" s="73"/>
      <c r="HL1487" s="73"/>
      <c r="HM1487" s="73"/>
      <c r="HN1487" s="73"/>
      <c r="HO1487" s="73"/>
      <c r="HP1487" s="73"/>
      <c r="HQ1487" s="73"/>
      <c r="HR1487" s="73"/>
      <c r="HS1487" s="73"/>
      <c r="HT1487" s="73"/>
      <c r="HU1487" s="73"/>
      <c r="HV1487" s="73"/>
      <c r="HW1487" s="73"/>
      <c r="HX1487" s="73"/>
      <c r="HY1487" s="73"/>
      <c r="HZ1487" s="73"/>
      <c r="IA1487" s="73"/>
      <c r="IB1487" s="73"/>
      <c r="IC1487" s="73"/>
      <c r="ID1487" s="73"/>
      <c r="IE1487" s="73"/>
      <c r="IF1487" s="73"/>
      <c r="IG1487" s="73"/>
      <c r="IH1487" s="73"/>
      <c r="II1487" s="73"/>
      <c r="IJ1487" s="73"/>
      <c r="IK1487" s="73"/>
      <c r="IL1487" s="73"/>
      <c r="IM1487" s="73"/>
      <c r="IN1487" s="73"/>
      <c r="IO1487" s="73"/>
      <c r="IP1487" s="73"/>
      <c r="IQ1487" s="73"/>
      <c r="IR1487" s="73"/>
      <c r="IS1487" s="73"/>
      <c r="IT1487" s="73"/>
      <c r="IU1487" s="73"/>
      <c r="IV1487" s="73"/>
      <c r="IW1487" s="73"/>
      <c r="IX1487" s="73"/>
      <c r="IY1487" s="73"/>
      <c r="IZ1487" s="73"/>
      <c r="JA1487" s="73"/>
      <c r="JB1487" s="73"/>
      <c r="JC1487" s="73"/>
    </row>
    <row r="1488" spans="2:263" s="72" customFormat="1">
      <c r="B1488" s="73"/>
      <c r="C1488" s="73"/>
      <c r="D1488" s="73"/>
      <c r="E1488" s="73"/>
      <c r="F1488" s="73"/>
      <c r="G1488" s="73"/>
      <c r="H1488" s="73"/>
      <c r="I1488" s="73"/>
      <c r="J1488" s="73"/>
      <c r="K1488" s="73"/>
      <c r="L1488" s="73"/>
      <c r="M1488" s="73"/>
      <c r="N1488" s="73"/>
      <c r="O1488" s="73"/>
      <c r="P1488" s="73"/>
      <c r="Q1488" s="73"/>
      <c r="R1488" s="73"/>
      <c r="S1488" s="73"/>
      <c r="T1488" s="73"/>
      <c r="U1488" s="73"/>
      <c r="V1488" s="73"/>
      <c r="W1488" s="73"/>
      <c r="GL1488" s="73"/>
      <c r="GM1488" s="73"/>
      <c r="GN1488" s="73"/>
      <c r="GO1488" s="73"/>
      <c r="GP1488" s="73"/>
      <c r="GQ1488" s="73"/>
      <c r="GR1488" s="73"/>
      <c r="GS1488" s="73"/>
      <c r="GT1488" s="73"/>
      <c r="GU1488" s="73"/>
      <c r="GV1488" s="73"/>
      <c r="GW1488" s="73"/>
      <c r="GX1488" s="73"/>
      <c r="GY1488" s="73"/>
      <c r="GZ1488" s="73"/>
      <c r="HA1488" s="73"/>
      <c r="HB1488" s="73"/>
      <c r="HC1488" s="73"/>
      <c r="HD1488" s="73"/>
      <c r="HE1488" s="73"/>
      <c r="HF1488" s="73"/>
      <c r="HG1488" s="73"/>
      <c r="HH1488" s="73"/>
      <c r="HI1488" s="73"/>
      <c r="HJ1488" s="73"/>
      <c r="HK1488" s="73"/>
      <c r="HL1488" s="73"/>
      <c r="HM1488" s="73"/>
      <c r="HN1488" s="73"/>
      <c r="HO1488" s="73"/>
      <c r="HP1488" s="73"/>
      <c r="HQ1488" s="73"/>
      <c r="HR1488" s="73"/>
      <c r="HS1488" s="73"/>
      <c r="HT1488" s="73"/>
      <c r="HU1488" s="73"/>
      <c r="HV1488" s="73"/>
      <c r="HW1488" s="73"/>
      <c r="HX1488" s="73"/>
      <c r="HY1488" s="73"/>
      <c r="HZ1488" s="73"/>
      <c r="IA1488" s="73"/>
      <c r="IB1488" s="73"/>
      <c r="IC1488" s="73"/>
      <c r="ID1488" s="73"/>
      <c r="IE1488" s="73"/>
      <c r="IF1488" s="73"/>
      <c r="IG1488" s="73"/>
      <c r="IH1488" s="73"/>
      <c r="II1488" s="73"/>
      <c r="IJ1488" s="73"/>
      <c r="IK1488" s="73"/>
      <c r="IL1488" s="73"/>
      <c r="IM1488" s="73"/>
      <c r="IN1488" s="73"/>
      <c r="IO1488" s="73"/>
      <c r="IP1488" s="73"/>
      <c r="IQ1488" s="73"/>
      <c r="IR1488" s="73"/>
      <c r="IS1488" s="73"/>
      <c r="IT1488" s="73"/>
      <c r="IU1488" s="73"/>
      <c r="IV1488" s="73"/>
      <c r="IW1488" s="73"/>
      <c r="IX1488" s="73"/>
      <c r="IY1488" s="73"/>
      <c r="IZ1488" s="73"/>
      <c r="JA1488" s="73"/>
      <c r="JB1488" s="73"/>
      <c r="JC1488" s="73"/>
    </row>
    <row r="1489" spans="2:263" s="72" customFormat="1">
      <c r="B1489" s="73"/>
      <c r="C1489" s="73"/>
      <c r="D1489" s="73"/>
      <c r="E1489" s="73"/>
      <c r="F1489" s="73"/>
      <c r="G1489" s="73"/>
      <c r="H1489" s="73"/>
      <c r="I1489" s="73"/>
      <c r="J1489" s="73"/>
      <c r="K1489" s="73"/>
      <c r="L1489" s="73"/>
      <c r="M1489" s="73"/>
      <c r="N1489" s="73"/>
      <c r="O1489" s="73"/>
      <c r="P1489" s="73"/>
      <c r="Q1489" s="73"/>
      <c r="R1489" s="73"/>
      <c r="S1489" s="73"/>
      <c r="T1489" s="73"/>
      <c r="U1489" s="73"/>
      <c r="V1489" s="73"/>
      <c r="W1489" s="73"/>
      <c r="GL1489" s="73"/>
      <c r="GM1489" s="73"/>
      <c r="GN1489" s="73"/>
      <c r="GO1489" s="73"/>
      <c r="GP1489" s="73"/>
      <c r="GQ1489" s="73"/>
      <c r="GR1489" s="73"/>
      <c r="GS1489" s="73"/>
      <c r="GT1489" s="73"/>
      <c r="GU1489" s="73"/>
      <c r="GV1489" s="73"/>
      <c r="GW1489" s="73"/>
      <c r="GX1489" s="73"/>
      <c r="GY1489" s="73"/>
      <c r="GZ1489" s="73"/>
      <c r="HA1489" s="73"/>
      <c r="HB1489" s="73"/>
      <c r="HC1489" s="73"/>
      <c r="HD1489" s="73"/>
      <c r="HE1489" s="73"/>
      <c r="HF1489" s="73"/>
      <c r="HG1489" s="73"/>
      <c r="HH1489" s="73"/>
      <c r="HI1489" s="73"/>
      <c r="HJ1489" s="73"/>
      <c r="HK1489" s="73"/>
      <c r="HL1489" s="73"/>
      <c r="HM1489" s="73"/>
      <c r="HN1489" s="73"/>
      <c r="HO1489" s="73"/>
      <c r="HP1489" s="73"/>
      <c r="HQ1489" s="73"/>
      <c r="HR1489" s="73"/>
      <c r="HS1489" s="73"/>
      <c r="HT1489" s="73"/>
      <c r="HU1489" s="73"/>
      <c r="HV1489" s="73"/>
      <c r="HW1489" s="73"/>
      <c r="HX1489" s="73"/>
      <c r="HY1489" s="73"/>
      <c r="HZ1489" s="73"/>
      <c r="IA1489" s="73"/>
      <c r="IB1489" s="73"/>
      <c r="IC1489" s="73"/>
      <c r="ID1489" s="73"/>
      <c r="IE1489" s="73"/>
      <c r="IF1489" s="73"/>
      <c r="IG1489" s="73"/>
      <c r="IH1489" s="73"/>
      <c r="II1489" s="73"/>
      <c r="IJ1489" s="73"/>
      <c r="IK1489" s="73"/>
      <c r="IL1489" s="73"/>
      <c r="IM1489" s="73"/>
      <c r="IN1489" s="73"/>
      <c r="IO1489" s="73"/>
      <c r="IP1489" s="73"/>
      <c r="IQ1489" s="73"/>
      <c r="IR1489" s="73"/>
      <c r="IS1489" s="73"/>
      <c r="IT1489" s="73"/>
      <c r="IU1489" s="73"/>
      <c r="IV1489" s="73"/>
      <c r="IW1489" s="73"/>
      <c r="IX1489" s="73"/>
      <c r="IY1489" s="73"/>
      <c r="IZ1489" s="73"/>
      <c r="JA1489" s="73"/>
      <c r="JB1489" s="73"/>
      <c r="JC1489" s="73"/>
    </row>
    <row r="1490" spans="2:263" s="72" customFormat="1">
      <c r="B1490" s="73"/>
      <c r="C1490" s="73"/>
      <c r="D1490" s="73"/>
      <c r="E1490" s="73"/>
      <c r="F1490" s="73"/>
      <c r="G1490" s="73"/>
      <c r="H1490" s="73"/>
      <c r="I1490" s="73"/>
      <c r="J1490" s="73"/>
      <c r="K1490" s="73"/>
      <c r="L1490" s="73"/>
      <c r="M1490" s="73"/>
      <c r="N1490" s="73"/>
      <c r="O1490" s="73"/>
      <c r="P1490" s="73"/>
      <c r="Q1490" s="73"/>
      <c r="R1490" s="73"/>
      <c r="S1490" s="73"/>
      <c r="T1490" s="73"/>
      <c r="U1490" s="73"/>
      <c r="V1490" s="73"/>
      <c r="W1490" s="73"/>
      <c r="GL1490" s="73"/>
      <c r="GM1490" s="73"/>
      <c r="GN1490" s="73"/>
      <c r="GO1490" s="73"/>
      <c r="GP1490" s="73"/>
      <c r="GQ1490" s="73"/>
      <c r="GR1490" s="73"/>
      <c r="GS1490" s="73"/>
      <c r="GT1490" s="73"/>
      <c r="GU1490" s="73"/>
      <c r="GV1490" s="73"/>
      <c r="GW1490" s="73"/>
      <c r="GX1490" s="73"/>
      <c r="GY1490" s="73"/>
      <c r="GZ1490" s="73"/>
      <c r="HA1490" s="73"/>
      <c r="HB1490" s="73"/>
      <c r="HC1490" s="73"/>
      <c r="HD1490" s="73"/>
      <c r="HE1490" s="73"/>
      <c r="HF1490" s="73"/>
      <c r="HG1490" s="73"/>
      <c r="HH1490" s="73"/>
      <c r="HI1490" s="73"/>
      <c r="HJ1490" s="73"/>
      <c r="HK1490" s="73"/>
      <c r="HL1490" s="73"/>
      <c r="HM1490" s="73"/>
      <c r="HN1490" s="73"/>
      <c r="HO1490" s="73"/>
      <c r="HP1490" s="73"/>
      <c r="HQ1490" s="73"/>
      <c r="HR1490" s="73"/>
      <c r="HS1490" s="73"/>
      <c r="HT1490" s="73"/>
      <c r="HU1490" s="73"/>
      <c r="HV1490" s="73"/>
      <c r="HW1490" s="73"/>
      <c r="HX1490" s="73"/>
      <c r="HY1490" s="73"/>
      <c r="HZ1490" s="73"/>
      <c r="IA1490" s="73"/>
      <c r="IB1490" s="73"/>
      <c r="IC1490" s="73"/>
      <c r="ID1490" s="73"/>
      <c r="IE1490" s="73"/>
      <c r="IF1490" s="73"/>
      <c r="IG1490" s="73"/>
      <c r="IH1490" s="73"/>
      <c r="II1490" s="73"/>
      <c r="IJ1490" s="73"/>
      <c r="IK1490" s="73"/>
      <c r="IL1490" s="73"/>
      <c r="IM1490" s="73"/>
      <c r="IN1490" s="73"/>
      <c r="IO1490" s="73"/>
      <c r="IP1490" s="73"/>
      <c r="IQ1490" s="73"/>
      <c r="IR1490" s="73"/>
      <c r="IS1490" s="73"/>
      <c r="IT1490" s="73"/>
      <c r="IU1490" s="73"/>
      <c r="IV1490" s="73"/>
      <c r="IW1490" s="73"/>
      <c r="IX1490" s="73"/>
      <c r="IY1490" s="73"/>
      <c r="IZ1490" s="73"/>
      <c r="JA1490" s="73"/>
      <c r="JB1490" s="73"/>
      <c r="JC1490" s="73"/>
    </row>
    <row r="1491" spans="2:263" s="72" customFormat="1">
      <c r="B1491" s="73"/>
      <c r="C1491" s="73"/>
      <c r="D1491" s="73"/>
      <c r="E1491" s="73"/>
      <c r="F1491" s="73"/>
      <c r="G1491" s="73"/>
      <c r="H1491" s="73"/>
      <c r="I1491" s="73"/>
      <c r="J1491" s="73"/>
      <c r="K1491" s="73"/>
      <c r="L1491" s="73"/>
      <c r="M1491" s="73"/>
      <c r="N1491" s="73"/>
      <c r="O1491" s="73"/>
      <c r="P1491" s="73"/>
      <c r="Q1491" s="73"/>
      <c r="R1491" s="73"/>
      <c r="S1491" s="73"/>
      <c r="T1491" s="73"/>
      <c r="U1491" s="73"/>
      <c r="V1491" s="73"/>
      <c r="W1491" s="73"/>
      <c r="GL1491" s="73"/>
      <c r="GM1491" s="73"/>
      <c r="GN1491" s="73"/>
      <c r="GO1491" s="73"/>
      <c r="GP1491" s="73"/>
      <c r="GQ1491" s="73"/>
      <c r="GR1491" s="73"/>
      <c r="GS1491" s="73"/>
      <c r="GT1491" s="73"/>
      <c r="GU1491" s="73"/>
      <c r="GV1491" s="73"/>
      <c r="GW1491" s="73"/>
      <c r="GX1491" s="73"/>
      <c r="GY1491" s="73"/>
      <c r="GZ1491" s="73"/>
      <c r="HA1491" s="73"/>
      <c r="HB1491" s="73"/>
      <c r="HC1491" s="73"/>
      <c r="HD1491" s="73"/>
      <c r="HE1491" s="73"/>
      <c r="HF1491" s="73"/>
      <c r="HG1491" s="73"/>
      <c r="HH1491" s="73"/>
      <c r="HI1491" s="73"/>
      <c r="HJ1491" s="73"/>
      <c r="HK1491" s="73"/>
      <c r="HL1491" s="73"/>
      <c r="HM1491" s="73"/>
      <c r="HN1491" s="73"/>
      <c r="HO1491" s="73"/>
      <c r="HP1491" s="73"/>
      <c r="HQ1491" s="73"/>
      <c r="HR1491" s="73"/>
      <c r="HS1491" s="73"/>
      <c r="HT1491" s="73"/>
      <c r="HU1491" s="73"/>
      <c r="HV1491" s="73"/>
      <c r="HW1491" s="73"/>
      <c r="HX1491" s="73"/>
      <c r="HY1491" s="73"/>
      <c r="HZ1491" s="73"/>
      <c r="IA1491" s="73"/>
      <c r="IB1491" s="73"/>
      <c r="IC1491" s="73"/>
      <c r="ID1491" s="73"/>
      <c r="IE1491" s="73"/>
      <c r="IF1491" s="73"/>
      <c r="IG1491" s="73"/>
      <c r="IH1491" s="73"/>
      <c r="II1491" s="73"/>
      <c r="IJ1491" s="73"/>
      <c r="IK1491" s="73"/>
      <c r="IL1491" s="73"/>
      <c r="IM1491" s="73"/>
      <c r="IN1491" s="73"/>
      <c r="IO1491" s="73"/>
      <c r="IP1491" s="73"/>
      <c r="IQ1491" s="73"/>
      <c r="IR1491" s="73"/>
      <c r="IS1491" s="73"/>
      <c r="IT1491" s="73"/>
      <c r="IU1491" s="73"/>
      <c r="IV1491" s="73"/>
      <c r="IW1491" s="73"/>
      <c r="IX1491" s="73"/>
      <c r="IY1491" s="73"/>
      <c r="IZ1491" s="73"/>
      <c r="JA1491" s="73"/>
      <c r="JB1491" s="73"/>
      <c r="JC1491" s="73"/>
    </row>
    <row r="1492" spans="2:263" s="72" customFormat="1">
      <c r="B1492" s="73"/>
      <c r="C1492" s="73"/>
      <c r="D1492" s="73"/>
      <c r="E1492" s="73"/>
      <c r="F1492" s="73"/>
      <c r="G1492" s="73"/>
      <c r="H1492" s="73"/>
      <c r="I1492" s="73"/>
      <c r="J1492" s="73"/>
      <c r="K1492" s="73"/>
      <c r="L1492" s="73"/>
      <c r="M1492" s="73"/>
      <c r="N1492" s="73"/>
      <c r="O1492" s="73"/>
      <c r="P1492" s="73"/>
      <c r="Q1492" s="73"/>
      <c r="R1492" s="73"/>
      <c r="S1492" s="73"/>
      <c r="T1492" s="73"/>
      <c r="U1492" s="73"/>
      <c r="V1492" s="73"/>
      <c r="W1492" s="73"/>
      <c r="GL1492" s="73"/>
      <c r="GM1492" s="73"/>
      <c r="GN1492" s="73"/>
      <c r="GO1492" s="73"/>
      <c r="GP1492" s="73"/>
      <c r="GQ1492" s="73"/>
      <c r="GR1492" s="73"/>
      <c r="GS1492" s="73"/>
      <c r="GT1492" s="73"/>
      <c r="GU1492" s="73"/>
      <c r="GV1492" s="73"/>
      <c r="GW1492" s="73"/>
      <c r="GX1492" s="73"/>
      <c r="GY1492" s="73"/>
      <c r="GZ1492" s="73"/>
      <c r="HA1492" s="73"/>
      <c r="HB1492" s="73"/>
      <c r="HC1492" s="73"/>
      <c r="HD1492" s="73"/>
      <c r="HE1492" s="73"/>
      <c r="HF1492" s="73"/>
      <c r="HG1492" s="73"/>
      <c r="HH1492" s="73"/>
      <c r="HI1492" s="73"/>
      <c r="HJ1492" s="73"/>
      <c r="HK1492" s="73"/>
      <c r="HL1492" s="73"/>
      <c r="HM1492" s="73"/>
      <c r="HN1492" s="73"/>
      <c r="HO1492" s="73"/>
      <c r="HP1492" s="73"/>
      <c r="HQ1492" s="73"/>
      <c r="HR1492" s="73"/>
      <c r="HS1492" s="73"/>
      <c r="HT1492" s="73"/>
      <c r="HU1492" s="73"/>
      <c r="HV1492" s="73"/>
      <c r="HW1492" s="73"/>
      <c r="HX1492" s="73"/>
      <c r="HY1492" s="73"/>
      <c r="HZ1492" s="73"/>
      <c r="IA1492" s="73"/>
      <c r="IB1492" s="73"/>
      <c r="IC1492" s="73"/>
      <c r="ID1492" s="73"/>
      <c r="IE1492" s="73"/>
      <c r="IF1492" s="73"/>
      <c r="IG1492" s="73"/>
      <c r="IH1492" s="73"/>
      <c r="II1492" s="73"/>
      <c r="IJ1492" s="73"/>
      <c r="IK1492" s="73"/>
      <c r="IL1492" s="73"/>
      <c r="IM1492" s="73"/>
      <c r="IN1492" s="73"/>
      <c r="IO1492" s="73"/>
      <c r="IP1492" s="73"/>
      <c r="IQ1492" s="73"/>
      <c r="IR1492" s="73"/>
      <c r="IS1492" s="73"/>
      <c r="IT1492" s="73"/>
      <c r="IU1492" s="73"/>
      <c r="IV1492" s="73"/>
      <c r="IW1492" s="73"/>
      <c r="IX1492" s="73"/>
      <c r="IY1492" s="73"/>
      <c r="IZ1492" s="73"/>
      <c r="JA1492" s="73"/>
      <c r="JB1492" s="73"/>
      <c r="JC1492" s="73"/>
    </row>
    <row r="1493" spans="2:263" s="72" customFormat="1">
      <c r="B1493" s="73"/>
      <c r="C1493" s="73"/>
      <c r="D1493" s="73"/>
      <c r="E1493" s="73"/>
      <c r="F1493" s="73"/>
      <c r="G1493" s="73"/>
      <c r="H1493" s="73"/>
      <c r="I1493" s="73"/>
      <c r="J1493" s="73"/>
      <c r="K1493" s="73"/>
      <c r="L1493" s="73"/>
      <c r="M1493" s="73"/>
      <c r="N1493" s="73"/>
      <c r="O1493" s="73"/>
      <c r="P1493" s="73"/>
      <c r="Q1493" s="73"/>
      <c r="R1493" s="73"/>
      <c r="S1493" s="73"/>
      <c r="T1493" s="73"/>
      <c r="U1493" s="73"/>
      <c r="V1493" s="73"/>
      <c r="W1493" s="73"/>
      <c r="GL1493" s="73"/>
      <c r="GM1493" s="73"/>
      <c r="GN1493" s="73"/>
      <c r="GO1493" s="73"/>
      <c r="GP1493" s="73"/>
      <c r="GQ1493" s="73"/>
      <c r="GR1493" s="73"/>
      <c r="GS1493" s="73"/>
      <c r="GT1493" s="73"/>
      <c r="GU1493" s="73"/>
      <c r="GV1493" s="73"/>
      <c r="GW1493" s="73"/>
      <c r="GX1493" s="73"/>
      <c r="GY1493" s="73"/>
      <c r="GZ1493" s="73"/>
      <c r="HA1493" s="73"/>
      <c r="HB1493" s="73"/>
      <c r="HC1493" s="73"/>
      <c r="HD1493" s="73"/>
      <c r="HE1493" s="73"/>
      <c r="HF1493" s="73"/>
      <c r="HG1493" s="73"/>
      <c r="HH1493" s="73"/>
      <c r="HI1493" s="73"/>
      <c r="HJ1493" s="73"/>
      <c r="HK1493" s="73"/>
      <c r="HL1493" s="73"/>
      <c r="HM1493" s="73"/>
      <c r="HN1493" s="73"/>
      <c r="HO1493" s="73"/>
      <c r="HP1493" s="73"/>
      <c r="HQ1493" s="73"/>
      <c r="HR1493" s="73"/>
      <c r="HS1493" s="73"/>
      <c r="HT1493" s="73"/>
      <c r="HU1493" s="73"/>
      <c r="HV1493" s="73"/>
      <c r="HW1493" s="73"/>
      <c r="HX1493" s="73"/>
      <c r="HY1493" s="73"/>
      <c r="HZ1493" s="73"/>
      <c r="IA1493" s="73"/>
      <c r="IB1493" s="73"/>
      <c r="IC1493" s="73"/>
      <c r="ID1493" s="73"/>
      <c r="IE1493" s="73"/>
      <c r="IF1493" s="73"/>
      <c r="IG1493" s="73"/>
      <c r="IH1493" s="73"/>
      <c r="II1493" s="73"/>
      <c r="IJ1493" s="73"/>
      <c r="IK1493" s="73"/>
      <c r="IL1493" s="73"/>
      <c r="IM1493" s="73"/>
      <c r="IN1493" s="73"/>
      <c r="IO1493" s="73"/>
      <c r="IP1493" s="73"/>
      <c r="IQ1493" s="73"/>
      <c r="IR1493" s="73"/>
      <c r="IS1493" s="73"/>
      <c r="IT1493" s="73"/>
      <c r="IU1493" s="73"/>
      <c r="IV1493" s="73"/>
      <c r="IW1493" s="73"/>
      <c r="IX1493" s="73"/>
      <c r="IY1493" s="73"/>
      <c r="IZ1493" s="73"/>
      <c r="JA1493" s="73"/>
      <c r="JB1493" s="73"/>
      <c r="JC1493" s="73"/>
    </row>
    <row r="1494" spans="2:263" s="72" customFormat="1">
      <c r="B1494" s="73"/>
      <c r="C1494" s="73"/>
      <c r="D1494" s="73"/>
      <c r="E1494" s="73"/>
      <c r="F1494" s="73"/>
      <c r="G1494" s="73"/>
      <c r="H1494" s="73"/>
      <c r="I1494" s="73"/>
      <c r="J1494" s="73"/>
      <c r="K1494" s="73"/>
      <c r="L1494" s="73"/>
      <c r="M1494" s="73"/>
      <c r="N1494" s="73"/>
      <c r="O1494" s="73"/>
      <c r="P1494" s="73"/>
      <c r="Q1494" s="73"/>
      <c r="R1494" s="73"/>
      <c r="S1494" s="73"/>
      <c r="T1494" s="73"/>
      <c r="U1494" s="73"/>
      <c r="V1494" s="73"/>
      <c r="W1494" s="73"/>
      <c r="GL1494" s="73"/>
      <c r="GM1494" s="73"/>
      <c r="GN1494" s="73"/>
      <c r="GO1494" s="73"/>
      <c r="GP1494" s="73"/>
      <c r="GQ1494" s="73"/>
      <c r="GR1494" s="73"/>
      <c r="GS1494" s="73"/>
      <c r="GT1494" s="73"/>
      <c r="GU1494" s="73"/>
      <c r="GV1494" s="73"/>
      <c r="GW1494" s="73"/>
      <c r="GX1494" s="73"/>
      <c r="GY1494" s="73"/>
      <c r="GZ1494" s="73"/>
      <c r="HA1494" s="73"/>
      <c r="HB1494" s="73"/>
      <c r="HC1494" s="73"/>
      <c r="HD1494" s="73"/>
      <c r="HE1494" s="73"/>
      <c r="HF1494" s="73"/>
      <c r="HG1494" s="73"/>
      <c r="HH1494" s="73"/>
      <c r="HI1494" s="73"/>
      <c r="HJ1494" s="73"/>
      <c r="HK1494" s="73"/>
      <c r="HL1494" s="73"/>
      <c r="HM1494" s="73"/>
      <c r="HN1494" s="73"/>
      <c r="HO1494" s="73"/>
      <c r="HP1494" s="73"/>
      <c r="HQ1494" s="73"/>
      <c r="HR1494" s="73"/>
      <c r="HS1494" s="73"/>
      <c r="HT1494" s="73"/>
      <c r="HU1494" s="73"/>
      <c r="HV1494" s="73"/>
      <c r="HW1494" s="73"/>
      <c r="HX1494" s="73"/>
      <c r="HY1494" s="73"/>
      <c r="HZ1494" s="73"/>
      <c r="IA1494" s="73"/>
      <c r="IB1494" s="73"/>
      <c r="IC1494" s="73"/>
      <c r="ID1494" s="73"/>
      <c r="IE1494" s="73"/>
      <c r="IF1494" s="73"/>
      <c r="IG1494" s="73"/>
      <c r="IH1494" s="73"/>
      <c r="II1494" s="73"/>
      <c r="IJ1494" s="73"/>
      <c r="IK1494" s="73"/>
      <c r="IL1494" s="73"/>
      <c r="IM1494" s="73"/>
      <c r="IN1494" s="73"/>
      <c r="IO1494" s="73"/>
      <c r="IP1494" s="73"/>
      <c r="IQ1494" s="73"/>
      <c r="IR1494" s="73"/>
      <c r="IS1494" s="73"/>
      <c r="IT1494" s="73"/>
      <c r="IU1494" s="73"/>
      <c r="IV1494" s="73"/>
      <c r="IW1494" s="73"/>
      <c r="IX1494" s="73"/>
      <c r="IY1494" s="73"/>
      <c r="IZ1494" s="73"/>
      <c r="JA1494" s="73"/>
      <c r="JB1494" s="73"/>
      <c r="JC1494" s="73"/>
    </row>
    <row r="1495" spans="2:263" s="72" customFormat="1">
      <c r="B1495" s="73"/>
      <c r="C1495" s="73"/>
      <c r="D1495" s="73"/>
      <c r="E1495" s="73"/>
      <c r="F1495" s="73"/>
      <c r="G1495" s="73"/>
      <c r="H1495" s="73"/>
      <c r="I1495" s="73"/>
      <c r="J1495" s="73"/>
      <c r="K1495" s="73"/>
      <c r="L1495" s="73"/>
      <c r="M1495" s="73"/>
      <c r="N1495" s="73"/>
      <c r="O1495" s="73"/>
      <c r="P1495" s="73"/>
      <c r="Q1495" s="73"/>
      <c r="R1495" s="73"/>
      <c r="S1495" s="73"/>
      <c r="T1495" s="73"/>
      <c r="U1495" s="73"/>
      <c r="V1495" s="73"/>
      <c r="W1495" s="73"/>
      <c r="GL1495" s="73"/>
      <c r="GM1495" s="73"/>
      <c r="GN1495" s="73"/>
      <c r="GO1495" s="73"/>
      <c r="GP1495" s="73"/>
      <c r="GQ1495" s="73"/>
      <c r="GR1495" s="73"/>
      <c r="GS1495" s="73"/>
      <c r="GT1495" s="73"/>
      <c r="GU1495" s="73"/>
      <c r="GV1495" s="73"/>
      <c r="GW1495" s="73"/>
      <c r="GX1495" s="73"/>
      <c r="GY1495" s="73"/>
      <c r="GZ1495" s="73"/>
      <c r="HA1495" s="73"/>
      <c r="HB1495" s="73"/>
      <c r="HC1495" s="73"/>
      <c r="HD1495" s="73"/>
      <c r="HE1495" s="73"/>
      <c r="HF1495" s="73"/>
      <c r="HG1495" s="73"/>
      <c r="HH1495" s="73"/>
      <c r="HI1495" s="73"/>
      <c r="HJ1495" s="73"/>
      <c r="HK1495" s="73"/>
      <c r="HL1495" s="73"/>
      <c r="HM1495" s="73"/>
      <c r="HN1495" s="73"/>
      <c r="HO1495" s="73"/>
      <c r="HP1495" s="73"/>
      <c r="HQ1495" s="73"/>
      <c r="HR1495" s="73"/>
      <c r="HS1495" s="73"/>
      <c r="HT1495" s="73"/>
      <c r="HU1495" s="73"/>
      <c r="HV1495" s="73"/>
      <c r="HW1495" s="73"/>
      <c r="HX1495" s="73"/>
      <c r="HY1495" s="73"/>
      <c r="HZ1495" s="73"/>
      <c r="IA1495" s="73"/>
      <c r="IB1495" s="73"/>
      <c r="IC1495" s="73"/>
      <c r="ID1495" s="73"/>
      <c r="IE1495" s="73"/>
      <c r="IF1495" s="73"/>
      <c r="IG1495" s="73"/>
      <c r="IH1495" s="73"/>
      <c r="II1495" s="73"/>
      <c r="IJ1495" s="73"/>
      <c r="IK1495" s="73"/>
      <c r="IL1495" s="73"/>
      <c r="IM1495" s="73"/>
      <c r="IN1495" s="73"/>
      <c r="IO1495" s="73"/>
      <c r="IP1495" s="73"/>
      <c r="IQ1495" s="73"/>
      <c r="IR1495" s="73"/>
      <c r="IS1495" s="73"/>
      <c r="IT1495" s="73"/>
      <c r="IU1495" s="73"/>
      <c r="IV1495" s="73"/>
      <c r="IW1495" s="73"/>
      <c r="IX1495" s="73"/>
      <c r="IY1495" s="73"/>
      <c r="IZ1495" s="73"/>
      <c r="JA1495" s="73"/>
      <c r="JB1495" s="73"/>
      <c r="JC1495" s="73"/>
    </row>
    <row r="1496" spans="2:263" s="72" customFormat="1">
      <c r="B1496" s="73"/>
      <c r="C1496" s="73"/>
      <c r="D1496" s="73"/>
      <c r="E1496" s="73"/>
      <c r="F1496" s="73"/>
      <c r="G1496" s="73"/>
      <c r="H1496" s="73"/>
      <c r="I1496" s="73"/>
      <c r="J1496" s="73"/>
      <c r="K1496" s="73"/>
      <c r="L1496" s="73"/>
      <c r="M1496" s="73"/>
      <c r="N1496" s="73"/>
      <c r="O1496" s="73"/>
      <c r="P1496" s="73"/>
      <c r="Q1496" s="73"/>
      <c r="R1496" s="73"/>
      <c r="S1496" s="73"/>
      <c r="T1496" s="73"/>
      <c r="U1496" s="73"/>
      <c r="V1496" s="73"/>
      <c r="W1496" s="73"/>
      <c r="GL1496" s="73"/>
      <c r="GM1496" s="73"/>
      <c r="GN1496" s="73"/>
      <c r="GO1496" s="73"/>
      <c r="GP1496" s="73"/>
      <c r="GQ1496" s="73"/>
      <c r="GR1496" s="73"/>
      <c r="GS1496" s="73"/>
      <c r="GT1496" s="73"/>
      <c r="GU1496" s="73"/>
      <c r="GV1496" s="73"/>
      <c r="GW1496" s="73"/>
      <c r="GX1496" s="73"/>
      <c r="GY1496" s="73"/>
      <c r="GZ1496" s="73"/>
      <c r="HA1496" s="73"/>
      <c r="HB1496" s="73"/>
      <c r="HC1496" s="73"/>
      <c r="HD1496" s="73"/>
      <c r="HE1496" s="73"/>
      <c r="HF1496" s="73"/>
      <c r="HG1496" s="73"/>
      <c r="HH1496" s="73"/>
      <c r="HI1496" s="73"/>
      <c r="HJ1496" s="73"/>
      <c r="HK1496" s="73"/>
      <c r="HL1496" s="73"/>
      <c r="HM1496" s="73"/>
      <c r="HN1496" s="73"/>
      <c r="HO1496" s="73"/>
      <c r="HP1496" s="73"/>
      <c r="HQ1496" s="73"/>
      <c r="HR1496" s="73"/>
      <c r="HS1496" s="73"/>
      <c r="HT1496" s="73"/>
      <c r="HU1496" s="73"/>
      <c r="HV1496" s="73"/>
      <c r="HW1496" s="73"/>
      <c r="HX1496" s="73"/>
      <c r="HY1496" s="73"/>
      <c r="HZ1496" s="73"/>
      <c r="IA1496" s="73"/>
      <c r="IB1496" s="73"/>
      <c r="IC1496" s="73"/>
      <c r="ID1496" s="73"/>
      <c r="IE1496" s="73"/>
      <c r="IF1496" s="73"/>
      <c r="IG1496" s="73"/>
      <c r="IH1496" s="73"/>
      <c r="II1496" s="73"/>
      <c r="IJ1496" s="73"/>
      <c r="IK1496" s="73"/>
      <c r="IL1496" s="73"/>
      <c r="IM1496" s="73"/>
      <c r="IN1496" s="73"/>
      <c r="IO1496" s="73"/>
      <c r="IP1496" s="73"/>
      <c r="IQ1496" s="73"/>
      <c r="IR1496" s="73"/>
      <c r="IS1496" s="73"/>
      <c r="IT1496" s="73"/>
      <c r="IU1496" s="73"/>
      <c r="IV1496" s="73"/>
      <c r="IW1496" s="73"/>
      <c r="IX1496" s="73"/>
      <c r="IY1496" s="73"/>
      <c r="IZ1496" s="73"/>
      <c r="JA1496" s="73"/>
      <c r="JB1496" s="73"/>
      <c r="JC1496" s="73"/>
    </row>
    <row r="1497" spans="2:263" s="72" customFormat="1">
      <c r="B1497" s="73"/>
      <c r="C1497" s="73"/>
      <c r="D1497" s="73"/>
      <c r="E1497" s="73"/>
      <c r="F1497" s="73"/>
      <c r="G1497" s="73"/>
      <c r="H1497" s="73"/>
      <c r="I1497" s="73"/>
      <c r="J1497" s="73"/>
      <c r="K1497" s="73"/>
      <c r="L1497" s="73"/>
      <c r="M1497" s="73"/>
      <c r="N1497" s="73"/>
      <c r="O1497" s="73"/>
      <c r="P1497" s="73"/>
      <c r="Q1497" s="73"/>
      <c r="R1497" s="73"/>
      <c r="S1497" s="73"/>
      <c r="T1497" s="73"/>
      <c r="U1497" s="73"/>
      <c r="V1497" s="73"/>
      <c r="W1497" s="73"/>
      <c r="GL1497" s="73"/>
      <c r="GM1497" s="73"/>
      <c r="GN1497" s="73"/>
      <c r="GO1497" s="73"/>
      <c r="GP1497" s="73"/>
      <c r="GQ1497" s="73"/>
      <c r="GR1497" s="73"/>
      <c r="GS1497" s="73"/>
      <c r="GT1497" s="73"/>
      <c r="GU1497" s="73"/>
      <c r="GV1497" s="73"/>
      <c r="GW1497" s="73"/>
      <c r="GX1497" s="73"/>
      <c r="GY1497" s="73"/>
      <c r="GZ1497" s="73"/>
      <c r="HA1497" s="73"/>
      <c r="HB1497" s="73"/>
      <c r="HC1497" s="73"/>
      <c r="HD1497" s="73"/>
      <c r="HE1497" s="73"/>
      <c r="HF1497" s="73"/>
      <c r="HG1497" s="73"/>
      <c r="HH1497" s="73"/>
      <c r="HI1497" s="73"/>
      <c r="HJ1497" s="73"/>
      <c r="HK1497" s="73"/>
      <c r="HL1497" s="73"/>
      <c r="HM1497" s="73"/>
      <c r="HN1497" s="73"/>
      <c r="HO1497" s="73"/>
      <c r="HP1497" s="73"/>
      <c r="HQ1497" s="73"/>
      <c r="HR1497" s="73"/>
      <c r="HS1497" s="73"/>
      <c r="HT1497" s="73"/>
      <c r="HU1497" s="73"/>
      <c r="HV1497" s="73"/>
      <c r="HW1497" s="73"/>
      <c r="HX1497" s="73"/>
      <c r="HY1497" s="73"/>
      <c r="HZ1497" s="73"/>
      <c r="IA1497" s="73"/>
      <c r="IB1497" s="73"/>
      <c r="IC1497" s="73"/>
      <c r="ID1497" s="73"/>
      <c r="IE1497" s="73"/>
      <c r="IF1497" s="73"/>
      <c r="IG1497" s="73"/>
      <c r="IH1497" s="73"/>
      <c r="II1497" s="73"/>
      <c r="IJ1497" s="73"/>
      <c r="IK1497" s="73"/>
      <c r="IL1497" s="73"/>
      <c r="IM1497" s="73"/>
      <c r="IN1497" s="73"/>
      <c r="IO1497" s="73"/>
      <c r="IP1497" s="73"/>
      <c r="IQ1497" s="73"/>
      <c r="IR1497" s="73"/>
      <c r="IS1497" s="73"/>
      <c r="IT1497" s="73"/>
      <c r="IU1497" s="73"/>
      <c r="IV1497" s="73"/>
      <c r="IW1497" s="73"/>
      <c r="IX1497" s="73"/>
      <c r="IY1497" s="73"/>
      <c r="IZ1497" s="73"/>
      <c r="JA1497" s="73"/>
      <c r="JB1497" s="73"/>
      <c r="JC1497" s="73"/>
    </row>
    <row r="1498" spans="2:263" s="72" customFormat="1">
      <c r="B1498" s="73"/>
      <c r="C1498" s="73"/>
      <c r="D1498" s="73"/>
      <c r="E1498" s="73"/>
      <c r="F1498" s="73"/>
      <c r="G1498" s="73"/>
      <c r="H1498" s="73"/>
      <c r="I1498" s="73"/>
      <c r="J1498" s="73"/>
      <c r="K1498" s="73"/>
      <c r="L1498" s="73"/>
      <c r="M1498" s="73"/>
      <c r="N1498" s="73"/>
      <c r="O1498" s="73"/>
      <c r="P1498" s="73"/>
      <c r="Q1498" s="73"/>
      <c r="R1498" s="73"/>
      <c r="S1498" s="73"/>
      <c r="T1498" s="73"/>
      <c r="U1498" s="73"/>
      <c r="V1498" s="73"/>
      <c r="W1498" s="73"/>
      <c r="GL1498" s="73"/>
      <c r="GM1498" s="73"/>
      <c r="GN1498" s="73"/>
      <c r="GO1498" s="73"/>
      <c r="GP1498" s="73"/>
      <c r="GQ1498" s="73"/>
      <c r="GR1498" s="73"/>
      <c r="GS1498" s="73"/>
      <c r="GT1498" s="73"/>
      <c r="GU1498" s="73"/>
      <c r="GV1498" s="73"/>
      <c r="GW1498" s="73"/>
      <c r="GX1498" s="73"/>
      <c r="GY1498" s="73"/>
      <c r="GZ1498" s="73"/>
      <c r="HA1498" s="73"/>
      <c r="HB1498" s="73"/>
      <c r="HC1498" s="73"/>
      <c r="HD1498" s="73"/>
      <c r="HE1498" s="73"/>
      <c r="HF1498" s="73"/>
      <c r="HG1498" s="73"/>
      <c r="HH1498" s="73"/>
      <c r="HI1498" s="73"/>
      <c r="HJ1498" s="73"/>
      <c r="HK1498" s="73"/>
      <c r="HL1498" s="73"/>
      <c r="HM1498" s="73"/>
      <c r="HN1498" s="73"/>
      <c r="HO1498" s="73"/>
      <c r="HP1498" s="73"/>
      <c r="HQ1498" s="73"/>
      <c r="HR1498" s="73"/>
      <c r="HS1498" s="73"/>
      <c r="HT1498" s="73"/>
      <c r="HU1498" s="73"/>
      <c r="HV1498" s="73"/>
      <c r="HW1498" s="73"/>
      <c r="HX1498" s="73"/>
      <c r="HY1498" s="73"/>
      <c r="HZ1498" s="73"/>
      <c r="IA1498" s="73"/>
      <c r="IB1498" s="73"/>
      <c r="IC1498" s="73"/>
      <c r="ID1498" s="73"/>
      <c r="IE1498" s="73"/>
      <c r="IF1498" s="73"/>
      <c r="IG1498" s="73"/>
      <c r="IH1498" s="73"/>
      <c r="II1498" s="73"/>
      <c r="IJ1498" s="73"/>
      <c r="IK1498" s="73"/>
      <c r="IL1498" s="73"/>
      <c r="IM1498" s="73"/>
      <c r="IN1498" s="73"/>
      <c r="IO1498" s="73"/>
      <c r="IP1498" s="73"/>
      <c r="IQ1498" s="73"/>
      <c r="IR1498" s="73"/>
      <c r="IS1498" s="73"/>
      <c r="IT1498" s="73"/>
      <c r="IU1498" s="73"/>
      <c r="IV1498" s="73"/>
      <c r="IW1498" s="73"/>
      <c r="IX1498" s="73"/>
      <c r="IY1498" s="73"/>
      <c r="IZ1498" s="73"/>
      <c r="JA1498" s="73"/>
      <c r="JB1498" s="73"/>
      <c r="JC1498" s="73"/>
    </row>
    <row r="1499" spans="2:263" s="72" customFormat="1">
      <c r="B1499" s="73"/>
      <c r="C1499" s="73"/>
      <c r="D1499" s="73"/>
      <c r="E1499" s="73"/>
      <c r="F1499" s="73"/>
      <c r="G1499" s="73"/>
      <c r="H1499" s="73"/>
      <c r="I1499" s="73"/>
      <c r="J1499" s="73"/>
      <c r="K1499" s="73"/>
      <c r="L1499" s="73"/>
      <c r="M1499" s="73"/>
      <c r="N1499" s="73"/>
      <c r="O1499" s="73"/>
      <c r="P1499" s="73"/>
      <c r="Q1499" s="73"/>
      <c r="R1499" s="73"/>
      <c r="S1499" s="73"/>
      <c r="T1499" s="73"/>
      <c r="U1499" s="73"/>
      <c r="V1499" s="73"/>
      <c r="W1499" s="73"/>
      <c r="GL1499" s="73"/>
      <c r="GM1499" s="73"/>
      <c r="GN1499" s="73"/>
      <c r="GO1499" s="73"/>
      <c r="GP1499" s="73"/>
      <c r="GQ1499" s="73"/>
      <c r="GR1499" s="73"/>
      <c r="GS1499" s="73"/>
      <c r="GT1499" s="73"/>
      <c r="GU1499" s="73"/>
      <c r="GV1499" s="73"/>
      <c r="GW1499" s="73"/>
      <c r="GX1499" s="73"/>
      <c r="GY1499" s="73"/>
      <c r="GZ1499" s="73"/>
      <c r="HA1499" s="73"/>
      <c r="HB1499" s="73"/>
      <c r="HC1499" s="73"/>
      <c r="HD1499" s="73"/>
      <c r="HE1499" s="73"/>
      <c r="HF1499" s="73"/>
      <c r="HG1499" s="73"/>
      <c r="HH1499" s="73"/>
      <c r="HI1499" s="73"/>
      <c r="HJ1499" s="73"/>
      <c r="HK1499" s="73"/>
      <c r="HL1499" s="73"/>
      <c r="HM1499" s="73"/>
      <c r="HN1499" s="73"/>
      <c r="HO1499" s="73"/>
      <c r="HP1499" s="73"/>
      <c r="HQ1499" s="73"/>
      <c r="HR1499" s="73"/>
      <c r="HS1499" s="73"/>
      <c r="HT1499" s="73"/>
      <c r="HU1499" s="73"/>
      <c r="HV1499" s="73"/>
      <c r="HW1499" s="73"/>
      <c r="HX1499" s="73"/>
      <c r="HY1499" s="73"/>
      <c r="HZ1499" s="73"/>
      <c r="IA1499" s="73"/>
      <c r="IB1499" s="73"/>
      <c r="IC1499" s="73"/>
      <c r="ID1499" s="73"/>
      <c r="IE1499" s="73"/>
      <c r="IF1499" s="73"/>
      <c r="IG1499" s="73"/>
      <c r="IH1499" s="73"/>
      <c r="II1499" s="73"/>
      <c r="IJ1499" s="73"/>
      <c r="IK1499" s="73"/>
      <c r="IL1499" s="73"/>
      <c r="IM1499" s="73"/>
      <c r="IN1499" s="73"/>
      <c r="IO1499" s="73"/>
      <c r="IP1499" s="73"/>
      <c r="IQ1499" s="73"/>
      <c r="IR1499" s="73"/>
      <c r="IS1499" s="73"/>
      <c r="IT1499" s="73"/>
      <c r="IU1499" s="73"/>
      <c r="IV1499" s="73"/>
      <c r="IW1499" s="73"/>
      <c r="IX1499" s="73"/>
      <c r="IY1499" s="73"/>
      <c r="IZ1499" s="73"/>
      <c r="JA1499" s="73"/>
      <c r="JB1499" s="73"/>
      <c r="JC1499" s="73"/>
    </row>
    <row r="1500" spans="2:263" s="72" customFormat="1">
      <c r="B1500" s="73"/>
      <c r="C1500" s="73"/>
      <c r="D1500" s="73"/>
      <c r="E1500" s="73"/>
      <c r="F1500" s="73"/>
      <c r="G1500" s="73"/>
      <c r="H1500" s="73"/>
      <c r="I1500" s="73"/>
      <c r="J1500" s="73"/>
      <c r="K1500" s="73"/>
      <c r="L1500" s="73"/>
      <c r="M1500" s="73"/>
      <c r="N1500" s="73"/>
      <c r="O1500" s="73"/>
      <c r="P1500" s="73"/>
      <c r="Q1500" s="73"/>
      <c r="R1500" s="73"/>
      <c r="S1500" s="73"/>
      <c r="T1500" s="73"/>
      <c r="U1500" s="73"/>
      <c r="V1500" s="73"/>
      <c r="W1500" s="73"/>
      <c r="GL1500" s="73"/>
      <c r="GM1500" s="73"/>
      <c r="GN1500" s="73"/>
      <c r="GO1500" s="73"/>
      <c r="GP1500" s="73"/>
      <c r="GQ1500" s="73"/>
      <c r="GR1500" s="73"/>
      <c r="GS1500" s="73"/>
      <c r="GT1500" s="73"/>
      <c r="GU1500" s="73"/>
      <c r="GV1500" s="73"/>
      <c r="GW1500" s="73"/>
      <c r="GX1500" s="73"/>
      <c r="GY1500" s="73"/>
      <c r="GZ1500" s="73"/>
      <c r="HA1500" s="73"/>
      <c r="HB1500" s="73"/>
      <c r="HC1500" s="73"/>
      <c r="HD1500" s="73"/>
      <c r="HE1500" s="73"/>
      <c r="HF1500" s="73"/>
      <c r="HG1500" s="73"/>
      <c r="HH1500" s="73"/>
      <c r="HI1500" s="73"/>
      <c r="HJ1500" s="73"/>
      <c r="HK1500" s="73"/>
      <c r="HL1500" s="73"/>
      <c r="HM1500" s="73"/>
      <c r="HN1500" s="73"/>
      <c r="HO1500" s="73"/>
      <c r="HP1500" s="73"/>
      <c r="HQ1500" s="73"/>
      <c r="HR1500" s="73"/>
      <c r="HS1500" s="73"/>
      <c r="HT1500" s="73"/>
      <c r="HU1500" s="73"/>
      <c r="HV1500" s="73"/>
      <c r="HW1500" s="73"/>
      <c r="HX1500" s="73"/>
      <c r="HY1500" s="73"/>
      <c r="HZ1500" s="73"/>
      <c r="IA1500" s="73"/>
      <c r="IB1500" s="73"/>
      <c r="IC1500" s="73"/>
      <c r="ID1500" s="73"/>
      <c r="IE1500" s="73"/>
      <c r="IF1500" s="73"/>
      <c r="IG1500" s="73"/>
      <c r="IH1500" s="73"/>
      <c r="II1500" s="73"/>
      <c r="IJ1500" s="73"/>
      <c r="IK1500" s="73"/>
      <c r="IL1500" s="73"/>
      <c r="IM1500" s="73"/>
      <c r="IN1500" s="73"/>
      <c r="IO1500" s="73"/>
      <c r="IP1500" s="73"/>
      <c r="IQ1500" s="73"/>
      <c r="IR1500" s="73"/>
      <c r="IS1500" s="73"/>
      <c r="IT1500" s="73"/>
      <c r="IU1500" s="73"/>
      <c r="IV1500" s="73"/>
      <c r="IW1500" s="73"/>
      <c r="IX1500" s="73"/>
      <c r="IY1500" s="73"/>
      <c r="IZ1500" s="73"/>
      <c r="JA1500" s="73"/>
      <c r="JB1500" s="73"/>
      <c r="JC1500" s="73"/>
    </row>
    <row r="1501" spans="2:263" s="72" customFormat="1">
      <c r="B1501" s="73"/>
      <c r="C1501" s="73"/>
      <c r="D1501" s="73"/>
      <c r="E1501" s="73"/>
      <c r="F1501" s="73"/>
      <c r="G1501" s="73"/>
      <c r="H1501" s="73"/>
      <c r="I1501" s="73"/>
      <c r="J1501" s="73"/>
      <c r="K1501" s="73"/>
      <c r="L1501" s="73"/>
      <c r="M1501" s="73"/>
      <c r="N1501" s="73"/>
      <c r="O1501" s="73"/>
      <c r="P1501" s="73"/>
      <c r="Q1501" s="73"/>
      <c r="R1501" s="73"/>
      <c r="S1501" s="73"/>
      <c r="T1501" s="73"/>
      <c r="U1501" s="73"/>
      <c r="V1501" s="73"/>
      <c r="W1501" s="73"/>
      <c r="GL1501" s="73"/>
      <c r="GM1501" s="73"/>
      <c r="GN1501" s="73"/>
      <c r="GO1501" s="73"/>
      <c r="GP1501" s="73"/>
      <c r="GQ1501" s="73"/>
      <c r="GR1501" s="73"/>
      <c r="GS1501" s="73"/>
      <c r="GT1501" s="73"/>
      <c r="GU1501" s="73"/>
      <c r="GV1501" s="73"/>
      <c r="GW1501" s="73"/>
      <c r="GX1501" s="73"/>
      <c r="GY1501" s="73"/>
      <c r="GZ1501" s="73"/>
      <c r="HA1501" s="73"/>
      <c r="HB1501" s="73"/>
      <c r="HC1501" s="73"/>
      <c r="HD1501" s="73"/>
      <c r="HE1501" s="73"/>
      <c r="HF1501" s="73"/>
      <c r="HG1501" s="73"/>
      <c r="HH1501" s="73"/>
      <c r="HI1501" s="73"/>
      <c r="HJ1501" s="73"/>
      <c r="HK1501" s="73"/>
      <c r="HL1501" s="73"/>
      <c r="HM1501" s="73"/>
      <c r="HN1501" s="73"/>
      <c r="HO1501" s="73"/>
      <c r="HP1501" s="73"/>
      <c r="HQ1501" s="73"/>
      <c r="HR1501" s="73"/>
      <c r="HS1501" s="73"/>
      <c r="HT1501" s="73"/>
      <c r="HU1501" s="73"/>
      <c r="HV1501" s="73"/>
      <c r="HW1501" s="73"/>
      <c r="HX1501" s="73"/>
      <c r="HY1501" s="73"/>
      <c r="HZ1501" s="73"/>
      <c r="IA1501" s="73"/>
      <c r="IB1501" s="73"/>
      <c r="IC1501" s="73"/>
      <c r="ID1501" s="73"/>
      <c r="IE1501" s="73"/>
      <c r="IF1501" s="73"/>
      <c r="IG1501" s="73"/>
      <c r="IH1501" s="73"/>
      <c r="II1501" s="73"/>
      <c r="IJ1501" s="73"/>
      <c r="IK1501" s="73"/>
      <c r="IL1501" s="73"/>
      <c r="IM1501" s="73"/>
      <c r="IN1501" s="73"/>
      <c r="IO1501" s="73"/>
      <c r="IP1501" s="73"/>
      <c r="IQ1501" s="73"/>
      <c r="IR1501" s="73"/>
      <c r="IS1501" s="73"/>
      <c r="IT1501" s="73"/>
      <c r="IU1501" s="73"/>
      <c r="IV1501" s="73"/>
      <c r="IW1501" s="73"/>
      <c r="IX1501" s="73"/>
      <c r="IY1501" s="73"/>
      <c r="IZ1501" s="73"/>
      <c r="JA1501" s="73"/>
      <c r="JB1501" s="73"/>
      <c r="JC1501" s="73"/>
    </row>
    <row r="1502" spans="2:263" s="72" customFormat="1">
      <c r="B1502" s="73"/>
      <c r="C1502" s="73"/>
      <c r="D1502" s="73"/>
      <c r="E1502" s="73"/>
      <c r="F1502" s="73"/>
      <c r="G1502" s="73"/>
      <c r="H1502" s="73"/>
      <c r="I1502" s="73"/>
      <c r="J1502" s="73"/>
      <c r="K1502" s="73"/>
      <c r="L1502" s="73"/>
      <c r="M1502" s="73"/>
      <c r="N1502" s="73"/>
      <c r="O1502" s="73"/>
      <c r="P1502" s="73"/>
      <c r="Q1502" s="73"/>
      <c r="R1502" s="73"/>
      <c r="S1502" s="73"/>
      <c r="T1502" s="73"/>
      <c r="U1502" s="73"/>
      <c r="V1502" s="73"/>
      <c r="W1502" s="73"/>
      <c r="GL1502" s="73"/>
      <c r="GM1502" s="73"/>
      <c r="GN1502" s="73"/>
      <c r="GO1502" s="73"/>
      <c r="GP1502" s="73"/>
      <c r="GQ1502" s="73"/>
      <c r="GR1502" s="73"/>
      <c r="GS1502" s="73"/>
      <c r="GT1502" s="73"/>
      <c r="GU1502" s="73"/>
      <c r="GV1502" s="73"/>
      <c r="GW1502" s="73"/>
      <c r="GX1502" s="73"/>
      <c r="GY1502" s="73"/>
      <c r="GZ1502" s="73"/>
      <c r="HA1502" s="73"/>
      <c r="HB1502" s="73"/>
      <c r="HC1502" s="73"/>
      <c r="HD1502" s="73"/>
      <c r="HE1502" s="73"/>
      <c r="HF1502" s="73"/>
      <c r="HG1502" s="73"/>
      <c r="HH1502" s="73"/>
      <c r="HI1502" s="73"/>
      <c r="HJ1502" s="73"/>
      <c r="HK1502" s="73"/>
      <c r="HL1502" s="73"/>
      <c r="HM1502" s="73"/>
      <c r="HN1502" s="73"/>
      <c r="HO1502" s="73"/>
      <c r="HP1502" s="73"/>
      <c r="HQ1502" s="73"/>
      <c r="HR1502" s="73"/>
      <c r="HS1502" s="73"/>
      <c r="HT1502" s="73"/>
      <c r="HU1502" s="73"/>
      <c r="HV1502" s="73"/>
      <c r="HW1502" s="73"/>
      <c r="HX1502" s="73"/>
      <c r="HY1502" s="73"/>
      <c r="HZ1502" s="73"/>
      <c r="IA1502" s="73"/>
      <c r="IB1502" s="73"/>
      <c r="IC1502" s="73"/>
      <c r="ID1502" s="73"/>
      <c r="IE1502" s="73"/>
      <c r="IF1502" s="73"/>
      <c r="IG1502" s="73"/>
      <c r="IH1502" s="73"/>
      <c r="II1502" s="73"/>
      <c r="IJ1502" s="73"/>
      <c r="IK1502" s="73"/>
      <c r="IL1502" s="73"/>
      <c r="IM1502" s="73"/>
      <c r="IN1502" s="73"/>
      <c r="IO1502" s="73"/>
      <c r="IP1502" s="73"/>
      <c r="IQ1502" s="73"/>
      <c r="IR1502" s="73"/>
      <c r="IS1502" s="73"/>
      <c r="IT1502" s="73"/>
      <c r="IU1502" s="73"/>
      <c r="IV1502" s="73"/>
      <c r="IW1502" s="73"/>
      <c r="IX1502" s="73"/>
      <c r="IY1502" s="73"/>
      <c r="IZ1502" s="73"/>
      <c r="JA1502" s="73"/>
      <c r="JB1502" s="73"/>
      <c r="JC1502" s="73"/>
    </row>
    <row r="1503" spans="2:263" s="72" customFormat="1">
      <c r="B1503" s="73"/>
      <c r="C1503" s="73"/>
      <c r="D1503" s="73"/>
      <c r="E1503" s="73"/>
      <c r="F1503" s="73"/>
      <c r="G1503" s="73"/>
      <c r="H1503" s="73"/>
      <c r="I1503" s="73"/>
      <c r="J1503" s="73"/>
      <c r="K1503" s="73"/>
      <c r="L1503" s="73"/>
      <c r="M1503" s="73"/>
      <c r="N1503" s="73"/>
      <c r="O1503" s="73"/>
      <c r="P1503" s="73"/>
      <c r="Q1503" s="73"/>
      <c r="R1503" s="73"/>
      <c r="S1503" s="73"/>
      <c r="T1503" s="73"/>
      <c r="U1503" s="73"/>
      <c r="V1503" s="73"/>
      <c r="W1503" s="73"/>
      <c r="GL1503" s="73"/>
      <c r="GM1503" s="73"/>
      <c r="GN1503" s="73"/>
      <c r="GO1503" s="73"/>
      <c r="GP1503" s="73"/>
      <c r="GQ1503" s="73"/>
      <c r="GR1503" s="73"/>
      <c r="GS1503" s="73"/>
      <c r="GT1503" s="73"/>
      <c r="GU1503" s="73"/>
      <c r="GV1503" s="73"/>
      <c r="GW1503" s="73"/>
      <c r="GX1503" s="73"/>
      <c r="GY1503" s="73"/>
      <c r="GZ1503" s="73"/>
      <c r="HA1503" s="73"/>
      <c r="HB1503" s="73"/>
      <c r="HC1503" s="73"/>
      <c r="HD1503" s="73"/>
      <c r="HE1503" s="73"/>
      <c r="HF1503" s="73"/>
      <c r="HG1503" s="73"/>
      <c r="HH1503" s="73"/>
      <c r="HI1503" s="73"/>
      <c r="HJ1503" s="73"/>
      <c r="HK1503" s="73"/>
      <c r="HL1503" s="73"/>
      <c r="HM1503" s="73"/>
      <c r="HN1503" s="73"/>
      <c r="HO1503" s="73"/>
      <c r="HP1503" s="73"/>
      <c r="HQ1503" s="73"/>
      <c r="HR1503" s="73"/>
      <c r="HS1503" s="73"/>
      <c r="HT1503" s="73"/>
      <c r="HU1503" s="73"/>
      <c r="HV1503" s="73"/>
      <c r="HW1503" s="73"/>
      <c r="HX1503" s="73"/>
      <c r="HY1503" s="73"/>
      <c r="HZ1503" s="73"/>
      <c r="IA1503" s="73"/>
      <c r="IB1503" s="73"/>
      <c r="IC1503" s="73"/>
      <c r="ID1503" s="73"/>
      <c r="IE1503" s="73"/>
      <c r="IF1503" s="73"/>
      <c r="IG1503" s="73"/>
      <c r="IH1503" s="73"/>
      <c r="II1503" s="73"/>
      <c r="IJ1503" s="73"/>
      <c r="IK1503" s="73"/>
      <c r="IL1503" s="73"/>
      <c r="IM1503" s="73"/>
      <c r="IN1503" s="73"/>
      <c r="IO1503" s="73"/>
      <c r="IP1503" s="73"/>
      <c r="IQ1503" s="73"/>
      <c r="IR1503" s="73"/>
      <c r="IS1503" s="73"/>
      <c r="IT1503" s="73"/>
      <c r="IU1503" s="73"/>
      <c r="IV1503" s="73"/>
      <c r="IW1503" s="73"/>
      <c r="IX1503" s="73"/>
      <c r="IY1503" s="73"/>
      <c r="IZ1503" s="73"/>
      <c r="JA1503" s="73"/>
      <c r="JB1503" s="73"/>
      <c r="JC1503" s="73"/>
    </row>
    <row r="1504" spans="2:263" s="72" customFormat="1">
      <c r="B1504" s="73"/>
      <c r="C1504" s="73"/>
      <c r="D1504" s="73"/>
      <c r="E1504" s="73"/>
      <c r="F1504" s="73"/>
      <c r="G1504" s="73"/>
      <c r="H1504" s="73"/>
      <c r="I1504" s="73"/>
      <c r="J1504" s="73"/>
      <c r="K1504" s="73"/>
      <c r="L1504" s="73"/>
      <c r="M1504" s="73"/>
      <c r="N1504" s="73"/>
      <c r="O1504" s="73"/>
      <c r="P1504" s="73"/>
      <c r="Q1504" s="73"/>
      <c r="R1504" s="73"/>
      <c r="S1504" s="73"/>
      <c r="T1504" s="73"/>
      <c r="U1504" s="73"/>
      <c r="V1504" s="73"/>
      <c r="W1504" s="73"/>
      <c r="GL1504" s="73"/>
      <c r="GM1504" s="73"/>
      <c r="GN1504" s="73"/>
      <c r="GO1504" s="73"/>
      <c r="GP1504" s="73"/>
      <c r="GQ1504" s="73"/>
      <c r="GR1504" s="73"/>
      <c r="GS1504" s="73"/>
      <c r="GT1504" s="73"/>
      <c r="GU1504" s="73"/>
      <c r="GV1504" s="73"/>
      <c r="GW1504" s="73"/>
      <c r="GX1504" s="73"/>
      <c r="GY1504" s="73"/>
      <c r="GZ1504" s="73"/>
      <c r="HA1504" s="73"/>
      <c r="HB1504" s="73"/>
      <c r="HC1504" s="73"/>
      <c r="HD1504" s="73"/>
      <c r="HE1504" s="73"/>
      <c r="HF1504" s="73"/>
      <c r="HG1504" s="73"/>
      <c r="HH1504" s="73"/>
      <c r="HI1504" s="73"/>
      <c r="HJ1504" s="73"/>
      <c r="HK1504" s="73"/>
      <c r="HL1504" s="73"/>
      <c r="HM1504" s="73"/>
      <c r="HN1504" s="73"/>
      <c r="HO1504" s="73"/>
      <c r="HP1504" s="73"/>
      <c r="HQ1504" s="73"/>
      <c r="HR1504" s="73"/>
      <c r="HS1504" s="73"/>
      <c r="HT1504" s="73"/>
      <c r="HU1504" s="73"/>
      <c r="HV1504" s="73"/>
      <c r="HW1504" s="73"/>
      <c r="HX1504" s="73"/>
      <c r="HY1504" s="73"/>
      <c r="HZ1504" s="73"/>
      <c r="IA1504" s="73"/>
      <c r="IB1504" s="73"/>
      <c r="IC1504" s="73"/>
      <c r="ID1504" s="73"/>
      <c r="IE1504" s="73"/>
      <c r="IF1504" s="73"/>
      <c r="IG1504" s="73"/>
      <c r="IH1504" s="73"/>
      <c r="II1504" s="73"/>
      <c r="IJ1504" s="73"/>
      <c r="IK1504" s="73"/>
      <c r="IL1504" s="73"/>
      <c r="IM1504" s="73"/>
      <c r="IN1504" s="73"/>
      <c r="IO1504" s="73"/>
      <c r="IP1504" s="73"/>
      <c r="IQ1504" s="73"/>
      <c r="IR1504" s="73"/>
      <c r="IS1504" s="73"/>
      <c r="IT1504" s="73"/>
      <c r="IU1504" s="73"/>
      <c r="IV1504" s="73"/>
      <c r="IW1504" s="73"/>
      <c r="IX1504" s="73"/>
      <c r="IY1504" s="73"/>
      <c r="IZ1504" s="73"/>
      <c r="JA1504" s="73"/>
      <c r="JB1504" s="73"/>
      <c r="JC1504" s="73"/>
    </row>
    <row r="1505" spans="2:263" s="72" customFormat="1">
      <c r="B1505" s="73"/>
      <c r="C1505" s="73"/>
      <c r="D1505" s="73"/>
      <c r="E1505" s="73"/>
      <c r="F1505" s="73"/>
      <c r="G1505" s="73"/>
      <c r="H1505" s="73"/>
      <c r="I1505" s="73"/>
      <c r="J1505" s="73"/>
      <c r="K1505" s="73"/>
      <c r="L1505" s="73"/>
      <c r="M1505" s="73"/>
      <c r="N1505" s="73"/>
      <c r="O1505" s="73"/>
      <c r="P1505" s="73"/>
      <c r="Q1505" s="73"/>
      <c r="R1505" s="73"/>
      <c r="S1505" s="73"/>
      <c r="T1505" s="73"/>
      <c r="U1505" s="73"/>
      <c r="V1505" s="73"/>
      <c r="W1505" s="73"/>
      <c r="GL1505" s="73"/>
      <c r="GM1505" s="73"/>
      <c r="GN1505" s="73"/>
      <c r="GO1505" s="73"/>
      <c r="GP1505" s="73"/>
      <c r="GQ1505" s="73"/>
      <c r="GR1505" s="73"/>
      <c r="GS1505" s="73"/>
      <c r="GT1505" s="73"/>
      <c r="GU1505" s="73"/>
      <c r="GV1505" s="73"/>
      <c r="GW1505" s="73"/>
      <c r="GX1505" s="73"/>
      <c r="GY1505" s="73"/>
      <c r="GZ1505" s="73"/>
      <c r="HA1505" s="73"/>
      <c r="HB1505" s="73"/>
      <c r="HC1505" s="73"/>
      <c r="HD1505" s="73"/>
      <c r="HE1505" s="73"/>
      <c r="HF1505" s="73"/>
      <c r="HG1505" s="73"/>
      <c r="HH1505" s="73"/>
      <c r="HI1505" s="73"/>
      <c r="HJ1505" s="73"/>
      <c r="HK1505" s="73"/>
      <c r="HL1505" s="73"/>
      <c r="HM1505" s="73"/>
      <c r="HN1505" s="73"/>
      <c r="HO1505" s="73"/>
      <c r="HP1505" s="73"/>
      <c r="HQ1505" s="73"/>
      <c r="HR1505" s="73"/>
      <c r="HS1505" s="73"/>
      <c r="HT1505" s="73"/>
      <c r="HU1505" s="73"/>
      <c r="HV1505" s="73"/>
      <c r="HW1505" s="73"/>
      <c r="HX1505" s="73"/>
      <c r="HY1505" s="73"/>
      <c r="HZ1505" s="73"/>
      <c r="IA1505" s="73"/>
      <c r="IB1505" s="73"/>
      <c r="IC1505" s="73"/>
      <c r="ID1505" s="73"/>
      <c r="IE1505" s="73"/>
      <c r="IF1505" s="73"/>
      <c r="IG1505" s="73"/>
      <c r="IH1505" s="73"/>
      <c r="II1505" s="73"/>
      <c r="IJ1505" s="73"/>
      <c r="IK1505" s="73"/>
      <c r="IL1505" s="73"/>
      <c r="IM1505" s="73"/>
      <c r="IN1505" s="73"/>
      <c r="IO1505" s="73"/>
      <c r="IP1505" s="73"/>
      <c r="IQ1505" s="73"/>
      <c r="IR1505" s="73"/>
      <c r="IS1505" s="73"/>
      <c r="IT1505" s="73"/>
      <c r="IU1505" s="73"/>
      <c r="IV1505" s="73"/>
      <c r="IW1505" s="73"/>
      <c r="IX1505" s="73"/>
      <c r="IY1505" s="73"/>
      <c r="IZ1505" s="73"/>
      <c r="JA1505" s="73"/>
      <c r="JB1505" s="73"/>
      <c r="JC1505" s="73"/>
    </row>
    <row r="1506" spans="2:263" s="72" customFormat="1">
      <c r="B1506" s="73"/>
      <c r="C1506" s="73"/>
      <c r="D1506" s="73"/>
      <c r="E1506" s="73"/>
      <c r="F1506" s="73"/>
      <c r="G1506" s="73"/>
      <c r="H1506" s="73"/>
      <c r="I1506" s="73"/>
      <c r="J1506" s="73"/>
      <c r="K1506" s="73"/>
      <c r="L1506" s="73"/>
      <c r="M1506" s="73"/>
      <c r="N1506" s="73"/>
      <c r="O1506" s="73"/>
      <c r="P1506" s="73"/>
      <c r="Q1506" s="73"/>
      <c r="R1506" s="73"/>
      <c r="S1506" s="73"/>
      <c r="T1506" s="73"/>
      <c r="U1506" s="73"/>
      <c r="V1506" s="73"/>
      <c r="W1506" s="73"/>
      <c r="GL1506" s="73"/>
      <c r="GM1506" s="73"/>
      <c r="GN1506" s="73"/>
      <c r="GO1506" s="73"/>
      <c r="GP1506" s="73"/>
      <c r="GQ1506" s="73"/>
      <c r="GR1506" s="73"/>
      <c r="GS1506" s="73"/>
      <c r="GT1506" s="73"/>
      <c r="GU1506" s="73"/>
      <c r="GV1506" s="73"/>
      <c r="GW1506" s="73"/>
      <c r="GX1506" s="73"/>
      <c r="GY1506" s="73"/>
      <c r="GZ1506" s="73"/>
      <c r="HA1506" s="73"/>
      <c r="HB1506" s="73"/>
      <c r="HC1506" s="73"/>
      <c r="HD1506" s="73"/>
      <c r="HE1506" s="73"/>
      <c r="HF1506" s="73"/>
      <c r="HG1506" s="73"/>
      <c r="HH1506" s="73"/>
      <c r="HI1506" s="73"/>
      <c r="HJ1506" s="73"/>
      <c r="HK1506" s="73"/>
      <c r="HL1506" s="73"/>
      <c r="HM1506" s="73"/>
      <c r="HN1506" s="73"/>
      <c r="HO1506" s="73"/>
      <c r="HP1506" s="73"/>
      <c r="HQ1506" s="73"/>
      <c r="HR1506" s="73"/>
      <c r="HS1506" s="73"/>
      <c r="HT1506" s="73"/>
      <c r="HU1506" s="73"/>
      <c r="HV1506" s="73"/>
      <c r="HW1506" s="73"/>
      <c r="HX1506" s="73"/>
      <c r="HY1506" s="73"/>
      <c r="HZ1506" s="73"/>
      <c r="IA1506" s="73"/>
      <c r="IB1506" s="73"/>
      <c r="IC1506" s="73"/>
      <c r="ID1506" s="73"/>
      <c r="IE1506" s="73"/>
      <c r="IF1506" s="73"/>
      <c r="IG1506" s="73"/>
      <c r="IH1506" s="73"/>
      <c r="II1506" s="73"/>
      <c r="IJ1506" s="73"/>
      <c r="IK1506" s="73"/>
      <c r="IL1506" s="73"/>
      <c r="IM1506" s="73"/>
      <c r="IN1506" s="73"/>
      <c r="IO1506" s="73"/>
      <c r="IP1506" s="73"/>
      <c r="IQ1506" s="73"/>
      <c r="IR1506" s="73"/>
      <c r="IS1506" s="73"/>
      <c r="IT1506" s="73"/>
      <c r="IU1506" s="73"/>
      <c r="IV1506" s="73"/>
      <c r="IW1506" s="73"/>
      <c r="IX1506" s="73"/>
      <c r="IY1506" s="73"/>
      <c r="IZ1506" s="73"/>
      <c r="JA1506" s="73"/>
      <c r="JB1506" s="73"/>
      <c r="JC1506" s="73"/>
    </row>
    <row r="1507" spans="2:263" s="72" customFormat="1">
      <c r="B1507" s="73"/>
      <c r="C1507" s="73"/>
      <c r="D1507" s="73"/>
      <c r="E1507" s="73"/>
      <c r="F1507" s="73"/>
      <c r="G1507" s="73"/>
      <c r="H1507" s="73"/>
      <c r="I1507" s="73"/>
      <c r="J1507" s="73"/>
      <c r="K1507" s="73"/>
      <c r="L1507" s="73"/>
      <c r="M1507" s="73"/>
      <c r="N1507" s="73"/>
      <c r="O1507" s="73"/>
      <c r="P1507" s="73"/>
      <c r="Q1507" s="73"/>
      <c r="R1507" s="73"/>
      <c r="S1507" s="73"/>
      <c r="T1507" s="73"/>
      <c r="U1507" s="73"/>
      <c r="V1507" s="73"/>
      <c r="W1507" s="73"/>
      <c r="GL1507" s="73"/>
      <c r="GM1507" s="73"/>
      <c r="GN1507" s="73"/>
      <c r="GO1507" s="73"/>
      <c r="GP1507" s="73"/>
      <c r="GQ1507" s="73"/>
      <c r="GR1507" s="73"/>
      <c r="GS1507" s="73"/>
      <c r="GT1507" s="73"/>
      <c r="GU1507" s="73"/>
      <c r="GV1507" s="73"/>
      <c r="GW1507" s="73"/>
      <c r="GX1507" s="73"/>
      <c r="GY1507" s="73"/>
      <c r="GZ1507" s="73"/>
      <c r="HA1507" s="73"/>
      <c r="HB1507" s="73"/>
      <c r="HC1507" s="73"/>
      <c r="HD1507" s="73"/>
      <c r="HE1507" s="73"/>
      <c r="HF1507" s="73"/>
      <c r="HG1507" s="73"/>
      <c r="HH1507" s="73"/>
      <c r="HI1507" s="73"/>
      <c r="HJ1507" s="73"/>
      <c r="HK1507" s="73"/>
      <c r="HL1507" s="73"/>
      <c r="HM1507" s="73"/>
      <c r="HN1507" s="73"/>
      <c r="HO1507" s="73"/>
      <c r="HP1507" s="73"/>
      <c r="HQ1507" s="73"/>
      <c r="HR1507" s="73"/>
      <c r="HS1507" s="73"/>
      <c r="HT1507" s="73"/>
      <c r="HU1507" s="73"/>
      <c r="HV1507" s="73"/>
      <c r="HW1507" s="73"/>
      <c r="HX1507" s="73"/>
      <c r="HY1507" s="73"/>
      <c r="HZ1507" s="73"/>
      <c r="IA1507" s="73"/>
      <c r="IB1507" s="73"/>
      <c r="IC1507" s="73"/>
      <c r="ID1507" s="73"/>
      <c r="IE1507" s="73"/>
      <c r="IF1507" s="73"/>
      <c r="IG1507" s="73"/>
      <c r="IH1507" s="73"/>
      <c r="II1507" s="73"/>
      <c r="IJ1507" s="73"/>
      <c r="IK1507" s="73"/>
      <c r="IL1507" s="73"/>
      <c r="IM1507" s="73"/>
      <c r="IN1507" s="73"/>
      <c r="IO1507" s="73"/>
      <c r="IP1507" s="73"/>
      <c r="IQ1507" s="73"/>
      <c r="IR1507" s="73"/>
      <c r="IS1507" s="73"/>
      <c r="IT1507" s="73"/>
      <c r="IU1507" s="73"/>
      <c r="IV1507" s="73"/>
      <c r="IW1507" s="73"/>
      <c r="IX1507" s="73"/>
      <c r="IY1507" s="73"/>
      <c r="IZ1507" s="73"/>
      <c r="JA1507" s="73"/>
      <c r="JB1507" s="73"/>
      <c r="JC1507" s="73"/>
    </row>
    <row r="1508" spans="2:263" s="72" customFormat="1">
      <c r="B1508" s="73"/>
      <c r="C1508" s="73"/>
      <c r="D1508" s="73"/>
      <c r="E1508" s="73"/>
      <c r="F1508" s="73"/>
      <c r="G1508" s="73"/>
      <c r="H1508" s="73"/>
      <c r="I1508" s="73"/>
      <c r="J1508" s="73"/>
      <c r="K1508" s="73"/>
      <c r="L1508" s="73"/>
      <c r="M1508" s="73"/>
      <c r="N1508" s="73"/>
      <c r="O1508" s="73"/>
      <c r="P1508" s="73"/>
      <c r="Q1508" s="73"/>
      <c r="R1508" s="73"/>
      <c r="S1508" s="73"/>
      <c r="T1508" s="73"/>
      <c r="U1508" s="73"/>
      <c r="V1508" s="73"/>
      <c r="W1508" s="73"/>
      <c r="GL1508" s="73"/>
      <c r="GM1508" s="73"/>
      <c r="GN1508" s="73"/>
      <c r="GO1508" s="73"/>
      <c r="GP1508" s="73"/>
      <c r="GQ1508" s="73"/>
      <c r="GR1508" s="73"/>
      <c r="GS1508" s="73"/>
      <c r="GT1508" s="73"/>
      <c r="GU1508" s="73"/>
      <c r="GV1508" s="73"/>
      <c r="GW1508" s="73"/>
      <c r="GX1508" s="73"/>
      <c r="GY1508" s="73"/>
      <c r="GZ1508" s="73"/>
      <c r="HA1508" s="73"/>
      <c r="HB1508" s="73"/>
      <c r="HC1508" s="73"/>
      <c r="HD1508" s="73"/>
      <c r="HE1508" s="73"/>
      <c r="HF1508" s="73"/>
      <c r="HG1508" s="73"/>
      <c r="HH1508" s="73"/>
      <c r="HI1508" s="73"/>
      <c r="HJ1508" s="73"/>
      <c r="HK1508" s="73"/>
      <c r="HL1508" s="73"/>
      <c r="HM1508" s="73"/>
      <c r="HN1508" s="73"/>
      <c r="HO1508" s="73"/>
      <c r="HP1508" s="73"/>
      <c r="HQ1508" s="73"/>
      <c r="HR1508" s="73"/>
      <c r="HS1508" s="73"/>
      <c r="HT1508" s="73"/>
      <c r="HU1508" s="73"/>
      <c r="HV1508" s="73"/>
      <c r="HW1508" s="73"/>
      <c r="HX1508" s="73"/>
      <c r="HY1508" s="73"/>
      <c r="HZ1508" s="73"/>
      <c r="IA1508" s="73"/>
      <c r="IB1508" s="73"/>
      <c r="IC1508" s="73"/>
      <c r="ID1508" s="73"/>
      <c r="IE1508" s="73"/>
      <c r="IF1508" s="73"/>
      <c r="IG1508" s="73"/>
      <c r="IH1508" s="73"/>
      <c r="II1508" s="73"/>
      <c r="IJ1508" s="73"/>
      <c r="IK1508" s="73"/>
      <c r="IL1508" s="73"/>
      <c r="IM1508" s="73"/>
      <c r="IN1508" s="73"/>
      <c r="IO1508" s="73"/>
      <c r="IP1508" s="73"/>
      <c r="IQ1508" s="73"/>
      <c r="IR1508" s="73"/>
      <c r="IS1508" s="73"/>
      <c r="IT1508" s="73"/>
      <c r="IU1508" s="73"/>
      <c r="IV1508" s="73"/>
      <c r="IW1508" s="73"/>
      <c r="IX1508" s="73"/>
      <c r="IY1508" s="73"/>
      <c r="IZ1508" s="73"/>
      <c r="JA1508" s="73"/>
      <c r="JB1508" s="73"/>
      <c r="JC1508" s="73"/>
    </row>
    <row r="1509" spans="2:263" s="72" customFormat="1">
      <c r="B1509" s="73"/>
      <c r="C1509" s="73"/>
      <c r="D1509" s="73"/>
      <c r="E1509" s="73"/>
      <c r="F1509" s="73"/>
      <c r="G1509" s="73"/>
      <c r="H1509" s="73"/>
      <c r="I1509" s="73"/>
      <c r="J1509" s="73"/>
      <c r="K1509" s="73"/>
      <c r="L1509" s="73"/>
      <c r="M1509" s="73"/>
      <c r="N1509" s="73"/>
      <c r="O1509" s="73"/>
      <c r="P1509" s="73"/>
      <c r="Q1509" s="73"/>
      <c r="R1509" s="73"/>
      <c r="S1509" s="73"/>
      <c r="T1509" s="73"/>
      <c r="U1509" s="73"/>
      <c r="V1509" s="73"/>
      <c r="W1509" s="73"/>
      <c r="GL1509" s="73"/>
      <c r="GM1509" s="73"/>
      <c r="GN1509" s="73"/>
      <c r="GO1509" s="73"/>
      <c r="GP1509" s="73"/>
      <c r="GQ1509" s="73"/>
      <c r="GR1509" s="73"/>
      <c r="GS1509" s="73"/>
      <c r="GT1509" s="73"/>
      <c r="GU1509" s="73"/>
      <c r="GV1509" s="73"/>
      <c r="GW1509" s="73"/>
      <c r="GX1509" s="73"/>
      <c r="GY1509" s="73"/>
      <c r="GZ1509" s="73"/>
      <c r="HA1509" s="73"/>
      <c r="HB1509" s="73"/>
      <c r="HC1509" s="73"/>
      <c r="HD1509" s="73"/>
      <c r="HE1509" s="73"/>
      <c r="HF1509" s="73"/>
      <c r="HG1509" s="73"/>
      <c r="HH1509" s="73"/>
      <c r="HI1509" s="73"/>
      <c r="HJ1509" s="73"/>
      <c r="HK1509" s="73"/>
      <c r="HL1509" s="73"/>
      <c r="HM1509" s="73"/>
      <c r="HN1509" s="73"/>
      <c r="HO1509" s="73"/>
      <c r="HP1509" s="73"/>
      <c r="HQ1509" s="73"/>
      <c r="HR1509" s="73"/>
      <c r="HS1509" s="73"/>
      <c r="HT1509" s="73"/>
      <c r="HU1509" s="73"/>
      <c r="HV1509" s="73"/>
      <c r="HW1509" s="73"/>
      <c r="HX1509" s="73"/>
      <c r="HY1509" s="73"/>
      <c r="HZ1509" s="73"/>
      <c r="IA1509" s="73"/>
      <c r="IB1509" s="73"/>
      <c r="IC1509" s="73"/>
      <c r="ID1509" s="73"/>
      <c r="IE1509" s="73"/>
      <c r="IF1509" s="73"/>
      <c r="IG1509" s="73"/>
      <c r="IH1509" s="73"/>
      <c r="II1509" s="73"/>
      <c r="IJ1509" s="73"/>
      <c r="IK1509" s="73"/>
      <c r="IL1509" s="73"/>
      <c r="IM1509" s="73"/>
      <c r="IN1509" s="73"/>
      <c r="IO1509" s="73"/>
      <c r="IP1509" s="73"/>
      <c r="IQ1509" s="73"/>
      <c r="IR1509" s="73"/>
      <c r="IS1509" s="73"/>
      <c r="IT1509" s="73"/>
      <c r="IU1509" s="73"/>
      <c r="IV1509" s="73"/>
      <c r="IW1509" s="73"/>
      <c r="IX1509" s="73"/>
      <c r="IY1509" s="73"/>
      <c r="IZ1509" s="73"/>
      <c r="JA1509" s="73"/>
      <c r="JB1509" s="73"/>
      <c r="JC1509" s="73"/>
    </row>
    <row r="1510" spans="2:263" s="72" customFormat="1">
      <c r="B1510" s="73"/>
      <c r="C1510" s="73"/>
      <c r="D1510" s="73"/>
      <c r="E1510" s="73"/>
      <c r="F1510" s="73"/>
      <c r="G1510" s="73"/>
      <c r="H1510" s="73"/>
      <c r="I1510" s="73"/>
      <c r="J1510" s="73"/>
      <c r="K1510" s="73"/>
      <c r="L1510" s="73"/>
      <c r="M1510" s="73"/>
      <c r="N1510" s="73"/>
      <c r="O1510" s="73"/>
      <c r="P1510" s="73"/>
      <c r="Q1510" s="73"/>
      <c r="R1510" s="73"/>
      <c r="S1510" s="73"/>
      <c r="T1510" s="73"/>
      <c r="U1510" s="73"/>
      <c r="V1510" s="73"/>
      <c r="W1510" s="73"/>
      <c r="GL1510" s="73"/>
      <c r="GM1510" s="73"/>
      <c r="GN1510" s="73"/>
      <c r="GO1510" s="73"/>
      <c r="GP1510" s="73"/>
      <c r="GQ1510" s="73"/>
      <c r="GR1510" s="73"/>
      <c r="GS1510" s="73"/>
      <c r="GT1510" s="73"/>
      <c r="GU1510" s="73"/>
      <c r="GV1510" s="73"/>
      <c r="GW1510" s="73"/>
      <c r="GX1510" s="73"/>
      <c r="GY1510" s="73"/>
      <c r="GZ1510" s="73"/>
      <c r="HA1510" s="73"/>
      <c r="HB1510" s="73"/>
      <c r="HC1510" s="73"/>
      <c r="HD1510" s="73"/>
      <c r="HE1510" s="73"/>
      <c r="HF1510" s="73"/>
      <c r="HG1510" s="73"/>
      <c r="HH1510" s="73"/>
      <c r="HI1510" s="73"/>
      <c r="HJ1510" s="73"/>
      <c r="HK1510" s="73"/>
      <c r="HL1510" s="73"/>
      <c r="HM1510" s="73"/>
      <c r="HN1510" s="73"/>
      <c r="HO1510" s="73"/>
      <c r="HP1510" s="73"/>
      <c r="HQ1510" s="73"/>
      <c r="HR1510" s="73"/>
      <c r="HS1510" s="73"/>
      <c r="HT1510" s="73"/>
      <c r="HU1510" s="73"/>
      <c r="HV1510" s="73"/>
      <c r="HW1510" s="73"/>
      <c r="HX1510" s="73"/>
      <c r="HY1510" s="73"/>
      <c r="HZ1510" s="73"/>
      <c r="IA1510" s="73"/>
      <c r="IB1510" s="73"/>
      <c r="IC1510" s="73"/>
      <c r="ID1510" s="73"/>
      <c r="IE1510" s="73"/>
      <c r="IF1510" s="73"/>
      <c r="IG1510" s="73"/>
      <c r="IH1510" s="73"/>
      <c r="II1510" s="73"/>
      <c r="IJ1510" s="73"/>
      <c r="IK1510" s="73"/>
      <c r="IL1510" s="73"/>
      <c r="IM1510" s="73"/>
      <c r="IN1510" s="73"/>
      <c r="IO1510" s="73"/>
      <c r="IP1510" s="73"/>
      <c r="IQ1510" s="73"/>
      <c r="IR1510" s="73"/>
      <c r="IS1510" s="73"/>
      <c r="IT1510" s="73"/>
      <c r="IU1510" s="73"/>
      <c r="IV1510" s="73"/>
      <c r="IW1510" s="73"/>
      <c r="IX1510" s="73"/>
      <c r="IY1510" s="73"/>
      <c r="IZ1510" s="73"/>
      <c r="JA1510" s="73"/>
      <c r="JB1510" s="73"/>
      <c r="JC1510" s="73"/>
    </row>
    <row r="1511" spans="2:263" s="72" customFormat="1">
      <c r="B1511" s="73"/>
      <c r="C1511" s="73"/>
      <c r="D1511" s="73"/>
      <c r="E1511" s="73"/>
      <c r="F1511" s="73"/>
      <c r="G1511" s="73"/>
      <c r="H1511" s="73"/>
      <c r="I1511" s="73"/>
      <c r="J1511" s="73"/>
      <c r="K1511" s="73"/>
      <c r="L1511" s="73"/>
      <c r="M1511" s="73"/>
      <c r="N1511" s="73"/>
      <c r="O1511" s="73"/>
      <c r="P1511" s="73"/>
      <c r="Q1511" s="73"/>
      <c r="R1511" s="73"/>
      <c r="S1511" s="73"/>
      <c r="T1511" s="73"/>
      <c r="U1511" s="73"/>
      <c r="V1511" s="73"/>
      <c r="W1511" s="73"/>
      <c r="GL1511" s="73"/>
      <c r="GM1511" s="73"/>
      <c r="GN1511" s="73"/>
      <c r="GO1511" s="73"/>
      <c r="GP1511" s="73"/>
      <c r="GQ1511" s="73"/>
      <c r="GR1511" s="73"/>
      <c r="GS1511" s="73"/>
      <c r="GT1511" s="73"/>
      <c r="GU1511" s="73"/>
      <c r="GV1511" s="73"/>
      <c r="GW1511" s="73"/>
      <c r="GX1511" s="73"/>
      <c r="GY1511" s="73"/>
      <c r="GZ1511" s="73"/>
      <c r="HA1511" s="73"/>
      <c r="HB1511" s="73"/>
      <c r="HC1511" s="73"/>
      <c r="HD1511" s="73"/>
      <c r="HE1511" s="73"/>
      <c r="HF1511" s="73"/>
      <c r="HG1511" s="73"/>
      <c r="HH1511" s="73"/>
      <c r="HI1511" s="73"/>
      <c r="HJ1511" s="73"/>
      <c r="HK1511" s="73"/>
      <c r="HL1511" s="73"/>
      <c r="HM1511" s="73"/>
      <c r="HN1511" s="73"/>
      <c r="HO1511" s="73"/>
      <c r="HP1511" s="73"/>
      <c r="HQ1511" s="73"/>
      <c r="HR1511" s="73"/>
      <c r="HS1511" s="73"/>
      <c r="HT1511" s="73"/>
      <c r="HU1511" s="73"/>
      <c r="HV1511" s="73"/>
      <c r="HW1511" s="73"/>
      <c r="HX1511" s="73"/>
      <c r="HY1511" s="73"/>
      <c r="HZ1511" s="73"/>
      <c r="IA1511" s="73"/>
      <c r="IB1511" s="73"/>
      <c r="IC1511" s="73"/>
      <c r="ID1511" s="73"/>
      <c r="IE1511" s="73"/>
      <c r="IF1511" s="73"/>
      <c r="IG1511" s="73"/>
      <c r="IH1511" s="73"/>
      <c r="II1511" s="73"/>
      <c r="IJ1511" s="73"/>
      <c r="IK1511" s="73"/>
      <c r="IL1511" s="73"/>
      <c r="IM1511" s="73"/>
      <c r="IN1511" s="73"/>
      <c r="IO1511" s="73"/>
      <c r="IP1511" s="73"/>
      <c r="IQ1511" s="73"/>
      <c r="IR1511" s="73"/>
      <c r="IS1511" s="73"/>
      <c r="IT1511" s="73"/>
      <c r="IU1511" s="73"/>
      <c r="IV1511" s="73"/>
      <c r="IW1511" s="73"/>
      <c r="IX1511" s="73"/>
      <c r="IY1511" s="73"/>
      <c r="IZ1511" s="73"/>
      <c r="JA1511" s="73"/>
      <c r="JB1511" s="73"/>
      <c r="JC1511" s="73"/>
    </row>
    <row r="1512" spans="2:263" s="72" customFormat="1">
      <c r="B1512" s="73"/>
      <c r="C1512" s="73"/>
      <c r="D1512" s="73"/>
      <c r="E1512" s="73"/>
      <c r="F1512" s="73"/>
      <c r="G1512" s="73"/>
      <c r="H1512" s="73"/>
      <c r="I1512" s="73"/>
      <c r="J1512" s="73"/>
      <c r="K1512" s="73"/>
      <c r="L1512" s="73"/>
      <c r="M1512" s="73"/>
      <c r="N1512" s="73"/>
      <c r="O1512" s="73"/>
      <c r="P1512" s="73"/>
      <c r="Q1512" s="73"/>
      <c r="R1512" s="73"/>
      <c r="S1512" s="73"/>
      <c r="T1512" s="73"/>
      <c r="U1512" s="73"/>
      <c r="V1512" s="73"/>
      <c r="W1512" s="73"/>
      <c r="GL1512" s="73"/>
      <c r="GM1512" s="73"/>
      <c r="GN1512" s="73"/>
      <c r="GO1512" s="73"/>
      <c r="GP1512" s="73"/>
      <c r="GQ1512" s="73"/>
      <c r="GR1512" s="73"/>
      <c r="GS1512" s="73"/>
      <c r="GT1512" s="73"/>
      <c r="GU1512" s="73"/>
      <c r="GV1512" s="73"/>
      <c r="GW1512" s="73"/>
      <c r="GX1512" s="73"/>
      <c r="GY1512" s="73"/>
      <c r="GZ1512" s="73"/>
      <c r="HA1512" s="73"/>
      <c r="HB1512" s="73"/>
      <c r="HC1512" s="73"/>
      <c r="HD1512" s="73"/>
      <c r="HE1512" s="73"/>
      <c r="HF1512" s="73"/>
      <c r="HG1512" s="73"/>
      <c r="HH1512" s="73"/>
      <c r="HI1512" s="73"/>
      <c r="HJ1512" s="73"/>
      <c r="HK1512" s="73"/>
      <c r="HL1512" s="73"/>
      <c r="HM1512" s="73"/>
      <c r="HN1512" s="73"/>
      <c r="HO1512" s="73"/>
      <c r="HP1512" s="73"/>
      <c r="HQ1512" s="73"/>
      <c r="HR1512" s="73"/>
      <c r="HS1512" s="73"/>
      <c r="HT1512" s="73"/>
      <c r="HU1512" s="73"/>
      <c r="HV1512" s="73"/>
      <c r="HW1512" s="73"/>
      <c r="HX1512" s="73"/>
      <c r="HY1512" s="73"/>
      <c r="HZ1512" s="73"/>
      <c r="IA1512" s="73"/>
      <c r="IB1512" s="73"/>
      <c r="IC1512" s="73"/>
      <c r="ID1512" s="73"/>
      <c r="IE1512" s="73"/>
      <c r="IF1512" s="73"/>
      <c r="IG1512" s="73"/>
      <c r="IH1512" s="73"/>
      <c r="II1512" s="73"/>
      <c r="IJ1512" s="73"/>
      <c r="IK1512" s="73"/>
      <c r="IL1512" s="73"/>
      <c r="IM1512" s="73"/>
      <c r="IN1512" s="73"/>
      <c r="IO1512" s="73"/>
      <c r="IP1512" s="73"/>
      <c r="IQ1512" s="73"/>
      <c r="IR1512" s="73"/>
      <c r="IS1512" s="73"/>
      <c r="IT1512" s="73"/>
      <c r="IU1512" s="73"/>
      <c r="IV1512" s="73"/>
      <c r="IW1512" s="73"/>
      <c r="IX1512" s="73"/>
      <c r="IY1512" s="73"/>
      <c r="IZ1512" s="73"/>
      <c r="JA1512" s="73"/>
      <c r="JB1512" s="73"/>
      <c r="JC1512" s="73"/>
    </row>
    <row r="1513" spans="2:263" s="72" customFormat="1">
      <c r="B1513" s="73"/>
      <c r="C1513" s="73"/>
      <c r="D1513" s="73"/>
      <c r="E1513" s="73"/>
      <c r="F1513" s="73"/>
      <c r="G1513" s="73"/>
      <c r="H1513" s="73"/>
      <c r="I1513" s="73"/>
      <c r="J1513" s="73"/>
      <c r="K1513" s="73"/>
      <c r="L1513" s="73"/>
      <c r="M1513" s="73"/>
      <c r="N1513" s="73"/>
      <c r="O1513" s="73"/>
      <c r="P1513" s="73"/>
      <c r="Q1513" s="73"/>
      <c r="R1513" s="73"/>
      <c r="S1513" s="73"/>
      <c r="T1513" s="73"/>
      <c r="U1513" s="73"/>
      <c r="V1513" s="73"/>
      <c r="W1513" s="73"/>
      <c r="GL1513" s="73"/>
      <c r="GM1513" s="73"/>
      <c r="GN1513" s="73"/>
      <c r="GO1513" s="73"/>
      <c r="GP1513" s="73"/>
      <c r="GQ1513" s="73"/>
      <c r="GR1513" s="73"/>
      <c r="GS1513" s="73"/>
      <c r="GT1513" s="73"/>
      <c r="GU1513" s="73"/>
      <c r="GV1513" s="73"/>
      <c r="GW1513" s="73"/>
      <c r="GX1513" s="73"/>
      <c r="GY1513" s="73"/>
      <c r="GZ1513" s="73"/>
      <c r="HA1513" s="73"/>
      <c r="HB1513" s="73"/>
      <c r="HC1513" s="73"/>
      <c r="HD1513" s="73"/>
      <c r="HE1513" s="73"/>
      <c r="HF1513" s="73"/>
      <c r="HG1513" s="73"/>
      <c r="HH1513" s="73"/>
      <c r="HI1513" s="73"/>
      <c r="HJ1513" s="73"/>
      <c r="HK1513" s="73"/>
      <c r="HL1513" s="73"/>
      <c r="HM1513" s="73"/>
      <c r="HN1513" s="73"/>
      <c r="HO1513" s="73"/>
      <c r="HP1513" s="73"/>
      <c r="HQ1513" s="73"/>
      <c r="HR1513" s="73"/>
      <c r="HS1513" s="73"/>
      <c r="HT1513" s="73"/>
      <c r="HU1513" s="73"/>
      <c r="HV1513" s="73"/>
      <c r="HW1513" s="73"/>
      <c r="HX1513" s="73"/>
      <c r="HY1513" s="73"/>
      <c r="HZ1513" s="73"/>
      <c r="IA1513" s="73"/>
      <c r="IB1513" s="73"/>
      <c r="IC1513" s="73"/>
      <c r="ID1513" s="73"/>
      <c r="IE1513" s="73"/>
      <c r="IF1513" s="73"/>
      <c r="IG1513" s="73"/>
      <c r="IH1513" s="73"/>
      <c r="II1513" s="73"/>
      <c r="IJ1513" s="73"/>
      <c r="IK1513" s="73"/>
      <c r="IL1513" s="73"/>
      <c r="IM1513" s="73"/>
      <c r="IN1513" s="73"/>
      <c r="IO1513" s="73"/>
      <c r="IP1513" s="73"/>
      <c r="IQ1513" s="73"/>
      <c r="IR1513" s="73"/>
      <c r="IS1513" s="73"/>
      <c r="IT1513" s="73"/>
      <c r="IU1513" s="73"/>
      <c r="IV1513" s="73"/>
      <c r="IW1513" s="73"/>
      <c r="IX1513" s="73"/>
      <c r="IY1513" s="73"/>
      <c r="IZ1513" s="73"/>
      <c r="JA1513" s="73"/>
      <c r="JB1513" s="73"/>
      <c r="JC1513" s="73"/>
    </row>
    <row r="1514" spans="2:263" s="72" customFormat="1">
      <c r="B1514" s="73"/>
      <c r="C1514" s="73"/>
      <c r="D1514" s="73"/>
      <c r="E1514" s="73"/>
      <c r="F1514" s="73"/>
      <c r="G1514" s="73"/>
      <c r="H1514" s="73"/>
      <c r="I1514" s="73"/>
      <c r="J1514" s="73"/>
      <c r="K1514" s="73"/>
      <c r="L1514" s="73"/>
      <c r="M1514" s="73"/>
      <c r="N1514" s="73"/>
      <c r="O1514" s="73"/>
      <c r="P1514" s="73"/>
      <c r="Q1514" s="73"/>
      <c r="R1514" s="73"/>
      <c r="S1514" s="73"/>
      <c r="T1514" s="73"/>
      <c r="U1514" s="73"/>
      <c r="V1514" s="73"/>
      <c r="W1514" s="73"/>
      <c r="GL1514" s="73"/>
      <c r="GM1514" s="73"/>
      <c r="GN1514" s="73"/>
      <c r="GO1514" s="73"/>
      <c r="GP1514" s="73"/>
      <c r="GQ1514" s="73"/>
      <c r="GR1514" s="73"/>
      <c r="GS1514" s="73"/>
      <c r="GT1514" s="73"/>
      <c r="GU1514" s="73"/>
      <c r="GV1514" s="73"/>
      <c r="GW1514" s="73"/>
      <c r="GX1514" s="73"/>
      <c r="GY1514" s="73"/>
      <c r="GZ1514" s="73"/>
      <c r="HA1514" s="73"/>
      <c r="HB1514" s="73"/>
      <c r="HC1514" s="73"/>
      <c r="HD1514" s="73"/>
      <c r="HE1514" s="73"/>
      <c r="HF1514" s="73"/>
      <c r="HG1514" s="73"/>
      <c r="HH1514" s="73"/>
      <c r="HI1514" s="73"/>
      <c r="HJ1514" s="73"/>
      <c r="HK1514" s="73"/>
      <c r="HL1514" s="73"/>
      <c r="HM1514" s="73"/>
      <c r="HN1514" s="73"/>
      <c r="HO1514" s="73"/>
      <c r="HP1514" s="73"/>
      <c r="HQ1514" s="73"/>
      <c r="HR1514" s="73"/>
      <c r="HS1514" s="73"/>
      <c r="HT1514" s="73"/>
      <c r="HU1514" s="73"/>
      <c r="HV1514" s="73"/>
      <c r="HW1514" s="73"/>
      <c r="HX1514" s="73"/>
      <c r="HY1514" s="73"/>
      <c r="HZ1514" s="73"/>
      <c r="IA1514" s="73"/>
      <c r="IB1514" s="73"/>
      <c r="IC1514" s="73"/>
      <c r="ID1514" s="73"/>
      <c r="IE1514" s="73"/>
      <c r="IF1514" s="73"/>
      <c r="IG1514" s="73"/>
      <c r="IH1514" s="73"/>
      <c r="II1514" s="73"/>
      <c r="IJ1514" s="73"/>
      <c r="IK1514" s="73"/>
      <c r="IL1514" s="73"/>
      <c r="IM1514" s="73"/>
      <c r="IN1514" s="73"/>
      <c r="IO1514" s="73"/>
      <c r="IP1514" s="73"/>
      <c r="IQ1514" s="73"/>
      <c r="IR1514" s="73"/>
      <c r="IS1514" s="73"/>
      <c r="IT1514" s="73"/>
      <c r="IU1514" s="73"/>
      <c r="IV1514" s="73"/>
      <c r="IW1514" s="73"/>
      <c r="IX1514" s="73"/>
      <c r="IY1514" s="73"/>
      <c r="IZ1514" s="73"/>
      <c r="JA1514" s="73"/>
      <c r="JB1514" s="73"/>
      <c r="JC1514" s="73"/>
    </row>
    <row r="1515" spans="2:263" s="72" customFormat="1">
      <c r="B1515" s="73"/>
      <c r="C1515" s="73"/>
      <c r="D1515" s="73"/>
      <c r="E1515" s="73"/>
      <c r="F1515" s="73"/>
      <c r="G1515" s="73"/>
      <c r="H1515" s="73"/>
      <c r="I1515" s="73"/>
      <c r="J1515" s="73"/>
      <c r="K1515" s="73"/>
      <c r="L1515" s="73"/>
      <c r="M1515" s="73"/>
      <c r="N1515" s="73"/>
      <c r="O1515" s="73"/>
      <c r="P1515" s="73"/>
      <c r="Q1515" s="73"/>
      <c r="R1515" s="73"/>
      <c r="S1515" s="73"/>
      <c r="T1515" s="73"/>
      <c r="U1515" s="73"/>
      <c r="V1515" s="73"/>
      <c r="W1515" s="73"/>
      <c r="GL1515" s="73"/>
      <c r="GM1515" s="73"/>
      <c r="GN1515" s="73"/>
      <c r="GO1515" s="73"/>
      <c r="GP1515" s="73"/>
      <c r="GQ1515" s="73"/>
      <c r="GR1515" s="73"/>
      <c r="GS1515" s="73"/>
      <c r="GT1515" s="73"/>
      <c r="GU1515" s="73"/>
      <c r="GV1515" s="73"/>
      <c r="GW1515" s="73"/>
      <c r="GX1515" s="73"/>
      <c r="GY1515" s="73"/>
      <c r="GZ1515" s="73"/>
      <c r="HA1515" s="73"/>
      <c r="HB1515" s="73"/>
      <c r="HC1515" s="73"/>
      <c r="HD1515" s="73"/>
      <c r="HE1515" s="73"/>
      <c r="HF1515" s="73"/>
      <c r="HG1515" s="73"/>
      <c r="HH1515" s="73"/>
      <c r="HI1515" s="73"/>
      <c r="HJ1515" s="73"/>
      <c r="HK1515" s="73"/>
      <c r="HL1515" s="73"/>
      <c r="HM1515" s="73"/>
      <c r="HN1515" s="73"/>
      <c r="HO1515" s="73"/>
      <c r="HP1515" s="73"/>
      <c r="HQ1515" s="73"/>
      <c r="HR1515" s="73"/>
      <c r="HS1515" s="73"/>
      <c r="HT1515" s="73"/>
      <c r="HU1515" s="73"/>
      <c r="HV1515" s="73"/>
      <c r="HW1515" s="73"/>
      <c r="HX1515" s="73"/>
      <c r="HY1515" s="73"/>
      <c r="HZ1515" s="73"/>
      <c r="IA1515" s="73"/>
      <c r="IB1515" s="73"/>
      <c r="IC1515" s="73"/>
      <c r="ID1515" s="73"/>
      <c r="IE1515" s="73"/>
      <c r="IF1515" s="73"/>
      <c r="IG1515" s="73"/>
      <c r="IH1515" s="73"/>
      <c r="II1515" s="73"/>
      <c r="IJ1515" s="73"/>
      <c r="IK1515" s="73"/>
      <c r="IL1515" s="73"/>
      <c r="IM1515" s="73"/>
      <c r="IN1515" s="73"/>
      <c r="IO1515" s="73"/>
      <c r="IP1515" s="73"/>
      <c r="IQ1515" s="73"/>
      <c r="IR1515" s="73"/>
      <c r="IS1515" s="73"/>
      <c r="IT1515" s="73"/>
      <c r="IU1515" s="73"/>
      <c r="IV1515" s="73"/>
      <c r="IW1515" s="73"/>
      <c r="IX1515" s="73"/>
      <c r="IY1515" s="73"/>
      <c r="IZ1515" s="73"/>
      <c r="JA1515" s="73"/>
      <c r="JB1515" s="73"/>
      <c r="JC1515" s="73"/>
    </row>
    <row r="1516" spans="2:263" s="72" customFormat="1">
      <c r="B1516" s="73"/>
      <c r="C1516" s="73"/>
      <c r="D1516" s="73"/>
      <c r="E1516" s="73"/>
      <c r="F1516" s="73"/>
      <c r="G1516" s="73"/>
      <c r="H1516" s="73"/>
      <c r="I1516" s="73"/>
      <c r="J1516" s="73"/>
      <c r="K1516" s="73"/>
      <c r="L1516" s="73"/>
      <c r="M1516" s="73"/>
      <c r="N1516" s="73"/>
      <c r="O1516" s="73"/>
      <c r="P1516" s="73"/>
      <c r="Q1516" s="73"/>
      <c r="R1516" s="73"/>
      <c r="S1516" s="73"/>
      <c r="T1516" s="73"/>
      <c r="U1516" s="73"/>
      <c r="V1516" s="73"/>
      <c r="W1516" s="73"/>
      <c r="GL1516" s="73"/>
      <c r="GM1516" s="73"/>
      <c r="GN1516" s="73"/>
      <c r="GO1516" s="73"/>
      <c r="GP1516" s="73"/>
      <c r="GQ1516" s="73"/>
      <c r="GR1516" s="73"/>
      <c r="GS1516" s="73"/>
      <c r="GT1516" s="73"/>
      <c r="GU1516" s="73"/>
      <c r="GV1516" s="73"/>
      <c r="GW1516" s="73"/>
      <c r="GX1516" s="73"/>
      <c r="GY1516" s="73"/>
      <c r="GZ1516" s="73"/>
      <c r="HA1516" s="73"/>
      <c r="HB1516" s="73"/>
      <c r="HC1516" s="73"/>
      <c r="HD1516" s="73"/>
      <c r="HE1516" s="73"/>
      <c r="HF1516" s="73"/>
      <c r="HG1516" s="73"/>
      <c r="HH1516" s="73"/>
      <c r="HI1516" s="73"/>
      <c r="HJ1516" s="73"/>
      <c r="HK1516" s="73"/>
      <c r="HL1516" s="73"/>
      <c r="HM1516" s="73"/>
      <c r="HN1516" s="73"/>
      <c r="HO1516" s="73"/>
      <c r="HP1516" s="73"/>
      <c r="HQ1516" s="73"/>
      <c r="HR1516" s="73"/>
      <c r="HS1516" s="73"/>
      <c r="HT1516" s="73"/>
      <c r="HU1516" s="73"/>
      <c r="HV1516" s="73"/>
      <c r="HW1516" s="73"/>
      <c r="HX1516" s="73"/>
      <c r="HY1516" s="73"/>
      <c r="HZ1516" s="73"/>
      <c r="IA1516" s="73"/>
      <c r="IB1516" s="73"/>
      <c r="IC1516" s="73"/>
      <c r="ID1516" s="73"/>
      <c r="IE1516" s="73"/>
      <c r="IF1516" s="73"/>
      <c r="IG1516" s="73"/>
      <c r="IH1516" s="73"/>
      <c r="II1516" s="73"/>
      <c r="IJ1516" s="73"/>
      <c r="IK1516" s="73"/>
      <c r="IL1516" s="73"/>
      <c r="IM1516" s="73"/>
      <c r="IN1516" s="73"/>
      <c r="IO1516" s="73"/>
      <c r="IP1516" s="73"/>
      <c r="IQ1516" s="73"/>
      <c r="IR1516" s="73"/>
      <c r="IS1516" s="73"/>
      <c r="IT1516" s="73"/>
      <c r="IU1516" s="73"/>
      <c r="IV1516" s="73"/>
      <c r="IW1516" s="73"/>
      <c r="IX1516" s="73"/>
      <c r="IY1516" s="73"/>
      <c r="IZ1516" s="73"/>
      <c r="JA1516" s="73"/>
      <c r="JB1516" s="73"/>
      <c r="JC1516" s="73"/>
    </row>
    <row r="1517" spans="2:263" s="72" customFormat="1">
      <c r="B1517" s="73"/>
      <c r="C1517" s="73"/>
      <c r="D1517" s="73"/>
      <c r="E1517" s="73"/>
      <c r="F1517" s="73"/>
      <c r="G1517" s="73"/>
      <c r="H1517" s="73"/>
      <c r="I1517" s="73"/>
      <c r="J1517" s="73"/>
      <c r="K1517" s="73"/>
      <c r="L1517" s="73"/>
      <c r="M1517" s="73"/>
      <c r="N1517" s="73"/>
      <c r="O1517" s="73"/>
      <c r="P1517" s="73"/>
      <c r="Q1517" s="73"/>
      <c r="R1517" s="73"/>
      <c r="S1517" s="73"/>
      <c r="T1517" s="73"/>
      <c r="U1517" s="73"/>
      <c r="V1517" s="73"/>
      <c r="W1517" s="73"/>
      <c r="GL1517" s="73"/>
      <c r="GM1517" s="73"/>
      <c r="GN1517" s="73"/>
      <c r="GO1517" s="73"/>
      <c r="GP1517" s="73"/>
      <c r="GQ1517" s="73"/>
      <c r="GR1517" s="73"/>
      <c r="GS1517" s="73"/>
      <c r="GT1517" s="73"/>
      <c r="GU1517" s="73"/>
      <c r="GV1517" s="73"/>
      <c r="GW1517" s="73"/>
      <c r="GX1517" s="73"/>
      <c r="GY1517" s="73"/>
      <c r="GZ1517" s="73"/>
      <c r="HA1517" s="73"/>
      <c r="HB1517" s="73"/>
      <c r="HC1517" s="73"/>
      <c r="HD1517" s="73"/>
      <c r="HE1517" s="73"/>
      <c r="HF1517" s="73"/>
      <c r="HG1517" s="73"/>
      <c r="HH1517" s="73"/>
      <c r="HI1517" s="73"/>
      <c r="HJ1517" s="73"/>
      <c r="HK1517" s="73"/>
      <c r="HL1517" s="73"/>
      <c r="HM1517" s="73"/>
      <c r="HN1517" s="73"/>
      <c r="HO1517" s="73"/>
      <c r="HP1517" s="73"/>
      <c r="HQ1517" s="73"/>
      <c r="HR1517" s="73"/>
      <c r="HS1517" s="73"/>
      <c r="HT1517" s="73"/>
      <c r="HU1517" s="73"/>
      <c r="HV1517" s="73"/>
      <c r="HW1517" s="73"/>
      <c r="HX1517" s="73"/>
      <c r="HY1517" s="73"/>
      <c r="HZ1517" s="73"/>
      <c r="IA1517" s="73"/>
      <c r="IB1517" s="73"/>
      <c r="IC1517" s="73"/>
      <c r="ID1517" s="73"/>
      <c r="IE1517" s="73"/>
      <c r="IF1517" s="73"/>
      <c r="IG1517" s="73"/>
      <c r="IH1517" s="73"/>
      <c r="II1517" s="73"/>
      <c r="IJ1517" s="73"/>
      <c r="IK1517" s="73"/>
      <c r="IL1517" s="73"/>
      <c r="IM1517" s="73"/>
      <c r="IN1517" s="73"/>
      <c r="IO1517" s="73"/>
      <c r="IP1517" s="73"/>
      <c r="IQ1517" s="73"/>
      <c r="IR1517" s="73"/>
      <c r="IS1517" s="73"/>
      <c r="IT1517" s="73"/>
      <c r="IU1517" s="73"/>
      <c r="IV1517" s="73"/>
      <c r="IW1517" s="73"/>
      <c r="IX1517" s="73"/>
      <c r="IY1517" s="73"/>
      <c r="IZ1517" s="73"/>
      <c r="JA1517" s="73"/>
      <c r="JB1517" s="73"/>
      <c r="JC1517" s="73"/>
    </row>
    <row r="1518" spans="2:263" s="72" customFormat="1">
      <c r="B1518" s="73"/>
      <c r="C1518" s="73"/>
      <c r="D1518" s="73"/>
      <c r="E1518" s="73"/>
      <c r="F1518" s="73"/>
      <c r="G1518" s="73"/>
      <c r="H1518" s="73"/>
      <c r="I1518" s="73"/>
      <c r="J1518" s="73"/>
      <c r="K1518" s="73"/>
      <c r="L1518" s="73"/>
      <c r="M1518" s="73"/>
      <c r="N1518" s="73"/>
      <c r="O1518" s="73"/>
      <c r="P1518" s="73"/>
      <c r="Q1518" s="73"/>
      <c r="R1518" s="73"/>
      <c r="S1518" s="73"/>
      <c r="T1518" s="73"/>
      <c r="U1518" s="73"/>
      <c r="V1518" s="73"/>
      <c r="W1518" s="73"/>
      <c r="GL1518" s="73"/>
      <c r="GM1518" s="73"/>
      <c r="GN1518" s="73"/>
      <c r="GO1518" s="73"/>
      <c r="GP1518" s="73"/>
      <c r="GQ1518" s="73"/>
      <c r="GR1518" s="73"/>
      <c r="GS1518" s="73"/>
      <c r="GT1518" s="73"/>
      <c r="GU1518" s="73"/>
      <c r="GV1518" s="73"/>
      <c r="GW1518" s="73"/>
      <c r="GX1518" s="73"/>
      <c r="GY1518" s="73"/>
      <c r="GZ1518" s="73"/>
      <c r="HA1518" s="73"/>
      <c r="HB1518" s="73"/>
      <c r="HC1518" s="73"/>
      <c r="HD1518" s="73"/>
      <c r="HE1518" s="73"/>
      <c r="HF1518" s="73"/>
      <c r="HG1518" s="73"/>
      <c r="HH1518" s="73"/>
      <c r="HI1518" s="73"/>
      <c r="HJ1518" s="73"/>
      <c r="HK1518" s="73"/>
      <c r="HL1518" s="73"/>
      <c r="HM1518" s="73"/>
      <c r="HN1518" s="73"/>
      <c r="HO1518" s="73"/>
      <c r="HP1518" s="73"/>
      <c r="HQ1518" s="73"/>
      <c r="HR1518" s="73"/>
      <c r="HS1518" s="73"/>
      <c r="HT1518" s="73"/>
      <c r="HU1518" s="73"/>
      <c r="HV1518" s="73"/>
      <c r="HW1518" s="73"/>
      <c r="HX1518" s="73"/>
      <c r="HY1518" s="73"/>
      <c r="HZ1518" s="73"/>
      <c r="IA1518" s="73"/>
      <c r="IB1518" s="73"/>
      <c r="IC1518" s="73"/>
      <c r="ID1518" s="73"/>
      <c r="IE1518" s="73"/>
      <c r="IF1518" s="73"/>
      <c r="IG1518" s="73"/>
      <c r="IH1518" s="73"/>
      <c r="II1518" s="73"/>
      <c r="IJ1518" s="73"/>
      <c r="IK1518" s="73"/>
      <c r="IL1518" s="73"/>
      <c r="IM1518" s="73"/>
      <c r="IN1518" s="73"/>
      <c r="IO1518" s="73"/>
      <c r="IP1518" s="73"/>
      <c r="IQ1518" s="73"/>
      <c r="IR1518" s="73"/>
      <c r="IS1518" s="73"/>
      <c r="IT1518" s="73"/>
      <c r="IU1518" s="73"/>
      <c r="IV1518" s="73"/>
      <c r="IW1518" s="73"/>
      <c r="IX1518" s="73"/>
      <c r="IY1518" s="73"/>
      <c r="IZ1518" s="73"/>
      <c r="JA1518" s="73"/>
      <c r="JB1518" s="73"/>
      <c r="JC1518" s="73"/>
    </row>
    <row r="1519" spans="2:263" s="72" customFormat="1">
      <c r="B1519" s="73"/>
      <c r="C1519" s="73"/>
      <c r="D1519" s="73"/>
      <c r="E1519" s="73"/>
      <c r="F1519" s="73"/>
      <c r="G1519" s="73"/>
      <c r="H1519" s="73"/>
      <c r="I1519" s="73"/>
      <c r="J1519" s="73"/>
      <c r="K1519" s="73"/>
      <c r="L1519" s="73"/>
      <c r="M1519" s="73"/>
      <c r="N1519" s="73"/>
      <c r="O1519" s="73"/>
      <c r="P1519" s="73"/>
      <c r="Q1519" s="73"/>
      <c r="R1519" s="73"/>
      <c r="S1519" s="73"/>
      <c r="T1519" s="73"/>
      <c r="U1519" s="73"/>
      <c r="V1519" s="73"/>
      <c r="W1519" s="73"/>
      <c r="GL1519" s="73"/>
      <c r="GM1519" s="73"/>
      <c r="GN1519" s="73"/>
      <c r="GO1519" s="73"/>
      <c r="GP1519" s="73"/>
      <c r="GQ1519" s="73"/>
      <c r="GR1519" s="73"/>
      <c r="GS1519" s="73"/>
      <c r="GT1519" s="73"/>
      <c r="GU1519" s="73"/>
      <c r="GV1519" s="73"/>
      <c r="GW1519" s="73"/>
      <c r="GX1519" s="73"/>
      <c r="GY1519" s="73"/>
      <c r="GZ1519" s="73"/>
      <c r="HA1519" s="73"/>
      <c r="HB1519" s="73"/>
      <c r="HC1519" s="73"/>
      <c r="HD1519" s="73"/>
      <c r="HE1519" s="73"/>
      <c r="HF1519" s="73"/>
      <c r="HG1519" s="73"/>
      <c r="HH1519" s="73"/>
      <c r="HI1519" s="73"/>
      <c r="HJ1519" s="73"/>
      <c r="HK1519" s="73"/>
      <c r="HL1519" s="73"/>
      <c r="HM1519" s="73"/>
      <c r="HN1519" s="73"/>
      <c r="HO1519" s="73"/>
      <c r="HP1519" s="73"/>
      <c r="HQ1519" s="73"/>
      <c r="HR1519" s="73"/>
      <c r="HS1519" s="73"/>
      <c r="HT1519" s="73"/>
      <c r="HU1519" s="73"/>
      <c r="HV1519" s="73"/>
      <c r="HW1519" s="73"/>
      <c r="HX1519" s="73"/>
      <c r="HY1519" s="73"/>
      <c r="HZ1519" s="73"/>
      <c r="IA1519" s="73"/>
      <c r="IB1519" s="73"/>
      <c r="IC1519" s="73"/>
      <c r="ID1519" s="73"/>
      <c r="IE1519" s="73"/>
      <c r="IF1519" s="73"/>
      <c r="IG1519" s="73"/>
      <c r="IH1519" s="73"/>
      <c r="II1519" s="73"/>
      <c r="IJ1519" s="73"/>
      <c r="IK1519" s="73"/>
      <c r="IL1519" s="73"/>
      <c r="IM1519" s="73"/>
      <c r="IN1519" s="73"/>
      <c r="IO1519" s="73"/>
      <c r="IP1519" s="73"/>
      <c r="IQ1519" s="73"/>
      <c r="IR1519" s="73"/>
      <c r="IS1519" s="73"/>
      <c r="IT1519" s="73"/>
      <c r="IU1519" s="73"/>
      <c r="IV1519" s="73"/>
      <c r="IW1519" s="73"/>
      <c r="IX1519" s="73"/>
      <c r="IY1519" s="73"/>
      <c r="IZ1519" s="73"/>
      <c r="JA1519" s="73"/>
      <c r="JB1519" s="73"/>
      <c r="JC1519" s="73"/>
    </row>
    <row r="1520" spans="2:263" s="72" customFormat="1">
      <c r="B1520" s="73"/>
      <c r="C1520" s="73"/>
      <c r="D1520" s="73"/>
      <c r="E1520" s="73"/>
      <c r="F1520" s="73"/>
      <c r="G1520" s="73"/>
      <c r="H1520" s="73"/>
      <c r="I1520" s="73"/>
      <c r="J1520" s="73"/>
      <c r="K1520" s="73"/>
      <c r="L1520" s="73"/>
      <c r="M1520" s="73"/>
      <c r="N1520" s="73"/>
      <c r="O1520" s="73"/>
      <c r="P1520" s="73"/>
      <c r="Q1520" s="73"/>
      <c r="R1520" s="73"/>
      <c r="S1520" s="73"/>
      <c r="T1520" s="73"/>
      <c r="U1520" s="73"/>
      <c r="V1520" s="73"/>
      <c r="W1520" s="73"/>
      <c r="GL1520" s="73"/>
      <c r="GM1520" s="73"/>
      <c r="GN1520" s="73"/>
      <c r="GO1520" s="73"/>
      <c r="GP1520" s="73"/>
      <c r="GQ1520" s="73"/>
      <c r="GR1520" s="73"/>
      <c r="GS1520" s="73"/>
      <c r="GT1520" s="73"/>
      <c r="GU1520" s="73"/>
      <c r="GV1520" s="73"/>
      <c r="GW1520" s="73"/>
      <c r="GX1520" s="73"/>
      <c r="GY1520" s="73"/>
      <c r="GZ1520" s="73"/>
      <c r="HA1520" s="73"/>
      <c r="HB1520" s="73"/>
      <c r="HC1520" s="73"/>
      <c r="HD1520" s="73"/>
      <c r="HE1520" s="73"/>
      <c r="HF1520" s="73"/>
      <c r="HG1520" s="73"/>
      <c r="HH1520" s="73"/>
      <c r="HI1520" s="73"/>
      <c r="HJ1520" s="73"/>
      <c r="HK1520" s="73"/>
      <c r="HL1520" s="73"/>
      <c r="HM1520" s="73"/>
      <c r="HN1520" s="73"/>
      <c r="HO1520" s="73"/>
      <c r="HP1520" s="73"/>
      <c r="HQ1520" s="73"/>
      <c r="HR1520" s="73"/>
      <c r="HS1520" s="73"/>
      <c r="HT1520" s="73"/>
      <c r="HU1520" s="73"/>
      <c r="HV1520" s="73"/>
      <c r="HW1520" s="73"/>
      <c r="HX1520" s="73"/>
      <c r="HY1520" s="73"/>
      <c r="HZ1520" s="73"/>
      <c r="IA1520" s="73"/>
      <c r="IB1520" s="73"/>
      <c r="IC1520" s="73"/>
      <c r="ID1520" s="73"/>
      <c r="IE1520" s="73"/>
      <c r="IF1520" s="73"/>
      <c r="IG1520" s="73"/>
      <c r="IH1520" s="73"/>
      <c r="II1520" s="73"/>
      <c r="IJ1520" s="73"/>
      <c r="IK1520" s="73"/>
      <c r="IL1520" s="73"/>
      <c r="IM1520" s="73"/>
      <c r="IN1520" s="73"/>
      <c r="IO1520" s="73"/>
      <c r="IP1520" s="73"/>
      <c r="IQ1520" s="73"/>
      <c r="IR1520" s="73"/>
      <c r="IS1520" s="73"/>
      <c r="IT1520" s="73"/>
      <c r="IU1520" s="73"/>
      <c r="IV1520" s="73"/>
      <c r="IW1520" s="73"/>
      <c r="IX1520" s="73"/>
      <c r="IY1520" s="73"/>
      <c r="IZ1520" s="73"/>
      <c r="JA1520" s="73"/>
      <c r="JB1520" s="73"/>
      <c r="JC1520" s="73"/>
    </row>
    <row r="1521" spans="2:263" s="72" customFormat="1">
      <c r="B1521" s="73"/>
      <c r="C1521" s="73"/>
      <c r="D1521" s="73"/>
      <c r="E1521" s="73"/>
      <c r="F1521" s="73"/>
      <c r="G1521" s="73"/>
      <c r="H1521" s="73"/>
      <c r="I1521" s="73"/>
      <c r="J1521" s="73"/>
      <c r="K1521" s="73"/>
      <c r="L1521" s="73"/>
      <c r="M1521" s="73"/>
      <c r="N1521" s="73"/>
      <c r="O1521" s="73"/>
      <c r="P1521" s="73"/>
      <c r="Q1521" s="73"/>
      <c r="R1521" s="73"/>
      <c r="S1521" s="73"/>
      <c r="T1521" s="73"/>
      <c r="U1521" s="73"/>
      <c r="V1521" s="73"/>
      <c r="W1521" s="73"/>
      <c r="GL1521" s="73"/>
      <c r="GM1521" s="73"/>
      <c r="GN1521" s="73"/>
      <c r="GO1521" s="73"/>
      <c r="GP1521" s="73"/>
      <c r="GQ1521" s="73"/>
      <c r="GR1521" s="73"/>
      <c r="GS1521" s="73"/>
      <c r="GT1521" s="73"/>
      <c r="GU1521" s="73"/>
      <c r="GV1521" s="73"/>
      <c r="GW1521" s="73"/>
      <c r="GX1521" s="73"/>
      <c r="GY1521" s="73"/>
      <c r="GZ1521" s="73"/>
      <c r="HA1521" s="73"/>
      <c r="HB1521" s="73"/>
      <c r="HC1521" s="73"/>
      <c r="HD1521" s="73"/>
      <c r="HE1521" s="73"/>
      <c r="HF1521" s="73"/>
      <c r="HG1521" s="73"/>
      <c r="HH1521" s="73"/>
      <c r="HI1521" s="73"/>
      <c r="HJ1521" s="73"/>
      <c r="HK1521" s="73"/>
      <c r="HL1521" s="73"/>
      <c r="HM1521" s="73"/>
      <c r="HN1521" s="73"/>
      <c r="HO1521" s="73"/>
      <c r="HP1521" s="73"/>
      <c r="HQ1521" s="73"/>
      <c r="HR1521" s="73"/>
      <c r="HS1521" s="73"/>
      <c r="HT1521" s="73"/>
      <c r="HU1521" s="73"/>
      <c r="HV1521" s="73"/>
      <c r="HW1521" s="73"/>
      <c r="HX1521" s="73"/>
      <c r="HY1521" s="73"/>
      <c r="HZ1521" s="73"/>
      <c r="IA1521" s="73"/>
      <c r="IB1521" s="73"/>
      <c r="IC1521" s="73"/>
      <c r="ID1521" s="73"/>
      <c r="IE1521" s="73"/>
      <c r="IF1521" s="73"/>
      <c r="IG1521" s="73"/>
      <c r="IH1521" s="73"/>
      <c r="II1521" s="73"/>
      <c r="IJ1521" s="73"/>
      <c r="IK1521" s="73"/>
      <c r="IL1521" s="73"/>
      <c r="IM1521" s="73"/>
      <c r="IN1521" s="73"/>
      <c r="IO1521" s="73"/>
      <c r="IP1521" s="73"/>
      <c r="IQ1521" s="73"/>
      <c r="IR1521" s="73"/>
      <c r="IS1521" s="73"/>
      <c r="IT1521" s="73"/>
      <c r="IU1521" s="73"/>
      <c r="IV1521" s="73"/>
      <c r="IW1521" s="73"/>
      <c r="IX1521" s="73"/>
      <c r="IY1521" s="73"/>
      <c r="IZ1521" s="73"/>
      <c r="JA1521" s="73"/>
      <c r="JB1521" s="73"/>
      <c r="JC1521" s="73"/>
    </row>
    <row r="1522" spans="2:263" s="72" customFormat="1">
      <c r="B1522" s="73"/>
      <c r="C1522" s="73"/>
      <c r="D1522" s="73"/>
      <c r="E1522" s="73"/>
      <c r="F1522" s="73"/>
      <c r="G1522" s="73"/>
      <c r="H1522" s="73"/>
      <c r="I1522" s="73"/>
      <c r="J1522" s="73"/>
      <c r="K1522" s="73"/>
      <c r="L1522" s="73"/>
      <c r="M1522" s="73"/>
      <c r="N1522" s="73"/>
      <c r="O1522" s="73"/>
      <c r="P1522" s="73"/>
      <c r="Q1522" s="73"/>
      <c r="R1522" s="73"/>
      <c r="S1522" s="73"/>
      <c r="T1522" s="73"/>
      <c r="U1522" s="73"/>
      <c r="V1522" s="73"/>
      <c r="W1522" s="73"/>
      <c r="GL1522" s="73"/>
      <c r="GM1522" s="73"/>
      <c r="GN1522" s="73"/>
      <c r="GO1522" s="73"/>
      <c r="GP1522" s="73"/>
      <c r="GQ1522" s="73"/>
      <c r="GR1522" s="73"/>
      <c r="GS1522" s="73"/>
      <c r="GT1522" s="73"/>
      <c r="GU1522" s="73"/>
      <c r="GV1522" s="73"/>
      <c r="GW1522" s="73"/>
      <c r="GX1522" s="73"/>
      <c r="GY1522" s="73"/>
      <c r="GZ1522" s="73"/>
      <c r="HA1522" s="73"/>
      <c r="HB1522" s="73"/>
      <c r="HC1522" s="73"/>
      <c r="HD1522" s="73"/>
      <c r="HE1522" s="73"/>
      <c r="HF1522" s="73"/>
      <c r="HG1522" s="73"/>
      <c r="HH1522" s="73"/>
      <c r="HI1522" s="73"/>
      <c r="HJ1522" s="73"/>
      <c r="HK1522" s="73"/>
      <c r="HL1522" s="73"/>
      <c r="HM1522" s="73"/>
      <c r="HN1522" s="73"/>
      <c r="HO1522" s="73"/>
      <c r="HP1522" s="73"/>
      <c r="HQ1522" s="73"/>
      <c r="HR1522" s="73"/>
      <c r="HS1522" s="73"/>
      <c r="HT1522" s="73"/>
      <c r="HU1522" s="73"/>
      <c r="HV1522" s="73"/>
      <c r="HW1522" s="73"/>
      <c r="HX1522" s="73"/>
      <c r="HY1522" s="73"/>
      <c r="HZ1522" s="73"/>
      <c r="IA1522" s="73"/>
      <c r="IB1522" s="73"/>
      <c r="IC1522" s="73"/>
      <c r="ID1522" s="73"/>
      <c r="IE1522" s="73"/>
      <c r="IF1522" s="73"/>
      <c r="IG1522" s="73"/>
      <c r="IH1522" s="73"/>
      <c r="II1522" s="73"/>
      <c r="IJ1522" s="73"/>
      <c r="IK1522" s="73"/>
      <c r="IL1522" s="73"/>
      <c r="IM1522" s="73"/>
      <c r="IN1522" s="73"/>
      <c r="IO1522" s="73"/>
      <c r="IP1522" s="73"/>
      <c r="IQ1522" s="73"/>
      <c r="IR1522" s="73"/>
      <c r="IS1522" s="73"/>
      <c r="IT1522" s="73"/>
      <c r="IU1522" s="73"/>
      <c r="IV1522" s="73"/>
      <c r="IW1522" s="73"/>
      <c r="IX1522" s="73"/>
      <c r="IY1522" s="73"/>
      <c r="IZ1522" s="73"/>
      <c r="JA1522" s="73"/>
      <c r="JB1522" s="73"/>
      <c r="JC1522" s="73"/>
    </row>
    <row r="1523" spans="2:263" s="72" customFormat="1">
      <c r="B1523" s="73"/>
      <c r="C1523" s="73"/>
      <c r="D1523" s="73"/>
      <c r="E1523" s="73"/>
      <c r="F1523" s="73"/>
      <c r="G1523" s="73"/>
      <c r="H1523" s="73"/>
      <c r="I1523" s="73"/>
      <c r="J1523" s="73"/>
      <c r="K1523" s="73"/>
      <c r="L1523" s="73"/>
      <c r="M1523" s="73"/>
      <c r="N1523" s="73"/>
      <c r="O1523" s="73"/>
      <c r="P1523" s="73"/>
      <c r="Q1523" s="73"/>
      <c r="R1523" s="73"/>
      <c r="S1523" s="73"/>
      <c r="T1523" s="73"/>
      <c r="U1523" s="73"/>
      <c r="V1523" s="73"/>
      <c r="W1523" s="73"/>
      <c r="GL1523" s="73"/>
      <c r="GM1523" s="73"/>
      <c r="GN1523" s="73"/>
      <c r="GO1523" s="73"/>
      <c r="GP1523" s="73"/>
      <c r="GQ1523" s="73"/>
      <c r="GR1523" s="73"/>
      <c r="GS1523" s="73"/>
      <c r="GT1523" s="73"/>
      <c r="GU1523" s="73"/>
      <c r="GV1523" s="73"/>
      <c r="GW1523" s="73"/>
      <c r="GX1523" s="73"/>
      <c r="GY1523" s="73"/>
      <c r="GZ1523" s="73"/>
      <c r="HA1523" s="73"/>
      <c r="HB1523" s="73"/>
      <c r="HC1523" s="73"/>
      <c r="HD1523" s="73"/>
      <c r="HE1523" s="73"/>
      <c r="HF1523" s="73"/>
      <c r="HG1523" s="73"/>
      <c r="HH1523" s="73"/>
      <c r="HI1523" s="73"/>
      <c r="HJ1523" s="73"/>
      <c r="HK1523" s="73"/>
      <c r="HL1523" s="73"/>
      <c r="HM1523" s="73"/>
      <c r="HN1523" s="73"/>
      <c r="HO1523" s="73"/>
      <c r="HP1523" s="73"/>
      <c r="HQ1523" s="73"/>
      <c r="HR1523" s="73"/>
      <c r="HS1523" s="73"/>
      <c r="HT1523" s="73"/>
      <c r="HU1523" s="73"/>
      <c r="HV1523" s="73"/>
      <c r="HW1523" s="73"/>
      <c r="HX1523" s="73"/>
      <c r="HY1523" s="73"/>
      <c r="HZ1523" s="73"/>
      <c r="IA1523" s="73"/>
      <c r="IB1523" s="73"/>
      <c r="IC1523" s="73"/>
      <c r="ID1523" s="73"/>
      <c r="IE1523" s="73"/>
      <c r="IF1523" s="73"/>
      <c r="IG1523" s="73"/>
      <c r="IH1523" s="73"/>
      <c r="II1523" s="73"/>
      <c r="IJ1523" s="73"/>
      <c r="IK1523" s="73"/>
      <c r="IL1523" s="73"/>
      <c r="IM1523" s="73"/>
      <c r="IN1523" s="73"/>
      <c r="IO1523" s="73"/>
      <c r="IP1523" s="73"/>
      <c r="IQ1523" s="73"/>
      <c r="IR1523" s="73"/>
      <c r="IS1523" s="73"/>
      <c r="IT1523" s="73"/>
      <c r="IU1523" s="73"/>
      <c r="IV1523" s="73"/>
      <c r="IW1523" s="73"/>
      <c r="IX1523" s="73"/>
      <c r="IY1523" s="73"/>
      <c r="IZ1523" s="73"/>
      <c r="JA1523" s="73"/>
      <c r="JB1523" s="73"/>
      <c r="JC1523" s="73"/>
    </row>
    <row r="1524" spans="2:263" s="72" customFormat="1">
      <c r="B1524" s="73"/>
      <c r="C1524" s="73"/>
      <c r="D1524" s="73"/>
      <c r="E1524" s="73"/>
      <c r="F1524" s="73"/>
      <c r="G1524" s="73"/>
      <c r="H1524" s="73"/>
      <c r="I1524" s="73"/>
      <c r="J1524" s="73"/>
      <c r="K1524" s="73"/>
      <c r="L1524" s="73"/>
      <c r="M1524" s="73"/>
      <c r="N1524" s="73"/>
      <c r="O1524" s="73"/>
      <c r="P1524" s="73"/>
      <c r="Q1524" s="73"/>
      <c r="R1524" s="73"/>
      <c r="S1524" s="73"/>
      <c r="T1524" s="73"/>
      <c r="U1524" s="73"/>
      <c r="V1524" s="73"/>
      <c r="W1524" s="73"/>
      <c r="GL1524" s="73"/>
      <c r="GM1524" s="73"/>
      <c r="GN1524" s="73"/>
      <c r="GO1524" s="73"/>
      <c r="GP1524" s="73"/>
      <c r="GQ1524" s="73"/>
      <c r="GR1524" s="73"/>
      <c r="GS1524" s="73"/>
      <c r="GT1524" s="73"/>
      <c r="GU1524" s="73"/>
      <c r="GV1524" s="73"/>
      <c r="GW1524" s="73"/>
      <c r="GX1524" s="73"/>
      <c r="GY1524" s="73"/>
      <c r="GZ1524" s="73"/>
      <c r="HA1524" s="73"/>
      <c r="HB1524" s="73"/>
      <c r="HC1524" s="73"/>
      <c r="HD1524" s="73"/>
      <c r="HE1524" s="73"/>
      <c r="HF1524" s="73"/>
      <c r="HG1524" s="73"/>
      <c r="HH1524" s="73"/>
      <c r="HI1524" s="73"/>
      <c r="HJ1524" s="73"/>
      <c r="HK1524" s="73"/>
      <c r="HL1524" s="73"/>
      <c r="HM1524" s="73"/>
      <c r="HN1524" s="73"/>
      <c r="HO1524" s="73"/>
      <c r="HP1524" s="73"/>
      <c r="HQ1524" s="73"/>
      <c r="HR1524" s="73"/>
      <c r="HS1524" s="73"/>
      <c r="HT1524" s="73"/>
      <c r="HU1524" s="73"/>
      <c r="HV1524" s="73"/>
      <c r="HW1524" s="73"/>
      <c r="HX1524" s="73"/>
      <c r="HY1524" s="73"/>
      <c r="HZ1524" s="73"/>
      <c r="IA1524" s="73"/>
      <c r="IB1524" s="73"/>
      <c r="IC1524" s="73"/>
      <c r="ID1524" s="73"/>
      <c r="IE1524" s="73"/>
      <c r="IF1524" s="73"/>
      <c r="IG1524" s="73"/>
      <c r="IH1524" s="73"/>
      <c r="II1524" s="73"/>
      <c r="IJ1524" s="73"/>
      <c r="IK1524" s="73"/>
      <c r="IL1524" s="73"/>
      <c r="IM1524" s="73"/>
      <c r="IN1524" s="73"/>
      <c r="IO1524" s="73"/>
      <c r="IP1524" s="73"/>
      <c r="IQ1524" s="73"/>
      <c r="IR1524" s="73"/>
      <c r="IS1524" s="73"/>
      <c r="IT1524" s="73"/>
      <c r="IU1524" s="73"/>
      <c r="IV1524" s="73"/>
      <c r="IW1524" s="73"/>
      <c r="IX1524" s="73"/>
      <c r="IY1524" s="73"/>
      <c r="IZ1524" s="73"/>
      <c r="JA1524" s="73"/>
      <c r="JB1524" s="73"/>
      <c r="JC1524" s="73"/>
    </row>
    <row r="1525" spans="2:263" s="72" customFormat="1">
      <c r="B1525" s="73"/>
      <c r="C1525" s="73"/>
      <c r="D1525" s="73"/>
      <c r="E1525" s="73"/>
      <c r="F1525" s="73"/>
      <c r="G1525" s="73"/>
      <c r="H1525" s="73"/>
      <c r="I1525" s="73"/>
      <c r="J1525" s="73"/>
      <c r="K1525" s="73"/>
      <c r="L1525" s="73"/>
      <c r="M1525" s="73"/>
      <c r="N1525" s="73"/>
      <c r="O1525" s="73"/>
      <c r="P1525" s="73"/>
      <c r="Q1525" s="73"/>
      <c r="R1525" s="73"/>
      <c r="S1525" s="73"/>
      <c r="T1525" s="73"/>
      <c r="U1525" s="73"/>
      <c r="V1525" s="73"/>
      <c r="W1525" s="73"/>
      <c r="GL1525" s="73"/>
      <c r="GM1525" s="73"/>
      <c r="GN1525" s="73"/>
      <c r="GO1525" s="73"/>
      <c r="GP1525" s="73"/>
      <c r="GQ1525" s="73"/>
      <c r="GR1525" s="73"/>
      <c r="GS1525" s="73"/>
      <c r="GT1525" s="73"/>
      <c r="GU1525" s="73"/>
      <c r="GV1525" s="73"/>
      <c r="GW1525" s="73"/>
      <c r="GX1525" s="73"/>
      <c r="GY1525" s="73"/>
      <c r="GZ1525" s="73"/>
      <c r="HA1525" s="73"/>
      <c r="HB1525" s="73"/>
      <c r="HC1525" s="73"/>
      <c r="HD1525" s="73"/>
      <c r="HE1525" s="73"/>
      <c r="HF1525" s="73"/>
      <c r="HG1525" s="73"/>
      <c r="HH1525" s="73"/>
      <c r="HI1525" s="73"/>
      <c r="HJ1525" s="73"/>
      <c r="HK1525" s="73"/>
      <c r="HL1525" s="73"/>
      <c r="HM1525" s="73"/>
      <c r="HN1525" s="73"/>
      <c r="HO1525" s="73"/>
      <c r="HP1525" s="73"/>
      <c r="HQ1525" s="73"/>
      <c r="HR1525" s="73"/>
      <c r="HS1525" s="73"/>
      <c r="HT1525" s="73"/>
      <c r="HU1525" s="73"/>
      <c r="HV1525" s="73"/>
      <c r="HW1525" s="73"/>
      <c r="HX1525" s="73"/>
      <c r="HY1525" s="73"/>
      <c r="HZ1525" s="73"/>
      <c r="IA1525" s="73"/>
      <c r="IB1525" s="73"/>
      <c r="IC1525" s="73"/>
      <c r="ID1525" s="73"/>
      <c r="IE1525" s="73"/>
      <c r="IF1525" s="73"/>
      <c r="IG1525" s="73"/>
      <c r="IH1525" s="73"/>
      <c r="II1525" s="73"/>
      <c r="IJ1525" s="73"/>
      <c r="IK1525" s="73"/>
      <c r="IL1525" s="73"/>
      <c r="IM1525" s="73"/>
      <c r="IN1525" s="73"/>
      <c r="IO1525" s="73"/>
      <c r="IP1525" s="73"/>
      <c r="IQ1525" s="73"/>
      <c r="IR1525" s="73"/>
      <c r="IS1525" s="73"/>
      <c r="IT1525" s="73"/>
      <c r="IU1525" s="73"/>
      <c r="IV1525" s="73"/>
      <c r="IW1525" s="73"/>
      <c r="IX1525" s="73"/>
      <c r="IY1525" s="73"/>
      <c r="IZ1525" s="73"/>
      <c r="JA1525" s="73"/>
      <c r="JB1525" s="73"/>
      <c r="JC1525" s="73"/>
    </row>
    <row r="1526" spans="2:263" s="72" customFormat="1">
      <c r="B1526" s="73"/>
      <c r="C1526" s="73"/>
      <c r="D1526" s="73"/>
      <c r="E1526" s="73"/>
      <c r="F1526" s="73"/>
      <c r="G1526" s="73"/>
      <c r="H1526" s="73"/>
      <c r="I1526" s="73"/>
      <c r="J1526" s="73"/>
      <c r="K1526" s="73"/>
      <c r="L1526" s="73"/>
      <c r="M1526" s="73"/>
      <c r="N1526" s="73"/>
      <c r="O1526" s="73"/>
      <c r="P1526" s="73"/>
      <c r="Q1526" s="73"/>
      <c r="R1526" s="73"/>
      <c r="S1526" s="73"/>
      <c r="T1526" s="73"/>
      <c r="U1526" s="73"/>
      <c r="V1526" s="73"/>
      <c r="W1526" s="73"/>
      <c r="GL1526" s="73"/>
      <c r="GM1526" s="73"/>
      <c r="GN1526" s="73"/>
      <c r="GO1526" s="73"/>
      <c r="GP1526" s="73"/>
      <c r="GQ1526" s="73"/>
      <c r="GR1526" s="73"/>
      <c r="GS1526" s="73"/>
      <c r="GT1526" s="73"/>
      <c r="GU1526" s="73"/>
      <c r="GV1526" s="73"/>
      <c r="GW1526" s="73"/>
      <c r="GX1526" s="73"/>
      <c r="GY1526" s="73"/>
      <c r="GZ1526" s="73"/>
      <c r="HA1526" s="73"/>
      <c r="HB1526" s="73"/>
      <c r="HC1526" s="73"/>
      <c r="HD1526" s="73"/>
      <c r="HE1526" s="73"/>
      <c r="HF1526" s="73"/>
      <c r="HG1526" s="73"/>
      <c r="HH1526" s="73"/>
      <c r="HI1526" s="73"/>
      <c r="HJ1526" s="73"/>
      <c r="HK1526" s="73"/>
      <c r="HL1526" s="73"/>
      <c r="HM1526" s="73"/>
      <c r="HN1526" s="73"/>
      <c r="HO1526" s="73"/>
      <c r="HP1526" s="73"/>
      <c r="HQ1526" s="73"/>
      <c r="HR1526" s="73"/>
      <c r="HS1526" s="73"/>
      <c r="HT1526" s="73"/>
      <c r="HU1526" s="73"/>
      <c r="HV1526" s="73"/>
      <c r="HW1526" s="73"/>
      <c r="HX1526" s="73"/>
      <c r="HY1526" s="73"/>
      <c r="HZ1526" s="73"/>
      <c r="IA1526" s="73"/>
      <c r="IB1526" s="73"/>
      <c r="IC1526" s="73"/>
      <c r="ID1526" s="73"/>
      <c r="IE1526" s="73"/>
      <c r="IF1526" s="73"/>
      <c r="IG1526" s="73"/>
      <c r="IH1526" s="73"/>
      <c r="II1526" s="73"/>
      <c r="IJ1526" s="73"/>
      <c r="IK1526" s="73"/>
      <c r="IL1526" s="73"/>
      <c r="IM1526" s="73"/>
      <c r="IN1526" s="73"/>
      <c r="IO1526" s="73"/>
      <c r="IP1526" s="73"/>
      <c r="IQ1526" s="73"/>
      <c r="IR1526" s="73"/>
      <c r="IS1526" s="73"/>
      <c r="IT1526" s="73"/>
      <c r="IU1526" s="73"/>
      <c r="IV1526" s="73"/>
      <c r="IW1526" s="73"/>
      <c r="IX1526" s="73"/>
      <c r="IY1526" s="73"/>
      <c r="IZ1526" s="73"/>
      <c r="JA1526" s="73"/>
      <c r="JB1526" s="73"/>
      <c r="JC1526" s="73"/>
    </row>
    <row r="1527" spans="2:263" s="72" customFormat="1">
      <c r="B1527" s="73"/>
      <c r="C1527" s="73"/>
      <c r="D1527" s="73"/>
      <c r="E1527" s="73"/>
      <c r="F1527" s="73"/>
      <c r="G1527" s="73"/>
      <c r="H1527" s="73"/>
      <c r="I1527" s="73"/>
      <c r="J1527" s="73"/>
      <c r="K1527" s="73"/>
      <c r="L1527" s="73"/>
      <c r="M1527" s="73"/>
      <c r="N1527" s="73"/>
      <c r="O1527" s="73"/>
      <c r="P1527" s="73"/>
      <c r="Q1527" s="73"/>
      <c r="R1527" s="73"/>
      <c r="S1527" s="73"/>
      <c r="T1527" s="73"/>
      <c r="U1527" s="73"/>
      <c r="V1527" s="73"/>
      <c r="W1527" s="73"/>
      <c r="GL1527" s="73"/>
      <c r="GM1527" s="73"/>
      <c r="GN1527" s="73"/>
      <c r="GO1527" s="73"/>
      <c r="GP1527" s="73"/>
      <c r="GQ1527" s="73"/>
      <c r="GR1527" s="73"/>
      <c r="GS1527" s="73"/>
      <c r="GT1527" s="73"/>
      <c r="GU1527" s="73"/>
      <c r="GV1527" s="73"/>
      <c r="GW1527" s="73"/>
      <c r="GX1527" s="73"/>
      <c r="GY1527" s="73"/>
      <c r="GZ1527" s="73"/>
      <c r="HA1527" s="73"/>
      <c r="HB1527" s="73"/>
      <c r="HC1527" s="73"/>
      <c r="HD1527" s="73"/>
      <c r="HE1527" s="73"/>
      <c r="HF1527" s="73"/>
      <c r="HG1527" s="73"/>
      <c r="HH1527" s="73"/>
      <c r="HI1527" s="73"/>
      <c r="HJ1527" s="73"/>
      <c r="HK1527" s="73"/>
      <c r="HL1527" s="73"/>
      <c r="HM1527" s="73"/>
      <c r="HN1527" s="73"/>
      <c r="HO1527" s="73"/>
      <c r="HP1527" s="73"/>
      <c r="HQ1527" s="73"/>
      <c r="HR1527" s="73"/>
      <c r="HS1527" s="73"/>
      <c r="HT1527" s="73"/>
      <c r="HU1527" s="73"/>
      <c r="HV1527" s="73"/>
      <c r="HW1527" s="73"/>
      <c r="HX1527" s="73"/>
      <c r="HY1527" s="73"/>
      <c r="HZ1527" s="73"/>
      <c r="IA1527" s="73"/>
      <c r="IB1527" s="73"/>
      <c r="IC1527" s="73"/>
      <c r="ID1527" s="73"/>
      <c r="IE1527" s="73"/>
      <c r="IF1527" s="73"/>
      <c r="IG1527" s="73"/>
      <c r="IH1527" s="73"/>
      <c r="II1527" s="73"/>
      <c r="IJ1527" s="73"/>
      <c r="IK1527" s="73"/>
      <c r="IL1527" s="73"/>
      <c r="IM1527" s="73"/>
      <c r="IN1527" s="73"/>
      <c r="IO1527" s="73"/>
      <c r="IP1527" s="73"/>
      <c r="IQ1527" s="73"/>
      <c r="IR1527" s="73"/>
      <c r="IS1527" s="73"/>
      <c r="IT1527" s="73"/>
      <c r="IU1527" s="73"/>
      <c r="IV1527" s="73"/>
      <c r="IW1527" s="73"/>
      <c r="IX1527" s="73"/>
      <c r="IY1527" s="73"/>
      <c r="IZ1527" s="73"/>
      <c r="JA1527" s="73"/>
      <c r="JB1527" s="73"/>
      <c r="JC1527" s="73"/>
    </row>
    <row r="1528" spans="2:263" s="72" customFormat="1">
      <c r="B1528" s="73"/>
      <c r="C1528" s="73"/>
      <c r="D1528" s="73"/>
      <c r="E1528" s="73"/>
      <c r="F1528" s="73"/>
      <c r="G1528" s="73"/>
      <c r="H1528" s="73"/>
      <c r="I1528" s="73"/>
      <c r="J1528" s="73"/>
      <c r="K1528" s="73"/>
      <c r="L1528" s="73"/>
      <c r="M1528" s="73"/>
      <c r="N1528" s="73"/>
      <c r="O1528" s="73"/>
      <c r="P1528" s="73"/>
      <c r="Q1528" s="73"/>
      <c r="R1528" s="73"/>
      <c r="S1528" s="73"/>
      <c r="T1528" s="73"/>
      <c r="U1528" s="73"/>
      <c r="V1528" s="73"/>
      <c r="W1528" s="73"/>
      <c r="GL1528" s="73"/>
      <c r="GM1528" s="73"/>
      <c r="GN1528" s="73"/>
      <c r="GO1528" s="73"/>
      <c r="GP1528" s="73"/>
      <c r="GQ1528" s="73"/>
      <c r="GR1528" s="73"/>
      <c r="GS1528" s="73"/>
      <c r="GT1528" s="73"/>
      <c r="GU1528" s="73"/>
      <c r="GV1528" s="73"/>
      <c r="GW1528" s="73"/>
      <c r="GX1528" s="73"/>
      <c r="GY1528" s="73"/>
      <c r="GZ1528" s="73"/>
      <c r="HA1528" s="73"/>
      <c r="HB1528" s="73"/>
      <c r="HC1528" s="73"/>
      <c r="HD1528" s="73"/>
      <c r="HE1528" s="73"/>
      <c r="HF1528" s="73"/>
      <c r="HG1528" s="73"/>
      <c r="HH1528" s="73"/>
      <c r="HI1528" s="73"/>
      <c r="HJ1528" s="73"/>
      <c r="HK1528" s="73"/>
      <c r="HL1528" s="73"/>
      <c r="HM1528" s="73"/>
      <c r="HN1528" s="73"/>
      <c r="HO1528" s="73"/>
      <c r="HP1528" s="73"/>
      <c r="HQ1528" s="73"/>
      <c r="HR1528" s="73"/>
      <c r="HS1528" s="73"/>
      <c r="HT1528" s="73"/>
      <c r="HU1528" s="73"/>
      <c r="HV1528" s="73"/>
      <c r="HW1528" s="73"/>
      <c r="HX1528" s="73"/>
      <c r="HY1528" s="73"/>
      <c r="HZ1528" s="73"/>
      <c r="IA1528" s="73"/>
      <c r="IB1528" s="73"/>
      <c r="IC1528" s="73"/>
      <c r="ID1528" s="73"/>
      <c r="IE1528" s="73"/>
      <c r="IF1528" s="73"/>
      <c r="IG1528" s="73"/>
      <c r="IH1528" s="73"/>
      <c r="II1528" s="73"/>
      <c r="IJ1528" s="73"/>
      <c r="IK1528" s="73"/>
      <c r="IL1528" s="73"/>
      <c r="IM1528" s="73"/>
      <c r="IN1528" s="73"/>
      <c r="IO1528" s="73"/>
      <c r="IP1528" s="73"/>
      <c r="IQ1528" s="73"/>
      <c r="IR1528" s="73"/>
      <c r="IS1528" s="73"/>
      <c r="IT1528" s="73"/>
      <c r="IU1528" s="73"/>
      <c r="IV1528" s="73"/>
      <c r="IW1528" s="73"/>
      <c r="IX1528" s="73"/>
      <c r="IY1528" s="73"/>
      <c r="IZ1528" s="73"/>
      <c r="JA1528" s="73"/>
      <c r="JB1528" s="73"/>
      <c r="JC1528" s="73"/>
    </row>
    <row r="1529" spans="2:263" s="72" customFormat="1">
      <c r="B1529" s="73"/>
      <c r="C1529" s="73"/>
      <c r="D1529" s="73"/>
      <c r="E1529" s="73"/>
      <c r="F1529" s="73"/>
      <c r="G1529" s="73"/>
      <c r="H1529" s="73"/>
      <c r="I1529" s="73"/>
      <c r="J1529" s="73"/>
      <c r="K1529" s="73"/>
      <c r="L1529" s="73"/>
      <c r="M1529" s="73"/>
      <c r="N1529" s="73"/>
      <c r="O1529" s="73"/>
      <c r="P1529" s="73"/>
      <c r="Q1529" s="73"/>
      <c r="R1529" s="73"/>
      <c r="S1529" s="73"/>
      <c r="T1529" s="73"/>
      <c r="U1529" s="73"/>
      <c r="V1529" s="73"/>
      <c r="W1529" s="73"/>
      <c r="GL1529" s="73"/>
      <c r="GM1529" s="73"/>
      <c r="GN1529" s="73"/>
      <c r="GO1529" s="73"/>
      <c r="GP1529" s="73"/>
      <c r="GQ1529" s="73"/>
      <c r="GR1529" s="73"/>
      <c r="GS1529" s="73"/>
      <c r="GT1529" s="73"/>
      <c r="GU1529" s="73"/>
      <c r="GV1529" s="73"/>
      <c r="GW1529" s="73"/>
      <c r="GX1529" s="73"/>
      <c r="GY1529" s="73"/>
      <c r="GZ1529" s="73"/>
      <c r="HA1529" s="73"/>
      <c r="HB1529" s="73"/>
      <c r="HC1529" s="73"/>
      <c r="HD1529" s="73"/>
      <c r="HE1529" s="73"/>
      <c r="HF1529" s="73"/>
      <c r="HG1529" s="73"/>
      <c r="HH1529" s="73"/>
      <c r="HI1529" s="73"/>
      <c r="HJ1529" s="73"/>
      <c r="HK1529" s="73"/>
      <c r="HL1529" s="73"/>
      <c r="HM1529" s="73"/>
      <c r="HN1529" s="73"/>
      <c r="HO1529" s="73"/>
      <c r="HP1529" s="73"/>
      <c r="HQ1529" s="73"/>
      <c r="HR1529" s="73"/>
      <c r="HS1529" s="73"/>
      <c r="HT1529" s="73"/>
      <c r="HU1529" s="73"/>
      <c r="HV1529" s="73"/>
      <c r="HW1529" s="73"/>
      <c r="HX1529" s="73"/>
      <c r="HY1529" s="73"/>
      <c r="HZ1529" s="73"/>
      <c r="IA1529" s="73"/>
      <c r="IB1529" s="73"/>
      <c r="IC1529" s="73"/>
      <c r="ID1529" s="73"/>
      <c r="IE1529" s="73"/>
      <c r="IF1529" s="73"/>
      <c r="IG1529" s="73"/>
      <c r="IH1529" s="73"/>
      <c r="II1529" s="73"/>
      <c r="IJ1529" s="73"/>
      <c r="IK1529" s="73"/>
      <c r="IL1529" s="73"/>
      <c r="IM1529" s="73"/>
      <c r="IN1529" s="73"/>
      <c r="IO1529" s="73"/>
      <c r="IP1529" s="73"/>
      <c r="IQ1529" s="73"/>
      <c r="IR1529" s="73"/>
      <c r="IS1529" s="73"/>
      <c r="IT1529" s="73"/>
      <c r="IU1529" s="73"/>
      <c r="IV1529" s="73"/>
      <c r="IW1529" s="73"/>
      <c r="IX1529" s="73"/>
      <c r="IY1529" s="73"/>
      <c r="IZ1529" s="73"/>
      <c r="JA1529" s="73"/>
      <c r="JB1529" s="73"/>
      <c r="JC1529" s="73"/>
    </row>
    <row r="1530" spans="2:263" s="72" customFormat="1">
      <c r="B1530" s="73"/>
      <c r="C1530" s="73"/>
      <c r="D1530" s="73"/>
      <c r="E1530" s="73"/>
      <c r="F1530" s="73"/>
      <c r="G1530" s="73"/>
      <c r="H1530" s="73"/>
      <c r="I1530" s="73"/>
      <c r="J1530" s="73"/>
      <c r="K1530" s="73"/>
      <c r="L1530" s="73"/>
      <c r="M1530" s="73"/>
      <c r="N1530" s="73"/>
      <c r="O1530" s="73"/>
      <c r="P1530" s="73"/>
      <c r="Q1530" s="73"/>
      <c r="R1530" s="73"/>
      <c r="S1530" s="73"/>
      <c r="T1530" s="73"/>
      <c r="U1530" s="73"/>
      <c r="V1530" s="73"/>
      <c r="W1530" s="73"/>
      <c r="GL1530" s="73"/>
      <c r="GM1530" s="73"/>
      <c r="GN1530" s="73"/>
      <c r="GO1530" s="73"/>
      <c r="GP1530" s="73"/>
      <c r="GQ1530" s="73"/>
      <c r="GR1530" s="73"/>
      <c r="GS1530" s="73"/>
      <c r="GT1530" s="73"/>
      <c r="GU1530" s="73"/>
      <c r="GV1530" s="73"/>
      <c r="GW1530" s="73"/>
      <c r="GX1530" s="73"/>
      <c r="GY1530" s="73"/>
      <c r="GZ1530" s="73"/>
      <c r="HA1530" s="73"/>
      <c r="HB1530" s="73"/>
      <c r="HC1530" s="73"/>
      <c r="HD1530" s="73"/>
      <c r="HE1530" s="73"/>
      <c r="HF1530" s="73"/>
      <c r="HG1530" s="73"/>
      <c r="HH1530" s="73"/>
      <c r="HI1530" s="73"/>
      <c r="HJ1530" s="73"/>
      <c r="HK1530" s="73"/>
      <c r="HL1530" s="73"/>
      <c r="HM1530" s="73"/>
      <c r="HN1530" s="73"/>
      <c r="HO1530" s="73"/>
      <c r="HP1530" s="73"/>
      <c r="HQ1530" s="73"/>
      <c r="HR1530" s="73"/>
      <c r="HS1530" s="73"/>
      <c r="HT1530" s="73"/>
      <c r="HU1530" s="73"/>
      <c r="HV1530" s="73"/>
      <c r="HW1530" s="73"/>
      <c r="HX1530" s="73"/>
      <c r="HY1530" s="73"/>
      <c r="HZ1530" s="73"/>
      <c r="IA1530" s="73"/>
      <c r="IB1530" s="73"/>
      <c r="IC1530" s="73"/>
      <c r="ID1530" s="73"/>
      <c r="IE1530" s="73"/>
      <c r="IF1530" s="73"/>
      <c r="IG1530" s="73"/>
      <c r="IH1530" s="73"/>
      <c r="II1530" s="73"/>
      <c r="IJ1530" s="73"/>
      <c r="IK1530" s="73"/>
      <c r="IL1530" s="73"/>
      <c r="IM1530" s="73"/>
      <c r="IN1530" s="73"/>
      <c r="IO1530" s="73"/>
      <c r="IP1530" s="73"/>
      <c r="IQ1530" s="73"/>
      <c r="IR1530" s="73"/>
      <c r="IS1530" s="73"/>
      <c r="IT1530" s="73"/>
      <c r="IU1530" s="73"/>
      <c r="IV1530" s="73"/>
      <c r="IW1530" s="73"/>
      <c r="IX1530" s="73"/>
      <c r="IY1530" s="73"/>
      <c r="IZ1530" s="73"/>
      <c r="JA1530" s="73"/>
      <c r="JB1530" s="73"/>
      <c r="JC1530" s="73"/>
    </row>
    <row r="1531" spans="2:263" s="72" customFormat="1">
      <c r="B1531" s="73"/>
      <c r="C1531" s="73"/>
      <c r="D1531" s="73"/>
      <c r="E1531" s="73"/>
      <c r="F1531" s="73"/>
      <c r="G1531" s="73"/>
      <c r="H1531" s="73"/>
      <c r="I1531" s="73"/>
      <c r="J1531" s="73"/>
      <c r="K1531" s="73"/>
      <c r="L1531" s="73"/>
      <c r="M1531" s="73"/>
      <c r="N1531" s="73"/>
      <c r="O1531" s="73"/>
      <c r="P1531" s="73"/>
      <c r="Q1531" s="73"/>
      <c r="R1531" s="73"/>
      <c r="S1531" s="73"/>
      <c r="T1531" s="73"/>
      <c r="U1531" s="73"/>
      <c r="V1531" s="73"/>
      <c r="W1531" s="73"/>
      <c r="GL1531" s="73"/>
      <c r="GM1531" s="73"/>
      <c r="GN1531" s="73"/>
      <c r="GO1531" s="73"/>
      <c r="GP1531" s="73"/>
      <c r="GQ1531" s="73"/>
      <c r="GR1531" s="73"/>
      <c r="GS1531" s="73"/>
      <c r="GT1531" s="73"/>
      <c r="GU1531" s="73"/>
      <c r="GV1531" s="73"/>
      <c r="GW1531" s="73"/>
      <c r="GX1531" s="73"/>
      <c r="GY1531" s="73"/>
      <c r="GZ1531" s="73"/>
      <c r="HA1531" s="73"/>
      <c r="HB1531" s="73"/>
      <c r="HC1531" s="73"/>
      <c r="HD1531" s="73"/>
      <c r="HE1531" s="73"/>
      <c r="HF1531" s="73"/>
      <c r="HG1531" s="73"/>
      <c r="HH1531" s="73"/>
      <c r="HI1531" s="73"/>
      <c r="HJ1531" s="73"/>
      <c r="HK1531" s="73"/>
      <c r="HL1531" s="73"/>
      <c r="HM1531" s="73"/>
      <c r="HN1531" s="73"/>
      <c r="HO1531" s="73"/>
      <c r="HP1531" s="73"/>
      <c r="HQ1531" s="73"/>
      <c r="HR1531" s="73"/>
      <c r="HS1531" s="73"/>
      <c r="HT1531" s="73"/>
      <c r="HU1531" s="73"/>
      <c r="HV1531" s="73"/>
      <c r="HW1531" s="73"/>
      <c r="HX1531" s="73"/>
      <c r="HY1531" s="73"/>
      <c r="HZ1531" s="73"/>
      <c r="IA1531" s="73"/>
      <c r="IB1531" s="73"/>
      <c r="IC1531" s="73"/>
      <c r="ID1531" s="73"/>
      <c r="IE1531" s="73"/>
      <c r="IF1531" s="73"/>
      <c r="IG1531" s="73"/>
      <c r="IH1531" s="73"/>
      <c r="II1531" s="73"/>
      <c r="IJ1531" s="73"/>
      <c r="IK1531" s="73"/>
      <c r="IL1531" s="73"/>
      <c r="IM1531" s="73"/>
      <c r="IN1531" s="73"/>
      <c r="IO1531" s="73"/>
      <c r="IP1531" s="73"/>
      <c r="IQ1531" s="73"/>
      <c r="IR1531" s="73"/>
      <c r="IS1531" s="73"/>
      <c r="IT1531" s="73"/>
      <c r="IU1531" s="73"/>
      <c r="IV1531" s="73"/>
      <c r="IW1531" s="73"/>
      <c r="IX1531" s="73"/>
      <c r="IY1531" s="73"/>
      <c r="IZ1531" s="73"/>
      <c r="JA1531" s="73"/>
      <c r="JB1531" s="73"/>
      <c r="JC1531" s="73"/>
    </row>
    <row r="1532" spans="2:263" s="72" customFormat="1">
      <c r="B1532" s="73"/>
      <c r="C1532" s="73"/>
      <c r="D1532" s="73"/>
      <c r="E1532" s="73"/>
      <c r="F1532" s="73"/>
      <c r="G1532" s="73"/>
      <c r="H1532" s="73"/>
      <c r="I1532" s="73"/>
      <c r="J1532" s="73"/>
      <c r="K1532" s="73"/>
      <c r="L1532" s="73"/>
      <c r="M1532" s="73"/>
      <c r="N1532" s="73"/>
      <c r="O1532" s="73"/>
      <c r="P1532" s="73"/>
      <c r="Q1532" s="73"/>
      <c r="R1532" s="73"/>
      <c r="S1532" s="73"/>
      <c r="T1532" s="73"/>
      <c r="U1532" s="73"/>
      <c r="V1532" s="73"/>
      <c r="W1532" s="73"/>
      <c r="GL1532" s="73"/>
      <c r="GM1532" s="73"/>
      <c r="GN1532" s="73"/>
      <c r="GO1532" s="73"/>
      <c r="GP1532" s="73"/>
      <c r="GQ1532" s="73"/>
      <c r="GR1532" s="73"/>
      <c r="GS1532" s="73"/>
      <c r="GT1532" s="73"/>
      <c r="GU1532" s="73"/>
      <c r="GV1532" s="73"/>
      <c r="GW1532" s="73"/>
      <c r="GX1532" s="73"/>
      <c r="GY1532" s="73"/>
      <c r="GZ1532" s="73"/>
      <c r="HA1532" s="73"/>
      <c r="HB1532" s="73"/>
      <c r="HC1532" s="73"/>
      <c r="HD1532" s="73"/>
      <c r="HE1532" s="73"/>
      <c r="HF1532" s="73"/>
      <c r="HG1532" s="73"/>
      <c r="HH1532" s="73"/>
      <c r="HI1532" s="73"/>
      <c r="HJ1532" s="73"/>
      <c r="HK1532" s="73"/>
      <c r="HL1532" s="73"/>
      <c r="HM1532" s="73"/>
      <c r="HN1532" s="73"/>
      <c r="HO1532" s="73"/>
      <c r="HP1532" s="73"/>
      <c r="HQ1532" s="73"/>
      <c r="HR1532" s="73"/>
      <c r="HS1532" s="73"/>
      <c r="HT1532" s="73"/>
      <c r="HU1532" s="73"/>
      <c r="HV1532" s="73"/>
      <c r="HW1532" s="73"/>
      <c r="HX1532" s="73"/>
      <c r="HY1532" s="73"/>
      <c r="HZ1532" s="73"/>
      <c r="IA1532" s="73"/>
      <c r="IB1532" s="73"/>
      <c r="IC1532" s="73"/>
      <c r="ID1532" s="73"/>
      <c r="IE1532" s="73"/>
      <c r="IF1532" s="73"/>
      <c r="IG1532" s="73"/>
      <c r="IH1532" s="73"/>
      <c r="II1532" s="73"/>
      <c r="IJ1532" s="73"/>
      <c r="IK1532" s="73"/>
      <c r="IL1532" s="73"/>
      <c r="IM1532" s="73"/>
      <c r="IN1532" s="73"/>
      <c r="IO1532" s="73"/>
      <c r="IP1532" s="73"/>
      <c r="IQ1532" s="73"/>
      <c r="IR1532" s="73"/>
      <c r="IS1532" s="73"/>
      <c r="IT1532" s="73"/>
      <c r="IU1532" s="73"/>
      <c r="IV1532" s="73"/>
      <c r="IW1532" s="73"/>
      <c r="IX1532" s="73"/>
      <c r="IY1532" s="73"/>
      <c r="IZ1532" s="73"/>
      <c r="JA1532" s="73"/>
      <c r="JB1532" s="73"/>
      <c r="JC1532" s="73"/>
    </row>
    <row r="1533" spans="2:263" s="72" customFormat="1">
      <c r="B1533" s="73"/>
      <c r="C1533" s="73"/>
      <c r="D1533" s="73"/>
      <c r="E1533" s="73"/>
      <c r="F1533" s="73"/>
      <c r="G1533" s="73"/>
      <c r="H1533" s="73"/>
      <c r="I1533" s="73"/>
      <c r="J1533" s="73"/>
      <c r="K1533" s="73"/>
      <c r="L1533" s="73"/>
      <c r="M1533" s="73"/>
      <c r="N1533" s="73"/>
      <c r="O1533" s="73"/>
      <c r="P1533" s="73"/>
      <c r="Q1533" s="73"/>
      <c r="R1533" s="73"/>
      <c r="S1533" s="73"/>
      <c r="T1533" s="73"/>
      <c r="U1533" s="73"/>
      <c r="V1533" s="73"/>
      <c r="W1533" s="73"/>
      <c r="GL1533" s="73"/>
      <c r="GM1533" s="73"/>
      <c r="GN1533" s="73"/>
      <c r="GO1533" s="73"/>
      <c r="GP1533" s="73"/>
      <c r="GQ1533" s="73"/>
      <c r="GR1533" s="73"/>
      <c r="GS1533" s="73"/>
      <c r="GT1533" s="73"/>
      <c r="GU1533" s="73"/>
      <c r="GV1533" s="73"/>
      <c r="GW1533" s="73"/>
      <c r="GX1533" s="73"/>
      <c r="GY1533" s="73"/>
      <c r="GZ1533" s="73"/>
      <c r="HA1533" s="73"/>
      <c r="HB1533" s="73"/>
      <c r="HC1533" s="73"/>
      <c r="HD1533" s="73"/>
      <c r="HE1533" s="73"/>
      <c r="HF1533" s="73"/>
      <c r="HG1533" s="73"/>
      <c r="HH1533" s="73"/>
      <c r="HI1533" s="73"/>
      <c r="HJ1533" s="73"/>
      <c r="HK1533" s="73"/>
      <c r="HL1533" s="73"/>
      <c r="HM1533" s="73"/>
      <c r="HN1533" s="73"/>
      <c r="HO1533" s="73"/>
      <c r="HP1533" s="73"/>
      <c r="HQ1533" s="73"/>
      <c r="HR1533" s="73"/>
      <c r="HS1533" s="73"/>
      <c r="HT1533" s="73"/>
      <c r="HU1533" s="73"/>
      <c r="HV1533" s="73"/>
      <c r="HW1533" s="73"/>
      <c r="HX1533" s="73"/>
      <c r="HY1533" s="73"/>
      <c r="HZ1533" s="73"/>
      <c r="IA1533" s="73"/>
      <c r="IB1533" s="73"/>
      <c r="IC1533" s="73"/>
      <c r="ID1533" s="73"/>
      <c r="IE1533" s="73"/>
      <c r="IF1533" s="73"/>
      <c r="IG1533" s="73"/>
      <c r="IH1533" s="73"/>
      <c r="II1533" s="73"/>
      <c r="IJ1533" s="73"/>
      <c r="IK1533" s="73"/>
      <c r="IL1533" s="73"/>
      <c r="IM1533" s="73"/>
      <c r="IN1533" s="73"/>
      <c r="IO1533" s="73"/>
      <c r="IP1533" s="73"/>
      <c r="IQ1533" s="73"/>
      <c r="IR1533" s="73"/>
      <c r="IS1533" s="73"/>
      <c r="IT1533" s="73"/>
      <c r="IU1533" s="73"/>
      <c r="IV1533" s="73"/>
      <c r="IW1533" s="73"/>
      <c r="IX1533" s="73"/>
      <c r="IY1533" s="73"/>
      <c r="IZ1533" s="73"/>
      <c r="JA1533" s="73"/>
      <c r="JB1533" s="73"/>
      <c r="JC1533" s="73"/>
    </row>
    <row r="1534" spans="2:263" s="72" customFormat="1">
      <c r="B1534" s="73"/>
      <c r="C1534" s="73"/>
      <c r="D1534" s="73"/>
      <c r="E1534" s="73"/>
      <c r="F1534" s="73"/>
      <c r="G1534" s="73"/>
      <c r="H1534" s="73"/>
      <c r="I1534" s="73"/>
      <c r="J1534" s="73"/>
      <c r="K1534" s="73"/>
      <c r="L1534" s="73"/>
      <c r="M1534" s="73"/>
      <c r="N1534" s="73"/>
      <c r="O1534" s="73"/>
      <c r="P1534" s="73"/>
      <c r="Q1534" s="73"/>
      <c r="R1534" s="73"/>
      <c r="S1534" s="73"/>
      <c r="T1534" s="73"/>
      <c r="U1534" s="73"/>
      <c r="V1534" s="73"/>
      <c r="W1534" s="73"/>
      <c r="GL1534" s="73"/>
      <c r="GM1534" s="73"/>
      <c r="GN1534" s="73"/>
      <c r="GO1534" s="73"/>
      <c r="GP1534" s="73"/>
      <c r="GQ1534" s="73"/>
      <c r="GR1534" s="73"/>
      <c r="GS1534" s="73"/>
      <c r="GT1534" s="73"/>
      <c r="GU1534" s="73"/>
      <c r="GV1534" s="73"/>
      <c r="GW1534" s="73"/>
      <c r="GX1534" s="73"/>
      <c r="GY1534" s="73"/>
      <c r="GZ1534" s="73"/>
      <c r="HA1534" s="73"/>
      <c r="HB1534" s="73"/>
      <c r="HC1534" s="73"/>
      <c r="HD1534" s="73"/>
      <c r="HE1534" s="73"/>
      <c r="HF1534" s="73"/>
      <c r="HG1534" s="73"/>
      <c r="HH1534" s="73"/>
      <c r="HI1534" s="73"/>
      <c r="HJ1534" s="73"/>
      <c r="HK1534" s="73"/>
      <c r="HL1534" s="73"/>
      <c r="HM1534" s="73"/>
      <c r="HN1534" s="73"/>
      <c r="HO1534" s="73"/>
      <c r="HP1534" s="73"/>
      <c r="HQ1534" s="73"/>
      <c r="HR1534" s="73"/>
      <c r="HS1534" s="73"/>
      <c r="HT1534" s="73"/>
      <c r="HU1534" s="73"/>
      <c r="HV1534" s="73"/>
      <c r="HW1534" s="73"/>
      <c r="HX1534" s="73"/>
      <c r="HY1534" s="73"/>
      <c r="HZ1534" s="73"/>
      <c r="IA1534" s="73"/>
      <c r="IB1534" s="73"/>
      <c r="IC1534" s="73"/>
      <c r="ID1534" s="73"/>
      <c r="IE1534" s="73"/>
      <c r="IF1534" s="73"/>
      <c r="IG1534" s="73"/>
      <c r="IH1534" s="73"/>
      <c r="II1534" s="73"/>
      <c r="IJ1534" s="73"/>
      <c r="IK1534" s="73"/>
      <c r="IL1534" s="73"/>
      <c r="IM1534" s="73"/>
      <c r="IN1534" s="73"/>
      <c r="IO1534" s="73"/>
      <c r="IP1534" s="73"/>
      <c r="IQ1534" s="73"/>
      <c r="IR1534" s="73"/>
      <c r="IS1534" s="73"/>
      <c r="IT1534" s="73"/>
      <c r="IU1534" s="73"/>
      <c r="IV1534" s="73"/>
      <c r="IW1534" s="73"/>
      <c r="IX1534" s="73"/>
      <c r="IY1534" s="73"/>
      <c r="IZ1534" s="73"/>
      <c r="JA1534" s="73"/>
      <c r="JB1534" s="73"/>
      <c r="JC1534" s="73"/>
    </row>
    <row r="1535" spans="2:263" s="72" customFormat="1">
      <c r="B1535" s="73"/>
      <c r="C1535" s="73"/>
      <c r="D1535" s="73"/>
      <c r="E1535" s="73"/>
      <c r="F1535" s="73"/>
      <c r="G1535" s="73"/>
      <c r="H1535" s="73"/>
      <c r="I1535" s="73"/>
      <c r="J1535" s="73"/>
      <c r="K1535" s="73"/>
      <c r="L1535" s="73"/>
      <c r="M1535" s="73"/>
      <c r="N1535" s="73"/>
      <c r="O1535" s="73"/>
      <c r="P1535" s="73"/>
      <c r="Q1535" s="73"/>
      <c r="R1535" s="73"/>
      <c r="S1535" s="73"/>
      <c r="T1535" s="73"/>
      <c r="U1535" s="73"/>
      <c r="V1535" s="73"/>
      <c r="W1535" s="73"/>
      <c r="GL1535" s="73"/>
      <c r="GM1535" s="73"/>
      <c r="GN1535" s="73"/>
      <c r="GO1535" s="73"/>
      <c r="GP1535" s="73"/>
      <c r="GQ1535" s="73"/>
      <c r="GR1535" s="73"/>
      <c r="GS1535" s="73"/>
      <c r="GT1535" s="73"/>
      <c r="GU1535" s="73"/>
      <c r="GV1535" s="73"/>
      <c r="GW1535" s="73"/>
      <c r="GX1535" s="73"/>
      <c r="GY1535" s="73"/>
      <c r="GZ1535" s="73"/>
      <c r="HA1535" s="73"/>
      <c r="HB1535" s="73"/>
      <c r="HC1535" s="73"/>
      <c r="HD1535" s="73"/>
      <c r="HE1535" s="73"/>
      <c r="HF1535" s="73"/>
      <c r="HG1535" s="73"/>
      <c r="HH1535" s="73"/>
      <c r="HI1535" s="73"/>
      <c r="HJ1535" s="73"/>
      <c r="HK1535" s="73"/>
      <c r="HL1535" s="73"/>
      <c r="HM1535" s="73"/>
      <c r="HN1535" s="73"/>
      <c r="HO1535" s="73"/>
      <c r="HP1535" s="73"/>
      <c r="HQ1535" s="73"/>
      <c r="HR1535" s="73"/>
      <c r="HS1535" s="73"/>
      <c r="HT1535" s="73"/>
      <c r="HU1535" s="73"/>
      <c r="HV1535" s="73"/>
      <c r="HW1535" s="73"/>
      <c r="HX1535" s="73"/>
      <c r="HY1535" s="73"/>
      <c r="HZ1535" s="73"/>
      <c r="IA1535" s="73"/>
      <c r="IB1535" s="73"/>
      <c r="IC1535" s="73"/>
      <c r="ID1535" s="73"/>
      <c r="IE1535" s="73"/>
      <c r="IF1535" s="73"/>
      <c r="IG1535" s="73"/>
      <c r="IH1535" s="73"/>
      <c r="II1535" s="73"/>
      <c r="IJ1535" s="73"/>
      <c r="IK1535" s="73"/>
      <c r="IL1535" s="73"/>
      <c r="IM1535" s="73"/>
      <c r="IN1535" s="73"/>
      <c r="IO1535" s="73"/>
      <c r="IP1535" s="73"/>
      <c r="IQ1535" s="73"/>
      <c r="IR1535" s="73"/>
      <c r="IS1535" s="73"/>
      <c r="IT1535" s="73"/>
      <c r="IU1535" s="73"/>
      <c r="IV1535" s="73"/>
      <c r="IW1535" s="73"/>
      <c r="IX1535" s="73"/>
      <c r="IY1535" s="73"/>
      <c r="IZ1535" s="73"/>
      <c r="JA1535" s="73"/>
      <c r="JB1535" s="73"/>
      <c r="JC1535" s="73"/>
    </row>
    <row r="1536" spans="2:263" s="72" customFormat="1">
      <c r="B1536" s="73"/>
      <c r="C1536" s="73"/>
      <c r="D1536" s="73"/>
      <c r="E1536" s="73"/>
      <c r="F1536" s="73"/>
      <c r="G1536" s="73"/>
      <c r="H1536" s="73"/>
      <c r="I1536" s="73"/>
      <c r="J1536" s="73"/>
      <c r="K1536" s="73"/>
      <c r="L1536" s="73"/>
      <c r="M1536" s="73"/>
      <c r="N1536" s="73"/>
      <c r="O1536" s="73"/>
      <c r="P1536" s="73"/>
      <c r="Q1536" s="73"/>
      <c r="R1536" s="73"/>
      <c r="S1536" s="73"/>
      <c r="T1536" s="73"/>
      <c r="U1536" s="73"/>
      <c r="V1536" s="73"/>
      <c r="W1536" s="73"/>
      <c r="GL1536" s="73"/>
      <c r="GM1536" s="73"/>
      <c r="GN1536" s="73"/>
      <c r="GO1536" s="73"/>
      <c r="GP1536" s="73"/>
      <c r="GQ1536" s="73"/>
      <c r="GR1536" s="73"/>
      <c r="GS1536" s="73"/>
      <c r="GT1536" s="73"/>
      <c r="GU1536" s="73"/>
      <c r="GV1536" s="73"/>
      <c r="GW1536" s="73"/>
      <c r="GX1536" s="73"/>
      <c r="GY1536" s="73"/>
      <c r="GZ1536" s="73"/>
      <c r="HA1536" s="73"/>
      <c r="HB1536" s="73"/>
      <c r="HC1536" s="73"/>
      <c r="HD1536" s="73"/>
      <c r="HE1536" s="73"/>
      <c r="HF1536" s="73"/>
      <c r="HG1536" s="73"/>
      <c r="HH1536" s="73"/>
      <c r="HI1536" s="73"/>
      <c r="HJ1536" s="73"/>
      <c r="HK1536" s="73"/>
      <c r="HL1536" s="73"/>
      <c r="HM1536" s="73"/>
      <c r="HN1536" s="73"/>
      <c r="HO1536" s="73"/>
      <c r="HP1536" s="73"/>
      <c r="HQ1536" s="73"/>
      <c r="HR1536" s="73"/>
      <c r="HS1536" s="73"/>
      <c r="HT1536" s="73"/>
      <c r="HU1536" s="73"/>
      <c r="HV1536" s="73"/>
      <c r="HW1536" s="73"/>
      <c r="HX1536" s="73"/>
      <c r="HY1536" s="73"/>
      <c r="HZ1536" s="73"/>
      <c r="IA1536" s="73"/>
      <c r="IB1536" s="73"/>
      <c r="IC1536" s="73"/>
      <c r="ID1536" s="73"/>
      <c r="IE1536" s="73"/>
      <c r="IF1536" s="73"/>
      <c r="IG1536" s="73"/>
      <c r="IH1536" s="73"/>
      <c r="II1536" s="73"/>
      <c r="IJ1536" s="73"/>
      <c r="IK1536" s="73"/>
      <c r="IL1536" s="73"/>
      <c r="IM1536" s="73"/>
      <c r="IN1536" s="73"/>
      <c r="IO1536" s="73"/>
      <c r="IP1536" s="73"/>
      <c r="IQ1536" s="73"/>
      <c r="IR1536" s="73"/>
      <c r="IS1536" s="73"/>
      <c r="IT1536" s="73"/>
      <c r="IU1536" s="73"/>
      <c r="IV1536" s="73"/>
      <c r="IW1536" s="73"/>
      <c r="IX1536" s="73"/>
      <c r="IY1536" s="73"/>
      <c r="IZ1536" s="73"/>
      <c r="JA1536" s="73"/>
      <c r="JB1536" s="73"/>
      <c r="JC1536" s="73"/>
    </row>
    <row r="1537" spans="2:263" s="72" customFormat="1">
      <c r="B1537" s="73"/>
      <c r="C1537" s="73"/>
      <c r="D1537" s="73"/>
      <c r="E1537" s="73"/>
      <c r="F1537" s="73"/>
      <c r="G1537" s="73"/>
      <c r="H1537" s="73"/>
      <c r="I1537" s="73"/>
      <c r="J1537" s="73"/>
      <c r="K1537" s="73"/>
      <c r="L1537" s="73"/>
      <c r="M1537" s="73"/>
      <c r="N1537" s="73"/>
      <c r="O1537" s="73"/>
      <c r="P1537" s="73"/>
      <c r="Q1537" s="73"/>
      <c r="R1537" s="73"/>
      <c r="S1537" s="73"/>
      <c r="T1537" s="73"/>
      <c r="U1537" s="73"/>
      <c r="V1537" s="73"/>
      <c r="W1537" s="73"/>
      <c r="GL1537" s="73"/>
      <c r="GM1537" s="73"/>
      <c r="GN1537" s="73"/>
      <c r="GO1537" s="73"/>
      <c r="GP1537" s="73"/>
      <c r="GQ1537" s="73"/>
      <c r="GR1537" s="73"/>
      <c r="GS1537" s="73"/>
      <c r="GT1537" s="73"/>
      <c r="GU1537" s="73"/>
      <c r="GV1537" s="73"/>
      <c r="GW1537" s="73"/>
      <c r="GX1537" s="73"/>
      <c r="GY1537" s="73"/>
      <c r="GZ1537" s="73"/>
      <c r="HA1537" s="73"/>
      <c r="HB1537" s="73"/>
      <c r="HC1537" s="73"/>
      <c r="HD1537" s="73"/>
      <c r="HE1537" s="73"/>
      <c r="HF1537" s="73"/>
      <c r="HG1537" s="73"/>
      <c r="HH1537" s="73"/>
      <c r="HI1537" s="73"/>
      <c r="HJ1537" s="73"/>
      <c r="HK1537" s="73"/>
      <c r="HL1537" s="73"/>
      <c r="HM1537" s="73"/>
      <c r="HN1537" s="73"/>
      <c r="HO1537" s="73"/>
      <c r="HP1537" s="73"/>
      <c r="HQ1537" s="73"/>
      <c r="HR1537" s="73"/>
      <c r="HS1537" s="73"/>
      <c r="HT1537" s="73"/>
      <c r="HU1537" s="73"/>
      <c r="HV1537" s="73"/>
      <c r="HW1537" s="73"/>
      <c r="HX1537" s="73"/>
      <c r="HY1537" s="73"/>
      <c r="HZ1537" s="73"/>
      <c r="IA1537" s="73"/>
      <c r="IB1537" s="73"/>
      <c r="IC1537" s="73"/>
      <c r="ID1537" s="73"/>
      <c r="IE1537" s="73"/>
      <c r="IF1537" s="73"/>
      <c r="IG1537" s="73"/>
      <c r="IH1537" s="73"/>
      <c r="II1537" s="73"/>
      <c r="IJ1537" s="73"/>
      <c r="IK1537" s="73"/>
      <c r="IL1537" s="73"/>
      <c r="IM1537" s="73"/>
      <c r="IN1537" s="73"/>
      <c r="IO1537" s="73"/>
      <c r="IP1537" s="73"/>
      <c r="IQ1537" s="73"/>
      <c r="IR1537" s="73"/>
      <c r="IS1537" s="73"/>
      <c r="IT1537" s="73"/>
      <c r="IU1537" s="73"/>
      <c r="IV1537" s="73"/>
      <c r="IW1537" s="73"/>
      <c r="IX1537" s="73"/>
      <c r="IY1537" s="73"/>
      <c r="IZ1537" s="73"/>
      <c r="JA1537" s="73"/>
      <c r="JB1537" s="73"/>
      <c r="JC1537" s="73"/>
    </row>
    <row r="1538" spans="2:263" s="72" customFormat="1">
      <c r="B1538" s="73"/>
      <c r="C1538" s="73"/>
      <c r="D1538" s="73"/>
      <c r="E1538" s="73"/>
      <c r="F1538" s="73"/>
      <c r="G1538" s="73"/>
      <c r="H1538" s="73"/>
      <c r="I1538" s="73"/>
      <c r="J1538" s="73"/>
      <c r="K1538" s="73"/>
      <c r="L1538" s="73"/>
      <c r="M1538" s="73"/>
      <c r="N1538" s="73"/>
      <c r="O1538" s="73"/>
      <c r="P1538" s="73"/>
      <c r="Q1538" s="73"/>
      <c r="R1538" s="73"/>
      <c r="S1538" s="73"/>
      <c r="T1538" s="73"/>
      <c r="U1538" s="73"/>
      <c r="V1538" s="73"/>
      <c r="W1538" s="73"/>
      <c r="GL1538" s="73"/>
      <c r="GM1538" s="73"/>
      <c r="GN1538" s="73"/>
      <c r="GO1538" s="73"/>
      <c r="GP1538" s="73"/>
      <c r="GQ1538" s="73"/>
      <c r="GR1538" s="73"/>
      <c r="GS1538" s="73"/>
      <c r="GT1538" s="73"/>
      <c r="GU1538" s="73"/>
      <c r="GV1538" s="73"/>
      <c r="GW1538" s="73"/>
      <c r="GX1538" s="73"/>
      <c r="GY1538" s="73"/>
      <c r="GZ1538" s="73"/>
      <c r="HA1538" s="73"/>
      <c r="HB1538" s="73"/>
      <c r="HC1538" s="73"/>
      <c r="HD1538" s="73"/>
      <c r="HE1538" s="73"/>
      <c r="HF1538" s="73"/>
      <c r="HG1538" s="73"/>
      <c r="HH1538" s="73"/>
      <c r="HI1538" s="73"/>
      <c r="HJ1538" s="73"/>
      <c r="HK1538" s="73"/>
      <c r="HL1538" s="73"/>
      <c r="HM1538" s="73"/>
      <c r="HN1538" s="73"/>
      <c r="HO1538" s="73"/>
      <c r="HP1538" s="73"/>
      <c r="HQ1538" s="73"/>
      <c r="HR1538" s="73"/>
      <c r="HS1538" s="73"/>
      <c r="HT1538" s="73"/>
      <c r="HU1538" s="73"/>
      <c r="HV1538" s="73"/>
      <c r="HW1538" s="73"/>
      <c r="HX1538" s="73"/>
      <c r="HY1538" s="73"/>
      <c r="HZ1538" s="73"/>
      <c r="IA1538" s="73"/>
      <c r="IB1538" s="73"/>
      <c r="IC1538" s="73"/>
      <c r="ID1538" s="73"/>
      <c r="IE1538" s="73"/>
      <c r="IF1538" s="73"/>
      <c r="IG1538" s="73"/>
      <c r="IH1538" s="73"/>
      <c r="II1538" s="73"/>
      <c r="IJ1538" s="73"/>
      <c r="IK1538" s="73"/>
      <c r="IL1538" s="73"/>
      <c r="IM1538" s="73"/>
      <c r="IN1538" s="73"/>
      <c r="IO1538" s="73"/>
      <c r="IP1538" s="73"/>
      <c r="IQ1538" s="73"/>
      <c r="IR1538" s="73"/>
      <c r="IS1538" s="73"/>
      <c r="IT1538" s="73"/>
      <c r="IU1538" s="73"/>
      <c r="IV1538" s="73"/>
      <c r="IW1538" s="73"/>
      <c r="IX1538" s="73"/>
      <c r="IY1538" s="73"/>
      <c r="IZ1538" s="73"/>
      <c r="JA1538" s="73"/>
      <c r="JB1538" s="73"/>
      <c r="JC1538" s="73"/>
    </row>
    <row r="1539" spans="2:263" s="72" customFormat="1">
      <c r="B1539" s="73"/>
      <c r="C1539" s="73"/>
      <c r="D1539" s="73"/>
      <c r="E1539" s="73"/>
      <c r="F1539" s="73"/>
      <c r="G1539" s="73"/>
      <c r="H1539" s="73"/>
      <c r="I1539" s="73"/>
      <c r="J1539" s="73"/>
      <c r="K1539" s="73"/>
      <c r="L1539" s="73"/>
      <c r="M1539" s="73"/>
      <c r="N1539" s="73"/>
      <c r="O1539" s="73"/>
      <c r="P1539" s="73"/>
      <c r="Q1539" s="73"/>
      <c r="R1539" s="73"/>
      <c r="S1539" s="73"/>
      <c r="T1539" s="73"/>
      <c r="U1539" s="73"/>
      <c r="V1539" s="73"/>
      <c r="W1539" s="73"/>
      <c r="GL1539" s="73"/>
      <c r="GM1539" s="73"/>
      <c r="GN1539" s="73"/>
      <c r="GO1539" s="73"/>
      <c r="GP1539" s="73"/>
      <c r="GQ1539" s="73"/>
      <c r="GR1539" s="73"/>
      <c r="GS1539" s="73"/>
      <c r="GT1539" s="73"/>
      <c r="GU1539" s="73"/>
      <c r="GV1539" s="73"/>
      <c r="GW1539" s="73"/>
      <c r="GX1539" s="73"/>
      <c r="GY1539" s="73"/>
      <c r="GZ1539" s="73"/>
      <c r="HA1539" s="73"/>
      <c r="HB1539" s="73"/>
      <c r="HC1539" s="73"/>
      <c r="HD1539" s="73"/>
      <c r="HE1539" s="73"/>
      <c r="HF1539" s="73"/>
      <c r="HG1539" s="73"/>
      <c r="HH1539" s="73"/>
      <c r="HI1539" s="73"/>
      <c r="HJ1539" s="73"/>
      <c r="HK1539" s="73"/>
      <c r="HL1539" s="73"/>
      <c r="HM1539" s="73"/>
      <c r="HN1539" s="73"/>
      <c r="HO1539" s="73"/>
      <c r="HP1539" s="73"/>
      <c r="HQ1539" s="73"/>
      <c r="HR1539" s="73"/>
      <c r="HS1539" s="73"/>
      <c r="HT1539" s="73"/>
      <c r="HU1539" s="73"/>
      <c r="HV1539" s="73"/>
      <c r="HW1539" s="73"/>
      <c r="HX1539" s="73"/>
      <c r="HY1539" s="73"/>
      <c r="HZ1539" s="73"/>
      <c r="IA1539" s="73"/>
      <c r="IB1539" s="73"/>
      <c r="IC1539" s="73"/>
      <c r="ID1539" s="73"/>
      <c r="IE1539" s="73"/>
      <c r="IF1539" s="73"/>
      <c r="IG1539" s="73"/>
      <c r="IH1539" s="73"/>
      <c r="II1539" s="73"/>
      <c r="IJ1539" s="73"/>
      <c r="IK1539" s="73"/>
      <c r="IL1539" s="73"/>
      <c r="IM1539" s="73"/>
      <c r="IN1539" s="73"/>
      <c r="IO1539" s="73"/>
      <c r="IP1539" s="73"/>
      <c r="IQ1539" s="73"/>
      <c r="IR1539" s="73"/>
      <c r="IS1539" s="73"/>
      <c r="IT1539" s="73"/>
      <c r="IU1539" s="73"/>
      <c r="IV1539" s="73"/>
      <c r="IW1539" s="73"/>
      <c r="IX1539" s="73"/>
      <c r="IY1539" s="73"/>
      <c r="IZ1539" s="73"/>
      <c r="JA1539" s="73"/>
      <c r="JB1539" s="73"/>
      <c r="JC1539" s="73"/>
    </row>
    <row r="1540" spans="2:263" s="72" customFormat="1">
      <c r="B1540" s="73"/>
      <c r="C1540" s="73"/>
      <c r="D1540" s="73"/>
      <c r="E1540" s="73"/>
      <c r="F1540" s="73"/>
      <c r="G1540" s="73"/>
      <c r="H1540" s="73"/>
      <c r="I1540" s="73"/>
      <c r="J1540" s="73"/>
      <c r="K1540" s="73"/>
      <c r="L1540" s="73"/>
      <c r="M1540" s="73"/>
      <c r="N1540" s="73"/>
      <c r="O1540" s="73"/>
      <c r="P1540" s="73"/>
      <c r="Q1540" s="73"/>
      <c r="R1540" s="73"/>
      <c r="S1540" s="73"/>
      <c r="T1540" s="73"/>
      <c r="U1540" s="73"/>
      <c r="V1540" s="73"/>
      <c r="W1540" s="73"/>
      <c r="GL1540" s="73"/>
      <c r="GM1540" s="73"/>
      <c r="GN1540" s="73"/>
      <c r="GO1540" s="73"/>
      <c r="GP1540" s="73"/>
      <c r="GQ1540" s="73"/>
      <c r="GR1540" s="73"/>
      <c r="GS1540" s="73"/>
      <c r="GT1540" s="73"/>
      <c r="GU1540" s="73"/>
      <c r="GV1540" s="73"/>
      <c r="GW1540" s="73"/>
      <c r="GX1540" s="73"/>
      <c r="GY1540" s="73"/>
      <c r="GZ1540" s="73"/>
      <c r="HA1540" s="73"/>
      <c r="HB1540" s="73"/>
      <c r="HC1540" s="73"/>
      <c r="HD1540" s="73"/>
      <c r="HE1540" s="73"/>
      <c r="HF1540" s="73"/>
      <c r="HG1540" s="73"/>
      <c r="HH1540" s="73"/>
      <c r="HI1540" s="73"/>
      <c r="HJ1540" s="73"/>
      <c r="HK1540" s="73"/>
      <c r="HL1540" s="73"/>
      <c r="HM1540" s="73"/>
      <c r="HN1540" s="73"/>
      <c r="HO1540" s="73"/>
      <c r="HP1540" s="73"/>
      <c r="HQ1540" s="73"/>
      <c r="HR1540" s="73"/>
      <c r="HS1540" s="73"/>
      <c r="HT1540" s="73"/>
      <c r="HU1540" s="73"/>
      <c r="HV1540" s="73"/>
      <c r="HW1540" s="73"/>
      <c r="HX1540" s="73"/>
      <c r="HY1540" s="73"/>
      <c r="HZ1540" s="73"/>
      <c r="IA1540" s="73"/>
      <c r="IB1540" s="73"/>
      <c r="IC1540" s="73"/>
      <c r="ID1540" s="73"/>
      <c r="IE1540" s="73"/>
      <c r="IF1540" s="73"/>
      <c r="IG1540" s="73"/>
      <c r="IH1540" s="73"/>
      <c r="II1540" s="73"/>
      <c r="IJ1540" s="73"/>
      <c r="IK1540" s="73"/>
      <c r="IL1540" s="73"/>
      <c r="IM1540" s="73"/>
      <c r="IN1540" s="73"/>
      <c r="IO1540" s="73"/>
      <c r="IP1540" s="73"/>
      <c r="IQ1540" s="73"/>
      <c r="IR1540" s="73"/>
      <c r="IS1540" s="73"/>
      <c r="IT1540" s="73"/>
      <c r="IU1540" s="73"/>
      <c r="IV1540" s="73"/>
      <c r="IW1540" s="73"/>
      <c r="IX1540" s="73"/>
      <c r="IY1540" s="73"/>
      <c r="IZ1540" s="73"/>
      <c r="JA1540" s="73"/>
      <c r="JB1540" s="73"/>
      <c r="JC1540" s="73"/>
    </row>
    <row r="1541" spans="2:263" s="72" customFormat="1">
      <c r="B1541" s="73"/>
      <c r="C1541" s="73"/>
      <c r="D1541" s="73"/>
      <c r="E1541" s="73"/>
      <c r="F1541" s="73"/>
      <c r="G1541" s="73"/>
      <c r="H1541" s="73"/>
      <c r="I1541" s="73"/>
      <c r="J1541" s="73"/>
      <c r="K1541" s="73"/>
      <c r="L1541" s="73"/>
      <c r="M1541" s="73"/>
      <c r="N1541" s="73"/>
      <c r="O1541" s="73"/>
      <c r="P1541" s="73"/>
      <c r="Q1541" s="73"/>
      <c r="R1541" s="73"/>
      <c r="S1541" s="73"/>
      <c r="T1541" s="73"/>
      <c r="U1541" s="73"/>
      <c r="V1541" s="73"/>
      <c r="W1541" s="73"/>
      <c r="GL1541" s="73"/>
      <c r="GM1541" s="73"/>
      <c r="GN1541" s="73"/>
      <c r="GO1541" s="73"/>
      <c r="GP1541" s="73"/>
      <c r="GQ1541" s="73"/>
      <c r="GR1541" s="73"/>
      <c r="GS1541" s="73"/>
      <c r="GT1541" s="73"/>
      <c r="GU1541" s="73"/>
      <c r="GV1541" s="73"/>
      <c r="GW1541" s="73"/>
      <c r="GX1541" s="73"/>
      <c r="GY1541" s="73"/>
      <c r="GZ1541" s="73"/>
      <c r="HA1541" s="73"/>
      <c r="HB1541" s="73"/>
      <c r="HC1541" s="73"/>
      <c r="HD1541" s="73"/>
      <c r="HE1541" s="73"/>
      <c r="HF1541" s="73"/>
      <c r="HG1541" s="73"/>
      <c r="HH1541" s="73"/>
      <c r="HI1541" s="73"/>
      <c r="HJ1541" s="73"/>
      <c r="HK1541" s="73"/>
      <c r="HL1541" s="73"/>
      <c r="HM1541" s="73"/>
      <c r="HN1541" s="73"/>
      <c r="HO1541" s="73"/>
      <c r="HP1541" s="73"/>
      <c r="HQ1541" s="73"/>
      <c r="HR1541" s="73"/>
      <c r="HS1541" s="73"/>
      <c r="HT1541" s="73"/>
      <c r="HU1541" s="73"/>
      <c r="HV1541" s="73"/>
      <c r="HW1541" s="73"/>
      <c r="HX1541" s="73"/>
      <c r="HY1541" s="73"/>
      <c r="HZ1541" s="73"/>
      <c r="IA1541" s="73"/>
      <c r="IB1541" s="73"/>
      <c r="IC1541" s="73"/>
      <c r="ID1541" s="73"/>
      <c r="IE1541" s="73"/>
      <c r="IF1541" s="73"/>
      <c r="IG1541" s="73"/>
      <c r="IH1541" s="73"/>
      <c r="II1541" s="73"/>
      <c r="IJ1541" s="73"/>
      <c r="IK1541" s="73"/>
      <c r="IL1541" s="73"/>
      <c r="IM1541" s="73"/>
      <c r="IN1541" s="73"/>
      <c r="IO1541" s="73"/>
      <c r="IP1541" s="73"/>
      <c r="IQ1541" s="73"/>
      <c r="IR1541" s="73"/>
      <c r="IS1541" s="73"/>
      <c r="IT1541" s="73"/>
      <c r="IU1541" s="73"/>
      <c r="IV1541" s="73"/>
      <c r="IW1541" s="73"/>
      <c r="IX1541" s="73"/>
      <c r="IY1541" s="73"/>
      <c r="IZ1541" s="73"/>
      <c r="JA1541" s="73"/>
      <c r="JB1541" s="73"/>
      <c r="JC1541" s="73"/>
    </row>
    <row r="1542" spans="2:263" s="72" customFormat="1">
      <c r="B1542" s="73"/>
      <c r="C1542" s="73"/>
      <c r="D1542" s="73"/>
      <c r="E1542" s="73"/>
      <c r="F1542" s="73"/>
      <c r="G1542" s="73"/>
      <c r="H1542" s="73"/>
      <c r="I1542" s="73"/>
      <c r="J1542" s="73"/>
      <c r="K1542" s="73"/>
      <c r="L1542" s="73"/>
      <c r="M1542" s="73"/>
      <c r="N1542" s="73"/>
      <c r="O1542" s="73"/>
      <c r="P1542" s="73"/>
      <c r="Q1542" s="73"/>
      <c r="R1542" s="73"/>
      <c r="S1542" s="73"/>
      <c r="T1542" s="73"/>
      <c r="U1542" s="73"/>
      <c r="V1542" s="73"/>
      <c r="W1542" s="73"/>
      <c r="GL1542" s="73"/>
      <c r="GM1542" s="73"/>
      <c r="GN1542" s="73"/>
      <c r="GO1542" s="73"/>
      <c r="GP1542" s="73"/>
      <c r="GQ1542" s="73"/>
      <c r="GR1542" s="73"/>
      <c r="GS1542" s="73"/>
      <c r="GT1542" s="73"/>
      <c r="GU1542" s="73"/>
      <c r="GV1542" s="73"/>
      <c r="GW1542" s="73"/>
      <c r="GX1542" s="73"/>
      <c r="GY1542" s="73"/>
      <c r="GZ1542" s="73"/>
      <c r="HA1542" s="73"/>
      <c r="HB1542" s="73"/>
      <c r="HC1542" s="73"/>
      <c r="HD1542" s="73"/>
      <c r="HE1542" s="73"/>
      <c r="HF1542" s="73"/>
      <c r="HG1542" s="73"/>
      <c r="HH1542" s="73"/>
      <c r="HI1542" s="73"/>
      <c r="HJ1542" s="73"/>
      <c r="HK1542" s="73"/>
      <c r="HL1542" s="73"/>
      <c r="HM1542" s="73"/>
      <c r="HN1542" s="73"/>
      <c r="HO1542" s="73"/>
      <c r="HP1542" s="73"/>
      <c r="HQ1542" s="73"/>
      <c r="HR1542" s="73"/>
      <c r="HS1542" s="73"/>
      <c r="HT1542" s="73"/>
      <c r="HU1542" s="73"/>
      <c r="HV1542" s="73"/>
      <c r="HW1542" s="73"/>
      <c r="HX1542" s="73"/>
      <c r="HY1542" s="73"/>
      <c r="HZ1542" s="73"/>
      <c r="IA1542" s="73"/>
      <c r="IB1542" s="73"/>
      <c r="IC1542" s="73"/>
      <c r="ID1542" s="73"/>
      <c r="IE1542" s="73"/>
      <c r="IF1542" s="73"/>
      <c r="IG1542" s="73"/>
      <c r="IH1542" s="73"/>
      <c r="II1542" s="73"/>
      <c r="IJ1542" s="73"/>
      <c r="IK1542" s="73"/>
      <c r="IL1542" s="73"/>
      <c r="IM1542" s="73"/>
      <c r="IN1542" s="73"/>
      <c r="IO1542" s="73"/>
      <c r="IP1542" s="73"/>
      <c r="IQ1542" s="73"/>
      <c r="IR1542" s="73"/>
      <c r="IS1542" s="73"/>
      <c r="IT1542" s="73"/>
      <c r="IU1542" s="73"/>
      <c r="IV1542" s="73"/>
      <c r="IW1542" s="73"/>
      <c r="IX1542" s="73"/>
      <c r="IY1542" s="73"/>
      <c r="IZ1542" s="73"/>
      <c r="JA1542" s="73"/>
      <c r="JB1542" s="73"/>
      <c r="JC1542" s="73"/>
    </row>
    <row r="1543" spans="2:263" s="72" customFormat="1">
      <c r="B1543" s="73"/>
      <c r="C1543" s="73"/>
      <c r="D1543" s="73"/>
      <c r="E1543" s="73"/>
      <c r="F1543" s="73"/>
      <c r="G1543" s="73"/>
      <c r="H1543" s="73"/>
      <c r="I1543" s="73"/>
      <c r="J1543" s="73"/>
      <c r="K1543" s="73"/>
      <c r="L1543" s="73"/>
      <c r="M1543" s="73"/>
      <c r="N1543" s="73"/>
      <c r="O1543" s="73"/>
      <c r="P1543" s="73"/>
      <c r="Q1543" s="73"/>
      <c r="R1543" s="73"/>
      <c r="S1543" s="73"/>
      <c r="T1543" s="73"/>
      <c r="U1543" s="73"/>
      <c r="V1543" s="73"/>
      <c r="W1543" s="73"/>
      <c r="GL1543" s="73"/>
      <c r="GM1543" s="73"/>
      <c r="GN1543" s="73"/>
      <c r="GO1543" s="73"/>
      <c r="GP1543" s="73"/>
      <c r="GQ1543" s="73"/>
      <c r="GR1543" s="73"/>
      <c r="GS1543" s="73"/>
      <c r="GT1543" s="73"/>
      <c r="GU1543" s="73"/>
      <c r="GV1543" s="73"/>
      <c r="GW1543" s="73"/>
      <c r="GX1543" s="73"/>
      <c r="GY1543" s="73"/>
      <c r="GZ1543" s="73"/>
      <c r="HA1543" s="73"/>
      <c r="HB1543" s="73"/>
      <c r="HC1543" s="73"/>
      <c r="HD1543" s="73"/>
      <c r="HE1543" s="73"/>
      <c r="HF1543" s="73"/>
      <c r="HG1543" s="73"/>
      <c r="HH1543" s="73"/>
      <c r="HI1543" s="73"/>
      <c r="HJ1543" s="73"/>
      <c r="HK1543" s="73"/>
      <c r="HL1543" s="73"/>
      <c r="HM1543" s="73"/>
      <c r="HN1543" s="73"/>
      <c r="HO1543" s="73"/>
      <c r="HP1543" s="73"/>
      <c r="HQ1543" s="73"/>
      <c r="HR1543" s="73"/>
      <c r="HS1543" s="73"/>
      <c r="HT1543" s="73"/>
      <c r="HU1543" s="73"/>
      <c r="HV1543" s="73"/>
      <c r="HW1543" s="73"/>
      <c r="HX1543" s="73"/>
      <c r="HY1543" s="73"/>
      <c r="HZ1543" s="73"/>
      <c r="IA1543" s="73"/>
      <c r="IB1543" s="73"/>
      <c r="IC1543" s="73"/>
      <c r="ID1543" s="73"/>
      <c r="IE1543" s="73"/>
      <c r="IF1543" s="73"/>
      <c r="IG1543" s="73"/>
      <c r="IH1543" s="73"/>
      <c r="II1543" s="73"/>
      <c r="IJ1543" s="73"/>
      <c r="IK1543" s="73"/>
      <c r="IL1543" s="73"/>
      <c r="IM1543" s="73"/>
      <c r="IN1543" s="73"/>
      <c r="IO1543" s="73"/>
      <c r="IP1543" s="73"/>
      <c r="IQ1543" s="73"/>
      <c r="IR1543" s="73"/>
      <c r="IS1543" s="73"/>
      <c r="IT1543" s="73"/>
      <c r="IU1543" s="73"/>
      <c r="IV1543" s="73"/>
      <c r="IW1543" s="73"/>
      <c r="IX1543" s="73"/>
      <c r="IY1543" s="73"/>
      <c r="IZ1543" s="73"/>
      <c r="JA1543" s="73"/>
      <c r="JB1543" s="73"/>
      <c r="JC1543" s="73"/>
    </row>
    <row r="1544" spans="2:263" s="72" customFormat="1">
      <c r="B1544" s="73"/>
      <c r="C1544" s="73"/>
      <c r="D1544" s="73"/>
      <c r="E1544" s="73"/>
      <c r="F1544" s="73"/>
      <c r="G1544" s="73"/>
      <c r="H1544" s="73"/>
      <c r="I1544" s="73"/>
      <c r="J1544" s="73"/>
      <c r="K1544" s="73"/>
      <c r="L1544" s="73"/>
      <c r="M1544" s="73"/>
      <c r="N1544" s="73"/>
      <c r="O1544" s="73"/>
      <c r="P1544" s="73"/>
      <c r="Q1544" s="73"/>
      <c r="R1544" s="73"/>
      <c r="S1544" s="73"/>
      <c r="T1544" s="73"/>
      <c r="U1544" s="73"/>
      <c r="V1544" s="73"/>
      <c r="W1544" s="73"/>
      <c r="GL1544" s="73"/>
      <c r="GM1544" s="73"/>
      <c r="GN1544" s="73"/>
      <c r="GO1544" s="73"/>
      <c r="GP1544" s="73"/>
      <c r="GQ1544" s="73"/>
      <c r="GR1544" s="73"/>
      <c r="GS1544" s="73"/>
      <c r="GT1544" s="73"/>
      <c r="GU1544" s="73"/>
      <c r="GV1544" s="73"/>
      <c r="GW1544" s="73"/>
      <c r="GX1544" s="73"/>
      <c r="GY1544" s="73"/>
      <c r="GZ1544" s="73"/>
      <c r="HA1544" s="73"/>
      <c r="HB1544" s="73"/>
      <c r="HC1544" s="73"/>
      <c r="HD1544" s="73"/>
      <c r="HE1544" s="73"/>
      <c r="HF1544" s="73"/>
      <c r="HG1544" s="73"/>
      <c r="HH1544" s="73"/>
      <c r="HI1544" s="73"/>
      <c r="HJ1544" s="73"/>
      <c r="HK1544" s="73"/>
      <c r="HL1544" s="73"/>
      <c r="HM1544" s="73"/>
      <c r="HN1544" s="73"/>
      <c r="HO1544" s="73"/>
      <c r="HP1544" s="73"/>
      <c r="HQ1544" s="73"/>
      <c r="HR1544" s="73"/>
      <c r="HS1544" s="73"/>
      <c r="HT1544" s="73"/>
      <c r="HU1544" s="73"/>
      <c r="HV1544" s="73"/>
      <c r="HW1544" s="73"/>
      <c r="HX1544" s="73"/>
      <c r="HY1544" s="73"/>
      <c r="HZ1544" s="73"/>
      <c r="IA1544" s="73"/>
      <c r="IB1544" s="73"/>
      <c r="IC1544" s="73"/>
      <c r="ID1544" s="73"/>
      <c r="IE1544" s="73"/>
      <c r="IF1544" s="73"/>
      <c r="IG1544" s="73"/>
      <c r="IH1544" s="73"/>
      <c r="II1544" s="73"/>
      <c r="IJ1544" s="73"/>
      <c r="IK1544" s="73"/>
      <c r="IL1544" s="73"/>
      <c r="IM1544" s="73"/>
      <c r="IN1544" s="73"/>
      <c r="IO1544" s="73"/>
      <c r="IP1544" s="73"/>
      <c r="IQ1544" s="73"/>
      <c r="IR1544" s="73"/>
      <c r="IS1544" s="73"/>
      <c r="IT1544" s="73"/>
      <c r="IU1544" s="73"/>
      <c r="IV1544" s="73"/>
      <c r="IW1544" s="73"/>
      <c r="IX1544" s="73"/>
      <c r="IY1544" s="73"/>
      <c r="IZ1544" s="73"/>
      <c r="JA1544" s="73"/>
      <c r="JB1544" s="73"/>
      <c r="JC1544" s="73"/>
    </row>
    <row r="1545" spans="2:263" s="72" customFormat="1">
      <c r="B1545" s="73"/>
      <c r="C1545" s="73"/>
      <c r="D1545" s="73"/>
      <c r="E1545" s="73"/>
      <c r="F1545" s="73"/>
      <c r="G1545" s="73"/>
      <c r="H1545" s="73"/>
      <c r="I1545" s="73"/>
      <c r="J1545" s="73"/>
      <c r="K1545" s="73"/>
      <c r="L1545" s="73"/>
      <c r="M1545" s="73"/>
      <c r="N1545" s="73"/>
      <c r="O1545" s="73"/>
      <c r="P1545" s="73"/>
      <c r="Q1545" s="73"/>
      <c r="R1545" s="73"/>
      <c r="S1545" s="73"/>
      <c r="T1545" s="73"/>
      <c r="U1545" s="73"/>
      <c r="V1545" s="73"/>
      <c r="W1545" s="73"/>
      <c r="GL1545" s="73"/>
      <c r="GM1545" s="73"/>
      <c r="GN1545" s="73"/>
      <c r="GO1545" s="73"/>
      <c r="GP1545" s="73"/>
      <c r="GQ1545" s="73"/>
      <c r="GR1545" s="73"/>
      <c r="GS1545" s="73"/>
      <c r="GT1545" s="73"/>
      <c r="GU1545" s="73"/>
      <c r="GV1545" s="73"/>
      <c r="GW1545" s="73"/>
      <c r="GX1545" s="73"/>
      <c r="GY1545" s="73"/>
      <c r="GZ1545" s="73"/>
      <c r="HA1545" s="73"/>
      <c r="HB1545" s="73"/>
      <c r="HC1545" s="73"/>
      <c r="HD1545" s="73"/>
      <c r="HE1545" s="73"/>
      <c r="HF1545" s="73"/>
      <c r="HG1545" s="73"/>
      <c r="HH1545" s="73"/>
      <c r="HI1545" s="73"/>
      <c r="HJ1545" s="73"/>
      <c r="HK1545" s="73"/>
      <c r="HL1545" s="73"/>
      <c r="HM1545" s="73"/>
      <c r="HN1545" s="73"/>
      <c r="HO1545" s="73"/>
      <c r="HP1545" s="73"/>
      <c r="HQ1545" s="73"/>
      <c r="HR1545" s="73"/>
      <c r="HS1545" s="73"/>
      <c r="HT1545" s="73"/>
      <c r="HU1545" s="73"/>
      <c r="HV1545" s="73"/>
      <c r="HW1545" s="73"/>
      <c r="HX1545" s="73"/>
      <c r="HY1545" s="73"/>
      <c r="HZ1545" s="73"/>
      <c r="IA1545" s="73"/>
      <c r="IB1545" s="73"/>
      <c r="IC1545" s="73"/>
      <c r="ID1545" s="73"/>
      <c r="IE1545" s="73"/>
      <c r="IF1545" s="73"/>
      <c r="IG1545" s="73"/>
      <c r="IH1545" s="73"/>
      <c r="II1545" s="73"/>
      <c r="IJ1545" s="73"/>
      <c r="IK1545" s="73"/>
      <c r="IL1545" s="73"/>
      <c r="IM1545" s="73"/>
      <c r="IN1545" s="73"/>
      <c r="IO1545" s="73"/>
      <c r="IP1545" s="73"/>
      <c r="IQ1545" s="73"/>
      <c r="IR1545" s="73"/>
      <c r="IS1545" s="73"/>
      <c r="IT1545" s="73"/>
      <c r="IU1545" s="73"/>
      <c r="IV1545" s="73"/>
      <c r="IW1545" s="73"/>
      <c r="IX1545" s="73"/>
      <c r="IY1545" s="73"/>
      <c r="IZ1545" s="73"/>
      <c r="JA1545" s="73"/>
      <c r="JB1545" s="73"/>
      <c r="JC1545" s="73"/>
    </row>
    <row r="1546" spans="2:263" s="72" customFormat="1">
      <c r="B1546" s="73"/>
      <c r="C1546" s="73"/>
      <c r="D1546" s="73"/>
      <c r="E1546" s="73"/>
      <c r="F1546" s="73"/>
      <c r="G1546" s="73"/>
      <c r="H1546" s="73"/>
      <c r="I1546" s="73"/>
      <c r="J1546" s="73"/>
      <c r="K1546" s="73"/>
      <c r="L1546" s="73"/>
      <c r="M1546" s="73"/>
      <c r="N1546" s="73"/>
      <c r="O1546" s="73"/>
      <c r="P1546" s="73"/>
      <c r="Q1546" s="73"/>
      <c r="R1546" s="73"/>
      <c r="S1546" s="73"/>
      <c r="T1546" s="73"/>
      <c r="U1546" s="73"/>
      <c r="V1546" s="73"/>
      <c r="W1546" s="73"/>
      <c r="GL1546" s="73"/>
      <c r="GM1546" s="73"/>
      <c r="GN1546" s="73"/>
      <c r="GO1546" s="73"/>
      <c r="GP1546" s="73"/>
      <c r="GQ1546" s="73"/>
      <c r="GR1546" s="73"/>
      <c r="GS1546" s="73"/>
      <c r="GT1546" s="73"/>
      <c r="GU1546" s="73"/>
      <c r="GV1546" s="73"/>
      <c r="GW1546" s="73"/>
      <c r="GX1546" s="73"/>
      <c r="GY1546" s="73"/>
      <c r="GZ1546" s="73"/>
      <c r="HA1546" s="73"/>
      <c r="HB1546" s="73"/>
      <c r="HC1546" s="73"/>
      <c r="HD1546" s="73"/>
      <c r="HE1546" s="73"/>
      <c r="HF1546" s="73"/>
      <c r="HG1546" s="73"/>
      <c r="HH1546" s="73"/>
      <c r="HI1546" s="73"/>
      <c r="HJ1546" s="73"/>
      <c r="HK1546" s="73"/>
      <c r="HL1546" s="73"/>
      <c r="HM1546" s="73"/>
      <c r="HN1546" s="73"/>
      <c r="HO1546" s="73"/>
      <c r="HP1546" s="73"/>
      <c r="HQ1546" s="73"/>
      <c r="HR1546" s="73"/>
      <c r="HS1546" s="73"/>
      <c r="HT1546" s="73"/>
      <c r="HU1546" s="73"/>
      <c r="HV1546" s="73"/>
      <c r="HW1546" s="73"/>
      <c r="HX1546" s="73"/>
      <c r="HY1546" s="73"/>
      <c r="HZ1546" s="73"/>
      <c r="IA1546" s="73"/>
      <c r="IB1546" s="73"/>
      <c r="IC1546" s="73"/>
      <c r="ID1546" s="73"/>
      <c r="IE1546" s="73"/>
      <c r="IF1546" s="73"/>
      <c r="IG1546" s="73"/>
      <c r="IH1546" s="73"/>
      <c r="II1546" s="73"/>
      <c r="IJ1546" s="73"/>
      <c r="IK1546" s="73"/>
      <c r="IL1546" s="73"/>
      <c r="IM1546" s="73"/>
      <c r="IN1546" s="73"/>
      <c r="IO1546" s="73"/>
      <c r="IP1546" s="73"/>
      <c r="IQ1546" s="73"/>
      <c r="IR1546" s="73"/>
      <c r="IS1546" s="73"/>
      <c r="IT1546" s="73"/>
      <c r="IU1546" s="73"/>
      <c r="IV1546" s="73"/>
      <c r="IW1546" s="73"/>
      <c r="IX1546" s="73"/>
      <c r="IY1546" s="73"/>
      <c r="IZ1546" s="73"/>
      <c r="JA1546" s="73"/>
      <c r="JB1546" s="73"/>
      <c r="JC1546" s="73"/>
    </row>
    <row r="1547" spans="2:263" s="72" customFormat="1">
      <c r="B1547" s="73"/>
      <c r="C1547" s="73"/>
      <c r="D1547" s="73"/>
      <c r="E1547" s="73"/>
      <c r="F1547" s="73"/>
      <c r="G1547" s="73"/>
      <c r="H1547" s="73"/>
      <c r="I1547" s="73"/>
      <c r="J1547" s="73"/>
      <c r="K1547" s="73"/>
      <c r="L1547" s="73"/>
      <c r="M1547" s="73"/>
      <c r="N1547" s="73"/>
      <c r="O1547" s="73"/>
      <c r="P1547" s="73"/>
      <c r="Q1547" s="73"/>
      <c r="R1547" s="73"/>
      <c r="S1547" s="73"/>
      <c r="T1547" s="73"/>
      <c r="U1547" s="73"/>
      <c r="V1547" s="73"/>
      <c r="W1547" s="73"/>
      <c r="GL1547" s="73"/>
      <c r="GM1547" s="73"/>
      <c r="GN1547" s="73"/>
      <c r="GO1547" s="73"/>
      <c r="GP1547" s="73"/>
      <c r="GQ1547" s="73"/>
      <c r="GR1547" s="73"/>
      <c r="GS1547" s="73"/>
      <c r="GT1547" s="73"/>
      <c r="GU1547" s="73"/>
      <c r="GV1547" s="73"/>
      <c r="GW1547" s="73"/>
      <c r="GX1547" s="73"/>
      <c r="GY1547" s="73"/>
      <c r="GZ1547" s="73"/>
      <c r="HA1547" s="73"/>
      <c r="HB1547" s="73"/>
      <c r="HC1547" s="73"/>
      <c r="HD1547" s="73"/>
      <c r="HE1547" s="73"/>
      <c r="HF1547" s="73"/>
      <c r="HG1547" s="73"/>
      <c r="HH1547" s="73"/>
      <c r="HI1547" s="73"/>
      <c r="HJ1547" s="73"/>
      <c r="HK1547" s="73"/>
      <c r="HL1547" s="73"/>
      <c r="HM1547" s="73"/>
      <c r="HN1547" s="73"/>
      <c r="HO1547" s="73"/>
      <c r="HP1547" s="73"/>
      <c r="HQ1547" s="73"/>
      <c r="HR1547" s="73"/>
      <c r="HS1547" s="73"/>
      <c r="HT1547" s="73"/>
      <c r="HU1547" s="73"/>
      <c r="HV1547" s="73"/>
      <c r="HW1547" s="73"/>
      <c r="HX1547" s="73"/>
      <c r="HY1547" s="73"/>
      <c r="HZ1547" s="73"/>
      <c r="IA1547" s="73"/>
      <c r="IB1547" s="73"/>
      <c r="IC1547" s="73"/>
      <c r="ID1547" s="73"/>
      <c r="IE1547" s="73"/>
      <c r="IF1547" s="73"/>
      <c r="IG1547" s="73"/>
      <c r="IH1547" s="73"/>
      <c r="II1547" s="73"/>
      <c r="IJ1547" s="73"/>
      <c r="IK1547" s="73"/>
      <c r="IL1547" s="73"/>
      <c r="IM1547" s="73"/>
      <c r="IN1547" s="73"/>
      <c r="IO1547" s="73"/>
      <c r="IP1547" s="73"/>
      <c r="IQ1547" s="73"/>
      <c r="IR1547" s="73"/>
      <c r="IS1547" s="73"/>
      <c r="IT1547" s="73"/>
      <c r="IU1547" s="73"/>
      <c r="IV1547" s="73"/>
      <c r="IW1547" s="73"/>
      <c r="IX1547" s="73"/>
      <c r="IY1547" s="73"/>
      <c r="IZ1547" s="73"/>
      <c r="JA1547" s="73"/>
      <c r="JB1547" s="73"/>
      <c r="JC1547" s="73"/>
    </row>
    <row r="1548" spans="2:263" s="72" customFormat="1">
      <c r="B1548" s="73"/>
      <c r="C1548" s="73"/>
      <c r="D1548" s="73"/>
      <c r="E1548" s="73"/>
      <c r="F1548" s="73"/>
      <c r="G1548" s="73"/>
      <c r="H1548" s="73"/>
      <c r="I1548" s="73"/>
      <c r="J1548" s="73"/>
      <c r="K1548" s="73"/>
      <c r="L1548" s="73"/>
      <c r="M1548" s="73"/>
      <c r="N1548" s="73"/>
      <c r="O1548" s="73"/>
      <c r="P1548" s="73"/>
      <c r="Q1548" s="73"/>
      <c r="R1548" s="73"/>
      <c r="S1548" s="73"/>
      <c r="T1548" s="73"/>
      <c r="U1548" s="73"/>
      <c r="V1548" s="73"/>
      <c r="W1548" s="73"/>
      <c r="GL1548" s="73"/>
      <c r="GM1548" s="73"/>
      <c r="GN1548" s="73"/>
      <c r="GO1548" s="73"/>
      <c r="GP1548" s="73"/>
      <c r="GQ1548" s="73"/>
      <c r="GR1548" s="73"/>
      <c r="GS1548" s="73"/>
      <c r="GT1548" s="73"/>
      <c r="GU1548" s="73"/>
      <c r="GV1548" s="73"/>
      <c r="GW1548" s="73"/>
      <c r="GX1548" s="73"/>
      <c r="GY1548" s="73"/>
      <c r="GZ1548" s="73"/>
      <c r="HA1548" s="73"/>
      <c r="HB1548" s="73"/>
      <c r="HC1548" s="73"/>
      <c r="HD1548" s="73"/>
      <c r="HE1548" s="73"/>
      <c r="HF1548" s="73"/>
      <c r="HG1548" s="73"/>
      <c r="HH1548" s="73"/>
      <c r="HI1548" s="73"/>
      <c r="HJ1548" s="73"/>
      <c r="HK1548" s="73"/>
      <c r="HL1548" s="73"/>
      <c r="HM1548" s="73"/>
      <c r="HN1548" s="73"/>
      <c r="HO1548" s="73"/>
      <c r="HP1548" s="73"/>
      <c r="HQ1548" s="73"/>
      <c r="HR1548" s="73"/>
      <c r="HS1548" s="73"/>
      <c r="HT1548" s="73"/>
      <c r="HU1548" s="73"/>
      <c r="HV1548" s="73"/>
      <c r="HW1548" s="73"/>
      <c r="HX1548" s="73"/>
      <c r="HY1548" s="73"/>
      <c r="HZ1548" s="73"/>
      <c r="IA1548" s="73"/>
      <c r="IB1548" s="73"/>
      <c r="IC1548" s="73"/>
      <c r="ID1548" s="73"/>
      <c r="IE1548" s="73"/>
      <c r="IF1548" s="73"/>
      <c r="IG1548" s="73"/>
      <c r="IH1548" s="73"/>
      <c r="II1548" s="73"/>
      <c r="IJ1548" s="73"/>
      <c r="IK1548" s="73"/>
      <c r="IL1548" s="73"/>
      <c r="IM1548" s="73"/>
      <c r="IN1548" s="73"/>
      <c r="IO1548" s="73"/>
      <c r="IP1548" s="73"/>
      <c r="IQ1548" s="73"/>
      <c r="IR1548" s="73"/>
      <c r="IS1548" s="73"/>
      <c r="IT1548" s="73"/>
      <c r="IU1548" s="73"/>
      <c r="IV1548" s="73"/>
      <c r="IW1548" s="73"/>
      <c r="IX1548" s="73"/>
      <c r="IY1548" s="73"/>
      <c r="IZ1548" s="73"/>
      <c r="JA1548" s="73"/>
      <c r="JB1548" s="73"/>
      <c r="JC1548" s="73"/>
    </row>
    <row r="1549" spans="2:263" s="72" customFormat="1">
      <c r="B1549" s="73"/>
      <c r="C1549" s="73"/>
      <c r="D1549" s="73"/>
      <c r="E1549" s="73"/>
      <c r="F1549" s="73"/>
      <c r="G1549" s="73"/>
      <c r="H1549" s="73"/>
      <c r="I1549" s="73"/>
      <c r="J1549" s="73"/>
      <c r="K1549" s="73"/>
      <c r="L1549" s="73"/>
      <c r="M1549" s="73"/>
      <c r="N1549" s="73"/>
      <c r="O1549" s="73"/>
      <c r="P1549" s="73"/>
      <c r="Q1549" s="73"/>
      <c r="R1549" s="73"/>
      <c r="S1549" s="73"/>
      <c r="T1549" s="73"/>
      <c r="U1549" s="73"/>
      <c r="V1549" s="73"/>
      <c r="W1549" s="73"/>
      <c r="GL1549" s="73"/>
      <c r="GM1549" s="73"/>
      <c r="GN1549" s="73"/>
      <c r="GO1549" s="73"/>
      <c r="GP1549" s="73"/>
      <c r="GQ1549" s="73"/>
      <c r="GR1549" s="73"/>
      <c r="GS1549" s="73"/>
      <c r="GT1549" s="73"/>
      <c r="GU1549" s="73"/>
      <c r="GV1549" s="73"/>
      <c r="GW1549" s="73"/>
      <c r="GX1549" s="73"/>
      <c r="GY1549" s="73"/>
      <c r="GZ1549" s="73"/>
      <c r="HA1549" s="73"/>
      <c r="HB1549" s="73"/>
      <c r="HC1549" s="73"/>
      <c r="HD1549" s="73"/>
      <c r="HE1549" s="73"/>
      <c r="HF1549" s="73"/>
      <c r="HG1549" s="73"/>
      <c r="HH1549" s="73"/>
      <c r="HI1549" s="73"/>
      <c r="HJ1549" s="73"/>
      <c r="HK1549" s="73"/>
      <c r="HL1549" s="73"/>
      <c r="HM1549" s="73"/>
      <c r="HN1549" s="73"/>
      <c r="HO1549" s="73"/>
      <c r="HP1549" s="73"/>
      <c r="HQ1549" s="73"/>
      <c r="HR1549" s="73"/>
      <c r="HS1549" s="73"/>
      <c r="HT1549" s="73"/>
      <c r="HU1549" s="73"/>
      <c r="HV1549" s="73"/>
      <c r="HW1549" s="73"/>
      <c r="HX1549" s="73"/>
      <c r="HY1549" s="73"/>
      <c r="HZ1549" s="73"/>
      <c r="IA1549" s="73"/>
      <c r="IB1549" s="73"/>
      <c r="IC1549" s="73"/>
      <c r="ID1549" s="73"/>
      <c r="IE1549" s="73"/>
      <c r="IF1549" s="73"/>
      <c r="IG1549" s="73"/>
      <c r="IH1549" s="73"/>
      <c r="II1549" s="73"/>
      <c r="IJ1549" s="73"/>
      <c r="IK1549" s="73"/>
      <c r="IL1549" s="73"/>
      <c r="IM1549" s="73"/>
      <c r="IN1549" s="73"/>
      <c r="IO1549" s="73"/>
      <c r="IP1549" s="73"/>
      <c r="IQ1549" s="73"/>
      <c r="IR1549" s="73"/>
      <c r="IS1549" s="73"/>
      <c r="IT1549" s="73"/>
      <c r="IU1549" s="73"/>
      <c r="IV1549" s="73"/>
      <c r="IW1549" s="73"/>
      <c r="IX1549" s="73"/>
      <c r="IY1549" s="73"/>
      <c r="IZ1549" s="73"/>
      <c r="JA1549" s="73"/>
      <c r="JB1549" s="73"/>
      <c r="JC1549" s="73"/>
    </row>
    <row r="1550" spans="2:263" s="72" customFormat="1">
      <c r="B1550" s="73"/>
      <c r="C1550" s="73"/>
      <c r="D1550" s="73"/>
      <c r="E1550" s="73"/>
      <c r="F1550" s="73"/>
      <c r="G1550" s="73"/>
      <c r="H1550" s="73"/>
      <c r="I1550" s="73"/>
      <c r="J1550" s="73"/>
      <c r="K1550" s="73"/>
      <c r="L1550" s="73"/>
      <c r="M1550" s="73"/>
      <c r="N1550" s="73"/>
      <c r="O1550" s="73"/>
      <c r="P1550" s="73"/>
      <c r="Q1550" s="73"/>
      <c r="R1550" s="73"/>
      <c r="S1550" s="73"/>
      <c r="T1550" s="73"/>
      <c r="U1550" s="73"/>
      <c r="V1550" s="73"/>
      <c r="W1550" s="73"/>
      <c r="GL1550" s="73"/>
      <c r="GM1550" s="73"/>
      <c r="GN1550" s="73"/>
      <c r="GO1550" s="73"/>
      <c r="GP1550" s="73"/>
      <c r="GQ1550" s="73"/>
      <c r="GR1550" s="73"/>
      <c r="GS1550" s="73"/>
      <c r="GT1550" s="73"/>
      <c r="GU1550" s="73"/>
      <c r="GV1550" s="73"/>
      <c r="GW1550" s="73"/>
      <c r="GX1550" s="73"/>
      <c r="GY1550" s="73"/>
      <c r="GZ1550" s="73"/>
      <c r="HA1550" s="73"/>
      <c r="HB1550" s="73"/>
      <c r="HC1550" s="73"/>
      <c r="HD1550" s="73"/>
      <c r="HE1550" s="73"/>
      <c r="HF1550" s="73"/>
      <c r="HG1550" s="73"/>
      <c r="HH1550" s="73"/>
      <c r="HI1550" s="73"/>
      <c r="HJ1550" s="73"/>
      <c r="HK1550" s="73"/>
      <c r="HL1550" s="73"/>
      <c r="HM1550" s="73"/>
      <c r="HN1550" s="73"/>
      <c r="HO1550" s="73"/>
      <c r="HP1550" s="73"/>
      <c r="HQ1550" s="73"/>
      <c r="HR1550" s="73"/>
      <c r="HS1550" s="73"/>
      <c r="HT1550" s="73"/>
      <c r="HU1550" s="73"/>
      <c r="HV1550" s="73"/>
      <c r="HW1550" s="73"/>
      <c r="HX1550" s="73"/>
      <c r="HY1550" s="73"/>
      <c r="HZ1550" s="73"/>
      <c r="IA1550" s="73"/>
      <c r="IB1550" s="73"/>
      <c r="IC1550" s="73"/>
      <c r="ID1550" s="73"/>
      <c r="IE1550" s="73"/>
      <c r="IF1550" s="73"/>
      <c r="IG1550" s="73"/>
      <c r="IH1550" s="73"/>
      <c r="II1550" s="73"/>
      <c r="IJ1550" s="73"/>
      <c r="IK1550" s="73"/>
      <c r="IL1550" s="73"/>
      <c r="IM1550" s="73"/>
      <c r="IN1550" s="73"/>
      <c r="IO1550" s="73"/>
      <c r="IP1550" s="73"/>
      <c r="IQ1550" s="73"/>
      <c r="IR1550" s="73"/>
      <c r="IS1550" s="73"/>
      <c r="IT1550" s="73"/>
      <c r="IU1550" s="73"/>
      <c r="IV1550" s="73"/>
      <c r="IW1550" s="73"/>
      <c r="IX1550" s="73"/>
      <c r="IY1550" s="73"/>
      <c r="IZ1550" s="73"/>
      <c r="JA1550" s="73"/>
      <c r="JB1550" s="73"/>
      <c r="JC1550" s="73"/>
    </row>
    <row r="1551" spans="2:263" s="72" customFormat="1">
      <c r="B1551" s="73"/>
      <c r="C1551" s="73"/>
      <c r="D1551" s="73"/>
      <c r="E1551" s="73"/>
      <c r="F1551" s="73"/>
      <c r="G1551" s="73"/>
      <c r="H1551" s="73"/>
      <c r="I1551" s="73"/>
      <c r="J1551" s="73"/>
      <c r="K1551" s="73"/>
      <c r="L1551" s="73"/>
      <c r="M1551" s="73"/>
      <c r="N1551" s="73"/>
      <c r="O1551" s="73"/>
      <c r="P1551" s="73"/>
      <c r="Q1551" s="73"/>
      <c r="R1551" s="73"/>
      <c r="S1551" s="73"/>
      <c r="T1551" s="73"/>
      <c r="U1551" s="73"/>
      <c r="V1551" s="73"/>
      <c r="W1551" s="73"/>
      <c r="GL1551" s="73"/>
      <c r="GM1551" s="73"/>
      <c r="GN1551" s="73"/>
      <c r="GO1551" s="73"/>
      <c r="GP1551" s="73"/>
      <c r="GQ1551" s="73"/>
      <c r="GR1551" s="73"/>
      <c r="GS1551" s="73"/>
      <c r="GT1551" s="73"/>
      <c r="GU1551" s="73"/>
      <c r="GV1551" s="73"/>
      <c r="GW1551" s="73"/>
      <c r="GX1551" s="73"/>
      <c r="GY1551" s="73"/>
      <c r="GZ1551" s="73"/>
      <c r="HA1551" s="73"/>
      <c r="HB1551" s="73"/>
      <c r="HC1551" s="73"/>
      <c r="HD1551" s="73"/>
      <c r="HE1551" s="73"/>
      <c r="HF1551" s="73"/>
      <c r="HG1551" s="73"/>
      <c r="HH1551" s="73"/>
      <c r="HI1551" s="73"/>
      <c r="HJ1551" s="73"/>
      <c r="HK1551" s="73"/>
      <c r="HL1551" s="73"/>
      <c r="HM1551" s="73"/>
      <c r="HN1551" s="73"/>
      <c r="HO1551" s="73"/>
      <c r="HP1551" s="73"/>
      <c r="HQ1551" s="73"/>
      <c r="HR1551" s="73"/>
      <c r="HS1551" s="73"/>
      <c r="HT1551" s="73"/>
      <c r="HU1551" s="73"/>
      <c r="HV1551" s="73"/>
      <c r="HW1551" s="73"/>
      <c r="HX1551" s="73"/>
      <c r="HY1551" s="73"/>
      <c r="HZ1551" s="73"/>
      <c r="IA1551" s="73"/>
      <c r="IB1551" s="73"/>
      <c r="IC1551" s="73"/>
      <c r="ID1551" s="73"/>
      <c r="IE1551" s="73"/>
      <c r="IF1551" s="73"/>
      <c r="IG1551" s="73"/>
      <c r="IH1551" s="73"/>
      <c r="II1551" s="73"/>
      <c r="IJ1551" s="73"/>
      <c r="IK1551" s="73"/>
      <c r="IL1551" s="73"/>
      <c r="IM1551" s="73"/>
      <c r="IN1551" s="73"/>
      <c r="IO1551" s="73"/>
      <c r="IP1551" s="73"/>
      <c r="IQ1551" s="73"/>
      <c r="IR1551" s="73"/>
      <c r="IS1551" s="73"/>
      <c r="IT1551" s="73"/>
      <c r="IU1551" s="73"/>
      <c r="IV1551" s="73"/>
      <c r="IW1551" s="73"/>
      <c r="IX1551" s="73"/>
      <c r="IY1551" s="73"/>
      <c r="IZ1551" s="73"/>
      <c r="JA1551" s="73"/>
      <c r="JB1551" s="73"/>
      <c r="JC1551" s="73"/>
    </row>
    <row r="1552" spans="2:263" s="72" customFormat="1">
      <c r="B1552" s="73"/>
      <c r="C1552" s="73"/>
      <c r="D1552" s="73"/>
      <c r="E1552" s="73"/>
      <c r="F1552" s="73"/>
      <c r="G1552" s="73"/>
      <c r="H1552" s="73"/>
      <c r="I1552" s="73"/>
      <c r="J1552" s="73"/>
      <c r="K1552" s="73"/>
      <c r="L1552" s="73"/>
      <c r="M1552" s="73"/>
      <c r="N1552" s="73"/>
      <c r="O1552" s="73"/>
      <c r="P1552" s="73"/>
      <c r="Q1552" s="73"/>
      <c r="R1552" s="73"/>
      <c r="S1552" s="73"/>
      <c r="T1552" s="73"/>
      <c r="U1552" s="73"/>
      <c r="V1552" s="73"/>
      <c r="W1552" s="73"/>
      <c r="GL1552" s="73"/>
      <c r="GM1552" s="73"/>
      <c r="GN1552" s="73"/>
      <c r="GO1552" s="73"/>
      <c r="GP1552" s="73"/>
      <c r="GQ1552" s="73"/>
      <c r="GR1552" s="73"/>
      <c r="GS1552" s="73"/>
      <c r="GT1552" s="73"/>
      <c r="GU1552" s="73"/>
      <c r="GV1552" s="73"/>
      <c r="GW1552" s="73"/>
      <c r="GX1552" s="73"/>
      <c r="GY1552" s="73"/>
      <c r="GZ1552" s="73"/>
      <c r="HA1552" s="73"/>
      <c r="HB1552" s="73"/>
      <c r="HC1552" s="73"/>
      <c r="HD1552" s="73"/>
      <c r="HE1552" s="73"/>
      <c r="HF1552" s="73"/>
      <c r="HG1552" s="73"/>
      <c r="HH1552" s="73"/>
      <c r="HI1552" s="73"/>
      <c r="HJ1552" s="73"/>
      <c r="HK1552" s="73"/>
      <c r="HL1552" s="73"/>
      <c r="HM1552" s="73"/>
      <c r="HN1552" s="73"/>
      <c r="HO1552" s="73"/>
      <c r="HP1552" s="73"/>
      <c r="HQ1552" s="73"/>
      <c r="HR1552" s="73"/>
      <c r="HS1552" s="73"/>
      <c r="HT1552" s="73"/>
      <c r="HU1552" s="73"/>
      <c r="HV1552" s="73"/>
      <c r="HW1552" s="73"/>
      <c r="HX1552" s="73"/>
      <c r="HY1552" s="73"/>
      <c r="HZ1552" s="73"/>
      <c r="IA1552" s="73"/>
      <c r="IB1552" s="73"/>
      <c r="IC1552" s="73"/>
      <c r="ID1552" s="73"/>
      <c r="IE1552" s="73"/>
      <c r="IF1552" s="73"/>
      <c r="IG1552" s="73"/>
      <c r="IH1552" s="73"/>
      <c r="II1552" s="73"/>
      <c r="IJ1552" s="73"/>
      <c r="IK1552" s="73"/>
      <c r="IL1552" s="73"/>
      <c r="IM1552" s="73"/>
      <c r="IN1552" s="73"/>
      <c r="IO1552" s="73"/>
      <c r="IP1552" s="73"/>
      <c r="IQ1552" s="73"/>
      <c r="IR1552" s="73"/>
      <c r="IS1552" s="73"/>
      <c r="IT1552" s="73"/>
      <c r="IU1552" s="73"/>
      <c r="IV1552" s="73"/>
      <c r="IW1552" s="73"/>
      <c r="IX1552" s="73"/>
      <c r="IY1552" s="73"/>
      <c r="IZ1552" s="73"/>
      <c r="JA1552" s="73"/>
      <c r="JB1552" s="73"/>
      <c r="JC1552" s="73"/>
    </row>
    <row r="1553" spans="2:263" s="72" customFormat="1">
      <c r="B1553" s="73"/>
      <c r="C1553" s="73"/>
      <c r="D1553" s="73"/>
      <c r="E1553" s="73"/>
      <c r="F1553" s="73"/>
      <c r="G1553" s="73"/>
      <c r="H1553" s="73"/>
      <c r="I1553" s="73"/>
      <c r="J1553" s="73"/>
      <c r="K1553" s="73"/>
      <c r="L1553" s="73"/>
      <c r="M1553" s="73"/>
      <c r="N1553" s="73"/>
      <c r="O1553" s="73"/>
      <c r="P1553" s="73"/>
      <c r="Q1553" s="73"/>
      <c r="R1553" s="73"/>
      <c r="S1553" s="73"/>
      <c r="T1553" s="73"/>
      <c r="U1553" s="73"/>
      <c r="V1553" s="73"/>
      <c r="W1553" s="73"/>
      <c r="GL1553" s="73"/>
      <c r="GM1553" s="73"/>
      <c r="GN1553" s="73"/>
      <c r="GO1553" s="73"/>
      <c r="GP1553" s="73"/>
      <c r="GQ1553" s="73"/>
      <c r="GR1553" s="73"/>
      <c r="GS1553" s="73"/>
      <c r="GT1553" s="73"/>
      <c r="GU1553" s="73"/>
      <c r="GV1553" s="73"/>
      <c r="GW1553" s="73"/>
      <c r="GX1553" s="73"/>
      <c r="GY1553" s="73"/>
      <c r="GZ1553" s="73"/>
      <c r="HA1553" s="73"/>
      <c r="HB1553" s="73"/>
      <c r="HC1553" s="73"/>
      <c r="HD1553" s="73"/>
      <c r="HE1553" s="73"/>
      <c r="HF1553" s="73"/>
      <c r="HG1553" s="73"/>
      <c r="HH1553" s="73"/>
      <c r="HI1553" s="73"/>
      <c r="HJ1553" s="73"/>
      <c r="HK1553" s="73"/>
      <c r="HL1553" s="73"/>
      <c r="HM1553" s="73"/>
      <c r="HN1553" s="73"/>
      <c r="HO1553" s="73"/>
      <c r="HP1553" s="73"/>
      <c r="HQ1553" s="73"/>
      <c r="HR1553" s="73"/>
      <c r="HS1553" s="73"/>
      <c r="HT1553" s="73"/>
      <c r="HU1553" s="73"/>
      <c r="HV1553" s="73"/>
      <c r="HW1553" s="73"/>
      <c r="HX1553" s="73"/>
      <c r="HY1553" s="73"/>
      <c r="HZ1553" s="73"/>
      <c r="IA1553" s="73"/>
      <c r="IB1553" s="73"/>
      <c r="IC1553" s="73"/>
      <c r="ID1553" s="73"/>
      <c r="IE1553" s="73"/>
      <c r="IF1553" s="73"/>
      <c r="IG1553" s="73"/>
      <c r="IH1553" s="73"/>
      <c r="II1553" s="73"/>
      <c r="IJ1553" s="73"/>
      <c r="IK1553" s="73"/>
      <c r="IL1553" s="73"/>
      <c r="IM1553" s="73"/>
      <c r="IN1553" s="73"/>
      <c r="IO1553" s="73"/>
      <c r="IP1553" s="73"/>
      <c r="IQ1553" s="73"/>
      <c r="IR1553" s="73"/>
      <c r="IS1553" s="73"/>
      <c r="IT1553" s="73"/>
      <c r="IU1553" s="73"/>
      <c r="IV1553" s="73"/>
      <c r="IW1553" s="73"/>
      <c r="IX1553" s="73"/>
      <c r="IY1553" s="73"/>
      <c r="IZ1553" s="73"/>
      <c r="JA1553" s="73"/>
      <c r="JB1553" s="73"/>
      <c r="JC1553" s="73"/>
    </row>
    <row r="1554" spans="2:263" s="72" customFormat="1">
      <c r="B1554" s="73"/>
      <c r="C1554" s="73"/>
      <c r="D1554" s="73"/>
      <c r="E1554" s="73"/>
      <c r="F1554" s="73"/>
      <c r="G1554" s="73"/>
      <c r="H1554" s="73"/>
      <c r="I1554" s="73"/>
      <c r="J1554" s="73"/>
      <c r="K1554" s="73"/>
      <c r="L1554" s="73"/>
      <c r="M1554" s="73"/>
      <c r="N1554" s="73"/>
      <c r="O1554" s="73"/>
      <c r="P1554" s="73"/>
      <c r="Q1554" s="73"/>
      <c r="R1554" s="73"/>
      <c r="S1554" s="73"/>
      <c r="T1554" s="73"/>
      <c r="U1554" s="73"/>
      <c r="V1554" s="73"/>
      <c r="W1554" s="73"/>
      <c r="GL1554" s="73"/>
      <c r="GM1554" s="73"/>
      <c r="GN1554" s="73"/>
      <c r="GO1554" s="73"/>
      <c r="GP1554" s="73"/>
      <c r="GQ1554" s="73"/>
      <c r="GR1554" s="73"/>
      <c r="GS1554" s="73"/>
      <c r="GT1554" s="73"/>
      <c r="GU1554" s="73"/>
      <c r="GV1554" s="73"/>
      <c r="GW1554" s="73"/>
      <c r="GX1554" s="73"/>
      <c r="GY1554" s="73"/>
      <c r="GZ1554" s="73"/>
      <c r="HA1554" s="73"/>
      <c r="HB1554" s="73"/>
      <c r="HC1554" s="73"/>
      <c r="HD1554" s="73"/>
      <c r="HE1554" s="73"/>
      <c r="HF1554" s="73"/>
      <c r="HG1554" s="73"/>
      <c r="HH1554" s="73"/>
      <c r="HI1554" s="73"/>
      <c r="HJ1554" s="73"/>
      <c r="HK1554" s="73"/>
      <c r="HL1554" s="73"/>
      <c r="HM1554" s="73"/>
      <c r="HN1554" s="73"/>
      <c r="HO1554" s="73"/>
      <c r="HP1554" s="73"/>
      <c r="HQ1554" s="73"/>
      <c r="HR1554" s="73"/>
      <c r="HS1554" s="73"/>
      <c r="HT1554" s="73"/>
      <c r="HU1554" s="73"/>
      <c r="HV1554" s="73"/>
      <c r="HW1554" s="73"/>
      <c r="HX1554" s="73"/>
      <c r="HY1554" s="73"/>
      <c r="HZ1554" s="73"/>
      <c r="IA1554" s="73"/>
      <c r="IB1554" s="73"/>
      <c r="IC1554" s="73"/>
      <c r="ID1554" s="73"/>
      <c r="IE1554" s="73"/>
      <c r="IF1554" s="73"/>
      <c r="IG1554" s="73"/>
      <c r="IH1554" s="73"/>
      <c r="II1554" s="73"/>
      <c r="IJ1554" s="73"/>
      <c r="IK1554" s="73"/>
      <c r="IL1554" s="73"/>
      <c r="IM1554" s="73"/>
      <c r="IN1554" s="73"/>
      <c r="IO1554" s="73"/>
      <c r="IP1554" s="73"/>
      <c r="IQ1554" s="73"/>
      <c r="IR1554" s="73"/>
      <c r="IS1554" s="73"/>
      <c r="IT1554" s="73"/>
      <c r="IU1554" s="73"/>
      <c r="IV1554" s="73"/>
      <c r="IW1554" s="73"/>
      <c r="IX1554" s="73"/>
      <c r="IY1554" s="73"/>
      <c r="IZ1554" s="73"/>
      <c r="JA1554" s="73"/>
      <c r="JB1554" s="73"/>
      <c r="JC1554" s="73"/>
    </row>
    <row r="1555" spans="2:263" s="72" customFormat="1">
      <c r="B1555" s="73"/>
      <c r="C1555" s="73"/>
      <c r="D1555" s="73"/>
      <c r="E1555" s="73"/>
      <c r="F1555" s="73"/>
      <c r="G1555" s="73"/>
      <c r="H1555" s="73"/>
      <c r="I1555" s="73"/>
      <c r="J1555" s="73"/>
      <c r="K1555" s="73"/>
      <c r="L1555" s="73"/>
      <c r="M1555" s="73"/>
      <c r="N1555" s="73"/>
      <c r="O1555" s="73"/>
      <c r="P1555" s="73"/>
      <c r="Q1555" s="73"/>
      <c r="R1555" s="73"/>
      <c r="S1555" s="73"/>
      <c r="T1555" s="73"/>
      <c r="U1555" s="73"/>
      <c r="V1555" s="73"/>
      <c r="W1555" s="73"/>
      <c r="GL1555" s="73"/>
      <c r="GM1555" s="73"/>
      <c r="GN1555" s="73"/>
      <c r="GO1555" s="73"/>
      <c r="GP1555" s="73"/>
      <c r="GQ1555" s="73"/>
      <c r="GR1555" s="73"/>
      <c r="GS1555" s="73"/>
      <c r="GT1555" s="73"/>
      <c r="GU1555" s="73"/>
      <c r="GV1555" s="73"/>
      <c r="GW1555" s="73"/>
      <c r="GX1555" s="73"/>
      <c r="GY1555" s="73"/>
      <c r="GZ1555" s="73"/>
      <c r="HA1555" s="73"/>
      <c r="HB1555" s="73"/>
      <c r="HC1555" s="73"/>
      <c r="HD1555" s="73"/>
      <c r="HE1555" s="73"/>
      <c r="HF1555" s="73"/>
      <c r="HG1555" s="73"/>
      <c r="HH1555" s="73"/>
      <c r="HI1555" s="73"/>
      <c r="HJ1555" s="73"/>
      <c r="HK1555" s="73"/>
      <c r="HL1555" s="73"/>
      <c r="HM1555" s="73"/>
      <c r="HN1555" s="73"/>
      <c r="HO1555" s="73"/>
      <c r="HP1555" s="73"/>
      <c r="HQ1555" s="73"/>
      <c r="HR1555" s="73"/>
      <c r="HS1555" s="73"/>
      <c r="HT1555" s="73"/>
      <c r="HU1555" s="73"/>
      <c r="HV1555" s="73"/>
      <c r="HW1555" s="73"/>
      <c r="HX1555" s="73"/>
      <c r="HY1555" s="73"/>
      <c r="HZ1555" s="73"/>
      <c r="IA1555" s="73"/>
      <c r="IB1555" s="73"/>
      <c r="IC1555" s="73"/>
      <c r="ID1555" s="73"/>
      <c r="IE1555" s="73"/>
      <c r="IF1555" s="73"/>
      <c r="IG1555" s="73"/>
      <c r="IH1555" s="73"/>
      <c r="II1555" s="73"/>
      <c r="IJ1555" s="73"/>
      <c r="IK1555" s="73"/>
      <c r="IL1555" s="73"/>
      <c r="IM1555" s="73"/>
      <c r="IN1555" s="73"/>
      <c r="IO1555" s="73"/>
      <c r="IP1555" s="73"/>
      <c r="IQ1555" s="73"/>
      <c r="IR1555" s="73"/>
      <c r="IS1555" s="73"/>
      <c r="IT1555" s="73"/>
      <c r="IU1555" s="73"/>
      <c r="IV1555" s="73"/>
      <c r="IW1555" s="73"/>
      <c r="IX1555" s="73"/>
      <c r="IY1555" s="73"/>
      <c r="IZ1555" s="73"/>
      <c r="JA1555" s="73"/>
      <c r="JB1555" s="73"/>
      <c r="JC1555" s="73"/>
    </row>
    <row r="1556" spans="2:263" s="72" customFormat="1">
      <c r="B1556" s="73"/>
      <c r="C1556" s="73"/>
      <c r="D1556" s="73"/>
      <c r="E1556" s="73"/>
      <c r="F1556" s="73"/>
      <c r="G1556" s="73"/>
      <c r="H1556" s="73"/>
      <c r="I1556" s="73"/>
      <c r="J1556" s="73"/>
      <c r="K1556" s="73"/>
      <c r="L1556" s="73"/>
      <c r="M1556" s="73"/>
      <c r="N1556" s="73"/>
      <c r="O1556" s="73"/>
      <c r="P1556" s="73"/>
      <c r="Q1556" s="73"/>
      <c r="R1556" s="73"/>
      <c r="S1556" s="73"/>
      <c r="T1556" s="73"/>
      <c r="U1556" s="73"/>
      <c r="V1556" s="73"/>
      <c r="W1556" s="73"/>
      <c r="GL1556" s="73"/>
      <c r="GM1556" s="73"/>
      <c r="GN1556" s="73"/>
      <c r="GO1556" s="73"/>
      <c r="GP1556" s="73"/>
      <c r="GQ1556" s="73"/>
      <c r="GR1556" s="73"/>
      <c r="GS1556" s="73"/>
      <c r="GT1556" s="73"/>
      <c r="GU1556" s="73"/>
      <c r="GV1556" s="73"/>
      <c r="GW1556" s="73"/>
      <c r="GX1556" s="73"/>
      <c r="GY1556" s="73"/>
      <c r="GZ1556" s="73"/>
      <c r="HA1556" s="73"/>
      <c r="HB1556" s="73"/>
      <c r="HC1556" s="73"/>
      <c r="HD1556" s="73"/>
      <c r="HE1556" s="73"/>
      <c r="HF1556" s="73"/>
      <c r="HG1556" s="73"/>
      <c r="HH1556" s="73"/>
      <c r="HI1556" s="73"/>
      <c r="HJ1556" s="73"/>
      <c r="HK1556" s="73"/>
      <c r="HL1556" s="73"/>
      <c r="HM1556" s="73"/>
      <c r="HN1556" s="73"/>
      <c r="HO1556" s="73"/>
      <c r="HP1556" s="73"/>
      <c r="HQ1556" s="73"/>
      <c r="HR1556" s="73"/>
      <c r="HS1556" s="73"/>
      <c r="HT1556" s="73"/>
      <c r="HU1556" s="73"/>
      <c r="HV1556" s="73"/>
      <c r="HW1556" s="73"/>
      <c r="HX1556" s="73"/>
      <c r="HY1556" s="73"/>
      <c r="HZ1556" s="73"/>
      <c r="IA1556" s="73"/>
      <c r="IB1556" s="73"/>
      <c r="IC1556" s="73"/>
      <c r="ID1556" s="73"/>
      <c r="IE1556" s="73"/>
      <c r="IF1556" s="73"/>
      <c r="IG1556" s="73"/>
      <c r="IH1556" s="73"/>
      <c r="II1556" s="73"/>
      <c r="IJ1556" s="73"/>
      <c r="IK1556" s="73"/>
      <c r="IL1556" s="73"/>
      <c r="IM1556" s="73"/>
      <c r="IN1556" s="73"/>
      <c r="IO1556" s="73"/>
      <c r="IP1556" s="73"/>
      <c r="IQ1556" s="73"/>
      <c r="IR1556" s="73"/>
      <c r="IS1556" s="73"/>
      <c r="IT1556" s="73"/>
      <c r="IU1556" s="73"/>
      <c r="IV1556" s="73"/>
      <c r="IW1556" s="73"/>
      <c r="IX1556" s="73"/>
      <c r="IY1556" s="73"/>
      <c r="IZ1556" s="73"/>
      <c r="JA1556" s="73"/>
      <c r="JB1556" s="73"/>
      <c r="JC1556" s="73"/>
    </row>
    <row r="1557" spans="2:263" s="72" customFormat="1">
      <c r="B1557" s="73"/>
      <c r="C1557" s="73"/>
      <c r="D1557" s="73"/>
      <c r="E1557" s="73"/>
      <c r="F1557" s="73"/>
      <c r="G1557" s="73"/>
      <c r="H1557" s="73"/>
      <c r="I1557" s="73"/>
      <c r="J1557" s="73"/>
      <c r="K1557" s="73"/>
      <c r="L1557" s="73"/>
      <c r="M1557" s="73"/>
      <c r="N1557" s="73"/>
      <c r="O1557" s="73"/>
      <c r="P1557" s="73"/>
      <c r="Q1557" s="73"/>
      <c r="R1557" s="73"/>
      <c r="S1557" s="73"/>
      <c r="T1557" s="73"/>
      <c r="U1557" s="73"/>
      <c r="V1557" s="73"/>
      <c r="W1557" s="73"/>
      <c r="GL1557" s="73"/>
      <c r="GM1557" s="73"/>
      <c r="GN1557" s="73"/>
      <c r="GO1557" s="73"/>
      <c r="GP1557" s="73"/>
      <c r="GQ1557" s="73"/>
      <c r="GR1557" s="73"/>
      <c r="GS1557" s="73"/>
      <c r="GT1557" s="73"/>
      <c r="GU1557" s="73"/>
      <c r="GV1557" s="73"/>
      <c r="GW1557" s="73"/>
      <c r="GX1557" s="73"/>
      <c r="GY1557" s="73"/>
      <c r="GZ1557" s="73"/>
      <c r="HA1557" s="73"/>
      <c r="HB1557" s="73"/>
      <c r="HC1557" s="73"/>
      <c r="HD1557" s="73"/>
      <c r="HE1557" s="73"/>
      <c r="HF1557" s="73"/>
      <c r="HG1557" s="73"/>
      <c r="HH1557" s="73"/>
      <c r="HI1557" s="73"/>
      <c r="HJ1557" s="73"/>
      <c r="HK1557" s="73"/>
      <c r="HL1557" s="73"/>
      <c r="HM1557" s="73"/>
      <c r="HN1557" s="73"/>
      <c r="HO1557" s="73"/>
      <c r="HP1557" s="73"/>
      <c r="HQ1557" s="73"/>
      <c r="HR1557" s="73"/>
      <c r="HS1557" s="73"/>
      <c r="HT1557" s="73"/>
      <c r="HU1557" s="73"/>
      <c r="HV1557" s="73"/>
      <c r="HW1557" s="73"/>
      <c r="HX1557" s="73"/>
      <c r="HY1557" s="73"/>
      <c r="HZ1557" s="73"/>
      <c r="IA1557" s="73"/>
      <c r="IB1557" s="73"/>
      <c r="IC1557" s="73"/>
      <c r="ID1557" s="73"/>
      <c r="IE1557" s="73"/>
      <c r="IF1557" s="73"/>
      <c r="IG1557" s="73"/>
      <c r="IH1557" s="73"/>
      <c r="II1557" s="73"/>
      <c r="IJ1557" s="73"/>
      <c r="IK1557" s="73"/>
      <c r="IL1557" s="73"/>
      <c r="IM1557" s="73"/>
      <c r="IN1557" s="73"/>
      <c r="IO1557" s="73"/>
      <c r="IP1557" s="73"/>
      <c r="IQ1557" s="73"/>
      <c r="IR1557" s="73"/>
      <c r="IS1557" s="73"/>
      <c r="IT1557" s="73"/>
      <c r="IU1557" s="73"/>
      <c r="IV1557" s="73"/>
      <c r="IW1557" s="73"/>
      <c r="IX1557" s="73"/>
      <c r="IY1557" s="73"/>
      <c r="IZ1557" s="73"/>
      <c r="JA1557" s="73"/>
      <c r="JB1557" s="73"/>
      <c r="JC1557" s="73"/>
    </row>
    <row r="1558" spans="2:263" s="72" customFormat="1">
      <c r="B1558" s="73"/>
      <c r="C1558" s="73"/>
      <c r="D1558" s="73"/>
      <c r="E1558" s="73"/>
      <c r="F1558" s="73"/>
      <c r="G1558" s="73"/>
      <c r="H1558" s="73"/>
      <c r="I1558" s="73"/>
      <c r="J1558" s="73"/>
      <c r="K1558" s="73"/>
      <c r="L1558" s="73"/>
      <c r="M1558" s="73"/>
      <c r="N1558" s="73"/>
      <c r="O1558" s="73"/>
      <c r="P1558" s="73"/>
      <c r="Q1558" s="73"/>
      <c r="R1558" s="73"/>
      <c r="S1558" s="73"/>
      <c r="T1558" s="73"/>
      <c r="U1558" s="73"/>
      <c r="V1558" s="73"/>
      <c r="W1558" s="73"/>
      <c r="GL1558" s="73"/>
      <c r="GM1558" s="73"/>
      <c r="GN1558" s="73"/>
      <c r="GO1558" s="73"/>
      <c r="GP1558" s="73"/>
      <c r="GQ1558" s="73"/>
      <c r="GR1558" s="73"/>
      <c r="GS1558" s="73"/>
      <c r="GT1558" s="73"/>
      <c r="GU1558" s="73"/>
      <c r="GV1558" s="73"/>
      <c r="GW1558" s="73"/>
      <c r="GX1558" s="73"/>
      <c r="GY1558" s="73"/>
      <c r="GZ1558" s="73"/>
      <c r="HA1558" s="73"/>
      <c r="HB1558" s="73"/>
      <c r="HC1558" s="73"/>
      <c r="HD1558" s="73"/>
      <c r="HE1558" s="73"/>
      <c r="HF1558" s="73"/>
      <c r="HG1558" s="73"/>
      <c r="HH1558" s="73"/>
      <c r="HI1558" s="73"/>
      <c r="HJ1558" s="73"/>
      <c r="HK1558" s="73"/>
      <c r="HL1558" s="73"/>
      <c r="HM1558" s="73"/>
      <c r="HN1558" s="73"/>
      <c r="HO1558" s="73"/>
      <c r="HP1558" s="73"/>
      <c r="HQ1558" s="73"/>
      <c r="HR1558" s="73"/>
      <c r="HS1558" s="73"/>
      <c r="HT1558" s="73"/>
      <c r="HU1558" s="73"/>
      <c r="HV1558" s="73"/>
      <c r="HW1558" s="73"/>
      <c r="HX1558" s="73"/>
      <c r="HY1558" s="73"/>
      <c r="HZ1558" s="73"/>
      <c r="IA1558" s="73"/>
      <c r="IB1558" s="73"/>
      <c r="IC1558" s="73"/>
      <c r="ID1558" s="73"/>
      <c r="IE1558" s="73"/>
      <c r="IF1558" s="73"/>
      <c r="IG1558" s="73"/>
      <c r="IH1558" s="73"/>
      <c r="II1558" s="73"/>
      <c r="IJ1558" s="73"/>
      <c r="IK1558" s="73"/>
      <c r="IL1558" s="73"/>
      <c r="IM1558" s="73"/>
      <c r="IN1558" s="73"/>
      <c r="IO1558" s="73"/>
      <c r="IP1558" s="73"/>
      <c r="IQ1558" s="73"/>
      <c r="IR1558" s="73"/>
      <c r="IS1558" s="73"/>
      <c r="IT1558" s="73"/>
      <c r="IU1558" s="73"/>
      <c r="IV1558" s="73"/>
      <c r="IW1558" s="73"/>
      <c r="IX1558" s="73"/>
      <c r="IY1558" s="73"/>
      <c r="IZ1558" s="73"/>
      <c r="JA1558" s="73"/>
      <c r="JB1558" s="73"/>
      <c r="JC1558" s="73"/>
    </row>
    <row r="1559" spans="2:263" s="72" customFormat="1">
      <c r="B1559" s="73"/>
      <c r="C1559" s="73"/>
      <c r="D1559" s="73"/>
      <c r="E1559" s="73"/>
      <c r="F1559" s="73"/>
      <c r="G1559" s="73"/>
      <c r="H1559" s="73"/>
      <c r="I1559" s="73"/>
      <c r="J1559" s="73"/>
      <c r="K1559" s="73"/>
      <c r="L1559" s="73"/>
      <c r="M1559" s="73"/>
      <c r="N1559" s="73"/>
      <c r="O1559" s="73"/>
      <c r="P1559" s="73"/>
      <c r="Q1559" s="73"/>
      <c r="R1559" s="73"/>
      <c r="S1559" s="73"/>
      <c r="T1559" s="73"/>
      <c r="U1559" s="73"/>
      <c r="V1559" s="73"/>
      <c r="W1559" s="73"/>
      <c r="GL1559" s="73"/>
      <c r="GM1559" s="73"/>
      <c r="GN1559" s="73"/>
      <c r="GO1559" s="73"/>
      <c r="GP1559" s="73"/>
      <c r="GQ1559" s="73"/>
      <c r="GR1559" s="73"/>
      <c r="GS1559" s="73"/>
      <c r="GT1559" s="73"/>
      <c r="GU1559" s="73"/>
      <c r="GV1559" s="73"/>
      <c r="GW1559" s="73"/>
      <c r="GX1559" s="73"/>
      <c r="GY1559" s="73"/>
      <c r="GZ1559" s="73"/>
      <c r="HA1559" s="73"/>
      <c r="HB1559" s="73"/>
      <c r="HC1559" s="73"/>
      <c r="HD1559" s="73"/>
      <c r="HE1559" s="73"/>
      <c r="HF1559" s="73"/>
      <c r="HG1559" s="73"/>
      <c r="HH1559" s="73"/>
      <c r="HI1559" s="73"/>
      <c r="HJ1559" s="73"/>
      <c r="HK1559" s="73"/>
      <c r="HL1559" s="73"/>
      <c r="HM1559" s="73"/>
      <c r="HN1559" s="73"/>
      <c r="HO1559" s="73"/>
      <c r="HP1559" s="73"/>
      <c r="HQ1559" s="73"/>
      <c r="HR1559" s="73"/>
      <c r="HS1559" s="73"/>
      <c r="HT1559" s="73"/>
      <c r="HU1559" s="73"/>
      <c r="HV1559" s="73"/>
      <c r="HW1559" s="73"/>
      <c r="HX1559" s="73"/>
      <c r="HY1559" s="73"/>
      <c r="HZ1559" s="73"/>
      <c r="IA1559" s="73"/>
      <c r="IB1559" s="73"/>
      <c r="IC1559" s="73"/>
      <c r="ID1559" s="73"/>
      <c r="IE1559" s="73"/>
      <c r="IF1559" s="73"/>
      <c r="IG1559" s="73"/>
      <c r="IH1559" s="73"/>
      <c r="II1559" s="73"/>
      <c r="IJ1559" s="73"/>
      <c r="IK1559" s="73"/>
      <c r="IL1559" s="73"/>
      <c r="IM1559" s="73"/>
      <c r="IN1559" s="73"/>
      <c r="IO1559" s="73"/>
      <c r="IP1559" s="73"/>
      <c r="IQ1559" s="73"/>
      <c r="IR1559" s="73"/>
      <c r="IS1559" s="73"/>
      <c r="IT1559" s="73"/>
      <c r="IU1559" s="73"/>
      <c r="IV1559" s="73"/>
      <c r="IW1559" s="73"/>
      <c r="IX1559" s="73"/>
      <c r="IY1559" s="73"/>
      <c r="IZ1559" s="73"/>
      <c r="JA1559" s="73"/>
      <c r="JB1559" s="73"/>
      <c r="JC1559" s="73"/>
    </row>
    <row r="1560" spans="2:263" s="72" customFormat="1">
      <c r="B1560" s="73"/>
      <c r="C1560" s="73"/>
      <c r="D1560" s="73"/>
      <c r="E1560" s="73"/>
      <c r="F1560" s="73"/>
      <c r="G1560" s="73"/>
      <c r="H1560" s="73"/>
      <c r="I1560" s="73"/>
      <c r="J1560" s="73"/>
      <c r="K1560" s="73"/>
      <c r="L1560" s="73"/>
      <c r="M1560" s="73"/>
      <c r="N1560" s="73"/>
      <c r="O1560" s="73"/>
      <c r="P1560" s="73"/>
      <c r="Q1560" s="73"/>
      <c r="R1560" s="73"/>
      <c r="S1560" s="73"/>
      <c r="T1560" s="73"/>
      <c r="U1560" s="73"/>
      <c r="V1560" s="73"/>
      <c r="W1560" s="73"/>
      <c r="GL1560" s="73"/>
      <c r="GM1560" s="73"/>
      <c r="GN1560" s="73"/>
      <c r="GO1560" s="73"/>
      <c r="GP1560" s="73"/>
      <c r="GQ1560" s="73"/>
      <c r="GR1560" s="73"/>
      <c r="GS1560" s="73"/>
      <c r="GT1560" s="73"/>
      <c r="GU1560" s="73"/>
      <c r="GV1560" s="73"/>
      <c r="GW1560" s="73"/>
      <c r="GX1560" s="73"/>
      <c r="GY1560" s="73"/>
      <c r="GZ1560" s="73"/>
      <c r="HA1560" s="73"/>
      <c r="HB1560" s="73"/>
      <c r="HC1560" s="73"/>
      <c r="HD1560" s="73"/>
      <c r="HE1560" s="73"/>
      <c r="HF1560" s="73"/>
      <c r="HG1560" s="73"/>
      <c r="HH1560" s="73"/>
      <c r="HI1560" s="73"/>
      <c r="HJ1560" s="73"/>
      <c r="HK1560" s="73"/>
      <c r="HL1560" s="73"/>
      <c r="HM1560" s="73"/>
      <c r="HN1560" s="73"/>
      <c r="HO1560" s="73"/>
      <c r="HP1560" s="73"/>
      <c r="HQ1560" s="73"/>
      <c r="HR1560" s="73"/>
      <c r="HS1560" s="73"/>
      <c r="HT1560" s="73"/>
      <c r="HU1560" s="73"/>
      <c r="HV1560" s="73"/>
      <c r="HW1560" s="73"/>
      <c r="HX1560" s="73"/>
      <c r="HY1560" s="73"/>
      <c r="HZ1560" s="73"/>
      <c r="IA1560" s="73"/>
      <c r="IB1560" s="73"/>
      <c r="IC1560" s="73"/>
      <c r="ID1560" s="73"/>
      <c r="IE1560" s="73"/>
      <c r="IF1560" s="73"/>
      <c r="IG1560" s="73"/>
      <c r="IH1560" s="73"/>
      <c r="II1560" s="73"/>
      <c r="IJ1560" s="73"/>
      <c r="IK1560" s="73"/>
      <c r="IL1560" s="73"/>
      <c r="IM1560" s="73"/>
      <c r="IN1560" s="73"/>
      <c r="IO1560" s="73"/>
      <c r="IP1560" s="73"/>
      <c r="IQ1560" s="73"/>
      <c r="IR1560" s="73"/>
      <c r="IS1560" s="73"/>
      <c r="IT1560" s="73"/>
      <c r="IU1560" s="73"/>
      <c r="IV1560" s="73"/>
      <c r="IW1560" s="73"/>
      <c r="IX1560" s="73"/>
      <c r="IY1560" s="73"/>
      <c r="IZ1560" s="73"/>
      <c r="JA1560" s="73"/>
      <c r="JB1560" s="73"/>
      <c r="JC1560" s="73"/>
    </row>
    <row r="1561" spans="2:263" s="72" customFormat="1">
      <c r="B1561" s="73"/>
      <c r="C1561" s="73"/>
      <c r="D1561" s="73"/>
      <c r="E1561" s="73"/>
      <c r="F1561" s="73"/>
      <c r="G1561" s="73"/>
      <c r="H1561" s="73"/>
      <c r="I1561" s="73"/>
      <c r="J1561" s="73"/>
      <c r="K1561" s="73"/>
      <c r="L1561" s="73"/>
      <c r="M1561" s="73"/>
      <c r="N1561" s="73"/>
      <c r="O1561" s="73"/>
      <c r="P1561" s="73"/>
      <c r="Q1561" s="73"/>
      <c r="R1561" s="73"/>
      <c r="S1561" s="73"/>
      <c r="T1561" s="73"/>
      <c r="U1561" s="73"/>
      <c r="V1561" s="73"/>
      <c r="W1561" s="73"/>
      <c r="GL1561" s="73"/>
      <c r="GM1561" s="73"/>
      <c r="GN1561" s="73"/>
      <c r="GO1561" s="73"/>
      <c r="GP1561" s="73"/>
      <c r="GQ1561" s="73"/>
      <c r="GR1561" s="73"/>
      <c r="GS1561" s="73"/>
      <c r="GT1561" s="73"/>
      <c r="GU1561" s="73"/>
      <c r="GV1561" s="73"/>
      <c r="GW1561" s="73"/>
      <c r="GX1561" s="73"/>
      <c r="GY1561" s="73"/>
      <c r="GZ1561" s="73"/>
      <c r="HA1561" s="73"/>
      <c r="HB1561" s="73"/>
      <c r="HC1561" s="73"/>
      <c r="HD1561" s="73"/>
      <c r="HE1561" s="73"/>
      <c r="HF1561" s="73"/>
      <c r="HG1561" s="73"/>
      <c r="HH1561" s="73"/>
      <c r="HI1561" s="73"/>
      <c r="HJ1561" s="73"/>
      <c r="HK1561" s="73"/>
      <c r="HL1561" s="73"/>
      <c r="HM1561" s="73"/>
      <c r="HN1561" s="73"/>
      <c r="HO1561" s="73"/>
      <c r="HP1561" s="73"/>
      <c r="HQ1561" s="73"/>
      <c r="HR1561" s="73"/>
      <c r="HS1561" s="73"/>
      <c r="HT1561" s="73"/>
      <c r="HU1561" s="73"/>
      <c r="HV1561" s="73"/>
      <c r="HW1561" s="73"/>
      <c r="HX1561" s="73"/>
      <c r="HY1561" s="73"/>
      <c r="HZ1561" s="73"/>
      <c r="IA1561" s="73"/>
      <c r="IB1561" s="73"/>
      <c r="IC1561" s="73"/>
      <c r="ID1561" s="73"/>
      <c r="IE1561" s="73"/>
      <c r="IF1561" s="73"/>
      <c r="IG1561" s="73"/>
      <c r="IH1561" s="73"/>
      <c r="II1561" s="73"/>
      <c r="IJ1561" s="73"/>
      <c r="IK1561" s="73"/>
      <c r="IL1561" s="73"/>
      <c r="IM1561" s="73"/>
      <c r="IN1561" s="73"/>
      <c r="IO1561" s="73"/>
      <c r="IP1561" s="73"/>
      <c r="IQ1561" s="73"/>
      <c r="IR1561" s="73"/>
      <c r="IS1561" s="73"/>
      <c r="IT1561" s="73"/>
      <c r="IU1561" s="73"/>
      <c r="IV1561" s="73"/>
      <c r="IW1561" s="73"/>
      <c r="IX1561" s="73"/>
      <c r="IY1561" s="73"/>
      <c r="IZ1561" s="73"/>
      <c r="JA1561" s="73"/>
      <c r="JB1561" s="73"/>
      <c r="JC1561" s="73"/>
    </row>
    <row r="1562" spans="2:263" s="72" customFormat="1">
      <c r="B1562" s="73"/>
      <c r="C1562" s="73"/>
      <c r="D1562" s="73"/>
      <c r="E1562" s="73"/>
      <c r="F1562" s="73"/>
      <c r="G1562" s="73"/>
      <c r="H1562" s="73"/>
      <c r="I1562" s="73"/>
      <c r="J1562" s="73"/>
      <c r="K1562" s="73"/>
      <c r="L1562" s="73"/>
      <c r="M1562" s="73"/>
      <c r="N1562" s="73"/>
      <c r="O1562" s="73"/>
      <c r="P1562" s="73"/>
      <c r="Q1562" s="73"/>
      <c r="R1562" s="73"/>
      <c r="S1562" s="73"/>
      <c r="T1562" s="73"/>
      <c r="U1562" s="73"/>
      <c r="V1562" s="73"/>
      <c r="W1562" s="73"/>
      <c r="GL1562" s="73"/>
      <c r="GM1562" s="73"/>
      <c r="GN1562" s="73"/>
      <c r="GO1562" s="73"/>
      <c r="GP1562" s="73"/>
      <c r="GQ1562" s="73"/>
      <c r="GR1562" s="73"/>
      <c r="GS1562" s="73"/>
      <c r="GT1562" s="73"/>
      <c r="GU1562" s="73"/>
      <c r="GV1562" s="73"/>
      <c r="GW1562" s="73"/>
      <c r="GX1562" s="73"/>
      <c r="GY1562" s="73"/>
      <c r="GZ1562" s="73"/>
      <c r="HA1562" s="73"/>
      <c r="HB1562" s="73"/>
      <c r="HC1562" s="73"/>
      <c r="HD1562" s="73"/>
      <c r="HE1562" s="73"/>
      <c r="HF1562" s="73"/>
      <c r="HG1562" s="73"/>
      <c r="HH1562" s="73"/>
      <c r="HI1562" s="73"/>
      <c r="HJ1562" s="73"/>
      <c r="HK1562" s="73"/>
      <c r="HL1562" s="73"/>
      <c r="HM1562" s="73"/>
      <c r="HN1562" s="73"/>
      <c r="HO1562" s="73"/>
      <c r="HP1562" s="73"/>
      <c r="HQ1562" s="73"/>
      <c r="HR1562" s="73"/>
      <c r="HS1562" s="73"/>
      <c r="HT1562" s="73"/>
      <c r="HU1562" s="73"/>
      <c r="HV1562" s="73"/>
      <c r="HW1562" s="73"/>
      <c r="HX1562" s="73"/>
      <c r="HY1562" s="73"/>
      <c r="HZ1562" s="73"/>
      <c r="IA1562" s="73"/>
      <c r="IB1562" s="73"/>
      <c r="IC1562" s="73"/>
      <c r="ID1562" s="73"/>
      <c r="IE1562" s="73"/>
      <c r="IF1562" s="73"/>
      <c r="IG1562" s="73"/>
      <c r="IH1562" s="73"/>
      <c r="II1562" s="73"/>
      <c r="IJ1562" s="73"/>
      <c r="IK1562" s="73"/>
      <c r="IL1562" s="73"/>
      <c r="IM1562" s="73"/>
      <c r="IN1562" s="73"/>
      <c r="IO1562" s="73"/>
      <c r="IP1562" s="73"/>
      <c r="IQ1562" s="73"/>
      <c r="IR1562" s="73"/>
      <c r="IS1562" s="73"/>
      <c r="IT1562" s="73"/>
      <c r="IU1562" s="73"/>
      <c r="IV1562" s="73"/>
      <c r="IW1562" s="73"/>
      <c r="IX1562" s="73"/>
      <c r="IY1562" s="73"/>
      <c r="IZ1562" s="73"/>
      <c r="JA1562" s="73"/>
      <c r="JB1562" s="73"/>
      <c r="JC1562" s="73"/>
    </row>
    <row r="1563" spans="2:263" s="72" customFormat="1">
      <c r="B1563" s="73"/>
      <c r="C1563" s="73"/>
      <c r="D1563" s="73"/>
      <c r="E1563" s="73"/>
      <c r="F1563" s="73"/>
      <c r="G1563" s="73"/>
      <c r="H1563" s="73"/>
      <c r="I1563" s="73"/>
      <c r="J1563" s="73"/>
      <c r="K1563" s="73"/>
      <c r="L1563" s="73"/>
      <c r="M1563" s="73"/>
      <c r="N1563" s="73"/>
      <c r="O1563" s="73"/>
      <c r="P1563" s="73"/>
      <c r="Q1563" s="73"/>
      <c r="R1563" s="73"/>
      <c r="S1563" s="73"/>
      <c r="T1563" s="73"/>
      <c r="U1563" s="73"/>
      <c r="V1563" s="73"/>
      <c r="W1563" s="73"/>
      <c r="GL1563" s="73"/>
      <c r="GM1563" s="73"/>
      <c r="GN1563" s="73"/>
      <c r="GO1563" s="73"/>
      <c r="GP1563" s="73"/>
      <c r="GQ1563" s="73"/>
      <c r="GR1563" s="73"/>
      <c r="GS1563" s="73"/>
      <c r="GT1563" s="73"/>
      <c r="GU1563" s="73"/>
      <c r="GV1563" s="73"/>
      <c r="GW1563" s="73"/>
      <c r="GX1563" s="73"/>
      <c r="GY1563" s="73"/>
      <c r="GZ1563" s="73"/>
      <c r="HA1563" s="73"/>
      <c r="HB1563" s="73"/>
      <c r="HC1563" s="73"/>
      <c r="HD1563" s="73"/>
      <c r="HE1563" s="73"/>
      <c r="HF1563" s="73"/>
      <c r="HG1563" s="73"/>
      <c r="HH1563" s="73"/>
      <c r="HI1563" s="73"/>
      <c r="HJ1563" s="73"/>
      <c r="HK1563" s="73"/>
      <c r="HL1563" s="73"/>
      <c r="HM1563" s="73"/>
      <c r="HN1563" s="73"/>
      <c r="HO1563" s="73"/>
      <c r="HP1563" s="73"/>
      <c r="HQ1563" s="73"/>
      <c r="HR1563" s="73"/>
      <c r="HS1563" s="73"/>
      <c r="HT1563" s="73"/>
      <c r="HU1563" s="73"/>
      <c r="HV1563" s="73"/>
      <c r="HW1563" s="73"/>
      <c r="HX1563" s="73"/>
      <c r="HY1563" s="73"/>
      <c r="HZ1563" s="73"/>
      <c r="IA1563" s="73"/>
      <c r="IB1563" s="73"/>
      <c r="IC1563" s="73"/>
      <c r="ID1563" s="73"/>
      <c r="IE1563" s="73"/>
      <c r="IF1563" s="73"/>
      <c r="IG1563" s="73"/>
      <c r="IH1563" s="73"/>
      <c r="II1563" s="73"/>
      <c r="IJ1563" s="73"/>
      <c r="IK1563" s="73"/>
      <c r="IL1563" s="73"/>
      <c r="IM1563" s="73"/>
      <c r="IN1563" s="73"/>
      <c r="IO1563" s="73"/>
      <c r="IP1563" s="73"/>
      <c r="IQ1563" s="73"/>
      <c r="IR1563" s="73"/>
      <c r="IS1563" s="73"/>
      <c r="IT1563" s="73"/>
      <c r="IU1563" s="73"/>
      <c r="IV1563" s="73"/>
      <c r="IW1563" s="73"/>
      <c r="IX1563" s="73"/>
      <c r="IY1563" s="73"/>
      <c r="IZ1563" s="73"/>
      <c r="JA1563" s="73"/>
      <c r="JB1563" s="73"/>
      <c r="JC1563" s="73"/>
    </row>
    <row r="1564" spans="2:263" s="72" customFormat="1">
      <c r="B1564" s="73"/>
      <c r="C1564" s="73"/>
      <c r="D1564" s="73"/>
      <c r="E1564" s="73"/>
      <c r="F1564" s="73"/>
      <c r="G1564" s="73"/>
      <c r="H1564" s="73"/>
      <c r="I1564" s="73"/>
      <c r="J1564" s="73"/>
      <c r="K1564" s="73"/>
      <c r="L1564" s="73"/>
      <c r="M1564" s="73"/>
      <c r="N1564" s="73"/>
      <c r="O1564" s="73"/>
      <c r="P1564" s="73"/>
      <c r="Q1564" s="73"/>
      <c r="R1564" s="73"/>
      <c r="S1564" s="73"/>
      <c r="T1564" s="73"/>
      <c r="U1564" s="73"/>
      <c r="V1564" s="73"/>
      <c r="W1564" s="73"/>
      <c r="GL1564" s="73"/>
      <c r="GM1564" s="73"/>
      <c r="GN1564" s="73"/>
      <c r="GO1564" s="73"/>
      <c r="GP1564" s="73"/>
      <c r="GQ1564" s="73"/>
      <c r="GR1564" s="73"/>
      <c r="GS1564" s="73"/>
      <c r="GT1564" s="73"/>
      <c r="GU1564" s="73"/>
      <c r="GV1564" s="73"/>
      <c r="GW1564" s="73"/>
      <c r="GX1564" s="73"/>
      <c r="GY1564" s="73"/>
      <c r="GZ1564" s="73"/>
      <c r="HA1564" s="73"/>
      <c r="HB1564" s="73"/>
      <c r="HC1564" s="73"/>
      <c r="HD1564" s="73"/>
      <c r="HE1564" s="73"/>
      <c r="HF1564" s="73"/>
      <c r="HG1564" s="73"/>
      <c r="HH1564" s="73"/>
      <c r="HI1564" s="73"/>
      <c r="HJ1564" s="73"/>
      <c r="HK1564" s="73"/>
      <c r="HL1564" s="73"/>
      <c r="HM1564" s="73"/>
      <c r="HN1564" s="73"/>
      <c r="HO1564" s="73"/>
      <c r="HP1564" s="73"/>
      <c r="HQ1564" s="73"/>
      <c r="HR1564" s="73"/>
      <c r="HS1564" s="73"/>
      <c r="HT1564" s="73"/>
      <c r="HU1564" s="73"/>
      <c r="HV1564" s="73"/>
      <c r="HW1564" s="73"/>
      <c r="HX1564" s="73"/>
      <c r="HY1564" s="73"/>
      <c r="HZ1564" s="73"/>
      <c r="IA1564" s="73"/>
      <c r="IB1564" s="73"/>
      <c r="IC1564" s="73"/>
      <c r="ID1564" s="73"/>
      <c r="IE1564" s="73"/>
      <c r="IF1564" s="73"/>
      <c r="IG1564" s="73"/>
      <c r="IH1564" s="73"/>
      <c r="II1564" s="73"/>
      <c r="IJ1564" s="73"/>
      <c r="IK1564" s="73"/>
      <c r="IL1564" s="73"/>
      <c r="IM1564" s="73"/>
      <c r="IN1564" s="73"/>
      <c r="IO1564" s="73"/>
      <c r="IP1564" s="73"/>
      <c r="IQ1564" s="73"/>
      <c r="IR1564" s="73"/>
      <c r="IS1564" s="73"/>
      <c r="IT1564" s="73"/>
      <c r="IU1564" s="73"/>
      <c r="IV1564" s="73"/>
      <c r="IW1564" s="73"/>
      <c r="IX1564" s="73"/>
      <c r="IY1564" s="73"/>
      <c r="IZ1564" s="73"/>
      <c r="JA1564" s="73"/>
      <c r="JB1564" s="73"/>
      <c r="JC1564" s="73"/>
    </row>
    <row r="1565" spans="2:263" s="72" customFormat="1">
      <c r="B1565" s="73"/>
      <c r="C1565" s="73"/>
      <c r="D1565" s="73"/>
      <c r="E1565" s="73"/>
      <c r="F1565" s="73"/>
      <c r="G1565" s="73"/>
      <c r="H1565" s="73"/>
      <c r="I1565" s="73"/>
      <c r="J1565" s="73"/>
      <c r="K1565" s="73"/>
      <c r="L1565" s="73"/>
      <c r="M1565" s="73"/>
      <c r="N1565" s="73"/>
      <c r="O1565" s="73"/>
      <c r="P1565" s="73"/>
      <c r="Q1565" s="73"/>
      <c r="R1565" s="73"/>
      <c r="S1565" s="73"/>
      <c r="T1565" s="73"/>
      <c r="U1565" s="73"/>
      <c r="V1565" s="73"/>
      <c r="W1565" s="73"/>
      <c r="GL1565" s="73"/>
      <c r="GM1565" s="73"/>
      <c r="GN1565" s="73"/>
      <c r="GO1565" s="73"/>
      <c r="GP1565" s="73"/>
      <c r="GQ1565" s="73"/>
      <c r="GR1565" s="73"/>
      <c r="GS1565" s="73"/>
      <c r="GT1565" s="73"/>
      <c r="GU1565" s="73"/>
      <c r="GV1565" s="73"/>
      <c r="GW1565" s="73"/>
      <c r="GX1565" s="73"/>
      <c r="GY1565" s="73"/>
      <c r="GZ1565" s="73"/>
      <c r="HA1565" s="73"/>
      <c r="HB1565" s="73"/>
      <c r="HC1565" s="73"/>
      <c r="HD1565" s="73"/>
      <c r="HE1565" s="73"/>
      <c r="HF1565" s="73"/>
      <c r="HG1565" s="73"/>
      <c r="HH1565" s="73"/>
      <c r="HI1565" s="73"/>
      <c r="HJ1565" s="73"/>
      <c r="HK1565" s="73"/>
      <c r="HL1565" s="73"/>
      <c r="HM1565" s="73"/>
      <c r="HN1565" s="73"/>
      <c r="HO1565" s="73"/>
      <c r="HP1565" s="73"/>
      <c r="HQ1565" s="73"/>
      <c r="HR1565" s="73"/>
      <c r="HS1565" s="73"/>
      <c r="HT1565" s="73"/>
      <c r="HU1565" s="73"/>
      <c r="HV1565" s="73"/>
      <c r="HW1565" s="73"/>
      <c r="HX1565" s="73"/>
      <c r="HY1565" s="73"/>
      <c r="HZ1565" s="73"/>
      <c r="IA1565" s="73"/>
      <c r="IB1565" s="73"/>
      <c r="IC1565" s="73"/>
      <c r="ID1565" s="73"/>
      <c r="IE1565" s="73"/>
      <c r="IF1565" s="73"/>
      <c r="IG1565" s="73"/>
      <c r="IH1565" s="73"/>
      <c r="II1565" s="73"/>
      <c r="IJ1565" s="73"/>
      <c r="IK1565" s="73"/>
      <c r="IL1565" s="73"/>
      <c r="IM1565" s="73"/>
      <c r="IN1565" s="73"/>
      <c r="IO1565" s="73"/>
      <c r="IP1565" s="73"/>
      <c r="IQ1565" s="73"/>
      <c r="IR1565" s="73"/>
      <c r="IS1565" s="73"/>
      <c r="IT1565" s="73"/>
      <c r="IU1565" s="73"/>
      <c r="IV1565" s="73"/>
      <c r="IW1565" s="73"/>
      <c r="IX1565" s="73"/>
      <c r="IY1565" s="73"/>
      <c r="IZ1565" s="73"/>
      <c r="JA1565" s="73"/>
      <c r="JB1565" s="73"/>
      <c r="JC1565" s="73"/>
    </row>
    <row r="1566" spans="2:263" s="72" customFormat="1">
      <c r="B1566" s="73"/>
      <c r="C1566" s="73"/>
      <c r="D1566" s="73"/>
      <c r="E1566" s="73"/>
      <c r="F1566" s="73"/>
      <c r="G1566" s="73"/>
      <c r="H1566" s="73"/>
      <c r="I1566" s="73"/>
      <c r="J1566" s="73"/>
      <c r="K1566" s="73"/>
      <c r="L1566" s="73"/>
      <c r="M1566" s="73"/>
      <c r="N1566" s="73"/>
      <c r="O1566" s="73"/>
      <c r="P1566" s="73"/>
      <c r="Q1566" s="73"/>
      <c r="R1566" s="73"/>
      <c r="S1566" s="73"/>
      <c r="T1566" s="73"/>
      <c r="U1566" s="73"/>
      <c r="V1566" s="73"/>
      <c r="W1566" s="73"/>
      <c r="GL1566" s="73"/>
      <c r="GM1566" s="73"/>
      <c r="GN1566" s="73"/>
      <c r="GO1566" s="73"/>
      <c r="GP1566" s="73"/>
      <c r="GQ1566" s="73"/>
      <c r="GR1566" s="73"/>
      <c r="GS1566" s="73"/>
      <c r="GT1566" s="73"/>
      <c r="GU1566" s="73"/>
      <c r="GV1566" s="73"/>
      <c r="GW1566" s="73"/>
      <c r="GX1566" s="73"/>
      <c r="GY1566" s="73"/>
      <c r="GZ1566" s="73"/>
      <c r="HA1566" s="73"/>
      <c r="HB1566" s="73"/>
      <c r="HC1566" s="73"/>
      <c r="HD1566" s="73"/>
      <c r="HE1566" s="73"/>
      <c r="HF1566" s="73"/>
      <c r="HG1566" s="73"/>
      <c r="HH1566" s="73"/>
      <c r="HI1566" s="73"/>
      <c r="HJ1566" s="73"/>
      <c r="HK1566" s="73"/>
      <c r="HL1566" s="73"/>
      <c r="HM1566" s="73"/>
      <c r="HN1566" s="73"/>
      <c r="HO1566" s="73"/>
      <c r="HP1566" s="73"/>
      <c r="HQ1566" s="73"/>
      <c r="HR1566" s="73"/>
      <c r="HS1566" s="73"/>
      <c r="HT1566" s="73"/>
      <c r="HU1566" s="73"/>
      <c r="HV1566" s="73"/>
      <c r="HW1566" s="73"/>
      <c r="HX1566" s="73"/>
      <c r="HY1566" s="73"/>
      <c r="HZ1566" s="73"/>
      <c r="IA1566" s="73"/>
      <c r="IB1566" s="73"/>
      <c r="IC1566" s="73"/>
      <c r="ID1566" s="73"/>
      <c r="IE1566" s="73"/>
      <c r="IF1566" s="73"/>
      <c r="IG1566" s="73"/>
      <c r="IH1566" s="73"/>
      <c r="II1566" s="73"/>
      <c r="IJ1566" s="73"/>
      <c r="IK1566" s="73"/>
      <c r="IL1566" s="73"/>
      <c r="IM1566" s="73"/>
      <c r="IN1566" s="73"/>
      <c r="IO1566" s="73"/>
      <c r="IP1566" s="73"/>
      <c r="IQ1566" s="73"/>
      <c r="IR1566" s="73"/>
      <c r="IS1566" s="73"/>
      <c r="IT1566" s="73"/>
      <c r="IU1566" s="73"/>
      <c r="IV1566" s="73"/>
      <c r="IW1566" s="73"/>
      <c r="IX1566" s="73"/>
      <c r="IY1566" s="73"/>
      <c r="IZ1566" s="73"/>
      <c r="JA1566" s="73"/>
      <c r="JB1566" s="73"/>
      <c r="JC1566" s="73"/>
    </row>
    <row r="1567" spans="2:263" s="72" customFormat="1">
      <c r="B1567" s="73"/>
      <c r="C1567" s="73"/>
      <c r="D1567" s="73"/>
      <c r="E1567" s="73"/>
      <c r="F1567" s="73"/>
      <c r="G1567" s="73"/>
      <c r="H1567" s="73"/>
      <c r="I1567" s="73"/>
      <c r="J1567" s="73"/>
      <c r="K1567" s="73"/>
      <c r="L1567" s="73"/>
      <c r="M1567" s="73"/>
      <c r="N1567" s="73"/>
      <c r="O1567" s="73"/>
      <c r="P1567" s="73"/>
      <c r="Q1567" s="73"/>
      <c r="R1567" s="73"/>
      <c r="S1567" s="73"/>
      <c r="T1567" s="73"/>
      <c r="U1567" s="73"/>
      <c r="V1567" s="73"/>
      <c r="W1567" s="73"/>
      <c r="GL1567" s="73"/>
      <c r="GM1567" s="73"/>
      <c r="GN1567" s="73"/>
      <c r="GO1567" s="73"/>
      <c r="GP1567" s="73"/>
      <c r="GQ1567" s="73"/>
      <c r="GR1567" s="73"/>
      <c r="GS1567" s="73"/>
      <c r="GT1567" s="73"/>
      <c r="GU1567" s="73"/>
      <c r="GV1567" s="73"/>
      <c r="GW1567" s="73"/>
      <c r="GX1567" s="73"/>
      <c r="GY1567" s="73"/>
      <c r="GZ1567" s="73"/>
      <c r="HA1567" s="73"/>
      <c r="HB1567" s="73"/>
      <c r="HC1567" s="73"/>
      <c r="HD1567" s="73"/>
      <c r="HE1567" s="73"/>
      <c r="HF1567" s="73"/>
      <c r="HG1567" s="73"/>
      <c r="HH1567" s="73"/>
      <c r="HI1567" s="73"/>
      <c r="HJ1567" s="73"/>
      <c r="HK1567" s="73"/>
      <c r="HL1567" s="73"/>
      <c r="HM1567" s="73"/>
      <c r="HN1567" s="73"/>
      <c r="HO1567" s="73"/>
      <c r="HP1567" s="73"/>
      <c r="HQ1567" s="73"/>
      <c r="HR1567" s="73"/>
      <c r="HS1567" s="73"/>
      <c r="HT1567" s="73"/>
      <c r="HU1567" s="73"/>
      <c r="HV1567" s="73"/>
      <c r="HW1567" s="73"/>
      <c r="HX1567" s="73"/>
      <c r="HY1567" s="73"/>
      <c r="HZ1567" s="73"/>
      <c r="IA1567" s="73"/>
      <c r="IB1567" s="73"/>
      <c r="IC1567" s="73"/>
      <c r="ID1567" s="73"/>
      <c r="IE1567" s="73"/>
      <c r="IF1567" s="73"/>
      <c r="IG1567" s="73"/>
      <c r="IH1567" s="73"/>
      <c r="II1567" s="73"/>
      <c r="IJ1567" s="73"/>
      <c r="IK1567" s="73"/>
      <c r="IL1567" s="73"/>
      <c r="IM1567" s="73"/>
      <c r="IN1567" s="73"/>
      <c r="IO1567" s="73"/>
      <c r="IP1567" s="73"/>
      <c r="IQ1567" s="73"/>
      <c r="IR1567" s="73"/>
      <c r="IS1567" s="73"/>
      <c r="IT1567" s="73"/>
      <c r="IU1567" s="73"/>
      <c r="IV1567" s="73"/>
      <c r="IW1567" s="73"/>
      <c r="IX1567" s="73"/>
      <c r="IY1567" s="73"/>
      <c r="IZ1567" s="73"/>
      <c r="JA1567" s="73"/>
      <c r="JB1567" s="73"/>
      <c r="JC1567" s="73"/>
    </row>
    <row r="1568" spans="2:263" s="72" customFormat="1">
      <c r="B1568" s="73"/>
      <c r="C1568" s="73"/>
      <c r="D1568" s="73"/>
      <c r="E1568" s="73"/>
      <c r="F1568" s="73"/>
      <c r="G1568" s="73"/>
      <c r="H1568" s="73"/>
      <c r="I1568" s="73"/>
      <c r="J1568" s="73"/>
      <c r="K1568" s="73"/>
      <c r="L1568" s="73"/>
      <c r="M1568" s="73"/>
      <c r="N1568" s="73"/>
      <c r="O1568" s="73"/>
      <c r="P1568" s="73"/>
      <c r="Q1568" s="73"/>
      <c r="R1568" s="73"/>
      <c r="S1568" s="73"/>
      <c r="T1568" s="73"/>
      <c r="U1568" s="73"/>
      <c r="V1568" s="73"/>
      <c r="W1568" s="73"/>
      <c r="GL1568" s="73"/>
      <c r="GM1568" s="73"/>
      <c r="GN1568" s="73"/>
      <c r="GO1568" s="73"/>
      <c r="GP1568" s="73"/>
      <c r="GQ1568" s="73"/>
      <c r="GR1568" s="73"/>
      <c r="GS1568" s="73"/>
      <c r="GT1568" s="73"/>
      <c r="GU1568" s="73"/>
      <c r="GV1568" s="73"/>
      <c r="GW1568" s="73"/>
      <c r="GX1568" s="73"/>
      <c r="GY1568" s="73"/>
      <c r="GZ1568" s="73"/>
      <c r="HA1568" s="73"/>
      <c r="HB1568" s="73"/>
      <c r="HC1568" s="73"/>
      <c r="HD1568" s="73"/>
      <c r="HE1568" s="73"/>
      <c r="HF1568" s="73"/>
      <c r="HG1568" s="73"/>
      <c r="HH1568" s="73"/>
      <c r="HI1568" s="73"/>
      <c r="HJ1568" s="73"/>
      <c r="HK1568" s="73"/>
      <c r="HL1568" s="73"/>
      <c r="HM1568" s="73"/>
      <c r="HN1568" s="73"/>
      <c r="HO1568" s="73"/>
      <c r="HP1568" s="73"/>
      <c r="HQ1568" s="73"/>
      <c r="HR1568" s="73"/>
      <c r="HS1568" s="73"/>
      <c r="HT1568" s="73"/>
      <c r="HU1568" s="73"/>
      <c r="HV1568" s="73"/>
      <c r="HW1568" s="73"/>
      <c r="HX1568" s="73"/>
      <c r="HY1568" s="73"/>
      <c r="HZ1568" s="73"/>
      <c r="IA1568" s="73"/>
      <c r="IB1568" s="73"/>
      <c r="IC1568" s="73"/>
      <c r="ID1568" s="73"/>
      <c r="IE1568" s="73"/>
      <c r="IF1568" s="73"/>
      <c r="IG1568" s="73"/>
      <c r="IH1568" s="73"/>
      <c r="II1568" s="73"/>
      <c r="IJ1568" s="73"/>
      <c r="IK1568" s="73"/>
      <c r="IL1568" s="73"/>
      <c r="IM1568" s="73"/>
      <c r="IN1568" s="73"/>
      <c r="IO1568" s="73"/>
      <c r="IP1568" s="73"/>
      <c r="IQ1568" s="73"/>
      <c r="IR1568" s="73"/>
      <c r="IS1568" s="73"/>
      <c r="IT1568" s="73"/>
      <c r="IU1568" s="73"/>
      <c r="IV1568" s="73"/>
      <c r="IW1568" s="73"/>
      <c r="IX1568" s="73"/>
      <c r="IY1568" s="73"/>
      <c r="IZ1568" s="73"/>
      <c r="JA1568" s="73"/>
      <c r="JB1568" s="73"/>
      <c r="JC1568" s="73"/>
    </row>
    <row r="1569" spans="2:263" s="72" customFormat="1">
      <c r="B1569" s="73"/>
      <c r="C1569" s="73"/>
      <c r="D1569" s="73"/>
      <c r="E1569" s="73"/>
      <c r="F1569" s="73"/>
      <c r="G1569" s="73"/>
      <c r="H1569" s="73"/>
      <c r="I1569" s="73"/>
      <c r="J1569" s="73"/>
      <c r="K1569" s="73"/>
      <c r="L1569" s="73"/>
      <c r="M1569" s="73"/>
      <c r="N1569" s="73"/>
      <c r="O1569" s="73"/>
      <c r="P1569" s="73"/>
      <c r="Q1569" s="73"/>
      <c r="R1569" s="73"/>
      <c r="S1569" s="73"/>
      <c r="T1569" s="73"/>
      <c r="U1569" s="73"/>
      <c r="V1569" s="73"/>
      <c r="W1569" s="73"/>
      <c r="GL1569" s="73"/>
      <c r="GM1569" s="73"/>
      <c r="GN1569" s="73"/>
      <c r="GO1569" s="73"/>
      <c r="GP1569" s="73"/>
      <c r="GQ1569" s="73"/>
      <c r="GR1569" s="73"/>
      <c r="GS1569" s="73"/>
      <c r="GT1569" s="73"/>
      <c r="GU1569" s="73"/>
      <c r="GV1569" s="73"/>
      <c r="GW1569" s="73"/>
      <c r="GX1569" s="73"/>
      <c r="GY1569" s="73"/>
      <c r="GZ1569" s="73"/>
      <c r="HA1569" s="73"/>
      <c r="HB1569" s="73"/>
      <c r="HC1569" s="73"/>
      <c r="HD1569" s="73"/>
      <c r="HE1569" s="73"/>
      <c r="HF1569" s="73"/>
      <c r="HG1569" s="73"/>
      <c r="HH1569" s="73"/>
      <c r="HI1569" s="73"/>
      <c r="HJ1569" s="73"/>
      <c r="HK1569" s="73"/>
      <c r="HL1569" s="73"/>
      <c r="HM1569" s="73"/>
      <c r="HN1569" s="73"/>
      <c r="HO1569" s="73"/>
      <c r="HP1569" s="73"/>
      <c r="HQ1569" s="73"/>
      <c r="HR1569" s="73"/>
      <c r="HS1569" s="73"/>
      <c r="HT1569" s="73"/>
      <c r="HU1569" s="73"/>
      <c r="HV1569" s="73"/>
      <c r="HW1569" s="73"/>
      <c r="HX1569" s="73"/>
      <c r="HY1569" s="73"/>
      <c r="HZ1569" s="73"/>
      <c r="IA1569" s="73"/>
      <c r="IB1569" s="73"/>
      <c r="IC1569" s="73"/>
      <c r="ID1569" s="73"/>
      <c r="IE1569" s="73"/>
      <c r="IF1569" s="73"/>
      <c r="IG1569" s="73"/>
      <c r="IH1569" s="73"/>
      <c r="II1569" s="73"/>
      <c r="IJ1569" s="73"/>
      <c r="IK1569" s="73"/>
      <c r="IL1569" s="73"/>
      <c r="IM1569" s="73"/>
      <c r="IN1569" s="73"/>
      <c r="IO1569" s="73"/>
      <c r="IP1569" s="73"/>
      <c r="IQ1569" s="73"/>
      <c r="IR1569" s="73"/>
      <c r="IS1569" s="73"/>
      <c r="IT1569" s="73"/>
      <c r="IU1569" s="73"/>
      <c r="IV1569" s="73"/>
      <c r="IW1569" s="73"/>
      <c r="IX1569" s="73"/>
      <c r="IY1569" s="73"/>
      <c r="IZ1569" s="73"/>
      <c r="JA1569" s="73"/>
      <c r="JB1569" s="73"/>
      <c r="JC1569" s="73"/>
    </row>
    <row r="1570" spans="2:263" s="72" customFormat="1">
      <c r="B1570" s="73"/>
      <c r="C1570" s="73"/>
      <c r="D1570" s="73"/>
      <c r="E1570" s="73"/>
      <c r="F1570" s="73"/>
      <c r="G1570" s="73"/>
      <c r="H1570" s="73"/>
      <c r="I1570" s="73"/>
      <c r="J1570" s="73"/>
      <c r="K1570" s="73"/>
      <c r="L1570" s="73"/>
      <c r="M1570" s="73"/>
      <c r="N1570" s="73"/>
      <c r="O1570" s="73"/>
      <c r="P1570" s="73"/>
      <c r="Q1570" s="73"/>
      <c r="R1570" s="73"/>
      <c r="S1570" s="73"/>
      <c r="T1570" s="73"/>
      <c r="U1570" s="73"/>
      <c r="V1570" s="73"/>
      <c r="W1570" s="73"/>
      <c r="GL1570" s="73"/>
      <c r="GM1570" s="73"/>
      <c r="GN1570" s="73"/>
      <c r="GO1570" s="73"/>
      <c r="GP1570" s="73"/>
      <c r="GQ1570" s="73"/>
      <c r="GR1570" s="73"/>
      <c r="GS1570" s="73"/>
      <c r="GT1570" s="73"/>
      <c r="GU1570" s="73"/>
      <c r="GV1570" s="73"/>
      <c r="GW1570" s="73"/>
      <c r="GX1570" s="73"/>
      <c r="GY1570" s="73"/>
      <c r="GZ1570" s="73"/>
      <c r="HA1570" s="73"/>
      <c r="HB1570" s="73"/>
      <c r="HC1570" s="73"/>
      <c r="HD1570" s="73"/>
      <c r="HE1570" s="73"/>
      <c r="HF1570" s="73"/>
      <c r="HG1570" s="73"/>
      <c r="HH1570" s="73"/>
      <c r="HI1570" s="73"/>
      <c r="HJ1570" s="73"/>
      <c r="HK1570" s="73"/>
      <c r="HL1570" s="73"/>
      <c r="HM1570" s="73"/>
      <c r="HN1570" s="73"/>
      <c r="HO1570" s="73"/>
      <c r="HP1570" s="73"/>
      <c r="HQ1570" s="73"/>
      <c r="HR1570" s="73"/>
      <c r="HS1570" s="73"/>
      <c r="HT1570" s="73"/>
      <c r="HU1570" s="73"/>
      <c r="HV1570" s="73"/>
      <c r="HW1570" s="73"/>
      <c r="HX1570" s="73"/>
      <c r="HY1570" s="73"/>
      <c r="HZ1570" s="73"/>
      <c r="IA1570" s="73"/>
      <c r="IB1570" s="73"/>
      <c r="IC1570" s="73"/>
      <c r="ID1570" s="73"/>
      <c r="IE1570" s="73"/>
      <c r="IF1570" s="73"/>
      <c r="IG1570" s="73"/>
      <c r="IH1570" s="73"/>
      <c r="II1570" s="73"/>
      <c r="IJ1570" s="73"/>
      <c r="IK1570" s="73"/>
      <c r="IL1570" s="73"/>
      <c r="IM1570" s="73"/>
      <c r="IN1570" s="73"/>
      <c r="IO1570" s="73"/>
      <c r="IP1570" s="73"/>
      <c r="IQ1570" s="73"/>
      <c r="IR1570" s="73"/>
      <c r="IS1570" s="73"/>
      <c r="IT1570" s="73"/>
      <c r="IU1570" s="73"/>
      <c r="IV1570" s="73"/>
      <c r="IW1570" s="73"/>
      <c r="IX1570" s="73"/>
      <c r="IY1570" s="73"/>
      <c r="IZ1570" s="73"/>
      <c r="JA1570" s="73"/>
      <c r="JB1570" s="73"/>
      <c r="JC1570" s="73"/>
    </row>
    <row r="1571" spans="2:263" s="72" customFormat="1">
      <c r="B1571" s="73"/>
      <c r="C1571" s="73"/>
      <c r="D1571" s="73"/>
      <c r="E1571" s="73"/>
      <c r="F1571" s="73"/>
      <c r="G1571" s="73"/>
      <c r="H1571" s="73"/>
      <c r="I1571" s="73"/>
      <c r="J1571" s="73"/>
      <c r="K1571" s="73"/>
      <c r="L1571" s="73"/>
      <c r="M1571" s="73"/>
      <c r="N1571" s="73"/>
      <c r="O1571" s="73"/>
      <c r="P1571" s="73"/>
      <c r="Q1571" s="73"/>
      <c r="R1571" s="73"/>
      <c r="S1571" s="73"/>
      <c r="T1571" s="73"/>
      <c r="U1571" s="73"/>
      <c r="V1571" s="73"/>
      <c r="W1571" s="73"/>
      <c r="GL1571" s="73"/>
      <c r="GM1571" s="73"/>
      <c r="GN1571" s="73"/>
      <c r="GO1571" s="73"/>
      <c r="GP1571" s="73"/>
      <c r="GQ1571" s="73"/>
      <c r="GR1571" s="73"/>
      <c r="GS1571" s="73"/>
      <c r="GT1571" s="73"/>
      <c r="GU1571" s="73"/>
      <c r="GV1571" s="73"/>
      <c r="GW1571" s="73"/>
      <c r="GX1571" s="73"/>
      <c r="GY1571" s="73"/>
      <c r="GZ1571" s="73"/>
      <c r="HA1571" s="73"/>
      <c r="HB1571" s="73"/>
      <c r="HC1571" s="73"/>
      <c r="HD1571" s="73"/>
      <c r="HE1571" s="73"/>
      <c r="HF1571" s="73"/>
      <c r="HG1571" s="73"/>
      <c r="HH1571" s="73"/>
      <c r="HI1571" s="73"/>
      <c r="HJ1571" s="73"/>
      <c r="HK1571" s="73"/>
      <c r="HL1571" s="73"/>
      <c r="HM1571" s="73"/>
      <c r="HN1571" s="73"/>
      <c r="HO1571" s="73"/>
      <c r="HP1571" s="73"/>
      <c r="HQ1571" s="73"/>
      <c r="HR1571" s="73"/>
      <c r="HS1571" s="73"/>
      <c r="HT1571" s="73"/>
      <c r="HU1571" s="73"/>
      <c r="HV1571" s="73"/>
      <c r="HW1571" s="73"/>
      <c r="HX1571" s="73"/>
      <c r="HY1571" s="73"/>
      <c r="HZ1571" s="73"/>
      <c r="IA1571" s="73"/>
      <c r="IB1571" s="73"/>
      <c r="IC1571" s="73"/>
      <c r="ID1571" s="73"/>
      <c r="IE1571" s="73"/>
      <c r="IF1571" s="73"/>
      <c r="IG1571" s="73"/>
      <c r="IH1571" s="73"/>
      <c r="II1571" s="73"/>
      <c r="IJ1571" s="73"/>
      <c r="IK1571" s="73"/>
      <c r="IL1571" s="73"/>
      <c r="IM1571" s="73"/>
      <c r="IN1571" s="73"/>
      <c r="IO1571" s="73"/>
      <c r="IP1571" s="73"/>
      <c r="IQ1571" s="73"/>
      <c r="IR1571" s="73"/>
      <c r="IS1571" s="73"/>
      <c r="IT1571" s="73"/>
      <c r="IU1571" s="73"/>
      <c r="IV1571" s="73"/>
      <c r="IW1571" s="73"/>
      <c r="IX1571" s="73"/>
      <c r="IY1571" s="73"/>
      <c r="IZ1571" s="73"/>
      <c r="JA1571" s="73"/>
      <c r="JB1571" s="73"/>
      <c r="JC1571" s="73"/>
    </row>
    <row r="1572" spans="2:263" s="72" customFormat="1">
      <c r="B1572" s="73"/>
      <c r="C1572" s="73"/>
      <c r="D1572" s="73"/>
      <c r="E1572" s="73"/>
      <c r="F1572" s="73"/>
      <c r="G1572" s="73"/>
      <c r="H1572" s="73"/>
      <c r="I1572" s="73"/>
      <c r="J1572" s="73"/>
      <c r="K1572" s="73"/>
      <c r="L1572" s="73"/>
      <c r="M1572" s="73"/>
      <c r="N1572" s="73"/>
      <c r="O1572" s="73"/>
      <c r="P1572" s="73"/>
      <c r="Q1572" s="73"/>
      <c r="R1572" s="73"/>
      <c r="S1572" s="73"/>
      <c r="T1572" s="73"/>
      <c r="U1572" s="73"/>
      <c r="V1572" s="73"/>
      <c r="W1572" s="73"/>
      <c r="GL1572" s="73"/>
      <c r="GM1572" s="73"/>
      <c r="GN1572" s="73"/>
      <c r="GO1572" s="73"/>
      <c r="GP1572" s="73"/>
      <c r="GQ1572" s="73"/>
      <c r="GR1572" s="73"/>
      <c r="GS1572" s="73"/>
      <c r="GT1572" s="73"/>
      <c r="GU1572" s="73"/>
      <c r="GV1572" s="73"/>
      <c r="GW1572" s="73"/>
      <c r="GX1572" s="73"/>
      <c r="GY1572" s="73"/>
      <c r="GZ1572" s="73"/>
      <c r="HA1572" s="73"/>
      <c r="HB1572" s="73"/>
      <c r="HC1572" s="73"/>
      <c r="HD1572" s="73"/>
      <c r="HE1572" s="73"/>
      <c r="HF1572" s="73"/>
      <c r="HG1572" s="73"/>
      <c r="HH1572" s="73"/>
      <c r="HI1572" s="73"/>
      <c r="HJ1572" s="73"/>
      <c r="HK1572" s="73"/>
      <c r="HL1572" s="73"/>
      <c r="HM1572" s="73"/>
      <c r="HN1572" s="73"/>
      <c r="HO1572" s="73"/>
      <c r="HP1572" s="73"/>
      <c r="HQ1572" s="73"/>
      <c r="HR1572" s="73"/>
      <c r="HS1572" s="73"/>
      <c r="HT1572" s="73"/>
      <c r="HU1572" s="73"/>
      <c r="HV1572" s="73"/>
      <c r="HW1572" s="73"/>
      <c r="HX1572" s="73"/>
      <c r="HY1572" s="73"/>
      <c r="HZ1572" s="73"/>
      <c r="IA1572" s="73"/>
      <c r="IB1572" s="73"/>
      <c r="IC1572" s="73"/>
      <c r="ID1572" s="73"/>
      <c r="IE1572" s="73"/>
      <c r="IF1572" s="73"/>
      <c r="IG1572" s="73"/>
      <c r="IH1572" s="73"/>
      <c r="II1572" s="73"/>
      <c r="IJ1572" s="73"/>
      <c r="IK1572" s="73"/>
      <c r="IL1572" s="73"/>
      <c r="IM1572" s="73"/>
      <c r="IN1572" s="73"/>
      <c r="IO1572" s="73"/>
      <c r="IP1572" s="73"/>
      <c r="IQ1572" s="73"/>
      <c r="IR1572" s="73"/>
      <c r="IS1572" s="73"/>
      <c r="IT1572" s="73"/>
      <c r="IU1572" s="73"/>
      <c r="IV1572" s="73"/>
      <c r="IW1572" s="73"/>
      <c r="IX1572" s="73"/>
      <c r="IY1572" s="73"/>
      <c r="IZ1572" s="73"/>
      <c r="JA1572" s="73"/>
      <c r="JB1572" s="73"/>
      <c r="JC1572" s="73"/>
    </row>
    <row r="1573" spans="2:263" s="72" customFormat="1">
      <c r="B1573" s="73"/>
      <c r="C1573" s="73"/>
      <c r="D1573" s="73"/>
      <c r="E1573" s="73"/>
      <c r="F1573" s="73"/>
      <c r="G1573" s="73"/>
      <c r="H1573" s="73"/>
      <c r="I1573" s="73"/>
      <c r="J1573" s="73"/>
      <c r="K1573" s="73"/>
      <c r="L1573" s="73"/>
      <c r="M1573" s="73"/>
      <c r="N1573" s="73"/>
      <c r="O1573" s="73"/>
      <c r="P1573" s="73"/>
      <c r="Q1573" s="73"/>
      <c r="R1573" s="73"/>
      <c r="S1573" s="73"/>
      <c r="T1573" s="73"/>
      <c r="U1573" s="73"/>
      <c r="V1573" s="73"/>
      <c r="W1573" s="73"/>
      <c r="GL1573" s="73"/>
      <c r="GM1573" s="73"/>
      <c r="GN1573" s="73"/>
      <c r="GO1573" s="73"/>
      <c r="GP1573" s="73"/>
      <c r="GQ1573" s="73"/>
      <c r="GR1573" s="73"/>
      <c r="GS1573" s="73"/>
      <c r="GT1573" s="73"/>
      <c r="GU1573" s="73"/>
      <c r="GV1573" s="73"/>
      <c r="GW1573" s="73"/>
      <c r="GX1573" s="73"/>
      <c r="GY1573" s="73"/>
      <c r="GZ1573" s="73"/>
      <c r="HA1573" s="73"/>
      <c r="HB1573" s="73"/>
      <c r="HC1573" s="73"/>
      <c r="HD1573" s="73"/>
      <c r="HE1573" s="73"/>
      <c r="HF1573" s="73"/>
      <c r="HG1573" s="73"/>
      <c r="HH1573" s="73"/>
      <c r="HI1573" s="73"/>
      <c r="HJ1573" s="73"/>
      <c r="HK1573" s="73"/>
      <c r="HL1573" s="73"/>
      <c r="HM1573" s="73"/>
      <c r="HN1573" s="73"/>
      <c r="HO1573" s="73"/>
      <c r="HP1573" s="73"/>
      <c r="HQ1573" s="73"/>
      <c r="HR1573" s="73"/>
      <c r="HS1573" s="73"/>
      <c r="HT1573" s="73"/>
      <c r="HU1573" s="73"/>
      <c r="HV1573" s="73"/>
      <c r="HW1573" s="73"/>
      <c r="HX1573" s="73"/>
      <c r="HY1573" s="73"/>
      <c r="HZ1573" s="73"/>
      <c r="IA1573" s="73"/>
      <c r="IB1573" s="73"/>
      <c r="IC1573" s="73"/>
      <c r="ID1573" s="73"/>
      <c r="IE1573" s="73"/>
      <c r="IF1573" s="73"/>
      <c r="IG1573" s="73"/>
      <c r="IH1573" s="73"/>
      <c r="II1573" s="73"/>
      <c r="IJ1573" s="73"/>
      <c r="IK1573" s="73"/>
      <c r="IL1573" s="73"/>
      <c r="IM1573" s="73"/>
      <c r="IN1573" s="73"/>
      <c r="IO1573" s="73"/>
      <c r="IP1573" s="73"/>
      <c r="IQ1573" s="73"/>
      <c r="IR1573" s="73"/>
      <c r="IS1573" s="73"/>
      <c r="IT1573" s="73"/>
      <c r="IU1573" s="73"/>
      <c r="IV1573" s="73"/>
      <c r="IW1573" s="73"/>
      <c r="IX1573" s="73"/>
      <c r="IY1573" s="73"/>
      <c r="IZ1573" s="73"/>
      <c r="JA1573" s="73"/>
      <c r="JB1573" s="73"/>
      <c r="JC1573" s="73"/>
    </row>
    <row r="1574" spans="2:263" s="72" customFormat="1">
      <c r="B1574" s="73"/>
      <c r="C1574" s="73"/>
      <c r="D1574" s="73"/>
      <c r="E1574" s="73"/>
      <c r="F1574" s="73"/>
      <c r="G1574" s="73"/>
      <c r="H1574" s="73"/>
      <c r="I1574" s="73"/>
      <c r="J1574" s="73"/>
      <c r="K1574" s="73"/>
      <c r="L1574" s="73"/>
      <c r="M1574" s="73"/>
      <c r="N1574" s="73"/>
      <c r="O1574" s="73"/>
      <c r="P1574" s="73"/>
      <c r="Q1574" s="73"/>
      <c r="R1574" s="73"/>
      <c r="S1574" s="73"/>
      <c r="T1574" s="73"/>
      <c r="U1574" s="73"/>
      <c r="V1574" s="73"/>
      <c r="W1574" s="73"/>
      <c r="GL1574" s="73"/>
      <c r="GM1574" s="73"/>
      <c r="GN1574" s="73"/>
      <c r="GO1574" s="73"/>
      <c r="GP1574" s="73"/>
      <c r="GQ1574" s="73"/>
      <c r="GR1574" s="73"/>
      <c r="GS1574" s="73"/>
      <c r="GT1574" s="73"/>
      <c r="GU1574" s="73"/>
      <c r="GV1574" s="73"/>
      <c r="GW1574" s="73"/>
      <c r="GX1574" s="73"/>
      <c r="GY1574" s="73"/>
      <c r="GZ1574" s="73"/>
      <c r="HA1574" s="73"/>
      <c r="HB1574" s="73"/>
      <c r="HC1574" s="73"/>
      <c r="HD1574" s="73"/>
      <c r="HE1574" s="73"/>
      <c r="HF1574" s="73"/>
      <c r="HG1574" s="73"/>
      <c r="HH1574" s="73"/>
      <c r="HI1574" s="73"/>
      <c r="HJ1574" s="73"/>
      <c r="HK1574" s="73"/>
      <c r="HL1574" s="73"/>
      <c r="HM1574" s="73"/>
      <c r="HN1574" s="73"/>
      <c r="HO1574" s="73"/>
      <c r="HP1574" s="73"/>
      <c r="HQ1574" s="73"/>
      <c r="HR1574" s="73"/>
      <c r="HS1574" s="73"/>
      <c r="HT1574" s="73"/>
      <c r="HU1574" s="73"/>
      <c r="HV1574" s="73"/>
      <c r="HW1574" s="73"/>
      <c r="HX1574" s="73"/>
      <c r="HY1574" s="73"/>
      <c r="HZ1574" s="73"/>
      <c r="IA1574" s="73"/>
      <c r="IB1574" s="73"/>
      <c r="IC1574" s="73"/>
      <c r="ID1574" s="73"/>
      <c r="IE1574" s="73"/>
      <c r="IF1574" s="73"/>
      <c r="IG1574" s="73"/>
      <c r="IH1574" s="73"/>
      <c r="II1574" s="73"/>
      <c r="IJ1574" s="73"/>
      <c r="IK1574" s="73"/>
      <c r="IL1574" s="73"/>
      <c r="IM1574" s="73"/>
      <c r="IN1574" s="73"/>
      <c r="IO1574" s="73"/>
      <c r="IP1574" s="73"/>
      <c r="IQ1574" s="73"/>
      <c r="IR1574" s="73"/>
      <c r="IS1574" s="73"/>
      <c r="IT1574" s="73"/>
      <c r="IU1574" s="73"/>
      <c r="IV1574" s="73"/>
      <c r="IW1574" s="73"/>
      <c r="IX1574" s="73"/>
      <c r="IY1574" s="73"/>
      <c r="IZ1574" s="73"/>
      <c r="JA1574" s="73"/>
      <c r="JB1574" s="73"/>
      <c r="JC1574" s="73"/>
    </row>
    <row r="1575" spans="2:263" s="72" customFormat="1">
      <c r="B1575" s="73"/>
      <c r="C1575" s="73"/>
      <c r="D1575" s="73"/>
      <c r="E1575" s="73"/>
      <c r="F1575" s="73"/>
      <c r="G1575" s="73"/>
      <c r="H1575" s="73"/>
      <c r="I1575" s="73"/>
      <c r="J1575" s="73"/>
      <c r="K1575" s="73"/>
      <c r="L1575" s="73"/>
      <c r="M1575" s="73"/>
      <c r="N1575" s="73"/>
      <c r="O1575" s="73"/>
      <c r="P1575" s="73"/>
      <c r="Q1575" s="73"/>
      <c r="R1575" s="73"/>
      <c r="S1575" s="73"/>
      <c r="T1575" s="73"/>
      <c r="U1575" s="73"/>
      <c r="V1575" s="73"/>
      <c r="W1575" s="73"/>
      <c r="GL1575" s="73"/>
      <c r="GM1575" s="73"/>
      <c r="GN1575" s="73"/>
      <c r="GO1575" s="73"/>
      <c r="GP1575" s="73"/>
      <c r="GQ1575" s="73"/>
      <c r="GR1575" s="73"/>
      <c r="GS1575" s="73"/>
      <c r="GT1575" s="73"/>
      <c r="GU1575" s="73"/>
      <c r="GV1575" s="73"/>
      <c r="GW1575" s="73"/>
      <c r="GX1575" s="73"/>
      <c r="GY1575" s="73"/>
      <c r="GZ1575" s="73"/>
      <c r="HA1575" s="73"/>
      <c r="HB1575" s="73"/>
      <c r="HC1575" s="73"/>
      <c r="HD1575" s="73"/>
      <c r="HE1575" s="73"/>
      <c r="HF1575" s="73"/>
      <c r="HG1575" s="73"/>
      <c r="HH1575" s="73"/>
      <c r="HI1575" s="73"/>
      <c r="HJ1575" s="73"/>
      <c r="HK1575" s="73"/>
      <c r="HL1575" s="73"/>
      <c r="HM1575" s="73"/>
      <c r="HN1575" s="73"/>
      <c r="HO1575" s="73"/>
      <c r="HP1575" s="73"/>
      <c r="HQ1575" s="73"/>
      <c r="HR1575" s="73"/>
      <c r="HS1575" s="73"/>
      <c r="HT1575" s="73"/>
      <c r="HU1575" s="73"/>
      <c r="HV1575" s="73"/>
      <c r="HW1575" s="73"/>
      <c r="HX1575" s="73"/>
      <c r="HY1575" s="73"/>
      <c r="HZ1575" s="73"/>
      <c r="IA1575" s="73"/>
      <c r="IB1575" s="73"/>
      <c r="IC1575" s="73"/>
      <c r="ID1575" s="73"/>
      <c r="IE1575" s="73"/>
      <c r="IF1575" s="73"/>
      <c r="IG1575" s="73"/>
      <c r="IH1575" s="73"/>
      <c r="II1575" s="73"/>
      <c r="IJ1575" s="73"/>
      <c r="IK1575" s="73"/>
      <c r="IL1575" s="73"/>
      <c r="IM1575" s="73"/>
      <c r="IN1575" s="73"/>
      <c r="IO1575" s="73"/>
      <c r="IP1575" s="73"/>
      <c r="IQ1575" s="73"/>
      <c r="IR1575" s="73"/>
      <c r="IS1575" s="73"/>
      <c r="IT1575" s="73"/>
      <c r="IU1575" s="73"/>
      <c r="IV1575" s="73"/>
      <c r="IW1575" s="73"/>
      <c r="IX1575" s="73"/>
      <c r="IY1575" s="73"/>
      <c r="IZ1575" s="73"/>
      <c r="JA1575" s="73"/>
      <c r="JB1575" s="73"/>
      <c r="JC1575" s="73"/>
    </row>
    <row r="1576" spans="2:263" s="72" customFormat="1">
      <c r="B1576" s="73"/>
      <c r="C1576" s="73"/>
      <c r="D1576" s="73"/>
      <c r="E1576" s="73"/>
      <c r="F1576" s="73"/>
      <c r="G1576" s="73"/>
      <c r="H1576" s="73"/>
      <c r="I1576" s="73"/>
      <c r="J1576" s="73"/>
      <c r="K1576" s="73"/>
      <c r="L1576" s="73"/>
      <c r="M1576" s="73"/>
      <c r="N1576" s="73"/>
      <c r="O1576" s="73"/>
      <c r="P1576" s="73"/>
      <c r="Q1576" s="73"/>
      <c r="R1576" s="73"/>
      <c r="S1576" s="73"/>
      <c r="T1576" s="73"/>
      <c r="U1576" s="73"/>
      <c r="V1576" s="73"/>
      <c r="W1576" s="73"/>
      <c r="GL1576" s="73"/>
      <c r="GM1576" s="73"/>
      <c r="GN1576" s="73"/>
      <c r="GO1576" s="73"/>
      <c r="GP1576" s="73"/>
      <c r="GQ1576" s="73"/>
      <c r="GR1576" s="73"/>
      <c r="GS1576" s="73"/>
      <c r="GT1576" s="73"/>
      <c r="GU1576" s="73"/>
      <c r="GV1576" s="73"/>
      <c r="GW1576" s="73"/>
      <c r="GX1576" s="73"/>
      <c r="GY1576" s="73"/>
      <c r="GZ1576" s="73"/>
      <c r="HA1576" s="73"/>
      <c r="HB1576" s="73"/>
      <c r="HC1576" s="73"/>
      <c r="HD1576" s="73"/>
      <c r="HE1576" s="73"/>
      <c r="HF1576" s="73"/>
      <c r="HG1576" s="73"/>
      <c r="HH1576" s="73"/>
      <c r="HI1576" s="73"/>
      <c r="HJ1576" s="73"/>
      <c r="HK1576" s="73"/>
      <c r="HL1576" s="73"/>
      <c r="HM1576" s="73"/>
      <c r="HN1576" s="73"/>
      <c r="HO1576" s="73"/>
      <c r="HP1576" s="73"/>
      <c r="HQ1576" s="73"/>
      <c r="HR1576" s="73"/>
      <c r="HS1576" s="73"/>
      <c r="HT1576" s="73"/>
      <c r="HU1576" s="73"/>
      <c r="HV1576" s="73"/>
      <c r="HW1576" s="73"/>
      <c r="HX1576" s="73"/>
      <c r="HY1576" s="73"/>
      <c r="HZ1576" s="73"/>
      <c r="IA1576" s="73"/>
      <c r="IB1576" s="73"/>
      <c r="IC1576" s="73"/>
      <c r="ID1576" s="73"/>
      <c r="IE1576" s="73"/>
      <c r="IF1576" s="73"/>
      <c r="IG1576" s="73"/>
      <c r="IH1576" s="73"/>
      <c r="II1576" s="73"/>
      <c r="IJ1576" s="73"/>
      <c r="IK1576" s="73"/>
      <c r="IL1576" s="73"/>
      <c r="IM1576" s="73"/>
      <c r="IN1576" s="73"/>
      <c r="IO1576" s="73"/>
      <c r="IP1576" s="73"/>
      <c r="IQ1576" s="73"/>
      <c r="IR1576" s="73"/>
      <c r="IS1576" s="73"/>
      <c r="IT1576" s="73"/>
      <c r="IU1576" s="73"/>
      <c r="IV1576" s="73"/>
      <c r="IW1576" s="73"/>
      <c r="IX1576" s="73"/>
      <c r="IY1576" s="73"/>
      <c r="IZ1576" s="73"/>
      <c r="JA1576" s="73"/>
      <c r="JB1576" s="73"/>
      <c r="JC1576" s="73"/>
    </row>
    <row r="1577" spans="2:263" s="72" customFormat="1">
      <c r="B1577" s="73"/>
      <c r="C1577" s="73"/>
      <c r="D1577" s="73"/>
      <c r="E1577" s="73"/>
      <c r="F1577" s="73"/>
      <c r="G1577" s="73"/>
      <c r="H1577" s="73"/>
      <c r="I1577" s="73"/>
      <c r="J1577" s="73"/>
      <c r="K1577" s="73"/>
      <c r="L1577" s="73"/>
      <c r="M1577" s="73"/>
      <c r="N1577" s="73"/>
      <c r="O1577" s="73"/>
      <c r="P1577" s="73"/>
      <c r="Q1577" s="73"/>
      <c r="R1577" s="73"/>
      <c r="S1577" s="73"/>
      <c r="T1577" s="73"/>
      <c r="U1577" s="73"/>
      <c r="V1577" s="73"/>
      <c r="W1577" s="73"/>
      <c r="GL1577" s="73"/>
      <c r="GM1577" s="73"/>
      <c r="GN1577" s="73"/>
      <c r="GO1577" s="73"/>
      <c r="GP1577" s="73"/>
      <c r="GQ1577" s="73"/>
      <c r="GR1577" s="73"/>
      <c r="GS1577" s="73"/>
      <c r="GT1577" s="73"/>
      <c r="GU1577" s="73"/>
      <c r="GV1577" s="73"/>
      <c r="GW1577" s="73"/>
      <c r="GX1577" s="73"/>
      <c r="GY1577" s="73"/>
      <c r="GZ1577" s="73"/>
      <c r="HA1577" s="73"/>
      <c r="HB1577" s="73"/>
      <c r="HC1577" s="73"/>
      <c r="HD1577" s="73"/>
      <c r="HE1577" s="73"/>
      <c r="HF1577" s="73"/>
      <c r="HG1577" s="73"/>
      <c r="HH1577" s="73"/>
      <c r="HI1577" s="73"/>
      <c r="HJ1577" s="73"/>
      <c r="HK1577" s="73"/>
      <c r="HL1577" s="73"/>
      <c r="HM1577" s="73"/>
      <c r="HN1577" s="73"/>
      <c r="HO1577" s="73"/>
      <c r="HP1577" s="73"/>
      <c r="HQ1577" s="73"/>
      <c r="HR1577" s="73"/>
      <c r="HS1577" s="73"/>
      <c r="HT1577" s="73"/>
      <c r="HU1577" s="73"/>
      <c r="HV1577" s="73"/>
      <c r="HW1577" s="73"/>
      <c r="HX1577" s="73"/>
      <c r="HY1577" s="73"/>
      <c r="HZ1577" s="73"/>
      <c r="IA1577" s="73"/>
      <c r="IB1577" s="73"/>
      <c r="IC1577" s="73"/>
      <c r="ID1577" s="73"/>
      <c r="IE1577" s="73"/>
      <c r="IF1577" s="73"/>
      <c r="IG1577" s="73"/>
      <c r="IH1577" s="73"/>
      <c r="II1577" s="73"/>
      <c r="IJ1577" s="73"/>
      <c r="IK1577" s="73"/>
      <c r="IL1577" s="73"/>
      <c r="IM1577" s="73"/>
      <c r="IN1577" s="73"/>
      <c r="IO1577" s="73"/>
      <c r="IP1577" s="73"/>
      <c r="IQ1577" s="73"/>
      <c r="IR1577" s="73"/>
      <c r="IS1577" s="73"/>
      <c r="IT1577" s="73"/>
      <c r="IU1577" s="73"/>
      <c r="IV1577" s="73"/>
      <c r="IW1577" s="73"/>
      <c r="IX1577" s="73"/>
      <c r="IY1577" s="73"/>
      <c r="IZ1577" s="73"/>
      <c r="JA1577" s="73"/>
      <c r="JB1577" s="73"/>
      <c r="JC1577" s="73"/>
    </row>
    <row r="1578" spans="2:263" s="72" customFormat="1">
      <c r="B1578" s="73"/>
      <c r="C1578" s="73"/>
      <c r="D1578" s="73"/>
      <c r="E1578" s="73"/>
      <c r="F1578" s="73"/>
      <c r="G1578" s="73"/>
      <c r="H1578" s="73"/>
      <c r="I1578" s="73"/>
      <c r="J1578" s="73"/>
      <c r="K1578" s="73"/>
      <c r="L1578" s="73"/>
      <c r="M1578" s="73"/>
      <c r="N1578" s="73"/>
      <c r="O1578" s="73"/>
      <c r="P1578" s="73"/>
      <c r="Q1578" s="73"/>
      <c r="R1578" s="73"/>
      <c r="S1578" s="73"/>
      <c r="T1578" s="73"/>
      <c r="U1578" s="73"/>
      <c r="V1578" s="73"/>
      <c r="W1578" s="73"/>
      <c r="GL1578" s="73"/>
      <c r="GM1578" s="73"/>
      <c r="GN1578" s="73"/>
      <c r="GO1578" s="73"/>
      <c r="GP1578" s="73"/>
      <c r="GQ1578" s="73"/>
      <c r="GR1578" s="73"/>
      <c r="GS1578" s="73"/>
      <c r="GT1578" s="73"/>
      <c r="GU1578" s="73"/>
      <c r="GV1578" s="73"/>
      <c r="GW1578" s="73"/>
      <c r="GX1578" s="73"/>
      <c r="GY1578" s="73"/>
      <c r="GZ1578" s="73"/>
      <c r="HA1578" s="73"/>
      <c r="HB1578" s="73"/>
      <c r="HC1578" s="73"/>
      <c r="HD1578" s="73"/>
      <c r="HE1578" s="73"/>
      <c r="HF1578" s="73"/>
      <c r="HG1578" s="73"/>
      <c r="HH1578" s="73"/>
      <c r="HI1578" s="73"/>
      <c r="HJ1578" s="73"/>
      <c r="HK1578" s="73"/>
      <c r="HL1578" s="73"/>
      <c r="HM1578" s="73"/>
      <c r="HN1578" s="73"/>
      <c r="HO1578" s="73"/>
      <c r="HP1578" s="73"/>
      <c r="HQ1578" s="73"/>
      <c r="HR1578" s="73"/>
      <c r="HS1578" s="73"/>
      <c r="HT1578" s="73"/>
      <c r="HU1578" s="73"/>
      <c r="HV1578" s="73"/>
      <c r="HW1578" s="73"/>
      <c r="HX1578" s="73"/>
      <c r="HY1578" s="73"/>
      <c r="HZ1578" s="73"/>
      <c r="IA1578" s="73"/>
      <c r="IB1578" s="73"/>
      <c r="IC1578" s="73"/>
      <c r="ID1578" s="73"/>
      <c r="IE1578" s="73"/>
      <c r="IF1578" s="73"/>
      <c r="IG1578" s="73"/>
      <c r="IH1578" s="73"/>
      <c r="II1578" s="73"/>
      <c r="IJ1578" s="73"/>
      <c r="IK1578" s="73"/>
      <c r="IL1578" s="73"/>
      <c r="IM1578" s="73"/>
      <c r="IN1578" s="73"/>
      <c r="IO1578" s="73"/>
      <c r="IP1578" s="73"/>
      <c r="IQ1578" s="73"/>
      <c r="IR1578" s="73"/>
      <c r="IS1578" s="73"/>
      <c r="IT1578" s="73"/>
      <c r="IU1578" s="73"/>
      <c r="IV1578" s="73"/>
      <c r="IW1578" s="73"/>
      <c r="IX1578" s="73"/>
      <c r="IY1578" s="73"/>
      <c r="IZ1578" s="73"/>
      <c r="JA1578" s="73"/>
      <c r="JB1578" s="73"/>
      <c r="JC1578" s="73"/>
    </row>
    <row r="1579" spans="2:263" s="72" customFormat="1">
      <c r="B1579" s="73"/>
      <c r="C1579" s="73"/>
      <c r="D1579" s="73"/>
      <c r="E1579" s="73"/>
      <c r="F1579" s="73"/>
      <c r="G1579" s="73"/>
      <c r="H1579" s="73"/>
      <c r="I1579" s="73"/>
      <c r="J1579" s="73"/>
      <c r="K1579" s="73"/>
      <c r="L1579" s="73"/>
      <c r="M1579" s="73"/>
      <c r="N1579" s="73"/>
      <c r="O1579" s="73"/>
      <c r="P1579" s="73"/>
      <c r="Q1579" s="73"/>
      <c r="R1579" s="73"/>
      <c r="S1579" s="73"/>
      <c r="T1579" s="73"/>
      <c r="U1579" s="73"/>
      <c r="V1579" s="73"/>
      <c r="W1579" s="73"/>
      <c r="GL1579" s="73"/>
      <c r="GM1579" s="73"/>
      <c r="GN1579" s="73"/>
      <c r="GO1579" s="73"/>
      <c r="GP1579" s="73"/>
      <c r="GQ1579" s="73"/>
      <c r="GR1579" s="73"/>
      <c r="GS1579" s="73"/>
      <c r="GT1579" s="73"/>
      <c r="GU1579" s="73"/>
      <c r="GV1579" s="73"/>
      <c r="GW1579" s="73"/>
      <c r="GX1579" s="73"/>
      <c r="GY1579" s="73"/>
      <c r="GZ1579" s="73"/>
      <c r="HA1579" s="73"/>
      <c r="HB1579" s="73"/>
      <c r="HC1579" s="73"/>
      <c r="HD1579" s="73"/>
      <c r="HE1579" s="73"/>
      <c r="HF1579" s="73"/>
      <c r="HG1579" s="73"/>
      <c r="HH1579" s="73"/>
      <c r="HI1579" s="73"/>
      <c r="HJ1579" s="73"/>
      <c r="HK1579" s="73"/>
      <c r="HL1579" s="73"/>
      <c r="HM1579" s="73"/>
      <c r="HN1579" s="73"/>
      <c r="HO1579" s="73"/>
      <c r="HP1579" s="73"/>
      <c r="HQ1579" s="73"/>
      <c r="HR1579" s="73"/>
      <c r="HS1579" s="73"/>
      <c r="HT1579" s="73"/>
      <c r="HU1579" s="73"/>
      <c r="HV1579" s="73"/>
      <c r="HW1579" s="73"/>
      <c r="HX1579" s="73"/>
      <c r="HY1579" s="73"/>
      <c r="HZ1579" s="73"/>
      <c r="IA1579" s="73"/>
      <c r="IB1579" s="73"/>
      <c r="IC1579" s="73"/>
      <c r="ID1579" s="73"/>
      <c r="IE1579" s="73"/>
      <c r="IF1579" s="73"/>
      <c r="IG1579" s="73"/>
      <c r="IH1579" s="73"/>
      <c r="II1579" s="73"/>
      <c r="IJ1579" s="73"/>
      <c r="IK1579" s="73"/>
      <c r="IL1579" s="73"/>
      <c r="IM1579" s="73"/>
      <c r="IN1579" s="73"/>
      <c r="IO1579" s="73"/>
      <c r="IP1579" s="73"/>
      <c r="IQ1579" s="73"/>
      <c r="IR1579" s="73"/>
      <c r="IS1579" s="73"/>
      <c r="IT1579" s="73"/>
      <c r="IU1579" s="73"/>
      <c r="IV1579" s="73"/>
      <c r="IW1579" s="73"/>
      <c r="IX1579" s="73"/>
      <c r="IY1579" s="73"/>
      <c r="IZ1579" s="73"/>
      <c r="JA1579" s="73"/>
      <c r="JB1579" s="73"/>
      <c r="JC1579" s="73"/>
    </row>
    <row r="1580" spans="2:263" s="72" customFormat="1">
      <c r="B1580" s="73"/>
      <c r="C1580" s="73"/>
      <c r="D1580" s="73"/>
      <c r="E1580" s="73"/>
      <c r="F1580" s="73"/>
      <c r="G1580" s="73"/>
      <c r="H1580" s="73"/>
      <c r="I1580" s="73"/>
      <c r="J1580" s="73"/>
      <c r="K1580" s="73"/>
      <c r="L1580" s="73"/>
      <c r="M1580" s="73"/>
      <c r="N1580" s="73"/>
      <c r="O1580" s="73"/>
      <c r="P1580" s="73"/>
      <c r="Q1580" s="73"/>
      <c r="R1580" s="73"/>
      <c r="S1580" s="73"/>
      <c r="T1580" s="73"/>
      <c r="U1580" s="73"/>
      <c r="V1580" s="73"/>
      <c r="W1580" s="73"/>
      <c r="GL1580" s="73"/>
      <c r="GM1580" s="73"/>
      <c r="GN1580" s="73"/>
      <c r="GO1580" s="73"/>
      <c r="GP1580" s="73"/>
      <c r="GQ1580" s="73"/>
      <c r="GR1580" s="73"/>
      <c r="GS1580" s="73"/>
      <c r="GT1580" s="73"/>
      <c r="GU1580" s="73"/>
      <c r="GV1580" s="73"/>
      <c r="GW1580" s="73"/>
      <c r="GX1580" s="73"/>
      <c r="GY1580" s="73"/>
      <c r="GZ1580" s="73"/>
      <c r="HA1580" s="73"/>
      <c r="HB1580" s="73"/>
      <c r="HC1580" s="73"/>
      <c r="HD1580" s="73"/>
      <c r="HE1580" s="73"/>
      <c r="HF1580" s="73"/>
      <c r="HG1580" s="73"/>
      <c r="HH1580" s="73"/>
      <c r="HI1580" s="73"/>
      <c r="HJ1580" s="73"/>
      <c r="HK1580" s="73"/>
      <c r="HL1580" s="73"/>
      <c r="HM1580" s="73"/>
      <c r="HN1580" s="73"/>
      <c r="HO1580" s="73"/>
      <c r="HP1580" s="73"/>
      <c r="HQ1580" s="73"/>
      <c r="HR1580" s="73"/>
      <c r="HS1580" s="73"/>
      <c r="HT1580" s="73"/>
      <c r="HU1580" s="73"/>
      <c r="HV1580" s="73"/>
      <c r="HW1580" s="73"/>
      <c r="HX1580" s="73"/>
      <c r="HY1580" s="73"/>
      <c r="HZ1580" s="73"/>
      <c r="IA1580" s="73"/>
      <c r="IB1580" s="73"/>
      <c r="IC1580" s="73"/>
      <c r="ID1580" s="73"/>
      <c r="IE1580" s="73"/>
      <c r="IF1580" s="73"/>
      <c r="IG1580" s="73"/>
      <c r="IH1580" s="73"/>
      <c r="II1580" s="73"/>
      <c r="IJ1580" s="73"/>
      <c r="IK1580" s="73"/>
      <c r="IL1580" s="73"/>
      <c r="IM1580" s="73"/>
      <c r="IN1580" s="73"/>
      <c r="IO1580" s="73"/>
      <c r="IP1580" s="73"/>
      <c r="IQ1580" s="73"/>
      <c r="IR1580" s="73"/>
      <c r="IS1580" s="73"/>
      <c r="IT1580" s="73"/>
      <c r="IU1580" s="73"/>
      <c r="IV1580" s="73"/>
      <c r="IW1580" s="73"/>
      <c r="IX1580" s="73"/>
      <c r="IY1580" s="73"/>
      <c r="IZ1580" s="73"/>
      <c r="JA1580" s="73"/>
      <c r="JB1580" s="73"/>
      <c r="JC1580" s="73"/>
    </row>
    <row r="1581" spans="2:263" s="72" customFormat="1">
      <c r="B1581" s="73"/>
      <c r="C1581" s="73"/>
      <c r="D1581" s="73"/>
      <c r="E1581" s="73"/>
      <c r="F1581" s="73"/>
      <c r="G1581" s="73"/>
      <c r="H1581" s="73"/>
      <c r="I1581" s="73"/>
      <c r="J1581" s="73"/>
      <c r="K1581" s="73"/>
      <c r="L1581" s="73"/>
      <c r="M1581" s="73"/>
      <c r="N1581" s="73"/>
      <c r="O1581" s="73"/>
      <c r="P1581" s="73"/>
      <c r="Q1581" s="73"/>
      <c r="R1581" s="73"/>
      <c r="S1581" s="73"/>
      <c r="T1581" s="73"/>
      <c r="U1581" s="73"/>
      <c r="V1581" s="73"/>
      <c r="W1581" s="73"/>
      <c r="GL1581" s="73"/>
      <c r="GM1581" s="73"/>
      <c r="GN1581" s="73"/>
      <c r="GO1581" s="73"/>
      <c r="GP1581" s="73"/>
      <c r="GQ1581" s="73"/>
      <c r="GR1581" s="73"/>
      <c r="GS1581" s="73"/>
      <c r="GT1581" s="73"/>
      <c r="GU1581" s="73"/>
      <c r="GV1581" s="73"/>
      <c r="GW1581" s="73"/>
      <c r="GX1581" s="73"/>
      <c r="GY1581" s="73"/>
      <c r="GZ1581" s="73"/>
      <c r="HA1581" s="73"/>
      <c r="HB1581" s="73"/>
      <c r="HC1581" s="73"/>
      <c r="HD1581" s="73"/>
      <c r="HE1581" s="73"/>
      <c r="HF1581" s="73"/>
      <c r="HG1581" s="73"/>
      <c r="HH1581" s="73"/>
      <c r="HI1581" s="73"/>
      <c r="HJ1581" s="73"/>
      <c r="HK1581" s="73"/>
      <c r="HL1581" s="73"/>
      <c r="HM1581" s="73"/>
      <c r="HN1581" s="73"/>
      <c r="HO1581" s="73"/>
      <c r="HP1581" s="73"/>
      <c r="HQ1581" s="73"/>
      <c r="HR1581" s="73"/>
      <c r="HS1581" s="73"/>
      <c r="HT1581" s="73"/>
      <c r="HU1581" s="73"/>
      <c r="HV1581" s="73"/>
      <c r="HW1581" s="73"/>
      <c r="HX1581" s="73"/>
      <c r="HY1581" s="73"/>
      <c r="HZ1581" s="73"/>
      <c r="IA1581" s="73"/>
      <c r="IB1581" s="73"/>
      <c r="IC1581" s="73"/>
      <c r="ID1581" s="73"/>
      <c r="IE1581" s="73"/>
      <c r="IF1581" s="73"/>
      <c r="IG1581" s="73"/>
      <c r="IH1581" s="73"/>
      <c r="II1581" s="73"/>
      <c r="IJ1581" s="73"/>
      <c r="IK1581" s="73"/>
      <c r="IL1581" s="73"/>
      <c r="IM1581" s="73"/>
      <c r="IN1581" s="73"/>
      <c r="IO1581" s="73"/>
      <c r="IP1581" s="73"/>
      <c r="IQ1581" s="73"/>
      <c r="IR1581" s="73"/>
      <c r="IS1581" s="73"/>
      <c r="IT1581" s="73"/>
      <c r="IU1581" s="73"/>
      <c r="IV1581" s="73"/>
      <c r="IW1581" s="73"/>
      <c r="IX1581" s="73"/>
      <c r="IY1581" s="73"/>
      <c r="IZ1581" s="73"/>
      <c r="JA1581" s="73"/>
      <c r="JB1581" s="73"/>
      <c r="JC1581" s="73"/>
    </row>
    <row r="1582" spans="2:263" s="72" customFormat="1">
      <c r="B1582" s="73"/>
      <c r="C1582" s="73"/>
      <c r="D1582" s="73"/>
      <c r="E1582" s="73"/>
      <c r="F1582" s="73"/>
      <c r="G1582" s="73"/>
      <c r="H1582" s="73"/>
      <c r="I1582" s="73"/>
      <c r="J1582" s="73"/>
      <c r="K1582" s="73"/>
      <c r="L1582" s="73"/>
      <c r="M1582" s="73"/>
      <c r="N1582" s="73"/>
      <c r="O1582" s="73"/>
      <c r="P1582" s="73"/>
      <c r="Q1582" s="73"/>
      <c r="R1582" s="73"/>
      <c r="S1582" s="73"/>
      <c r="T1582" s="73"/>
      <c r="U1582" s="73"/>
      <c r="V1582" s="73"/>
      <c r="W1582" s="73"/>
      <c r="GL1582" s="73"/>
      <c r="GM1582" s="73"/>
      <c r="GN1582" s="73"/>
      <c r="GO1582" s="73"/>
      <c r="GP1582" s="73"/>
      <c r="GQ1582" s="73"/>
      <c r="GR1582" s="73"/>
      <c r="GS1582" s="73"/>
      <c r="GT1582" s="73"/>
      <c r="GU1582" s="73"/>
      <c r="GV1582" s="73"/>
      <c r="GW1582" s="73"/>
      <c r="GX1582" s="73"/>
      <c r="GY1582" s="73"/>
      <c r="GZ1582" s="73"/>
      <c r="HA1582" s="73"/>
      <c r="HB1582" s="73"/>
      <c r="HC1582" s="73"/>
      <c r="HD1582" s="73"/>
      <c r="HE1582" s="73"/>
      <c r="HF1582" s="73"/>
      <c r="HG1582" s="73"/>
      <c r="HH1582" s="73"/>
      <c r="HI1582" s="73"/>
      <c r="HJ1582" s="73"/>
      <c r="HK1582" s="73"/>
      <c r="HL1582" s="73"/>
      <c r="HM1582" s="73"/>
      <c r="HN1582" s="73"/>
      <c r="HO1582" s="73"/>
      <c r="HP1582" s="73"/>
      <c r="HQ1582" s="73"/>
      <c r="HR1582" s="73"/>
      <c r="HS1582" s="73"/>
      <c r="HT1582" s="73"/>
      <c r="HU1582" s="73"/>
      <c r="HV1582" s="73"/>
      <c r="HW1582" s="73"/>
      <c r="HX1582" s="73"/>
      <c r="HY1582" s="73"/>
      <c r="HZ1582" s="73"/>
      <c r="IA1582" s="73"/>
      <c r="IB1582" s="73"/>
      <c r="IC1582" s="73"/>
      <c r="ID1582" s="73"/>
      <c r="IE1582" s="73"/>
      <c r="IF1582" s="73"/>
      <c r="IG1582" s="73"/>
      <c r="IH1582" s="73"/>
      <c r="II1582" s="73"/>
      <c r="IJ1582" s="73"/>
      <c r="IK1582" s="73"/>
      <c r="IL1582" s="73"/>
      <c r="IM1582" s="73"/>
      <c r="IN1582" s="73"/>
      <c r="IO1582" s="73"/>
      <c r="IP1582" s="73"/>
      <c r="IQ1582" s="73"/>
      <c r="IR1582" s="73"/>
      <c r="IS1582" s="73"/>
      <c r="IT1582" s="73"/>
      <c r="IU1582" s="73"/>
      <c r="IV1582" s="73"/>
      <c r="IW1582" s="73"/>
      <c r="IX1582" s="73"/>
      <c r="IY1582" s="73"/>
      <c r="IZ1582" s="73"/>
      <c r="JA1582" s="73"/>
      <c r="JB1582" s="73"/>
      <c r="JC1582" s="73"/>
    </row>
    <row r="1583" spans="2:263" s="72" customFormat="1">
      <c r="B1583" s="73"/>
      <c r="C1583" s="73"/>
      <c r="D1583" s="73"/>
      <c r="E1583" s="73"/>
      <c r="F1583" s="73"/>
      <c r="G1583" s="73"/>
      <c r="H1583" s="73"/>
      <c r="I1583" s="73"/>
      <c r="J1583" s="73"/>
      <c r="K1583" s="73"/>
      <c r="L1583" s="73"/>
      <c r="M1583" s="73"/>
      <c r="N1583" s="73"/>
      <c r="O1583" s="73"/>
      <c r="P1583" s="73"/>
      <c r="Q1583" s="73"/>
      <c r="R1583" s="73"/>
      <c r="S1583" s="73"/>
      <c r="T1583" s="73"/>
      <c r="U1583" s="73"/>
      <c r="V1583" s="73"/>
      <c r="W1583" s="73"/>
      <c r="GL1583" s="73"/>
      <c r="GM1583" s="73"/>
      <c r="GN1583" s="73"/>
      <c r="GO1583" s="73"/>
      <c r="GP1583" s="73"/>
      <c r="GQ1583" s="73"/>
      <c r="GR1583" s="73"/>
      <c r="GS1583" s="73"/>
      <c r="GT1583" s="73"/>
      <c r="GU1583" s="73"/>
      <c r="GV1583" s="73"/>
      <c r="GW1583" s="73"/>
      <c r="GX1583" s="73"/>
      <c r="GY1583" s="73"/>
      <c r="GZ1583" s="73"/>
      <c r="HA1583" s="73"/>
      <c r="HB1583" s="73"/>
      <c r="HC1583" s="73"/>
      <c r="HD1583" s="73"/>
      <c r="HE1583" s="73"/>
      <c r="HF1583" s="73"/>
      <c r="HG1583" s="73"/>
      <c r="HH1583" s="73"/>
      <c r="HI1583" s="73"/>
      <c r="HJ1583" s="73"/>
      <c r="HK1583" s="73"/>
      <c r="HL1583" s="73"/>
      <c r="HM1583" s="73"/>
      <c r="HN1583" s="73"/>
      <c r="HO1583" s="73"/>
      <c r="HP1583" s="73"/>
      <c r="HQ1583" s="73"/>
      <c r="HR1583" s="73"/>
      <c r="HS1583" s="73"/>
      <c r="HT1583" s="73"/>
      <c r="HU1583" s="73"/>
      <c r="HV1583" s="73"/>
      <c r="HW1583" s="73"/>
      <c r="HX1583" s="73"/>
      <c r="HY1583" s="73"/>
      <c r="HZ1583" s="73"/>
      <c r="IA1583" s="73"/>
      <c r="IB1583" s="73"/>
      <c r="IC1583" s="73"/>
      <c r="ID1583" s="73"/>
      <c r="IE1583" s="73"/>
      <c r="IF1583" s="73"/>
      <c r="IG1583" s="73"/>
      <c r="IH1583" s="73"/>
      <c r="II1583" s="73"/>
      <c r="IJ1583" s="73"/>
      <c r="IK1583" s="73"/>
      <c r="IL1583" s="73"/>
      <c r="IM1583" s="73"/>
      <c r="IN1583" s="73"/>
      <c r="IO1583" s="73"/>
      <c r="IP1583" s="73"/>
      <c r="IQ1583" s="73"/>
      <c r="IR1583" s="73"/>
      <c r="IS1583" s="73"/>
      <c r="IT1583" s="73"/>
      <c r="IU1583" s="73"/>
      <c r="IV1583" s="73"/>
      <c r="IW1583" s="73"/>
      <c r="IX1583" s="73"/>
      <c r="IY1583" s="73"/>
      <c r="IZ1583" s="73"/>
      <c r="JA1583" s="73"/>
      <c r="JB1583" s="73"/>
      <c r="JC1583" s="73"/>
    </row>
    <row r="1584" spans="2:263" s="72" customFormat="1">
      <c r="B1584" s="73"/>
      <c r="C1584" s="73"/>
      <c r="D1584" s="73"/>
      <c r="E1584" s="73"/>
      <c r="F1584" s="73"/>
      <c r="G1584" s="73"/>
      <c r="H1584" s="73"/>
      <c r="I1584" s="73"/>
      <c r="J1584" s="73"/>
      <c r="K1584" s="73"/>
      <c r="L1584" s="73"/>
      <c r="M1584" s="73"/>
      <c r="N1584" s="73"/>
      <c r="O1584" s="73"/>
      <c r="P1584" s="73"/>
      <c r="Q1584" s="73"/>
      <c r="R1584" s="73"/>
      <c r="S1584" s="73"/>
      <c r="T1584" s="73"/>
      <c r="U1584" s="73"/>
      <c r="V1584" s="73"/>
      <c r="W1584" s="73"/>
      <c r="GL1584" s="73"/>
      <c r="GM1584" s="73"/>
      <c r="GN1584" s="73"/>
      <c r="GO1584" s="73"/>
      <c r="GP1584" s="73"/>
      <c r="GQ1584" s="73"/>
      <c r="GR1584" s="73"/>
      <c r="GS1584" s="73"/>
      <c r="GT1584" s="73"/>
      <c r="GU1584" s="73"/>
      <c r="GV1584" s="73"/>
      <c r="GW1584" s="73"/>
      <c r="GX1584" s="73"/>
      <c r="GY1584" s="73"/>
      <c r="GZ1584" s="73"/>
      <c r="HA1584" s="73"/>
      <c r="HB1584" s="73"/>
      <c r="HC1584" s="73"/>
      <c r="HD1584" s="73"/>
      <c r="HE1584" s="73"/>
      <c r="HF1584" s="73"/>
      <c r="HG1584" s="73"/>
      <c r="HH1584" s="73"/>
      <c r="HI1584" s="73"/>
      <c r="HJ1584" s="73"/>
      <c r="HK1584" s="73"/>
      <c r="HL1584" s="73"/>
      <c r="HM1584" s="73"/>
      <c r="HN1584" s="73"/>
      <c r="HO1584" s="73"/>
      <c r="HP1584" s="73"/>
      <c r="HQ1584" s="73"/>
      <c r="HR1584" s="73"/>
      <c r="HS1584" s="73"/>
      <c r="HT1584" s="73"/>
      <c r="HU1584" s="73"/>
      <c r="HV1584" s="73"/>
      <c r="HW1584" s="73"/>
      <c r="HX1584" s="73"/>
      <c r="HY1584" s="73"/>
      <c r="HZ1584" s="73"/>
      <c r="IA1584" s="73"/>
      <c r="IB1584" s="73"/>
      <c r="IC1584" s="73"/>
      <c r="ID1584" s="73"/>
      <c r="IE1584" s="73"/>
      <c r="IF1584" s="73"/>
      <c r="IG1584" s="73"/>
      <c r="IH1584" s="73"/>
      <c r="II1584" s="73"/>
      <c r="IJ1584" s="73"/>
      <c r="IK1584" s="73"/>
      <c r="IL1584" s="73"/>
      <c r="IM1584" s="73"/>
      <c r="IN1584" s="73"/>
      <c r="IO1584" s="73"/>
      <c r="IP1584" s="73"/>
      <c r="IQ1584" s="73"/>
      <c r="IR1584" s="73"/>
      <c r="IS1584" s="73"/>
      <c r="IT1584" s="73"/>
      <c r="IU1584" s="73"/>
      <c r="IV1584" s="73"/>
      <c r="IW1584" s="73"/>
      <c r="IX1584" s="73"/>
      <c r="IY1584" s="73"/>
      <c r="IZ1584" s="73"/>
      <c r="JA1584" s="73"/>
      <c r="JB1584" s="73"/>
      <c r="JC1584" s="73"/>
    </row>
    <row r="1585" spans="2:263" s="72" customFormat="1">
      <c r="B1585" s="73"/>
      <c r="C1585" s="73"/>
      <c r="D1585" s="73"/>
      <c r="E1585" s="73"/>
      <c r="F1585" s="73"/>
      <c r="G1585" s="73"/>
      <c r="H1585" s="73"/>
      <c r="I1585" s="73"/>
      <c r="J1585" s="73"/>
      <c r="K1585" s="73"/>
      <c r="L1585" s="73"/>
      <c r="M1585" s="73"/>
      <c r="N1585" s="73"/>
      <c r="O1585" s="73"/>
      <c r="P1585" s="73"/>
      <c r="Q1585" s="73"/>
      <c r="R1585" s="73"/>
      <c r="S1585" s="73"/>
      <c r="T1585" s="73"/>
      <c r="U1585" s="73"/>
      <c r="V1585" s="73"/>
      <c r="W1585" s="73"/>
      <c r="GL1585" s="73"/>
      <c r="GM1585" s="73"/>
      <c r="GN1585" s="73"/>
      <c r="GO1585" s="73"/>
      <c r="GP1585" s="73"/>
      <c r="GQ1585" s="73"/>
      <c r="GR1585" s="73"/>
      <c r="GS1585" s="73"/>
      <c r="GT1585" s="73"/>
      <c r="GU1585" s="73"/>
      <c r="GV1585" s="73"/>
      <c r="GW1585" s="73"/>
      <c r="GX1585" s="73"/>
      <c r="GY1585" s="73"/>
      <c r="GZ1585" s="73"/>
      <c r="HA1585" s="73"/>
      <c r="HB1585" s="73"/>
      <c r="HC1585" s="73"/>
      <c r="HD1585" s="73"/>
      <c r="HE1585" s="73"/>
      <c r="HF1585" s="73"/>
      <c r="HG1585" s="73"/>
      <c r="HH1585" s="73"/>
      <c r="HI1585" s="73"/>
      <c r="HJ1585" s="73"/>
      <c r="HK1585" s="73"/>
      <c r="HL1585" s="73"/>
      <c r="HM1585" s="73"/>
      <c r="HN1585" s="73"/>
      <c r="HO1585" s="73"/>
      <c r="HP1585" s="73"/>
      <c r="HQ1585" s="73"/>
      <c r="HR1585" s="73"/>
      <c r="HS1585" s="73"/>
      <c r="HT1585" s="73"/>
      <c r="HU1585" s="73"/>
      <c r="HV1585" s="73"/>
      <c r="HW1585" s="73"/>
      <c r="HX1585" s="73"/>
      <c r="HY1585" s="73"/>
      <c r="HZ1585" s="73"/>
      <c r="IA1585" s="73"/>
      <c r="IB1585" s="73"/>
      <c r="IC1585" s="73"/>
      <c r="ID1585" s="73"/>
      <c r="IE1585" s="73"/>
      <c r="IF1585" s="73"/>
      <c r="IG1585" s="73"/>
      <c r="IH1585" s="73"/>
      <c r="II1585" s="73"/>
      <c r="IJ1585" s="73"/>
      <c r="IK1585" s="73"/>
      <c r="IL1585" s="73"/>
      <c r="IM1585" s="73"/>
      <c r="IN1585" s="73"/>
      <c r="IO1585" s="73"/>
      <c r="IP1585" s="73"/>
      <c r="IQ1585" s="73"/>
      <c r="IR1585" s="73"/>
      <c r="IS1585" s="73"/>
      <c r="IT1585" s="73"/>
      <c r="IU1585" s="73"/>
      <c r="IV1585" s="73"/>
      <c r="IW1585" s="73"/>
      <c r="IX1585" s="73"/>
      <c r="IY1585" s="73"/>
      <c r="IZ1585" s="73"/>
      <c r="JA1585" s="73"/>
      <c r="JB1585" s="73"/>
      <c r="JC1585" s="73"/>
    </row>
    <row r="1586" spans="2:263" s="72" customFormat="1">
      <c r="B1586" s="73"/>
      <c r="C1586" s="73"/>
      <c r="D1586" s="73"/>
      <c r="E1586" s="73"/>
      <c r="F1586" s="73"/>
      <c r="G1586" s="73"/>
      <c r="H1586" s="73"/>
      <c r="I1586" s="73"/>
      <c r="J1586" s="73"/>
      <c r="K1586" s="73"/>
      <c r="L1586" s="73"/>
      <c r="M1586" s="73"/>
      <c r="N1586" s="73"/>
      <c r="O1586" s="73"/>
      <c r="P1586" s="73"/>
      <c r="Q1586" s="73"/>
      <c r="R1586" s="73"/>
      <c r="S1586" s="73"/>
      <c r="T1586" s="73"/>
      <c r="U1586" s="73"/>
      <c r="V1586" s="73"/>
      <c r="W1586" s="73"/>
      <c r="GL1586" s="73"/>
      <c r="GM1586" s="73"/>
      <c r="GN1586" s="73"/>
      <c r="GO1586" s="73"/>
      <c r="GP1586" s="73"/>
      <c r="GQ1586" s="73"/>
      <c r="GR1586" s="73"/>
      <c r="GS1586" s="73"/>
      <c r="GT1586" s="73"/>
      <c r="GU1586" s="73"/>
      <c r="GV1586" s="73"/>
      <c r="GW1586" s="73"/>
      <c r="GX1586" s="73"/>
      <c r="GY1586" s="73"/>
      <c r="GZ1586" s="73"/>
      <c r="HA1586" s="73"/>
      <c r="HB1586" s="73"/>
      <c r="HC1586" s="73"/>
      <c r="HD1586" s="73"/>
      <c r="HE1586" s="73"/>
      <c r="HF1586" s="73"/>
      <c r="HG1586" s="73"/>
      <c r="HH1586" s="73"/>
      <c r="HI1586" s="73"/>
      <c r="HJ1586" s="73"/>
      <c r="HK1586" s="73"/>
      <c r="HL1586" s="73"/>
      <c r="HM1586" s="73"/>
      <c r="HN1586" s="73"/>
      <c r="HO1586" s="73"/>
      <c r="HP1586" s="73"/>
      <c r="HQ1586" s="73"/>
      <c r="HR1586" s="73"/>
      <c r="HS1586" s="73"/>
      <c r="HT1586" s="73"/>
      <c r="HU1586" s="73"/>
      <c r="HV1586" s="73"/>
      <c r="HW1586" s="73"/>
      <c r="HX1586" s="73"/>
      <c r="HY1586" s="73"/>
      <c r="HZ1586" s="73"/>
      <c r="IA1586" s="73"/>
      <c r="IB1586" s="73"/>
      <c r="IC1586" s="73"/>
      <c r="ID1586" s="73"/>
      <c r="IE1586" s="73"/>
      <c r="IF1586" s="73"/>
      <c r="IG1586" s="73"/>
      <c r="IH1586" s="73"/>
      <c r="II1586" s="73"/>
      <c r="IJ1586" s="73"/>
      <c r="IK1586" s="73"/>
      <c r="IL1586" s="73"/>
      <c r="IM1586" s="73"/>
      <c r="IN1586" s="73"/>
      <c r="IO1586" s="73"/>
      <c r="IP1586" s="73"/>
      <c r="IQ1586" s="73"/>
      <c r="IR1586" s="73"/>
      <c r="IS1586" s="73"/>
      <c r="IT1586" s="73"/>
      <c r="IU1586" s="73"/>
      <c r="IV1586" s="73"/>
      <c r="IW1586" s="73"/>
      <c r="IX1586" s="73"/>
      <c r="IY1586" s="73"/>
      <c r="IZ1586" s="73"/>
      <c r="JA1586" s="73"/>
      <c r="JB1586" s="73"/>
      <c r="JC1586" s="73"/>
    </row>
    <row r="1587" spans="2:263" s="72" customFormat="1">
      <c r="B1587" s="73"/>
      <c r="C1587" s="73"/>
      <c r="D1587" s="73"/>
      <c r="E1587" s="73"/>
      <c r="F1587" s="73"/>
      <c r="G1587" s="73"/>
      <c r="H1587" s="73"/>
      <c r="I1587" s="73"/>
      <c r="J1587" s="73"/>
      <c r="K1587" s="73"/>
      <c r="L1587" s="73"/>
      <c r="M1587" s="73"/>
      <c r="N1587" s="73"/>
      <c r="O1587" s="73"/>
      <c r="P1587" s="73"/>
      <c r="Q1587" s="73"/>
      <c r="R1587" s="73"/>
      <c r="S1587" s="73"/>
      <c r="T1587" s="73"/>
      <c r="U1587" s="73"/>
      <c r="V1587" s="73"/>
      <c r="W1587" s="73"/>
      <c r="GL1587" s="73"/>
      <c r="GM1587" s="73"/>
      <c r="GN1587" s="73"/>
      <c r="GO1587" s="73"/>
      <c r="GP1587" s="73"/>
      <c r="GQ1587" s="73"/>
      <c r="GR1587" s="73"/>
      <c r="GS1587" s="73"/>
      <c r="GT1587" s="73"/>
      <c r="GU1587" s="73"/>
      <c r="GV1587" s="73"/>
      <c r="GW1587" s="73"/>
      <c r="GX1587" s="73"/>
      <c r="GY1587" s="73"/>
      <c r="GZ1587" s="73"/>
      <c r="HA1587" s="73"/>
      <c r="HB1587" s="73"/>
      <c r="HC1587" s="73"/>
      <c r="HD1587" s="73"/>
      <c r="HE1587" s="73"/>
      <c r="HF1587" s="73"/>
      <c r="HG1587" s="73"/>
      <c r="HH1587" s="73"/>
      <c r="HI1587" s="73"/>
      <c r="HJ1587" s="73"/>
      <c r="HK1587" s="73"/>
      <c r="HL1587" s="73"/>
      <c r="HM1587" s="73"/>
      <c r="HN1587" s="73"/>
      <c r="HO1587" s="73"/>
      <c r="HP1587" s="73"/>
      <c r="HQ1587" s="73"/>
      <c r="HR1587" s="73"/>
      <c r="HS1587" s="73"/>
      <c r="HT1587" s="73"/>
      <c r="HU1587" s="73"/>
      <c r="HV1587" s="73"/>
      <c r="HW1587" s="73"/>
      <c r="HX1587" s="73"/>
      <c r="HY1587" s="73"/>
      <c r="HZ1587" s="73"/>
      <c r="IA1587" s="73"/>
      <c r="IB1587" s="73"/>
      <c r="IC1587" s="73"/>
      <c r="ID1587" s="73"/>
      <c r="IE1587" s="73"/>
      <c r="IF1587" s="73"/>
      <c r="IG1587" s="73"/>
      <c r="IH1587" s="73"/>
      <c r="II1587" s="73"/>
      <c r="IJ1587" s="73"/>
      <c r="IK1587" s="73"/>
      <c r="IL1587" s="73"/>
      <c r="IM1587" s="73"/>
      <c r="IN1587" s="73"/>
      <c r="IO1587" s="73"/>
      <c r="IP1587" s="73"/>
      <c r="IQ1587" s="73"/>
      <c r="IR1587" s="73"/>
      <c r="IS1587" s="73"/>
      <c r="IT1587" s="73"/>
      <c r="IU1587" s="73"/>
      <c r="IV1587" s="73"/>
      <c r="IW1587" s="73"/>
      <c r="IX1587" s="73"/>
      <c r="IY1587" s="73"/>
      <c r="IZ1587" s="73"/>
      <c r="JA1587" s="73"/>
      <c r="JB1587" s="73"/>
      <c r="JC1587" s="73"/>
    </row>
    <row r="1588" spans="2:263" s="72" customFormat="1">
      <c r="B1588" s="73"/>
      <c r="C1588" s="73"/>
      <c r="D1588" s="73"/>
      <c r="E1588" s="73"/>
      <c r="F1588" s="73"/>
      <c r="G1588" s="73"/>
      <c r="H1588" s="73"/>
      <c r="I1588" s="73"/>
      <c r="J1588" s="73"/>
      <c r="K1588" s="73"/>
      <c r="L1588" s="73"/>
      <c r="M1588" s="73"/>
      <c r="N1588" s="73"/>
      <c r="O1588" s="73"/>
      <c r="P1588" s="73"/>
      <c r="Q1588" s="73"/>
      <c r="R1588" s="73"/>
      <c r="S1588" s="73"/>
      <c r="T1588" s="73"/>
      <c r="U1588" s="73"/>
      <c r="V1588" s="73"/>
      <c r="W1588" s="73"/>
      <c r="GL1588" s="73"/>
      <c r="GM1588" s="73"/>
      <c r="GN1588" s="73"/>
      <c r="GO1588" s="73"/>
      <c r="GP1588" s="73"/>
      <c r="GQ1588" s="73"/>
      <c r="GR1588" s="73"/>
      <c r="GS1588" s="73"/>
      <c r="GT1588" s="73"/>
      <c r="GU1588" s="73"/>
      <c r="GV1588" s="73"/>
      <c r="GW1588" s="73"/>
      <c r="GX1588" s="73"/>
      <c r="GY1588" s="73"/>
      <c r="GZ1588" s="73"/>
      <c r="HA1588" s="73"/>
      <c r="HB1588" s="73"/>
      <c r="HC1588" s="73"/>
      <c r="HD1588" s="73"/>
      <c r="HE1588" s="73"/>
      <c r="HF1588" s="73"/>
      <c r="HG1588" s="73"/>
      <c r="HH1588" s="73"/>
      <c r="HI1588" s="73"/>
      <c r="HJ1588" s="73"/>
      <c r="HK1588" s="73"/>
      <c r="HL1588" s="73"/>
      <c r="HM1588" s="73"/>
      <c r="HN1588" s="73"/>
      <c r="HO1588" s="73"/>
      <c r="HP1588" s="73"/>
      <c r="HQ1588" s="73"/>
      <c r="HR1588" s="73"/>
      <c r="HS1588" s="73"/>
      <c r="HT1588" s="73"/>
      <c r="HU1588" s="73"/>
      <c r="HV1588" s="73"/>
      <c r="HW1588" s="73"/>
      <c r="HX1588" s="73"/>
      <c r="HY1588" s="73"/>
      <c r="HZ1588" s="73"/>
      <c r="IA1588" s="73"/>
      <c r="IB1588" s="73"/>
      <c r="IC1588" s="73"/>
      <c r="ID1588" s="73"/>
      <c r="IE1588" s="73"/>
      <c r="IF1588" s="73"/>
      <c r="IG1588" s="73"/>
      <c r="IH1588" s="73"/>
      <c r="II1588" s="73"/>
      <c r="IJ1588" s="73"/>
      <c r="IK1588" s="73"/>
      <c r="IL1588" s="73"/>
      <c r="IM1588" s="73"/>
      <c r="IN1588" s="73"/>
      <c r="IO1588" s="73"/>
      <c r="IP1588" s="73"/>
      <c r="IQ1588" s="73"/>
      <c r="IR1588" s="73"/>
      <c r="IS1588" s="73"/>
      <c r="IT1588" s="73"/>
      <c r="IU1588" s="73"/>
      <c r="IV1588" s="73"/>
      <c r="IW1588" s="73"/>
      <c r="IX1588" s="73"/>
      <c r="IY1588" s="73"/>
      <c r="IZ1588" s="73"/>
      <c r="JA1588" s="73"/>
      <c r="JB1588" s="73"/>
      <c r="JC1588" s="73"/>
    </row>
    <row r="1589" spans="2:263" s="72" customFormat="1">
      <c r="B1589" s="73"/>
      <c r="C1589" s="73"/>
      <c r="D1589" s="73"/>
      <c r="E1589" s="73"/>
      <c r="F1589" s="73"/>
      <c r="G1589" s="73"/>
      <c r="H1589" s="73"/>
      <c r="I1589" s="73"/>
      <c r="J1589" s="73"/>
      <c r="K1589" s="73"/>
      <c r="L1589" s="73"/>
      <c r="M1589" s="73"/>
      <c r="N1589" s="73"/>
      <c r="O1589" s="73"/>
      <c r="P1589" s="73"/>
      <c r="Q1589" s="73"/>
      <c r="R1589" s="73"/>
      <c r="S1589" s="73"/>
      <c r="T1589" s="73"/>
      <c r="U1589" s="73"/>
      <c r="V1589" s="73"/>
      <c r="W1589" s="73"/>
      <c r="GL1589" s="73"/>
      <c r="GM1589" s="73"/>
      <c r="GN1589" s="73"/>
      <c r="GO1589" s="73"/>
      <c r="GP1589" s="73"/>
      <c r="GQ1589" s="73"/>
      <c r="GR1589" s="73"/>
      <c r="GS1589" s="73"/>
      <c r="GT1589" s="73"/>
      <c r="GU1589" s="73"/>
      <c r="GV1589" s="73"/>
      <c r="GW1589" s="73"/>
      <c r="GX1589" s="73"/>
      <c r="GY1589" s="73"/>
      <c r="GZ1589" s="73"/>
      <c r="HA1589" s="73"/>
      <c r="HB1589" s="73"/>
      <c r="HC1589" s="73"/>
      <c r="HD1589" s="73"/>
      <c r="HE1589" s="73"/>
      <c r="HF1589" s="73"/>
      <c r="HG1589" s="73"/>
      <c r="HH1589" s="73"/>
      <c r="HI1589" s="73"/>
      <c r="HJ1589" s="73"/>
      <c r="HK1589" s="73"/>
      <c r="HL1589" s="73"/>
      <c r="HM1589" s="73"/>
      <c r="HN1589" s="73"/>
      <c r="HO1589" s="73"/>
      <c r="HP1589" s="73"/>
      <c r="HQ1589" s="73"/>
      <c r="HR1589" s="73"/>
      <c r="HS1589" s="73"/>
      <c r="HT1589" s="73"/>
      <c r="HU1589" s="73"/>
      <c r="HV1589" s="73"/>
      <c r="HW1589" s="73"/>
      <c r="HX1589" s="73"/>
      <c r="HY1589" s="73"/>
      <c r="HZ1589" s="73"/>
      <c r="IA1589" s="73"/>
      <c r="IB1589" s="73"/>
      <c r="IC1589" s="73"/>
      <c r="ID1589" s="73"/>
      <c r="IE1589" s="73"/>
      <c r="IF1589" s="73"/>
      <c r="IG1589" s="73"/>
      <c r="IH1589" s="73"/>
      <c r="II1589" s="73"/>
      <c r="IJ1589" s="73"/>
      <c r="IK1589" s="73"/>
      <c r="IL1589" s="73"/>
      <c r="IM1589" s="73"/>
      <c r="IN1589" s="73"/>
      <c r="IO1589" s="73"/>
      <c r="IP1589" s="73"/>
      <c r="IQ1589" s="73"/>
      <c r="IR1589" s="73"/>
      <c r="IS1589" s="73"/>
      <c r="IT1589" s="73"/>
      <c r="IU1589" s="73"/>
      <c r="IV1589" s="73"/>
      <c r="IW1589" s="73"/>
      <c r="IX1589" s="73"/>
      <c r="IY1589" s="73"/>
      <c r="IZ1589" s="73"/>
      <c r="JA1589" s="73"/>
      <c r="JB1589" s="73"/>
      <c r="JC1589" s="73"/>
    </row>
    <row r="1590" spans="2:263" s="72" customFormat="1">
      <c r="B1590" s="73"/>
      <c r="C1590" s="73"/>
      <c r="D1590" s="73"/>
      <c r="E1590" s="73"/>
      <c r="F1590" s="73"/>
      <c r="G1590" s="73"/>
      <c r="H1590" s="73"/>
      <c r="I1590" s="73"/>
      <c r="J1590" s="73"/>
      <c r="K1590" s="73"/>
      <c r="L1590" s="73"/>
      <c r="M1590" s="73"/>
      <c r="N1590" s="73"/>
      <c r="O1590" s="73"/>
      <c r="P1590" s="73"/>
      <c r="Q1590" s="73"/>
      <c r="R1590" s="73"/>
      <c r="S1590" s="73"/>
      <c r="T1590" s="73"/>
      <c r="U1590" s="73"/>
      <c r="V1590" s="73"/>
      <c r="W1590" s="73"/>
      <c r="GL1590" s="73"/>
      <c r="GM1590" s="73"/>
      <c r="GN1590" s="73"/>
      <c r="GO1590" s="73"/>
      <c r="GP1590" s="73"/>
      <c r="GQ1590" s="73"/>
      <c r="GR1590" s="73"/>
      <c r="GS1590" s="73"/>
      <c r="GT1590" s="73"/>
      <c r="GU1590" s="73"/>
      <c r="GV1590" s="73"/>
      <c r="GW1590" s="73"/>
      <c r="GX1590" s="73"/>
      <c r="GY1590" s="73"/>
      <c r="GZ1590" s="73"/>
      <c r="HA1590" s="73"/>
      <c r="HB1590" s="73"/>
      <c r="HC1590" s="73"/>
      <c r="HD1590" s="73"/>
      <c r="HE1590" s="73"/>
      <c r="HF1590" s="73"/>
      <c r="HG1590" s="73"/>
      <c r="HH1590" s="73"/>
      <c r="HI1590" s="73"/>
      <c r="HJ1590" s="73"/>
      <c r="HK1590" s="73"/>
      <c r="HL1590" s="73"/>
      <c r="HM1590" s="73"/>
      <c r="HN1590" s="73"/>
      <c r="HO1590" s="73"/>
      <c r="HP1590" s="73"/>
      <c r="HQ1590" s="73"/>
      <c r="HR1590" s="73"/>
      <c r="HS1590" s="73"/>
      <c r="HT1590" s="73"/>
      <c r="HU1590" s="73"/>
      <c r="HV1590" s="73"/>
      <c r="HW1590" s="73"/>
      <c r="HX1590" s="73"/>
      <c r="HY1590" s="73"/>
      <c r="HZ1590" s="73"/>
      <c r="IA1590" s="73"/>
      <c r="IB1590" s="73"/>
      <c r="IC1590" s="73"/>
      <c r="ID1590" s="73"/>
      <c r="IE1590" s="73"/>
      <c r="IF1590" s="73"/>
      <c r="IG1590" s="73"/>
      <c r="IH1590" s="73"/>
      <c r="II1590" s="73"/>
      <c r="IJ1590" s="73"/>
      <c r="IK1590" s="73"/>
      <c r="IL1590" s="73"/>
      <c r="IM1590" s="73"/>
      <c r="IN1590" s="73"/>
      <c r="IO1590" s="73"/>
      <c r="IP1590" s="73"/>
      <c r="IQ1590" s="73"/>
      <c r="IR1590" s="73"/>
      <c r="IS1590" s="73"/>
      <c r="IT1590" s="73"/>
      <c r="IU1590" s="73"/>
      <c r="IV1590" s="73"/>
      <c r="IW1590" s="73"/>
      <c r="IX1590" s="73"/>
      <c r="IY1590" s="73"/>
      <c r="IZ1590" s="73"/>
      <c r="JA1590" s="73"/>
      <c r="JB1590" s="73"/>
      <c r="JC1590" s="73"/>
    </row>
    <row r="1591" spans="2:263" s="72" customFormat="1">
      <c r="B1591" s="73"/>
      <c r="C1591" s="73"/>
      <c r="D1591" s="73"/>
      <c r="E1591" s="73"/>
      <c r="F1591" s="73"/>
      <c r="G1591" s="73"/>
      <c r="H1591" s="73"/>
      <c r="I1591" s="73"/>
      <c r="J1591" s="73"/>
      <c r="K1591" s="73"/>
      <c r="L1591" s="73"/>
      <c r="M1591" s="73"/>
      <c r="N1591" s="73"/>
      <c r="O1591" s="73"/>
      <c r="P1591" s="73"/>
      <c r="Q1591" s="73"/>
      <c r="R1591" s="73"/>
      <c r="S1591" s="73"/>
      <c r="T1591" s="73"/>
      <c r="U1591" s="73"/>
      <c r="V1591" s="73"/>
      <c r="W1591" s="73"/>
      <c r="GL1591" s="73"/>
      <c r="GM1591" s="73"/>
      <c r="GN1591" s="73"/>
      <c r="GO1591" s="73"/>
      <c r="GP1591" s="73"/>
      <c r="GQ1591" s="73"/>
      <c r="GR1591" s="73"/>
      <c r="GS1591" s="73"/>
      <c r="GT1591" s="73"/>
      <c r="GU1591" s="73"/>
      <c r="GV1591" s="73"/>
      <c r="GW1591" s="73"/>
      <c r="GX1591" s="73"/>
      <c r="GY1591" s="73"/>
      <c r="GZ1591" s="73"/>
      <c r="HA1591" s="73"/>
      <c r="HB1591" s="73"/>
      <c r="HC1591" s="73"/>
      <c r="HD1591" s="73"/>
      <c r="HE1591" s="73"/>
      <c r="HF1591" s="73"/>
      <c r="HG1591" s="73"/>
      <c r="HH1591" s="73"/>
      <c r="HI1591" s="73"/>
      <c r="HJ1591" s="73"/>
      <c r="HK1591" s="73"/>
      <c r="HL1591" s="73"/>
      <c r="HM1591" s="73"/>
      <c r="HN1591" s="73"/>
      <c r="HO1591" s="73"/>
      <c r="HP1591" s="73"/>
      <c r="HQ1591" s="73"/>
      <c r="HR1591" s="73"/>
      <c r="HS1591" s="73"/>
      <c r="HT1591" s="73"/>
      <c r="HU1591" s="73"/>
      <c r="HV1591" s="73"/>
      <c r="HW1591" s="73"/>
      <c r="HX1591" s="73"/>
      <c r="HY1591" s="73"/>
      <c r="HZ1591" s="73"/>
      <c r="IA1591" s="73"/>
      <c r="IB1591" s="73"/>
      <c r="IC1591" s="73"/>
      <c r="ID1591" s="73"/>
      <c r="IE1591" s="73"/>
      <c r="IF1591" s="73"/>
      <c r="IG1591" s="73"/>
      <c r="IH1591" s="73"/>
      <c r="II1591" s="73"/>
      <c r="IJ1591" s="73"/>
      <c r="IK1591" s="73"/>
      <c r="IL1591" s="73"/>
      <c r="IM1591" s="73"/>
      <c r="IN1591" s="73"/>
      <c r="IO1591" s="73"/>
      <c r="IP1591" s="73"/>
      <c r="IQ1591" s="73"/>
      <c r="IR1591" s="73"/>
      <c r="IS1591" s="73"/>
      <c r="IT1591" s="73"/>
      <c r="IU1591" s="73"/>
      <c r="IV1591" s="73"/>
      <c r="IW1591" s="73"/>
      <c r="IX1591" s="73"/>
      <c r="IY1591" s="73"/>
      <c r="IZ1591" s="73"/>
      <c r="JA1591" s="73"/>
      <c r="JB1591" s="73"/>
      <c r="JC1591" s="73"/>
    </row>
    <row r="1592" spans="2:263" s="72" customFormat="1">
      <c r="B1592" s="73"/>
      <c r="C1592" s="73"/>
      <c r="D1592" s="73"/>
      <c r="E1592" s="73"/>
      <c r="F1592" s="73"/>
      <c r="G1592" s="73"/>
      <c r="H1592" s="73"/>
      <c r="I1592" s="73"/>
      <c r="J1592" s="73"/>
      <c r="K1592" s="73"/>
      <c r="L1592" s="73"/>
      <c r="M1592" s="73"/>
      <c r="N1592" s="73"/>
      <c r="O1592" s="73"/>
      <c r="P1592" s="73"/>
      <c r="Q1592" s="73"/>
      <c r="R1592" s="73"/>
      <c r="S1592" s="73"/>
      <c r="T1592" s="73"/>
      <c r="U1592" s="73"/>
      <c r="V1592" s="73"/>
      <c r="W1592" s="73"/>
      <c r="GL1592" s="73"/>
      <c r="GM1592" s="73"/>
      <c r="GN1592" s="73"/>
      <c r="GO1592" s="73"/>
      <c r="GP1592" s="73"/>
      <c r="GQ1592" s="73"/>
      <c r="GR1592" s="73"/>
      <c r="GS1592" s="73"/>
      <c r="GT1592" s="73"/>
      <c r="GU1592" s="73"/>
      <c r="GV1592" s="73"/>
      <c r="GW1592" s="73"/>
      <c r="GX1592" s="73"/>
      <c r="GY1592" s="73"/>
      <c r="GZ1592" s="73"/>
      <c r="HA1592" s="73"/>
      <c r="HB1592" s="73"/>
      <c r="HC1592" s="73"/>
      <c r="HD1592" s="73"/>
      <c r="HE1592" s="73"/>
      <c r="HF1592" s="73"/>
      <c r="HG1592" s="73"/>
      <c r="HH1592" s="73"/>
      <c r="HI1592" s="73"/>
      <c r="HJ1592" s="73"/>
      <c r="HK1592" s="73"/>
      <c r="HL1592" s="73"/>
      <c r="HM1592" s="73"/>
      <c r="HN1592" s="73"/>
      <c r="HO1592" s="73"/>
      <c r="HP1592" s="73"/>
      <c r="HQ1592" s="73"/>
      <c r="HR1592" s="73"/>
      <c r="HS1592" s="73"/>
      <c r="HT1592" s="73"/>
      <c r="HU1592" s="73"/>
      <c r="HV1592" s="73"/>
      <c r="HW1592" s="73"/>
      <c r="HX1592" s="73"/>
      <c r="HY1592" s="73"/>
      <c r="HZ1592" s="73"/>
      <c r="IA1592" s="73"/>
      <c r="IB1592" s="73"/>
      <c r="IC1592" s="73"/>
      <c r="ID1592" s="73"/>
      <c r="IE1592" s="73"/>
      <c r="IF1592" s="73"/>
      <c r="IG1592" s="73"/>
      <c r="IH1592" s="73"/>
      <c r="II1592" s="73"/>
      <c r="IJ1592" s="73"/>
      <c r="IK1592" s="73"/>
      <c r="IL1592" s="73"/>
      <c r="IM1592" s="73"/>
      <c r="IN1592" s="73"/>
      <c r="IO1592" s="73"/>
      <c r="IP1592" s="73"/>
      <c r="IQ1592" s="73"/>
      <c r="IR1592" s="73"/>
      <c r="IS1592" s="73"/>
      <c r="IT1592" s="73"/>
      <c r="IU1592" s="73"/>
      <c r="IV1592" s="73"/>
      <c r="IW1592" s="73"/>
      <c r="IX1592" s="73"/>
      <c r="IY1592" s="73"/>
      <c r="IZ1592" s="73"/>
      <c r="JA1592" s="73"/>
      <c r="JB1592" s="73"/>
      <c r="JC1592" s="73"/>
    </row>
    <row r="1593" spans="2:263" s="72" customFormat="1">
      <c r="B1593" s="73"/>
      <c r="C1593" s="73"/>
      <c r="D1593" s="73"/>
      <c r="E1593" s="73"/>
      <c r="F1593" s="73"/>
      <c r="G1593" s="73"/>
      <c r="H1593" s="73"/>
      <c r="I1593" s="73"/>
      <c r="J1593" s="73"/>
      <c r="K1593" s="73"/>
      <c r="L1593" s="73"/>
      <c r="M1593" s="73"/>
      <c r="N1593" s="73"/>
      <c r="O1593" s="73"/>
      <c r="P1593" s="73"/>
      <c r="Q1593" s="73"/>
      <c r="R1593" s="73"/>
      <c r="S1593" s="73"/>
      <c r="T1593" s="73"/>
      <c r="U1593" s="73"/>
      <c r="V1593" s="73"/>
      <c r="W1593" s="73"/>
      <c r="GL1593" s="73"/>
      <c r="GM1593" s="73"/>
      <c r="GN1593" s="73"/>
      <c r="GO1593" s="73"/>
      <c r="GP1593" s="73"/>
      <c r="GQ1593" s="73"/>
      <c r="GR1593" s="73"/>
      <c r="GS1593" s="73"/>
      <c r="GT1593" s="73"/>
      <c r="GU1593" s="73"/>
      <c r="GV1593" s="73"/>
      <c r="GW1593" s="73"/>
      <c r="GX1593" s="73"/>
      <c r="GY1593" s="73"/>
      <c r="GZ1593" s="73"/>
      <c r="HA1593" s="73"/>
      <c r="HB1593" s="73"/>
      <c r="HC1593" s="73"/>
      <c r="HD1593" s="73"/>
      <c r="HE1593" s="73"/>
      <c r="HF1593" s="73"/>
      <c r="HG1593" s="73"/>
      <c r="HH1593" s="73"/>
      <c r="HI1593" s="73"/>
      <c r="HJ1593" s="73"/>
      <c r="HK1593" s="73"/>
      <c r="HL1593" s="73"/>
      <c r="HM1593" s="73"/>
      <c r="HN1593" s="73"/>
      <c r="HO1593" s="73"/>
      <c r="HP1593" s="73"/>
      <c r="HQ1593" s="73"/>
      <c r="HR1593" s="73"/>
      <c r="HS1593" s="73"/>
      <c r="HT1593" s="73"/>
      <c r="HU1593" s="73"/>
      <c r="HV1593" s="73"/>
      <c r="HW1593" s="73"/>
      <c r="HX1593" s="73"/>
      <c r="HY1593" s="73"/>
      <c r="HZ1593" s="73"/>
      <c r="IA1593" s="73"/>
      <c r="IB1593" s="73"/>
      <c r="IC1593" s="73"/>
      <c r="ID1593" s="73"/>
      <c r="IE1593" s="73"/>
      <c r="IF1593" s="73"/>
      <c r="IG1593" s="73"/>
      <c r="IH1593" s="73"/>
      <c r="II1593" s="73"/>
      <c r="IJ1593" s="73"/>
      <c r="IK1593" s="73"/>
      <c r="IL1593" s="73"/>
      <c r="IM1593" s="73"/>
      <c r="IN1593" s="73"/>
      <c r="IO1593" s="73"/>
      <c r="IP1593" s="73"/>
      <c r="IQ1593" s="73"/>
      <c r="IR1593" s="73"/>
      <c r="IS1593" s="73"/>
      <c r="IT1593" s="73"/>
      <c r="IU1593" s="73"/>
      <c r="IV1593" s="73"/>
      <c r="IW1593" s="73"/>
      <c r="IX1593" s="73"/>
      <c r="IY1593" s="73"/>
      <c r="IZ1593" s="73"/>
      <c r="JA1593" s="73"/>
      <c r="JB1593" s="73"/>
      <c r="JC1593" s="73"/>
    </row>
    <row r="1594" spans="2:263" s="72" customFormat="1">
      <c r="B1594" s="73"/>
      <c r="C1594" s="73"/>
      <c r="D1594" s="73"/>
      <c r="E1594" s="73"/>
      <c r="F1594" s="73"/>
      <c r="G1594" s="73"/>
      <c r="H1594" s="73"/>
      <c r="I1594" s="73"/>
      <c r="J1594" s="73"/>
      <c r="K1594" s="73"/>
      <c r="L1594" s="73"/>
      <c r="M1594" s="73"/>
      <c r="N1594" s="73"/>
      <c r="O1594" s="73"/>
      <c r="P1594" s="73"/>
      <c r="Q1594" s="73"/>
      <c r="R1594" s="73"/>
      <c r="S1594" s="73"/>
      <c r="T1594" s="73"/>
      <c r="U1594" s="73"/>
      <c r="V1594" s="73"/>
      <c r="W1594" s="73"/>
      <c r="GL1594" s="73"/>
      <c r="GM1594" s="73"/>
      <c r="GN1594" s="73"/>
      <c r="GO1594" s="73"/>
      <c r="GP1594" s="73"/>
      <c r="GQ1594" s="73"/>
      <c r="GR1594" s="73"/>
      <c r="GS1594" s="73"/>
      <c r="GT1594" s="73"/>
      <c r="GU1594" s="73"/>
      <c r="GV1594" s="73"/>
      <c r="GW1594" s="73"/>
      <c r="GX1594" s="73"/>
      <c r="GY1594" s="73"/>
      <c r="GZ1594" s="73"/>
      <c r="HA1594" s="73"/>
      <c r="HB1594" s="73"/>
      <c r="HC1594" s="73"/>
      <c r="HD1594" s="73"/>
      <c r="HE1594" s="73"/>
      <c r="HF1594" s="73"/>
      <c r="HG1594" s="73"/>
      <c r="HH1594" s="73"/>
      <c r="HI1594" s="73"/>
      <c r="HJ1594" s="73"/>
      <c r="HK1594" s="73"/>
      <c r="HL1594" s="73"/>
      <c r="HM1594" s="73"/>
      <c r="HN1594" s="73"/>
      <c r="HO1594" s="73"/>
      <c r="HP1594" s="73"/>
      <c r="HQ1594" s="73"/>
      <c r="HR1594" s="73"/>
      <c r="HS1594" s="73"/>
      <c r="HT1594" s="73"/>
      <c r="HU1594" s="73"/>
      <c r="HV1594" s="73"/>
      <c r="HW1594" s="73"/>
      <c r="HX1594" s="73"/>
      <c r="HY1594" s="73"/>
      <c r="HZ1594" s="73"/>
      <c r="IA1594" s="73"/>
      <c r="IB1594" s="73"/>
      <c r="IC1594" s="73"/>
      <c r="ID1594" s="73"/>
      <c r="IE1594" s="73"/>
      <c r="IF1594" s="73"/>
      <c r="IG1594" s="73"/>
      <c r="IH1594" s="73"/>
      <c r="II1594" s="73"/>
      <c r="IJ1594" s="73"/>
      <c r="IK1594" s="73"/>
      <c r="IL1594" s="73"/>
      <c r="IM1594" s="73"/>
      <c r="IN1594" s="73"/>
      <c r="IO1594" s="73"/>
      <c r="IP1594" s="73"/>
      <c r="IQ1594" s="73"/>
      <c r="IR1594" s="73"/>
      <c r="IS1594" s="73"/>
      <c r="IT1594" s="73"/>
      <c r="IU1594" s="73"/>
      <c r="IV1594" s="73"/>
      <c r="IW1594" s="73"/>
      <c r="IX1594" s="73"/>
      <c r="IY1594" s="73"/>
      <c r="IZ1594" s="73"/>
      <c r="JA1594" s="73"/>
      <c r="JB1594" s="73"/>
      <c r="JC1594" s="73"/>
    </row>
    <row r="1595" spans="2:263" s="72" customFormat="1">
      <c r="B1595" s="73"/>
      <c r="C1595" s="73"/>
      <c r="D1595" s="73"/>
      <c r="E1595" s="73"/>
      <c r="F1595" s="73"/>
      <c r="G1595" s="73"/>
      <c r="H1595" s="73"/>
      <c r="I1595" s="73"/>
      <c r="J1595" s="73"/>
      <c r="K1595" s="73"/>
      <c r="L1595" s="73"/>
      <c r="M1595" s="73"/>
      <c r="N1595" s="73"/>
      <c r="O1595" s="73"/>
      <c r="P1595" s="73"/>
      <c r="Q1595" s="73"/>
      <c r="R1595" s="73"/>
      <c r="S1595" s="73"/>
      <c r="T1595" s="73"/>
      <c r="U1595" s="73"/>
      <c r="V1595" s="73"/>
      <c r="W1595" s="73"/>
      <c r="GL1595" s="73"/>
      <c r="GM1595" s="73"/>
      <c r="GN1595" s="73"/>
      <c r="GO1595" s="73"/>
      <c r="GP1595" s="73"/>
      <c r="GQ1595" s="73"/>
      <c r="GR1595" s="73"/>
      <c r="GS1595" s="73"/>
      <c r="GT1595" s="73"/>
      <c r="GU1595" s="73"/>
      <c r="GV1595" s="73"/>
      <c r="GW1595" s="73"/>
      <c r="GX1595" s="73"/>
      <c r="GY1595" s="73"/>
      <c r="GZ1595" s="73"/>
      <c r="HA1595" s="73"/>
      <c r="HB1595" s="73"/>
      <c r="HC1595" s="73"/>
      <c r="HD1595" s="73"/>
      <c r="HE1595" s="73"/>
      <c r="HF1595" s="73"/>
      <c r="HG1595" s="73"/>
      <c r="HH1595" s="73"/>
      <c r="HI1595" s="73"/>
      <c r="HJ1595" s="73"/>
      <c r="HK1595" s="73"/>
      <c r="HL1595" s="73"/>
      <c r="HM1595" s="73"/>
      <c r="HN1595" s="73"/>
      <c r="HO1595" s="73"/>
      <c r="HP1595" s="73"/>
      <c r="HQ1595" s="73"/>
      <c r="HR1595" s="73"/>
      <c r="HS1595" s="73"/>
      <c r="HT1595" s="73"/>
      <c r="HU1595" s="73"/>
      <c r="HV1595" s="73"/>
      <c r="HW1595" s="73"/>
      <c r="HX1595" s="73"/>
      <c r="HY1595" s="73"/>
      <c r="HZ1595" s="73"/>
      <c r="IA1595" s="73"/>
      <c r="IB1595" s="73"/>
      <c r="IC1595" s="73"/>
      <c r="ID1595" s="73"/>
      <c r="IE1595" s="73"/>
      <c r="IF1595" s="73"/>
      <c r="IG1595" s="73"/>
      <c r="IH1595" s="73"/>
      <c r="II1595" s="73"/>
      <c r="IJ1595" s="73"/>
      <c r="IK1595" s="73"/>
      <c r="IL1595" s="73"/>
      <c r="IM1595" s="73"/>
      <c r="IN1595" s="73"/>
      <c r="IO1595" s="73"/>
      <c r="IP1595" s="73"/>
      <c r="IQ1595" s="73"/>
      <c r="IR1595" s="73"/>
      <c r="IS1595" s="73"/>
      <c r="IT1595" s="73"/>
      <c r="IU1595" s="73"/>
      <c r="IV1595" s="73"/>
      <c r="IW1595" s="73"/>
      <c r="IX1595" s="73"/>
      <c r="IY1595" s="73"/>
      <c r="IZ1595" s="73"/>
      <c r="JA1595" s="73"/>
      <c r="JB1595" s="73"/>
      <c r="JC1595" s="73"/>
    </row>
    <row r="1596" spans="2:263" s="72" customFormat="1">
      <c r="B1596" s="73"/>
      <c r="C1596" s="73"/>
      <c r="D1596" s="73"/>
      <c r="E1596" s="73"/>
      <c r="F1596" s="73"/>
      <c r="G1596" s="73"/>
      <c r="H1596" s="73"/>
      <c r="I1596" s="73"/>
      <c r="J1596" s="73"/>
      <c r="K1596" s="73"/>
      <c r="L1596" s="73"/>
      <c r="M1596" s="73"/>
      <c r="N1596" s="73"/>
      <c r="O1596" s="73"/>
      <c r="P1596" s="73"/>
      <c r="Q1596" s="73"/>
      <c r="R1596" s="73"/>
      <c r="S1596" s="73"/>
      <c r="T1596" s="73"/>
      <c r="U1596" s="73"/>
      <c r="V1596" s="73"/>
      <c r="W1596" s="73"/>
      <c r="GL1596" s="73"/>
      <c r="GM1596" s="73"/>
      <c r="GN1596" s="73"/>
      <c r="GO1596" s="73"/>
      <c r="GP1596" s="73"/>
      <c r="GQ1596" s="73"/>
      <c r="GR1596" s="73"/>
      <c r="GS1596" s="73"/>
      <c r="GT1596" s="73"/>
      <c r="GU1596" s="73"/>
      <c r="GV1596" s="73"/>
      <c r="GW1596" s="73"/>
      <c r="GX1596" s="73"/>
      <c r="GY1596" s="73"/>
      <c r="GZ1596" s="73"/>
      <c r="HA1596" s="73"/>
      <c r="HB1596" s="73"/>
      <c r="HC1596" s="73"/>
      <c r="HD1596" s="73"/>
      <c r="HE1596" s="73"/>
      <c r="HF1596" s="73"/>
      <c r="HG1596" s="73"/>
      <c r="HH1596" s="73"/>
      <c r="HI1596" s="73"/>
      <c r="HJ1596" s="73"/>
      <c r="HK1596" s="73"/>
      <c r="HL1596" s="73"/>
      <c r="HM1596" s="73"/>
      <c r="HN1596" s="73"/>
      <c r="HO1596" s="73"/>
      <c r="HP1596" s="73"/>
      <c r="HQ1596" s="73"/>
      <c r="HR1596" s="73"/>
      <c r="HS1596" s="73"/>
      <c r="HT1596" s="73"/>
      <c r="HU1596" s="73"/>
      <c r="HV1596" s="73"/>
      <c r="HW1596" s="73"/>
      <c r="HX1596" s="73"/>
      <c r="HY1596" s="73"/>
      <c r="HZ1596" s="73"/>
      <c r="IA1596" s="73"/>
      <c r="IB1596" s="73"/>
      <c r="IC1596" s="73"/>
      <c r="ID1596" s="73"/>
      <c r="IE1596" s="73"/>
      <c r="IF1596" s="73"/>
      <c r="IG1596" s="73"/>
      <c r="IH1596" s="73"/>
      <c r="II1596" s="73"/>
      <c r="IJ1596" s="73"/>
      <c r="IK1596" s="73"/>
      <c r="IL1596" s="73"/>
      <c r="IM1596" s="73"/>
      <c r="IN1596" s="73"/>
      <c r="IO1596" s="73"/>
      <c r="IP1596" s="73"/>
      <c r="IQ1596" s="73"/>
      <c r="IR1596" s="73"/>
      <c r="IS1596" s="73"/>
      <c r="IT1596" s="73"/>
      <c r="IU1596" s="73"/>
      <c r="IV1596" s="73"/>
      <c r="IW1596" s="73"/>
      <c r="IX1596" s="73"/>
      <c r="IY1596" s="73"/>
      <c r="IZ1596" s="73"/>
      <c r="JA1596" s="73"/>
      <c r="JB1596" s="73"/>
      <c r="JC1596" s="73"/>
    </row>
    <row r="1597" spans="2:263" s="72" customFormat="1">
      <c r="B1597" s="73"/>
      <c r="C1597" s="73"/>
      <c r="D1597" s="73"/>
      <c r="E1597" s="73"/>
      <c r="F1597" s="73"/>
      <c r="G1597" s="73"/>
      <c r="H1597" s="73"/>
      <c r="I1597" s="73"/>
      <c r="J1597" s="73"/>
      <c r="K1597" s="73"/>
      <c r="L1597" s="73"/>
      <c r="M1597" s="73"/>
      <c r="N1597" s="73"/>
      <c r="O1597" s="73"/>
      <c r="P1597" s="73"/>
      <c r="Q1597" s="73"/>
      <c r="R1597" s="73"/>
      <c r="S1597" s="73"/>
      <c r="T1597" s="73"/>
      <c r="U1597" s="73"/>
      <c r="V1597" s="73"/>
      <c r="W1597" s="73"/>
      <c r="GL1597" s="73"/>
      <c r="GM1597" s="73"/>
      <c r="GN1597" s="73"/>
      <c r="GO1597" s="73"/>
      <c r="GP1597" s="73"/>
      <c r="GQ1597" s="73"/>
      <c r="GR1597" s="73"/>
      <c r="GS1597" s="73"/>
      <c r="GT1597" s="73"/>
      <c r="GU1597" s="73"/>
      <c r="GV1597" s="73"/>
      <c r="GW1597" s="73"/>
      <c r="GX1597" s="73"/>
      <c r="GY1597" s="73"/>
      <c r="GZ1597" s="73"/>
      <c r="HA1597" s="73"/>
      <c r="HB1597" s="73"/>
      <c r="HC1597" s="73"/>
      <c r="HD1597" s="73"/>
      <c r="HE1597" s="73"/>
      <c r="HF1597" s="73"/>
      <c r="HG1597" s="73"/>
      <c r="HH1597" s="73"/>
      <c r="HI1597" s="73"/>
      <c r="HJ1597" s="73"/>
      <c r="HK1597" s="73"/>
      <c r="HL1597" s="73"/>
      <c r="HM1597" s="73"/>
      <c r="HN1597" s="73"/>
      <c r="HO1597" s="73"/>
      <c r="HP1597" s="73"/>
      <c r="HQ1597" s="73"/>
      <c r="HR1597" s="73"/>
      <c r="HS1597" s="73"/>
      <c r="HT1597" s="73"/>
      <c r="HU1597" s="73"/>
      <c r="HV1597" s="73"/>
      <c r="HW1597" s="73"/>
      <c r="HX1597" s="73"/>
      <c r="HY1597" s="73"/>
      <c r="HZ1597" s="73"/>
      <c r="IA1597" s="73"/>
      <c r="IB1597" s="73"/>
      <c r="IC1597" s="73"/>
      <c r="ID1597" s="73"/>
      <c r="IE1597" s="73"/>
      <c r="IF1597" s="73"/>
      <c r="IG1597" s="73"/>
      <c r="IH1597" s="73"/>
      <c r="II1597" s="73"/>
      <c r="IJ1597" s="73"/>
      <c r="IK1597" s="73"/>
      <c r="IL1597" s="73"/>
      <c r="IM1597" s="73"/>
      <c r="IN1597" s="73"/>
      <c r="IO1597" s="73"/>
      <c r="IP1597" s="73"/>
      <c r="IQ1597" s="73"/>
      <c r="IR1597" s="73"/>
      <c r="IS1597" s="73"/>
      <c r="IT1597" s="73"/>
      <c r="IU1597" s="73"/>
      <c r="IV1597" s="73"/>
      <c r="IW1597" s="73"/>
      <c r="IX1597" s="73"/>
      <c r="IY1597" s="73"/>
      <c r="IZ1597" s="73"/>
      <c r="JA1597" s="73"/>
      <c r="JB1597" s="73"/>
      <c r="JC1597" s="73"/>
    </row>
    <row r="1598" spans="2:263" s="72" customFormat="1">
      <c r="B1598" s="73"/>
      <c r="C1598" s="73"/>
      <c r="D1598" s="73"/>
      <c r="E1598" s="73"/>
      <c r="F1598" s="73"/>
      <c r="G1598" s="73"/>
      <c r="H1598" s="73"/>
      <c r="I1598" s="73"/>
      <c r="J1598" s="73"/>
      <c r="K1598" s="73"/>
      <c r="L1598" s="73"/>
      <c r="M1598" s="73"/>
      <c r="N1598" s="73"/>
      <c r="O1598" s="73"/>
      <c r="P1598" s="73"/>
      <c r="Q1598" s="73"/>
      <c r="R1598" s="73"/>
      <c r="S1598" s="73"/>
      <c r="T1598" s="73"/>
      <c r="U1598" s="73"/>
      <c r="V1598" s="73"/>
      <c r="W1598" s="73"/>
      <c r="GL1598" s="73"/>
      <c r="GM1598" s="73"/>
      <c r="GN1598" s="73"/>
      <c r="GO1598" s="73"/>
      <c r="GP1598" s="73"/>
      <c r="GQ1598" s="73"/>
      <c r="GR1598" s="73"/>
      <c r="GS1598" s="73"/>
      <c r="GT1598" s="73"/>
      <c r="GU1598" s="73"/>
      <c r="GV1598" s="73"/>
      <c r="GW1598" s="73"/>
      <c r="GX1598" s="73"/>
      <c r="GY1598" s="73"/>
      <c r="GZ1598" s="73"/>
      <c r="HA1598" s="73"/>
      <c r="HB1598" s="73"/>
      <c r="HC1598" s="73"/>
      <c r="HD1598" s="73"/>
      <c r="HE1598" s="73"/>
      <c r="HF1598" s="73"/>
      <c r="HG1598" s="73"/>
      <c r="HH1598" s="73"/>
      <c r="HI1598" s="73"/>
      <c r="HJ1598" s="73"/>
      <c r="HK1598" s="73"/>
      <c r="HL1598" s="73"/>
      <c r="HM1598" s="73"/>
      <c r="HN1598" s="73"/>
      <c r="HO1598" s="73"/>
      <c r="HP1598" s="73"/>
      <c r="HQ1598" s="73"/>
      <c r="HR1598" s="73"/>
      <c r="HS1598" s="73"/>
      <c r="HT1598" s="73"/>
      <c r="HU1598" s="73"/>
      <c r="HV1598" s="73"/>
      <c r="HW1598" s="73"/>
      <c r="HX1598" s="73"/>
      <c r="HY1598" s="73"/>
      <c r="HZ1598" s="73"/>
      <c r="IA1598" s="73"/>
      <c r="IB1598" s="73"/>
      <c r="IC1598" s="73"/>
      <c r="ID1598" s="73"/>
      <c r="IE1598" s="73"/>
      <c r="IF1598" s="73"/>
      <c r="IG1598" s="73"/>
      <c r="IH1598" s="73"/>
      <c r="II1598" s="73"/>
      <c r="IJ1598" s="73"/>
      <c r="IK1598" s="73"/>
      <c r="IL1598" s="73"/>
      <c r="IM1598" s="73"/>
      <c r="IN1598" s="73"/>
      <c r="IO1598" s="73"/>
      <c r="IP1598" s="73"/>
      <c r="IQ1598" s="73"/>
      <c r="IR1598" s="73"/>
      <c r="IS1598" s="73"/>
      <c r="IT1598" s="73"/>
      <c r="IU1598" s="73"/>
      <c r="IV1598" s="73"/>
      <c r="IW1598" s="73"/>
      <c r="IX1598" s="73"/>
      <c r="IY1598" s="73"/>
      <c r="IZ1598" s="73"/>
      <c r="JA1598" s="73"/>
      <c r="JB1598" s="73"/>
      <c r="JC1598" s="73"/>
    </row>
    <row r="1599" spans="2:263" s="72" customFormat="1">
      <c r="B1599" s="73"/>
      <c r="C1599" s="73"/>
      <c r="D1599" s="73"/>
      <c r="E1599" s="73"/>
      <c r="F1599" s="73"/>
      <c r="G1599" s="73"/>
      <c r="H1599" s="73"/>
      <c r="I1599" s="73"/>
      <c r="J1599" s="73"/>
      <c r="K1599" s="73"/>
      <c r="L1599" s="73"/>
      <c r="M1599" s="73"/>
      <c r="N1599" s="73"/>
      <c r="O1599" s="73"/>
      <c r="P1599" s="73"/>
      <c r="Q1599" s="73"/>
      <c r="R1599" s="73"/>
      <c r="S1599" s="73"/>
      <c r="T1599" s="73"/>
      <c r="U1599" s="73"/>
      <c r="V1599" s="73"/>
      <c r="W1599" s="73"/>
      <c r="GL1599" s="73"/>
      <c r="GM1599" s="73"/>
      <c r="GN1599" s="73"/>
      <c r="GO1599" s="73"/>
      <c r="GP1599" s="73"/>
      <c r="GQ1599" s="73"/>
      <c r="GR1599" s="73"/>
      <c r="GS1599" s="73"/>
      <c r="GT1599" s="73"/>
      <c r="GU1599" s="73"/>
      <c r="GV1599" s="73"/>
      <c r="GW1599" s="73"/>
      <c r="GX1599" s="73"/>
      <c r="GY1599" s="73"/>
      <c r="GZ1599" s="73"/>
      <c r="HA1599" s="73"/>
      <c r="HB1599" s="73"/>
      <c r="HC1599" s="73"/>
      <c r="HD1599" s="73"/>
      <c r="HE1599" s="73"/>
      <c r="HF1599" s="73"/>
      <c r="HG1599" s="73"/>
      <c r="HH1599" s="73"/>
      <c r="HI1599" s="73"/>
      <c r="HJ1599" s="73"/>
      <c r="HK1599" s="73"/>
      <c r="HL1599" s="73"/>
      <c r="HM1599" s="73"/>
      <c r="HN1599" s="73"/>
      <c r="HO1599" s="73"/>
      <c r="HP1599" s="73"/>
      <c r="HQ1599" s="73"/>
      <c r="HR1599" s="73"/>
      <c r="HS1599" s="73"/>
      <c r="HT1599" s="73"/>
      <c r="HU1599" s="73"/>
      <c r="HV1599" s="73"/>
      <c r="HW1599" s="73"/>
      <c r="HX1599" s="73"/>
      <c r="HY1599" s="73"/>
      <c r="HZ1599" s="73"/>
      <c r="IA1599" s="73"/>
      <c r="IB1599" s="73"/>
      <c r="IC1599" s="73"/>
      <c r="ID1599" s="73"/>
      <c r="IE1599" s="73"/>
      <c r="IF1599" s="73"/>
      <c r="IG1599" s="73"/>
      <c r="IH1599" s="73"/>
      <c r="II1599" s="73"/>
      <c r="IJ1599" s="73"/>
      <c r="IK1599" s="73"/>
      <c r="IL1599" s="73"/>
      <c r="IM1599" s="73"/>
      <c r="IN1599" s="73"/>
      <c r="IO1599" s="73"/>
      <c r="IP1599" s="73"/>
      <c r="IQ1599" s="73"/>
      <c r="IR1599" s="73"/>
      <c r="IS1599" s="73"/>
      <c r="IT1599" s="73"/>
      <c r="IU1599" s="73"/>
      <c r="IV1599" s="73"/>
      <c r="IW1599" s="73"/>
      <c r="IX1599" s="73"/>
      <c r="IY1599" s="73"/>
      <c r="IZ1599" s="73"/>
      <c r="JA1599" s="73"/>
      <c r="JB1599" s="73"/>
      <c r="JC1599" s="73"/>
    </row>
    <row r="1600" spans="2:263" s="72" customFormat="1">
      <c r="B1600" s="73"/>
      <c r="C1600" s="73"/>
      <c r="D1600" s="73"/>
      <c r="E1600" s="73"/>
      <c r="F1600" s="73"/>
      <c r="G1600" s="73"/>
      <c r="H1600" s="73"/>
      <c r="I1600" s="73"/>
      <c r="J1600" s="73"/>
      <c r="K1600" s="73"/>
      <c r="L1600" s="73"/>
      <c r="M1600" s="73"/>
      <c r="N1600" s="73"/>
      <c r="O1600" s="73"/>
      <c r="P1600" s="73"/>
      <c r="Q1600" s="73"/>
      <c r="R1600" s="73"/>
      <c r="S1600" s="73"/>
      <c r="T1600" s="73"/>
      <c r="U1600" s="73"/>
      <c r="V1600" s="73"/>
      <c r="W1600" s="73"/>
      <c r="GL1600" s="73"/>
      <c r="GM1600" s="73"/>
      <c r="GN1600" s="73"/>
      <c r="GO1600" s="73"/>
      <c r="GP1600" s="73"/>
      <c r="GQ1600" s="73"/>
      <c r="GR1600" s="73"/>
      <c r="GS1600" s="73"/>
      <c r="GT1600" s="73"/>
      <c r="GU1600" s="73"/>
      <c r="GV1600" s="73"/>
      <c r="GW1600" s="73"/>
      <c r="GX1600" s="73"/>
      <c r="GY1600" s="73"/>
      <c r="GZ1600" s="73"/>
      <c r="HA1600" s="73"/>
      <c r="HB1600" s="73"/>
      <c r="HC1600" s="73"/>
      <c r="HD1600" s="73"/>
      <c r="HE1600" s="73"/>
      <c r="HF1600" s="73"/>
      <c r="HG1600" s="73"/>
      <c r="HH1600" s="73"/>
      <c r="HI1600" s="73"/>
      <c r="HJ1600" s="73"/>
      <c r="HK1600" s="73"/>
      <c r="HL1600" s="73"/>
      <c r="HM1600" s="73"/>
      <c r="HN1600" s="73"/>
      <c r="HO1600" s="73"/>
      <c r="HP1600" s="73"/>
      <c r="HQ1600" s="73"/>
      <c r="HR1600" s="73"/>
      <c r="HS1600" s="73"/>
      <c r="HT1600" s="73"/>
      <c r="HU1600" s="73"/>
      <c r="HV1600" s="73"/>
      <c r="HW1600" s="73"/>
      <c r="HX1600" s="73"/>
      <c r="HY1600" s="73"/>
      <c r="HZ1600" s="73"/>
      <c r="IA1600" s="73"/>
      <c r="IB1600" s="73"/>
      <c r="IC1600" s="73"/>
      <c r="ID1600" s="73"/>
      <c r="IE1600" s="73"/>
      <c r="IF1600" s="73"/>
      <c r="IG1600" s="73"/>
      <c r="IH1600" s="73"/>
      <c r="II1600" s="73"/>
      <c r="IJ1600" s="73"/>
      <c r="IK1600" s="73"/>
      <c r="IL1600" s="73"/>
      <c r="IM1600" s="73"/>
      <c r="IN1600" s="73"/>
      <c r="IO1600" s="73"/>
      <c r="IP1600" s="73"/>
      <c r="IQ1600" s="73"/>
      <c r="IR1600" s="73"/>
      <c r="IS1600" s="73"/>
      <c r="IT1600" s="73"/>
      <c r="IU1600" s="73"/>
      <c r="IV1600" s="73"/>
      <c r="IW1600" s="73"/>
      <c r="IX1600" s="73"/>
      <c r="IY1600" s="73"/>
      <c r="IZ1600" s="73"/>
      <c r="JA1600" s="73"/>
      <c r="JB1600" s="73"/>
      <c r="JC1600" s="73"/>
    </row>
    <row r="1601" spans="2:263" s="72" customFormat="1">
      <c r="B1601" s="73"/>
      <c r="C1601" s="73"/>
      <c r="D1601" s="73"/>
      <c r="E1601" s="73"/>
      <c r="F1601" s="73"/>
      <c r="G1601" s="73"/>
      <c r="H1601" s="73"/>
      <c r="I1601" s="73"/>
      <c r="J1601" s="73"/>
      <c r="K1601" s="73"/>
      <c r="L1601" s="73"/>
      <c r="M1601" s="73"/>
      <c r="N1601" s="73"/>
      <c r="O1601" s="73"/>
      <c r="P1601" s="73"/>
      <c r="Q1601" s="73"/>
      <c r="R1601" s="73"/>
      <c r="S1601" s="73"/>
      <c r="T1601" s="73"/>
      <c r="U1601" s="73"/>
      <c r="V1601" s="73"/>
      <c r="W1601" s="73"/>
      <c r="GL1601" s="73"/>
      <c r="GM1601" s="73"/>
      <c r="GN1601" s="73"/>
      <c r="GO1601" s="73"/>
      <c r="GP1601" s="73"/>
      <c r="GQ1601" s="73"/>
      <c r="GR1601" s="73"/>
      <c r="GS1601" s="73"/>
      <c r="GT1601" s="73"/>
      <c r="GU1601" s="73"/>
      <c r="GV1601" s="73"/>
      <c r="GW1601" s="73"/>
      <c r="GX1601" s="73"/>
      <c r="GY1601" s="73"/>
      <c r="GZ1601" s="73"/>
      <c r="HA1601" s="73"/>
      <c r="HB1601" s="73"/>
      <c r="HC1601" s="73"/>
      <c r="HD1601" s="73"/>
      <c r="HE1601" s="73"/>
      <c r="HF1601" s="73"/>
      <c r="HG1601" s="73"/>
      <c r="HH1601" s="73"/>
      <c r="HI1601" s="73"/>
      <c r="HJ1601" s="73"/>
      <c r="HK1601" s="73"/>
      <c r="HL1601" s="73"/>
      <c r="HM1601" s="73"/>
      <c r="HN1601" s="73"/>
      <c r="HO1601" s="73"/>
      <c r="HP1601" s="73"/>
      <c r="HQ1601" s="73"/>
      <c r="HR1601" s="73"/>
      <c r="HS1601" s="73"/>
      <c r="HT1601" s="73"/>
      <c r="HU1601" s="73"/>
      <c r="HV1601" s="73"/>
      <c r="HW1601" s="73"/>
      <c r="HX1601" s="73"/>
      <c r="HY1601" s="73"/>
      <c r="HZ1601" s="73"/>
      <c r="IA1601" s="73"/>
      <c r="IB1601" s="73"/>
      <c r="IC1601" s="73"/>
      <c r="ID1601" s="73"/>
      <c r="IE1601" s="73"/>
      <c r="IF1601" s="73"/>
      <c r="IG1601" s="73"/>
      <c r="IH1601" s="73"/>
      <c r="II1601" s="73"/>
      <c r="IJ1601" s="73"/>
      <c r="IK1601" s="73"/>
      <c r="IL1601" s="73"/>
      <c r="IM1601" s="73"/>
      <c r="IN1601" s="73"/>
      <c r="IO1601" s="73"/>
      <c r="IP1601" s="73"/>
      <c r="IQ1601" s="73"/>
      <c r="IR1601" s="73"/>
      <c r="IS1601" s="73"/>
      <c r="IT1601" s="73"/>
      <c r="IU1601" s="73"/>
      <c r="IV1601" s="73"/>
      <c r="IW1601" s="73"/>
      <c r="IX1601" s="73"/>
      <c r="IY1601" s="73"/>
      <c r="IZ1601" s="73"/>
      <c r="JA1601" s="73"/>
      <c r="JB1601" s="73"/>
      <c r="JC1601" s="73"/>
    </row>
    <row r="1602" spans="2:263" s="72" customFormat="1">
      <c r="B1602" s="73"/>
      <c r="C1602" s="73"/>
      <c r="D1602" s="73"/>
      <c r="E1602" s="73"/>
      <c r="F1602" s="73"/>
      <c r="G1602" s="73"/>
      <c r="H1602" s="73"/>
      <c r="I1602" s="73"/>
      <c r="J1602" s="73"/>
      <c r="K1602" s="73"/>
      <c r="L1602" s="73"/>
      <c r="M1602" s="73"/>
      <c r="N1602" s="73"/>
      <c r="O1602" s="73"/>
      <c r="P1602" s="73"/>
      <c r="Q1602" s="73"/>
      <c r="R1602" s="73"/>
      <c r="S1602" s="73"/>
      <c r="T1602" s="73"/>
      <c r="U1602" s="73"/>
      <c r="V1602" s="73"/>
      <c r="W1602" s="73"/>
      <c r="GL1602" s="73"/>
      <c r="GM1602" s="73"/>
      <c r="GN1602" s="73"/>
      <c r="GO1602" s="73"/>
      <c r="GP1602" s="73"/>
      <c r="GQ1602" s="73"/>
      <c r="GR1602" s="73"/>
      <c r="GS1602" s="73"/>
      <c r="GT1602" s="73"/>
      <c r="GU1602" s="73"/>
      <c r="GV1602" s="73"/>
      <c r="GW1602" s="73"/>
      <c r="GX1602" s="73"/>
      <c r="GY1602" s="73"/>
      <c r="GZ1602" s="73"/>
      <c r="HA1602" s="73"/>
      <c r="HB1602" s="73"/>
      <c r="HC1602" s="73"/>
      <c r="HD1602" s="73"/>
      <c r="HE1602" s="73"/>
      <c r="HF1602" s="73"/>
      <c r="HG1602" s="73"/>
      <c r="HH1602" s="73"/>
      <c r="HI1602" s="73"/>
      <c r="HJ1602" s="73"/>
      <c r="HK1602" s="73"/>
      <c r="HL1602" s="73"/>
      <c r="HM1602" s="73"/>
      <c r="HN1602" s="73"/>
      <c r="HO1602" s="73"/>
      <c r="HP1602" s="73"/>
      <c r="HQ1602" s="73"/>
      <c r="HR1602" s="73"/>
      <c r="HS1602" s="73"/>
      <c r="HT1602" s="73"/>
      <c r="HU1602" s="73"/>
      <c r="HV1602" s="73"/>
      <c r="HW1602" s="73"/>
      <c r="HX1602" s="73"/>
      <c r="HY1602" s="73"/>
      <c r="HZ1602" s="73"/>
      <c r="IA1602" s="73"/>
      <c r="IB1602" s="73"/>
      <c r="IC1602" s="73"/>
      <c r="ID1602" s="73"/>
      <c r="IE1602" s="73"/>
      <c r="IF1602" s="73"/>
      <c r="IG1602" s="73"/>
      <c r="IH1602" s="73"/>
      <c r="II1602" s="73"/>
      <c r="IJ1602" s="73"/>
      <c r="IK1602" s="73"/>
      <c r="IL1602" s="73"/>
      <c r="IM1602" s="73"/>
      <c r="IN1602" s="73"/>
      <c r="IO1602" s="73"/>
      <c r="IP1602" s="73"/>
      <c r="IQ1602" s="73"/>
      <c r="IR1602" s="73"/>
      <c r="IS1602" s="73"/>
      <c r="IT1602" s="73"/>
      <c r="IU1602" s="73"/>
      <c r="IV1602" s="73"/>
      <c r="IW1602" s="73"/>
      <c r="IX1602" s="73"/>
      <c r="IY1602" s="73"/>
      <c r="IZ1602" s="73"/>
      <c r="JA1602" s="73"/>
      <c r="JB1602" s="73"/>
      <c r="JC1602" s="73"/>
    </row>
    <row r="1603" spans="2:263" s="72" customFormat="1">
      <c r="B1603" s="73"/>
      <c r="C1603" s="73"/>
      <c r="D1603" s="73"/>
      <c r="E1603" s="73"/>
      <c r="F1603" s="73"/>
      <c r="G1603" s="73"/>
      <c r="H1603" s="73"/>
      <c r="I1603" s="73"/>
      <c r="J1603" s="73"/>
      <c r="K1603" s="73"/>
      <c r="L1603" s="73"/>
      <c r="M1603" s="73"/>
      <c r="N1603" s="73"/>
      <c r="O1603" s="73"/>
      <c r="P1603" s="73"/>
      <c r="Q1603" s="73"/>
      <c r="R1603" s="73"/>
      <c r="S1603" s="73"/>
      <c r="T1603" s="73"/>
      <c r="U1603" s="73"/>
      <c r="V1603" s="73"/>
      <c r="W1603" s="73"/>
      <c r="GL1603" s="73"/>
      <c r="GM1603" s="73"/>
      <c r="GN1603" s="73"/>
      <c r="GO1603" s="73"/>
      <c r="GP1603" s="73"/>
      <c r="GQ1603" s="73"/>
      <c r="GR1603" s="73"/>
      <c r="GS1603" s="73"/>
      <c r="GT1603" s="73"/>
      <c r="GU1603" s="73"/>
      <c r="GV1603" s="73"/>
      <c r="GW1603" s="73"/>
      <c r="GX1603" s="73"/>
      <c r="GY1603" s="73"/>
      <c r="GZ1603" s="73"/>
      <c r="HA1603" s="73"/>
      <c r="HB1603" s="73"/>
      <c r="HC1603" s="73"/>
      <c r="HD1603" s="73"/>
      <c r="HE1603" s="73"/>
      <c r="HF1603" s="73"/>
      <c r="HG1603" s="73"/>
      <c r="HH1603" s="73"/>
      <c r="HI1603" s="73"/>
      <c r="HJ1603" s="73"/>
      <c r="HK1603" s="73"/>
      <c r="HL1603" s="73"/>
      <c r="HM1603" s="73"/>
      <c r="HN1603" s="73"/>
      <c r="HO1603" s="73"/>
      <c r="HP1603" s="73"/>
      <c r="HQ1603" s="73"/>
      <c r="HR1603" s="73"/>
      <c r="HS1603" s="73"/>
      <c r="HT1603" s="73"/>
      <c r="HU1603" s="73"/>
      <c r="HV1603" s="73"/>
      <c r="HW1603" s="73"/>
      <c r="HX1603" s="73"/>
      <c r="HY1603" s="73"/>
      <c r="HZ1603" s="73"/>
      <c r="IA1603" s="73"/>
      <c r="IB1603" s="73"/>
      <c r="IC1603" s="73"/>
      <c r="ID1603" s="73"/>
      <c r="IE1603" s="73"/>
      <c r="IF1603" s="73"/>
      <c r="IG1603" s="73"/>
      <c r="IH1603" s="73"/>
      <c r="II1603" s="73"/>
      <c r="IJ1603" s="73"/>
      <c r="IK1603" s="73"/>
      <c r="IL1603" s="73"/>
      <c r="IM1603" s="73"/>
      <c r="IN1603" s="73"/>
      <c r="IO1603" s="73"/>
      <c r="IP1603" s="73"/>
      <c r="IQ1603" s="73"/>
      <c r="IR1603" s="73"/>
      <c r="IS1603" s="73"/>
      <c r="IT1603" s="73"/>
      <c r="IU1603" s="73"/>
      <c r="IV1603" s="73"/>
      <c r="IW1603" s="73"/>
      <c r="IX1603" s="73"/>
      <c r="IY1603" s="73"/>
      <c r="IZ1603" s="73"/>
      <c r="JA1603" s="73"/>
      <c r="JB1603" s="73"/>
      <c r="JC1603" s="73"/>
    </row>
    <row r="1604" spans="2:263" s="72" customFormat="1">
      <c r="B1604" s="73"/>
      <c r="C1604" s="73"/>
      <c r="D1604" s="73"/>
      <c r="E1604" s="73"/>
      <c r="F1604" s="73"/>
      <c r="G1604" s="73"/>
      <c r="H1604" s="73"/>
      <c r="I1604" s="73"/>
      <c r="J1604" s="73"/>
      <c r="K1604" s="73"/>
      <c r="L1604" s="73"/>
      <c r="M1604" s="73"/>
      <c r="N1604" s="73"/>
      <c r="O1604" s="73"/>
      <c r="P1604" s="73"/>
      <c r="Q1604" s="73"/>
      <c r="R1604" s="73"/>
      <c r="S1604" s="73"/>
      <c r="T1604" s="73"/>
      <c r="U1604" s="73"/>
      <c r="V1604" s="73"/>
      <c r="W1604" s="73"/>
      <c r="GL1604" s="73"/>
      <c r="GM1604" s="73"/>
      <c r="GN1604" s="73"/>
      <c r="GO1604" s="73"/>
      <c r="GP1604" s="73"/>
      <c r="GQ1604" s="73"/>
      <c r="GR1604" s="73"/>
      <c r="GS1604" s="73"/>
      <c r="GT1604" s="73"/>
      <c r="GU1604" s="73"/>
      <c r="GV1604" s="73"/>
      <c r="GW1604" s="73"/>
      <c r="GX1604" s="73"/>
      <c r="GY1604" s="73"/>
      <c r="GZ1604" s="73"/>
      <c r="HA1604" s="73"/>
      <c r="HB1604" s="73"/>
      <c r="HC1604" s="73"/>
      <c r="HD1604" s="73"/>
      <c r="HE1604" s="73"/>
      <c r="HF1604" s="73"/>
      <c r="HG1604" s="73"/>
      <c r="HH1604" s="73"/>
      <c r="HI1604" s="73"/>
      <c r="HJ1604" s="73"/>
      <c r="HK1604" s="73"/>
      <c r="HL1604" s="73"/>
      <c r="HM1604" s="73"/>
      <c r="HN1604" s="73"/>
      <c r="HO1604" s="73"/>
      <c r="HP1604" s="73"/>
      <c r="HQ1604" s="73"/>
      <c r="HR1604" s="73"/>
      <c r="HS1604" s="73"/>
      <c r="HT1604" s="73"/>
      <c r="HU1604" s="73"/>
      <c r="HV1604" s="73"/>
      <c r="HW1604" s="73"/>
      <c r="HX1604" s="73"/>
      <c r="HY1604" s="73"/>
      <c r="HZ1604" s="73"/>
      <c r="IA1604" s="73"/>
      <c r="IB1604" s="73"/>
      <c r="IC1604" s="73"/>
      <c r="ID1604" s="73"/>
      <c r="IE1604" s="73"/>
      <c r="IF1604" s="73"/>
      <c r="IG1604" s="73"/>
      <c r="IH1604" s="73"/>
      <c r="II1604" s="73"/>
      <c r="IJ1604" s="73"/>
      <c r="IK1604" s="73"/>
      <c r="IL1604" s="73"/>
      <c r="IM1604" s="73"/>
      <c r="IN1604" s="73"/>
      <c r="IO1604" s="73"/>
      <c r="IP1604" s="73"/>
      <c r="IQ1604" s="73"/>
      <c r="IR1604" s="73"/>
      <c r="IS1604" s="73"/>
      <c r="IT1604" s="73"/>
      <c r="IU1604" s="73"/>
      <c r="IV1604" s="73"/>
      <c r="IW1604" s="73"/>
      <c r="IX1604" s="73"/>
      <c r="IY1604" s="73"/>
      <c r="IZ1604" s="73"/>
      <c r="JA1604" s="73"/>
      <c r="JB1604" s="73"/>
      <c r="JC1604" s="73"/>
    </row>
    <row r="1605" spans="2:263" s="72" customFormat="1">
      <c r="B1605" s="73"/>
      <c r="C1605" s="73"/>
      <c r="D1605" s="73"/>
      <c r="E1605" s="73"/>
      <c r="F1605" s="73"/>
      <c r="G1605" s="73"/>
      <c r="H1605" s="73"/>
      <c r="I1605" s="73"/>
      <c r="J1605" s="73"/>
      <c r="K1605" s="73"/>
      <c r="L1605" s="73"/>
      <c r="M1605" s="73"/>
      <c r="N1605" s="73"/>
      <c r="O1605" s="73"/>
      <c r="P1605" s="73"/>
      <c r="Q1605" s="73"/>
      <c r="R1605" s="73"/>
      <c r="S1605" s="73"/>
      <c r="T1605" s="73"/>
      <c r="U1605" s="73"/>
      <c r="V1605" s="73"/>
      <c r="W1605" s="73"/>
      <c r="GL1605" s="73"/>
      <c r="GM1605" s="73"/>
      <c r="GN1605" s="73"/>
      <c r="GO1605" s="73"/>
      <c r="GP1605" s="73"/>
      <c r="GQ1605" s="73"/>
      <c r="GR1605" s="73"/>
      <c r="GS1605" s="73"/>
      <c r="GT1605" s="73"/>
      <c r="GU1605" s="73"/>
      <c r="GV1605" s="73"/>
      <c r="GW1605" s="73"/>
      <c r="GX1605" s="73"/>
      <c r="GY1605" s="73"/>
      <c r="GZ1605" s="73"/>
      <c r="HA1605" s="73"/>
      <c r="HB1605" s="73"/>
      <c r="HC1605" s="73"/>
      <c r="HD1605" s="73"/>
      <c r="HE1605" s="73"/>
      <c r="HF1605" s="73"/>
      <c r="HG1605" s="73"/>
      <c r="HH1605" s="73"/>
      <c r="HI1605" s="73"/>
      <c r="HJ1605" s="73"/>
      <c r="HK1605" s="73"/>
      <c r="HL1605" s="73"/>
      <c r="HM1605" s="73"/>
      <c r="HN1605" s="73"/>
      <c r="HO1605" s="73"/>
      <c r="HP1605" s="73"/>
      <c r="HQ1605" s="73"/>
      <c r="HR1605" s="73"/>
      <c r="HS1605" s="73"/>
      <c r="HT1605" s="73"/>
      <c r="HU1605" s="73"/>
      <c r="HV1605" s="73"/>
      <c r="HW1605" s="73"/>
      <c r="HX1605" s="73"/>
      <c r="HY1605" s="73"/>
      <c r="HZ1605" s="73"/>
      <c r="IA1605" s="73"/>
      <c r="IB1605" s="73"/>
      <c r="IC1605" s="73"/>
      <c r="ID1605" s="73"/>
      <c r="IE1605" s="73"/>
      <c r="IF1605" s="73"/>
      <c r="IG1605" s="73"/>
      <c r="IH1605" s="73"/>
      <c r="II1605" s="73"/>
      <c r="IJ1605" s="73"/>
      <c r="IK1605" s="73"/>
      <c r="IL1605" s="73"/>
      <c r="IM1605" s="73"/>
      <c r="IN1605" s="73"/>
      <c r="IO1605" s="73"/>
      <c r="IP1605" s="73"/>
      <c r="IQ1605" s="73"/>
      <c r="IR1605" s="73"/>
      <c r="IS1605" s="73"/>
      <c r="IT1605" s="73"/>
      <c r="IU1605" s="73"/>
      <c r="IV1605" s="73"/>
      <c r="IW1605" s="73"/>
      <c r="IX1605" s="73"/>
      <c r="IY1605" s="73"/>
      <c r="IZ1605" s="73"/>
      <c r="JA1605" s="73"/>
      <c r="JB1605" s="73"/>
      <c r="JC1605" s="73"/>
    </row>
    <row r="1606" spans="2:263" s="72" customFormat="1">
      <c r="B1606" s="73"/>
      <c r="C1606" s="73"/>
      <c r="D1606" s="73"/>
      <c r="E1606" s="73"/>
      <c r="F1606" s="73"/>
      <c r="G1606" s="73"/>
      <c r="H1606" s="73"/>
      <c r="I1606" s="73"/>
      <c r="J1606" s="73"/>
      <c r="K1606" s="73"/>
      <c r="L1606" s="73"/>
      <c r="M1606" s="73"/>
      <c r="N1606" s="73"/>
      <c r="O1606" s="73"/>
      <c r="P1606" s="73"/>
      <c r="Q1606" s="73"/>
      <c r="R1606" s="73"/>
      <c r="S1606" s="73"/>
      <c r="T1606" s="73"/>
      <c r="U1606" s="73"/>
      <c r="V1606" s="73"/>
      <c r="W1606" s="73"/>
      <c r="GL1606" s="73"/>
      <c r="GM1606" s="73"/>
      <c r="GN1606" s="73"/>
      <c r="GO1606" s="73"/>
      <c r="GP1606" s="73"/>
      <c r="GQ1606" s="73"/>
      <c r="GR1606" s="73"/>
      <c r="GS1606" s="73"/>
      <c r="GT1606" s="73"/>
      <c r="GU1606" s="73"/>
      <c r="GV1606" s="73"/>
      <c r="GW1606" s="73"/>
      <c r="GX1606" s="73"/>
      <c r="GY1606" s="73"/>
      <c r="GZ1606" s="73"/>
      <c r="HA1606" s="73"/>
      <c r="HB1606" s="73"/>
      <c r="HC1606" s="73"/>
      <c r="HD1606" s="73"/>
      <c r="HE1606" s="73"/>
      <c r="HF1606" s="73"/>
      <c r="HG1606" s="73"/>
      <c r="HH1606" s="73"/>
      <c r="HI1606" s="73"/>
      <c r="HJ1606" s="73"/>
      <c r="HK1606" s="73"/>
      <c r="HL1606" s="73"/>
      <c r="HM1606" s="73"/>
      <c r="HN1606" s="73"/>
      <c r="HO1606" s="73"/>
      <c r="HP1606" s="73"/>
      <c r="HQ1606" s="73"/>
      <c r="HR1606" s="73"/>
      <c r="HS1606" s="73"/>
      <c r="HT1606" s="73"/>
      <c r="HU1606" s="73"/>
      <c r="HV1606" s="73"/>
      <c r="HW1606" s="73"/>
      <c r="HX1606" s="73"/>
      <c r="HY1606" s="73"/>
      <c r="HZ1606" s="73"/>
      <c r="IA1606" s="73"/>
      <c r="IB1606" s="73"/>
      <c r="IC1606" s="73"/>
      <c r="ID1606" s="73"/>
      <c r="IE1606" s="73"/>
      <c r="IF1606" s="73"/>
      <c r="IG1606" s="73"/>
      <c r="IH1606" s="73"/>
      <c r="II1606" s="73"/>
      <c r="IJ1606" s="73"/>
      <c r="IK1606" s="73"/>
      <c r="IL1606" s="73"/>
      <c r="IM1606" s="73"/>
      <c r="IN1606" s="73"/>
      <c r="IO1606" s="73"/>
      <c r="IP1606" s="73"/>
      <c r="IQ1606" s="73"/>
      <c r="IR1606" s="73"/>
      <c r="IS1606" s="73"/>
      <c r="IT1606" s="73"/>
      <c r="IU1606" s="73"/>
      <c r="IV1606" s="73"/>
      <c r="IW1606" s="73"/>
      <c r="IX1606" s="73"/>
      <c r="IY1606" s="73"/>
      <c r="IZ1606" s="73"/>
      <c r="JA1606" s="73"/>
      <c r="JB1606" s="73"/>
      <c r="JC1606" s="73"/>
    </row>
    <row r="1607" spans="2:263" s="72" customFormat="1">
      <c r="B1607" s="73"/>
      <c r="C1607" s="73"/>
      <c r="D1607" s="73"/>
      <c r="E1607" s="73"/>
      <c r="F1607" s="73"/>
      <c r="G1607" s="73"/>
      <c r="H1607" s="73"/>
      <c r="I1607" s="73"/>
      <c r="J1607" s="73"/>
      <c r="K1607" s="73"/>
      <c r="L1607" s="73"/>
      <c r="M1607" s="73"/>
      <c r="N1607" s="73"/>
      <c r="O1607" s="73"/>
      <c r="P1607" s="73"/>
      <c r="Q1607" s="73"/>
      <c r="R1607" s="73"/>
      <c r="S1607" s="73"/>
      <c r="T1607" s="73"/>
      <c r="U1607" s="73"/>
      <c r="V1607" s="73"/>
      <c r="W1607" s="73"/>
      <c r="GL1607" s="73"/>
      <c r="GM1607" s="73"/>
      <c r="GN1607" s="73"/>
      <c r="GO1607" s="73"/>
      <c r="GP1607" s="73"/>
      <c r="GQ1607" s="73"/>
      <c r="GR1607" s="73"/>
      <c r="GS1607" s="73"/>
      <c r="GT1607" s="73"/>
      <c r="GU1607" s="73"/>
      <c r="GV1607" s="73"/>
      <c r="GW1607" s="73"/>
      <c r="GX1607" s="73"/>
      <c r="GY1607" s="73"/>
      <c r="GZ1607" s="73"/>
      <c r="HA1607" s="73"/>
      <c r="HB1607" s="73"/>
      <c r="HC1607" s="73"/>
      <c r="HD1607" s="73"/>
      <c r="HE1607" s="73"/>
      <c r="HF1607" s="73"/>
      <c r="HG1607" s="73"/>
      <c r="HH1607" s="73"/>
      <c r="HI1607" s="73"/>
      <c r="HJ1607" s="73"/>
      <c r="HK1607" s="73"/>
      <c r="HL1607" s="73"/>
      <c r="HM1607" s="73"/>
      <c r="HN1607" s="73"/>
      <c r="HO1607" s="73"/>
      <c r="HP1607" s="73"/>
      <c r="HQ1607" s="73"/>
      <c r="HR1607" s="73"/>
      <c r="HS1607" s="73"/>
      <c r="HT1607" s="73"/>
      <c r="HU1607" s="73"/>
      <c r="HV1607" s="73"/>
      <c r="HW1607" s="73"/>
      <c r="HX1607" s="73"/>
      <c r="HY1607" s="73"/>
      <c r="HZ1607" s="73"/>
      <c r="IA1607" s="73"/>
      <c r="IB1607" s="73"/>
      <c r="IC1607" s="73"/>
      <c r="ID1607" s="73"/>
      <c r="IE1607" s="73"/>
      <c r="IF1607" s="73"/>
      <c r="IG1607" s="73"/>
      <c r="IH1607" s="73"/>
      <c r="II1607" s="73"/>
      <c r="IJ1607" s="73"/>
      <c r="IK1607" s="73"/>
      <c r="IL1607" s="73"/>
      <c r="IM1607" s="73"/>
      <c r="IN1607" s="73"/>
      <c r="IO1607" s="73"/>
      <c r="IP1607" s="73"/>
      <c r="IQ1607" s="73"/>
      <c r="IR1607" s="73"/>
      <c r="IS1607" s="73"/>
      <c r="IT1607" s="73"/>
      <c r="IU1607" s="73"/>
      <c r="IV1607" s="73"/>
      <c r="IW1607" s="73"/>
      <c r="IX1607" s="73"/>
      <c r="IY1607" s="73"/>
      <c r="IZ1607" s="73"/>
      <c r="JA1607" s="73"/>
      <c r="JB1607" s="73"/>
      <c r="JC1607" s="73"/>
    </row>
    <row r="1608" spans="2:263" s="72" customFormat="1">
      <c r="B1608" s="73"/>
      <c r="C1608" s="73"/>
      <c r="D1608" s="73"/>
      <c r="E1608" s="73"/>
      <c r="F1608" s="73"/>
      <c r="G1608" s="73"/>
      <c r="H1608" s="73"/>
      <c r="I1608" s="73"/>
      <c r="J1608" s="73"/>
      <c r="K1608" s="73"/>
      <c r="L1608" s="73"/>
      <c r="M1608" s="73"/>
      <c r="N1608" s="73"/>
      <c r="O1608" s="73"/>
      <c r="P1608" s="73"/>
      <c r="Q1608" s="73"/>
      <c r="R1608" s="73"/>
      <c r="S1608" s="73"/>
      <c r="T1608" s="73"/>
      <c r="U1608" s="73"/>
      <c r="V1608" s="73"/>
      <c r="W1608" s="73"/>
      <c r="GL1608" s="73"/>
      <c r="GM1608" s="73"/>
      <c r="GN1608" s="73"/>
      <c r="GO1608" s="73"/>
      <c r="GP1608" s="73"/>
      <c r="GQ1608" s="73"/>
      <c r="GR1608" s="73"/>
      <c r="GS1608" s="73"/>
      <c r="GT1608" s="73"/>
      <c r="GU1608" s="73"/>
      <c r="GV1608" s="73"/>
      <c r="GW1608" s="73"/>
      <c r="GX1608" s="73"/>
      <c r="GY1608" s="73"/>
      <c r="GZ1608" s="73"/>
      <c r="HA1608" s="73"/>
      <c r="HB1608" s="73"/>
      <c r="HC1608" s="73"/>
      <c r="HD1608" s="73"/>
      <c r="HE1608" s="73"/>
      <c r="HF1608" s="73"/>
      <c r="HG1608" s="73"/>
      <c r="HH1608" s="73"/>
      <c r="HI1608" s="73"/>
      <c r="HJ1608" s="73"/>
      <c r="HK1608" s="73"/>
      <c r="HL1608" s="73"/>
      <c r="HM1608" s="73"/>
      <c r="HN1608" s="73"/>
      <c r="HO1608" s="73"/>
      <c r="HP1608" s="73"/>
      <c r="HQ1608" s="73"/>
      <c r="HR1608" s="73"/>
      <c r="HS1608" s="73"/>
      <c r="HT1608" s="73"/>
      <c r="HU1608" s="73"/>
      <c r="HV1608" s="73"/>
      <c r="HW1608" s="73"/>
      <c r="HX1608" s="73"/>
      <c r="HY1608" s="73"/>
      <c r="HZ1608" s="73"/>
      <c r="IA1608" s="73"/>
      <c r="IB1608" s="73"/>
      <c r="IC1608" s="73"/>
      <c r="ID1608" s="73"/>
      <c r="IE1608" s="73"/>
      <c r="IF1608" s="73"/>
      <c r="IG1608" s="73"/>
      <c r="IH1608" s="73"/>
      <c r="II1608" s="73"/>
      <c r="IJ1608" s="73"/>
      <c r="IK1608" s="73"/>
      <c r="IL1608" s="73"/>
      <c r="IM1608" s="73"/>
      <c r="IN1608" s="73"/>
      <c r="IO1608" s="73"/>
      <c r="IP1608" s="73"/>
      <c r="IQ1608" s="73"/>
      <c r="IR1608" s="73"/>
      <c r="IS1608" s="73"/>
      <c r="IT1608" s="73"/>
      <c r="IU1608" s="73"/>
      <c r="IV1608" s="73"/>
      <c r="IW1608" s="73"/>
      <c r="IX1608" s="73"/>
      <c r="IY1608" s="73"/>
      <c r="IZ1608" s="73"/>
      <c r="JA1608" s="73"/>
      <c r="JB1608" s="73"/>
      <c r="JC1608" s="73"/>
    </row>
    <row r="1609" spans="2:263" s="72" customFormat="1">
      <c r="B1609" s="73"/>
      <c r="C1609" s="73"/>
      <c r="D1609" s="73"/>
      <c r="E1609" s="73"/>
      <c r="F1609" s="73"/>
      <c r="G1609" s="73"/>
      <c r="H1609" s="73"/>
      <c r="I1609" s="73"/>
      <c r="J1609" s="73"/>
      <c r="K1609" s="73"/>
      <c r="L1609" s="73"/>
      <c r="M1609" s="73"/>
      <c r="N1609" s="73"/>
      <c r="O1609" s="73"/>
      <c r="P1609" s="73"/>
      <c r="Q1609" s="73"/>
      <c r="R1609" s="73"/>
      <c r="S1609" s="73"/>
      <c r="T1609" s="73"/>
      <c r="U1609" s="73"/>
      <c r="V1609" s="73"/>
      <c r="W1609" s="73"/>
      <c r="GL1609" s="73"/>
      <c r="GM1609" s="73"/>
      <c r="GN1609" s="73"/>
      <c r="GO1609" s="73"/>
      <c r="GP1609" s="73"/>
      <c r="GQ1609" s="73"/>
      <c r="GR1609" s="73"/>
      <c r="GS1609" s="73"/>
      <c r="GT1609" s="73"/>
      <c r="GU1609" s="73"/>
      <c r="GV1609" s="73"/>
      <c r="GW1609" s="73"/>
      <c r="GX1609" s="73"/>
      <c r="GY1609" s="73"/>
      <c r="GZ1609" s="73"/>
      <c r="HA1609" s="73"/>
      <c r="HB1609" s="73"/>
      <c r="HC1609" s="73"/>
      <c r="HD1609" s="73"/>
      <c r="HE1609" s="73"/>
      <c r="HF1609" s="73"/>
      <c r="HG1609" s="73"/>
      <c r="HH1609" s="73"/>
      <c r="HI1609" s="73"/>
      <c r="HJ1609" s="73"/>
      <c r="HK1609" s="73"/>
      <c r="HL1609" s="73"/>
      <c r="HM1609" s="73"/>
      <c r="HN1609" s="73"/>
      <c r="HO1609" s="73"/>
      <c r="HP1609" s="73"/>
      <c r="HQ1609" s="73"/>
      <c r="HR1609" s="73"/>
      <c r="HS1609" s="73"/>
      <c r="HT1609" s="73"/>
      <c r="HU1609" s="73"/>
      <c r="HV1609" s="73"/>
      <c r="HW1609" s="73"/>
      <c r="HX1609" s="73"/>
      <c r="HY1609" s="73"/>
      <c r="HZ1609" s="73"/>
      <c r="IA1609" s="73"/>
      <c r="IB1609" s="73"/>
      <c r="IC1609" s="73"/>
      <c r="ID1609" s="73"/>
      <c r="IE1609" s="73"/>
      <c r="IF1609" s="73"/>
      <c r="IG1609" s="73"/>
      <c r="IH1609" s="73"/>
      <c r="II1609" s="73"/>
      <c r="IJ1609" s="73"/>
      <c r="IK1609" s="73"/>
      <c r="IL1609" s="73"/>
      <c r="IM1609" s="73"/>
      <c r="IN1609" s="73"/>
      <c r="IO1609" s="73"/>
      <c r="IP1609" s="73"/>
      <c r="IQ1609" s="73"/>
      <c r="IR1609" s="73"/>
      <c r="IS1609" s="73"/>
      <c r="IT1609" s="73"/>
      <c r="IU1609" s="73"/>
      <c r="IV1609" s="73"/>
      <c r="IW1609" s="73"/>
      <c r="IX1609" s="73"/>
      <c r="IY1609" s="73"/>
      <c r="IZ1609" s="73"/>
      <c r="JA1609" s="73"/>
      <c r="JB1609" s="73"/>
      <c r="JC1609" s="73"/>
    </row>
    <row r="1610" spans="2:263" s="72" customFormat="1">
      <c r="B1610" s="73"/>
      <c r="C1610" s="73"/>
      <c r="D1610" s="73"/>
      <c r="E1610" s="73"/>
      <c r="F1610" s="73"/>
      <c r="G1610" s="73"/>
      <c r="H1610" s="73"/>
      <c r="I1610" s="73"/>
      <c r="J1610" s="73"/>
      <c r="K1610" s="73"/>
      <c r="L1610" s="73"/>
      <c r="M1610" s="73"/>
      <c r="N1610" s="73"/>
      <c r="O1610" s="73"/>
      <c r="P1610" s="73"/>
      <c r="Q1610" s="73"/>
      <c r="R1610" s="73"/>
      <c r="S1610" s="73"/>
      <c r="T1610" s="73"/>
      <c r="U1610" s="73"/>
      <c r="V1610" s="73"/>
      <c r="W1610" s="73"/>
      <c r="GL1610" s="73"/>
      <c r="GM1610" s="73"/>
      <c r="GN1610" s="73"/>
      <c r="GO1610" s="73"/>
      <c r="GP1610" s="73"/>
      <c r="GQ1610" s="73"/>
      <c r="GR1610" s="73"/>
      <c r="GS1610" s="73"/>
      <c r="GT1610" s="73"/>
      <c r="GU1610" s="73"/>
      <c r="GV1610" s="73"/>
      <c r="GW1610" s="73"/>
      <c r="GX1610" s="73"/>
      <c r="GY1610" s="73"/>
      <c r="GZ1610" s="73"/>
      <c r="HA1610" s="73"/>
      <c r="HB1610" s="73"/>
      <c r="HC1610" s="73"/>
      <c r="HD1610" s="73"/>
      <c r="HE1610" s="73"/>
      <c r="HF1610" s="73"/>
      <c r="HG1610" s="73"/>
      <c r="HH1610" s="73"/>
      <c r="HI1610" s="73"/>
      <c r="HJ1610" s="73"/>
      <c r="HK1610" s="73"/>
      <c r="HL1610" s="73"/>
      <c r="HM1610" s="73"/>
      <c r="HN1610" s="73"/>
      <c r="HO1610" s="73"/>
      <c r="HP1610" s="73"/>
      <c r="HQ1610" s="73"/>
      <c r="HR1610" s="73"/>
      <c r="HS1610" s="73"/>
      <c r="HT1610" s="73"/>
      <c r="HU1610" s="73"/>
      <c r="HV1610" s="73"/>
      <c r="HW1610" s="73"/>
      <c r="HX1610" s="73"/>
      <c r="HY1610" s="73"/>
      <c r="HZ1610" s="73"/>
      <c r="IA1610" s="73"/>
      <c r="IB1610" s="73"/>
      <c r="IC1610" s="73"/>
      <c r="ID1610" s="73"/>
      <c r="IE1610" s="73"/>
      <c r="IF1610" s="73"/>
      <c r="IG1610" s="73"/>
      <c r="IH1610" s="73"/>
      <c r="II1610" s="73"/>
      <c r="IJ1610" s="73"/>
      <c r="IK1610" s="73"/>
      <c r="IL1610" s="73"/>
      <c r="IM1610" s="73"/>
      <c r="IN1610" s="73"/>
      <c r="IO1610" s="73"/>
      <c r="IP1610" s="73"/>
      <c r="IQ1610" s="73"/>
      <c r="IR1610" s="73"/>
      <c r="IS1610" s="73"/>
      <c r="IT1610" s="73"/>
      <c r="IU1610" s="73"/>
      <c r="IV1610" s="73"/>
      <c r="IW1610" s="73"/>
      <c r="IX1610" s="73"/>
      <c r="IY1610" s="73"/>
      <c r="IZ1610" s="73"/>
      <c r="JA1610" s="73"/>
      <c r="JB1610" s="73"/>
      <c r="JC1610" s="73"/>
    </row>
    <row r="1611" spans="2:263" s="72" customFormat="1">
      <c r="B1611" s="73"/>
      <c r="C1611" s="73"/>
      <c r="D1611" s="73"/>
      <c r="E1611" s="73"/>
      <c r="F1611" s="73"/>
      <c r="G1611" s="73"/>
      <c r="H1611" s="73"/>
      <c r="I1611" s="73"/>
      <c r="J1611" s="73"/>
      <c r="K1611" s="73"/>
      <c r="L1611" s="73"/>
      <c r="M1611" s="73"/>
      <c r="N1611" s="73"/>
      <c r="O1611" s="73"/>
      <c r="P1611" s="73"/>
      <c r="Q1611" s="73"/>
      <c r="R1611" s="73"/>
      <c r="S1611" s="73"/>
      <c r="T1611" s="73"/>
      <c r="U1611" s="73"/>
      <c r="V1611" s="73"/>
      <c r="W1611" s="73"/>
      <c r="GL1611" s="73"/>
      <c r="GM1611" s="73"/>
      <c r="GN1611" s="73"/>
      <c r="GO1611" s="73"/>
      <c r="GP1611" s="73"/>
      <c r="GQ1611" s="73"/>
      <c r="GR1611" s="73"/>
      <c r="GS1611" s="73"/>
      <c r="GT1611" s="73"/>
      <c r="GU1611" s="73"/>
      <c r="GV1611" s="73"/>
      <c r="GW1611" s="73"/>
      <c r="GX1611" s="73"/>
      <c r="GY1611" s="73"/>
      <c r="GZ1611" s="73"/>
      <c r="HA1611" s="73"/>
      <c r="HB1611" s="73"/>
      <c r="HC1611" s="73"/>
      <c r="HD1611" s="73"/>
      <c r="HE1611" s="73"/>
      <c r="HF1611" s="73"/>
      <c r="HG1611" s="73"/>
      <c r="HH1611" s="73"/>
      <c r="HI1611" s="73"/>
      <c r="HJ1611" s="73"/>
      <c r="HK1611" s="73"/>
      <c r="HL1611" s="73"/>
      <c r="HM1611" s="73"/>
      <c r="HN1611" s="73"/>
      <c r="HO1611" s="73"/>
      <c r="HP1611" s="73"/>
      <c r="HQ1611" s="73"/>
      <c r="HR1611" s="73"/>
      <c r="HS1611" s="73"/>
      <c r="HT1611" s="73"/>
      <c r="HU1611" s="73"/>
      <c r="HV1611" s="73"/>
      <c r="HW1611" s="73"/>
      <c r="HX1611" s="73"/>
      <c r="HY1611" s="73"/>
      <c r="HZ1611" s="73"/>
      <c r="IA1611" s="73"/>
      <c r="IB1611" s="73"/>
      <c r="IC1611" s="73"/>
      <c r="ID1611" s="73"/>
      <c r="IE1611" s="73"/>
      <c r="IF1611" s="73"/>
      <c r="IG1611" s="73"/>
      <c r="IH1611" s="73"/>
      <c r="II1611" s="73"/>
      <c r="IJ1611" s="73"/>
      <c r="IK1611" s="73"/>
      <c r="IL1611" s="73"/>
      <c r="IM1611" s="73"/>
      <c r="IN1611" s="73"/>
      <c r="IO1611" s="73"/>
      <c r="IP1611" s="73"/>
      <c r="IQ1611" s="73"/>
      <c r="IR1611" s="73"/>
      <c r="IS1611" s="73"/>
      <c r="IT1611" s="73"/>
      <c r="IU1611" s="73"/>
      <c r="IV1611" s="73"/>
      <c r="IW1611" s="73"/>
      <c r="IX1611" s="73"/>
      <c r="IY1611" s="73"/>
      <c r="IZ1611" s="73"/>
      <c r="JA1611" s="73"/>
      <c r="JB1611" s="73"/>
      <c r="JC1611" s="73"/>
    </row>
    <row r="1612" spans="2:263" s="72" customFormat="1">
      <c r="B1612" s="73"/>
      <c r="C1612" s="73"/>
      <c r="D1612" s="73"/>
      <c r="E1612" s="73"/>
      <c r="F1612" s="73"/>
      <c r="G1612" s="73"/>
      <c r="H1612" s="73"/>
      <c r="I1612" s="73"/>
      <c r="J1612" s="73"/>
      <c r="K1612" s="73"/>
      <c r="L1612" s="73"/>
      <c r="M1612" s="73"/>
      <c r="N1612" s="73"/>
      <c r="O1612" s="73"/>
      <c r="P1612" s="73"/>
      <c r="Q1612" s="73"/>
      <c r="R1612" s="73"/>
      <c r="S1612" s="73"/>
      <c r="T1612" s="73"/>
      <c r="U1612" s="73"/>
      <c r="V1612" s="73"/>
      <c r="W1612" s="73"/>
      <c r="GL1612" s="73"/>
      <c r="GM1612" s="73"/>
      <c r="GN1612" s="73"/>
      <c r="GO1612" s="73"/>
      <c r="GP1612" s="73"/>
      <c r="GQ1612" s="73"/>
      <c r="GR1612" s="73"/>
      <c r="GS1612" s="73"/>
      <c r="GT1612" s="73"/>
      <c r="GU1612" s="73"/>
      <c r="GV1612" s="73"/>
      <c r="GW1612" s="73"/>
      <c r="GX1612" s="73"/>
      <c r="GY1612" s="73"/>
      <c r="GZ1612" s="73"/>
      <c r="HA1612" s="73"/>
      <c r="HB1612" s="73"/>
      <c r="HC1612" s="73"/>
      <c r="HD1612" s="73"/>
      <c r="HE1612" s="73"/>
      <c r="HF1612" s="73"/>
      <c r="HG1612" s="73"/>
      <c r="HH1612" s="73"/>
      <c r="HI1612" s="73"/>
      <c r="HJ1612" s="73"/>
      <c r="HK1612" s="73"/>
      <c r="HL1612" s="73"/>
      <c r="HM1612" s="73"/>
      <c r="HN1612" s="73"/>
      <c r="HO1612" s="73"/>
      <c r="HP1612" s="73"/>
      <c r="HQ1612" s="73"/>
      <c r="HR1612" s="73"/>
      <c r="HS1612" s="73"/>
      <c r="HT1612" s="73"/>
      <c r="HU1612" s="73"/>
      <c r="HV1612" s="73"/>
      <c r="HW1612" s="73"/>
      <c r="HX1612" s="73"/>
      <c r="HY1612" s="73"/>
      <c r="HZ1612" s="73"/>
      <c r="IA1612" s="73"/>
      <c r="IB1612" s="73"/>
      <c r="IC1612" s="73"/>
      <c r="ID1612" s="73"/>
      <c r="IE1612" s="73"/>
      <c r="IF1612" s="73"/>
      <c r="IG1612" s="73"/>
      <c r="IH1612" s="73"/>
      <c r="II1612" s="73"/>
      <c r="IJ1612" s="73"/>
      <c r="IK1612" s="73"/>
      <c r="IL1612" s="73"/>
      <c r="IM1612" s="73"/>
      <c r="IN1612" s="73"/>
      <c r="IO1612" s="73"/>
      <c r="IP1612" s="73"/>
      <c r="IQ1612" s="73"/>
      <c r="IR1612" s="73"/>
      <c r="IS1612" s="73"/>
      <c r="IT1612" s="73"/>
      <c r="IU1612" s="73"/>
      <c r="IV1612" s="73"/>
      <c r="IW1612" s="73"/>
      <c r="IX1612" s="73"/>
      <c r="IY1612" s="73"/>
      <c r="IZ1612" s="73"/>
      <c r="JA1612" s="73"/>
      <c r="JB1612" s="73"/>
      <c r="JC1612" s="73"/>
    </row>
    <row r="1613" spans="2:263" s="72" customFormat="1">
      <c r="B1613" s="73"/>
      <c r="C1613" s="73"/>
      <c r="D1613" s="73"/>
      <c r="E1613" s="73"/>
      <c r="F1613" s="73"/>
      <c r="G1613" s="73"/>
      <c r="H1613" s="73"/>
      <c r="I1613" s="73"/>
      <c r="J1613" s="73"/>
      <c r="K1613" s="73"/>
      <c r="L1613" s="73"/>
      <c r="M1613" s="73"/>
      <c r="N1613" s="73"/>
      <c r="O1613" s="73"/>
      <c r="P1613" s="73"/>
      <c r="Q1613" s="73"/>
      <c r="R1613" s="73"/>
      <c r="S1613" s="73"/>
      <c r="T1613" s="73"/>
      <c r="U1613" s="73"/>
      <c r="V1613" s="73"/>
      <c r="W1613" s="73"/>
      <c r="GL1613" s="73"/>
      <c r="GM1613" s="73"/>
      <c r="GN1613" s="73"/>
      <c r="GO1613" s="73"/>
      <c r="GP1613" s="73"/>
      <c r="GQ1613" s="73"/>
      <c r="GR1613" s="73"/>
      <c r="GS1613" s="73"/>
      <c r="GT1613" s="73"/>
      <c r="GU1613" s="73"/>
      <c r="GV1613" s="73"/>
      <c r="GW1613" s="73"/>
      <c r="GX1613" s="73"/>
      <c r="GY1613" s="73"/>
      <c r="GZ1613" s="73"/>
      <c r="HA1613" s="73"/>
      <c r="HB1613" s="73"/>
      <c r="HC1613" s="73"/>
      <c r="HD1613" s="73"/>
      <c r="HE1613" s="73"/>
      <c r="HF1613" s="73"/>
      <c r="HG1613" s="73"/>
      <c r="HH1613" s="73"/>
      <c r="HI1613" s="73"/>
      <c r="HJ1613" s="73"/>
      <c r="HK1613" s="73"/>
      <c r="HL1613" s="73"/>
      <c r="HM1613" s="73"/>
      <c r="HN1613" s="73"/>
      <c r="HO1613" s="73"/>
      <c r="HP1613" s="73"/>
      <c r="HQ1613" s="73"/>
      <c r="HR1613" s="73"/>
      <c r="HS1613" s="73"/>
      <c r="HT1613" s="73"/>
      <c r="HU1613" s="73"/>
      <c r="HV1613" s="73"/>
      <c r="HW1613" s="73"/>
      <c r="HX1613" s="73"/>
      <c r="HY1613" s="73"/>
      <c r="HZ1613" s="73"/>
      <c r="IA1613" s="73"/>
      <c r="IB1613" s="73"/>
      <c r="IC1613" s="73"/>
      <c r="ID1613" s="73"/>
      <c r="IE1613" s="73"/>
      <c r="IF1613" s="73"/>
      <c r="IG1613" s="73"/>
      <c r="IH1613" s="73"/>
      <c r="II1613" s="73"/>
      <c r="IJ1613" s="73"/>
      <c r="IK1613" s="73"/>
      <c r="IL1613" s="73"/>
      <c r="IM1613" s="73"/>
      <c r="IN1613" s="73"/>
      <c r="IO1613" s="73"/>
      <c r="IP1613" s="73"/>
      <c r="IQ1613" s="73"/>
      <c r="IR1613" s="73"/>
      <c r="IS1613" s="73"/>
      <c r="IT1613" s="73"/>
      <c r="IU1613" s="73"/>
      <c r="IV1613" s="73"/>
      <c r="IW1613" s="73"/>
      <c r="IX1613" s="73"/>
      <c r="IY1613" s="73"/>
      <c r="IZ1613" s="73"/>
      <c r="JA1613" s="73"/>
      <c r="JB1613" s="73"/>
      <c r="JC1613" s="73"/>
    </row>
    <row r="1614" spans="2:263" s="72" customFormat="1">
      <c r="B1614" s="73"/>
      <c r="C1614" s="73"/>
      <c r="D1614" s="73"/>
      <c r="E1614" s="73"/>
      <c r="F1614" s="73"/>
      <c r="G1614" s="73"/>
      <c r="H1614" s="73"/>
      <c r="I1614" s="73"/>
      <c r="J1614" s="73"/>
      <c r="K1614" s="73"/>
      <c r="L1614" s="73"/>
      <c r="M1614" s="73"/>
      <c r="N1614" s="73"/>
      <c r="O1614" s="73"/>
      <c r="P1614" s="73"/>
      <c r="Q1614" s="73"/>
      <c r="R1614" s="73"/>
      <c r="S1614" s="73"/>
      <c r="T1614" s="73"/>
      <c r="U1614" s="73"/>
      <c r="V1614" s="73"/>
      <c r="W1614" s="73"/>
      <c r="GL1614" s="73"/>
      <c r="GM1614" s="73"/>
      <c r="GN1614" s="73"/>
      <c r="GO1614" s="73"/>
      <c r="GP1614" s="73"/>
      <c r="GQ1614" s="73"/>
      <c r="GR1614" s="73"/>
      <c r="GS1614" s="73"/>
      <c r="GT1614" s="73"/>
      <c r="GU1614" s="73"/>
      <c r="GV1614" s="73"/>
      <c r="GW1614" s="73"/>
      <c r="GX1614" s="73"/>
      <c r="GY1614" s="73"/>
      <c r="GZ1614" s="73"/>
      <c r="HA1614" s="73"/>
      <c r="HB1614" s="73"/>
      <c r="HC1614" s="73"/>
      <c r="HD1614" s="73"/>
      <c r="HE1614" s="73"/>
      <c r="HF1614" s="73"/>
      <c r="HG1614" s="73"/>
      <c r="HH1614" s="73"/>
      <c r="HI1614" s="73"/>
      <c r="HJ1614" s="73"/>
      <c r="HK1614" s="73"/>
      <c r="HL1614" s="73"/>
      <c r="HM1614" s="73"/>
      <c r="HN1614" s="73"/>
      <c r="HO1614" s="73"/>
      <c r="HP1614" s="73"/>
      <c r="HQ1614" s="73"/>
      <c r="HR1614" s="73"/>
      <c r="HS1614" s="73"/>
      <c r="HT1614" s="73"/>
      <c r="HU1614" s="73"/>
      <c r="HV1614" s="73"/>
      <c r="HW1614" s="73"/>
      <c r="HX1614" s="73"/>
      <c r="HY1614" s="73"/>
      <c r="HZ1614" s="73"/>
      <c r="IA1614" s="73"/>
      <c r="IB1614" s="73"/>
      <c r="IC1614" s="73"/>
      <c r="ID1614" s="73"/>
      <c r="IE1614" s="73"/>
      <c r="IF1614" s="73"/>
      <c r="IG1614" s="73"/>
      <c r="IH1614" s="73"/>
      <c r="II1614" s="73"/>
      <c r="IJ1614" s="73"/>
      <c r="IK1614" s="73"/>
      <c r="IL1614" s="73"/>
      <c r="IM1614" s="73"/>
      <c r="IN1614" s="73"/>
      <c r="IO1614" s="73"/>
      <c r="IP1614" s="73"/>
      <c r="IQ1614" s="73"/>
      <c r="IR1614" s="73"/>
      <c r="IS1614" s="73"/>
      <c r="IT1614" s="73"/>
      <c r="IU1614" s="73"/>
      <c r="IV1614" s="73"/>
      <c r="IW1614" s="73"/>
      <c r="IX1614" s="73"/>
      <c r="IY1614" s="73"/>
      <c r="IZ1614" s="73"/>
      <c r="JA1614" s="73"/>
      <c r="JB1614" s="73"/>
      <c r="JC1614" s="73"/>
    </row>
    <row r="1615" spans="2:263" s="72" customFormat="1">
      <c r="B1615" s="73"/>
      <c r="C1615" s="73"/>
      <c r="D1615" s="73"/>
      <c r="E1615" s="73"/>
      <c r="F1615" s="73"/>
      <c r="G1615" s="73"/>
      <c r="H1615" s="73"/>
      <c r="I1615" s="73"/>
      <c r="J1615" s="73"/>
      <c r="K1615" s="73"/>
      <c r="L1615" s="73"/>
      <c r="M1615" s="73"/>
      <c r="N1615" s="73"/>
      <c r="O1615" s="73"/>
      <c r="P1615" s="73"/>
      <c r="Q1615" s="73"/>
      <c r="R1615" s="73"/>
      <c r="S1615" s="73"/>
      <c r="T1615" s="73"/>
      <c r="U1615" s="73"/>
      <c r="V1615" s="73"/>
      <c r="W1615" s="73"/>
      <c r="GL1615" s="73"/>
      <c r="GM1615" s="73"/>
      <c r="GN1615" s="73"/>
      <c r="GO1615" s="73"/>
      <c r="GP1615" s="73"/>
      <c r="GQ1615" s="73"/>
      <c r="GR1615" s="73"/>
      <c r="GS1615" s="73"/>
      <c r="GT1615" s="73"/>
      <c r="GU1615" s="73"/>
      <c r="GV1615" s="73"/>
      <c r="GW1615" s="73"/>
      <c r="GX1615" s="73"/>
      <c r="GY1615" s="73"/>
      <c r="GZ1615" s="73"/>
      <c r="HA1615" s="73"/>
      <c r="HB1615" s="73"/>
      <c r="HC1615" s="73"/>
      <c r="HD1615" s="73"/>
      <c r="HE1615" s="73"/>
      <c r="HF1615" s="73"/>
      <c r="HG1615" s="73"/>
      <c r="HH1615" s="73"/>
      <c r="HI1615" s="73"/>
      <c r="HJ1615" s="73"/>
      <c r="HK1615" s="73"/>
      <c r="HL1615" s="73"/>
      <c r="HM1615" s="73"/>
      <c r="HN1615" s="73"/>
      <c r="HO1615" s="73"/>
      <c r="HP1615" s="73"/>
      <c r="HQ1615" s="73"/>
      <c r="HR1615" s="73"/>
      <c r="HS1615" s="73"/>
      <c r="HT1615" s="73"/>
      <c r="HU1615" s="73"/>
      <c r="HV1615" s="73"/>
      <c r="HW1615" s="73"/>
      <c r="HX1615" s="73"/>
      <c r="HY1615" s="73"/>
      <c r="HZ1615" s="73"/>
      <c r="IA1615" s="73"/>
      <c r="IB1615" s="73"/>
      <c r="IC1615" s="73"/>
      <c r="ID1615" s="73"/>
      <c r="IE1615" s="73"/>
      <c r="IF1615" s="73"/>
      <c r="IG1615" s="73"/>
      <c r="IH1615" s="73"/>
      <c r="II1615" s="73"/>
      <c r="IJ1615" s="73"/>
      <c r="IK1615" s="73"/>
      <c r="IL1615" s="73"/>
      <c r="IM1615" s="73"/>
      <c r="IN1615" s="73"/>
      <c r="IO1615" s="73"/>
      <c r="IP1615" s="73"/>
      <c r="IQ1615" s="73"/>
      <c r="IR1615" s="73"/>
      <c r="IS1615" s="73"/>
      <c r="IT1615" s="73"/>
      <c r="IU1615" s="73"/>
      <c r="IV1615" s="73"/>
      <c r="IW1615" s="73"/>
      <c r="IX1615" s="73"/>
      <c r="IY1615" s="73"/>
      <c r="IZ1615" s="73"/>
      <c r="JA1615" s="73"/>
      <c r="JB1615" s="73"/>
      <c r="JC1615" s="73"/>
    </row>
    <row r="1616" spans="2:263" s="72" customFormat="1">
      <c r="B1616" s="73"/>
      <c r="C1616" s="73"/>
      <c r="D1616" s="73"/>
      <c r="E1616" s="73"/>
      <c r="F1616" s="73"/>
      <c r="G1616" s="73"/>
      <c r="H1616" s="73"/>
      <c r="I1616" s="73"/>
      <c r="J1616" s="73"/>
      <c r="K1616" s="73"/>
      <c r="L1616" s="73"/>
      <c r="M1616" s="73"/>
      <c r="N1616" s="73"/>
      <c r="O1616" s="73"/>
      <c r="P1616" s="73"/>
      <c r="Q1616" s="73"/>
      <c r="R1616" s="73"/>
      <c r="S1616" s="73"/>
      <c r="T1616" s="73"/>
      <c r="U1616" s="73"/>
      <c r="V1616" s="73"/>
      <c r="W1616" s="73"/>
      <c r="GL1616" s="73"/>
      <c r="GM1616" s="73"/>
      <c r="GN1616" s="73"/>
      <c r="GO1616" s="73"/>
      <c r="GP1616" s="73"/>
      <c r="GQ1616" s="73"/>
      <c r="GR1616" s="73"/>
      <c r="GS1616" s="73"/>
      <c r="GT1616" s="73"/>
      <c r="GU1616" s="73"/>
      <c r="GV1616" s="73"/>
      <c r="GW1616" s="73"/>
      <c r="GX1616" s="73"/>
      <c r="GY1616" s="73"/>
      <c r="GZ1616" s="73"/>
      <c r="HA1616" s="73"/>
      <c r="HB1616" s="73"/>
      <c r="HC1616" s="73"/>
      <c r="HD1616" s="73"/>
      <c r="HE1616" s="73"/>
      <c r="HF1616" s="73"/>
      <c r="HG1616" s="73"/>
      <c r="HH1616" s="73"/>
      <c r="HI1616" s="73"/>
      <c r="HJ1616" s="73"/>
      <c r="HK1616" s="73"/>
      <c r="HL1616" s="73"/>
      <c r="HM1616" s="73"/>
      <c r="HN1616" s="73"/>
      <c r="HO1616" s="73"/>
      <c r="HP1616" s="73"/>
      <c r="HQ1616" s="73"/>
      <c r="HR1616" s="73"/>
      <c r="HS1616" s="73"/>
      <c r="HT1616" s="73"/>
      <c r="HU1616" s="73"/>
      <c r="HV1616" s="73"/>
      <c r="HW1616" s="73"/>
      <c r="HX1616" s="73"/>
      <c r="HY1616" s="73"/>
      <c r="HZ1616" s="73"/>
      <c r="IA1616" s="73"/>
      <c r="IB1616" s="73"/>
      <c r="IC1616" s="73"/>
      <c r="ID1616" s="73"/>
      <c r="IE1616" s="73"/>
      <c r="IF1616" s="73"/>
      <c r="IG1616" s="73"/>
      <c r="IH1616" s="73"/>
      <c r="II1616" s="73"/>
      <c r="IJ1616" s="73"/>
      <c r="IK1616" s="73"/>
      <c r="IL1616" s="73"/>
      <c r="IM1616" s="73"/>
      <c r="IN1616" s="73"/>
      <c r="IO1616" s="73"/>
      <c r="IP1616" s="73"/>
      <c r="IQ1616" s="73"/>
      <c r="IR1616" s="73"/>
      <c r="IS1616" s="73"/>
      <c r="IT1616" s="73"/>
      <c r="IU1616" s="73"/>
      <c r="IV1616" s="73"/>
      <c r="IW1616" s="73"/>
      <c r="IX1616" s="73"/>
      <c r="IY1616" s="73"/>
      <c r="IZ1616" s="73"/>
      <c r="JA1616" s="73"/>
      <c r="JB1616" s="73"/>
      <c r="JC1616" s="73"/>
    </row>
    <row r="1617" spans="2:263" s="72" customFormat="1">
      <c r="B1617" s="73"/>
      <c r="C1617" s="73"/>
      <c r="D1617" s="73"/>
      <c r="E1617" s="73"/>
      <c r="F1617" s="73"/>
      <c r="G1617" s="73"/>
      <c r="H1617" s="73"/>
      <c r="I1617" s="73"/>
      <c r="J1617" s="73"/>
      <c r="K1617" s="73"/>
      <c r="L1617" s="73"/>
      <c r="M1617" s="73"/>
      <c r="N1617" s="73"/>
      <c r="O1617" s="73"/>
      <c r="P1617" s="73"/>
      <c r="Q1617" s="73"/>
      <c r="R1617" s="73"/>
      <c r="S1617" s="73"/>
      <c r="T1617" s="73"/>
      <c r="U1617" s="73"/>
      <c r="V1617" s="73"/>
      <c r="W1617" s="73"/>
      <c r="GL1617" s="73"/>
      <c r="GM1617" s="73"/>
      <c r="GN1617" s="73"/>
      <c r="GO1617" s="73"/>
      <c r="GP1617" s="73"/>
      <c r="GQ1617" s="73"/>
      <c r="GR1617" s="73"/>
      <c r="GS1617" s="73"/>
      <c r="GT1617" s="73"/>
      <c r="GU1617" s="73"/>
      <c r="GV1617" s="73"/>
      <c r="GW1617" s="73"/>
      <c r="GX1617" s="73"/>
      <c r="GY1617" s="73"/>
      <c r="GZ1617" s="73"/>
      <c r="HA1617" s="73"/>
      <c r="HB1617" s="73"/>
      <c r="HC1617" s="73"/>
      <c r="HD1617" s="73"/>
      <c r="HE1617" s="73"/>
      <c r="HF1617" s="73"/>
      <c r="HG1617" s="73"/>
      <c r="HH1617" s="73"/>
      <c r="HI1617" s="73"/>
      <c r="HJ1617" s="73"/>
      <c r="HK1617" s="73"/>
      <c r="HL1617" s="73"/>
      <c r="HM1617" s="73"/>
      <c r="HN1617" s="73"/>
      <c r="HO1617" s="73"/>
      <c r="HP1617" s="73"/>
      <c r="HQ1617" s="73"/>
      <c r="HR1617" s="73"/>
      <c r="HS1617" s="73"/>
      <c r="HT1617" s="73"/>
      <c r="HU1617" s="73"/>
      <c r="HV1617" s="73"/>
      <c r="HW1617" s="73"/>
      <c r="HX1617" s="73"/>
      <c r="HY1617" s="73"/>
      <c r="HZ1617" s="73"/>
      <c r="IA1617" s="73"/>
      <c r="IB1617" s="73"/>
      <c r="IC1617" s="73"/>
      <c r="ID1617" s="73"/>
      <c r="IE1617" s="73"/>
      <c r="IF1617" s="73"/>
      <c r="IG1617" s="73"/>
      <c r="IH1617" s="73"/>
      <c r="II1617" s="73"/>
      <c r="IJ1617" s="73"/>
      <c r="IK1617" s="73"/>
      <c r="IL1617" s="73"/>
      <c r="IM1617" s="73"/>
      <c r="IN1617" s="73"/>
      <c r="IO1617" s="73"/>
      <c r="IP1617" s="73"/>
      <c r="IQ1617" s="73"/>
      <c r="IR1617" s="73"/>
      <c r="IS1617" s="73"/>
      <c r="IT1617" s="73"/>
      <c r="IU1617" s="73"/>
      <c r="IV1617" s="73"/>
      <c r="IW1617" s="73"/>
      <c r="IX1617" s="73"/>
      <c r="IY1617" s="73"/>
      <c r="IZ1617" s="73"/>
      <c r="JA1617" s="73"/>
      <c r="JB1617" s="73"/>
      <c r="JC1617" s="73"/>
    </row>
    <row r="1618" spans="2:263" s="72" customFormat="1">
      <c r="B1618" s="73"/>
      <c r="C1618" s="73"/>
      <c r="D1618" s="73"/>
      <c r="E1618" s="73"/>
      <c r="F1618" s="73"/>
      <c r="G1618" s="73"/>
      <c r="H1618" s="73"/>
      <c r="I1618" s="73"/>
      <c r="J1618" s="73"/>
      <c r="K1618" s="73"/>
      <c r="L1618" s="73"/>
      <c r="M1618" s="73"/>
      <c r="N1618" s="73"/>
      <c r="O1618" s="73"/>
      <c r="P1618" s="73"/>
      <c r="Q1618" s="73"/>
      <c r="R1618" s="73"/>
      <c r="S1618" s="73"/>
      <c r="T1618" s="73"/>
      <c r="U1618" s="73"/>
      <c r="V1618" s="73"/>
      <c r="W1618" s="73"/>
      <c r="GL1618" s="73"/>
      <c r="GM1618" s="73"/>
      <c r="GN1618" s="73"/>
      <c r="GO1618" s="73"/>
      <c r="GP1618" s="73"/>
      <c r="GQ1618" s="73"/>
      <c r="GR1618" s="73"/>
      <c r="GS1618" s="73"/>
      <c r="GT1618" s="73"/>
      <c r="GU1618" s="73"/>
      <c r="GV1618" s="73"/>
      <c r="GW1618" s="73"/>
      <c r="GX1618" s="73"/>
      <c r="GY1618" s="73"/>
      <c r="GZ1618" s="73"/>
      <c r="HA1618" s="73"/>
      <c r="HB1618" s="73"/>
      <c r="HC1618" s="73"/>
      <c r="HD1618" s="73"/>
      <c r="HE1618" s="73"/>
      <c r="HF1618" s="73"/>
      <c r="HG1618" s="73"/>
      <c r="HH1618" s="73"/>
      <c r="HI1618" s="73"/>
      <c r="HJ1618" s="73"/>
      <c r="HK1618" s="73"/>
      <c r="HL1618" s="73"/>
      <c r="HM1618" s="73"/>
      <c r="HN1618" s="73"/>
      <c r="HO1618" s="73"/>
      <c r="HP1618" s="73"/>
      <c r="HQ1618" s="73"/>
      <c r="HR1618" s="73"/>
      <c r="HS1618" s="73"/>
      <c r="HT1618" s="73"/>
      <c r="HU1618" s="73"/>
      <c r="HV1618" s="73"/>
      <c r="HW1618" s="73"/>
      <c r="HX1618" s="73"/>
      <c r="HY1618" s="73"/>
      <c r="HZ1618" s="73"/>
      <c r="IA1618" s="73"/>
      <c r="IB1618" s="73"/>
      <c r="IC1618" s="73"/>
      <c r="ID1618" s="73"/>
      <c r="IE1618" s="73"/>
      <c r="IF1618" s="73"/>
      <c r="IG1618" s="73"/>
      <c r="IH1618" s="73"/>
      <c r="II1618" s="73"/>
      <c r="IJ1618" s="73"/>
      <c r="IK1618" s="73"/>
      <c r="IL1618" s="73"/>
      <c r="IM1618" s="73"/>
      <c r="IN1618" s="73"/>
      <c r="IO1618" s="73"/>
      <c r="IP1618" s="73"/>
      <c r="IQ1618" s="73"/>
      <c r="IR1618" s="73"/>
      <c r="IS1618" s="73"/>
      <c r="IT1618" s="73"/>
      <c r="IU1618" s="73"/>
      <c r="IV1618" s="73"/>
      <c r="IW1618" s="73"/>
      <c r="IX1618" s="73"/>
      <c r="IY1618" s="73"/>
      <c r="IZ1618" s="73"/>
      <c r="JA1618" s="73"/>
      <c r="JB1618" s="73"/>
      <c r="JC1618" s="73"/>
    </row>
    <row r="1619" spans="2:263" s="72" customFormat="1">
      <c r="B1619" s="73"/>
      <c r="C1619" s="73"/>
      <c r="D1619" s="73"/>
      <c r="E1619" s="73"/>
      <c r="F1619" s="73"/>
      <c r="G1619" s="73"/>
      <c r="H1619" s="73"/>
      <c r="I1619" s="73"/>
      <c r="J1619" s="73"/>
      <c r="K1619" s="73"/>
      <c r="L1619" s="73"/>
      <c r="M1619" s="73"/>
      <c r="N1619" s="73"/>
      <c r="O1619" s="73"/>
      <c r="P1619" s="73"/>
      <c r="Q1619" s="73"/>
      <c r="R1619" s="73"/>
      <c r="S1619" s="73"/>
      <c r="T1619" s="73"/>
      <c r="U1619" s="73"/>
      <c r="V1619" s="73"/>
      <c r="W1619" s="73"/>
      <c r="GL1619" s="73"/>
      <c r="GM1619" s="73"/>
      <c r="GN1619" s="73"/>
      <c r="GO1619" s="73"/>
      <c r="GP1619" s="73"/>
      <c r="GQ1619" s="73"/>
      <c r="GR1619" s="73"/>
      <c r="GS1619" s="73"/>
      <c r="GT1619" s="73"/>
      <c r="GU1619" s="73"/>
      <c r="GV1619" s="73"/>
      <c r="GW1619" s="73"/>
      <c r="GX1619" s="73"/>
      <c r="GY1619" s="73"/>
      <c r="GZ1619" s="73"/>
      <c r="HA1619" s="73"/>
      <c r="HB1619" s="73"/>
      <c r="HC1619" s="73"/>
      <c r="HD1619" s="73"/>
      <c r="HE1619" s="73"/>
      <c r="HF1619" s="73"/>
      <c r="HG1619" s="73"/>
      <c r="HH1619" s="73"/>
      <c r="HI1619" s="73"/>
      <c r="HJ1619" s="73"/>
      <c r="HK1619" s="73"/>
      <c r="HL1619" s="73"/>
      <c r="HM1619" s="73"/>
      <c r="HN1619" s="73"/>
      <c r="HO1619" s="73"/>
      <c r="HP1619" s="73"/>
      <c r="HQ1619" s="73"/>
      <c r="HR1619" s="73"/>
      <c r="HS1619" s="73"/>
      <c r="HT1619" s="73"/>
      <c r="HU1619" s="73"/>
      <c r="HV1619" s="73"/>
      <c r="HW1619" s="73"/>
      <c r="HX1619" s="73"/>
      <c r="HY1619" s="73"/>
      <c r="HZ1619" s="73"/>
      <c r="IA1619" s="73"/>
      <c r="IB1619" s="73"/>
      <c r="IC1619" s="73"/>
      <c r="ID1619" s="73"/>
      <c r="IE1619" s="73"/>
      <c r="IF1619" s="73"/>
      <c r="IG1619" s="73"/>
      <c r="IH1619" s="73"/>
      <c r="II1619" s="73"/>
      <c r="IJ1619" s="73"/>
      <c r="IK1619" s="73"/>
      <c r="IL1619" s="73"/>
      <c r="IM1619" s="73"/>
      <c r="IN1619" s="73"/>
      <c r="IO1619" s="73"/>
      <c r="IP1619" s="73"/>
      <c r="IQ1619" s="73"/>
      <c r="IR1619" s="73"/>
      <c r="IS1619" s="73"/>
      <c r="IT1619" s="73"/>
      <c r="IU1619" s="73"/>
      <c r="IV1619" s="73"/>
      <c r="IW1619" s="73"/>
      <c r="IX1619" s="73"/>
      <c r="IY1619" s="73"/>
      <c r="IZ1619" s="73"/>
      <c r="JA1619" s="73"/>
      <c r="JB1619" s="73"/>
      <c r="JC1619" s="73"/>
    </row>
    <row r="1620" spans="2:263" s="72" customFormat="1">
      <c r="B1620" s="73"/>
      <c r="C1620" s="73"/>
      <c r="D1620" s="73"/>
      <c r="E1620" s="73"/>
      <c r="F1620" s="73"/>
      <c r="G1620" s="73"/>
      <c r="H1620" s="73"/>
      <c r="I1620" s="73"/>
      <c r="J1620" s="73"/>
      <c r="K1620" s="73"/>
      <c r="L1620" s="73"/>
      <c r="M1620" s="73"/>
      <c r="N1620" s="73"/>
      <c r="O1620" s="73"/>
      <c r="P1620" s="73"/>
      <c r="Q1620" s="73"/>
      <c r="R1620" s="73"/>
      <c r="S1620" s="73"/>
      <c r="T1620" s="73"/>
      <c r="U1620" s="73"/>
      <c r="V1620" s="73"/>
      <c r="W1620" s="73"/>
      <c r="GL1620" s="73"/>
      <c r="GM1620" s="73"/>
      <c r="GN1620" s="73"/>
      <c r="GO1620" s="73"/>
      <c r="GP1620" s="73"/>
      <c r="GQ1620" s="73"/>
      <c r="GR1620" s="73"/>
      <c r="GS1620" s="73"/>
      <c r="GT1620" s="73"/>
      <c r="GU1620" s="73"/>
      <c r="GV1620" s="73"/>
      <c r="GW1620" s="73"/>
      <c r="GX1620" s="73"/>
      <c r="GY1620" s="73"/>
      <c r="GZ1620" s="73"/>
      <c r="HA1620" s="73"/>
      <c r="HB1620" s="73"/>
      <c r="HC1620" s="73"/>
      <c r="HD1620" s="73"/>
      <c r="HE1620" s="73"/>
      <c r="HF1620" s="73"/>
      <c r="HG1620" s="73"/>
      <c r="HH1620" s="73"/>
      <c r="HI1620" s="73"/>
      <c r="HJ1620" s="73"/>
      <c r="HK1620" s="73"/>
      <c r="HL1620" s="73"/>
      <c r="HM1620" s="73"/>
      <c r="HN1620" s="73"/>
      <c r="HO1620" s="73"/>
      <c r="HP1620" s="73"/>
      <c r="HQ1620" s="73"/>
      <c r="HR1620" s="73"/>
      <c r="HS1620" s="73"/>
      <c r="HT1620" s="73"/>
      <c r="HU1620" s="73"/>
      <c r="HV1620" s="73"/>
      <c r="HW1620" s="73"/>
      <c r="HX1620" s="73"/>
      <c r="HY1620" s="73"/>
      <c r="HZ1620" s="73"/>
      <c r="IA1620" s="73"/>
      <c r="IB1620" s="73"/>
      <c r="IC1620" s="73"/>
      <c r="ID1620" s="73"/>
      <c r="IE1620" s="73"/>
      <c r="IF1620" s="73"/>
      <c r="IG1620" s="73"/>
      <c r="IH1620" s="73"/>
      <c r="II1620" s="73"/>
      <c r="IJ1620" s="73"/>
      <c r="IK1620" s="73"/>
      <c r="IL1620" s="73"/>
      <c r="IM1620" s="73"/>
      <c r="IN1620" s="73"/>
      <c r="IO1620" s="73"/>
      <c r="IP1620" s="73"/>
      <c r="IQ1620" s="73"/>
      <c r="IR1620" s="73"/>
      <c r="IS1620" s="73"/>
      <c r="IT1620" s="73"/>
      <c r="IU1620" s="73"/>
      <c r="IV1620" s="73"/>
      <c r="IW1620" s="73"/>
      <c r="IX1620" s="73"/>
      <c r="IY1620" s="73"/>
      <c r="IZ1620" s="73"/>
      <c r="JA1620" s="73"/>
      <c r="JB1620" s="73"/>
      <c r="JC1620" s="73"/>
    </row>
    <row r="1621" spans="2:263" s="72" customFormat="1">
      <c r="B1621" s="73"/>
      <c r="C1621" s="73"/>
      <c r="D1621" s="73"/>
      <c r="E1621" s="73"/>
      <c r="F1621" s="73"/>
      <c r="G1621" s="73"/>
      <c r="H1621" s="73"/>
      <c r="I1621" s="73"/>
      <c r="J1621" s="73"/>
      <c r="K1621" s="73"/>
      <c r="L1621" s="73"/>
      <c r="M1621" s="73"/>
      <c r="N1621" s="73"/>
      <c r="O1621" s="73"/>
      <c r="P1621" s="73"/>
      <c r="Q1621" s="73"/>
      <c r="R1621" s="73"/>
      <c r="S1621" s="73"/>
      <c r="T1621" s="73"/>
      <c r="U1621" s="73"/>
      <c r="V1621" s="73"/>
      <c r="W1621" s="73"/>
      <c r="GL1621" s="73"/>
      <c r="GM1621" s="73"/>
      <c r="GN1621" s="73"/>
      <c r="GO1621" s="73"/>
      <c r="GP1621" s="73"/>
      <c r="GQ1621" s="73"/>
      <c r="GR1621" s="73"/>
      <c r="GS1621" s="73"/>
      <c r="GT1621" s="73"/>
      <c r="GU1621" s="73"/>
      <c r="GV1621" s="73"/>
      <c r="GW1621" s="73"/>
      <c r="GX1621" s="73"/>
      <c r="GY1621" s="73"/>
      <c r="GZ1621" s="73"/>
      <c r="HA1621" s="73"/>
      <c r="HB1621" s="73"/>
      <c r="HC1621" s="73"/>
      <c r="HD1621" s="73"/>
      <c r="HE1621" s="73"/>
      <c r="HF1621" s="73"/>
      <c r="HG1621" s="73"/>
      <c r="HH1621" s="73"/>
      <c r="HI1621" s="73"/>
      <c r="HJ1621" s="73"/>
      <c r="HK1621" s="73"/>
      <c r="HL1621" s="73"/>
      <c r="HM1621" s="73"/>
      <c r="HN1621" s="73"/>
      <c r="HO1621" s="73"/>
      <c r="HP1621" s="73"/>
      <c r="HQ1621" s="73"/>
      <c r="HR1621" s="73"/>
      <c r="HS1621" s="73"/>
      <c r="HT1621" s="73"/>
      <c r="HU1621" s="73"/>
      <c r="HV1621" s="73"/>
      <c r="HW1621" s="73"/>
      <c r="HX1621" s="73"/>
      <c r="HY1621" s="73"/>
      <c r="HZ1621" s="73"/>
      <c r="IA1621" s="73"/>
      <c r="IB1621" s="73"/>
      <c r="IC1621" s="73"/>
      <c r="ID1621" s="73"/>
      <c r="IE1621" s="73"/>
      <c r="IF1621" s="73"/>
      <c r="IG1621" s="73"/>
      <c r="IH1621" s="73"/>
      <c r="II1621" s="73"/>
      <c r="IJ1621" s="73"/>
      <c r="IK1621" s="73"/>
      <c r="IL1621" s="73"/>
      <c r="IM1621" s="73"/>
      <c r="IN1621" s="73"/>
      <c r="IO1621" s="73"/>
      <c r="IP1621" s="73"/>
      <c r="IQ1621" s="73"/>
      <c r="IR1621" s="73"/>
      <c r="IS1621" s="73"/>
      <c r="IT1621" s="73"/>
      <c r="IU1621" s="73"/>
      <c r="IV1621" s="73"/>
      <c r="IW1621" s="73"/>
      <c r="IX1621" s="73"/>
      <c r="IY1621" s="73"/>
      <c r="IZ1621" s="73"/>
      <c r="JA1621" s="73"/>
      <c r="JB1621" s="73"/>
      <c r="JC1621" s="73"/>
    </row>
    <row r="1622" spans="2:263" s="72" customFormat="1">
      <c r="B1622" s="73"/>
      <c r="C1622" s="73"/>
      <c r="D1622" s="73"/>
      <c r="E1622" s="73"/>
      <c r="F1622" s="73"/>
      <c r="G1622" s="73"/>
      <c r="H1622" s="73"/>
      <c r="I1622" s="73"/>
      <c r="J1622" s="73"/>
      <c r="K1622" s="73"/>
      <c r="L1622" s="73"/>
      <c r="M1622" s="73"/>
      <c r="N1622" s="73"/>
      <c r="O1622" s="73"/>
      <c r="P1622" s="73"/>
      <c r="Q1622" s="73"/>
      <c r="R1622" s="73"/>
      <c r="S1622" s="73"/>
      <c r="T1622" s="73"/>
      <c r="U1622" s="73"/>
      <c r="V1622" s="73"/>
      <c r="W1622" s="73"/>
      <c r="GL1622" s="73"/>
      <c r="GM1622" s="73"/>
      <c r="GN1622" s="73"/>
      <c r="GO1622" s="73"/>
      <c r="GP1622" s="73"/>
      <c r="GQ1622" s="73"/>
      <c r="GR1622" s="73"/>
      <c r="GS1622" s="73"/>
      <c r="GT1622" s="73"/>
      <c r="GU1622" s="73"/>
      <c r="GV1622" s="73"/>
      <c r="GW1622" s="73"/>
      <c r="GX1622" s="73"/>
      <c r="GY1622" s="73"/>
      <c r="GZ1622" s="73"/>
      <c r="HA1622" s="73"/>
      <c r="HB1622" s="73"/>
      <c r="HC1622" s="73"/>
      <c r="HD1622" s="73"/>
      <c r="HE1622" s="73"/>
      <c r="HF1622" s="73"/>
      <c r="HG1622" s="73"/>
      <c r="HH1622" s="73"/>
      <c r="HI1622" s="73"/>
      <c r="HJ1622" s="73"/>
      <c r="HK1622" s="73"/>
      <c r="HL1622" s="73"/>
      <c r="HM1622" s="73"/>
      <c r="HN1622" s="73"/>
      <c r="HO1622" s="73"/>
      <c r="HP1622" s="73"/>
      <c r="HQ1622" s="73"/>
      <c r="HR1622" s="73"/>
      <c r="HS1622" s="73"/>
      <c r="HT1622" s="73"/>
      <c r="HU1622" s="73"/>
      <c r="HV1622" s="73"/>
      <c r="HW1622" s="73"/>
      <c r="HX1622" s="73"/>
      <c r="HY1622" s="73"/>
      <c r="HZ1622" s="73"/>
      <c r="IA1622" s="73"/>
      <c r="IB1622" s="73"/>
      <c r="IC1622" s="73"/>
      <c r="ID1622" s="73"/>
      <c r="IE1622" s="73"/>
      <c r="IF1622" s="73"/>
      <c r="IG1622" s="73"/>
      <c r="IH1622" s="73"/>
      <c r="II1622" s="73"/>
      <c r="IJ1622" s="73"/>
      <c r="IK1622" s="73"/>
      <c r="IL1622" s="73"/>
      <c r="IM1622" s="73"/>
      <c r="IN1622" s="73"/>
      <c r="IO1622" s="73"/>
      <c r="IP1622" s="73"/>
      <c r="IQ1622" s="73"/>
      <c r="IR1622" s="73"/>
      <c r="IS1622" s="73"/>
      <c r="IT1622" s="73"/>
      <c r="IU1622" s="73"/>
      <c r="IV1622" s="73"/>
      <c r="IW1622" s="73"/>
      <c r="IX1622" s="73"/>
      <c r="IY1622" s="73"/>
      <c r="IZ1622" s="73"/>
      <c r="JA1622" s="73"/>
      <c r="JB1622" s="73"/>
      <c r="JC1622" s="73"/>
    </row>
    <row r="1623" spans="2:263" s="72" customFormat="1">
      <c r="B1623" s="73"/>
      <c r="C1623" s="73"/>
      <c r="D1623" s="73"/>
      <c r="E1623" s="73"/>
      <c r="F1623" s="73"/>
      <c r="G1623" s="73"/>
      <c r="H1623" s="73"/>
      <c r="I1623" s="73"/>
      <c r="J1623" s="73"/>
      <c r="K1623" s="73"/>
      <c r="L1623" s="73"/>
      <c r="M1623" s="73"/>
      <c r="N1623" s="73"/>
      <c r="O1623" s="73"/>
      <c r="P1623" s="73"/>
      <c r="Q1623" s="73"/>
      <c r="R1623" s="73"/>
      <c r="S1623" s="73"/>
      <c r="T1623" s="73"/>
      <c r="U1623" s="73"/>
      <c r="V1623" s="73"/>
      <c r="W1623" s="73"/>
      <c r="GL1623" s="73"/>
      <c r="GM1623" s="73"/>
      <c r="GN1623" s="73"/>
      <c r="GO1623" s="73"/>
      <c r="GP1623" s="73"/>
      <c r="GQ1623" s="73"/>
      <c r="GR1623" s="73"/>
      <c r="GS1623" s="73"/>
      <c r="GT1623" s="73"/>
      <c r="GU1623" s="73"/>
      <c r="GV1623" s="73"/>
      <c r="GW1623" s="73"/>
      <c r="GX1623" s="73"/>
      <c r="GY1623" s="73"/>
      <c r="GZ1623" s="73"/>
      <c r="HA1623" s="73"/>
      <c r="HB1623" s="73"/>
      <c r="HC1623" s="73"/>
      <c r="HD1623" s="73"/>
      <c r="HE1623" s="73"/>
      <c r="HF1623" s="73"/>
      <c r="HG1623" s="73"/>
      <c r="HH1623" s="73"/>
      <c r="HI1623" s="73"/>
      <c r="HJ1623" s="73"/>
      <c r="HK1623" s="73"/>
      <c r="HL1623" s="73"/>
      <c r="HM1623" s="73"/>
      <c r="HN1623" s="73"/>
      <c r="HO1623" s="73"/>
      <c r="HP1623" s="73"/>
      <c r="HQ1623" s="73"/>
      <c r="HR1623" s="73"/>
      <c r="HS1623" s="73"/>
      <c r="HT1623" s="73"/>
      <c r="HU1623" s="73"/>
      <c r="HV1623" s="73"/>
      <c r="HW1623" s="73"/>
      <c r="HX1623" s="73"/>
      <c r="HY1623" s="73"/>
      <c r="HZ1623" s="73"/>
      <c r="IA1623" s="73"/>
      <c r="IB1623" s="73"/>
      <c r="IC1623" s="73"/>
      <c r="ID1623" s="73"/>
      <c r="IE1623" s="73"/>
      <c r="IF1623" s="73"/>
      <c r="IG1623" s="73"/>
      <c r="IH1623" s="73"/>
      <c r="II1623" s="73"/>
      <c r="IJ1623" s="73"/>
      <c r="IK1623" s="73"/>
      <c r="IL1623" s="73"/>
      <c r="IM1623" s="73"/>
      <c r="IN1623" s="73"/>
      <c r="IO1623" s="73"/>
      <c r="IP1623" s="73"/>
      <c r="IQ1623" s="73"/>
      <c r="IR1623" s="73"/>
      <c r="IS1623" s="73"/>
      <c r="IT1623" s="73"/>
      <c r="IU1623" s="73"/>
      <c r="IV1623" s="73"/>
      <c r="IW1623" s="73"/>
      <c r="IX1623" s="73"/>
      <c r="IY1623" s="73"/>
      <c r="IZ1623" s="73"/>
      <c r="JA1623" s="73"/>
      <c r="JB1623" s="73"/>
      <c r="JC1623" s="73"/>
    </row>
    <row r="1624" spans="2:263" s="72" customFormat="1">
      <c r="B1624" s="73"/>
      <c r="C1624" s="73"/>
      <c r="D1624" s="73"/>
      <c r="E1624" s="73"/>
      <c r="F1624" s="73"/>
      <c r="G1624" s="73"/>
      <c r="H1624" s="73"/>
      <c r="I1624" s="73"/>
      <c r="J1624" s="73"/>
      <c r="K1624" s="73"/>
      <c r="L1624" s="73"/>
      <c r="M1624" s="73"/>
      <c r="N1624" s="73"/>
      <c r="O1624" s="73"/>
      <c r="P1624" s="73"/>
      <c r="Q1624" s="73"/>
      <c r="R1624" s="73"/>
      <c r="S1624" s="73"/>
      <c r="T1624" s="73"/>
      <c r="U1624" s="73"/>
      <c r="V1624" s="73"/>
      <c r="W1624" s="73"/>
      <c r="GL1624" s="73"/>
      <c r="GM1624" s="73"/>
      <c r="GN1624" s="73"/>
      <c r="GO1624" s="73"/>
      <c r="GP1624" s="73"/>
      <c r="GQ1624" s="73"/>
      <c r="GR1624" s="73"/>
      <c r="GS1624" s="73"/>
      <c r="GT1624" s="73"/>
      <c r="GU1624" s="73"/>
      <c r="GV1624" s="73"/>
      <c r="GW1624" s="73"/>
      <c r="GX1624" s="73"/>
      <c r="GY1624" s="73"/>
      <c r="GZ1624" s="73"/>
      <c r="HA1624" s="73"/>
      <c r="HB1624" s="73"/>
      <c r="HC1624" s="73"/>
      <c r="HD1624" s="73"/>
      <c r="HE1624" s="73"/>
      <c r="HF1624" s="73"/>
      <c r="HG1624" s="73"/>
      <c r="HH1624" s="73"/>
      <c r="HI1624" s="73"/>
      <c r="HJ1624" s="73"/>
      <c r="HK1624" s="73"/>
      <c r="HL1624" s="73"/>
      <c r="HM1624" s="73"/>
      <c r="HN1624" s="73"/>
      <c r="HO1624" s="73"/>
      <c r="HP1624" s="73"/>
      <c r="HQ1624" s="73"/>
      <c r="HR1624" s="73"/>
      <c r="HS1624" s="73"/>
      <c r="HT1624" s="73"/>
      <c r="HU1624" s="73"/>
      <c r="HV1624" s="73"/>
      <c r="HW1624" s="73"/>
      <c r="HX1624" s="73"/>
      <c r="HY1624" s="73"/>
      <c r="HZ1624" s="73"/>
      <c r="IA1624" s="73"/>
      <c r="IB1624" s="73"/>
      <c r="IC1624" s="73"/>
      <c r="ID1624" s="73"/>
      <c r="IE1624" s="73"/>
      <c r="IF1624" s="73"/>
      <c r="IG1624" s="73"/>
      <c r="IH1624" s="73"/>
      <c r="II1624" s="73"/>
      <c r="IJ1624" s="73"/>
      <c r="IK1624" s="73"/>
      <c r="IL1624" s="73"/>
      <c r="IM1624" s="73"/>
      <c r="IN1624" s="73"/>
      <c r="IO1624" s="73"/>
      <c r="IP1624" s="73"/>
      <c r="IQ1624" s="73"/>
      <c r="IR1624" s="73"/>
      <c r="IS1624" s="73"/>
      <c r="IT1624" s="73"/>
      <c r="IU1624" s="73"/>
      <c r="IV1624" s="73"/>
      <c r="IW1624" s="73"/>
      <c r="IX1624" s="73"/>
      <c r="IY1624" s="73"/>
      <c r="IZ1624" s="73"/>
      <c r="JA1624" s="73"/>
      <c r="JB1624" s="73"/>
      <c r="JC1624" s="73"/>
    </row>
    <row r="1625" spans="2:263" s="72" customFormat="1">
      <c r="B1625" s="73"/>
      <c r="C1625" s="73"/>
      <c r="D1625" s="73"/>
      <c r="E1625" s="73"/>
      <c r="F1625" s="73"/>
      <c r="G1625" s="73"/>
      <c r="H1625" s="73"/>
      <c r="I1625" s="73"/>
      <c r="J1625" s="73"/>
      <c r="K1625" s="73"/>
      <c r="L1625" s="73"/>
      <c r="M1625" s="73"/>
      <c r="N1625" s="73"/>
      <c r="O1625" s="73"/>
      <c r="P1625" s="73"/>
      <c r="Q1625" s="73"/>
      <c r="R1625" s="73"/>
      <c r="S1625" s="73"/>
      <c r="T1625" s="73"/>
      <c r="U1625" s="73"/>
      <c r="V1625" s="73"/>
      <c r="W1625" s="73"/>
      <c r="GL1625" s="73"/>
      <c r="GM1625" s="73"/>
      <c r="GN1625" s="73"/>
      <c r="GO1625" s="73"/>
      <c r="GP1625" s="73"/>
      <c r="GQ1625" s="73"/>
      <c r="GR1625" s="73"/>
      <c r="GS1625" s="73"/>
      <c r="GT1625" s="73"/>
      <c r="GU1625" s="73"/>
      <c r="GV1625" s="73"/>
      <c r="GW1625" s="73"/>
      <c r="GX1625" s="73"/>
      <c r="GY1625" s="73"/>
      <c r="GZ1625" s="73"/>
      <c r="HA1625" s="73"/>
      <c r="HB1625" s="73"/>
      <c r="HC1625" s="73"/>
      <c r="HD1625" s="73"/>
      <c r="HE1625" s="73"/>
      <c r="HF1625" s="73"/>
      <c r="HG1625" s="73"/>
      <c r="HH1625" s="73"/>
      <c r="HI1625" s="73"/>
      <c r="HJ1625" s="73"/>
      <c r="HK1625" s="73"/>
      <c r="HL1625" s="73"/>
      <c r="HM1625" s="73"/>
      <c r="HN1625" s="73"/>
      <c r="HO1625" s="73"/>
      <c r="HP1625" s="73"/>
      <c r="HQ1625" s="73"/>
      <c r="HR1625" s="73"/>
      <c r="HS1625" s="73"/>
      <c r="HT1625" s="73"/>
      <c r="HU1625" s="73"/>
      <c r="HV1625" s="73"/>
      <c r="HW1625" s="73"/>
      <c r="HX1625" s="73"/>
      <c r="HY1625" s="73"/>
      <c r="HZ1625" s="73"/>
      <c r="IA1625" s="73"/>
      <c r="IB1625" s="73"/>
      <c r="IC1625" s="73"/>
      <c r="ID1625" s="73"/>
      <c r="IE1625" s="73"/>
      <c r="IF1625" s="73"/>
      <c r="IG1625" s="73"/>
      <c r="IH1625" s="73"/>
      <c r="II1625" s="73"/>
      <c r="IJ1625" s="73"/>
      <c r="IK1625" s="73"/>
      <c r="IL1625" s="73"/>
      <c r="IM1625" s="73"/>
      <c r="IN1625" s="73"/>
      <c r="IO1625" s="73"/>
      <c r="IP1625" s="73"/>
      <c r="IQ1625" s="73"/>
      <c r="IR1625" s="73"/>
      <c r="IS1625" s="73"/>
      <c r="IT1625" s="73"/>
      <c r="IU1625" s="73"/>
      <c r="IV1625" s="73"/>
      <c r="IW1625" s="73"/>
      <c r="IX1625" s="73"/>
      <c r="IY1625" s="73"/>
      <c r="IZ1625" s="73"/>
      <c r="JA1625" s="73"/>
      <c r="JB1625" s="73"/>
      <c r="JC1625" s="73"/>
    </row>
    <row r="1626" spans="2:263" s="72" customFormat="1">
      <c r="B1626" s="73"/>
      <c r="C1626" s="73"/>
      <c r="D1626" s="73"/>
      <c r="E1626" s="73"/>
      <c r="F1626" s="73"/>
      <c r="G1626" s="73"/>
      <c r="H1626" s="73"/>
      <c r="I1626" s="73"/>
      <c r="J1626" s="73"/>
      <c r="K1626" s="73"/>
      <c r="L1626" s="73"/>
      <c r="M1626" s="73"/>
      <c r="N1626" s="73"/>
      <c r="O1626" s="73"/>
      <c r="P1626" s="73"/>
      <c r="Q1626" s="73"/>
      <c r="R1626" s="73"/>
      <c r="S1626" s="73"/>
      <c r="T1626" s="73"/>
      <c r="U1626" s="73"/>
      <c r="V1626" s="73"/>
      <c r="W1626" s="73"/>
      <c r="GL1626" s="73"/>
      <c r="GM1626" s="73"/>
      <c r="GN1626" s="73"/>
      <c r="GO1626" s="73"/>
      <c r="GP1626" s="73"/>
      <c r="GQ1626" s="73"/>
      <c r="GR1626" s="73"/>
      <c r="GS1626" s="73"/>
      <c r="GT1626" s="73"/>
      <c r="GU1626" s="73"/>
      <c r="GV1626" s="73"/>
      <c r="GW1626" s="73"/>
      <c r="GX1626" s="73"/>
      <c r="GY1626" s="73"/>
      <c r="GZ1626" s="73"/>
      <c r="HA1626" s="73"/>
      <c r="HB1626" s="73"/>
      <c r="HC1626" s="73"/>
      <c r="HD1626" s="73"/>
      <c r="HE1626" s="73"/>
      <c r="HF1626" s="73"/>
      <c r="HG1626" s="73"/>
      <c r="HH1626" s="73"/>
      <c r="HI1626" s="73"/>
      <c r="HJ1626" s="73"/>
      <c r="HK1626" s="73"/>
      <c r="HL1626" s="73"/>
      <c r="HM1626" s="73"/>
      <c r="HN1626" s="73"/>
      <c r="HO1626" s="73"/>
      <c r="HP1626" s="73"/>
      <c r="HQ1626" s="73"/>
      <c r="HR1626" s="73"/>
      <c r="HS1626" s="73"/>
      <c r="HT1626" s="73"/>
      <c r="HU1626" s="73"/>
      <c r="HV1626" s="73"/>
      <c r="HW1626" s="73"/>
      <c r="HX1626" s="73"/>
      <c r="HY1626" s="73"/>
      <c r="HZ1626" s="73"/>
      <c r="IA1626" s="73"/>
      <c r="IB1626" s="73"/>
      <c r="IC1626" s="73"/>
      <c r="ID1626" s="73"/>
      <c r="IE1626" s="73"/>
      <c r="IF1626" s="73"/>
      <c r="IG1626" s="73"/>
      <c r="IH1626" s="73"/>
      <c r="II1626" s="73"/>
      <c r="IJ1626" s="73"/>
      <c r="IK1626" s="73"/>
      <c r="IL1626" s="73"/>
      <c r="IM1626" s="73"/>
      <c r="IN1626" s="73"/>
      <c r="IO1626" s="73"/>
      <c r="IP1626" s="73"/>
      <c r="IQ1626" s="73"/>
      <c r="IR1626" s="73"/>
      <c r="IS1626" s="73"/>
      <c r="IT1626" s="73"/>
      <c r="IU1626" s="73"/>
      <c r="IV1626" s="73"/>
      <c r="IW1626" s="73"/>
      <c r="IX1626" s="73"/>
      <c r="IY1626" s="73"/>
      <c r="IZ1626" s="73"/>
      <c r="JA1626" s="73"/>
      <c r="JB1626" s="73"/>
      <c r="JC1626" s="73"/>
    </row>
    <row r="1627" spans="2:263" s="72" customFormat="1">
      <c r="B1627" s="73"/>
      <c r="C1627" s="73"/>
      <c r="D1627" s="73"/>
      <c r="E1627" s="73"/>
      <c r="F1627" s="73"/>
      <c r="G1627" s="73"/>
      <c r="H1627" s="73"/>
      <c r="I1627" s="73"/>
      <c r="J1627" s="73"/>
      <c r="K1627" s="73"/>
      <c r="L1627" s="73"/>
      <c r="M1627" s="73"/>
      <c r="N1627" s="73"/>
      <c r="O1627" s="73"/>
      <c r="P1627" s="73"/>
      <c r="Q1627" s="73"/>
      <c r="R1627" s="73"/>
      <c r="S1627" s="73"/>
      <c r="T1627" s="73"/>
      <c r="U1627" s="73"/>
      <c r="V1627" s="73"/>
      <c r="W1627" s="73"/>
      <c r="GL1627" s="73"/>
      <c r="GM1627" s="73"/>
      <c r="GN1627" s="73"/>
      <c r="GO1627" s="73"/>
      <c r="GP1627" s="73"/>
      <c r="GQ1627" s="73"/>
      <c r="GR1627" s="73"/>
      <c r="GS1627" s="73"/>
      <c r="GT1627" s="73"/>
      <c r="GU1627" s="73"/>
      <c r="GV1627" s="73"/>
      <c r="GW1627" s="73"/>
      <c r="GX1627" s="73"/>
      <c r="GY1627" s="73"/>
      <c r="GZ1627" s="73"/>
      <c r="HA1627" s="73"/>
      <c r="HB1627" s="73"/>
      <c r="HC1627" s="73"/>
      <c r="HD1627" s="73"/>
      <c r="HE1627" s="73"/>
      <c r="HF1627" s="73"/>
      <c r="HG1627" s="73"/>
      <c r="HH1627" s="73"/>
      <c r="HI1627" s="73"/>
      <c r="HJ1627" s="73"/>
      <c r="HK1627" s="73"/>
      <c r="HL1627" s="73"/>
      <c r="HM1627" s="73"/>
      <c r="HN1627" s="73"/>
      <c r="HO1627" s="73"/>
      <c r="HP1627" s="73"/>
      <c r="HQ1627" s="73"/>
      <c r="HR1627" s="73"/>
      <c r="HS1627" s="73"/>
      <c r="HT1627" s="73"/>
      <c r="HU1627" s="73"/>
      <c r="HV1627" s="73"/>
      <c r="HW1627" s="73"/>
      <c r="HX1627" s="73"/>
      <c r="HY1627" s="73"/>
      <c r="HZ1627" s="73"/>
      <c r="IA1627" s="73"/>
      <c r="IB1627" s="73"/>
      <c r="IC1627" s="73"/>
      <c r="ID1627" s="73"/>
      <c r="IE1627" s="73"/>
      <c r="IF1627" s="73"/>
      <c r="IG1627" s="73"/>
      <c r="IH1627" s="73"/>
      <c r="II1627" s="73"/>
      <c r="IJ1627" s="73"/>
      <c r="IK1627" s="73"/>
      <c r="IL1627" s="73"/>
      <c r="IM1627" s="73"/>
      <c r="IN1627" s="73"/>
      <c r="IO1627" s="73"/>
      <c r="IP1627" s="73"/>
      <c r="IQ1627" s="73"/>
      <c r="IR1627" s="73"/>
      <c r="IS1627" s="73"/>
      <c r="IT1627" s="73"/>
      <c r="IU1627" s="73"/>
      <c r="IV1627" s="73"/>
      <c r="IW1627" s="73"/>
      <c r="IX1627" s="73"/>
      <c r="IY1627" s="73"/>
      <c r="IZ1627" s="73"/>
      <c r="JA1627" s="73"/>
      <c r="JB1627" s="73"/>
      <c r="JC1627" s="73"/>
    </row>
    <row r="1628" spans="2:263" s="72" customFormat="1">
      <c r="B1628" s="73"/>
      <c r="C1628" s="73"/>
      <c r="D1628" s="73"/>
      <c r="E1628" s="73"/>
      <c r="F1628" s="73"/>
      <c r="G1628" s="73"/>
      <c r="H1628" s="73"/>
      <c r="I1628" s="73"/>
      <c r="J1628" s="73"/>
      <c r="K1628" s="73"/>
      <c r="L1628" s="73"/>
      <c r="M1628" s="73"/>
      <c r="N1628" s="73"/>
      <c r="O1628" s="73"/>
      <c r="P1628" s="73"/>
      <c r="Q1628" s="73"/>
      <c r="R1628" s="73"/>
      <c r="S1628" s="73"/>
      <c r="T1628" s="73"/>
      <c r="U1628" s="73"/>
      <c r="V1628" s="73"/>
      <c r="W1628" s="73"/>
      <c r="GL1628" s="73"/>
      <c r="GM1628" s="73"/>
      <c r="GN1628" s="73"/>
      <c r="GO1628" s="73"/>
      <c r="GP1628" s="73"/>
      <c r="GQ1628" s="73"/>
      <c r="GR1628" s="73"/>
      <c r="GS1628" s="73"/>
      <c r="GT1628" s="73"/>
      <c r="GU1628" s="73"/>
      <c r="GV1628" s="73"/>
      <c r="GW1628" s="73"/>
      <c r="GX1628" s="73"/>
      <c r="GY1628" s="73"/>
      <c r="GZ1628" s="73"/>
      <c r="HA1628" s="73"/>
      <c r="HB1628" s="73"/>
      <c r="HC1628" s="73"/>
      <c r="HD1628" s="73"/>
      <c r="HE1628" s="73"/>
      <c r="HF1628" s="73"/>
      <c r="HG1628" s="73"/>
      <c r="HH1628" s="73"/>
      <c r="HI1628" s="73"/>
      <c r="HJ1628" s="73"/>
      <c r="HK1628" s="73"/>
      <c r="HL1628" s="73"/>
      <c r="HM1628" s="73"/>
      <c r="HN1628" s="73"/>
      <c r="HO1628" s="73"/>
      <c r="HP1628" s="73"/>
      <c r="HQ1628" s="73"/>
      <c r="HR1628" s="73"/>
      <c r="HS1628" s="73"/>
      <c r="HT1628" s="73"/>
      <c r="HU1628" s="73"/>
      <c r="HV1628" s="73"/>
      <c r="HW1628" s="73"/>
      <c r="HX1628" s="73"/>
      <c r="HY1628" s="73"/>
      <c r="HZ1628" s="73"/>
      <c r="IA1628" s="73"/>
      <c r="IB1628" s="73"/>
      <c r="IC1628" s="73"/>
      <c r="ID1628" s="73"/>
      <c r="IE1628" s="73"/>
      <c r="IF1628" s="73"/>
      <c r="IG1628" s="73"/>
      <c r="IH1628" s="73"/>
      <c r="II1628" s="73"/>
      <c r="IJ1628" s="73"/>
      <c r="IK1628" s="73"/>
      <c r="IL1628" s="73"/>
      <c r="IM1628" s="73"/>
      <c r="IN1628" s="73"/>
      <c r="IO1628" s="73"/>
      <c r="IP1628" s="73"/>
      <c r="IQ1628" s="73"/>
      <c r="IR1628" s="73"/>
      <c r="IS1628" s="73"/>
      <c r="IT1628" s="73"/>
      <c r="IU1628" s="73"/>
      <c r="IV1628" s="73"/>
      <c r="IW1628" s="73"/>
      <c r="IX1628" s="73"/>
      <c r="IY1628" s="73"/>
      <c r="IZ1628" s="73"/>
      <c r="JA1628" s="73"/>
      <c r="JB1628" s="73"/>
      <c r="JC1628" s="73"/>
    </row>
    <row r="1629" spans="2:263" s="72" customFormat="1">
      <c r="B1629" s="73"/>
      <c r="C1629" s="73"/>
      <c r="D1629" s="73"/>
      <c r="E1629" s="73"/>
      <c r="F1629" s="73"/>
      <c r="G1629" s="73"/>
      <c r="H1629" s="73"/>
      <c r="I1629" s="73"/>
      <c r="J1629" s="73"/>
      <c r="K1629" s="73"/>
      <c r="L1629" s="73"/>
      <c r="M1629" s="73"/>
      <c r="N1629" s="73"/>
      <c r="O1629" s="73"/>
      <c r="P1629" s="73"/>
      <c r="Q1629" s="73"/>
      <c r="R1629" s="73"/>
      <c r="S1629" s="73"/>
      <c r="T1629" s="73"/>
      <c r="U1629" s="73"/>
      <c r="V1629" s="73"/>
      <c r="W1629" s="73"/>
      <c r="GL1629" s="73"/>
      <c r="GM1629" s="73"/>
      <c r="GN1629" s="73"/>
      <c r="GO1629" s="73"/>
      <c r="GP1629" s="73"/>
      <c r="GQ1629" s="73"/>
      <c r="GR1629" s="73"/>
      <c r="GS1629" s="73"/>
      <c r="GT1629" s="73"/>
      <c r="GU1629" s="73"/>
      <c r="GV1629" s="73"/>
      <c r="GW1629" s="73"/>
      <c r="GX1629" s="73"/>
      <c r="GY1629" s="73"/>
      <c r="GZ1629" s="73"/>
      <c r="HA1629" s="73"/>
      <c r="HB1629" s="73"/>
      <c r="HC1629" s="73"/>
      <c r="HD1629" s="73"/>
      <c r="HE1629" s="73"/>
      <c r="HF1629" s="73"/>
      <c r="HG1629" s="73"/>
      <c r="HH1629" s="73"/>
      <c r="HI1629" s="73"/>
      <c r="HJ1629" s="73"/>
      <c r="HK1629" s="73"/>
      <c r="HL1629" s="73"/>
      <c r="HM1629" s="73"/>
      <c r="HN1629" s="73"/>
      <c r="HO1629" s="73"/>
      <c r="HP1629" s="73"/>
      <c r="HQ1629" s="73"/>
      <c r="HR1629" s="73"/>
      <c r="HS1629" s="73"/>
      <c r="HT1629" s="73"/>
      <c r="HU1629" s="73"/>
      <c r="HV1629" s="73"/>
      <c r="HW1629" s="73"/>
      <c r="HX1629" s="73"/>
      <c r="HY1629" s="73"/>
      <c r="HZ1629" s="73"/>
      <c r="IA1629" s="73"/>
      <c r="IB1629" s="73"/>
      <c r="IC1629" s="73"/>
      <c r="ID1629" s="73"/>
      <c r="IE1629" s="73"/>
      <c r="IF1629" s="73"/>
      <c r="IG1629" s="73"/>
      <c r="IH1629" s="73"/>
      <c r="II1629" s="73"/>
      <c r="IJ1629" s="73"/>
      <c r="IK1629" s="73"/>
      <c r="IL1629" s="73"/>
      <c r="IM1629" s="73"/>
      <c r="IN1629" s="73"/>
      <c r="IO1629" s="73"/>
      <c r="IP1629" s="73"/>
      <c r="IQ1629" s="73"/>
      <c r="IR1629" s="73"/>
      <c r="IS1629" s="73"/>
      <c r="IT1629" s="73"/>
      <c r="IU1629" s="73"/>
      <c r="IV1629" s="73"/>
      <c r="IW1629" s="73"/>
      <c r="IX1629" s="73"/>
      <c r="IY1629" s="73"/>
      <c r="IZ1629" s="73"/>
      <c r="JA1629" s="73"/>
      <c r="JB1629" s="73"/>
      <c r="JC1629" s="73"/>
    </row>
    <row r="1630" spans="2:263" s="72" customFormat="1">
      <c r="B1630" s="73"/>
      <c r="C1630" s="73"/>
      <c r="D1630" s="73"/>
      <c r="E1630" s="73"/>
      <c r="F1630" s="73"/>
      <c r="G1630" s="73"/>
      <c r="H1630" s="73"/>
      <c r="I1630" s="73"/>
      <c r="J1630" s="73"/>
      <c r="K1630" s="73"/>
      <c r="L1630" s="73"/>
      <c r="M1630" s="73"/>
      <c r="N1630" s="73"/>
      <c r="O1630" s="73"/>
      <c r="P1630" s="73"/>
      <c r="Q1630" s="73"/>
      <c r="R1630" s="73"/>
      <c r="S1630" s="73"/>
      <c r="T1630" s="73"/>
      <c r="U1630" s="73"/>
      <c r="V1630" s="73"/>
      <c r="W1630" s="73"/>
      <c r="GL1630" s="73"/>
      <c r="GM1630" s="73"/>
      <c r="GN1630" s="73"/>
      <c r="GO1630" s="73"/>
      <c r="GP1630" s="73"/>
      <c r="GQ1630" s="73"/>
      <c r="GR1630" s="73"/>
      <c r="GS1630" s="73"/>
      <c r="GT1630" s="73"/>
      <c r="GU1630" s="73"/>
      <c r="GV1630" s="73"/>
      <c r="GW1630" s="73"/>
      <c r="GX1630" s="73"/>
      <c r="GY1630" s="73"/>
      <c r="GZ1630" s="73"/>
      <c r="HA1630" s="73"/>
      <c r="HB1630" s="73"/>
      <c r="HC1630" s="73"/>
      <c r="HD1630" s="73"/>
      <c r="HE1630" s="73"/>
      <c r="HF1630" s="73"/>
      <c r="HG1630" s="73"/>
      <c r="HH1630" s="73"/>
      <c r="HI1630" s="73"/>
      <c r="HJ1630" s="73"/>
      <c r="HK1630" s="73"/>
      <c r="HL1630" s="73"/>
      <c r="HM1630" s="73"/>
      <c r="HN1630" s="73"/>
      <c r="HO1630" s="73"/>
      <c r="HP1630" s="73"/>
      <c r="HQ1630" s="73"/>
      <c r="HR1630" s="73"/>
      <c r="HS1630" s="73"/>
      <c r="HT1630" s="73"/>
      <c r="HU1630" s="73"/>
      <c r="HV1630" s="73"/>
      <c r="HW1630" s="73"/>
      <c r="HX1630" s="73"/>
      <c r="HY1630" s="73"/>
      <c r="HZ1630" s="73"/>
      <c r="IA1630" s="73"/>
      <c r="IB1630" s="73"/>
      <c r="IC1630" s="73"/>
      <c r="ID1630" s="73"/>
      <c r="IE1630" s="73"/>
      <c r="IF1630" s="73"/>
      <c r="IG1630" s="73"/>
      <c r="IH1630" s="73"/>
      <c r="II1630" s="73"/>
      <c r="IJ1630" s="73"/>
      <c r="IK1630" s="73"/>
      <c r="IL1630" s="73"/>
      <c r="IM1630" s="73"/>
      <c r="IN1630" s="73"/>
      <c r="IO1630" s="73"/>
      <c r="IP1630" s="73"/>
      <c r="IQ1630" s="73"/>
      <c r="IR1630" s="73"/>
      <c r="IS1630" s="73"/>
      <c r="IT1630" s="73"/>
      <c r="IU1630" s="73"/>
      <c r="IV1630" s="73"/>
      <c r="IW1630" s="73"/>
      <c r="IX1630" s="73"/>
      <c r="IY1630" s="73"/>
      <c r="IZ1630" s="73"/>
      <c r="JA1630" s="73"/>
      <c r="JB1630" s="73"/>
      <c r="JC1630" s="73"/>
    </row>
    <row r="1631" spans="2:263" s="72" customFormat="1">
      <c r="B1631" s="73"/>
      <c r="C1631" s="73"/>
      <c r="D1631" s="73"/>
      <c r="E1631" s="73"/>
      <c r="F1631" s="73"/>
      <c r="G1631" s="73"/>
      <c r="H1631" s="73"/>
      <c r="I1631" s="73"/>
      <c r="J1631" s="73"/>
      <c r="K1631" s="73"/>
      <c r="L1631" s="73"/>
      <c r="M1631" s="73"/>
      <c r="N1631" s="73"/>
      <c r="O1631" s="73"/>
      <c r="P1631" s="73"/>
      <c r="Q1631" s="73"/>
      <c r="R1631" s="73"/>
      <c r="S1631" s="73"/>
      <c r="T1631" s="73"/>
      <c r="U1631" s="73"/>
      <c r="V1631" s="73"/>
      <c r="W1631" s="73"/>
      <c r="GL1631" s="73"/>
      <c r="GM1631" s="73"/>
      <c r="GN1631" s="73"/>
      <c r="GO1631" s="73"/>
      <c r="GP1631" s="73"/>
      <c r="GQ1631" s="73"/>
      <c r="GR1631" s="73"/>
      <c r="GS1631" s="73"/>
      <c r="GT1631" s="73"/>
      <c r="GU1631" s="73"/>
      <c r="GV1631" s="73"/>
      <c r="GW1631" s="73"/>
      <c r="GX1631" s="73"/>
      <c r="GY1631" s="73"/>
      <c r="GZ1631" s="73"/>
      <c r="HA1631" s="73"/>
      <c r="HB1631" s="73"/>
      <c r="HC1631" s="73"/>
      <c r="HD1631" s="73"/>
      <c r="HE1631" s="73"/>
      <c r="HF1631" s="73"/>
      <c r="HG1631" s="73"/>
      <c r="HH1631" s="73"/>
      <c r="HI1631" s="73"/>
      <c r="HJ1631" s="73"/>
      <c r="HK1631" s="73"/>
      <c r="HL1631" s="73"/>
      <c r="HM1631" s="73"/>
      <c r="HN1631" s="73"/>
      <c r="HO1631" s="73"/>
      <c r="HP1631" s="73"/>
      <c r="HQ1631" s="73"/>
      <c r="HR1631" s="73"/>
      <c r="HS1631" s="73"/>
      <c r="HT1631" s="73"/>
      <c r="HU1631" s="73"/>
      <c r="HV1631" s="73"/>
      <c r="HW1631" s="73"/>
      <c r="HX1631" s="73"/>
      <c r="HY1631" s="73"/>
      <c r="HZ1631" s="73"/>
      <c r="IA1631" s="73"/>
      <c r="IB1631" s="73"/>
      <c r="IC1631" s="73"/>
      <c r="ID1631" s="73"/>
      <c r="IE1631" s="73"/>
      <c r="IF1631" s="73"/>
      <c r="IG1631" s="73"/>
      <c r="IH1631" s="73"/>
      <c r="II1631" s="73"/>
      <c r="IJ1631" s="73"/>
      <c r="IK1631" s="73"/>
      <c r="IL1631" s="73"/>
      <c r="IM1631" s="73"/>
      <c r="IN1631" s="73"/>
      <c r="IO1631" s="73"/>
      <c r="IP1631" s="73"/>
      <c r="IQ1631" s="73"/>
      <c r="IR1631" s="73"/>
      <c r="IS1631" s="73"/>
      <c r="IT1631" s="73"/>
      <c r="IU1631" s="73"/>
      <c r="IV1631" s="73"/>
      <c r="IW1631" s="73"/>
      <c r="IX1631" s="73"/>
      <c r="IY1631" s="73"/>
      <c r="IZ1631" s="73"/>
      <c r="JA1631" s="73"/>
      <c r="JB1631" s="73"/>
      <c r="JC1631" s="73"/>
    </row>
    <row r="1632" spans="2:263" s="72" customFormat="1">
      <c r="B1632" s="73"/>
      <c r="C1632" s="73"/>
      <c r="D1632" s="73"/>
      <c r="E1632" s="73"/>
      <c r="F1632" s="73"/>
      <c r="G1632" s="73"/>
      <c r="H1632" s="73"/>
      <c r="I1632" s="73"/>
      <c r="J1632" s="73"/>
      <c r="K1632" s="73"/>
      <c r="L1632" s="73"/>
      <c r="M1632" s="73"/>
      <c r="N1632" s="73"/>
      <c r="O1632" s="73"/>
      <c r="P1632" s="73"/>
      <c r="Q1632" s="73"/>
      <c r="R1632" s="73"/>
      <c r="S1632" s="73"/>
      <c r="T1632" s="73"/>
      <c r="U1632" s="73"/>
      <c r="V1632" s="73"/>
      <c r="W1632" s="73"/>
      <c r="GL1632" s="73"/>
      <c r="GM1632" s="73"/>
      <c r="GN1632" s="73"/>
      <c r="GO1632" s="73"/>
      <c r="GP1632" s="73"/>
      <c r="GQ1632" s="73"/>
      <c r="GR1632" s="73"/>
      <c r="GS1632" s="73"/>
      <c r="GT1632" s="73"/>
      <c r="GU1632" s="73"/>
      <c r="GV1632" s="73"/>
      <c r="GW1632" s="73"/>
      <c r="GX1632" s="73"/>
      <c r="GY1632" s="73"/>
      <c r="GZ1632" s="73"/>
      <c r="HA1632" s="73"/>
      <c r="HB1632" s="73"/>
      <c r="HC1632" s="73"/>
      <c r="HD1632" s="73"/>
      <c r="HE1632" s="73"/>
      <c r="HF1632" s="73"/>
      <c r="HG1632" s="73"/>
      <c r="HH1632" s="73"/>
      <c r="HI1632" s="73"/>
      <c r="HJ1632" s="73"/>
      <c r="HK1632" s="73"/>
      <c r="HL1632" s="73"/>
      <c r="HM1632" s="73"/>
      <c r="HN1632" s="73"/>
      <c r="HO1632" s="73"/>
      <c r="HP1632" s="73"/>
      <c r="HQ1632" s="73"/>
      <c r="HR1632" s="73"/>
      <c r="HS1632" s="73"/>
      <c r="HT1632" s="73"/>
      <c r="HU1632" s="73"/>
      <c r="HV1632" s="73"/>
      <c r="HW1632" s="73"/>
      <c r="HX1632" s="73"/>
      <c r="HY1632" s="73"/>
      <c r="HZ1632" s="73"/>
      <c r="IA1632" s="73"/>
      <c r="IB1632" s="73"/>
      <c r="IC1632" s="73"/>
      <c r="ID1632" s="73"/>
      <c r="IE1632" s="73"/>
      <c r="IF1632" s="73"/>
      <c r="IG1632" s="73"/>
      <c r="IH1632" s="73"/>
      <c r="II1632" s="73"/>
      <c r="IJ1632" s="73"/>
      <c r="IK1632" s="73"/>
      <c r="IL1632" s="73"/>
      <c r="IM1632" s="73"/>
      <c r="IN1632" s="73"/>
      <c r="IO1632" s="73"/>
      <c r="IP1632" s="73"/>
      <c r="IQ1632" s="73"/>
      <c r="IR1632" s="73"/>
      <c r="IS1632" s="73"/>
      <c r="IT1632" s="73"/>
      <c r="IU1632" s="73"/>
      <c r="IV1632" s="73"/>
      <c r="IW1632" s="73"/>
      <c r="IX1632" s="73"/>
      <c r="IY1632" s="73"/>
      <c r="IZ1632" s="73"/>
      <c r="JA1632" s="73"/>
      <c r="JB1632" s="73"/>
      <c r="JC1632" s="73"/>
    </row>
    <row r="1633" spans="2:263" s="72" customFormat="1">
      <c r="B1633" s="73"/>
      <c r="C1633" s="73"/>
      <c r="D1633" s="73"/>
      <c r="E1633" s="73"/>
      <c r="F1633" s="73"/>
      <c r="G1633" s="73"/>
      <c r="H1633" s="73"/>
      <c r="I1633" s="73"/>
      <c r="J1633" s="73"/>
      <c r="K1633" s="73"/>
      <c r="L1633" s="73"/>
      <c r="M1633" s="73"/>
      <c r="N1633" s="73"/>
      <c r="O1633" s="73"/>
      <c r="P1633" s="73"/>
      <c r="Q1633" s="73"/>
      <c r="R1633" s="73"/>
      <c r="S1633" s="73"/>
      <c r="T1633" s="73"/>
      <c r="U1633" s="73"/>
      <c r="V1633" s="73"/>
      <c r="W1633" s="73"/>
      <c r="GL1633" s="73"/>
      <c r="GM1633" s="73"/>
      <c r="GN1633" s="73"/>
      <c r="GO1633" s="73"/>
      <c r="GP1633" s="73"/>
      <c r="GQ1633" s="73"/>
      <c r="GR1633" s="73"/>
      <c r="GS1633" s="73"/>
      <c r="GT1633" s="73"/>
      <c r="GU1633" s="73"/>
      <c r="GV1633" s="73"/>
      <c r="GW1633" s="73"/>
      <c r="GX1633" s="73"/>
      <c r="GY1633" s="73"/>
      <c r="GZ1633" s="73"/>
      <c r="HA1633" s="73"/>
      <c r="HB1633" s="73"/>
      <c r="HC1633" s="73"/>
      <c r="HD1633" s="73"/>
      <c r="HE1633" s="73"/>
      <c r="HF1633" s="73"/>
      <c r="HG1633" s="73"/>
      <c r="HH1633" s="73"/>
      <c r="HI1633" s="73"/>
      <c r="HJ1633" s="73"/>
      <c r="HK1633" s="73"/>
      <c r="HL1633" s="73"/>
      <c r="HM1633" s="73"/>
      <c r="HN1633" s="73"/>
      <c r="HO1633" s="73"/>
      <c r="HP1633" s="73"/>
      <c r="HQ1633" s="73"/>
      <c r="HR1633" s="73"/>
      <c r="HS1633" s="73"/>
      <c r="HT1633" s="73"/>
      <c r="HU1633" s="73"/>
      <c r="HV1633" s="73"/>
      <c r="HW1633" s="73"/>
      <c r="HX1633" s="73"/>
      <c r="HY1633" s="73"/>
      <c r="HZ1633" s="73"/>
      <c r="IA1633" s="73"/>
      <c r="IB1633" s="73"/>
      <c r="IC1633" s="73"/>
      <c r="ID1633" s="73"/>
      <c r="IE1633" s="73"/>
      <c r="IF1633" s="73"/>
      <c r="IG1633" s="73"/>
      <c r="IH1633" s="73"/>
      <c r="II1633" s="73"/>
      <c r="IJ1633" s="73"/>
      <c r="IK1633" s="73"/>
      <c r="IL1633" s="73"/>
      <c r="IM1633" s="73"/>
      <c r="IN1633" s="73"/>
      <c r="IO1633" s="73"/>
      <c r="IP1633" s="73"/>
      <c r="IQ1633" s="73"/>
      <c r="IR1633" s="73"/>
      <c r="IS1633" s="73"/>
      <c r="IT1633" s="73"/>
      <c r="IU1633" s="73"/>
      <c r="IV1633" s="73"/>
      <c r="IW1633" s="73"/>
      <c r="IX1633" s="73"/>
      <c r="IY1633" s="73"/>
      <c r="IZ1633" s="73"/>
      <c r="JA1633" s="73"/>
      <c r="JB1633" s="73"/>
      <c r="JC1633" s="73"/>
    </row>
    <row r="1634" spans="2:263" s="72" customFormat="1">
      <c r="B1634" s="73"/>
      <c r="C1634" s="73"/>
      <c r="D1634" s="73"/>
      <c r="E1634" s="73"/>
      <c r="F1634" s="73"/>
      <c r="G1634" s="73"/>
      <c r="H1634" s="73"/>
      <c r="I1634" s="73"/>
      <c r="J1634" s="73"/>
      <c r="K1634" s="73"/>
      <c r="L1634" s="73"/>
      <c r="M1634" s="73"/>
      <c r="N1634" s="73"/>
      <c r="O1634" s="73"/>
      <c r="P1634" s="73"/>
      <c r="Q1634" s="73"/>
      <c r="R1634" s="73"/>
      <c r="S1634" s="73"/>
      <c r="T1634" s="73"/>
      <c r="U1634" s="73"/>
      <c r="V1634" s="73"/>
      <c r="W1634" s="73"/>
      <c r="GL1634" s="73"/>
      <c r="GM1634" s="73"/>
      <c r="GN1634" s="73"/>
      <c r="GO1634" s="73"/>
      <c r="GP1634" s="73"/>
      <c r="GQ1634" s="73"/>
      <c r="GR1634" s="73"/>
      <c r="GS1634" s="73"/>
      <c r="GT1634" s="73"/>
      <c r="GU1634" s="73"/>
      <c r="GV1634" s="73"/>
      <c r="GW1634" s="73"/>
      <c r="GX1634" s="73"/>
      <c r="GY1634" s="73"/>
      <c r="GZ1634" s="73"/>
      <c r="HA1634" s="73"/>
      <c r="HB1634" s="73"/>
      <c r="HC1634" s="73"/>
      <c r="HD1634" s="73"/>
      <c r="HE1634" s="73"/>
      <c r="HF1634" s="73"/>
      <c r="HG1634" s="73"/>
      <c r="HH1634" s="73"/>
      <c r="HI1634" s="73"/>
      <c r="HJ1634" s="73"/>
      <c r="HK1634" s="73"/>
      <c r="HL1634" s="73"/>
      <c r="HM1634" s="73"/>
      <c r="HN1634" s="73"/>
      <c r="HO1634" s="73"/>
      <c r="HP1634" s="73"/>
      <c r="HQ1634" s="73"/>
      <c r="HR1634" s="73"/>
      <c r="HS1634" s="73"/>
      <c r="HT1634" s="73"/>
      <c r="HU1634" s="73"/>
      <c r="HV1634" s="73"/>
      <c r="HW1634" s="73"/>
      <c r="HX1634" s="73"/>
      <c r="HY1634" s="73"/>
      <c r="HZ1634" s="73"/>
      <c r="IA1634" s="73"/>
      <c r="IB1634" s="73"/>
      <c r="IC1634" s="73"/>
      <c r="ID1634" s="73"/>
      <c r="IE1634" s="73"/>
      <c r="IF1634" s="73"/>
      <c r="IG1634" s="73"/>
      <c r="IH1634" s="73"/>
      <c r="II1634" s="73"/>
      <c r="IJ1634" s="73"/>
      <c r="IK1634" s="73"/>
      <c r="IL1634" s="73"/>
      <c r="IM1634" s="73"/>
      <c r="IN1634" s="73"/>
      <c r="IO1634" s="73"/>
      <c r="IP1634" s="73"/>
      <c r="IQ1634" s="73"/>
      <c r="IR1634" s="73"/>
      <c r="IS1634" s="73"/>
      <c r="IT1634" s="73"/>
      <c r="IU1634" s="73"/>
      <c r="IV1634" s="73"/>
      <c r="IW1634" s="73"/>
      <c r="IX1634" s="73"/>
      <c r="IY1634" s="73"/>
      <c r="IZ1634" s="73"/>
      <c r="JA1634" s="73"/>
      <c r="JB1634" s="73"/>
      <c r="JC1634" s="73"/>
    </row>
    <row r="1635" spans="2:263" s="72" customFormat="1">
      <c r="B1635" s="73"/>
      <c r="C1635" s="73"/>
      <c r="D1635" s="73"/>
      <c r="E1635" s="73"/>
      <c r="F1635" s="73"/>
      <c r="G1635" s="73"/>
      <c r="H1635" s="73"/>
      <c r="I1635" s="73"/>
      <c r="J1635" s="73"/>
      <c r="K1635" s="73"/>
      <c r="L1635" s="73"/>
      <c r="M1635" s="73"/>
      <c r="N1635" s="73"/>
      <c r="O1635" s="73"/>
      <c r="P1635" s="73"/>
      <c r="Q1635" s="73"/>
      <c r="R1635" s="73"/>
      <c r="S1635" s="73"/>
      <c r="T1635" s="73"/>
      <c r="U1635" s="73"/>
      <c r="V1635" s="73"/>
      <c r="W1635" s="73"/>
      <c r="GL1635" s="73"/>
      <c r="GM1635" s="73"/>
      <c r="GN1635" s="73"/>
      <c r="GO1635" s="73"/>
      <c r="GP1635" s="73"/>
      <c r="GQ1635" s="73"/>
      <c r="GR1635" s="73"/>
      <c r="GS1635" s="73"/>
      <c r="GT1635" s="73"/>
      <c r="GU1635" s="73"/>
      <c r="GV1635" s="73"/>
      <c r="GW1635" s="73"/>
      <c r="GX1635" s="73"/>
      <c r="GY1635" s="73"/>
      <c r="GZ1635" s="73"/>
      <c r="HA1635" s="73"/>
      <c r="HB1635" s="73"/>
      <c r="HC1635" s="73"/>
      <c r="HD1635" s="73"/>
      <c r="HE1635" s="73"/>
      <c r="HF1635" s="73"/>
      <c r="HG1635" s="73"/>
      <c r="HH1635" s="73"/>
      <c r="HI1635" s="73"/>
      <c r="HJ1635" s="73"/>
      <c r="HK1635" s="73"/>
      <c r="HL1635" s="73"/>
      <c r="HM1635" s="73"/>
      <c r="HN1635" s="73"/>
      <c r="HO1635" s="73"/>
      <c r="HP1635" s="73"/>
      <c r="HQ1635" s="73"/>
      <c r="HR1635" s="73"/>
      <c r="HS1635" s="73"/>
      <c r="HT1635" s="73"/>
      <c r="HU1635" s="73"/>
      <c r="HV1635" s="73"/>
      <c r="HW1635" s="73"/>
      <c r="HX1635" s="73"/>
      <c r="HY1635" s="73"/>
      <c r="HZ1635" s="73"/>
      <c r="IA1635" s="73"/>
      <c r="IB1635" s="73"/>
      <c r="IC1635" s="73"/>
      <c r="ID1635" s="73"/>
      <c r="IE1635" s="73"/>
      <c r="IF1635" s="73"/>
      <c r="IG1635" s="73"/>
      <c r="IH1635" s="73"/>
      <c r="II1635" s="73"/>
      <c r="IJ1635" s="73"/>
      <c r="IK1635" s="73"/>
      <c r="IL1635" s="73"/>
      <c r="IM1635" s="73"/>
      <c r="IN1635" s="73"/>
      <c r="IO1635" s="73"/>
      <c r="IP1635" s="73"/>
      <c r="IQ1635" s="73"/>
      <c r="IR1635" s="73"/>
      <c r="IS1635" s="73"/>
      <c r="IT1635" s="73"/>
      <c r="IU1635" s="73"/>
      <c r="IV1635" s="73"/>
      <c r="IW1635" s="73"/>
      <c r="IX1635" s="73"/>
      <c r="IY1635" s="73"/>
      <c r="IZ1635" s="73"/>
      <c r="JA1635" s="73"/>
      <c r="JB1635" s="73"/>
      <c r="JC1635" s="73"/>
    </row>
    <row r="1636" spans="2:263" s="72" customFormat="1">
      <c r="B1636" s="73"/>
      <c r="C1636" s="73"/>
      <c r="D1636" s="73"/>
      <c r="E1636" s="73"/>
      <c r="F1636" s="73"/>
      <c r="G1636" s="73"/>
      <c r="H1636" s="73"/>
      <c r="I1636" s="73"/>
      <c r="J1636" s="73"/>
      <c r="K1636" s="73"/>
      <c r="L1636" s="73"/>
      <c r="M1636" s="73"/>
      <c r="N1636" s="73"/>
      <c r="O1636" s="73"/>
      <c r="P1636" s="73"/>
      <c r="Q1636" s="73"/>
      <c r="R1636" s="73"/>
      <c r="S1636" s="73"/>
      <c r="T1636" s="73"/>
      <c r="U1636" s="73"/>
      <c r="V1636" s="73"/>
      <c r="W1636" s="73"/>
      <c r="GL1636" s="73"/>
      <c r="GM1636" s="73"/>
      <c r="GN1636" s="73"/>
      <c r="GO1636" s="73"/>
      <c r="GP1636" s="73"/>
      <c r="GQ1636" s="73"/>
      <c r="GR1636" s="73"/>
      <c r="GS1636" s="73"/>
      <c r="GT1636" s="73"/>
      <c r="GU1636" s="73"/>
      <c r="GV1636" s="73"/>
      <c r="GW1636" s="73"/>
      <c r="GX1636" s="73"/>
      <c r="GY1636" s="73"/>
      <c r="GZ1636" s="73"/>
      <c r="HA1636" s="73"/>
      <c r="HB1636" s="73"/>
      <c r="HC1636" s="73"/>
      <c r="HD1636" s="73"/>
      <c r="HE1636" s="73"/>
      <c r="HF1636" s="73"/>
      <c r="HG1636" s="73"/>
      <c r="HH1636" s="73"/>
      <c r="HI1636" s="73"/>
      <c r="HJ1636" s="73"/>
      <c r="HK1636" s="73"/>
      <c r="HL1636" s="73"/>
      <c r="HM1636" s="73"/>
      <c r="HN1636" s="73"/>
      <c r="HO1636" s="73"/>
      <c r="HP1636" s="73"/>
      <c r="HQ1636" s="73"/>
      <c r="HR1636" s="73"/>
      <c r="HS1636" s="73"/>
      <c r="HT1636" s="73"/>
      <c r="HU1636" s="73"/>
      <c r="HV1636" s="73"/>
      <c r="HW1636" s="73"/>
      <c r="HX1636" s="73"/>
      <c r="HY1636" s="73"/>
      <c r="HZ1636" s="73"/>
      <c r="IA1636" s="73"/>
      <c r="IB1636" s="73"/>
      <c r="IC1636" s="73"/>
      <c r="ID1636" s="73"/>
      <c r="IE1636" s="73"/>
      <c r="IF1636" s="73"/>
      <c r="IG1636" s="73"/>
      <c r="IH1636" s="73"/>
      <c r="II1636" s="73"/>
      <c r="IJ1636" s="73"/>
      <c r="IK1636" s="73"/>
      <c r="IL1636" s="73"/>
      <c r="IM1636" s="73"/>
      <c r="IN1636" s="73"/>
      <c r="IO1636" s="73"/>
      <c r="IP1636" s="73"/>
      <c r="IQ1636" s="73"/>
      <c r="IR1636" s="73"/>
      <c r="IS1636" s="73"/>
      <c r="IT1636" s="73"/>
      <c r="IU1636" s="73"/>
      <c r="IV1636" s="73"/>
      <c r="IW1636" s="73"/>
      <c r="IX1636" s="73"/>
      <c r="IY1636" s="73"/>
      <c r="IZ1636" s="73"/>
      <c r="JA1636" s="73"/>
      <c r="JB1636" s="73"/>
      <c r="JC1636" s="73"/>
    </row>
    <row r="1637" spans="2:263" s="72" customFormat="1">
      <c r="B1637" s="73"/>
      <c r="C1637" s="73"/>
      <c r="D1637" s="73"/>
      <c r="E1637" s="73"/>
      <c r="F1637" s="73"/>
      <c r="G1637" s="73"/>
      <c r="H1637" s="73"/>
      <c r="I1637" s="73"/>
      <c r="J1637" s="73"/>
      <c r="K1637" s="73"/>
      <c r="L1637" s="73"/>
      <c r="M1637" s="73"/>
      <c r="N1637" s="73"/>
      <c r="O1637" s="73"/>
      <c r="P1637" s="73"/>
      <c r="Q1637" s="73"/>
      <c r="R1637" s="73"/>
      <c r="S1637" s="73"/>
      <c r="T1637" s="73"/>
      <c r="U1637" s="73"/>
      <c r="V1637" s="73"/>
      <c r="W1637" s="73"/>
      <c r="GL1637" s="73"/>
      <c r="GM1637" s="73"/>
      <c r="GN1637" s="73"/>
      <c r="GO1637" s="73"/>
      <c r="GP1637" s="73"/>
      <c r="GQ1637" s="73"/>
      <c r="GR1637" s="73"/>
      <c r="GS1637" s="73"/>
      <c r="GT1637" s="73"/>
      <c r="GU1637" s="73"/>
      <c r="GV1637" s="73"/>
      <c r="GW1637" s="73"/>
      <c r="GX1637" s="73"/>
      <c r="GY1637" s="73"/>
      <c r="GZ1637" s="73"/>
      <c r="HA1637" s="73"/>
      <c r="HB1637" s="73"/>
      <c r="HC1637" s="73"/>
      <c r="HD1637" s="73"/>
      <c r="HE1637" s="73"/>
      <c r="HF1637" s="73"/>
      <c r="HG1637" s="73"/>
      <c r="HH1637" s="73"/>
      <c r="HI1637" s="73"/>
      <c r="HJ1637" s="73"/>
      <c r="HK1637" s="73"/>
      <c r="HL1637" s="73"/>
      <c r="HM1637" s="73"/>
      <c r="HN1637" s="73"/>
      <c r="HO1637" s="73"/>
      <c r="HP1637" s="73"/>
      <c r="HQ1637" s="73"/>
      <c r="HR1637" s="73"/>
      <c r="HS1637" s="73"/>
      <c r="HT1637" s="73"/>
      <c r="HU1637" s="73"/>
      <c r="HV1637" s="73"/>
      <c r="HW1637" s="73"/>
      <c r="HX1637" s="73"/>
      <c r="HY1637" s="73"/>
      <c r="HZ1637" s="73"/>
      <c r="IA1637" s="73"/>
      <c r="IB1637" s="73"/>
      <c r="IC1637" s="73"/>
      <c r="ID1637" s="73"/>
      <c r="IE1637" s="73"/>
      <c r="IF1637" s="73"/>
      <c r="IG1637" s="73"/>
      <c r="IH1637" s="73"/>
      <c r="II1637" s="73"/>
      <c r="IJ1637" s="73"/>
      <c r="IK1637" s="73"/>
      <c r="IL1637" s="73"/>
      <c r="IM1637" s="73"/>
      <c r="IN1637" s="73"/>
      <c r="IO1637" s="73"/>
      <c r="IP1637" s="73"/>
      <c r="IQ1637" s="73"/>
      <c r="IR1637" s="73"/>
      <c r="IS1637" s="73"/>
      <c r="IT1637" s="73"/>
      <c r="IU1637" s="73"/>
      <c r="IV1637" s="73"/>
      <c r="IW1637" s="73"/>
      <c r="IX1637" s="73"/>
      <c r="IY1637" s="73"/>
      <c r="IZ1637" s="73"/>
      <c r="JA1637" s="73"/>
      <c r="JB1637" s="73"/>
      <c r="JC1637" s="73"/>
    </row>
    <row r="1638" spans="2:263" s="72" customFormat="1">
      <c r="B1638" s="73"/>
      <c r="C1638" s="73"/>
      <c r="D1638" s="73"/>
      <c r="E1638" s="73"/>
      <c r="F1638" s="73"/>
      <c r="G1638" s="73"/>
      <c r="H1638" s="73"/>
      <c r="I1638" s="73"/>
      <c r="J1638" s="73"/>
      <c r="K1638" s="73"/>
      <c r="L1638" s="73"/>
      <c r="M1638" s="73"/>
      <c r="N1638" s="73"/>
      <c r="O1638" s="73"/>
      <c r="P1638" s="73"/>
      <c r="Q1638" s="73"/>
      <c r="R1638" s="73"/>
      <c r="S1638" s="73"/>
      <c r="T1638" s="73"/>
      <c r="U1638" s="73"/>
      <c r="V1638" s="73"/>
      <c r="W1638" s="73"/>
      <c r="GL1638" s="73"/>
      <c r="GM1638" s="73"/>
      <c r="GN1638" s="73"/>
      <c r="GO1638" s="73"/>
      <c r="GP1638" s="73"/>
      <c r="GQ1638" s="73"/>
      <c r="GR1638" s="73"/>
      <c r="GS1638" s="73"/>
      <c r="GT1638" s="73"/>
      <c r="GU1638" s="73"/>
      <c r="GV1638" s="73"/>
      <c r="GW1638" s="73"/>
      <c r="GX1638" s="73"/>
      <c r="GY1638" s="73"/>
      <c r="GZ1638" s="73"/>
      <c r="HA1638" s="73"/>
      <c r="HB1638" s="73"/>
      <c r="HC1638" s="73"/>
      <c r="HD1638" s="73"/>
      <c r="HE1638" s="73"/>
      <c r="HF1638" s="73"/>
      <c r="HG1638" s="73"/>
      <c r="HH1638" s="73"/>
      <c r="HI1638" s="73"/>
      <c r="HJ1638" s="73"/>
      <c r="HK1638" s="73"/>
      <c r="HL1638" s="73"/>
      <c r="HM1638" s="73"/>
      <c r="HN1638" s="73"/>
      <c r="HO1638" s="73"/>
      <c r="HP1638" s="73"/>
      <c r="HQ1638" s="73"/>
      <c r="HR1638" s="73"/>
      <c r="HS1638" s="73"/>
      <c r="HT1638" s="73"/>
      <c r="HU1638" s="73"/>
      <c r="HV1638" s="73"/>
      <c r="HW1638" s="73"/>
      <c r="HX1638" s="73"/>
      <c r="HY1638" s="73"/>
      <c r="HZ1638" s="73"/>
      <c r="IA1638" s="73"/>
      <c r="IB1638" s="73"/>
      <c r="IC1638" s="73"/>
      <c r="ID1638" s="73"/>
      <c r="IE1638" s="73"/>
      <c r="IF1638" s="73"/>
      <c r="IG1638" s="73"/>
      <c r="IH1638" s="73"/>
      <c r="II1638" s="73"/>
      <c r="IJ1638" s="73"/>
      <c r="IK1638" s="73"/>
      <c r="IL1638" s="73"/>
      <c r="IM1638" s="73"/>
      <c r="IN1638" s="73"/>
      <c r="IO1638" s="73"/>
      <c r="IP1638" s="73"/>
      <c r="IQ1638" s="73"/>
      <c r="IR1638" s="73"/>
      <c r="IS1638" s="73"/>
      <c r="IT1638" s="73"/>
      <c r="IU1638" s="73"/>
      <c r="IV1638" s="73"/>
      <c r="IW1638" s="73"/>
      <c r="IX1638" s="73"/>
      <c r="IY1638" s="73"/>
      <c r="IZ1638" s="73"/>
      <c r="JA1638" s="73"/>
      <c r="JB1638" s="73"/>
      <c r="JC1638" s="73"/>
    </row>
    <row r="1639" spans="2:263" s="72" customFormat="1">
      <c r="B1639" s="73"/>
      <c r="C1639" s="73"/>
      <c r="D1639" s="73"/>
      <c r="E1639" s="73"/>
      <c r="F1639" s="73"/>
      <c r="G1639" s="73"/>
      <c r="H1639" s="73"/>
      <c r="I1639" s="73"/>
      <c r="J1639" s="73"/>
      <c r="K1639" s="73"/>
      <c r="L1639" s="73"/>
      <c r="M1639" s="73"/>
      <c r="N1639" s="73"/>
      <c r="O1639" s="73"/>
      <c r="P1639" s="73"/>
      <c r="Q1639" s="73"/>
      <c r="R1639" s="73"/>
      <c r="S1639" s="73"/>
      <c r="T1639" s="73"/>
      <c r="U1639" s="73"/>
      <c r="V1639" s="73"/>
      <c r="W1639" s="73"/>
      <c r="GL1639" s="73"/>
      <c r="GM1639" s="73"/>
      <c r="GN1639" s="73"/>
      <c r="GO1639" s="73"/>
      <c r="GP1639" s="73"/>
      <c r="GQ1639" s="73"/>
      <c r="GR1639" s="73"/>
      <c r="GS1639" s="73"/>
      <c r="GT1639" s="73"/>
      <c r="GU1639" s="73"/>
      <c r="GV1639" s="73"/>
      <c r="GW1639" s="73"/>
      <c r="GX1639" s="73"/>
      <c r="GY1639" s="73"/>
      <c r="GZ1639" s="73"/>
      <c r="HA1639" s="73"/>
      <c r="HB1639" s="73"/>
      <c r="HC1639" s="73"/>
      <c r="HD1639" s="73"/>
      <c r="HE1639" s="73"/>
      <c r="HF1639" s="73"/>
      <c r="HG1639" s="73"/>
      <c r="HH1639" s="73"/>
      <c r="HI1639" s="73"/>
      <c r="HJ1639" s="73"/>
      <c r="HK1639" s="73"/>
      <c r="HL1639" s="73"/>
      <c r="HM1639" s="73"/>
      <c r="HN1639" s="73"/>
      <c r="HO1639" s="73"/>
      <c r="HP1639" s="73"/>
      <c r="HQ1639" s="73"/>
      <c r="HR1639" s="73"/>
      <c r="HS1639" s="73"/>
      <c r="HT1639" s="73"/>
      <c r="HU1639" s="73"/>
      <c r="HV1639" s="73"/>
      <c r="HW1639" s="73"/>
      <c r="HX1639" s="73"/>
      <c r="HY1639" s="73"/>
      <c r="HZ1639" s="73"/>
      <c r="IA1639" s="73"/>
      <c r="IB1639" s="73"/>
      <c r="IC1639" s="73"/>
      <c r="ID1639" s="73"/>
      <c r="IE1639" s="73"/>
      <c r="IF1639" s="73"/>
      <c r="IG1639" s="73"/>
      <c r="IH1639" s="73"/>
      <c r="II1639" s="73"/>
      <c r="IJ1639" s="73"/>
      <c r="IK1639" s="73"/>
      <c r="IL1639" s="73"/>
      <c r="IM1639" s="73"/>
      <c r="IN1639" s="73"/>
      <c r="IO1639" s="73"/>
      <c r="IP1639" s="73"/>
      <c r="IQ1639" s="73"/>
      <c r="IR1639" s="73"/>
      <c r="IS1639" s="73"/>
      <c r="IT1639" s="73"/>
      <c r="IU1639" s="73"/>
      <c r="IV1639" s="73"/>
      <c r="IW1639" s="73"/>
      <c r="IX1639" s="73"/>
      <c r="IY1639" s="73"/>
      <c r="IZ1639" s="73"/>
      <c r="JA1639" s="73"/>
      <c r="JB1639" s="73"/>
      <c r="JC1639" s="73"/>
    </row>
    <row r="1640" spans="2:263" s="72" customFormat="1">
      <c r="B1640" s="73"/>
      <c r="C1640" s="73"/>
      <c r="D1640" s="73"/>
      <c r="E1640" s="73"/>
      <c r="F1640" s="73"/>
      <c r="G1640" s="73"/>
      <c r="H1640" s="73"/>
      <c r="I1640" s="73"/>
      <c r="J1640" s="73"/>
      <c r="K1640" s="73"/>
      <c r="L1640" s="73"/>
      <c r="M1640" s="73"/>
      <c r="N1640" s="73"/>
      <c r="O1640" s="73"/>
      <c r="P1640" s="73"/>
      <c r="Q1640" s="73"/>
      <c r="R1640" s="73"/>
      <c r="S1640" s="73"/>
      <c r="T1640" s="73"/>
      <c r="U1640" s="73"/>
      <c r="V1640" s="73"/>
      <c r="W1640" s="73"/>
      <c r="GL1640" s="73"/>
      <c r="GM1640" s="73"/>
      <c r="GN1640" s="73"/>
      <c r="GO1640" s="73"/>
      <c r="GP1640" s="73"/>
      <c r="GQ1640" s="73"/>
      <c r="GR1640" s="73"/>
      <c r="GS1640" s="73"/>
      <c r="GT1640" s="73"/>
      <c r="GU1640" s="73"/>
      <c r="GV1640" s="73"/>
      <c r="GW1640" s="73"/>
      <c r="GX1640" s="73"/>
      <c r="GY1640" s="73"/>
      <c r="GZ1640" s="73"/>
      <c r="HA1640" s="73"/>
      <c r="HB1640" s="73"/>
      <c r="HC1640" s="73"/>
      <c r="HD1640" s="73"/>
      <c r="HE1640" s="73"/>
      <c r="HF1640" s="73"/>
      <c r="HG1640" s="73"/>
      <c r="HH1640" s="73"/>
      <c r="HI1640" s="73"/>
      <c r="HJ1640" s="73"/>
      <c r="HK1640" s="73"/>
      <c r="HL1640" s="73"/>
      <c r="HM1640" s="73"/>
      <c r="HN1640" s="73"/>
      <c r="HO1640" s="73"/>
      <c r="HP1640" s="73"/>
      <c r="HQ1640" s="73"/>
      <c r="HR1640" s="73"/>
      <c r="HS1640" s="73"/>
      <c r="HT1640" s="73"/>
      <c r="HU1640" s="73"/>
      <c r="HV1640" s="73"/>
      <c r="HW1640" s="73"/>
      <c r="HX1640" s="73"/>
      <c r="HY1640" s="73"/>
      <c r="HZ1640" s="73"/>
      <c r="IA1640" s="73"/>
      <c r="IB1640" s="73"/>
      <c r="IC1640" s="73"/>
      <c r="ID1640" s="73"/>
      <c r="IE1640" s="73"/>
      <c r="IF1640" s="73"/>
      <c r="IG1640" s="73"/>
      <c r="IH1640" s="73"/>
      <c r="II1640" s="73"/>
      <c r="IJ1640" s="73"/>
      <c r="IK1640" s="73"/>
      <c r="IL1640" s="73"/>
      <c r="IM1640" s="73"/>
      <c r="IN1640" s="73"/>
      <c r="IO1640" s="73"/>
      <c r="IP1640" s="73"/>
      <c r="IQ1640" s="73"/>
      <c r="IR1640" s="73"/>
      <c r="IS1640" s="73"/>
      <c r="IT1640" s="73"/>
      <c r="IU1640" s="73"/>
      <c r="IV1640" s="73"/>
      <c r="IW1640" s="73"/>
      <c r="IX1640" s="73"/>
      <c r="IY1640" s="73"/>
      <c r="IZ1640" s="73"/>
      <c r="JA1640" s="73"/>
      <c r="JB1640" s="73"/>
      <c r="JC1640" s="73"/>
    </row>
    <row r="1641" spans="2:263" s="72" customFormat="1">
      <c r="B1641" s="73"/>
      <c r="C1641" s="73"/>
      <c r="D1641" s="73"/>
      <c r="E1641" s="73"/>
      <c r="F1641" s="73"/>
      <c r="G1641" s="73"/>
      <c r="H1641" s="73"/>
      <c r="I1641" s="73"/>
      <c r="J1641" s="73"/>
      <c r="K1641" s="73"/>
      <c r="L1641" s="73"/>
      <c r="M1641" s="73"/>
      <c r="N1641" s="73"/>
      <c r="O1641" s="73"/>
      <c r="P1641" s="73"/>
      <c r="Q1641" s="73"/>
      <c r="R1641" s="73"/>
      <c r="S1641" s="73"/>
      <c r="T1641" s="73"/>
      <c r="U1641" s="73"/>
      <c r="V1641" s="73"/>
      <c r="W1641" s="73"/>
      <c r="GL1641" s="73"/>
      <c r="GM1641" s="73"/>
      <c r="GN1641" s="73"/>
      <c r="GO1641" s="73"/>
      <c r="GP1641" s="73"/>
      <c r="GQ1641" s="73"/>
      <c r="GR1641" s="73"/>
      <c r="GS1641" s="73"/>
      <c r="GT1641" s="73"/>
      <c r="GU1641" s="73"/>
      <c r="GV1641" s="73"/>
      <c r="GW1641" s="73"/>
      <c r="GX1641" s="73"/>
      <c r="GY1641" s="73"/>
      <c r="GZ1641" s="73"/>
      <c r="HA1641" s="73"/>
      <c r="HB1641" s="73"/>
      <c r="HC1641" s="73"/>
      <c r="HD1641" s="73"/>
      <c r="HE1641" s="73"/>
      <c r="HF1641" s="73"/>
      <c r="HG1641" s="73"/>
      <c r="HH1641" s="73"/>
      <c r="HI1641" s="73"/>
      <c r="HJ1641" s="73"/>
      <c r="HK1641" s="73"/>
      <c r="HL1641" s="73"/>
      <c r="HM1641" s="73"/>
      <c r="HN1641" s="73"/>
      <c r="HO1641" s="73"/>
      <c r="HP1641" s="73"/>
      <c r="HQ1641" s="73"/>
      <c r="HR1641" s="73"/>
      <c r="HS1641" s="73"/>
      <c r="HT1641" s="73"/>
      <c r="HU1641" s="73"/>
      <c r="HV1641" s="73"/>
      <c r="HW1641" s="73"/>
      <c r="HX1641" s="73"/>
      <c r="HY1641" s="73"/>
      <c r="HZ1641" s="73"/>
      <c r="IA1641" s="73"/>
      <c r="IB1641" s="73"/>
      <c r="IC1641" s="73"/>
      <c r="ID1641" s="73"/>
      <c r="IE1641" s="73"/>
      <c r="IF1641" s="73"/>
      <c r="IG1641" s="73"/>
      <c r="IH1641" s="73"/>
      <c r="II1641" s="73"/>
      <c r="IJ1641" s="73"/>
      <c r="IK1641" s="73"/>
      <c r="IL1641" s="73"/>
      <c r="IM1641" s="73"/>
      <c r="IN1641" s="73"/>
      <c r="IO1641" s="73"/>
      <c r="IP1641" s="73"/>
      <c r="IQ1641" s="73"/>
      <c r="IR1641" s="73"/>
      <c r="IS1641" s="73"/>
      <c r="IT1641" s="73"/>
      <c r="IU1641" s="73"/>
      <c r="IV1641" s="73"/>
      <c r="IW1641" s="73"/>
      <c r="IX1641" s="73"/>
      <c r="IY1641" s="73"/>
      <c r="IZ1641" s="73"/>
      <c r="JA1641" s="73"/>
      <c r="JB1641" s="73"/>
      <c r="JC1641" s="73"/>
    </row>
    <row r="1642" spans="2:263" s="72" customFormat="1">
      <c r="B1642" s="73"/>
      <c r="C1642" s="73"/>
      <c r="D1642" s="73"/>
      <c r="E1642" s="73"/>
      <c r="F1642" s="73"/>
      <c r="G1642" s="73"/>
      <c r="H1642" s="73"/>
      <c r="I1642" s="73"/>
      <c r="J1642" s="73"/>
      <c r="K1642" s="73"/>
      <c r="L1642" s="73"/>
      <c r="M1642" s="73"/>
      <c r="N1642" s="73"/>
      <c r="O1642" s="73"/>
      <c r="P1642" s="73"/>
      <c r="Q1642" s="73"/>
      <c r="R1642" s="73"/>
      <c r="S1642" s="73"/>
      <c r="T1642" s="73"/>
      <c r="U1642" s="73"/>
      <c r="V1642" s="73"/>
      <c r="W1642" s="73"/>
      <c r="GL1642" s="73"/>
      <c r="GM1642" s="73"/>
      <c r="GN1642" s="73"/>
      <c r="GO1642" s="73"/>
      <c r="GP1642" s="73"/>
      <c r="GQ1642" s="73"/>
      <c r="GR1642" s="73"/>
      <c r="GS1642" s="73"/>
      <c r="GT1642" s="73"/>
      <c r="GU1642" s="73"/>
      <c r="GV1642" s="73"/>
      <c r="GW1642" s="73"/>
      <c r="GX1642" s="73"/>
      <c r="GY1642" s="73"/>
      <c r="GZ1642" s="73"/>
      <c r="HA1642" s="73"/>
      <c r="HB1642" s="73"/>
      <c r="HC1642" s="73"/>
      <c r="HD1642" s="73"/>
      <c r="HE1642" s="73"/>
      <c r="HF1642" s="73"/>
      <c r="HG1642" s="73"/>
      <c r="HH1642" s="73"/>
      <c r="HI1642" s="73"/>
      <c r="HJ1642" s="73"/>
      <c r="HK1642" s="73"/>
      <c r="HL1642" s="73"/>
      <c r="HM1642" s="73"/>
      <c r="HN1642" s="73"/>
      <c r="HO1642" s="73"/>
      <c r="HP1642" s="73"/>
      <c r="HQ1642" s="73"/>
      <c r="HR1642" s="73"/>
      <c r="HS1642" s="73"/>
      <c r="HT1642" s="73"/>
      <c r="HU1642" s="73"/>
      <c r="HV1642" s="73"/>
      <c r="HW1642" s="73"/>
      <c r="HX1642" s="73"/>
      <c r="HY1642" s="73"/>
      <c r="HZ1642" s="73"/>
      <c r="IA1642" s="73"/>
      <c r="IB1642" s="73"/>
      <c r="IC1642" s="73"/>
      <c r="ID1642" s="73"/>
      <c r="IE1642" s="73"/>
      <c r="IF1642" s="73"/>
      <c r="IG1642" s="73"/>
      <c r="IH1642" s="73"/>
      <c r="II1642" s="73"/>
      <c r="IJ1642" s="73"/>
      <c r="IK1642" s="73"/>
      <c r="IL1642" s="73"/>
      <c r="IM1642" s="73"/>
      <c r="IN1642" s="73"/>
      <c r="IO1642" s="73"/>
      <c r="IP1642" s="73"/>
      <c r="IQ1642" s="73"/>
      <c r="IR1642" s="73"/>
      <c r="IS1642" s="73"/>
      <c r="IT1642" s="73"/>
      <c r="IU1642" s="73"/>
      <c r="IV1642" s="73"/>
      <c r="IW1642" s="73"/>
      <c r="IX1642" s="73"/>
      <c r="IY1642" s="73"/>
      <c r="IZ1642" s="73"/>
      <c r="JA1642" s="73"/>
      <c r="JB1642" s="73"/>
      <c r="JC1642" s="73"/>
    </row>
    <row r="1643" spans="2:263" s="72" customFormat="1">
      <c r="B1643" s="73"/>
      <c r="C1643" s="73"/>
      <c r="D1643" s="73"/>
      <c r="E1643" s="73"/>
      <c r="F1643" s="73"/>
      <c r="G1643" s="73"/>
      <c r="H1643" s="73"/>
      <c r="I1643" s="73"/>
      <c r="J1643" s="73"/>
      <c r="K1643" s="73"/>
      <c r="L1643" s="73"/>
      <c r="M1643" s="73"/>
      <c r="N1643" s="73"/>
      <c r="O1643" s="73"/>
      <c r="P1643" s="73"/>
      <c r="Q1643" s="73"/>
      <c r="R1643" s="73"/>
      <c r="S1643" s="73"/>
      <c r="T1643" s="73"/>
      <c r="U1643" s="73"/>
      <c r="V1643" s="73"/>
      <c r="W1643" s="73"/>
      <c r="GL1643" s="73"/>
      <c r="GM1643" s="73"/>
      <c r="GN1643" s="73"/>
      <c r="GO1643" s="73"/>
      <c r="GP1643" s="73"/>
      <c r="GQ1643" s="73"/>
      <c r="GR1643" s="73"/>
      <c r="GS1643" s="73"/>
      <c r="GT1643" s="73"/>
      <c r="GU1643" s="73"/>
      <c r="GV1643" s="73"/>
      <c r="GW1643" s="73"/>
      <c r="GX1643" s="73"/>
      <c r="GY1643" s="73"/>
      <c r="GZ1643" s="73"/>
      <c r="HA1643" s="73"/>
      <c r="HB1643" s="73"/>
      <c r="HC1643" s="73"/>
      <c r="HD1643" s="73"/>
      <c r="HE1643" s="73"/>
      <c r="HF1643" s="73"/>
      <c r="HG1643" s="73"/>
      <c r="HH1643" s="73"/>
      <c r="HI1643" s="73"/>
      <c r="HJ1643" s="73"/>
      <c r="HK1643" s="73"/>
      <c r="HL1643" s="73"/>
      <c r="HM1643" s="73"/>
      <c r="HN1643" s="73"/>
      <c r="HO1643" s="73"/>
      <c r="HP1643" s="73"/>
      <c r="HQ1643" s="73"/>
      <c r="HR1643" s="73"/>
      <c r="HS1643" s="73"/>
      <c r="HT1643" s="73"/>
      <c r="HU1643" s="73"/>
      <c r="HV1643" s="73"/>
      <c r="HW1643" s="73"/>
      <c r="HX1643" s="73"/>
      <c r="HY1643" s="73"/>
      <c r="HZ1643" s="73"/>
      <c r="IA1643" s="73"/>
      <c r="IB1643" s="73"/>
      <c r="IC1643" s="73"/>
      <c r="ID1643" s="73"/>
      <c r="IE1643" s="73"/>
      <c r="IF1643" s="73"/>
      <c r="IG1643" s="73"/>
      <c r="IH1643" s="73"/>
      <c r="II1643" s="73"/>
      <c r="IJ1643" s="73"/>
      <c r="IK1643" s="73"/>
      <c r="IL1643" s="73"/>
      <c r="IM1643" s="73"/>
      <c r="IN1643" s="73"/>
      <c r="IO1643" s="73"/>
      <c r="IP1643" s="73"/>
      <c r="IQ1643" s="73"/>
      <c r="IR1643" s="73"/>
      <c r="IS1643" s="73"/>
      <c r="IT1643" s="73"/>
      <c r="IU1643" s="73"/>
      <c r="IV1643" s="73"/>
      <c r="IW1643" s="73"/>
      <c r="IX1643" s="73"/>
      <c r="IY1643" s="73"/>
      <c r="IZ1643" s="73"/>
      <c r="JA1643" s="73"/>
      <c r="JB1643" s="73"/>
      <c r="JC1643" s="73"/>
    </row>
    <row r="1644" spans="2:263" s="72" customFormat="1">
      <c r="B1644" s="73"/>
      <c r="C1644" s="73"/>
      <c r="D1644" s="73"/>
      <c r="E1644" s="73"/>
      <c r="F1644" s="73"/>
      <c r="G1644" s="73"/>
      <c r="H1644" s="73"/>
      <c r="I1644" s="73"/>
      <c r="J1644" s="73"/>
      <c r="K1644" s="73"/>
      <c r="L1644" s="73"/>
      <c r="M1644" s="73"/>
      <c r="N1644" s="73"/>
      <c r="O1644" s="73"/>
      <c r="P1644" s="73"/>
      <c r="Q1644" s="73"/>
      <c r="R1644" s="73"/>
      <c r="S1644" s="73"/>
      <c r="T1644" s="73"/>
      <c r="U1644" s="73"/>
      <c r="V1644" s="73"/>
      <c r="W1644" s="73"/>
      <c r="GL1644" s="73"/>
      <c r="GM1644" s="73"/>
      <c r="GN1644" s="73"/>
      <c r="GO1644" s="73"/>
      <c r="GP1644" s="73"/>
      <c r="GQ1644" s="73"/>
      <c r="GR1644" s="73"/>
      <c r="GS1644" s="73"/>
      <c r="GT1644" s="73"/>
      <c r="GU1644" s="73"/>
      <c r="GV1644" s="73"/>
      <c r="GW1644" s="73"/>
      <c r="GX1644" s="73"/>
      <c r="GY1644" s="73"/>
      <c r="GZ1644" s="73"/>
      <c r="HA1644" s="73"/>
      <c r="HB1644" s="73"/>
      <c r="HC1644" s="73"/>
      <c r="HD1644" s="73"/>
      <c r="HE1644" s="73"/>
      <c r="HF1644" s="73"/>
      <c r="HG1644" s="73"/>
      <c r="HH1644" s="73"/>
      <c r="HI1644" s="73"/>
      <c r="HJ1644" s="73"/>
      <c r="HK1644" s="73"/>
      <c r="HL1644" s="73"/>
      <c r="HM1644" s="73"/>
      <c r="HN1644" s="73"/>
      <c r="HO1644" s="73"/>
      <c r="HP1644" s="73"/>
      <c r="HQ1644" s="73"/>
      <c r="HR1644" s="73"/>
      <c r="HS1644" s="73"/>
      <c r="HT1644" s="73"/>
      <c r="HU1644" s="73"/>
      <c r="HV1644" s="73"/>
      <c r="HW1644" s="73"/>
      <c r="HX1644" s="73"/>
      <c r="HY1644" s="73"/>
      <c r="HZ1644" s="73"/>
      <c r="IA1644" s="73"/>
      <c r="IB1644" s="73"/>
      <c r="IC1644" s="73"/>
      <c r="ID1644" s="73"/>
      <c r="IE1644" s="73"/>
      <c r="IF1644" s="73"/>
      <c r="IG1644" s="73"/>
      <c r="IH1644" s="73"/>
      <c r="II1644" s="73"/>
      <c r="IJ1644" s="73"/>
      <c r="IK1644" s="73"/>
      <c r="IL1644" s="73"/>
      <c r="IM1644" s="73"/>
      <c r="IN1644" s="73"/>
      <c r="IO1644" s="73"/>
      <c r="IP1644" s="73"/>
      <c r="IQ1644" s="73"/>
      <c r="IR1644" s="73"/>
      <c r="IS1644" s="73"/>
      <c r="IT1644" s="73"/>
      <c r="IU1644" s="73"/>
      <c r="IV1644" s="73"/>
      <c r="IW1644" s="73"/>
      <c r="IX1644" s="73"/>
      <c r="IY1644" s="73"/>
      <c r="IZ1644" s="73"/>
      <c r="JA1644" s="73"/>
      <c r="JB1644" s="73"/>
      <c r="JC1644" s="73"/>
    </row>
    <row r="1645" spans="2:263" s="72" customFormat="1">
      <c r="B1645" s="73"/>
      <c r="C1645" s="73"/>
      <c r="D1645" s="73"/>
      <c r="E1645" s="73"/>
      <c r="F1645" s="73"/>
      <c r="G1645" s="73"/>
      <c r="H1645" s="73"/>
      <c r="I1645" s="73"/>
      <c r="J1645" s="73"/>
      <c r="K1645" s="73"/>
      <c r="L1645" s="73"/>
      <c r="M1645" s="73"/>
      <c r="N1645" s="73"/>
      <c r="O1645" s="73"/>
      <c r="P1645" s="73"/>
      <c r="Q1645" s="73"/>
      <c r="R1645" s="73"/>
      <c r="S1645" s="73"/>
      <c r="T1645" s="73"/>
      <c r="U1645" s="73"/>
      <c r="V1645" s="73"/>
      <c r="W1645" s="73"/>
      <c r="GL1645" s="73"/>
      <c r="GM1645" s="73"/>
      <c r="GN1645" s="73"/>
      <c r="GO1645" s="73"/>
      <c r="GP1645" s="73"/>
      <c r="GQ1645" s="73"/>
      <c r="GR1645" s="73"/>
      <c r="GS1645" s="73"/>
      <c r="GT1645" s="73"/>
      <c r="GU1645" s="73"/>
      <c r="GV1645" s="73"/>
      <c r="GW1645" s="73"/>
      <c r="GX1645" s="73"/>
      <c r="GY1645" s="73"/>
      <c r="GZ1645" s="73"/>
      <c r="HA1645" s="73"/>
      <c r="HB1645" s="73"/>
      <c r="HC1645" s="73"/>
      <c r="HD1645" s="73"/>
      <c r="HE1645" s="73"/>
      <c r="HF1645" s="73"/>
      <c r="HG1645" s="73"/>
      <c r="HH1645" s="73"/>
      <c r="HI1645" s="73"/>
      <c r="HJ1645" s="73"/>
      <c r="HK1645" s="73"/>
      <c r="HL1645" s="73"/>
      <c r="HM1645" s="73"/>
      <c r="HN1645" s="73"/>
      <c r="HO1645" s="73"/>
      <c r="HP1645" s="73"/>
      <c r="HQ1645" s="73"/>
      <c r="HR1645" s="73"/>
      <c r="HS1645" s="73"/>
      <c r="HT1645" s="73"/>
      <c r="HU1645" s="73"/>
      <c r="HV1645" s="73"/>
      <c r="HW1645" s="73"/>
      <c r="HX1645" s="73"/>
      <c r="HY1645" s="73"/>
      <c r="HZ1645" s="73"/>
      <c r="IA1645" s="73"/>
      <c r="IB1645" s="73"/>
      <c r="IC1645" s="73"/>
      <c r="ID1645" s="73"/>
      <c r="IE1645" s="73"/>
      <c r="IF1645" s="73"/>
      <c r="IG1645" s="73"/>
      <c r="IH1645" s="73"/>
      <c r="II1645" s="73"/>
      <c r="IJ1645" s="73"/>
      <c r="IK1645" s="73"/>
      <c r="IL1645" s="73"/>
      <c r="IM1645" s="73"/>
      <c r="IN1645" s="73"/>
      <c r="IO1645" s="73"/>
      <c r="IP1645" s="73"/>
      <c r="IQ1645" s="73"/>
      <c r="IR1645" s="73"/>
      <c r="IS1645" s="73"/>
      <c r="IT1645" s="73"/>
      <c r="IU1645" s="73"/>
      <c r="IV1645" s="73"/>
      <c r="IW1645" s="73"/>
      <c r="IX1645" s="73"/>
      <c r="IY1645" s="73"/>
      <c r="IZ1645" s="73"/>
      <c r="JA1645" s="73"/>
      <c r="JB1645" s="73"/>
      <c r="JC1645" s="73"/>
    </row>
    <row r="1646" spans="2:263" s="72" customFormat="1">
      <c r="B1646" s="73"/>
      <c r="C1646" s="73"/>
      <c r="D1646" s="73"/>
      <c r="E1646" s="73"/>
      <c r="F1646" s="73"/>
      <c r="G1646" s="73"/>
      <c r="H1646" s="73"/>
      <c r="I1646" s="73"/>
      <c r="J1646" s="73"/>
      <c r="K1646" s="73"/>
      <c r="L1646" s="73"/>
      <c r="M1646" s="73"/>
      <c r="N1646" s="73"/>
      <c r="O1646" s="73"/>
      <c r="P1646" s="73"/>
      <c r="Q1646" s="73"/>
      <c r="R1646" s="73"/>
      <c r="S1646" s="73"/>
      <c r="T1646" s="73"/>
      <c r="U1646" s="73"/>
      <c r="V1646" s="73"/>
      <c r="W1646" s="73"/>
      <c r="GL1646" s="73"/>
      <c r="GM1646" s="73"/>
      <c r="GN1646" s="73"/>
      <c r="GO1646" s="73"/>
      <c r="GP1646" s="73"/>
      <c r="GQ1646" s="73"/>
      <c r="GR1646" s="73"/>
      <c r="GS1646" s="73"/>
      <c r="GT1646" s="73"/>
      <c r="GU1646" s="73"/>
      <c r="GV1646" s="73"/>
      <c r="GW1646" s="73"/>
      <c r="GX1646" s="73"/>
      <c r="GY1646" s="73"/>
      <c r="GZ1646" s="73"/>
      <c r="HA1646" s="73"/>
      <c r="HB1646" s="73"/>
      <c r="HC1646" s="73"/>
      <c r="HD1646" s="73"/>
      <c r="HE1646" s="73"/>
      <c r="HF1646" s="73"/>
      <c r="HG1646" s="73"/>
      <c r="HH1646" s="73"/>
      <c r="HI1646" s="73"/>
      <c r="HJ1646" s="73"/>
      <c r="HK1646" s="73"/>
      <c r="HL1646" s="73"/>
      <c r="HM1646" s="73"/>
      <c r="HN1646" s="73"/>
      <c r="HO1646" s="73"/>
      <c r="HP1646" s="73"/>
      <c r="HQ1646" s="73"/>
      <c r="HR1646" s="73"/>
      <c r="HS1646" s="73"/>
      <c r="HT1646" s="73"/>
      <c r="HU1646" s="73"/>
      <c r="HV1646" s="73"/>
      <c r="HW1646" s="73"/>
      <c r="HX1646" s="73"/>
      <c r="HY1646" s="73"/>
      <c r="HZ1646" s="73"/>
      <c r="IA1646" s="73"/>
      <c r="IB1646" s="73"/>
      <c r="IC1646" s="73"/>
      <c r="ID1646" s="73"/>
      <c r="IE1646" s="73"/>
      <c r="IF1646" s="73"/>
      <c r="IG1646" s="73"/>
      <c r="IH1646" s="73"/>
      <c r="II1646" s="73"/>
      <c r="IJ1646" s="73"/>
      <c r="IK1646" s="73"/>
      <c r="IL1646" s="73"/>
      <c r="IM1646" s="73"/>
      <c r="IN1646" s="73"/>
      <c r="IO1646" s="73"/>
      <c r="IP1646" s="73"/>
      <c r="IQ1646" s="73"/>
      <c r="IR1646" s="73"/>
      <c r="IS1646" s="73"/>
      <c r="IT1646" s="73"/>
      <c r="IU1646" s="73"/>
      <c r="IV1646" s="73"/>
      <c r="IW1646" s="73"/>
      <c r="IX1646" s="73"/>
      <c r="IY1646" s="73"/>
      <c r="IZ1646" s="73"/>
      <c r="JA1646" s="73"/>
      <c r="JB1646" s="73"/>
      <c r="JC1646" s="73"/>
    </row>
    <row r="1647" spans="2:263" s="72" customFormat="1">
      <c r="B1647" s="73"/>
      <c r="C1647" s="73"/>
      <c r="D1647" s="73"/>
      <c r="E1647" s="73"/>
      <c r="F1647" s="73"/>
      <c r="G1647" s="73"/>
      <c r="H1647" s="73"/>
      <c r="I1647" s="73"/>
      <c r="J1647" s="73"/>
      <c r="K1647" s="73"/>
      <c r="L1647" s="73"/>
      <c r="M1647" s="73"/>
      <c r="N1647" s="73"/>
      <c r="O1647" s="73"/>
      <c r="P1647" s="73"/>
      <c r="Q1647" s="73"/>
      <c r="R1647" s="73"/>
      <c r="S1647" s="73"/>
      <c r="T1647" s="73"/>
      <c r="U1647" s="73"/>
      <c r="V1647" s="73"/>
      <c r="W1647" s="73"/>
      <c r="GL1647" s="73"/>
      <c r="GM1647" s="73"/>
      <c r="GN1647" s="73"/>
      <c r="GO1647" s="73"/>
      <c r="GP1647" s="73"/>
      <c r="GQ1647" s="73"/>
      <c r="GR1647" s="73"/>
      <c r="GS1647" s="73"/>
      <c r="GT1647" s="73"/>
      <c r="GU1647" s="73"/>
      <c r="GV1647" s="73"/>
      <c r="GW1647" s="73"/>
      <c r="GX1647" s="73"/>
      <c r="GY1647" s="73"/>
      <c r="GZ1647" s="73"/>
      <c r="HA1647" s="73"/>
      <c r="HB1647" s="73"/>
      <c r="HC1647" s="73"/>
      <c r="HD1647" s="73"/>
      <c r="HE1647" s="73"/>
      <c r="HF1647" s="73"/>
      <c r="HG1647" s="73"/>
      <c r="HH1647" s="73"/>
      <c r="HI1647" s="73"/>
      <c r="HJ1647" s="73"/>
      <c r="HK1647" s="73"/>
      <c r="HL1647" s="73"/>
      <c r="HM1647" s="73"/>
      <c r="HN1647" s="73"/>
      <c r="HO1647" s="73"/>
      <c r="HP1647" s="73"/>
      <c r="HQ1647" s="73"/>
      <c r="HR1647" s="73"/>
      <c r="HS1647" s="73"/>
      <c r="HT1647" s="73"/>
      <c r="HU1647" s="73"/>
      <c r="HV1647" s="73"/>
      <c r="HW1647" s="73"/>
      <c r="HX1647" s="73"/>
      <c r="HY1647" s="73"/>
      <c r="HZ1647" s="73"/>
      <c r="IA1647" s="73"/>
      <c r="IB1647" s="73"/>
      <c r="IC1647" s="73"/>
      <c r="ID1647" s="73"/>
      <c r="IE1647" s="73"/>
      <c r="IF1647" s="73"/>
      <c r="IG1647" s="73"/>
      <c r="IH1647" s="73"/>
      <c r="II1647" s="73"/>
      <c r="IJ1647" s="73"/>
      <c r="IK1647" s="73"/>
      <c r="IL1647" s="73"/>
      <c r="IM1647" s="73"/>
      <c r="IN1647" s="73"/>
      <c r="IO1647" s="73"/>
      <c r="IP1647" s="73"/>
      <c r="IQ1647" s="73"/>
      <c r="IR1647" s="73"/>
      <c r="IS1647" s="73"/>
      <c r="IT1647" s="73"/>
      <c r="IU1647" s="73"/>
      <c r="IV1647" s="73"/>
      <c r="IW1647" s="73"/>
      <c r="IX1647" s="73"/>
      <c r="IY1647" s="73"/>
      <c r="IZ1647" s="73"/>
      <c r="JA1647" s="73"/>
      <c r="JB1647" s="73"/>
      <c r="JC1647" s="73"/>
    </row>
    <row r="1648" spans="2:263" s="72" customFormat="1">
      <c r="B1648" s="73"/>
      <c r="C1648" s="73"/>
      <c r="D1648" s="73"/>
      <c r="E1648" s="73"/>
      <c r="F1648" s="73"/>
      <c r="G1648" s="73"/>
      <c r="H1648" s="73"/>
      <c r="I1648" s="73"/>
      <c r="J1648" s="73"/>
      <c r="K1648" s="73"/>
      <c r="L1648" s="73"/>
      <c r="M1648" s="73"/>
      <c r="N1648" s="73"/>
      <c r="O1648" s="73"/>
      <c r="P1648" s="73"/>
      <c r="Q1648" s="73"/>
      <c r="R1648" s="73"/>
      <c r="S1648" s="73"/>
      <c r="T1648" s="73"/>
      <c r="U1648" s="73"/>
      <c r="V1648" s="73"/>
      <c r="W1648" s="73"/>
      <c r="GL1648" s="73"/>
      <c r="GM1648" s="73"/>
      <c r="GN1648" s="73"/>
      <c r="GO1648" s="73"/>
      <c r="GP1648" s="73"/>
      <c r="GQ1648" s="73"/>
      <c r="GR1648" s="73"/>
      <c r="GS1648" s="73"/>
      <c r="GT1648" s="73"/>
      <c r="GU1648" s="73"/>
      <c r="GV1648" s="73"/>
      <c r="GW1648" s="73"/>
      <c r="GX1648" s="73"/>
      <c r="GY1648" s="73"/>
      <c r="GZ1648" s="73"/>
      <c r="HA1648" s="73"/>
      <c r="HB1648" s="73"/>
      <c r="HC1648" s="73"/>
      <c r="HD1648" s="73"/>
      <c r="HE1648" s="73"/>
      <c r="HF1648" s="73"/>
      <c r="HG1648" s="73"/>
      <c r="HH1648" s="73"/>
      <c r="HI1648" s="73"/>
      <c r="HJ1648" s="73"/>
      <c r="HK1648" s="73"/>
      <c r="HL1648" s="73"/>
      <c r="HM1648" s="73"/>
      <c r="HN1648" s="73"/>
      <c r="HO1648" s="73"/>
      <c r="HP1648" s="73"/>
      <c r="HQ1648" s="73"/>
      <c r="HR1648" s="73"/>
      <c r="HS1648" s="73"/>
      <c r="HT1648" s="73"/>
      <c r="HU1648" s="73"/>
      <c r="HV1648" s="73"/>
      <c r="HW1648" s="73"/>
      <c r="HX1648" s="73"/>
      <c r="HY1648" s="73"/>
      <c r="HZ1648" s="73"/>
      <c r="IA1648" s="73"/>
      <c r="IB1648" s="73"/>
      <c r="IC1648" s="73"/>
      <c r="ID1648" s="73"/>
      <c r="IE1648" s="73"/>
      <c r="IF1648" s="73"/>
      <c r="IG1648" s="73"/>
      <c r="IH1648" s="73"/>
      <c r="II1648" s="73"/>
      <c r="IJ1648" s="73"/>
      <c r="IK1648" s="73"/>
      <c r="IL1648" s="73"/>
      <c r="IM1648" s="73"/>
      <c r="IN1648" s="73"/>
      <c r="IO1648" s="73"/>
      <c r="IP1648" s="73"/>
      <c r="IQ1648" s="73"/>
      <c r="IR1648" s="73"/>
      <c r="IS1648" s="73"/>
      <c r="IT1648" s="73"/>
      <c r="IU1648" s="73"/>
      <c r="IV1648" s="73"/>
      <c r="IW1648" s="73"/>
      <c r="IX1648" s="73"/>
      <c r="IY1648" s="73"/>
      <c r="IZ1648" s="73"/>
      <c r="JA1648" s="73"/>
      <c r="JB1648" s="73"/>
      <c r="JC1648" s="73"/>
    </row>
    <row r="1649" spans="2:263" s="72" customFormat="1">
      <c r="B1649" s="73"/>
      <c r="C1649" s="73"/>
      <c r="D1649" s="73"/>
      <c r="E1649" s="73"/>
      <c r="F1649" s="73"/>
      <c r="G1649" s="73"/>
      <c r="H1649" s="73"/>
      <c r="I1649" s="73"/>
      <c r="J1649" s="73"/>
      <c r="K1649" s="73"/>
      <c r="L1649" s="73"/>
      <c r="M1649" s="73"/>
      <c r="N1649" s="73"/>
      <c r="O1649" s="73"/>
      <c r="P1649" s="73"/>
      <c r="Q1649" s="73"/>
      <c r="R1649" s="73"/>
      <c r="S1649" s="73"/>
      <c r="T1649" s="73"/>
      <c r="U1649" s="73"/>
      <c r="V1649" s="73"/>
      <c r="W1649" s="73"/>
      <c r="GL1649" s="73"/>
      <c r="GM1649" s="73"/>
      <c r="GN1649" s="73"/>
      <c r="GO1649" s="73"/>
      <c r="GP1649" s="73"/>
      <c r="GQ1649" s="73"/>
      <c r="GR1649" s="73"/>
      <c r="GS1649" s="73"/>
      <c r="GT1649" s="73"/>
      <c r="GU1649" s="73"/>
      <c r="GV1649" s="73"/>
      <c r="GW1649" s="73"/>
      <c r="GX1649" s="73"/>
      <c r="GY1649" s="73"/>
      <c r="GZ1649" s="73"/>
      <c r="HA1649" s="73"/>
      <c r="HB1649" s="73"/>
      <c r="HC1649" s="73"/>
      <c r="HD1649" s="73"/>
      <c r="HE1649" s="73"/>
      <c r="HF1649" s="73"/>
      <c r="HG1649" s="73"/>
      <c r="HH1649" s="73"/>
      <c r="HI1649" s="73"/>
      <c r="HJ1649" s="73"/>
      <c r="HK1649" s="73"/>
      <c r="HL1649" s="73"/>
      <c r="HM1649" s="73"/>
      <c r="HN1649" s="73"/>
      <c r="HO1649" s="73"/>
      <c r="HP1649" s="73"/>
      <c r="HQ1649" s="73"/>
      <c r="HR1649" s="73"/>
      <c r="HS1649" s="73"/>
      <c r="HT1649" s="73"/>
      <c r="HU1649" s="73"/>
      <c r="HV1649" s="73"/>
      <c r="HW1649" s="73"/>
      <c r="HX1649" s="73"/>
      <c r="HY1649" s="73"/>
      <c r="HZ1649" s="73"/>
      <c r="IA1649" s="73"/>
      <c r="IB1649" s="73"/>
      <c r="IC1649" s="73"/>
      <c r="ID1649" s="73"/>
      <c r="IE1649" s="73"/>
      <c r="IF1649" s="73"/>
      <c r="IG1649" s="73"/>
      <c r="IH1649" s="73"/>
      <c r="II1649" s="73"/>
      <c r="IJ1649" s="73"/>
      <c r="IK1649" s="73"/>
      <c r="IL1649" s="73"/>
      <c r="IM1649" s="73"/>
      <c r="IN1649" s="73"/>
      <c r="IO1649" s="73"/>
      <c r="IP1649" s="73"/>
      <c r="IQ1649" s="73"/>
      <c r="IR1649" s="73"/>
      <c r="IS1649" s="73"/>
      <c r="IT1649" s="73"/>
      <c r="IU1649" s="73"/>
      <c r="IV1649" s="73"/>
      <c r="IW1649" s="73"/>
      <c r="IX1649" s="73"/>
      <c r="IY1649" s="73"/>
      <c r="IZ1649" s="73"/>
      <c r="JA1649" s="73"/>
      <c r="JB1649" s="73"/>
      <c r="JC1649" s="73"/>
    </row>
    <row r="1650" spans="2:263" s="72" customFormat="1">
      <c r="B1650" s="73"/>
      <c r="C1650" s="73"/>
      <c r="D1650" s="73"/>
      <c r="E1650" s="73"/>
      <c r="F1650" s="73"/>
      <c r="G1650" s="73"/>
      <c r="H1650" s="73"/>
      <c r="I1650" s="73"/>
      <c r="J1650" s="73"/>
      <c r="K1650" s="73"/>
      <c r="L1650" s="73"/>
      <c r="M1650" s="73"/>
      <c r="N1650" s="73"/>
      <c r="O1650" s="73"/>
      <c r="P1650" s="73"/>
      <c r="Q1650" s="73"/>
      <c r="R1650" s="73"/>
      <c r="S1650" s="73"/>
      <c r="T1650" s="73"/>
      <c r="U1650" s="73"/>
      <c r="V1650" s="73"/>
      <c r="W1650" s="73"/>
      <c r="GL1650" s="73"/>
      <c r="GM1650" s="73"/>
      <c r="GN1650" s="73"/>
      <c r="GO1650" s="73"/>
      <c r="GP1650" s="73"/>
      <c r="GQ1650" s="73"/>
      <c r="GR1650" s="73"/>
      <c r="GS1650" s="73"/>
      <c r="GT1650" s="73"/>
      <c r="GU1650" s="73"/>
      <c r="GV1650" s="73"/>
      <c r="GW1650" s="73"/>
      <c r="GX1650" s="73"/>
      <c r="GY1650" s="73"/>
      <c r="GZ1650" s="73"/>
      <c r="HA1650" s="73"/>
      <c r="HB1650" s="73"/>
      <c r="HC1650" s="73"/>
      <c r="HD1650" s="73"/>
      <c r="HE1650" s="73"/>
      <c r="HF1650" s="73"/>
      <c r="HG1650" s="73"/>
      <c r="HH1650" s="73"/>
      <c r="HI1650" s="73"/>
      <c r="HJ1650" s="73"/>
      <c r="HK1650" s="73"/>
      <c r="HL1650" s="73"/>
      <c r="HM1650" s="73"/>
      <c r="HN1650" s="73"/>
      <c r="HO1650" s="73"/>
      <c r="HP1650" s="73"/>
      <c r="HQ1650" s="73"/>
      <c r="HR1650" s="73"/>
      <c r="HS1650" s="73"/>
      <c r="HT1650" s="73"/>
      <c r="HU1650" s="73"/>
      <c r="HV1650" s="73"/>
      <c r="HW1650" s="73"/>
      <c r="HX1650" s="73"/>
      <c r="HY1650" s="73"/>
      <c r="HZ1650" s="73"/>
      <c r="IA1650" s="73"/>
      <c r="IB1650" s="73"/>
      <c r="IC1650" s="73"/>
      <c r="ID1650" s="73"/>
      <c r="IE1650" s="73"/>
      <c r="IF1650" s="73"/>
      <c r="IG1650" s="73"/>
      <c r="IH1650" s="73"/>
      <c r="II1650" s="73"/>
      <c r="IJ1650" s="73"/>
      <c r="IK1650" s="73"/>
      <c r="IL1650" s="73"/>
      <c r="IM1650" s="73"/>
      <c r="IN1650" s="73"/>
      <c r="IO1650" s="73"/>
      <c r="IP1650" s="73"/>
      <c r="IQ1650" s="73"/>
      <c r="IR1650" s="73"/>
      <c r="IS1650" s="73"/>
      <c r="IT1650" s="73"/>
      <c r="IU1650" s="73"/>
      <c r="IV1650" s="73"/>
      <c r="IW1650" s="73"/>
      <c r="IX1650" s="73"/>
      <c r="IY1650" s="73"/>
      <c r="IZ1650" s="73"/>
      <c r="JA1650" s="73"/>
      <c r="JB1650" s="73"/>
      <c r="JC1650" s="73"/>
    </row>
    <row r="1651" spans="2:263" s="72" customFormat="1">
      <c r="B1651" s="73"/>
      <c r="C1651" s="73"/>
      <c r="D1651" s="73"/>
      <c r="E1651" s="73"/>
      <c r="F1651" s="73"/>
      <c r="G1651" s="73"/>
      <c r="H1651" s="73"/>
      <c r="I1651" s="73"/>
      <c r="J1651" s="73"/>
      <c r="K1651" s="73"/>
      <c r="L1651" s="73"/>
      <c r="M1651" s="73"/>
      <c r="N1651" s="73"/>
      <c r="O1651" s="73"/>
      <c r="P1651" s="73"/>
      <c r="Q1651" s="73"/>
      <c r="R1651" s="73"/>
      <c r="S1651" s="73"/>
      <c r="T1651" s="73"/>
      <c r="U1651" s="73"/>
      <c r="V1651" s="73"/>
      <c r="W1651" s="73"/>
      <c r="GL1651" s="73"/>
      <c r="GM1651" s="73"/>
      <c r="GN1651" s="73"/>
      <c r="GO1651" s="73"/>
      <c r="GP1651" s="73"/>
      <c r="GQ1651" s="73"/>
      <c r="GR1651" s="73"/>
      <c r="GS1651" s="73"/>
      <c r="GT1651" s="73"/>
      <c r="GU1651" s="73"/>
      <c r="GV1651" s="73"/>
      <c r="GW1651" s="73"/>
      <c r="GX1651" s="73"/>
      <c r="GY1651" s="73"/>
      <c r="GZ1651" s="73"/>
      <c r="HA1651" s="73"/>
      <c r="HB1651" s="73"/>
      <c r="HC1651" s="73"/>
      <c r="HD1651" s="73"/>
      <c r="HE1651" s="73"/>
      <c r="HF1651" s="73"/>
      <c r="HG1651" s="73"/>
      <c r="HH1651" s="73"/>
      <c r="HI1651" s="73"/>
      <c r="HJ1651" s="73"/>
      <c r="HK1651" s="73"/>
      <c r="HL1651" s="73"/>
      <c r="HM1651" s="73"/>
      <c r="HN1651" s="73"/>
      <c r="HO1651" s="73"/>
      <c r="HP1651" s="73"/>
      <c r="HQ1651" s="73"/>
      <c r="HR1651" s="73"/>
      <c r="HS1651" s="73"/>
      <c r="HT1651" s="73"/>
      <c r="HU1651" s="73"/>
      <c r="HV1651" s="73"/>
      <c r="HW1651" s="73"/>
      <c r="HX1651" s="73"/>
      <c r="HY1651" s="73"/>
      <c r="HZ1651" s="73"/>
      <c r="IA1651" s="73"/>
      <c r="IB1651" s="73"/>
      <c r="IC1651" s="73"/>
      <c r="ID1651" s="73"/>
      <c r="IE1651" s="73"/>
      <c r="IF1651" s="73"/>
      <c r="IG1651" s="73"/>
      <c r="IH1651" s="73"/>
      <c r="II1651" s="73"/>
      <c r="IJ1651" s="73"/>
      <c r="IK1651" s="73"/>
      <c r="IL1651" s="73"/>
      <c r="IM1651" s="73"/>
      <c r="IN1651" s="73"/>
      <c r="IO1651" s="73"/>
      <c r="IP1651" s="73"/>
      <c r="IQ1651" s="73"/>
      <c r="IR1651" s="73"/>
      <c r="IS1651" s="73"/>
      <c r="IT1651" s="73"/>
      <c r="IU1651" s="73"/>
      <c r="IV1651" s="73"/>
      <c r="IW1651" s="73"/>
      <c r="IX1651" s="73"/>
      <c r="IY1651" s="73"/>
      <c r="IZ1651" s="73"/>
      <c r="JA1651" s="73"/>
      <c r="JB1651" s="73"/>
      <c r="JC1651" s="73"/>
    </row>
    <row r="1652" spans="2:263" s="72" customFormat="1">
      <c r="B1652" s="73"/>
      <c r="C1652" s="73"/>
      <c r="D1652" s="73"/>
      <c r="E1652" s="73"/>
      <c r="F1652" s="73"/>
      <c r="G1652" s="73"/>
      <c r="H1652" s="73"/>
      <c r="I1652" s="73"/>
      <c r="J1652" s="73"/>
      <c r="K1652" s="73"/>
      <c r="L1652" s="73"/>
      <c r="M1652" s="73"/>
      <c r="N1652" s="73"/>
      <c r="O1652" s="73"/>
      <c r="P1652" s="73"/>
      <c r="Q1652" s="73"/>
      <c r="R1652" s="73"/>
      <c r="S1652" s="73"/>
      <c r="T1652" s="73"/>
      <c r="U1652" s="73"/>
      <c r="V1652" s="73"/>
      <c r="W1652" s="73"/>
      <c r="GL1652" s="73"/>
      <c r="GM1652" s="73"/>
      <c r="GN1652" s="73"/>
      <c r="GO1652" s="73"/>
      <c r="GP1652" s="73"/>
      <c r="GQ1652" s="73"/>
      <c r="GR1652" s="73"/>
      <c r="GS1652" s="73"/>
      <c r="GT1652" s="73"/>
      <c r="GU1652" s="73"/>
      <c r="GV1652" s="73"/>
      <c r="GW1652" s="73"/>
      <c r="GX1652" s="73"/>
      <c r="GY1652" s="73"/>
      <c r="GZ1652" s="73"/>
      <c r="HA1652" s="73"/>
      <c r="HB1652" s="73"/>
      <c r="HC1652" s="73"/>
      <c r="HD1652" s="73"/>
      <c r="HE1652" s="73"/>
      <c r="HF1652" s="73"/>
      <c r="HG1652" s="73"/>
      <c r="HH1652" s="73"/>
      <c r="HI1652" s="73"/>
      <c r="HJ1652" s="73"/>
      <c r="HK1652" s="73"/>
      <c r="HL1652" s="73"/>
      <c r="HM1652" s="73"/>
      <c r="HN1652" s="73"/>
      <c r="HO1652" s="73"/>
      <c r="HP1652" s="73"/>
      <c r="HQ1652" s="73"/>
      <c r="HR1652" s="73"/>
      <c r="HS1652" s="73"/>
      <c r="HT1652" s="73"/>
      <c r="HU1652" s="73"/>
      <c r="HV1652" s="73"/>
      <c r="HW1652" s="73"/>
      <c r="HX1652" s="73"/>
      <c r="HY1652" s="73"/>
      <c r="HZ1652" s="73"/>
      <c r="IA1652" s="73"/>
      <c r="IB1652" s="73"/>
      <c r="IC1652" s="73"/>
      <c r="ID1652" s="73"/>
      <c r="IE1652" s="73"/>
      <c r="IF1652" s="73"/>
      <c r="IG1652" s="73"/>
      <c r="IH1652" s="73"/>
      <c r="II1652" s="73"/>
      <c r="IJ1652" s="73"/>
      <c r="IK1652" s="73"/>
      <c r="IL1652" s="73"/>
      <c r="IM1652" s="73"/>
      <c r="IN1652" s="73"/>
      <c r="IO1652" s="73"/>
      <c r="IP1652" s="73"/>
      <c r="IQ1652" s="73"/>
      <c r="IR1652" s="73"/>
      <c r="IS1652" s="73"/>
      <c r="IT1652" s="73"/>
      <c r="IU1652" s="73"/>
      <c r="IV1652" s="73"/>
      <c r="IW1652" s="73"/>
      <c r="IX1652" s="73"/>
      <c r="IY1652" s="73"/>
      <c r="IZ1652" s="73"/>
      <c r="JA1652" s="73"/>
      <c r="JB1652" s="73"/>
      <c r="JC1652" s="73"/>
    </row>
    <row r="1653" spans="2:263" s="72" customFormat="1">
      <c r="B1653" s="73"/>
      <c r="C1653" s="73"/>
      <c r="D1653" s="73"/>
      <c r="E1653" s="73"/>
      <c r="F1653" s="73"/>
      <c r="G1653" s="73"/>
      <c r="H1653" s="73"/>
      <c r="I1653" s="73"/>
      <c r="J1653" s="73"/>
      <c r="K1653" s="73"/>
      <c r="L1653" s="73"/>
      <c r="M1653" s="73"/>
      <c r="N1653" s="73"/>
      <c r="O1653" s="73"/>
      <c r="P1653" s="73"/>
      <c r="Q1653" s="73"/>
      <c r="R1653" s="73"/>
      <c r="S1653" s="73"/>
      <c r="T1653" s="73"/>
      <c r="U1653" s="73"/>
      <c r="V1653" s="73"/>
      <c r="W1653" s="73"/>
      <c r="GL1653" s="73"/>
      <c r="GM1653" s="73"/>
      <c r="GN1653" s="73"/>
      <c r="GO1653" s="73"/>
      <c r="GP1653" s="73"/>
      <c r="GQ1653" s="73"/>
      <c r="GR1653" s="73"/>
      <c r="GS1653" s="73"/>
      <c r="GT1653" s="73"/>
      <c r="GU1653" s="73"/>
      <c r="GV1653" s="73"/>
      <c r="GW1653" s="73"/>
      <c r="GX1653" s="73"/>
      <c r="GY1653" s="73"/>
      <c r="GZ1653" s="73"/>
      <c r="HA1653" s="73"/>
      <c r="HB1653" s="73"/>
      <c r="HC1653" s="73"/>
      <c r="HD1653" s="73"/>
      <c r="HE1653" s="73"/>
      <c r="HF1653" s="73"/>
      <c r="HG1653" s="73"/>
      <c r="HH1653" s="73"/>
      <c r="HI1653" s="73"/>
      <c r="HJ1653" s="73"/>
      <c r="HK1653" s="73"/>
      <c r="HL1653" s="73"/>
      <c r="HM1653" s="73"/>
      <c r="HN1653" s="73"/>
      <c r="HO1653" s="73"/>
      <c r="HP1653" s="73"/>
      <c r="HQ1653" s="73"/>
      <c r="HR1653" s="73"/>
      <c r="HS1653" s="73"/>
      <c r="HT1653" s="73"/>
      <c r="HU1653" s="73"/>
      <c r="HV1653" s="73"/>
      <c r="HW1653" s="73"/>
      <c r="HX1653" s="73"/>
      <c r="HY1653" s="73"/>
      <c r="HZ1653" s="73"/>
      <c r="IA1653" s="73"/>
      <c r="IB1653" s="73"/>
      <c r="IC1653" s="73"/>
      <c r="ID1653" s="73"/>
      <c r="IE1653" s="73"/>
      <c r="IF1653" s="73"/>
      <c r="IG1653" s="73"/>
      <c r="IH1653" s="73"/>
      <c r="II1653" s="73"/>
      <c r="IJ1653" s="73"/>
      <c r="IK1653" s="73"/>
      <c r="IL1653" s="73"/>
      <c r="IM1653" s="73"/>
      <c r="IN1653" s="73"/>
      <c r="IO1653" s="73"/>
      <c r="IP1653" s="73"/>
      <c r="IQ1653" s="73"/>
      <c r="IR1653" s="73"/>
      <c r="IS1653" s="73"/>
      <c r="IT1653" s="73"/>
      <c r="IU1653" s="73"/>
      <c r="IV1653" s="73"/>
      <c r="IW1653" s="73"/>
      <c r="IX1653" s="73"/>
      <c r="IY1653" s="73"/>
      <c r="IZ1653" s="73"/>
      <c r="JA1653" s="73"/>
      <c r="JB1653" s="73"/>
      <c r="JC1653" s="73"/>
    </row>
    <row r="1654" spans="2:263" s="72" customFormat="1">
      <c r="B1654" s="73"/>
      <c r="C1654" s="73"/>
      <c r="D1654" s="73"/>
      <c r="E1654" s="73"/>
      <c r="F1654" s="73"/>
      <c r="G1654" s="73"/>
      <c r="H1654" s="73"/>
      <c r="I1654" s="73"/>
      <c r="J1654" s="73"/>
      <c r="K1654" s="73"/>
      <c r="L1654" s="73"/>
      <c r="M1654" s="73"/>
      <c r="N1654" s="73"/>
      <c r="O1654" s="73"/>
      <c r="P1654" s="73"/>
      <c r="Q1654" s="73"/>
      <c r="R1654" s="73"/>
      <c r="S1654" s="73"/>
      <c r="T1654" s="73"/>
      <c r="U1654" s="73"/>
      <c r="V1654" s="73"/>
      <c r="W1654" s="73"/>
      <c r="GL1654" s="73"/>
      <c r="GM1654" s="73"/>
      <c r="GN1654" s="73"/>
      <c r="GO1654" s="73"/>
      <c r="GP1654" s="73"/>
      <c r="GQ1654" s="73"/>
      <c r="GR1654" s="73"/>
      <c r="GS1654" s="73"/>
      <c r="GT1654" s="73"/>
      <c r="GU1654" s="73"/>
      <c r="GV1654" s="73"/>
      <c r="GW1654" s="73"/>
      <c r="GX1654" s="73"/>
      <c r="GY1654" s="73"/>
      <c r="GZ1654" s="73"/>
      <c r="HA1654" s="73"/>
      <c r="HB1654" s="73"/>
      <c r="HC1654" s="73"/>
      <c r="HD1654" s="73"/>
      <c r="HE1654" s="73"/>
      <c r="HF1654" s="73"/>
      <c r="HG1654" s="73"/>
      <c r="HH1654" s="73"/>
      <c r="HI1654" s="73"/>
      <c r="HJ1654" s="73"/>
      <c r="HK1654" s="73"/>
      <c r="HL1654" s="73"/>
      <c r="HM1654" s="73"/>
      <c r="HN1654" s="73"/>
      <c r="HO1654" s="73"/>
      <c r="HP1654" s="73"/>
      <c r="HQ1654" s="73"/>
      <c r="HR1654" s="73"/>
      <c r="HS1654" s="73"/>
      <c r="HT1654" s="73"/>
      <c r="HU1654" s="73"/>
      <c r="HV1654" s="73"/>
      <c r="HW1654" s="73"/>
      <c r="HX1654" s="73"/>
      <c r="HY1654" s="73"/>
      <c r="HZ1654" s="73"/>
      <c r="IA1654" s="73"/>
      <c r="IB1654" s="73"/>
      <c r="IC1654" s="73"/>
      <c r="ID1654" s="73"/>
      <c r="IE1654" s="73"/>
      <c r="IF1654" s="73"/>
      <c r="IG1654" s="73"/>
      <c r="IH1654" s="73"/>
      <c r="II1654" s="73"/>
      <c r="IJ1654" s="73"/>
      <c r="IK1654" s="73"/>
      <c r="IL1654" s="73"/>
      <c r="IM1654" s="73"/>
      <c r="IN1654" s="73"/>
      <c r="IO1654" s="73"/>
      <c r="IP1654" s="73"/>
      <c r="IQ1654" s="73"/>
      <c r="IR1654" s="73"/>
      <c r="IS1654" s="73"/>
      <c r="IT1654" s="73"/>
      <c r="IU1654" s="73"/>
      <c r="IV1654" s="73"/>
      <c r="IW1654" s="73"/>
      <c r="IX1654" s="73"/>
      <c r="IY1654" s="73"/>
      <c r="IZ1654" s="73"/>
      <c r="JA1654" s="73"/>
      <c r="JB1654" s="73"/>
      <c r="JC1654" s="73"/>
    </row>
    <row r="1655" spans="2:263" s="72" customFormat="1">
      <c r="B1655" s="73"/>
      <c r="C1655" s="73"/>
      <c r="D1655" s="73"/>
      <c r="E1655" s="73"/>
      <c r="F1655" s="73"/>
      <c r="G1655" s="73"/>
      <c r="H1655" s="73"/>
      <c r="I1655" s="73"/>
      <c r="J1655" s="73"/>
      <c r="K1655" s="73"/>
      <c r="L1655" s="73"/>
      <c r="M1655" s="73"/>
      <c r="N1655" s="73"/>
      <c r="O1655" s="73"/>
      <c r="P1655" s="73"/>
      <c r="Q1655" s="73"/>
      <c r="R1655" s="73"/>
      <c r="S1655" s="73"/>
      <c r="T1655" s="73"/>
      <c r="U1655" s="73"/>
      <c r="V1655" s="73"/>
      <c r="W1655" s="73"/>
      <c r="GL1655" s="73"/>
      <c r="GM1655" s="73"/>
      <c r="GN1655" s="73"/>
      <c r="GO1655" s="73"/>
      <c r="GP1655" s="73"/>
      <c r="GQ1655" s="73"/>
      <c r="GR1655" s="73"/>
      <c r="GS1655" s="73"/>
      <c r="GT1655" s="73"/>
      <c r="GU1655" s="73"/>
      <c r="GV1655" s="73"/>
      <c r="GW1655" s="73"/>
      <c r="GX1655" s="73"/>
      <c r="GY1655" s="73"/>
      <c r="GZ1655" s="73"/>
      <c r="HA1655" s="73"/>
      <c r="HB1655" s="73"/>
      <c r="HC1655" s="73"/>
      <c r="HD1655" s="73"/>
      <c r="HE1655" s="73"/>
      <c r="HF1655" s="73"/>
      <c r="HG1655" s="73"/>
      <c r="HH1655" s="73"/>
      <c r="HI1655" s="73"/>
      <c r="HJ1655" s="73"/>
      <c r="HK1655" s="73"/>
      <c r="HL1655" s="73"/>
      <c r="HM1655" s="73"/>
      <c r="HN1655" s="73"/>
      <c r="HO1655" s="73"/>
      <c r="HP1655" s="73"/>
      <c r="HQ1655" s="73"/>
      <c r="HR1655" s="73"/>
      <c r="HS1655" s="73"/>
      <c r="HT1655" s="73"/>
      <c r="HU1655" s="73"/>
      <c r="HV1655" s="73"/>
      <c r="HW1655" s="73"/>
      <c r="HX1655" s="73"/>
      <c r="HY1655" s="73"/>
      <c r="HZ1655" s="73"/>
      <c r="IA1655" s="73"/>
      <c r="IB1655" s="73"/>
      <c r="IC1655" s="73"/>
      <c r="ID1655" s="73"/>
      <c r="IE1655" s="73"/>
      <c r="IF1655" s="73"/>
      <c r="IG1655" s="73"/>
      <c r="IH1655" s="73"/>
      <c r="II1655" s="73"/>
      <c r="IJ1655" s="73"/>
      <c r="IK1655" s="73"/>
      <c r="IL1655" s="73"/>
      <c r="IM1655" s="73"/>
      <c r="IN1655" s="73"/>
      <c r="IO1655" s="73"/>
      <c r="IP1655" s="73"/>
      <c r="IQ1655" s="73"/>
      <c r="IR1655" s="73"/>
      <c r="IS1655" s="73"/>
      <c r="IT1655" s="73"/>
      <c r="IU1655" s="73"/>
      <c r="IV1655" s="73"/>
      <c r="IW1655" s="73"/>
      <c r="IX1655" s="73"/>
      <c r="IY1655" s="73"/>
      <c r="IZ1655" s="73"/>
      <c r="JA1655" s="73"/>
      <c r="JB1655" s="73"/>
      <c r="JC1655" s="73"/>
    </row>
    <row r="1656" spans="2:263" s="72" customFormat="1">
      <c r="B1656" s="73"/>
      <c r="C1656" s="73"/>
      <c r="D1656" s="73"/>
      <c r="E1656" s="73"/>
      <c r="F1656" s="73"/>
      <c r="G1656" s="73"/>
      <c r="H1656" s="73"/>
      <c r="I1656" s="73"/>
      <c r="J1656" s="73"/>
      <c r="K1656" s="73"/>
      <c r="L1656" s="73"/>
      <c r="M1656" s="73"/>
      <c r="N1656" s="73"/>
      <c r="O1656" s="73"/>
      <c r="P1656" s="73"/>
      <c r="Q1656" s="73"/>
      <c r="R1656" s="73"/>
      <c r="S1656" s="73"/>
      <c r="T1656" s="73"/>
      <c r="U1656" s="73"/>
      <c r="V1656" s="73"/>
      <c r="W1656" s="73"/>
      <c r="GL1656" s="73"/>
      <c r="GM1656" s="73"/>
      <c r="GN1656" s="73"/>
      <c r="GO1656" s="73"/>
      <c r="GP1656" s="73"/>
      <c r="GQ1656" s="73"/>
      <c r="GR1656" s="73"/>
      <c r="GS1656" s="73"/>
      <c r="GT1656" s="73"/>
      <c r="GU1656" s="73"/>
      <c r="GV1656" s="73"/>
      <c r="GW1656" s="73"/>
      <c r="GX1656" s="73"/>
      <c r="GY1656" s="73"/>
      <c r="GZ1656" s="73"/>
      <c r="HA1656" s="73"/>
      <c r="HB1656" s="73"/>
      <c r="HC1656" s="73"/>
      <c r="HD1656" s="73"/>
      <c r="HE1656" s="73"/>
      <c r="HF1656" s="73"/>
      <c r="HG1656" s="73"/>
      <c r="HH1656" s="73"/>
      <c r="HI1656" s="73"/>
      <c r="HJ1656" s="73"/>
      <c r="HK1656" s="73"/>
      <c r="HL1656" s="73"/>
      <c r="HM1656" s="73"/>
      <c r="HN1656" s="73"/>
      <c r="HO1656" s="73"/>
      <c r="HP1656" s="73"/>
      <c r="HQ1656" s="73"/>
      <c r="HR1656" s="73"/>
      <c r="HS1656" s="73"/>
      <c r="HT1656" s="73"/>
      <c r="HU1656" s="73"/>
      <c r="HV1656" s="73"/>
      <c r="HW1656" s="73"/>
      <c r="HX1656" s="73"/>
      <c r="HY1656" s="73"/>
      <c r="HZ1656" s="73"/>
      <c r="IA1656" s="73"/>
      <c r="IB1656" s="73"/>
      <c r="IC1656" s="73"/>
      <c r="ID1656" s="73"/>
      <c r="IE1656" s="73"/>
      <c r="IF1656" s="73"/>
      <c r="IG1656" s="73"/>
      <c r="IH1656" s="73"/>
      <c r="II1656" s="73"/>
      <c r="IJ1656" s="73"/>
      <c r="IK1656" s="73"/>
      <c r="IL1656" s="73"/>
      <c r="IM1656" s="73"/>
      <c r="IN1656" s="73"/>
      <c r="IO1656" s="73"/>
      <c r="IP1656" s="73"/>
      <c r="IQ1656" s="73"/>
      <c r="IR1656" s="73"/>
      <c r="IS1656" s="73"/>
      <c r="IT1656" s="73"/>
      <c r="IU1656" s="73"/>
      <c r="IV1656" s="73"/>
      <c r="IW1656" s="73"/>
      <c r="IX1656" s="73"/>
      <c r="IY1656" s="73"/>
      <c r="IZ1656" s="73"/>
      <c r="JA1656" s="73"/>
      <c r="JB1656" s="73"/>
      <c r="JC1656" s="73"/>
    </row>
    <row r="1657" spans="2:263" s="72" customFormat="1">
      <c r="B1657" s="73"/>
      <c r="C1657" s="73"/>
      <c r="D1657" s="73"/>
      <c r="E1657" s="73"/>
      <c r="F1657" s="73"/>
      <c r="G1657" s="73"/>
      <c r="H1657" s="73"/>
      <c r="I1657" s="73"/>
      <c r="J1657" s="73"/>
      <c r="K1657" s="73"/>
      <c r="L1657" s="73"/>
      <c r="M1657" s="73"/>
      <c r="N1657" s="73"/>
      <c r="O1657" s="73"/>
      <c r="P1657" s="73"/>
      <c r="Q1657" s="73"/>
      <c r="R1657" s="73"/>
      <c r="S1657" s="73"/>
      <c r="T1657" s="73"/>
      <c r="U1657" s="73"/>
      <c r="V1657" s="73"/>
      <c r="W1657" s="73"/>
      <c r="GL1657" s="73"/>
      <c r="GM1657" s="73"/>
      <c r="GN1657" s="73"/>
      <c r="GO1657" s="73"/>
      <c r="GP1657" s="73"/>
      <c r="GQ1657" s="73"/>
      <c r="GR1657" s="73"/>
      <c r="GS1657" s="73"/>
      <c r="GT1657" s="73"/>
      <c r="GU1657" s="73"/>
      <c r="GV1657" s="73"/>
      <c r="GW1657" s="73"/>
      <c r="GX1657" s="73"/>
      <c r="GY1657" s="73"/>
      <c r="GZ1657" s="73"/>
      <c r="HA1657" s="73"/>
      <c r="HB1657" s="73"/>
      <c r="HC1657" s="73"/>
      <c r="HD1657" s="73"/>
      <c r="HE1657" s="73"/>
      <c r="HF1657" s="73"/>
      <c r="HG1657" s="73"/>
      <c r="HH1657" s="73"/>
      <c r="HI1657" s="73"/>
      <c r="HJ1657" s="73"/>
      <c r="HK1657" s="73"/>
      <c r="HL1657" s="73"/>
      <c r="HM1657" s="73"/>
      <c r="HN1657" s="73"/>
      <c r="HO1657" s="73"/>
      <c r="HP1657" s="73"/>
      <c r="HQ1657" s="73"/>
      <c r="HR1657" s="73"/>
      <c r="HS1657" s="73"/>
      <c r="HT1657" s="73"/>
      <c r="HU1657" s="73"/>
      <c r="HV1657" s="73"/>
      <c r="HW1657" s="73"/>
      <c r="HX1657" s="73"/>
      <c r="HY1657" s="73"/>
      <c r="HZ1657" s="73"/>
      <c r="IA1657" s="73"/>
      <c r="IB1657" s="73"/>
      <c r="IC1657" s="73"/>
      <c r="ID1657" s="73"/>
      <c r="IE1657" s="73"/>
      <c r="IF1657" s="73"/>
      <c r="IG1657" s="73"/>
      <c r="IH1657" s="73"/>
      <c r="II1657" s="73"/>
      <c r="IJ1657" s="73"/>
      <c r="IK1657" s="73"/>
      <c r="IL1657" s="73"/>
      <c r="IM1657" s="73"/>
      <c r="IN1657" s="73"/>
      <c r="IO1657" s="73"/>
      <c r="IP1657" s="73"/>
      <c r="IQ1657" s="73"/>
      <c r="IR1657" s="73"/>
      <c r="IS1657" s="73"/>
      <c r="IT1657" s="73"/>
      <c r="IU1657" s="73"/>
      <c r="IV1657" s="73"/>
      <c r="IW1657" s="73"/>
      <c r="IX1657" s="73"/>
      <c r="IY1657" s="73"/>
      <c r="IZ1657" s="73"/>
      <c r="JA1657" s="73"/>
      <c r="JB1657" s="73"/>
      <c r="JC1657" s="73"/>
    </row>
    <row r="1658" spans="2:263" s="72" customFormat="1">
      <c r="B1658" s="73"/>
      <c r="C1658" s="73"/>
      <c r="D1658" s="73"/>
      <c r="E1658" s="73"/>
      <c r="F1658" s="73"/>
      <c r="G1658" s="73"/>
      <c r="H1658" s="73"/>
      <c r="I1658" s="73"/>
      <c r="J1658" s="73"/>
      <c r="K1658" s="73"/>
      <c r="L1658" s="73"/>
      <c r="M1658" s="73"/>
      <c r="N1658" s="73"/>
      <c r="O1658" s="73"/>
      <c r="P1658" s="73"/>
      <c r="Q1658" s="73"/>
      <c r="R1658" s="73"/>
      <c r="S1658" s="73"/>
      <c r="T1658" s="73"/>
      <c r="U1658" s="73"/>
      <c r="V1658" s="73"/>
      <c r="W1658" s="73"/>
      <c r="GL1658" s="73"/>
      <c r="GM1658" s="73"/>
      <c r="GN1658" s="73"/>
      <c r="GO1658" s="73"/>
      <c r="GP1658" s="73"/>
      <c r="GQ1658" s="73"/>
      <c r="GR1658" s="73"/>
      <c r="GS1658" s="73"/>
      <c r="GT1658" s="73"/>
      <c r="GU1658" s="73"/>
      <c r="GV1658" s="73"/>
      <c r="GW1658" s="73"/>
      <c r="GX1658" s="73"/>
      <c r="GY1658" s="73"/>
      <c r="GZ1658" s="73"/>
      <c r="HA1658" s="73"/>
      <c r="HB1658" s="73"/>
      <c r="HC1658" s="73"/>
      <c r="HD1658" s="73"/>
      <c r="HE1658" s="73"/>
      <c r="HF1658" s="73"/>
      <c r="HG1658" s="73"/>
      <c r="HH1658" s="73"/>
      <c r="HI1658" s="73"/>
      <c r="HJ1658" s="73"/>
      <c r="HK1658" s="73"/>
      <c r="HL1658" s="73"/>
      <c r="HM1658" s="73"/>
      <c r="HN1658" s="73"/>
      <c r="HO1658" s="73"/>
      <c r="HP1658" s="73"/>
      <c r="HQ1658" s="73"/>
      <c r="HR1658" s="73"/>
      <c r="HS1658" s="73"/>
      <c r="HT1658" s="73"/>
      <c r="HU1658" s="73"/>
      <c r="HV1658" s="73"/>
      <c r="HW1658" s="73"/>
      <c r="HX1658" s="73"/>
      <c r="HY1658" s="73"/>
      <c r="HZ1658" s="73"/>
      <c r="IA1658" s="73"/>
      <c r="IB1658" s="73"/>
      <c r="IC1658" s="73"/>
      <c r="ID1658" s="73"/>
      <c r="IE1658" s="73"/>
      <c r="IF1658" s="73"/>
      <c r="IG1658" s="73"/>
      <c r="IH1658" s="73"/>
      <c r="II1658" s="73"/>
      <c r="IJ1658" s="73"/>
      <c r="IK1658" s="73"/>
      <c r="IL1658" s="73"/>
      <c r="IM1658" s="73"/>
      <c r="IN1658" s="73"/>
      <c r="IO1658" s="73"/>
      <c r="IP1658" s="73"/>
      <c r="IQ1658" s="73"/>
      <c r="IR1658" s="73"/>
      <c r="IS1658" s="73"/>
      <c r="IT1658" s="73"/>
      <c r="IU1658" s="73"/>
      <c r="IV1658" s="73"/>
      <c r="IW1658" s="73"/>
      <c r="IX1658" s="73"/>
      <c r="IY1658" s="73"/>
      <c r="IZ1658" s="73"/>
      <c r="JA1658" s="73"/>
      <c r="JB1658" s="73"/>
      <c r="JC1658" s="73"/>
    </row>
    <row r="1659" spans="2:263" s="72" customFormat="1">
      <c r="B1659" s="73"/>
      <c r="C1659" s="73"/>
      <c r="D1659" s="73"/>
      <c r="E1659" s="73"/>
      <c r="F1659" s="73"/>
      <c r="G1659" s="73"/>
      <c r="H1659" s="73"/>
      <c r="I1659" s="73"/>
      <c r="J1659" s="73"/>
      <c r="K1659" s="73"/>
      <c r="L1659" s="73"/>
      <c r="M1659" s="73"/>
      <c r="N1659" s="73"/>
      <c r="O1659" s="73"/>
      <c r="P1659" s="73"/>
      <c r="Q1659" s="73"/>
      <c r="R1659" s="73"/>
      <c r="S1659" s="73"/>
      <c r="T1659" s="73"/>
      <c r="U1659" s="73"/>
      <c r="V1659" s="73"/>
      <c r="W1659" s="73"/>
      <c r="GL1659" s="73"/>
      <c r="GM1659" s="73"/>
      <c r="GN1659" s="73"/>
      <c r="GO1659" s="73"/>
      <c r="GP1659" s="73"/>
      <c r="GQ1659" s="73"/>
      <c r="GR1659" s="73"/>
      <c r="GS1659" s="73"/>
      <c r="GT1659" s="73"/>
      <c r="GU1659" s="73"/>
      <c r="GV1659" s="73"/>
      <c r="GW1659" s="73"/>
      <c r="GX1659" s="73"/>
      <c r="GY1659" s="73"/>
      <c r="GZ1659" s="73"/>
      <c r="HA1659" s="73"/>
      <c r="HB1659" s="73"/>
      <c r="HC1659" s="73"/>
      <c r="HD1659" s="73"/>
      <c r="HE1659" s="73"/>
      <c r="HF1659" s="73"/>
      <c r="HG1659" s="73"/>
      <c r="HH1659" s="73"/>
      <c r="HI1659" s="73"/>
      <c r="HJ1659" s="73"/>
      <c r="HK1659" s="73"/>
      <c r="HL1659" s="73"/>
      <c r="HM1659" s="73"/>
      <c r="HN1659" s="73"/>
      <c r="HO1659" s="73"/>
      <c r="HP1659" s="73"/>
      <c r="HQ1659" s="73"/>
      <c r="HR1659" s="73"/>
      <c r="HS1659" s="73"/>
      <c r="HT1659" s="73"/>
      <c r="HU1659" s="73"/>
      <c r="HV1659" s="73"/>
      <c r="HW1659" s="73"/>
      <c r="HX1659" s="73"/>
      <c r="HY1659" s="73"/>
      <c r="HZ1659" s="73"/>
      <c r="IA1659" s="73"/>
      <c r="IB1659" s="73"/>
      <c r="IC1659" s="73"/>
      <c r="ID1659" s="73"/>
      <c r="IE1659" s="73"/>
      <c r="IF1659" s="73"/>
      <c r="IG1659" s="73"/>
      <c r="IH1659" s="73"/>
      <c r="II1659" s="73"/>
      <c r="IJ1659" s="73"/>
      <c r="IK1659" s="73"/>
      <c r="IL1659" s="73"/>
      <c r="IM1659" s="73"/>
      <c r="IN1659" s="73"/>
      <c r="IO1659" s="73"/>
      <c r="IP1659" s="73"/>
      <c r="IQ1659" s="73"/>
      <c r="IR1659" s="73"/>
      <c r="IS1659" s="73"/>
      <c r="IT1659" s="73"/>
      <c r="IU1659" s="73"/>
      <c r="IV1659" s="73"/>
      <c r="IW1659" s="73"/>
      <c r="IX1659" s="73"/>
      <c r="IY1659" s="73"/>
      <c r="IZ1659" s="73"/>
      <c r="JA1659" s="73"/>
      <c r="JB1659" s="73"/>
      <c r="JC1659" s="73"/>
    </row>
    <row r="1660" spans="2:263" s="72" customFormat="1">
      <c r="B1660" s="73"/>
      <c r="C1660" s="73"/>
      <c r="D1660" s="73"/>
      <c r="E1660" s="73"/>
      <c r="F1660" s="73"/>
      <c r="G1660" s="73"/>
      <c r="H1660" s="73"/>
      <c r="I1660" s="73"/>
      <c r="J1660" s="73"/>
      <c r="K1660" s="73"/>
      <c r="L1660" s="73"/>
      <c r="M1660" s="73"/>
      <c r="N1660" s="73"/>
      <c r="O1660" s="73"/>
      <c r="P1660" s="73"/>
      <c r="Q1660" s="73"/>
      <c r="R1660" s="73"/>
      <c r="S1660" s="73"/>
      <c r="T1660" s="73"/>
      <c r="U1660" s="73"/>
      <c r="V1660" s="73"/>
      <c r="W1660" s="73"/>
      <c r="GL1660" s="73"/>
      <c r="GM1660" s="73"/>
      <c r="GN1660" s="73"/>
      <c r="GO1660" s="73"/>
      <c r="GP1660" s="73"/>
      <c r="GQ1660" s="73"/>
      <c r="GR1660" s="73"/>
      <c r="GS1660" s="73"/>
      <c r="GT1660" s="73"/>
      <c r="GU1660" s="73"/>
      <c r="GV1660" s="73"/>
      <c r="GW1660" s="73"/>
      <c r="GX1660" s="73"/>
      <c r="GY1660" s="73"/>
      <c r="GZ1660" s="73"/>
      <c r="HA1660" s="73"/>
      <c r="HB1660" s="73"/>
      <c r="HC1660" s="73"/>
      <c r="HD1660" s="73"/>
      <c r="HE1660" s="73"/>
      <c r="HF1660" s="73"/>
      <c r="HG1660" s="73"/>
      <c r="HH1660" s="73"/>
      <c r="HI1660" s="73"/>
      <c r="HJ1660" s="73"/>
      <c r="HK1660" s="73"/>
      <c r="HL1660" s="73"/>
      <c r="HM1660" s="73"/>
      <c r="HN1660" s="73"/>
      <c r="HO1660" s="73"/>
      <c r="HP1660" s="73"/>
      <c r="HQ1660" s="73"/>
      <c r="HR1660" s="73"/>
      <c r="HS1660" s="73"/>
      <c r="HT1660" s="73"/>
      <c r="HU1660" s="73"/>
      <c r="HV1660" s="73"/>
      <c r="HW1660" s="73"/>
      <c r="HX1660" s="73"/>
      <c r="HY1660" s="73"/>
      <c r="HZ1660" s="73"/>
      <c r="IA1660" s="73"/>
      <c r="IB1660" s="73"/>
      <c r="IC1660" s="73"/>
      <c r="ID1660" s="73"/>
      <c r="IE1660" s="73"/>
      <c r="IF1660" s="73"/>
      <c r="IG1660" s="73"/>
      <c r="IH1660" s="73"/>
      <c r="II1660" s="73"/>
      <c r="IJ1660" s="73"/>
      <c r="IK1660" s="73"/>
      <c r="IL1660" s="73"/>
      <c r="IM1660" s="73"/>
      <c r="IN1660" s="73"/>
      <c r="IO1660" s="73"/>
      <c r="IP1660" s="73"/>
      <c r="IQ1660" s="73"/>
      <c r="IR1660" s="73"/>
      <c r="IS1660" s="73"/>
      <c r="IT1660" s="73"/>
      <c r="IU1660" s="73"/>
      <c r="IV1660" s="73"/>
      <c r="IW1660" s="73"/>
      <c r="IX1660" s="73"/>
      <c r="IY1660" s="73"/>
      <c r="IZ1660" s="73"/>
      <c r="JA1660" s="73"/>
      <c r="JB1660" s="73"/>
      <c r="JC1660" s="73"/>
    </row>
    <row r="1661" spans="2:263" s="72" customFormat="1">
      <c r="B1661" s="73"/>
      <c r="C1661" s="73"/>
      <c r="D1661" s="73"/>
      <c r="E1661" s="73"/>
      <c r="F1661" s="73"/>
      <c r="G1661" s="73"/>
      <c r="H1661" s="73"/>
      <c r="I1661" s="73"/>
      <c r="J1661" s="73"/>
      <c r="K1661" s="73"/>
      <c r="L1661" s="73"/>
      <c r="M1661" s="73"/>
      <c r="N1661" s="73"/>
      <c r="O1661" s="73"/>
      <c r="P1661" s="73"/>
      <c r="Q1661" s="73"/>
      <c r="R1661" s="73"/>
      <c r="S1661" s="73"/>
      <c r="T1661" s="73"/>
      <c r="U1661" s="73"/>
      <c r="V1661" s="73"/>
      <c r="W1661" s="73"/>
      <c r="GL1661" s="73"/>
      <c r="GM1661" s="73"/>
      <c r="GN1661" s="73"/>
      <c r="GO1661" s="73"/>
      <c r="GP1661" s="73"/>
      <c r="GQ1661" s="73"/>
      <c r="GR1661" s="73"/>
      <c r="GS1661" s="73"/>
      <c r="GT1661" s="73"/>
      <c r="GU1661" s="73"/>
      <c r="GV1661" s="73"/>
      <c r="GW1661" s="73"/>
      <c r="GX1661" s="73"/>
      <c r="GY1661" s="73"/>
      <c r="GZ1661" s="73"/>
      <c r="HA1661" s="73"/>
      <c r="HB1661" s="73"/>
      <c r="HC1661" s="73"/>
      <c r="HD1661" s="73"/>
      <c r="HE1661" s="73"/>
      <c r="HF1661" s="73"/>
      <c r="HG1661" s="73"/>
      <c r="HH1661" s="73"/>
      <c r="HI1661" s="73"/>
      <c r="HJ1661" s="73"/>
      <c r="HK1661" s="73"/>
      <c r="HL1661" s="73"/>
      <c r="HM1661" s="73"/>
      <c r="HN1661" s="73"/>
      <c r="HO1661" s="73"/>
      <c r="HP1661" s="73"/>
      <c r="HQ1661" s="73"/>
      <c r="HR1661" s="73"/>
      <c r="HS1661" s="73"/>
      <c r="HT1661" s="73"/>
      <c r="HU1661" s="73"/>
      <c r="HV1661" s="73"/>
      <c r="HW1661" s="73"/>
      <c r="HX1661" s="73"/>
      <c r="HY1661" s="73"/>
      <c r="HZ1661" s="73"/>
      <c r="IA1661" s="73"/>
      <c r="IB1661" s="73"/>
      <c r="IC1661" s="73"/>
      <c r="ID1661" s="73"/>
      <c r="IE1661" s="73"/>
      <c r="IF1661" s="73"/>
      <c r="IG1661" s="73"/>
      <c r="IH1661" s="73"/>
      <c r="II1661" s="73"/>
      <c r="IJ1661" s="73"/>
      <c r="IK1661" s="73"/>
      <c r="IL1661" s="73"/>
      <c r="IM1661" s="73"/>
      <c r="IN1661" s="73"/>
      <c r="IO1661" s="73"/>
      <c r="IP1661" s="73"/>
      <c r="IQ1661" s="73"/>
      <c r="IR1661" s="73"/>
      <c r="IS1661" s="73"/>
      <c r="IT1661" s="73"/>
      <c r="IU1661" s="73"/>
      <c r="IV1661" s="73"/>
      <c r="IW1661" s="73"/>
      <c r="IX1661" s="73"/>
      <c r="IY1661" s="73"/>
      <c r="IZ1661" s="73"/>
      <c r="JA1661" s="73"/>
      <c r="JB1661" s="73"/>
      <c r="JC1661" s="73"/>
    </row>
    <row r="1662" spans="2:263" s="72" customFormat="1">
      <c r="B1662" s="73"/>
      <c r="C1662" s="73"/>
      <c r="D1662" s="73"/>
      <c r="E1662" s="73"/>
      <c r="F1662" s="73"/>
      <c r="G1662" s="73"/>
      <c r="H1662" s="73"/>
      <c r="I1662" s="73"/>
      <c r="J1662" s="73"/>
      <c r="K1662" s="73"/>
      <c r="L1662" s="73"/>
      <c r="M1662" s="73"/>
      <c r="N1662" s="73"/>
      <c r="O1662" s="73"/>
      <c r="P1662" s="73"/>
      <c r="Q1662" s="73"/>
      <c r="R1662" s="73"/>
      <c r="S1662" s="73"/>
      <c r="T1662" s="73"/>
      <c r="U1662" s="73"/>
      <c r="V1662" s="73"/>
      <c r="W1662" s="73"/>
      <c r="GL1662" s="73"/>
      <c r="GM1662" s="73"/>
      <c r="GN1662" s="73"/>
      <c r="GO1662" s="73"/>
      <c r="GP1662" s="73"/>
      <c r="GQ1662" s="73"/>
      <c r="GR1662" s="73"/>
      <c r="GS1662" s="73"/>
      <c r="GT1662" s="73"/>
      <c r="GU1662" s="73"/>
      <c r="GV1662" s="73"/>
      <c r="GW1662" s="73"/>
      <c r="GX1662" s="73"/>
      <c r="GY1662" s="73"/>
      <c r="GZ1662" s="73"/>
      <c r="HA1662" s="73"/>
      <c r="HB1662" s="73"/>
      <c r="HC1662" s="73"/>
      <c r="HD1662" s="73"/>
      <c r="HE1662" s="73"/>
      <c r="HF1662" s="73"/>
      <c r="HG1662" s="73"/>
      <c r="HH1662" s="73"/>
      <c r="HI1662" s="73"/>
      <c r="HJ1662" s="73"/>
      <c r="HK1662" s="73"/>
      <c r="HL1662" s="73"/>
      <c r="HM1662" s="73"/>
      <c r="HN1662" s="73"/>
      <c r="HO1662" s="73"/>
      <c r="HP1662" s="73"/>
      <c r="HQ1662" s="73"/>
      <c r="HR1662" s="73"/>
      <c r="HS1662" s="73"/>
      <c r="HT1662" s="73"/>
      <c r="HU1662" s="73"/>
      <c r="HV1662" s="73"/>
      <c r="HW1662" s="73"/>
      <c r="HX1662" s="73"/>
      <c r="HY1662" s="73"/>
      <c r="HZ1662" s="73"/>
      <c r="IA1662" s="73"/>
      <c r="IB1662" s="73"/>
      <c r="IC1662" s="73"/>
      <c r="ID1662" s="73"/>
      <c r="IE1662" s="73"/>
      <c r="IF1662" s="73"/>
      <c r="IG1662" s="73"/>
      <c r="IH1662" s="73"/>
      <c r="II1662" s="73"/>
      <c r="IJ1662" s="73"/>
      <c r="IK1662" s="73"/>
      <c r="IL1662" s="73"/>
      <c r="IM1662" s="73"/>
      <c r="IN1662" s="73"/>
      <c r="IO1662" s="73"/>
      <c r="IP1662" s="73"/>
      <c r="IQ1662" s="73"/>
      <c r="IR1662" s="73"/>
      <c r="IS1662" s="73"/>
      <c r="IT1662" s="73"/>
      <c r="IU1662" s="73"/>
      <c r="IV1662" s="73"/>
      <c r="IW1662" s="73"/>
      <c r="IX1662" s="73"/>
      <c r="IY1662" s="73"/>
      <c r="IZ1662" s="73"/>
      <c r="JA1662" s="73"/>
      <c r="JB1662" s="73"/>
      <c r="JC1662" s="73"/>
    </row>
    <row r="1663" spans="2:263" s="72" customFormat="1">
      <c r="B1663" s="73"/>
      <c r="C1663" s="73"/>
      <c r="D1663" s="73"/>
      <c r="E1663" s="73"/>
      <c r="F1663" s="73"/>
      <c r="G1663" s="73"/>
      <c r="H1663" s="73"/>
      <c r="I1663" s="73"/>
      <c r="J1663" s="73"/>
      <c r="K1663" s="73"/>
      <c r="L1663" s="73"/>
      <c r="M1663" s="73"/>
      <c r="N1663" s="73"/>
      <c r="O1663" s="73"/>
      <c r="P1663" s="73"/>
      <c r="Q1663" s="73"/>
      <c r="R1663" s="73"/>
      <c r="S1663" s="73"/>
      <c r="T1663" s="73"/>
      <c r="U1663" s="73"/>
      <c r="V1663" s="73"/>
      <c r="W1663" s="73"/>
      <c r="GL1663" s="73"/>
      <c r="GM1663" s="73"/>
      <c r="GN1663" s="73"/>
      <c r="GO1663" s="73"/>
      <c r="GP1663" s="73"/>
      <c r="GQ1663" s="73"/>
      <c r="GR1663" s="73"/>
      <c r="GS1663" s="73"/>
      <c r="GT1663" s="73"/>
      <c r="GU1663" s="73"/>
      <c r="GV1663" s="73"/>
      <c r="GW1663" s="73"/>
      <c r="GX1663" s="73"/>
      <c r="GY1663" s="73"/>
      <c r="GZ1663" s="73"/>
      <c r="HA1663" s="73"/>
      <c r="HB1663" s="73"/>
      <c r="HC1663" s="73"/>
      <c r="HD1663" s="73"/>
      <c r="HE1663" s="73"/>
      <c r="HF1663" s="73"/>
      <c r="HG1663" s="73"/>
      <c r="HH1663" s="73"/>
      <c r="HI1663" s="73"/>
      <c r="HJ1663" s="73"/>
      <c r="HK1663" s="73"/>
      <c r="HL1663" s="73"/>
      <c r="HM1663" s="73"/>
      <c r="HN1663" s="73"/>
      <c r="HO1663" s="73"/>
      <c r="HP1663" s="73"/>
      <c r="HQ1663" s="73"/>
      <c r="HR1663" s="73"/>
      <c r="HS1663" s="73"/>
      <c r="HT1663" s="73"/>
      <c r="HU1663" s="73"/>
      <c r="HV1663" s="73"/>
      <c r="HW1663" s="73"/>
      <c r="HX1663" s="73"/>
      <c r="HY1663" s="73"/>
      <c r="HZ1663" s="73"/>
      <c r="IA1663" s="73"/>
      <c r="IB1663" s="73"/>
      <c r="IC1663" s="73"/>
      <c r="ID1663" s="73"/>
      <c r="IE1663" s="73"/>
      <c r="IF1663" s="73"/>
      <c r="IG1663" s="73"/>
      <c r="IH1663" s="73"/>
      <c r="II1663" s="73"/>
      <c r="IJ1663" s="73"/>
      <c r="IK1663" s="73"/>
      <c r="IL1663" s="73"/>
      <c r="IM1663" s="73"/>
      <c r="IN1663" s="73"/>
      <c r="IO1663" s="73"/>
      <c r="IP1663" s="73"/>
      <c r="IQ1663" s="73"/>
      <c r="IR1663" s="73"/>
      <c r="IS1663" s="73"/>
      <c r="IT1663" s="73"/>
      <c r="IU1663" s="73"/>
      <c r="IV1663" s="73"/>
      <c r="IW1663" s="73"/>
      <c r="IX1663" s="73"/>
      <c r="IY1663" s="73"/>
      <c r="IZ1663" s="73"/>
      <c r="JA1663" s="73"/>
      <c r="JB1663" s="73"/>
      <c r="JC1663" s="73"/>
    </row>
    <row r="1664" spans="2:263" s="72" customFormat="1">
      <c r="B1664" s="73"/>
      <c r="C1664" s="73"/>
      <c r="D1664" s="73"/>
      <c r="E1664" s="73"/>
      <c r="F1664" s="73"/>
      <c r="G1664" s="73"/>
      <c r="H1664" s="73"/>
      <c r="I1664" s="73"/>
      <c r="J1664" s="73"/>
      <c r="K1664" s="73"/>
      <c r="L1664" s="73"/>
      <c r="M1664" s="73"/>
      <c r="N1664" s="73"/>
      <c r="O1664" s="73"/>
      <c r="P1664" s="73"/>
      <c r="Q1664" s="73"/>
      <c r="R1664" s="73"/>
      <c r="S1664" s="73"/>
      <c r="T1664" s="73"/>
      <c r="U1664" s="73"/>
      <c r="V1664" s="73"/>
      <c r="W1664" s="73"/>
      <c r="GL1664" s="73"/>
      <c r="GM1664" s="73"/>
      <c r="GN1664" s="73"/>
      <c r="GO1664" s="73"/>
      <c r="GP1664" s="73"/>
      <c r="GQ1664" s="73"/>
      <c r="GR1664" s="73"/>
      <c r="GS1664" s="73"/>
      <c r="GT1664" s="73"/>
      <c r="GU1664" s="73"/>
      <c r="GV1664" s="73"/>
      <c r="GW1664" s="73"/>
      <c r="GX1664" s="73"/>
      <c r="GY1664" s="73"/>
      <c r="GZ1664" s="73"/>
      <c r="HA1664" s="73"/>
      <c r="HB1664" s="73"/>
      <c r="HC1664" s="73"/>
      <c r="HD1664" s="73"/>
      <c r="HE1664" s="73"/>
      <c r="HF1664" s="73"/>
      <c r="HG1664" s="73"/>
      <c r="HH1664" s="73"/>
      <c r="HI1664" s="73"/>
      <c r="HJ1664" s="73"/>
      <c r="HK1664" s="73"/>
      <c r="HL1664" s="73"/>
      <c r="HM1664" s="73"/>
      <c r="HN1664" s="73"/>
      <c r="HO1664" s="73"/>
      <c r="HP1664" s="73"/>
      <c r="HQ1664" s="73"/>
      <c r="HR1664" s="73"/>
      <c r="HS1664" s="73"/>
      <c r="HT1664" s="73"/>
      <c r="HU1664" s="73"/>
      <c r="HV1664" s="73"/>
      <c r="HW1664" s="73"/>
      <c r="HX1664" s="73"/>
      <c r="HY1664" s="73"/>
      <c r="HZ1664" s="73"/>
      <c r="IA1664" s="73"/>
      <c r="IB1664" s="73"/>
      <c r="IC1664" s="73"/>
      <c r="ID1664" s="73"/>
      <c r="IE1664" s="73"/>
      <c r="IF1664" s="73"/>
      <c r="IG1664" s="73"/>
      <c r="IH1664" s="73"/>
      <c r="II1664" s="73"/>
      <c r="IJ1664" s="73"/>
      <c r="IK1664" s="73"/>
      <c r="IL1664" s="73"/>
      <c r="IM1664" s="73"/>
      <c r="IN1664" s="73"/>
      <c r="IO1664" s="73"/>
      <c r="IP1664" s="73"/>
      <c r="IQ1664" s="73"/>
      <c r="IR1664" s="73"/>
      <c r="IS1664" s="73"/>
      <c r="IT1664" s="73"/>
      <c r="IU1664" s="73"/>
      <c r="IV1664" s="73"/>
      <c r="IW1664" s="73"/>
      <c r="IX1664" s="73"/>
      <c r="IY1664" s="73"/>
      <c r="IZ1664" s="73"/>
      <c r="JA1664" s="73"/>
      <c r="JB1664" s="73"/>
      <c r="JC1664" s="73"/>
    </row>
    <row r="1665" spans="2:263" s="72" customFormat="1">
      <c r="B1665" s="73"/>
      <c r="C1665" s="73"/>
      <c r="D1665" s="73"/>
      <c r="E1665" s="73"/>
      <c r="F1665" s="73"/>
      <c r="G1665" s="73"/>
      <c r="H1665" s="73"/>
      <c r="I1665" s="73"/>
      <c r="J1665" s="73"/>
      <c r="K1665" s="73"/>
      <c r="L1665" s="73"/>
      <c r="M1665" s="73"/>
      <c r="N1665" s="73"/>
      <c r="O1665" s="73"/>
      <c r="P1665" s="73"/>
      <c r="Q1665" s="73"/>
      <c r="R1665" s="73"/>
      <c r="S1665" s="73"/>
      <c r="T1665" s="73"/>
      <c r="U1665" s="73"/>
      <c r="V1665" s="73"/>
      <c r="W1665" s="73"/>
      <c r="GL1665" s="73"/>
      <c r="GM1665" s="73"/>
      <c r="GN1665" s="73"/>
      <c r="GO1665" s="73"/>
      <c r="GP1665" s="73"/>
      <c r="GQ1665" s="73"/>
      <c r="GR1665" s="73"/>
      <c r="GS1665" s="73"/>
      <c r="GT1665" s="73"/>
      <c r="GU1665" s="73"/>
      <c r="GV1665" s="73"/>
      <c r="GW1665" s="73"/>
      <c r="GX1665" s="73"/>
      <c r="GY1665" s="73"/>
      <c r="GZ1665" s="73"/>
      <c r="HA1665" s="73"/>
      <c r="HB1665" s="73"/>
      <c r="HC1665" s="73"/>
      <c r="HD1665" s="73"/>
      <c r="HE1665" s="73"/>
      <c r="HF1665" s="73"/>
      <c r="HG1665" s="73"/>
      <c r="HH1665" s="73"/>
      <c r="HI1665" s="73"/>
      <c r="HJ1665" s="73"/>
      <c r="HK1665" s="73"/>
      <c r="HL1665" s="73"/>
      <c r="HM1665" s="73"/>
      <c r="HN1665" s="73"/>
      <c r="HO1665" s="73"/>
      <c r="HP1665" s="73"/>
      <c r="HQ1665" s="73"/>
      <c r="HR1665" s="73"/>
      <c r="HS1665" s="73"/>
      <c r="HT1665" s="73"/>
      <c r="HU1665" s="73"/>
      <c r="HV1665" s="73"/>
      <c r="HW1665" s="73"/>
      <c r="HX1665" s="73"/>
      <c r="HY1665" s="73"/>
      <c r="HZ1665" s="73"/>
      <c r="IA1665" s="73"/>
      <c r="IB1665" s="73"/>
      <c r="IC1665" s="73"/>
      <c r="ID1665" s="73"/>
      <c r="IE1665" s="73"/>
      <c r="IF1665" s="73"/>
      <c r="IG1665" s="73"/>
      <c r="IH1665" s="73"/>
      <c r="II1665" s="73"/>
      <c r="IJ1665" s="73"/>
      <c r="IK1665" s="73"/>
      <c r="IL1665" s="73"/>
      <c r="IM1665" s="73"/>
      <c r="IN1665" s="73"/>
      <c r="IO1665" s="73"/>
      <c r="IP1665" s="73"/>
      <c r="IQ1665" s="73"/>
      <c r="IR1665" s="73"/>
      <c r="IS1665" s="73"/>
      <c r="IT1665" s="73"/>
      <c r="IU1665" s="73"/>
      <c r="IV1665" s="73"/>
      <c r="IW1665" s="73"/>
      <c r="IX1665" s="73"/>
      <c r="IY1665" s="73"/>
      <c r="IZ1665" s="73"/>
      <c r="JA1665" s="73"/>
      <c r="JB1665" s="73"/>
      <c r="JC1665" s="73"/>
    </row>
    <row r="1666" spans="2:263" s="72" customFormat="1">
      <c r="B1666" s="73"/>
      <c r="C1666" s="73"/>
      <c r="D1666" s="73"/>
      <c r="E1666" s="73"/>
      <c r="F1666" s="73"/>
      <c r="G1666" s="73"/>
      <c r="H1666" s="73"/>
      <c r="I1666" s="73"/>
      <c r="J1666" s="73"/>
      <c r="K1666" s="73"/>
      <c r="L1666" s="73"/>
      <c r="M1666" s="73"/>
      <c r="N1666" s="73"/>
      <c r="O1666" s="73"/>
      <c r="P1666" s="73"/>
      <c r="Q1666" s="73"/>
      <c r="R1666" s="73"/>
      <c r="S1666" s="73"/>
      <c r="T1666" s="73"/>
      <c r="U1666" s="73"/>
      <c r="V1666" s="73"/>
      <c r="W1666" s="73"/>
      <c r="GL1666" s="73"/>
      <c r="GM1666" s="73"/>
      <c r="GN1666" s="73"/>
      <c r="GO1666" s="73"/>
      <c r="GP1666" s="73"/>
      <c r="GQ1666" s="73"/>
      <c r="GR1666" s="73"/>
      <c r="GS1666" s="73"/>
      <c r="GT1666" s="73"/>
      <c r="GU1666" s="73"/>
      <c r="GV1666" s="73"/>
      <c r="GW1666" s="73"/>
      <c r="GX1666" s="73"/>
      <c r="GY1666" s="73"/>
      <c r="GZ1666" s="73"/>
      <c r="HA1666" s="73"/>
      <c r="HB1666" s="73"/>
      <c r="HC1666" s="73"/>
      <c r="HD1666" s="73"/>
      <c r="HE1666" s="73"/>
      <c r="HF1666" s="73"/>
      <c r="HG1666" s="73"/>
      <c r="HH1666" s="73"/>
      <c r="HI1666" s="73"/>
      <c r="HJ1666" s="73"/>
      <c r="HK1666" s="73"/>
      <c r="HL1666" s="73"/>
      <c r="HM1666" s="73"/>
      <c r="HN1666" s="73"/>
      <c r="HO1666" s="73"/>
      <c r="HP1666" s="73"/>
      <c r="HQ1666" s="73"/>
      <c r="HR1666" s="73"/>
      <c r="HS1666" s="73"/>
      <c r="HT1666" s="73"/>
      <c r="HU1666" s="73"/>
      <c r="HV1666" s="73"/>
      <c r="HW1666" s="73"/>
      <c r="HX1666" s="73"/>
      <c r="HY1666" s="73"/>
      <c r="HZ1666" s="73"/>
      <c r="IA1666" s="73"/>
      <c r="IB1666" s="73"/>
      <c r="IC1666" s="73"/>
      <c r="ID1666" s="73"/>
      <c r="IE1666" s="73"/>
      <c r="IF1666" s="73"/>
      <c r="IG1666" s="73"/>
      <c r="IH1666" s="73"/>
      <c r="II1666" s="73"/>
      <c r="IJ1666" s="73"/>
      <c r="IK1666" s="73"/>
      <c r="IL1666" s="73"/>
      <c r="IM1666" s="73"/>
      <c r="IN1666" s="73"/>
      <c r="IO1666" s="73"/>
      <c r="IP1666" s="73"/>
      <c r="IQ1666" s="73"/>
      <c r="IR1666" s="73"/>
      <c r="IS1666" s="73"/>
      <c r="IT1666" s="73"/>
      <c r="IU1666" s="73"/>
      <c r="IV1666" s="73"/>
      <c r="IW1666" s="73"/>
      <c r="IX1666" s="73"/>
      <c r="IY1666" s="73"/>
      <c r="IZ1666" s="73"/>
      <c r="JA1666" s="73"/>
      <c r="JB1666" s="73"/>
      <c r="JC1666" s="73"/>
    </row>
    <row r="1667" spans="2:263" s="72" customFormat="1">
      <c r="B1667" s="73"/>
      <c r="C1667" s="73"/>
      <c r="D1667" s="73"/>
      <c r="E1667" s="73"/>
      <c r="F1667" s="73"/>
      <c r="G1667" s="73"/>
      <c r="H1667" s="73"/>
      <c r="I1667" s="73"/>
      <c r="J1667" s="73"/>
      <c r="K1667" s="73"/>
      <c r="L1667" s="73"/>
      <c r="M1667" s="73"/>
      <c r="N1667" s="73"/>
      <c r="O1667" s="73"/>
      <c r="P1667" s="73"/>
      <c r="Q1667" s="73"/>
      <c r="R1667" s="73"/>
      <c r="S1667" s="73"/>
      <c r="T1667" s="73"/>
      <c r="U1667" s="73"/>
      <c r="V1667" s="73"/>
      <c r="W1667" s="73"/>
      <c r="GL1667" s="73"/>
      <c r="GM1667" s="73"/>
      <c r="GN1667" s="73"/>
      <c r="GO1667" s="73"/>
      <c r="GP1667" s="73"/>
      <c r="GQ1667" s="73"/>
      <c r="GR1667" s="73"/>
      <c r="GS1667" s="73"/>
      <c r="GT1667" s="73"/>
      <c r="GU1667" s="73"/>
      <c r="GV1667" s="73"/>
      <c r="GW1667" s="73"/>
      <c r="GX1667" s="73"/>
      <c r="GY1667" s="73"/>
      <c r="GZ1667" s="73"/>
      <c r="HA1667" s="73"/>
      <c r="HB1667" s="73"/>
      <c r="HC1667" s="73"/>
      <c r="HD1667" s="73"/>
      <c r="HE1667" s="73"/>
      <c r="HF1667" s="73"/>
      <c r="HG1667" s="73"/>
      <c r="HH1667" s="73"/>
      <c r="HI1667" s="73"/>
      <c r="HJ1667" s="73"/>
      <c r="HK1667" s="73"/>
      <c r="HL1667" s="73"/>
      <c r="HM1667" s="73"/>
      <c r="HN1667" s="73"/>
      <c r="HO1667" s="73"/>
      <c r="HP1667" s="73"/>
      <c r="HQ1667" s="73"/>
      <c r="HR1667" s="73"/>
      <c r="HS1667" s="73"/>
      <c r="HT1667" s="73"/>
      <c r="HU1667" s="73"/>
      <c r="HV1667" s="73"/>
      <c r="HW1667" s="73"/>
      <c r="HX1667" s="73"/>
      <c r="HY1667" s="73"/>
      <c r="HZ1667" s="73"/>
      <c r="IA1667" s="73"/>
      <c r="IB1667" s="73"/>
      <c r="IC1667" s="73"/>
      <c r="ID1667" s="73"/>
      <c r="IE1667" s="73"/>
      <c r="IF1667" s="73"/>
      <c r="IG1667" s="73"/>
      <c r="IH1667" s="73"/>
      <c r="II1667" s="73"/>
      <c r="IJ1667" s="73"/>
      <c r="IK1667" s="73"/>
      <c r="IL1667" s="73"/>
      <c r="IM1667" s="73"/>
      <c r="IN1667" s="73"/>
      <c r="IO1667" s="73"/>
      <c r="IP1667" s="73"/>
      <c r="IQ1667" s="73"/>
      <c r="IR1667" s="73"/>
      <c r="IS1667" s="73"/>
      <c r="IT1667" s="73"/>
      <c r="IU1667" s="73"/>
      <c r="IV1667" s="73"/>
      <c r="IW1667" s="73"/>
      <c r="IX1667" s="73"/>
      <c r="IY1667" s="73"/>
      <c r="IZ1667" s="73"/>
      <c r="JA1667" s="73"/>
      <c r="JB1667" s="73"/>
      <c r="JC1667" s="73"/>
    </row>
    <row r="1668" spans="2:263" s="72" customFormat="1">
      <c r="B1668" s="73"/>
      <c r="C1668" s="73"/>
      <c r="D1668" s="73"/>
      <c r="E1668" s="73"/>
      <c r="F1668" s="73"/>
      <c r="G1668" s="73"/>
      <c r="H1668" s="73"/>
      <c r="I1668" s="73"/>
      <c r="J1668" s="73"/>
      <c r="K1668" s="73"/>
      <c r="L1668" s="73"/>
      <c r="M1668" s="73"/>
      <c r="N1668" s="73"/>
      <c r="O1668" s="73"/>
      <c r="P1668" s="73"/>
      <c r="Q1668" s="73"/>
      <c r="R1668" s="73"/>
      <c r="S1668" s="73"/>
      <c r="T1668" s="73"/>
      <c r="U1668" s="73"/>
      <c r="V1668" s="73"/>
      <c r="W1668" s="73"/>
      <c r="GL1668" s="73"/>
      <c r="GM1668" s="73"/>
      <c r="GN1668" s="73"/>
      <c r="GO1668" s="73"/>
      <c r="GP1668" s="73"/>
      <c r="GQ1668" s="73"/>
      <c r="GR1668" s="73"/>
      <c r="GS1668" s="73"/>
      <c r="GT1668" s="73"/>
      <c r="GU1668" s="73"/>
      <c r="GV1668" s="73"/>
      <c r="GW1668" s="73"/>
      <c r="GX1668" s="73"/>
      <c r="GY1668" s="73"/>
      <c r="GZ1668" s="73"/>
      <c r="HA1668" s="73"/>
      <c r="HB1668" s="73"/>
      <c r="HC1668" s="73"/>
      <c r="HD1668" s="73"/>
      <c r="HE1668" s="73"/>
      <c r="HF1668" s="73"/>
      <c r="HG1668" s="73"/>
      <c r="HH1668" s="73"/>
      <c r="HI1668" s="73"/>
      <c r="HJ1668" s="73"/>
      <c r="HK1668" s="73"/>
      <c r="HL1668" s="73"/>
      <c r="HM1668" s="73"/>
      <c r="HN1668" s="73"/>
      <c r="HO1668" s="73"/>
      <c r="HP1668" s="73"/>
      <c r="HQ1668" s="73"/>
      <c r="HR1668" s="73"/>
      <c r="HS1668" s="73"/>
      <c r="HT1668" s="73"/>
      <c r="HU1668" s="73"/>
      <c r="HV1668" s="73"/>
      <c r="HW1668" s="73"/>
      <c r="HX1668" s="73"/>
      <c r="HY1668" s="73"/>
      <c r="HZ1668" s="73"/>
      <c r="IA1668" s="73"/>
      <c r="IB1668" s="73"/>
      <c r="IC1668" s="73"/>
      <c r="ID1668" s="73"/>
      <c r="IE1668" s="73"/>
      <c r="IF1668" s="73"/>
      <c r="IG1668" s="73"/>
      <c r="IH1668" s="73"/>
      <c r="II1668" s="73"/>
      <c r="IJ1668" s="73"/>
      <c r="IK1668" s="73"/>
      <c r="IL1668" s="73"/>
      <c r="IM1668" s="73"/>
      <c r="IN1668" s="73"/>
      <c r="IO1668" s="73"/>
      <c r="IP1668" s="73"/>
      <c r="IQ1668" s="73"/>
      <c r="IR1668" s="73"/>
      <c r="IS1668" s="73"/>
      <c r="IT1668" s="73"/>
      <c r="IU1668" s="73"/>
      <c r="IV1668" s="73"/>
      <c r="IW1668" s="73"/>
      <c r="IX1668" s="73"/>
      <c r="IY1668" s="73"/>
      <c r="IZ1668" s="73"/>
      <c r="JA1668" s="73"/>
      <c r="JB1668" s="73"/>
      <c r="JC1668" s="73"/>
    </row>
    <row r="1669" spans="2:263" s="72" customFormat="1">
      <c r="B1669" s="73"/>
      <c r="C1669" s="73"/>
      <c r="D1669" s="73"/>
      <c r="E1669" s="73"/>
      <c r="F1669" s="73"/>
      <c r="G1669" s="73"/>
      <c r="H1669" s="73"/>
      <c r="I1669" s="73"/>
      <c r="J1669" s="73"/>
      <c r="K1669" s="73"/>
      <c r="L1669" s="73"/>
      <c r="M1669" s="73"/>
      <c r="N1669" s="73"/>
      <c r="O1669" s="73"/>
      <c r="P1669" s="73"/>
      <c r="Q1669" s="73"/>
      <c r="R1669" s="73"/>
      <c r="S1669" s="73"/>
      <c r="T1669" s="73"/>
      <c r="U1669" s="73"/>
      <c r="V1669" s="73"/>
      <c r="W1669" s="73"/>
      <c r="GL1669" s="73"/>
      <c r="GM1669" s="73"/>
      <c r="GN1669" s="73"/>
      <c r="GO1669" s="73"/>
      <c r="GP1669" s="73"/>
      <c r="GQ1669" s="73"/>
      <c r="GR1669" s="73"/>
      <c r="GS1669" s="73"/>
      <c r="GT1669" s="73"/>
      <c r="GU1669" s="73"/>
      <c r="GV1669" s="73"/>
      <c r="GW1669" s="73"/>
      <c r="GX1669" s="73"/>
      <c r="GY1669" s="73"/>
      <c r="GZ1669" s="73"/>
      <c r="HA1669" s="73"/>
      <c r="HB1669" s="73"/>
      <c r="HC1669" s="73"/>
      <c r="HD1669" s="73"/>
      <c r="HE1669" s="73"/>
      <c r="HF1669" s="73"/>
      <c r="HG1669" s="73"/>
      <c r="HH1669" s="73"/>
      <c r="HI1669" s="73"/>
      <c r="HJ1669" s="73"/>
      <c r="HK1669" s="73"/>
      <c r="HL1669" s="73"/>
      <c r="HM1669" s="73"/>
      <c r="HN1669" s="73"/>
      <c r="HO1669" s="73"/>
      <c r="HP1669" s="73"/>
      <c r="HQ1669" s="73"/>
      <c r="HR1669" s="73"/>
      <c r="HS1669" s="73"/>
      <c r="HT1669" s="73"/>
      <c r="HU1669" s="73"/>
      <c r="HV1669" s="73"/>
      <c r="HW1669" s="73"/>
      <c r="HX1669" s="73"/>
      <c r="HY1669" s="73"/>
      <c r="HZ1669" s="73"/>
      <c r="IA1669" s="73"/>
      <c r="IB1669" s="73"/>
      <c r="IC1669" s="73"/>
      <c r="ID1669" s="73"/>
      <c r="IE1669" s="73"/>
      <c r="IF1669" s="73"/>
      <c r="IG1669" s="73"/>
      <c r="IH1669" s="73"/>
      <c r="II1669" s="73"/>
      <c r="IJ1669" s="73"/>
      <c r="IK1669" s="73"/>
      <c r="IL1669" s="73"/>
      <c r="IM1669" s="73"/>
      <c r="IN1669" s="73"/>
      <c r="IO1669" s="73"/>
      <c r="IP1669" s="73"/>
      <c r="IQ1669" s="73"/>
      <c r="IR1669" s="73"/>
      <c r="IS1669" s="73"/>
      <c r="IT1669" s="73"/>
      <c r="IU1669" s="73"/>
      <c r="IV1669" s="73"/>
      <c r="IW1669" s="73"/>
      <c r="IX1669" s="73"/>
      <c r="IY1669" s="73"/>
      <c r="IZ1669" s="73"/>
      <c r="JA1669" s="73"/>
      <c r="JB1669" s="73"/>
      <c r="JC1669" s="73"/>
    </row>
    <row r="1670" spans="2:263" s="72" customFormat="1">
      <c r="B1670" s="73"/>
      <c r="C1670" s="73"/>
      <c r="D1670" s="73"/>
      <c r="E1670" s="73"/>
      <c r="F1670" s="73"/>
      <c r="G1670" s="73"/>
      <c r="H1670" s="73"/>
      <c r="I1670" s="73"/>
      <c r="J1670" s="73"/>
      <c r="K1670" s="73"/>
      <c r="L1670" s="73"/>
      <c r="M1670" s="73"/>
      <c r="N1670" s="73"/>
      <c r="O1670" s="73"/>
      <c r="P1670" s="73"/>
      <c r="Q1670" s="73"/>
      <c r="R1670" s="73"/>
      <c r="S1670" s="73"/>
      <c r="T1670" s="73"/>
      <c r="U1670" s="73"/>
      <c r="V1670" s="73"/>
      <c r="W1670" s="73"/>
      <c r="GL1670" s="73"/>
      <c r="GM1670" s="73"/>
      <c r="GN1670" s="73"/>
      <c r="GO1670" s="73"/>
      <c r="GP1670" s="73"/>
      <c r="GQ1670" s="73"/>
      <c r="GR1670" s="73"/>
      <c r="GS1670" s="73"/>
      <c r="GT1670" s="73"/>
      <c r="GU1670" s="73"/>
      <c r="GV1670" s="73"/>
      <c r="GW1670" s="73"/>
      <c r="GX1670" s="73"/>
      <c r="GY1670" s="73"/>
      <c r="GZ1670" s="73"/>
      <c r="HA1670" s="73"/>
      <c r="HB1670" s="73"/>
      <c r="HC1670" s="73"/>
      <c r="HD1670" s="73"/>
      <c r="HE1670" s="73"/>
      <c r="HF1670" s="73"/>
      <c r="HG1670" s="73"/>
      <c r="HH1670" s="73"/>
      <c r="HI1670" s="73"/>
      <c r="HJ1670" s="73"/>
      <c r="HK1670" s="73"/>
      <c r="HL1670" s="73"/>
      <c r="HM1670" s="73"/>
      <c r="HN1670" s="73"/>
      <c r="HO1670" s="73"/>
      <c r="HP1670" s="73"/>
      <c r="HQ1670" s="73"/>
      <c r="HR1670" s="73"/>
      <c r="HS1670" s="73"/>
      <c r="HT1670" s="73"/>
      <c r="HU1670" s="73"/>
      <c r="HV1670" s="73"/>
      <c r="HW1670" s="73"/>
      <c r="HX1670" s="73"/>
      <c r="HY1670" s="73"/>
      <c r="HZ1670" s="73"/>
      <c r="IA1670" s="73"/>
      <c r="IB1670" s="73"/>
      <c r="IC1670" s="73"/>
      <c r="ID1670" s="73"/>
      <c r="IE1670" s="73"/>
      <c r="IF1670" s="73"/>
      <c r="IG1670" s="73"/>
      <c r="IH1670" s="73"/>
      <c r="II1670" s="73"/>
      <c r="IJ1670" s="73"/>
      <c r="IK1670" s="73"/>
      <c r="IL1670" s="73"/>
      <c r="IM1670" s="73"/>
      <c r="IN1670" s="73"/>
      <c r="IO1670" s="73"/>
      <c r="IP1670" s="73"/>
      <c r="IQ1670" s="73"/>
      <c r="IR1670" s="73"/>
      <c r="IS1670" s="73"/>
      <c r="IT1670" s="73"/>
      <c r="IU1670" s="73"/>
      <c r="IV1670" s="73"/>
      <c r="IW1670" s="73"/>
      <c r="IX1670" s="73"/>
      <c r="IY1670" s="73"/>
      <c r="IZ1670" s="73"/>
      <c r="JA1670" s="73"/>
      <c r="JB1670" s="73"/>
      <c r="JC1670" s="73"/>
    </row>
    <row r="1671" spans="2:263" s="72" customFormat="1">
      <c r="B1671" s="73"/>
      <c r="C1671" s="73"/>
      <c r="D1671" s="73"/>
      <c r="E1671" s="73"/>
      <c r="F1671" s="73"/>
      <c r="G1671" s="73"/>
      <c r="H1671" s="73"/>
      <c r="I1671" s="73"/>
      <c r="J1671" s="73"/>
      <c r="K1671" s="73"/>
      <c r="L1671" s="73"/>
      <c r="M1671" s="73"/>
      <c r="N1671" s="73"/>
      <c r="O1671" s="73"/>
      <c r="P1671" s="73"/>
      <c r="Q1671" s="73"/>
      <c r="R1671" s="73"/>
      <c r="S1671" s="73"/>
      <c r="T1671" s="73"/>
      <c r="U1671" s="73"/>
      <c r="V1671" s="73"/>
      <c r="W1671" s="73"/>
      <c r="GL1671" s="73"/>
      <c r="GM1671" s="73"/>
      <c r="GN1671" s="73"/>
      <c r="GO1671" s="73"/>
      <c r="GP1671" s="73"/>
      <c r="GQ1671" s="73"/>
      <c r="GR1671" s="73"/>
      <c r="GS1671" s="73"/>
      <c r="GT1671" s="73"/>
      <c r="GU1671" s="73"/>
      <c r="GV1671" s="73"/>
      <c r="GW1671" s="73"/>
      <c r="GX1671" s="73"/>
      <c r="GY1671" s="73"/>
      <c r="GZ1671" s="73"/>
      <c r="HA1671" s="73"/>
      <c r="HB1671" s="73"/>
      <c r="HC1671" s="73"/>
      <c r="HD1671" s="73"/>
      <c r="HE1671" s="73"/>
      <c r="HF1671" s="73"/>
      <c r="HG1671" s="73"/>
      <c r="HH1671" s="73"/>
      <c r="HI1671" s="73"/>
      <c r="HJ1671" s="73"/>
      <c r="HK1671" s="73"/>
      <c r="HL1671" s="73"/>
      <c r="HM1671" s="73"/>
      <c r="HN1671" s="73"/>
      <c r="HO1671" s="73"/>
      <c r="HP1671" s="73"/>
      <c r="HQ1671" s="73"/>
      <c r="HR1671" s="73"/>
      <c r="HS1671" s="73"/>
      <c r="HT1671" s="73"/>
      <c r="HU1671" s="73"/>
      <c r="HV1671" s="73"/>
      <c r="HW1671" s="73"/>
      <c r="HX1671" s="73"/>
      <c r="HY1671" s="73"/>
      <c r="HZ1671" s="73"/>
      <c r="IA1671" s="73"/>
      <c r="IB1671" s="73"/>
      <c r="IC1671" s="73"/>
      <c r="ID1671" s="73"/>
      <c r="IE1671" s="73"/>
      <c r="IF1671" s="73"/>
      <c r="IG1671" s="73"/>
      <c r="IH1671" s="73"/>
      <c r="II1671" s="73"/>
      <c r="IJ1671" s="73"/>
      <c r="IK1671" s="73"/>
      <c r="IL1671" s="73"/>
      <c r="IM1671" s="73"/>
      <c r="IN1671" s="73"/>
      <c r="IO1671" s="73"/>
      <c r="IP1671" s="73"/>
      <c r="IQ1671" s="73"/>
      <c r="IR1671" s="73"/>
      <c r="IS1671" s="73"/>
      <c r="IT1671" s="73"/>
      <c r="IU1671" s="73"/>
      <c r="IV1671" s="73"/>
      <c r="IW1671" s="73"/>
      <c r="IX1671" s="73"/>
      <c r="IY1671" s="73"/>
      <c r="IZ1671" s="73"/>
      <c r="JA1671" s="73"/>
      <c r="JB1671" s="73"/>
      <c r="JC1671" s="73"/>
    </row>
    <row r="1672" spans="2:263" s="72" customFormat="1">
      <c r="B1672" s="73"/>
      <c r="C1672" s="73"/>
      <c r="D1672" s="73"/>
      <c r="E1672" s="73"/>
      <c r="F1672" s="73"/>
      <c r="G1672" s="73"/>
      <c r="H1672" s="73"/>
      <c r="I1672" s="73"/>
      <c r="J1672" s="73"/>
      <c r="K1672" s="73"/>
      <c r="L1672" s="73"/>
      <c r="M1672" s="73"/>
      <c r="N1672" s="73"/>
      <c r="O1672" s="73"/>
      <c r="P1672" s="73"/>
      <c r="Q1672" s="73"/>
      <c r="R1672" s="73"/>
      <c r="S1672" s="73"/>
      <c r="T1672" s="73"/>
      <c r="U1672" s="73"/>
      <c r="V1672" s="73"/>
      <c r="W1672" s="73"/>
      <c r="GL1672" s="73"/>
      <c r="GM1672" s="73"/>
      <c r="GN1672" s="73"/>
      <c r="GO1672" s="73"/>
      <c r="GP1672" s="73"/>
      <c r="GQ1672" s="73"/>
      <c r="GR1672" s="73"/>
      <c r="GS1672" s="73"/>
      <c r="GT1672" s="73"/>
      <c r="GU1672" s="73"/>
      <c r="GV1672" s="73"/>
      <c r="GW1672" s="73"/>
      <c r="GX1672" s="73"/>
      <c r="GY1672" s="73"/>
      <c r="GZ1672" s="73"/>
      <c r="HA1672" s="73"/>
      <c r="HB1672" s="73"/>
      <c r="HC1672" s="73"/>
      <c r="HD1672" s="73"/>
      <c r="HE1672" s="73"/>
      <c r="HF1672" s="73"/>
      <c r="HG1672" s="73"/>
      <c r="HH1672" s="73"/>
      <c r="HI1672" s="73"/>
      <c r="HJ1672" s="73"/>
      <c r="HK1672" s="73"/>
      <c r="HL1672" s="73"/>
      <c r="HM1672" s="73"/>
      <c r="HN1672" s="73"/>
      <c r="HO1672" s="73"/>
      <c r="HP1672" s="73"/>
      <c r="HQ1672" s="73"/>
      <c r="HR1672" s="73"/>
      <c r="HS1672" s="73"/>
      <c r="HT1672" s="73"/>
      <c r="HU1672" s="73"/>
      <c r="HV1672" s="73"/>
      <c r="HW1672" s="73"/>
      <c r="HX1672" s="73"/>
      <c r="HY1672" s="73"/>
      <c r="HZ1672" s="73"/>
      <c r="IA1672" s="73"/>
      <c r="IB1672" s="73"/>
      <c r="IC1672" s="73"/>
      <c r="ID1672" s="73"/>
      <c r="IE1672" s="73"/>
      <c r="IF1672" s="73"/>
      <c r="IG1672" s="73"/>
      <c r="IH1672" s="73"/>
      <c r="II1672" s="73"/>
      <c r="IJ1672" s="73"/>
      <c r="IK1672" s="73"/>
      <c r="IL1672" s="73"/>
      <c r="IM1672" s="73"/>
      <c r="IN1672" s="73"/>
      <c r="IO1672" s="73"/>
      <c r="IP1672" s="73"/>
      <c r="IQ1672" s="73"/>
      <c r="IR1672" s="73"/>
      <c r="IS1672" s="73"/>
      <c r="IT1672" s="73"/>
      <c r="IU1672" s="73"/>
      <c r="IV1672" s="73"/>
      <c r="IW1672" s="73"/>
      <c r="IX1672" s="73"/>
      <c r="IY1672" s="73"/>
      <c r="IZ1672" s="73"/>
      <c r="JA1672" s="73"/>
      <c r="JB1672" s="73"/>
      <c r="JC1672" s="73"/>
    </row>
    <row r="1673" spans="2:263" s="72" customFormat="1">
      <c r="B1673" s="73"/>
      <c r="C1673" s="73"/>
      <c r="D1673" s="73"/>
      <c r="E1673" s="73"/>
      <c r="F1673" s="73"/>
      <c r="G1673" s="73"/>
      <c r="H1673" s="73"/>
      <c r="I1673" s="73"/>
      <c r="J1673" s="73"/>
      <c r="K1673" s="73"/>
      <c r="L1673" s="73"/>
      <c r="M1673" s="73"/>
      <c r="N1673" s="73"/>
      <c r="O1673" s="73"/>
      <c r="P1673" s="73"/>
      <c r="Q1673" s="73"/>
      <c r="R1673" s="73"/>
      <c r="S1673" s="73"/>
      <c r="T1673" s="73"/>
      <c r="U1673" s="73"/>
      <c r="V1673" s="73"/>
      <c r="W1673" s="73"/>
      <c r="GL1673" s="73"/>
      <c r="GM1673" s="73"/>
      <c r="GN1673" s="73"/>
      <c r="GO1673" s="73"/>
      <c r="GP1673" s="73"/>
      <c r="GQ1673" s="73"/>
      <c r="GR1673" s="73"/>
      <c r="GS1673" s="73"/>
      <c r="GT1673" s="73"/>
      <c r="GU1673" s="73"/>
      <c r="GV1673" s="73"/>
      <c r="GW1673" s="73"/>
      <c r="GX1673" s="73"/>
      <c r="GY1673" s="73"/>
      <c r="GZ1673" s="73"/>
      <c r="HA1673" s="73"/>
      <c r="HB1673" s="73"/>
      <c r="HC1673" s="73"/>
      <c r="HD1673" s="73"/>
      <c r="HE1673" s="73"/>
      <c r="HF1673" s="73"/>
      <c r="HG1673" s="73"/>
      <c r="HH1673" s="73"/>
      <c r="HI1673" s="73"/>
      <c r="HJ1673" s="73"/>
      <c r="HK1673" s="73"/>
      <c r="HL1673" s="73"/>
      <c r="HM1673" s="73"/>
      <c r="HN1673" s="73"/>
      <c r="HO1673" s="73"/>
      <c r="HP1673" s="73"/>
      <c r="HQ1673" s="73"/>
      <c r="HR1673" s="73"/>
      <c r="HS1673" s="73"/>
      <c r="HT1673" s="73"/>
      <c r="HU1673" s="73"/>
      <c r="HV1673" s="73"/>
      <c r="HW1673" s="73"/>
      <c r="HX1673" s="73"/>
      <c r="HY1673" s="73"/>
      <c r="HZ1673" s="73"/>
      <c r="IA1673" s="73"/>
      <c r="IB1673" s="73"/>
      <c r="IC1673" s="73"/>
      <c r="ID1673" s="73"/>
      <c r="IE1673" s="73"/>
      <c r="IF1673" s="73"/>
      <c r="IG1673" s="73"/>
      <c r="IH1673" s="73"/>
      <c r="II1673" s="73"/>
      <c r="IJ1673" s="73"/>
      <c r="IK1673" s="73"/>
      <c r="IL1673" s="73"/>
      <c r="IM1673" s="73"/>
      <c r="IN1673" s="73"/>
      <c r="IO1673" s="73"/>
      <c r="IP1673" s="73"/>
      <c r="IQ1673" s="73"/>
      <c r="IR1673" s="73"/>
      <c r="IS1673" s="73"/>
      <c r="IT1673" s="73"/>
      <c r="IU1673" s="73"/>
      <c r="IV1673" s="73"/>
      <c r="IW1673" s="73"/>
      <c r="IX1673" s="73"/>
      <c r="IY1673" s="73"/>
      <c r="IZ1673" s="73"/>
      <c r="JA1673" s="73"/>
      <c r="JB1673" s="73"/>
      <c r="JC1673" s="73"/>
    </row>
    <row r="1674" spans="2:263" s="72" customFormat="1">
      <c r="B1674" s="73"/>
      <c r="C1674" s="73"/>
      <c r="D1674" s="73"/>
      <c r="E1674" s="73"/>
      <c r="F1674" s="73"/>
      <c r="G1674" s="73"/>
      <c r="H1674" s="73"/>
      <c r="I1674" s="73"/>
      <c r="J1674" s="73"/>
      <c r="K1674" s="73"/>
      <c r="L1674" s="73"/>
      <c r="M1674" s="73"/>
      <c r="N1674" s="73"/>
      <c r="O1674" s="73"/>
      <c r="P1674" s="73"/>
      <c r="Q1674" s="73"/>
      <c r="R1674" s="73"/>
      <c r="S1674" s="73"/>
      <c r="T1674" s="73"/>
      <c r="U1674" s="73"/>
      <c r="V1674" s="73"/>
      <c r="W1674" s="73"/>
      <c r="GL1674" s="73"/>
      <c r="GM1674" s="73"/>
      <c r="GN1674" s="73"/>
      <c r="GO1674" s="73"/>
      <c r="GP1674" s="73"/>
      <c r="GQ1674" s="73"/>
      <c r="GR1674" s="73"/>
      <c r="GS1674" s="73"/>
      <c r="GT1674" s="73"/>
      <c r="GU1674" s="73"/>
      <c r="GV1674" s="73"/>
      <c r="GW1674" s="73"/>
      <c r="GX1674" s="73"/>
      <c r="GY1674" s="73"/>
      <c r="GZ1674" s="73"/>
      <c r="HA1674" s="73"/>
      <c r="HB1674" s="73"/>
      <c r="HC1674" s="73"/>
      <c r="HD1674" s="73"/>
      <c r="HE1674" s="73"/>
      <c r="HF1674" s="73"/>
      <c r="HG1674" s="73"/>
      <c r="HH1674" s="73"/>
      <c r="HI1674" s="73"/>
      <c r="HJ1674" s="73"/>
      <c r="HK1674" s="73"/>
      <c r="HL1674" s="73"/>
      <c r="HM1674" s="73"/>
      <c r="HN1674" s="73"/>
      <c r="HO1674" s="73"/>
      <c r="HP1674" s="73"/>
      <c r="HQ1674" s="73"/>
      <c r="HR1674" s="73"/>
      <c r="HS1674" s="73"/>
      <c r="HT1674" s="73"/>
      <c r="HU1674" s="73"/>
      <c r="HV1674" s="73"/>
      <c r="HW1674" s="73"/>
      <c r="HX1674" s="73"/>
      <c r="HY1674" s="73"/>
      <c r="HZ1674" s="73"/>
      <c r="IA1674" s="73"/>
      <c r="IB1674" s="73"/>
      <c r="IC1674" s="73"/>
      <c r="ID1674" s="73"/>
      <c r="IE1674" s="73"/>
      <c r="IF1674" s="73"/>
      <c r="IG1674" s="73"/>
      <c r="IH1674" s="73"/>
      <c r="II1674" s="73"/>
      <c r="IJ1674" s="73"/>
      <c r="IK1674" s="73"/>
      <c r="IL1674" s="73"/>
      <c r="IM1674" s="73"/>
      <c r="IN1674" s="73"/>
      <c r="IO1674" s="73"/>
      <c r="IP1674" s="73"/>
      <c r="IQ1674" s="73"/>
      <c r="IR1674" s="73"/>
      <c r="IS1674" s="73"/>
      <c r="IT1674" s="73"/>
      <c r="IU1674" s="73"/>
      <c r="IV1674" s="73"/>
      <c r="IW1674" s="73"/>
      <c r="IX1674" s="73"/>
      <c r="IY1674" s="73"/>
      <c r="IZ1674" s="73"/>
      <c r="JA1674" s="73"/>
      <c r="JB1674" s="73"/>
      <c r="JC1674" s="73"/>
    </row>
    <row r="1675" spans="2:263" s="72" customFormat="1">
      <c r="B1675" s="73"/>
      <c r="C1675" s="73"/>
      <c r="D1675" s="73"/>
      <c r="E1675" s="73"/>
      <c r="F1675" s="73"/>
      <c r="G1675" s="73"/>
      <c r="H1675" s="73"/>
      <c r="I1675" s="73"/>
      <c r="J1675" s="73"/>
      <c r="K1675" s="73"/>
      <c r="L1675" s="73"/>
      <c r="M1675" s="73"/>
      <c r="N1675" s="73"/>
      <c r="O1675" s="73"/>
      <c r="P1675" s="73"/>
      <c r="Q1675" s="73"/>
      <c r="R1675" s="73"/>
      <c r="S1675" s="73"/>
      <c r="T1675" s="73"/>
      <c r="U1675" s="73"/>
      <c r="V1675" s="73"/>
      <c r="W1675" s="73"/>
      <c r="GL1675" s="73"/>
      <c r="GM1675" s="73"/>
      <c r="GN1675" s="73"/>
      <c r="GO1675" s="73"/>
      <c r="GP1675" s="73"/>
      <c r="GQ1675" s="73"/>
      <c r="GR1675" s="73"/>
      <c r="GS1675" s="73"/>
      <c r="GT1675" s="73"/>
      <c r="GU1675" s="73"/>
      <c r="GV1675" s="73"/>
      <c r="GW1675" s="73"/>
      <c r="GX1675" s="73"/>
      <c r="GY1675" s="73"/>
      <c r="GZ1675" s="73"/>
      <c r="HA1675" s="73"/>
      <c r="HB1675" s="73"/>
      <c r="HC1675" s="73"/>
      <c r="HD1675" s="73"/>
      <c r="HE1675" s="73"/>
      <c r="HF1675" s="73"/>
      <c r="HG1675" s="73"/>
      <c r="HH1675" s="73"/>
      <c r="HI1675" s="73"/>
      <c r="HJ1675" s="73"/>
      <c r="HK1675" s="73"/>
      <c r="HL1675" s="73"/>
      <c r="HM1675" s="73"/>
      <c r="HN1675" s="73"/>
      <c r="HO1675" s="73"/>
      <c r="HP1675" s="73"/>
      <c r="HQ1675" s="73"/>
      <c r="HR1675" s="73"/>
      <c r="HS1675" s="73"/>
      <c r="HT1675" s="73"/>
      <c r="HU1675" s="73"/>
      <c r="HV1675" s="73"/>
      <c r="HW1675" s="73"/>
      <c r="HX1675" s="73"/>
      <c r="HY1675" s="73"/>
      <c r="HZ1675" s="73"/>
      <c r="IA1675" s="73"/>
      <c r="IB1675" s="73"/>
      <c r="IC1675" s="73"/>
      <c r="ID1675" s="73"/>
      <c r="IE1675" s="73"/>
      <c r="IF1675" s="73"/>
      <c r="IG1675" s="73"/>
      <c r="IH1675" s="73"/>
      <c r="II1675" s="73"/>
      <c r="IJ1675" s="73"/>
      <c r="IK1675" s="73"/>
      <c r="IL1675" s="73"/>
      <c r="IM1675" s="73"/>
      <c r="IN1675" s="73"/>
      <c r="IO1675" s="73"/>
      <c r="IP1675" s="73"/>
      <c r="IQ1675" s="73"/>
      <c r="IR1675" s="73"/>
      <c r="IS1675" s="73"/>
      <c r="IT1675" s="73"/>
      <c r="IU1675" s="73"/>
      <c r="IV1675" s="73"/>
      <c r="IW1675" s="73"/>
      <c r="IX1675" s="73"/>
      <c r="IY1675" s="73"/>
      <c r="IZ1675" s="73"/>
      <c r="JA1675" s="73"/>
      <c r="JB1675" s="73"/>
      <c r="JC1675" s="73"/>
    </row>
    <row r="1676" spans="2:263" s="72" customFormat="1">
      <c r="B1676" s="73"/>
      <c r="C1676" s="73"/>
      <c r="D1676" s="73"/>
      <c r="E1676" s="73"/>
      <c r="F1676" s="73"/>
      <c r="G1676" s="73"/>
      <c r="H1676" s="73"/>
      <c r="I1676" s="73"/>
      <c r="J1676" s="73"/>
      <c r="K1676" s="73"/>
      <c r="L1676" s="73"/>
      <c r="M1676" s="73"/>
      <c r="N1676" s="73"/>
      <c r="O1676" s="73"/>
      <c r="P1676" s="73"/>
      <c r="Q1676" s="73"/>
      <c r="R1676" s="73"/>
      <c r="S1676" s="73"/>
      <c r="T1676" s="73"/>
      <c r="U1676" s="73"/>
      <c r="V1676" s="73"/>
      <c r="W1676" s="73"/>
      <c r="GL1676" s="73"/>
      <c r="GM1676" s="73"/>
      <c r="GN1676" s="73"/>
      <c r="GO1676" s="73"/>
      <c r="GP1676" s="73"/>
      <c r="GQ1676" s="73"/>
      <c r="GR1676" s="73"/>
      <c r="GS1676" s="73"/>
      <c r="GT1676" s="73"/>
      <c r="GU1676" s="73"/>
      <c r="GV1676" s="73"/>
      <c r="GW1676" s="73"/>
      <c r="GX1676" s="73"/>
      <c r="GY1676" s="73"/>
      <c r="GZ1676" s="73"/>
      <c r="HA1676" s="73"/>
      <c r="HB1676" s="73"/>
      <c r="HC1676" s="73"/>
      <c r="HD1676" s="73"/>
      <c r="HE1676" s="73"/>
      <c r="HF1676" s="73"/>
      <c r="HG1676" s="73"/>
      <c r="HH1676" s="73"/>
      <c r="HI1676" s="73"/>
      <c r="HJ1676" s="73"/>
      <c r="HK1676" s="73"/>
      <c r="HL1676" s="73"/>
      <c r="HM1676" s="73"/>
      <c r="HN1676" s="73"/>
      <c r="HO1676" s="73"/>
      <c r="HP1676" s="73"/>
      <c r="HQ1676" s="73"/>
      <c r="HR1676" s="73"/>
      <c r="HS1676" s="73"/>
      <c r="HT1676" s="73"/>
      <c r="HU1676" s="73"/>
      <c r="HV1676" s="73"/>
      <c r="HW1676" s="73"/>
      <c r="HX1676" s="73"/>
      <c r="HY1676" s="73"/>
      <c r="HZ1676" s="73"/>
      <c r="IA1676" s="73"/>
      <c r="IB1676" s="73"/>
      <c r="IC1676" s="73"/>
      <c r="ID1676" s="73"/>
      <c r="IE1676" s="73"/>
      <c r="IF1676" s="73"/>
      <c r="IG1676" s="73"/>
      <c r="IH1676" s="73"/>
      <c r="II1676" s="73"/>
      <c r="IJ1676" s="73"/>
      <c r="IK1676" s="73"/>
      <c r="IL1676" s="73"/>
      <c r="IM1676" s="73"/>
      <c r="IN1676" s="73"/>
      <c r="IO1676" s="73"/>
      <c r="IP1676" s="73"/>
      <c r="IQ1676" s="73"/>
      <c r="IR1676" s="73"/>
      <c r="IS1676" s="73"/>
      <c r="IT1676" s="73"/>
      <c r="IU1676" s="73"/>
      <c r="IV1676" s="73"/>
      <c r="IW1676" s="73"/>
      <c r="IX1676" s="73"/>
      <c r="IY1676" s="73"/>
      <c r="IZ1676" s="73"/>
      <c r="JA1676" s="73"/>
      <c r="JB1676" s="73"/>
      <c r="JC1676" s="73"/>
    </row>
    <row r="1677" spans="2:263" s="72" customFormat="1">
      <c r="B1677" s="73"/>
      <c r="C1677" s="73"/>
      <c r="D1677" s="73"/>
      <c r="E1677" s="73"/>
      <c r="F1677" s="73"/>
      <c r="G1677" s="73"/>
      <c r="H1677" s="73"/>
      <c r="I1677" s="73"/>
      <c r="J1677" s="73"/>
      <c r="K1677" s="73"/>
      <c r="L1677" s="73"/>
      <c r="M1677" s="73"/>
      <c r="N1677" s="73"/>
      <c r="O1677" s="73"/>
      <c r="P1677" s="73"/>
      <c r="Q1677" s="73"/>
      <c r="R1677" s="73"/>
      <c r="S1677" s="73"/>
      <c r="T1677" s="73"/>
      <c r="U1677" s="73"/>
      <c r="V1677" s="73"/>
      <c r="W1677" s="73"/>
      <c r="GL1677" s="73"/>
      <c r="GM1677" s="73"/>
      <c r="GN1677" s="73"/>
      <c r="GO1677" s="73"/>
      <c r="GP1677" s="73"/>
      <c r="GQ1677" s="73"/>
      <c r="GR1677" s="73"/>
      <c r="GS1677" s="73"/>
      <c r="GT1677" s="73"/>
      <c r="GU1677" s="73"/>
      <c r="GV1677" s="73"/>
      <c r="GW1677" s="73"/>
      <c r="GX1677" s="73"/>
      <c r="GY1677" s="73"/>
      <c r="GZ1677" s="73"/>
      <c r="HA1677" s="73"/>
      <c r="HB1677" s="73"/>
      <c r="HC1677" s="73"/>
      <c r="HD1677" s="73"/>
      <c r="HE1677" s="73"/>
      <c r="HF1677" s="73"/>
      <c r="HG1677" s="73"/>
      <c r="HH1677" s="73"/>
      <c r="HI1677" s="73"/>
      <c r="HJ1677" s="73"/>
      <c r="HK1677" s="73"/>
      <c r="HL1677" s="73"/>
      <c r="HM1677" s="73"/>
      <c r="HN1677" s="73"/>
      <c r="HO1677" s="73"/>
      <c r="HP1677" s="73"/>
      <c r="HQ1677" s="73"/>
      <c r="HR1677" s="73"/>
      <c r="HS1677" s="73"/>
      <c r="HT1677" s="73"/>
      <c r="HU1677" s="73"/>
      <c r="HV1677" s="73"/>
      <c r="HW1677" s="73"/>
      <c r="HX1677" s="73"/>
      <c r="HY1677" s="73"/>
      <c r="HZ1677" s="73"/>
      <c r="IA1677" s="73"/>
      <c r="IB1677" s="73"/>
      <c r="IC1677" s="73"/>
      <c r="ID1677" s="73"/>
      <c r="IE1677" s="73"/>
      <c r="IF1677" s="73"/>
      <c r="IG1677" s="73"/>
      <c r="IH1677" s="73"/>
      <c r="II1677" s="73"/>
      <c r="IJ1677" s="73"/>
      <c r="IK1677" s="73"/>
      <c r="IL1677" s="73"/>
      <c r="IM1677" s="73"/>
      <c r="IN1677" s="73"/>
      <c r="IO1677" s="73"/>
      <c r="IP1677" s="73"/>
      <c r="IQ1677" s="73"/>
      <c r="IR1677" s="73"/>
      <c r="IS1677" s="73"/>
      <c r="IT1677" s="73"/>
      <c r="IU1677" s="73"/>
      <c r="IV1677" s="73"/>
      <c r="IW1677" s="73"/>
      <c r="IX1677" s="73"/>
      <c r="IY1677" s="73"/>
      <c r="IZ1677" s="73"/>
      <c r="JA1677" s="73"/>
      <c r="JB1677" s="73"/>
      <c r="JC1677" s="73"/>
    </row>
    <row r="1678" spans="2:263" s="72" customFormat="1">
      <c r="B1678" s="73"/>
      <c r="C1678" s="73"/>
      <c r="D1678" s="73"/>
      <c r="E1678" s="73"/>
      <c r="F1678" s="73"/>
      <c r="G1678" s="73"/>
      <c r="H1678" s="73"/>
      <c r="I1678" s="73"/>
      <c r="J1678" s="73"/>
      <c r="K1678" s="73"/>
      <c r="L1678" s="73"/>
      <c r="M1678" s="73"/>
      <c r="N1678" s="73"/>
      <c r="O1678" s="73"/>
      <c r="P1678" s="73"/>
      <c r="Q1678" s="73"/>
      <c r="R1678" s="73"/>
      <c r="S1678" s="73"/>
      <c r="T1678" s="73"/>
      <c r="U1678" s="73"/>
      <c r="V1678" s="73"/>
      <c r="W1678" s="73"/>
      <c r="GL1678" s="73"/>
      <c r="GM1678" s="73"/>
      <c r="GN1678" s="73"/>
      <c r="GO1678" s="73"/>
      <c r="GP1678" s="73"/>
      <c r="GQ1678" s="73"/>
      <c r="GR1678" s="73"/>
      <c r="GS1678" s="73"/>
      <c r="GT1678" s="73"/>
      <c r="GU1678" s="73"/>
      <c r="GV1678" s="73"/>
      <c r="GW1678" s="73"/>
      <c r="GX1678" s="73"/>
      <c r="GY1678" s="73"/>
      <c r="GZ1678" s="73"/>
      <c r="HA1678" s="73"/>
      <c r="HB1678" s="73"/>
      <c r="HC1678" s="73"/>
      <c r="HD1678" s="73"/>
      <c r="HE1678" s="73"/>
      <c r="HF1678" s="73"/>
      <c r="HG1678" s="73"/>
      <c r="HH1678" s="73"/>
      <c r="HI1678" s="73"/>
      <c r="HJ1678" s="73"/>
      <c r="HK1678" s="73"/>
      <c r="HL1678" s="73"/>
      <c r="HM1678" s="73"/>
      <c r="HN1678" s="73"/>
      <c r="HO1678" s="73"/>
      <c r="HP1678" s="73"/>
      <c r="HQ1678" s="73"/>
      <c r="HR1678" s="73"/>
      <c r="HS1678" s="73"/>
      <c r="HT1678" s="73"/>
      <c r="HU1678" s="73"/>
      <c r="HV1678" s="73"/>
      <c r="HW1678" s="73"/>
      <c r="HX1678" s="73"/>
      <c r="HY1678" s="73"/>
      <c r="HZ1678" s="73"/>
      <c r="IA1678" s="73"/>
      <c r="IB1678" s="73"/>
      <c r="IC1678" s="73"/>
      <c r="ID1678" s="73"/>
      <c r="IE1678" s="73"/>
      <c r="IF1678" s="73"/>
      <c r="IG1678" s="73"/>
      <c r="IH1678" s="73"/>
      <c r="II1678" s="73"/>
      <c r="IJ1678" s="73"/>
      <c r="IK1678" s="73"/>
      <c r="IL1678" s="73"/>
      <c r="IM1678" s="73"/>
      <c r="IN1678" s="73"/>
      <c r="IO1678" s="73"/>
      <c r="IP1678" s="73"/>
      <c r="IQ1678" s="73"/>
      <c r="IR1678" s="73"/>
      <c r="IS1678" s="73"/>
      <c r="IT1678" s="73"/>
      <c r="IU1678" s="73"/>
      <c r="IV1678" s="73"/>
      <c r="IW1678" s="73"/>
      <c r="IX1678" s="73"/>
      <c r="IY1678" s="73"/>
      <c r="IZ1678" s="73"/>
      <c r="JA1678" s="73"/>
      <c r="JB1678" s="73"/>
      <c r="JC1678" s="73"/>
    </row>
    <row r="1679" spans="2:263" s="72" customFormat="1">
      <c r="B1679" s="73"/>
      <c r="C1679" s="73"/>
      <c r="D1679" s="73"/>
      <c r="E1679" s="73"/>
      <c r="F1679" s="73"/>
      <c r="G1679" s="73"/>
      <c r="H1679" s="73"/>
      <c r="I1679" s="73"/>
      <c r="J1679" s="73"/>
      <c r="K1679" s="73"/>
      <c r="L1679" s="73"/>
      <c r="M1679" s="73"/>
      <c r="N1679" s="73"/>
      <c r="O1679" s="73"/>
      <c r="P1679" s="73"/>
      <c r="Q1679" s="73"/>
      <c r="R1679" s="73"/>
      <c r="S1679" s="73"/>
      <c r="T1679" s="73"/>
      <c r="U1679" s="73"/>
      <c r="V1679" s="73"/>
      <c r="W1679" s="73"/>
      <c r="GL1679" s="73"/>
      <c r="GM1679" s="73"/>
      <c r="GN1679" s="73"/>
      <c r="GO1679" s="73"/>
      <c r="GP1679" s="73"/>
      <c r="GQ1679" s="73"/>
      <c r="GR1679" s="73"/>
      <c r="GS1679" s="73"/>
      <c r="GT1679" s="73"/>
      <c r="GU1679" s="73"/>
      <c r="GV1679" s="73"/>
      <c r="GW1679" s="73"/>
      <c r="GX1679" s="73"/>
      <c r="GY1679" s="73"/>
      <c r="GZ1679" s="73"/>
      <c r="HA1679" s="73"/>
      <c r="HB1679" s="73"/>
      <c r="HC1679" s="73"/>
      <c r="HD1679" s="73"/>
      <c r="HE1679" s="73"/>
      <c r="HF1679" s="73"/>
      <c r="HG1679" s="73"/>
      <c r="HH1679" s="73"/>
      <c r="HI1679" s="73"/>
      <c r="HJ1679" s="73"/>
      <c r="HK1679" s="73"/>
      <c r="HL1679" s="73"/>
      <c r="HM1679" s="73"/>
      <c r="HN1679" s="73"/>
      <c r="HO1679" s="73"/>
      <c r="HP1679" s="73"/>
      <c r="HQ1679" s="73"/>
      <c r="HR1679" s="73"/>
      <c r="HS1679" s="73"/>
      <c r="HT1679" s="73"/>
      <c r="HU1679" s="73"/>
      <c r="HV1679" s="73"/>
      <c r="HW1679" s="73"/>
      <c r="HX1679" s="73"/>
      <c r="HY1679" s="73"/>
      <c r="HZ1679" s="73"/>
      <c r="IA1679" s="73"/>
      <c r="IB1679" s="73"/>
      <c r="IC1679" s="73"/>
      <c r="ID1679" s="73"/>
      <c r="IE1679" s="73"/>
      <c r="IF1679" s="73"/>
      <c r="IG1679" s="73"/>
      <c r="IH1679" s="73"/>
      <c r="II1679" s="73"/>
      <c r="IJ1679" s="73"/>
      <c r="IK1679" s="73"/>
      <c r="IL1679" s="73"/>
      <c r="IM1679" s="73"/>
      <c r="IN1679" s="73"/>
      <c r="IO1679" s="73"/>
      <c r="IP1679" s="73"/>
      <c r="IQ1679" s="73"/>
      <c r="IR1679" s="73"/>
      <c r="IS1679" s="73"/>
      <c r="IT1679" s="73"/>
      <c r="IU1679" s="73"/>
      <c r="IV1679" s="73"/>
      <c r="IW1679" s="73"/>
      <c r="IX1679" s="73"/>
      <c r="IY1679" s="73"/>
      <c r="IZ1679" s="73"/>
      <c r="JA1679" s="73"/>
      <c r="JB1679" s="73"/>
      <c r="JC1679" s="73"/>
    </row>
    <row r="1680" spans="2:263" s="72" customFormat="1">
      <c r="B1680" s="73"/>
      <c r="C1680" s="73"/>
      <c r="D1680" s="73"/>
      <c r="E1680" s="73"/>
      <c r="F1680" s="73"/>
      <c r="G1680" s="73"/>
      <c r="H1680" s="73"/>
      <c r="I1680" s="73"/>
      <c r="J1680" s="73"/>
      <c r="K1680" s="73"/>
      <c r="L1680" s="73"/>
      <c r="M1680" s="73"/>
      <c r="N1680" s="73"/>
      <c r="O1680" s="73"/>
      <c r="P1680" s="73"/>
      <c r="Q1680" s="73"/>
      <c r="R1680" s="73"/>
      <c r="S1680" s="73"/>
      <c r="T1680" s="73"/>
      <c r="U1680" s="73"/>
      <c r="V1680" s="73"/>
      <c r="W1680" s="73"/>
      <c r="GL1680" s="73"/>
      <c r="GM1680" s="73"/>
      <c r="GN1680" s="73"/>
      <c r="GO1680" s="73"/>
      <c r="GP1680" s="73"/>
      <c r="GQ1680" s="73"/>
      <c r="GR1680" s="73"/>
      <c r="GS1680" s="73"/>
      <c r="GT1680" s="73"/>
      <c r="GU1680" s="73"/>
      <c r="GV1680" s="73"/>
      <c r="GW1680" s="73"/>
      <c r="GX1680" s="73"/>
      <c r="GY1680" s="73"/>
      <c r="GZ1680" s="73"/>
      <c r="HA1680" s="73"/>
      <c r="HB1680" s="73"/>
      <c r="HC1680" s="73"/>
      <c r="HD1680" s="73"/>
      <c r="HE1680" s="73"/>
      <c r="HF1680" s="73"/>
      <c r="HG1680" s="73"/>
      <c r="HH1680" s="73"/>
      <c r="HI1680" s="73"/>
      <c r="HJ1680" s="73"/>
      <c r="HK1680" s="73"/>
      <c r="HL1680" s="73"/>
      <c r="HM1680" s="73"/>
      <c r="HN1680" s="73"/>
      <c r="HO1680" s="73"/>
      <c r="HP1680" s="73"/>
      <c r="HQ1680" s="73"/>
      <c r="HR1680" s="73"/>
      <c r="HS1680" s="73"/>
      <c r="HT1680" s="73"/>
      <c r="HU1680" s="73"/>
      <c r="HV1680" s="73"/>
      <c r="HW1680" s="73"/>
      <c r="HX1680" s="73"/>
      <c r="HY1680" s="73"/>
      <c r="HZ1680" s="73"/>
      <c r="IA1680" s="73"/>
      <c r="IB1680" s="73"/>
      <c r="IC1680" s="73"/>
      <c r="ID1680" s="73"/>
      <c r="IE1680" s="73"/>
      <c r="IF1680" s="73"/>
      <c r="IG1680" s="73"/>
      <c r="IH1680" s="73"/>
      <c r="II1680" s="73"/>
      <c r="IJ1680" s="73"/>
      <c r="IK1680" s="73"/>
      <c r="IL1680" s="73"/>
      <c r="IM1680" s="73"/>
      <c r="IN1680" s="73"/>
      <c r="IO1680" s="73"/>
      <c r="IP1680" s="73"/>
      <c r="IQ1680" s="73"/>
      <c r="IR1680" s="73"/>
      <c r="IS1680" s="73"/>
      <c r="IT1680" s="73"/>
      <c r="IU1680" s="73"/>
      <c r="IV1680" s="73"/>
      <c r="IW1680" s="73"/>
      <c r="IX1680" s="73"/>
      <c r="IY1680" s="73"/>
      <c r="IZ1680" s="73"/>
      <c r="JA1680" s="73"/>
      <c r="JB1680" s="73"/>
      <c r="JC1680" s="73"/>
    </row>
    <row r="1681" spans="2:263" s="72" customFormat="1">
      <c r="B1681" s="73"/>
      <c r="C1681" s="73"/>
      <c r="D1681" s="73"/>
      <c r="E1681" s="73"/>
      <c r="F1681" s="73"/>
      <c r="G1681" s="73"/>
      <c r="H1681" s="73"/>
      <c r="I1681" s="73"/>
      <c r="J1681" s="73"/>
      <c r="K1681" s="73"/>
      <c r="L1681" s="73"/>
      <c r="M1681" s="73"/>
      <c r="N1681" s="73"/>
      <c r="O1681" s="73"/>
      <c r="P1681" s="73"/>
      <c r="Q1681" s="73"/>
      <c r="R1681" s="73"/>
      <c r="S1681" s="73"/>
      <c r="T1681" s="73"/>
      <c r="U1681" s="73"/>
      <c r="V1681" s="73"/>
      <c r="W1681" s="73"/>
      <c r="GL1681" s="73"/>
      <c r="GM1681" s="73"/>
      <c r="GN1681" s="73"/>
      <c r="GO1681" s="73"/>
      <c r="GP1681" s="73"/>
      <c r="GQ1681" s="73"/>
      <c r="GR1681" s="73"/>
      <c r="GS1681" s="73"/>
      <c r="GT1681" s="73"/>
      <c r="GU1681" s="73"/>
      <c r="GV1681" s="73"/>
      <c r="GW1681" s="73"/>
      <c r="GX1681" s="73"/>
      <c r="GY1681" s="73"/>
      <c r="GZ1681" s="73"/>
      <c r="HA1681" s="73"/>
      <c r="HB1681" s="73"/>
      <c r="HC1681" s="73"/>
      <c r="HD1681" s="73"/>
      <c r="HE1681" s="73"/>
      <c r="HF1681" s="73"/>
      <c r="HG1681" s="73"/>
      <c r="HH1681" s="73"/>
      <c r="HI1681" s="73"/>
      <c r="HJ1681" s="73"/>
      <c r="HK1681" s="73"/>
      <c r="HL1681" s="73"/>
      <c r="HM1681" s="73"/>
      <c r="HN1681" s="73"/>
      <c r="HO1681" s="73"/>
      <c r="HP1681" s="73"/>
      <c r="HQ1681" s="73"/>
      <c r="HR1681" s="73"/>
      <c r="HS1681" s="73"/>
      <c r="HT1681" s="73"/>
      <c r="HU1681" s="73"/>
      <c r="HV1681" s="73"/>
      <c r="HW1681" s="73"/>
      <c r="HX1681" s="73"/>
      <c r="HY1681" s="73"/>
      <c r="HZ1681" s="73"/>
      <c r="IA1681" s="73"/>
      <c r="IB1681" s="73"/>
      <c r="IC1681" s="73"/>
      <c r="ID1681" s="73"/>
      <c r="IE1681" s="73"/>
      <c r="IF1681" s="73"/>
      <c r="IG1681" s="73"/>
      <c r="IH1681" s="73"/>
      <c r="II1681" s="73"/>
      <c r="IJ1681" s="73"/>
      <c r="IK1681" s="73"/>
      <c r="IL1681" s="73"/>
      <c r="IM1681" s="73"/>
      <c r="IN1681" s="73"/>
      <c r="IO1681" s="73"/>
      <c r="IP1681" s="73"/>
      <c r="IQ1681" s="73"/>
      <c r="IR1681" s="73"/>
      <c r="IS1681" s="73"/>
      <c r="IT1681" s="73"/>
      <c r="IU1681" s="73"/>
      <c r="IV1681" s="73"/>
      <c r="IW1681" s="73"/>
      <c r="IX1681" s="73"/>
      <c r="IY1681" s="73"/>
      <c r="IZ1681" s="73"/>
      <c r="JA1681" s="73"/>
      <c r="JB1681" s="73"/>
      <c r="JC1681" s="73"/>
    </row>
    <row r="1682" spans="2:263" s="72" customFormat="1">
      <c r="B1682" s="73"/>
      <c r="C1682" s="73"/>
      <c r="D1682" s="73"/>
      <c r="E1682" s="73"/>
      <c r="F1682" s="73"/>
      <c r="G1682" s="73"/>
      <c r="H1682" s="73"/>
      <c r="I1682" s="73"/>
      <c r="J1682" s="73"/>
      <c r="K1682" s="73"/>
      <c r="L1682" s="73"/>
      <c r="M1682" s="73"/>
      <c r="N1682" s="73"/>
      <c r="O1682" s="73"/>
      <c r="P1682" s="73"/>
      <c r="Q1682" s="73"/>
      <c r="R1682" s="73"/>
      <c r="S1682" s="73"/>
      <c r="T1682" s="73"/>
      <c r="U1682" s="73"/>
      <c r="V1682" s="73"/>
      <c r="W1682" s="73"/>
      <c r="GL1682" s="73"/>
      <c r="GM1682" s="73"/>
      <c r="GN1682" s="73"/>
      <c r="GO1682" s="73"/>
      <c r="GP1682" s="73"/>
      <c r="GQ1682" s="73"/>
      <c r="GR1682" s="73"/>
      <c r="GS1682" s="73"/>
      <c r="GT1682" s="73"/>
      <c r="GU1682" s="73"/>
      <c r="GV1682" s="73"/>
      <c r="GW1682" s="73"/>
      <c r="GX1682" s="73"/>
      <c r="GY1682" s="73"/>
      <c r="GZ1682" s="73"/>
      <c r="HA1682" s="73"/>
      <c r="HB1682" s="73"/>
      <c r="HC1682" s="73"/>
      <c r="HD1682" s="73"/>
      <c r="HE1682" s="73"/>
      <c r="HF1682" s="73"/>
      <c r="HG1682" s="73"/>
      <c r="HH1682" s="73"/>
      <c r="HI1682" s="73"/>
      <c r="HJ1682" s="73"/>
      <c r="HK1682" s="73"/>
      <c r="HL1682" s="73"/>
      <c r="HM1682" s="73"/>
      <c r="HN1682" s="73"/>
      <c r="HO1682" s="73"/>
      <c r="HP1682" s="73"/>
      <c r="HQ1682" s="73"/>
      <c r="HR1682" s="73"/>
      <c r="HS1682" s="73"/>
      <c r="HT1682" s="73"/>
      <c r="HU1682" s="73"/>
      <c r="HV1682" s="73"/>
      <c r="HW1682" s="73"/>
      <c r="HX1682" s="73"/>
      <c r="HY1682" s="73"/>
      <c r="HZ1682" s="73"/>
      <c r="IA1682" s="73"/>
      <c r="IB1682" s="73"/>
      <c r="IC1682" s="73"/>
      <c r="ID1682" s="73"/>
      <c r="IE1682" s="73"/>
      <c r="IF1682" s="73"/>
      <c r="IG1682" s="73"/>
      <c r="IH1682" s="73"/>
      <c r="II1682" s="73"/>
      <c r="IJ1682" s="73"/>
      <c r="IK1682" s="73"/>
      <c r="IL1682" s="73"/>
      <c r="IM1682" s="73"/>
      <c r="IN1682" s="73"/>
      <c r="IO1682" s="73"/>
      <c r="IP1682" s="73"/>
      <c r="IQ1682" s="73"/>
      <c r="IR1682" s="73"/>
      <c r="IS1682" s="73"/>
      <c r="IT1682" s="73"/>
      <c r="IU1682" s="73"/>
      <c r="IV1682" s="73"/>
      <c r="IW1682" s="73"/>
      <c r="IX1682" s="73"/>
      <c r="IY1682" s="73"/>
      <c r="IZ1682" s="73"/>
      <c r="JA1682" s="73"/>
      <c r="JB1682" s="73"/>
      <c r="JC1682" s="73"/>
    </row>
    <row r="1683" spans="2:263" s="72" customFormat="1">
      <c r="B1683" s="73"/>
      <c r="C1683" s="73"/>
      <c r="D1683" s="73"/>
      <c r="E1683" s="73"/>
      <c r="F1683" s="73"/>
      <c r="G1683" s="73"/>
      <c r="H1683" s="73"/>
      <c r="I1683" s="73"/>
      <c r="J1683" s="73"/>
      <c r="K1683" s="73"/>
      <c r="L1683" s="73"/>
      <c r="M1683" s="73"/>
      <c r="N1683" s="73"/>
      <c r="O1683" s="73"/>
      <c r="P1683" s="73"/>
      <c r="Q1683" s="73"/>
      <c r="R1683" s="73"/>
      <c r="S1683" s="73"/>
      <c r="T1683" s="73"/>
      <c r="U1683" s="73"/>
      <c r="V1683" s="73"/>
      <c r="W1683" s="73"/>
      <c r="GL1683" s="73"/>
      <c r="GM1683" s="73"/>
      <c r="GN1683" s="73"/>
      <c r="GO1683" s="73"/>
      <c r="GP1683" s="73"/>
      <c r="GQ1683" s="73"/>
      <c r="GR1683" s="73"/>
      <c r="GS1683" s="73"/>
      <c r="GT1683" s="73"/>
      <c r="GU1683" s="73"/>
      <c r="GV1683" s="73"/>
      <c r="GW1683" s="73"/>
      <c r="GX1683" s="73"/>
      <c r="GY1683" s="73"/>
      <c r="GZ1683" s="73"/>
      <c r="HA1683" s="73"/>
      <c r="HB1683" s="73"/>
      <c r="HC1683" s="73"/>
      <c r="HD1683" s="73"/>
      <c r="HE1683" s="73"/>
      <c r="HF1683" s="73"/>
      <c r="HG1683" s="73"/>
      <c r="HH1683" s="73"/>
      <c r="HI1683" s="73"/>
      <c r="HJ1683" s="73"/>
      <c r="HK1683" s="73"/>
      <c r="HL1683" s="73"/>
      <c r="HM1683" s="73"/>
      <c r="HN1683" s="73"/>
      <c r="HO1683" s="73"/>
      <c r="HP1683" s="73"/>
      <c r="HQ1683" s="73"/>
      <c r="HR1683" s="73"/>
      <c r="HS1683" s="73"/>
      <c r="HT1683" s="73"/>
      <c r="HU1683" s="73"/>
      <c r="HV1683" s="73"/>
      <c r="HW1683" s="73"/>
      <c r="HX1683" s="73"/>
      <c r="HY1683" s="73"/>
      <c r="HZ1683" s="73"/>
      <c r="IA1683" s="73"/>
      <c r="IB1683" s="73"/>
      <c r="IC1683" s="73"/>
      <c r="ID1683" s="73"/>
      <c r="IE1683" s="73"/>
      <c r="IF1683" s="73"/>
      <c r="IG1683" s="73"/>
      <c r="IH1683" s="73"/>
      <c r="II1683" s="73"/>
      <c r="IJ1683" s="73"/>
      <c r="IK1683" s="73"/>
      <c r="IL1683" s="73"/>
      <c r="IM1683" s="73"/>
      <c r="IN1683" s="73"/>
      <c r="IO1683" s="73"/>
      <c r="IP1683" s="73"/>
      <c r="IQ1683" s="73"/>
      <c r="IR1683" s="73"/>
      <c r="IS1683" s="73"/>
      <c r="IT1683" s="73"/>
      <c r="IU1683" s="73"/>
      <c r="IV1683" s="73"/>
      <c r="IW1683" s="73"/>
      <c r="IX1683" s="73"/>
      <c r="IY1683" s="73"/>
      <c r="IZ1683" s="73"/>
      <c r="JA1683" s="73"/>
      <c r="JB1683" s="73"/>
      <c r="JC1683" s="73"/>
    </row>
    <row r="1684" spans="2:263" s="72" customFormat="1">
      <c r="B1684" s="73"/>
      <c r="C1684" s="73"/>
      <c r="D1684" s="73"/>
      <c r="E1684" s="73"/>
      <c r="F1684" s="73"/>
      <c r="G1684" s="73"/>
      <c r="H1684" s="73"/>
      <c r="I1684" s="73"/>
      <c r="J1684" s="73"/>
      <c r="K1684" s="73"/>
      <c r="L1684" s="73"/>
      <c r="M1684" s="73"/>
      <c r="N1684" s="73"/>
      <c r="O1684" s="73"/>
      <c r="P1684" s="73"/>
      <c r="Q1684" s="73"/>
      <c r="R1684" s="73"/>
      <c r="S1684" s="73"/>
      <c r="T1684" s="73"/>
      <c r="U1684" s="73"/>
      <c r="V1684" s="73"/>
      <c r="W1684" s="73"/>
      <c r="GL1684" s="73"/>
      <c r="GM1684" s="73"/>
      <c r="GN1684" s="73"/>
      <c r="GO1684" s="73"/>
      <c r="GP1684" s="73"/>
      <c r="GQ1684" s="73"/>
      <c r="GR1684" s="73"/>
      <c r="GS1684" s="73"/>
      <c r="GT1684" s="73"/>
      <c r="GU1684" s="73"/>
      <c r="GV1684" s="73"/>
      <c r="GW1684" s="73"/>
      <c r="GX1684" s="73"/>
      <c r="GY1684" s="73"/>
      <c r="GZ1684" s="73"/>
      <c r="HA1684" s="73"/>
      <c r="HB1684" s="73"/>
      <c r="HC1684" s="73"/>
      <c r="HD1684" s="73"/>
      <c r="HE1684" s="73"/>
      <c r="HF1684" s="73"/>
      <c r="HG1684" s="73"/>
      <c r="HH1684" s="73"/>
      <c r="HI1684" s="73"/>
      <c r="HJ1684" s="73"/>
      <c r="HK1684" s="73"/>
      <c r="HL1684" s="73"/>
      <c r="HM1684" s="73"/>
      <c r="HN1684" s="73"/>
      <c r="HO1684" s="73"/>
      <c r="HP1684" s="73"/>
      <c r="HQ1684" s="73"/>
      <c r="HR1684" s="73"/>
      <c r="HS1684" s="73"/>
      <c r="HT1684" s="73"/>
      <c r="HU1684" s="73"/>
      <c r="HV1684" s="73"/>
      <c r="HW1684" s="73"/>
      <c r="HX1684" s="73"/>
      <c r="HY1684" s="73"/>
      <c r="HZ1684" s="73"/>
      <c r="IA1684" s="73"/>
      <c r="IB1684" s="73"/>
      <c r="IC1684" s="73"/>
      <c r="ID1684" s="73"/>
      <c r="IE1684" s="73"/>
      <c r="IF1684" s="73"/>
      <c r="IG1684" s="73"/>
      <c r="IH1684" s="73"/>
      <c r="II1684" s="73"/>
      <c r="IJ1684" s="73"/>
      <c r="IK1684" s="73"/>
      <c r="IL1684" s="73"/>
      <c r="IM1684" s="73"/>
      <c r="IN1684" s="73"/>
      <c r="IO1684" s="73"/>
      <c r="IP1684" s="73"/>
      <c r="IQ1684" s="73"/>
      <c r="IR1684" s="73"/>
      <c r="IS1684" s="73"/>
      <c r="IT1684" s="73"/>
      <c r="IU1684" s="73"/>
      <c r="IV1684" s="73"/>
      <c r="IW1684" s="73"/>
      <c r="IX1684" s="73"/>
      <c r="IY1684" s="73"/>
      <c r="IZ1684" s="73"/>
      <c r="JA1684" s="73"/>
      <c r="JB1684" s="73"/>
      <c r="JC1684" s="73"/>
    </row>
    <row r="1685" spans="2:263" s="72" customFormat="1">
      <c r="B1685" s="73"/>
      <c r="C1685" s="73"/>
      <c r="D1685" s="73"/>
      <c r="E1685" s="73"/>
      <c r="F1685" s="73"/>
      <c r="G1685" s="73"/>
      <c r="H1685" s="73"/>
      <c r="I1685" s="73"/>
      <c r="J1685" s="73"/>
      <c r="K1685" s="73"/>
      <c r="L1685" s="73"/>
      <c r="M1685" s="73"/>
      <c r="N1685" s="73"/>
      <c r="O1685" s="73"/>
      <c r="P1685" s="73"/>
      <c r="Q1685" s="73"/>
      <c r="R1685" s="73"/>
      <c r="S1685" s="73"/>
      <c r="T1685" s="73"/>
      <c r="U1685" s="73"/>
      <c r="V1685" s="73"/>
      <c r="W1685" s="73"/>
      <c r="GL1685" s="73"/>
      <c r="GM1685" s="73"/>
      <c r="GN1685" s="73"/>
      <c r="GO1685" s="73"/>
      <c r="GP1685" s="73"/>
      <c r="GQ1685" s="73"/>
      <c r="GR1685" s="73"/>
      <c r="GS1685" s="73"/>
      <c r="GT1685" s="73"/>
      <c r="GU1685" s="73"/>
      <c r="GV1685" s="73"/>
      <c r="GW1685" s="73"/>
      <c r="GX1685" s="73"/>
      <c r="GY1685" s="73"/>
      <c r="GZ1685" s="73"/>
      <c r="HA1685" s="73"/>
      <c r="HB1685" s="73"/>
      <c r="HC1685" s="73"/>
      <c r="HD1685" s="73"/>
      <c r="HE1685" s="73"/>
      <c r="HF1685" s="73"/>
      <c r="HG1685" s="73"/>
      <c r="HH1685" s="73"/>
      <c r="HI1685" s="73"/>
      <c r="HJ1685" s="73"/>
      <c r="HK1685" s="73"/>
      <c r="HL1685" s="73"/>
      <c r="HM1685" s="73"/>
      <c r="HN1685" s="73"/>
      <c r="HO1685" s="73"/>
      <c r="HP1685" s="73"/>
      <c r="HQ1685" s="73"/>
      <c r="HR1685" s="73"/>
      <c r="HS1685" s="73"/>
      <c r="HT1685" s="73"/>
      <c r="HU1685" s="73"/>
      <c r="HV1685" s="73"/>
      <c r="HW1685" s="73"/>
      <c r="HX1685" s="73"/>
      <c r="HY1685" s="73"/>
      <c r="HZ1685" s="73"/>
      <c r="IA1685" s="73"/>
      <c r="IB1685" s="73"/>
      <c r="IC1685" s="73"/>
      <c r="ID1685" s="73"/>
      <c r="IE1685" s="73"/>
      <c r="IF1685" s="73"/>
      <c r="IG1685" s="73"/>
      <c r="IH1685" s="73"/>
      <c r="II1685" s="73"/>
      <c r="IJ1685" s="73"/>
      <c r="IK1685" s="73"/>
      <c r="IL1685" s="73"/>
      <c r="IM1685" s="73"/>
      <c r="IN1685" s="73"/>
      <c r="IO1685" s="73"/>
      <c r="IP1685" s="73"/>
      <c r="IQ1685" s="73"/>
      <c r="IR1685" s="73"/>
      <c r="IS1685" s="73"/>
      <c r="IT1685" s="73"/>
      <c r="IU1685" s="73"/>
      <c r="IV1685" s="73"/>
      <c r="IW1685" s="73"/>
      <c r="IX1685" s="73"/>
      <c r="IY1685" s="73"/>
      <c r="IZ1685" s="73"/>
      <c r="JA1685" s="73"/>
      <c r="JB1685" s="73"/>
      <c r="JC1685" s="73"/>
    </row>
    <row r="1686" spans="2:263" s="72" customFormat="1">
      <c r="B1686" s="73"/>
      <c r="C1686" s="73"/>
      <c r="D1686" s="73"/>
      <c r="E1686" s="73"/>
      <c r="F1686" s="73"/>
      <c r="G1686" s="73"/>
      <c r="H1686" s="73"/>
      <c r="I1686" s="73"/>
      <c r="J1686" s="73"/>
      <c r="K1686" s="73"/>
      <c r="L1686" s="73"/>
      <c r="M1686" s="73"/>
      <c r="N1686" s="73"/>
      <c r="O1686" s="73"/>
      <c r="P1686" s="73"/>
      <c r="Q1686" s="73"/>
      <c r="R1686" s="73"/>
      <c r="S1686" s="73"/>
      <c r="T1686" s="73"/>
      <c r="U1686" s="73"/>
      <c r="V1686" s="73"/>
      <c r="W1686" s="73"/>
      <c r="GL1686" s="73"/>
      <c r="GM1686" s="73"/>
      <c r="GN1686" s="73"/>
      <c r="GO1686" s="73"/>
      <c r="GP1686" s="73"/>
      <c r="GQ1686" s="73"/>
      <c r="GR1686" s="73"/>
      <c r="GS1686" s="73"/>
      <c r="GT1686" s="73"/>
      <c r="GU1686" s="73"/>
      <c r="GV1686" s="73"/>
      <c r="GW1686" s="73"/>
      <c r="GX1686" s="73"/>
      <c r="GY1686" s="73"/>
      <c r="GZ1686" s="73"/>
      <c r="HA1686" s="73"/>
      <c r="HB1686" s="73"/>
      <c r="HC1686" s="73"/>
      <c r="HD1686" s="73"/>
      <c r="HE1686" s="73"/>
      <c r="HF1686" s="73"/>
      <c r="HG1686" s="73"/>
      <c r="HH1686" s="73"/>
      <c r="HI1686" s="73"/>
      <c r="HJ1686" s="73"/>
      <c r="HK1686" s="73"/>
      <c r="HL1686" s="73"/>
      <c r="HM1686" s="73"/>
      <c r="HN1686" s="73"/>
      <c r="HO1686" s="73"/>
      <c r="HP1686" s="73"/>
      <c r="HQ1686" s="73"/>
      <c r="HR1686" s="73"/>
      <c r="HS1686" s="73"/>
      <c r="HT1686" s="73"/>
      <c r="HU1686" s="73"/>
      <c r="HV1686" s="73"/>
      <c r="HW1686" s="73"/>
      <c r="HX1686" s="73"/>
      <c r="HY1686" s="73"/>
      <c r="HZ1686" s="73"/>
      <c r="IA1686" s="73"/>
      <c r="IB1686" s="73"/>
      <c r="IC1686" s="73"/>
      <c r="ID1686" s="73"/>
      <c r="IE1686" s="73"/>
      <c r="IF1686" s="73"/>
      <c r="IG1686" s="73"/>
      <c r="IH1686" s="73"/>
      <c r="II1686" s="73"/>
      <c r="IJ1686" s="73"/>
      <c r="IK1686" s="73"/>
      <c r="IL1686" s="73"/>
      <c r="IM1686" s="73"/>
      <c r="IN1686" s="73"/>
      <c r="IO1686" s="73"/>
      <c r="IP1686" s="73"/>
      <c r="IQ1686" s="73"/>
      <c r="IR1686" s="73"/>
      <c r="IS1686" s="73"/>
      <c r="IT1686" s="73"/>
      <c r="IU1686" s="73"/>
      <c r="IV1686" s="73"/>
      <c r="IW1686" s="73"/>
      <c r="IX1686" s="73"/>
      <c r="IY1686" s="73"/>
      <c r="IZ1686" s="73"/>
      <c r="JA1686" s="73"/>
      <c r="JB1686" s="73"/>
      <c r="JC1686" s="73"/>
    </row>
    <row r="1687" spans="2:263" s="72" customFormat="1">
      <c r="B1687" s="73"/>
      <c r="C1687" s="73"/>
      <c r="D1687" s="73"/>
      <c r="E1687" s="73"/>
      <c r="F1687" s="73"/>
      <c r="G1687" s="73"/>
      <c r="H1687" s="73"/>
      <c r="I1687" s="73"/>
      <c r="J1687" s="73"/>
      <c r="K1687" s="73"/>
      <c r="L1687" s="73"/>
      <c r="M1687" s="73"/>
      <c r="N1687" s="73"/>
      <c r="O1687" s="73"/>
      <c r="P1687" s="73"/>
      <c r="Q1687" s="73"/>
      <c r="R1687" s="73"/>
      <c r="S1687" s="73"/>
      <c r="T1687" s="73"/>
      <c r="U1687" s="73"/>
      <c r="V1687" s="73"/>
      <c r="W1687" s="73"/>
      <c r="GL1687" s="73"/>
      <c r="GM1687" s="73"/>
      <c r="GN1687" s="73"/>
      <c r="GO1687" s="73"/>
      <c r="GP1687" s="73"/>
      <c r="GQ1687" s="73"/>
      <c r="GR1687" s="73"/>
      <c r="GS1687" s="73"/>
      <c r="GT1687" s="73"/>
      <c r="GU1687" s="73"/>
      <c r="GV1687" s="73"/>
      <c r="GW1687" s="73"/>
      <c r="GX1687" s="73"/>
      <c r="GY1687" s="73"/>
      <c r="GZ1687" s="73"/>
      <c r="HA1687" s="73"/>
      <c r="HB1687" s="73"/>
      <c r="HC1687" s="73"/>
      <c r="HD1687" s="73"/>
      <c r="HE1687" s="73"/>
      <c r="HF1687" s="73"/>
      <c r="HG1687" s="73"/>
      <c r="HH1687" s="73"/>
      <c r="HI1687" s="73"/>
      <c r="HJ1687" s="73"/>
      <c r="HK1687" s="73"/>
      <c r="HL1687" s="73"/>
      <c r="HM1687" s="73"/>
      <c r="HN1687" s="73"/>
      <c r="HO1687" s="73"/>
      <c r="HP1687" s="73"/>
      <c r="HQ1687" s="73"/>
      <c r="HR1687" s="73"/>
      <c r="HS1687" s="73"/>
      <c r="HT1687" s="73"/>
      <c r="HU1687" s="73"/>
      <c r="HV1687" s="73"/>
      <c r="HW1687" s="73"/>
      <c r="HX1687" s="73"/>
      <c r="HY1687" s="73"/>
      <c r="HZ1687" s="73"/>
      <c r="IA1687" s="73"/>
      <c r="IB1687" s="73"/>
      <c r="IC1687" s="73"/>
      <c r="ID1687" s="73"/>
      <c r="IE1687" s="73"/>
      <c r="IF1687" s="73"/>
      <c r="IG1687" s="73"/>
      <c r="IH1687" s="73"/>
      <c r="II1687" s="73"/>
      <c r="IJ1687" s="73"/>
      <c r="IK1687" s="73"/>
      <c r="IL1687" s="73"/>
      <c r="IM1687" s="73"/>
      <c r="IN1687" s="73"/>
      <c r="IO1687" s="73"/>
      <c r="IP1687" s="73"/>
      <c r="IQ1687" s="73"/>
      <c r="IR1687" s="73"/>
      <c r="IS1687" s="73"/>
      <c r="IT1687" s="73"/>
      <c r="IU1687" s="73"/>
      <c r="IV1687" s="73"/>
      <c r="IW1687" s="73"/>
      <c r="IX1687" s="73"/>
      <c r="IY1687" s="73"/>
      <c r="IZ1687" s="73"/>
      <c r="JA1687" s="73"/>
      <c r="JB1687" s="73"/>
      <c r="JC1687" s="73"/>
    </row>
    <row r="1688" spans="2:263" s="72" customFormat="1">
      <c r="B1688" s="73"/>
      <c r="C1688" s="73"/>
      <c r="D1688" s="73"/>
      <c r="E1688" s="73"/>
      <c r="F1688" s="73"/>
      <c r="G1688" s="73"/>
      <c r="H1688" s="73"/>
      <c r="I1688" s="73"/>
      <c r="J1688" s="73"/>
      <c r="K1688" s="73"/>
      <c r="L1688" s="73"/>
      <c r="M1688" s="73"/>
      <c r="N1688" s="73"/>
      <c r="O1688" s="73"/>
      <c r="P1688" s="73"/>
      <c r="Q1688" s="73"/>
      <c r="R1688" s="73"/>
      <c r="S1688" s="73"/>
      <c r="T1688" s="73"/>
      <c r="U1688" s="73"/>
      <c r="V1688" s="73"/>
      <c r="W1688" s="73"/>
      <c r="GL1688" s="73"/>
      <c r="GM1688" s="73"/>
      <c r="GN1688" s="73"/>
      <c r="GO1688" s="73"/>
      <c r="GP1688" s="73"/>
      <c r="GQ1688" s="73"/>
      <c r="GR1688" s="73"/>
      <c r="GS1688" s="73"/>
      <c r="GT1688" s="73"/>
      <c r="GU1688" s="73"/>
      <c r="GV1688" s="73"/>
      <c r="GW1688" s="73"/>
      <c r="GX1688" s="73"/>
      <c r="GY1688" s="73"/>
      <c r="GZ1688" s="73"/>
      <c r="HA1688" s="73"/>
      <c r="HB1688" s="73"/>
      <c r="HC1688" s="73"/>
      <c r="HD1688" s="73"/>
      <c r="HE1688" s="73"/>
      <c r="HF1688" s="73"/>
      <c r="HG1688" s="73"/>
      <c r="HH1688" s="73"/>
      <c r="HI1688" s="73"/>
      <c r="HJ1688" s="73"/>
      <c r="HK1688" s="73"/>
      <c r="HL1688" s="73"/>
      <c r="HM1688" s="73"/>
      <c r="HN1688" s="73"/>
      <c r="HO1688" s="73"/>
      <c r="HP1688" s="73"/>
      <c r="HQ1688" s="73"/>
      <c r="HR1688" s="73"/>
      <c r="HS1688" s="73"/>
      <c r="HT1688" s="73"/>
      <c r="HU1688" s="73"/>
      <c r="HV1688" s="73"/>
      <c r="HW1688" s="73"/>
      <c r="HX1688" s="73"/>
      <c r="HY1688" s="73"/>
      <c r="HZ1688" s="73"/>
      <c r="IA1688" s="73"/>
      <c r="IB1688" s="73"/>
      <c r="IC1688" s="73"/>
      <c r="ID1688" s="73"/>
      <c r="IE1688" s="73"/>
      <c r="IF1688" s="73"/>
      <c r="IG1688" s="73"/>
      <c r="IH1688" s="73"/>
      <c r="II1688" s="73"/>
      <c r="IJ1688" s="73"/>
      <c r="IK1688" s="73"/>
      <c r="IL1688" s="73"/>
      <c r="IM1688" s="73"/>
      <c r="IN1688" s="73"/>
      <c r="IO1688" s="73"/>
      <c r="IP1688" s="73"/>
      <c r="IQ1688" s="73"/>
      <c r="IR1688" s="73"/>
      <c r="IS1688" s="73"/>
      <c r="IT1688" s="73"/>
      <c r="IU1688" s="73"/>
      <c r="IV1688" s="73"/>
      <c r="IW1688" s="73"/>
      <c r="IX1688" s="73"/>
      <c r="IY1688" s="73"/>
      <c r="IZ1688" s="73"/>
      <c r="JA1688" s="73"/>
      <c r="JB1688" s="73"/>
      <c r="JC1688" s="73"/>
    </row>
    <row r="1689" spans="2:263" s="72" customFormat="1">
      <c r="B1689" s="73"/>
      <c r="C1689" s="73"/>
      <c r="D1689" s="73"/>
      <c r="E1689" s="73"/>
      <c r="F1689" s="73"/>
      <c r="G1689" s="73"/>
      <c r="H1689" s="73"/>
      <c r="I1689" s="73"/>
      <c r="J1689" s="73"/>
      <c r="K1689" s="73"/>
      <c r="L1689" s="73"/>
      <c r="M1689" s="73"/>
      <c r="N1689" s="73"/>
      <c r="O1689" s="73"/>
      <c r="P1689" s="73"/>
      <c r="Q1689" s="73"/>
      <c r="R1689" s="73"/>
      <c r="S1689" s="73"/>
      <c r="T1689" s="73"/>
      <c r="U1689" s="73"/>
      <c r="V1689" s="73"/>
      <c r="W1689" s="73"/>
      <c r="GL1689" s="73"/>
      <c r="GM1689" s="73"/>
      <c r="GN1689" s="73"/>
      <c r="GO1689" s="73"/>
      <c r="GP1689" s="73"/>
      <c r="GQ1689" s="73"/>
      <c r="GR1689" s="73"/>
      <c r="GS1689" s="73"/>
      <c r="GT1689" s="73"/>
      <c r="GU1689" s="73"/>
      <c r="GV1689" s="73"/>
      <c r="GW1689" s="73"/>
      <c r="GX1689" s="73"/>
      <c r="GY1689" s="73"/>
      <c r="GZ1689" s="73"/>
      <c r="HA1689" s="73"/>
      <c r="HB1689" s="73"/>
      <c r="HC1689" s="73"/>
      <c r="HD1689" s="73"/>
      <c r="HE1689" s="73"/>
      <c r="HF1689" s="73"/>
      <c r="HG1689" s="73"/>
      <c r="HH1689" s="73"/>
      <c r="HI1689" s="73"/>
      <c r="HJ1689" s="73"/>
      <c r="HK1689" s="73"/>
      <c r="HL1689" s="73"/>
      <c r="HM1689" s="73"/>
      <c r="HN1689" s="73"/>
      <c r="HO1689" s="73"/>
      <c r="HP1689" s="73"/>
      <c r="HQ1689" s="73"/>
      <c r="HR1689" s="73"/>
      <c r="HS1689" s="73"/>
      <c r="HT1689" s="73"/>
      <c r="HU1689" s="73"/>
      <c r="HV1689" s="73"/>
      <c r="HW1689" s="73"/>
      <c r="HX1689" s="73"/>
      <c r="HY1689" s="73"/>
      <c r="HZ1689" s="73"/>
      <c r="IA1689" s="73"/>
      <c r="IB1689" s="73"/>
      <c r="IC1689" s="73"/>
      <c r="ID1689" s="73"/>
      <c r="IE1689" s="73"/>
      <c r="IF1689" s="73"/>
      <c r="IG1689" s="73"/>
      <c r="IH1689" s="73"/>
      <c r="II1689" s="73"/>
      <c r="IJ1689" s="73"/>
      <c r="IK1689" s="73"/>
      <c r="IL1689" s="73"/>
      <c r="IM1689" s="73"/>
      <c r="IN1689" s="73"/>
      <c r="IO1689" s="73"/>
      <c r="IP1689" s="73"/>
      <c r="IQ1689" s="73"/>
      <c r="IR1689" s="73"/>
      <c r="IS1689" s="73"/>
      <c r="IT1689" s="73"/>
      <c r="IU1689" s="73"/>
      <c r="IV1689" s="73"/>
      <c r="IW1689" s="73"/>
      <c r="IX1689" s="73"/>
      <c r="IY1689" s="73"/>
      <c r="IZ1689" s="73"/>
      <c r="JA1689" s="73"/>
      <c r="JB1689" s="73"/>
      <c r="JC1689" s="73"/>
    </row>
    <row r="1690" spans="2:263" s="72" customFormat="1">
      <c r="B1690" s="73"/>
      <c r="C1690" s="73"/>
      <c r="D1690" s="73"/>
      <c r="E1690" s="73"/>
      <c r="F1690" s="73"/>
      <c r="G1690" s="73"/>
      <c r="H1690" s="73"/>
      <c r="I1690" s="73"/>
      <c r="J1690" s="73"/>
      <c r="K1690" s="73"/>
      <c r="L1690" s="73"/>
      <c r="M1690" s="73"/>
      <c r="N1690" s="73"/>
      <c r="O1690" s="73"/>
      <c r="P1690" s="73"/>
      <c r="Q1690" s="73"/>
      <c r="R1690" s="73"/>
      <c r="S1690" s="73"/>
      <c r="T1690" s="73"/>
      <c r="U1690" s="73"/>
      <c r="V1690" s="73"/>
      <c r="W1690" s="73"/>
      <c r="GL1690" s="73"/>
      <c r="GM1690" s="73"/>
      <c r="GN1690" s="73"/>
      <c r="GO1690" s="73"/>
      <c r="GP1690" s="73"/>
      <c r="GQ1690" s="73"/>
      <c r="GR1690" s="73"/>
      <c r="GS1690" s="73"/>
      <c r="GT1690" s="73"/>
      <c r="GU1690" s="73"/>
      <c r="GV1690" s="73"/>
      <c r="GW1690" s="73"/>
      <c r="GX1690" s="73"/>
      <c r="GY1690" s="73"/>
      <c r="GZ1690" s="73"/>
      <c r="HA1690" s="73"/>
      <c r="HB1690" s="73"/>
      <c r="HC1690" s="73"/>
      <c r="HD1690" s="73"/>
      <c r="HE1690" s="73"/>
      <c r="HF1690" s="73"/>
      <c r="HG1690" s="73"/>
      <c r="HH1690" s="73"/>
      <c r="HI1690" s="73"/>
      <c r="HJ1690" s="73"/>
      <c r="HK1690" s="73"/>
      <c r="HL1690" s="73"/>
      <c r="HM1690" s="73"/>
      <c r="HN1690" s="73"/>
      <c r="HO1690" s="73"/>
      <c r="HP1690" s="73"/>
      <c r="HQ1690" s="73"/>
      <c r="HR1690" s="73"/>
      <c r="HS1690" s="73"/>
      <c r="HT1690" s="73"/>
      <c r="HU1690" s="73"/>
      <c r="HV1690" s="73"/>
      <c r="HW1690" s="73"/>
      <c r="HX1690" s="73"/>
      <c r="HY1690" s="73"/>
      <c r="HZ1690" s="73"/>
      <c r="IA1690" s="73"/>
      <c r="IB1690" s="73"/>
      <c r="IC1690" s="73"/>
      <c r="ID1690" s="73"/>
      <c r="IE1690" s="73"/>
      <c r="IF1690" s="73"/>
      <c r="IG1690" s="73"/>
      <c r="IH1690" s="73"/>
      <c r="II1690" s="73"/>
      <c r="IJ1690" s="73"/>
      <c r="IK1690" s="73"/>
      <c r="IL1690" s="73"/>
      <c r="IM1690" s="73"/>
      <c r="IN1690" s="73"/>
      <c r="IO1690" s="73"/>
      <c r="IP1690" s="73"/>
      <c r="IQ1690" s="73"/>
      <c r="IR1690" s="73"/>
      <c r="IS1690" s="73"/>
      <c r="IT1690" s="73"/>
      <c r="IU1690" s="73"/>
      <c r="IV1690" s="73"/>
      <c r="IW1690" s="73"/>
      <c r="IX1690" s="73"/>
      <c r="IY1690" s="73"/>
      <c r="IZ1690" s="73"/>
      <c r="JA1690" s="73"/>
      <c r="JB1690" s="73"/>
      <c r="JC1690" s="73"/>
    </row>
    <row r="1691" spans="2:263" s="72" customFormat="1">
      <c r="B1691" s="73"/>
      <c r="C1691" s="73"/>
      <c r="D1691" s="73"/>
      <c r="E1691" s="73"/>
      <c r="F1691" s="73"/>
      <c r="G1691" s="73"/>
      <c r="H1691" s="73"/>
      <c r="I1691" s="73"/>
      <c r="J1691" s="73"/>
      <c r="K1691" s="73"/>
      <c r="L1691" s="73"/>
      <c r="M1691" s="73"/>
      <c r="N1691" s="73"/>
      <c r="O1691" s="73"/>
      <c r="P1691" s="73"/>
      <c r="Q1691" s="73"/>
      <c r="R1691" s="73"/>
      <c r="S1691" s="73"/>
      <c r="T1691" s="73"/>
      <c r="U1691" s="73"/>
      <c r="V1691" s="73"/>
      <c r="W1691" s="73"/>
      <c r="GL1691" s="73"/>
      <c r="GM1691" s="73"/>
      <c r="GN1691" s="73"/>
      <c r="GO1691" s="73"/>
      <c r="GP1691" s="73"/>
      <c r="GQ1691" s="73"/>
      <c r="GR1691" s="73"/>
      <c r="GS1691" s="73"/>
      <c r="GT1691" s="73"/>
      <c r="GU1691" s="73"/>
      <c r="GV1691" s="73"/>
      <c r="GW1691" s="73"/>
      <c r="GX1691" s="73"/>
      <c r="GY1691" s="73"/>
      <c r="GZ1691" s="73"/>
      <c r="HA1691" s="73"/>
      <c r="HB1691" s="73"/>
      <c r="HC1691" s="73"/>
      <c r="HD1691" s="73"/>
      <c r="HE1691" s="73"/>
      <c r="HF1691" s="73"/>
      <c r="HG1691" s="73"/>
      <c r="HH1691" s="73"/>
      <c r="HI1691" s="73"/>
      <c r="HJ1691" s="73"/>
      <c r="HK1691" s="73"/>
      <c r="HL1691" s="73"/>
      <c r="HM1691" s="73"/>
      <c r="HN1691" s="73"/>
      <c r="HO1691" s="73"/>
      <c r="HP1691" s="73"/>
      <c r="HQ1691" s="73"/>
      <c r="HR1691" s="73"/>
      <c r="HS1691" s="73"/>
      <c r="HT1691" s="73"/>
      <c r="HU1691" s="73"/>
      <c r="HV1691" s="73"/>
      <c r="HW1691" s="73"/>
      <c r="HX1691" s="73"/>
      <c r="HY1691" s="73"/>
      <c r="HZ1691" s="73"/>
      <c r="IA1691" s="73"/>
      <c r="IB1691" s="73"/>
      <c r="IC1691" s="73"/>
      <c r="ID1691" s="73"/>
      <c r="IE1691" s="73"/>
      <c r="IF1691" s="73"/>
      <c r="IG1691" s="73"/>
      <c r="IH1691" s="73"/>
      <c r="II1691" s="73"/>
      <c r="IJ1691" s="73"/>
      <c r="IK1691" s="73"/>
      <c r="IL1691" s="73"/>
      <c r="IM1691" s="73"/>
      <c r="IN1691" s="73"/>
      <c r="IO1691" s="73"/>
      <c r="IP1691" s="73"/>
      <c r="IQ1691" s="73"/>
      <c r="IR1691" s="73"/>
      <c r="IS1691" s="73"/>
      <c r="IT1691" s="73"/>
      <c r="IU1691" s="73"/>
      <c r="IV1691" s="73"/>
      <c r="IW1691" s="73"/>
      <c r="IX1691" s="73"/>
      <c r="IY1691" s="73"/>
      <c r="IZ1691" s="73"/>
      <c r="JA1691" s="73"/>
      <c r="JB1691" s="73"/>
      <c r="JC1691" s="73"/>
    </row>
    <row r="1692" spans="2:263" s="72" customFormat="1">
      <c r="B1692" s="73"/>
      <c r="C1692" s="73"/>
      <c r="D1692" s="73"/>
      <c r="E1692" s="73"/>
      <c r="F1692" s="73"/>
      <c r="G1692" s="73"/>
      <c r="H1692" s="73"/>
      <c r="I1692" s="73"/>
      <c r="J1692" s="73"/>
      <c r="K1692" s="73"/>
      <c r="L1692" s="73"/>
      <c r="M1692" s="73"/>
      <c r="N1692" s="73"/>
      <c r="O1692" s="73"/>
      <c r="P1692" s="73"/>
      <c r="Q1692" s="73"/>
      <c r="R1692" s="73"/>
      <c r="S1692" s="73"/>
      <c r="T1692" s="73"/>
      <c r="U1692" s="73"/>
      <c r="V1692" s="73"/>
      <c r="W1692" s="73"/>
      <c r="GL1692" s="73"/>
      <c r="GM1692" s="73"/>
      <c r="GN1692" s="73"/>
      <c r="GO1692" s="73"/>
      <c r="GP1692" s="73"/>
      <c r="GQ1692" s="73"/>
      <c r="GR1692" s="73"/>
      <c r="GS1692" s="73"/>
      <c r="GT1692" s="73"/>
      <c r="GU1692" s="73"/>
      <c r="GV1692" s="73"/>
      <c r="GW1692" s="73"/>
      <c r="GX1692" s="73"/>
      <c r="GY1692" s="73"/>
      <c r="GZ1692" s="73"/>
      <c r="HA1692" s="73"/>
      <c r="HB1692" s="73"/>
      <c r="HC1692" s="73"/>
      <c r="HD1692" s="73"/>
      <c r="HE1692" s="73"/>
      <c r="HF1692" s="73"/>
      <c r="HG1692" s="73"/>
      <c r="HH1692" s="73"/>
      <c r="HI1692" s="73"/>
      <c r="HJ1692" s="73"/>
      <c r="HK1692" s="73"/>
      <c r="HL1692" s="73"/>
      <c r="HM1692" s="73"/>
      <c r="HN1692" s="73"/>
      <c r="HO1692" s="73"/>
      <c r="HP1692" s="73"/>
      <c r="HQ1692" s="73"/>
      <c r="HR1692" s="73"/>
      <c r="HS1692" s="73"/>
      <c r="HT1692" s="73"/>
      <c r="HU1692" s="73"/>
      <c r="HV1692" s="73"/>
      <c r="HW1692" s="73"/>
      <c r="HX1692" s="73"/>
      <c r="HY1692" s="73"/>
      <c r="HZ1692" s="73"/>
      <c r="IA1692" s="73"/>
      <c r="IB1692" s="73"/>
      <c r="IC1692" s="73"/>
      <c r="ID1692" s="73"/>
      <c r="IE1692" s="73"/>
      <c r="IF1692" s="73"/>
      <c r="IG1692" s="73"/>
      <c r="IH1692" s="73"/>
      <c r="II1692" s="73"/>
      <c r="IJ1692" s="73"/>
      <c r="IK1692" s="73"/>
      <c r="IL1692" s="73"/>
      <c r="IM1692" s="73"/>
      <c r="IN1692" s="73"/>
      <c r="IO1692" s="73"/>
      <c r="IP1692" s="73"/>
      <c r="IQ1692" s="73"/>
      <c r="IR1692" s="73"/>
      <c r="IS1692" s="73"/>
      <c r="IT1692" s="73"/>
      <c r="IU1692" s="73"/>
      <c r="IV1692" s="73"/>
      <c r="IW1692" s="73"/>
      <c r="IX1692" s="73"/>
      <c r="IY1692" s="73"/>
      <c r="IZ1692" s="73"/>
      <c r="JA1692" s="73"/>
      <c r="JB1692" s="73"/>
      <c r="JC1692" s="73"/>
    </row>
    <row r="1693" spans="2:263" s="72" customFormat="1">
      <c r="B1693" s="73"/>
      <c r="C1693" s="73"/>
      <c r="D1693" s="73"/>
      <c r="E1693" s="73"/>
      <c r="F1693" s="73"/>
      <c r="G1693" s="73"/>
      <c r="H1693" s="73"/>
      <c r="I1693" s="73"/>
      <c r="J1693" s="73"/>
      <c r="K1693" s="73"/>
      <c r="L1693" s="73"/>
      <c r="M1693" s="73"/>
      <c r="N1693" s="73"/>
      <c r="O1693" s="73"/>
      <c r="P1693" s="73"/>
      <c r="Q1693" s="73"/>
      <c r="R1693" s="73"/>
      <c r="S1693" s="73"/>
      <c r="T1693" s="73"/>
      <c r="U1693" s="73"/>
      <c r="V1693" s="73"/>
      <c r="W1693" s="73"/>
      <c r="GL1693" s="73"/>
      <c r="GM1693" s="73"/>
      <c r="GN1693" s="73"/>
      <c r="GO1693" s="73"/>
      <c r="GP1693" s="73"/>
      <c r="GQ1693" s="73"/>
      <c r="GR1693" s="73"/>
      <c r="GS1693" s="73"/>
      <c r="GT1693" s="73"/>
      <c r="GU1693" s="73"/>
      <c r="GV1693" s="73"/>
      <c r="GW1693" s="73"/>
      <c r="GX1693" s="73"/>
      <c r="GY1693" s="73"/>
      <c r="GZ1693" s="73"/>
      <c r="HA1693" s="73"/>
      <c r="HB1693" s="73"/>
      <c r="HC1693" s="73"/>
      <c r="HD1693" s="73"/>
      <c r="HE1693" s="73"/>
      <c r="HF1693" s="73"/>
      <c r="HG1693" s="73"/>
      <c r="HH1693" s="73"/>
      <c r="HI1693" s="73"/>
      <c r="HJ1693" s="73"/>
      <c r="HK1693" s="73"/>
      <c r="HL1693" s="73"/>
      <c r="HM1693" s="73"/>
      <c r="HN1693" s="73"/>
      <c r="HO1693" s="73"/>
      <c r="HP1693" s="73"/>
      <c r="HQ1693" s="73"/>
      <c r="HR1693" s="73"/>
      <c r="HS1693" s="73"/>
      <c r="HT1693" s="73"/>
      <c r="HU1693" s="73"/>
      <c r="HV1693" s="73"/>
      <c r="HW1693" s="73"/>
      <c r="HX1693" s="73"/>
      <c r="HY1693" s="73"/>
      <c r="HZ1693" s="73"/>
      <c r="IA1693" s="73"/>
      <c r="IB1693" s="73"/>
      <c r="IC1693" s="73"/>
      <c r="ID1693" s="73"/>
      <c r="IE1693" s="73"/>
      <c r="IF1693" s="73"/>
      <c r="IG1693" s="73"/>
      <c r="IH1693" s="73"/>
      <c r="II1693" s="73"/>
      <c r="IJ1693" s="73"/>
      <c r="IK1693" s="73"/>
      <c r="IL1693" s="73"/>
      <c r="IM1693" s="73"/>
      <c r="IN1693" s="73"/>
      <c r="IO1693" s="73"/>
      <c r="IP1693" s="73"/>
      <c r="IQ1693" s="73"/>
      <c r="IR1693" s="73"/>
      <c r="IS1693" s="73"/>
      <c r="IT1693" s="73"/>
      <c r="IU1693" s="73"/>
      <c r="IV1693" s="73"/>
      <c r="IW1693" s="73"/>
      <c r="IX1693" s="73"/>
      <c r="IY1693" s="73"/>
      <c r="IZ1693" s="73"/>
      <c r="JA1693" s="73"/>
      <c r="JB1693" s="73"/>
      <c r="JC1693" s="73"/>
    </row>
    <row r="1694" spans="2:263" s="72" customFormat="1">
      <c r="B1694" s="73"/>
      <c r="C1694" s="73"/>
      <c r="D1694" s="73"/>
      <c r="E1694" s="73"/>
      <c r="F1694" s="73"/>
      <c r="G1694" s="73"/>
      <c r="H1694" s="73"/>
      <c r="I1694" s="73"/>
      <c r="J1694" s="73"/>
      <c r="K1694" s="73"/>
      <c r="L1694" s="73"/>
      <c r="M1694" s="73"/>
      <c r="N1694" s="73"/>
      <c r="O1694" s="73"/>
      <c r="P1694" s="73"/>
      <c r="Q1694" s="73"/>
      <c r="R1694" s="73"/>
      <c r="S1694" s="73"/>
      <c r="T1694" s="73"/>
      <c r="U1694" s="73"/>
      <c r="V1694" s="73"/>
      <c r="W1694" s="73"/>
      <c r="GL1694" s="73"/>
      <c r="GM1694" s="73"/>
      <c r="GN1694" s="73"/>
      <c r="GO1694" s="73"/>
      <c r="GP1694" s="73"/>
      <c r="GQ1694" s="73"/>
      <c r="GR1694" s="73"/>
      <c r="GS1694" s="73"/>
      <c r="GT1694" s="73"/>
      <c r="GU1694" s="73"/>
      <c r="GV1694" s="73"/>
      <c r="GW1694" s="73"/>
      <c r="GX1694" s="73"/>
      <c r="GY1694" s="73"/>
      <c r="GZ1694" s="73"/>
      <c r="HA1694" s="73"/>
      <c r="HB1694" s="73"/>
      <c r="HC1694" s="73"/>
      <c r="HD1694" s="73"/>
      <c r="HE1694" s="73"/>
      <c r="HF1694" s="73"/>
      <c r="HG1694" s="73"/>
      <c r="HH1694" s="73"/>
      <c r="HI1694" s="73"/>
      <c r="HJ1694" s="73"/>
      <c r="HK1694" s="73"/>
      <c r="HL1694" s="73"/>
      <c r="HM1694" s="73"/>
      <c r="HN1694" s="73"/>
      <c r="HO1694" s="73"/>
      <c r="HP1694" s="73"/>
      <c r="HQ1694" s="73"/>
      <c r="HR1694" s="73"/>
      <c r="HS1694" s="73"/>
      <c r="HT1694" s="73"/>
      <c r="HU1694" s="73"/>
      <c r="HV1694" s="73"/>
      <c r="HW1694" s="73"/>
      <c r="HX1694" s="73"/>
      <c r="HY1694" s="73"/>
      <c r="HZ1694" s="73"/>
      <c r="IA1694" s="73"/>
      <c r="IB1694" s="73"/>
      <c r="IC1694" s="73"/>
      <c r="ID1694" s="73"/>
      <c r="IE1694" s="73"/>
      <c r="IF1694" s="73"/>
      <c r="IG1694" s="73"/>
      <c r="IH1694" s="73"/>
      <c r="II1694" s="73"/>
      <c r="IJ1694" s="73"/>
      <c r="IK1694" s="73"/>
      <c r="IL1694" s="73"/>
      <c r="IM1694" s="73"/>
      <c r="IN1694" s="73"/>
      <c r="IO1694" s="73"/>
      <c r="IP1694" s="73"/>
      <c r="IQ1694" s="73"/>
      <c r="IR1694" s="73"/>
      <c r="IS1694" s="73"/>
      <c r="IT1694" s="73"/>
      <c r="IU1694" s="73"/>
      <c r="IV1694" s="73"/>
      <c r="IW1694" s="73"/>
      <c r="IX1694" s="73"/>
      <c r="IY1694" s="73"/>
      <c r="IZ1694" s="73"/>
      <c r="JA1694" s="73"/>
      <c r="JB1694" s="73"/>
      <c r="JC1694" s="73"/>
    </row>
    <row r="1695" spans="2:263" s="72" customFormat="1">
      <c r="B1695" s="73"/>
      <c r="C1695" s="73"/>
      <c r="D1695" s="73"/>
      <c r="E1695" s="73"/>
      <c r="F1695" s="73"/>
      <c r="G1695" s="73"/>
      <c r="H1695" s="73"/>
      <c r="I1695" s="73"/>
      <c r="J1695" s="73"/>
      <c r="K1695" s="73"/>
      <c r="L1695" s="73"/>
      <c r="M1695" s="73"/>
      <c r="N1695" s="73"/>
      <c r="O1695" s="73"/>
      <c r="P1695" s="73"/>
      <c r="Q1695" s="73"/>
      <c r="R1695" s="73"/>
      <c r="S1695" s="73"/>
      <c r="T1695" s="73"/>
      <c r="U1695" s="73"/>
      <c r="V1695" s="73"/>
      <c r="W1695" s="73"/>
      <c r="GL1695" s="73"/>
      <c r="GM1695" s="73"/>
      <c r="GN1695" s="73"/>
      <c r="GO1695" s="73"/>
      <c r="GP1695" s="73"/>
      <c r="GQ1695" s="73"/>
      <c r="GR1695" s="73"/>
      <c r="GS1695" s="73"/>
      <c r="GT1695" s="73"/>
      <c r="GU1695" s="73"/>
      <c r="GV1695" s="73"/>
      <c r="GW1695" s="73"/>
      <c r="GX1695" s="73"/>
      <c r="GY1695" s="73"/>
      <c r="GZ1695" s="73"/>
      <c r="HA1695" s="73"/>
      <c r="HB1695" s="73"/>
      <c r="HC1695" s="73"/>
      <c r="HD1695" s="73"/>
      <c r="HE1695" s="73"/>
      <c r="HF1695" s="73"/>
      <c r="HG1695" s="73"/>
      <c r="HH1695" s="73"/>
      <c r="HI1695" s="73"/>
      <c r="HJ1695" s="73"/>
      <c r="HK1695" s="73"/>
      <c r="HL1695" s="73"/>
      <c r="HM1695" s="73"/>
      <c r="HN1695" s="73"/>
      <c r="HO1695" s="73"/>
      <c r="HP1695" s="73"/>
      <c r="HQ1695" s="73"/>
      <c r="HR1695" s="73"/>
      <c r="HS1695" s="73"/>
      <c r="HT1695" s="73"/>
      <c r="HU1695" s="73"/>
      <c r="HV1695" s="73"/>
      <c r="HW1695" s="73"/>
      <c r="HX1695" s="73"/>
      <c r="HY1695" s="73"/>
      <c r="HZ1695" s="73"/>
      <c r="IA1695" s="73"/>
      <c r="IB1695" s="73"/>
      <c r="IC1695" s="73"/>
      <c r="ID1695" s="73"/>
      <c r="IE1695" s="73"/>
      <c r="IF1695" s="73"/>
      <c r="IG1695" s="73"/>
      <c r="IH1695" s="73"/>
      <c r="II1695" s="73"/>
      <c r="IJ1695" s="73"/>
      <c r="IK1695" s="73"/>
      <c r="IL1695" s="73"/>
      <c r="IM1695" s="73"/>
      <c r="IN1695" s="73"/>
      <c r="IO1695" s="73"/>
      <c r="IP1695" s="73"/>
      <c r="IQ1695" s="73"/>
      <c r="IR1695" s="73"/>
      <c r="IS1695" s="73"/>
      <c r="IT1695" s="73"/>
      <c r="IU1695" s="73"/>
      <c r="IV1695" s="73"/>
      <c r="IW1695" s="73"/>
      <c r="IX1695" s="73"/>
      <c r="IY1695" s="73"/>
      <c r="IZ1695" s="73"/>
      <c r="JA1695" s="73"/>
      <c r="JB1695" s="73"/>
      <c r="JC1695" s="73"/>
    </row>
    <row r="1696" spans="2:263" s="72" customFormat="1">
      <c r="B1696" s="73"/>
      <c r="C1696" s="73"/>
      <c r="D1696" s="73"/>
      <c r="E1696" s="73"/>
      <c r="F1696" s="73"/>
      <c r="G1696" s="73"/>
      <c r="H1696" s="73"/>
      <c r="I1696" s="73"/>
      <c r="J1696" s="73"/>
      <c r="K1696" s="73"/>
      <c r="L1696" s="73"/>
      <c r="M1696" s="73"/>
      <c r="N1696" s="73"/>
      <c r="O1696" s="73"/>
      <c r="P1696" s="73"/>
      <c r="Q1696" s="73"/>
      <c r="R1696" s="73"/>
      <c r="S1696" s="73"/>
      <c r="T1696" s="73"/>
      <c r="U1696" s="73"/>
      <c r="V1696" s="73"/>
      <c r="W1696" s="73"/>
      <c r="GL1696" s="73"/>
      <c r="GM1696" s="73"/>
      <c r="GN1696" s="73"/>
      <c r="GO1696" s="73"/>
      <c r="GP1696" s="73"/>
      <c r="GQ1696" s="73"/>
      <c r="GR1696" s="73"/>
      <c r="GS1696" s="73"/>
      <c r="GT1696" s="73"/>
      <c r="GU1696" s="73"/>
      <c r="GV1696" s="73"/>
      <c r="GW1696" s="73"/>
      <c r="GX1696" s="73"/>
      <c r="GY1696" s="73"/>
      <c r="GZ1696" s="73"/>
      <c r="HA1696" s="73"/>
      <c r="HB1696" s="73"/>
      <c r="HC1696" s="73"/>
      <c r="HD1696" s="73"/>
      <c r="HE1696" s="73"/>
      <c r="HF1696" s="73"/>
      <c r="HG1696" s="73"/>
      <c r="HH1696" s="73"/>
      <c r="HI1696" s="73"/>
      <c r="HJ1696" s="73"/>
      <c r="HK1696" s="73"/>
      <c r="HL1696" s="73"/>
      <c r="HM1696" s="73"/>
      <c r="HN1696" s="73"/>
      <c r="HO1696" s="73"/>
      <c r="HP1696" s="73"/>
      <c r="HQ1696" s="73"/>
      <c r="HR1696" s="73"/>
      <c r="HS1696" s="73"/>
      <c r="HT1696" s="73"/>
      <c r="HU1696" s="73"/>
      <c r="HV1696" s="73"/>
      <c r="HW1696" s="73"/>
      <c r="HX1696" s="73"/>
      <c r="HY1696" s="73"/>
      <c r="HZ1696" s="73"/>
      <c r="IA1696" s="73"/>
      <c r="IB1696" s="73"/>
      <c r="IC1696" s="73"/>
      <c r="ID1696" s="73"/>
      <c r="IE1696" s="73"/>
      <c r="IF1696" s="73"/>
      <c r="IG1696" s="73"/>
      <c r="IH1696" s="73"/>
      <c r="II1696" s="73"/>
      <c r="IJ1696" s="73"/>
      <c r="IK1696" s="73"/>
      <c r="IL1696" s="73"/>
      <c r="IM1696" s="73"/>
      <c r="IN1696" s="73"/>
      <c r="IO1696" s="73"/>
      <c r="IP1696" s="73"/>
      <c r="IQ1696" s="73"/>
      <c r="IR1696" s="73"/>
      <c r="IS1696" s="73"/>
      <c r="IT1696" s="73"/>
      <c r="IU1696" s="73"/>
      <c r="IV1696" s="73"/>
      <c r="IW1696" s="73"/>
      <c r="IX1696" s="73"/>
      <c r="IY1696" s="73"/>
      <c r="IZ1696" s="73"/>
      <c r="JA1696" s="73"/>
      <c r="JB1696" s="73"/>
      <c r="JC1696" s="73"/>
    </row>
    <row r="1697" spans="2:263" s="72" customFormat="1">
      <c r="B1697" s="73"/>
      <c r="C1697" s="73"/>
      <c r="D1697" s="73"/>
      <c r="E1697" s="73"/>
      <c r="F1697" s="73"/>
      <c r="G1697" s="73"/>
      <c r="H1697" s="73"/>
      <c r="I1697" s="73"/>
      <c r="J1697" s="73"/>
      <c r="K1697" s="73"/>
      <c r="L1697" s="73"/>
      <c r="M1697" s="73"/>
      <c r="N1697" s="73"/>
      <c r="O1697" s="73"/>
      <c r="P1697" s="73"/>
      <c r="Q1697" s="73"/>
      <c r="R1697" s="73"/>
      <c r="S1697" s="73"/>
      <c r="T1697" s="73"/>
      <c r="U1697" s="73"/>
      <c r="V1697" s="73"/>
      <c r="W1697" s="73"/>
      <c r="GL1697" s="73"/>
      <c r="GM1697" s="73"/>
      <c r="GN1697" s="73"/>
      <c r="GO1697" s="73"/>
      <c r="GP1697" s="73"/>
      <c r="GQ1697" s="73"/>
      <c r="GR1697" s="73"/>
      <c r="GS1697" s="73"/>
      <c r="GT1697" s="73"/>
      <c r="GU1697" s="73"/>
      <c r="GV1697" s="73"/>
      <c r="GW1697" s="73"/>
      <c r="GX1697" s="73"/>
      <c r="GY1697" s="73"/>
      <c r="GZ1697" s="73"/>
      <c r="HA1697" s="73"/>
      <c r="HB1697" s="73"/>
      <c r="HC1697" s="73"/>
      <c r="HD1697" s="73"/>
      <c r="HE1697" s="73"/>
      <c r="HF1697" s="73"/>
      <c r="HG1697" s="73"/>
      <c r="HH1697" s="73"/>
      <c r="HI1697" s="73"/>
      <c r="HJ1697" s="73"/>
      <c r="HK1697" s="73"/>
      <c r="HL1697" s="73"/>
      <c r="HM1697" s="73"/>
      <c r="HN1697" s="73"/>
      <c r="HO1697" s="73"/>
      <c r="HP1697" s="73"/>
      <c r="HQ1697" s="73"/>
      <c r="HR1697" s="73"/>
      <c r="HS1697" s="73"/>
      <c r="HT1697" s="73"/>
      <c r="HU1697" s="73"/>
      <c r="HV1697" s="73"/>
      <c r="HW1697" s="73"/>
      <c r="HX1697" s="73"/>
      <c r="HY1697" s="73"/>
      <c r="HZ1697" s="73"/>
      <c r="IA1697" s="73"/>
      <c r="IB1697" s="73"/>
      <c r="IC1697" s="73"/>
      <c r="ID1697" s="73"/>
      <c r="IE1697" s="73"/>
      <c r="IF1697" s="73"/>
      <c r="IG1697" s="73"/>
      <c r="IH1697" s="73"/>
      <c r="II1697" s="73"/>
      <c r="IJ1697" s="73"/>
      <c r="IK1697" s="73"/>
      <c r="IL1697" s="73"/>
      <c r="IM1697" s="73"/>
      <c r="IN1697" s="73"/>
      <c r="IO1697" s="73"/>
      <c r="IP1697" s="73"/>
      <c r="IQ1697" s="73"/>
      <c r="IR1697" s="73"/>
      <c r="IS1697" s="73"/>
      <c r="IT1697" s="73"/>
      <c r="IU1697" s="73"/>
      <c r="IV1697" s="73"/>
      <c r="IW1697" s="73"/>
      <c r="IX1697" s="73"/>
      <c r="IY1697" s="73"/>
      <c r="IZ1697" s="73"/>
      <c r="JA1697" s="73"/>
      <c r="JB1697" s="73"/>
      <c r="JC1697" s="73"/>
    </row>
    <row r="1698" spans="2:263" s="72" customFormat="1">
      <c r="B1698" s="73"/>
      <c r="C1698" s="73"/>
      <c r="D1698" s="73"/>
      <c r="E1698" s="73"/>
      <c r="F1698" s="73"/>
      <c r="G1698" s="73"/>
      <c r="H1698" s="73"/>
      <c r="I1698" s="73"/>
      <c r="J1698" s="73"/>
      <c r="K1698" s="73"/>
      <c r="L1698" s="73"/>
      <c r="M1698" s="73"/>
      <c r="N1698" s="73"/>
      <c r="O1698" s="73"/>
      <c r="P1698" s="73"/>
      <c r="Q1698" s="73"/>
      <c r="R1698" s="73"/>
      <c r="S1698" s="73"/>
      <c r="T1698" s="73"/>
      <c r="U1698" s="73"/>
      <c r="V1698" s="73"/>
      <c r="W1698" s="73"/>
      <c r="GL1698" s="73"/>
      <c r="GM1698" s="73"/>
      <c r="GN1698" s="73"/>
      <c r="GO1698" s="73"/>
      <c r="GP1698" s="73"/>
      <c r="GQ1698" s="73"/>
      <c r="GR1698" s="73"/>
      <c r="GS1698" s="73"/>
      <c r="GT1698" s="73"/>
      <c r="GU1698" s="73"/>
      <c r="GV1698" s="73"/>
      <c r="GW1698" s="73"/>
      <c r="GX1698" s="73"/>
      <c r="GY1698" s="73"/>
      <c r="GZ1698" s="73"/>
      <c r="HA1698" s="73"/>
      <c r="HB1698" s="73"/>
      <c r="HC1698" s="73"/>
      <c r="HD1698" s="73"/>
      <c r="HE1698" s="73"/>
      <c r="HF1698" s="73"/>
      <c r="HG1698" s="73"/>
      <c r="HH1698" s="73"/>
      <c r="HI1698" s="73"/>
      <c r="HJ1698" s="73"/>
      <c r="HK1698" s="73"/>
      <c r="HL1698" s="73"/>
      <c r="HM1698" s="73"/>
      <c r="HN1698" s="73"/>
      <c r="HO1698" s="73"/>
      <c r="HP1698" s="73"/>
      <c r="HQ1698" s="73"/>
      <c r="HR1698" s="73"/>
      <c r="HS1698" s="73"/>
      <c r="HT1698" s="73"/>
      <c r="HU1698" s="73"/>
      <c r="HV1698" s="73"/>
      <c r="HW1698" s="73"/>
      <c r="HX1698" s="73"/>
      <c r="HY1698" s="73"/>
      <c r="HZ1698" s="73"/>
      <c r="IA1698" s="73"/>
      <c r="IB1698" s="73"/>
      <c r="IC1698" s="73"/>
      <c r="ID1698" s="73"/>
      <c r="IE1698" s="73"/>
      <c r="IF1698" s="73"/>
      <c r="IG1698" s="73"/>
      <c r="IH1698" s="73"/>
      <c r="II1698" s="73"/>
      <c r="IJ1698" s="73"/>
      <c r="IK1698" s="73"/>
      <c r="IL1698" s="73"/>
      <c r="IM1698" s="73"/>
      <c r="IN1698" s="73"/>
      <c r="IO1698" s="73"/>
      <c r="IP1698" s="73"/>
      <c r="IQ1698" s="73"/>
      <c r="IR1698" s="73"/>
      <c r="IS1698" s="73"/>
      <c r="IT1698" s="73"/>
      <c r="IU1698" s="73"/>
      <c r="IV1698" s="73"/>
      <c r="IW1698" s="73"/>
      <c r="IX1698" s="73"/>
      <c r="IY1698" s="73"/>
      <c r="IZ1698" s="73"/>
      <c r="JA1698" s="73"/>
      <c r="JB1698" s="73"/>
      <c r="JC1698" s="73"/>
    </row>
    <row r="1699" spans="2:263" s="72" customFormat="1">
      <c r="B1699" s="73"/>
      <c r="C1699" s="73"/>
      <c r="D1699" s="73"/>
      <c r="E1699" s="73"/>
      <c r="F1699" s="73"/>
      <c r="G1699" s="73"/>
      <c r="H1699" s="73"/>
      <c r="I1699" s="73"/>
      <c r="J1699" s="73"/>
      <c r="K1699" s="73"/>
      <c r="L1699" s="73"/>
      <c r="M1699" s="73"/>
      <c r="N1699" s="73"/>
      <c r="O1699" s="73"/>
      <c r="P1699" s="73"/>
      <c r="Q1699" s="73"/>
      <c r="R1699" s="73"/>
      <c r="S1699" s="73"/>
      <c r="T1699" s="73"/>
      <c r="U1699" s="73"/>
      <c r="V1699" s="73"/>
      <c r="W1699" s="73"/>
      <c r="GL1699" s="73"/>
      <c r="GM1699" s="73"/>
      <c r="GN1699" s="73"/>
      <c r="GO1699" s="73"/>
      <c r="GP1699" s="73"/>
      <c r="GQ1699" s="73"/>
      <c r="GR1699" s="73"/>
      <c r="GS1699" s="73"/>
      <c r="GT1699" s="73"/>
      <c r="GU1699" s="73"/>
      <c r="GV1699" s="73"/>
      <c r="GW1699" s="73"/>
      <c r="GX1699" s="73"/>
      <c r="GY1699" s="73"/>
      <c r="GZ1699" s="73"/>
      <c r="HA1699" s="73"/>
      <c r="HB1699" s="73"/>
      <c r="HC1699" s="73"/>
      <c r="HD1699" s="73"/>
      <c r="HE1699" s="73"/>
      <c r="HF1699" s="73"/>
      <c r="HG1699" s="73"/>
      <c r="HH1699" s="73"/>
      <c r="HI1699" s="73"/>
      <c r="HJ1699" s="73"/>
      <c r="HK1699" s="73"/>
      <c r="HL1699" s="73"/>
      <c r="HM1699" s="73"/>
      <c r="HN1699" s="73"/>
      <c r="HO1699" s="73"/>
      <c r="HP1699" s="73"/>
      <c r="HQ1699" s="73"/>
      <c r="HR1699" s="73"/>
      <c r="HS1699" s="73"/>
      <c r="HT1699" s="73"/>
      <c r="HU1699" s="73"/>
      <c r="HV1699" s="73"/>
      <c r="HW1699" s="73"/>
      <c r="HX1699" s="73"/>
      <c r="HY1699" s="73"/>
      <c r="HZ1699" s="73"/>
      <c r="IA1699" s="73"/>
      <c r="IB1699" s="73"/>
      <c r="IC1699" s="73"/>
      <c r="ID1699" s="73"/>
      <c r="IE1699" s="73"/>
      <c r="IF1699" s="73"/>
      <c r="IG1699" s="73"/>
      <c r="IH1699" s="73"/>
      <c r="II1699" s="73"/>
      <c r="IJ1699" s="73"/>
      <c r="IK1699" s="73"/>
      <c r="IL1699" s="73"/>
      <c r="IM1699" s="73"/>
      <c r="IN1699" s="73"/>
      <c r="IO1699" s="73"/>
      <c r="IP1699" s="73"/>
      <c r="IQ1699" s="73"/>
      <c r="IR1699" s="73"/>
      <c r="IS1699" s="73"/>
      <c r="IT1699" s="73"/>
      <c r="IU1699" s="73"/>
      <c r="IV1699" s="73"/>
      <c r="IW1699" s="73"/>
      <c r="IX1699" s="73"/>
      <c r="IY1699" s="73"/>
      <c r="IZ1699" s="73"/>
      <c r="JA1699" s="73"/>
      <c r="JB1699" s="73"/>
      <c r="JC1699" s="73"/>
    </row>
    <row r="1700" spans="2:263" s="72" customFormat="1">
      <c r="B1700" s="73"/>
      <c r="C1700" s="73"/>
      <c r="D1700" s="73"/>
      <c r="E1700" s="73"/>
      <c r="F1700" s="73"/>
      <c r="G1700" s="73"/>
      <c r="H1700" s="73"/>
      <c r="I1700" s="73"/>
      <c r="J1700" s="73"/>
      <c r="K1700" s="73"/>
      <c r="L1700" s="73"/>
      <c r="M1700" s="73"/>
      <c r="N1700" s="73"/>
      <c r="O1700" s="73"/>
      <c r="P1700" s="73"/>
      <c r="Q1700" s="73"/>
      <c r="R1700" s="73"/>
      <c r="S1700" s="73"/>
      <c r="T1700" s="73"/>
      <c r="U1700" s="73"/>
      <c r="V1700" s="73"/>
      <c r="W1700" s="73"/>
      <c r="GL1700" s="73"/>
      <c r="GM1700" s="73"/>
      <c r="GN1700" s="73"/>
      <c r="GO1700" s="73"/>
      <c r="GP1700" s="73"/>
      <c r="GQ1700" s="73"/>
      <c r="GR1700" s="73"/>
      <c r="GS1700" s="73"/>
      <c r="GT1700" s="73"/>
      <c r="GU1700" s="73"/>
      <c r="GV1700" s="73"/>
      <c r="GW1700" s="73"/>
      <c r="GX1700" s="73"/>
      <c r="GY1700" s="73"/>
      <c r="GZ1700" s="73"/>
      <c r="HA1700" s="73"/>
      <c r="HB1700" s="73"/>
      <c r="HC1700" s="73"/>
      <c r="HD1700" s="73"/>
      <c r="HE1700" s="73"/>
      <c r="HF1700" s="73"/>
      <c r="HG1700" s="73"/>
      <c r="HH1700" s="73"/>
      <c r="HI1700" s="73"/>
      <c r="HJ1700" s="73"/>
      <c r="HK1700" s="73"/>
      <c r="HL1700" s="73"/>
      <c r="HM1700" s="73"/>
      <c r="HN1700" s="73"/>
      <c r="HO1700" s="73"/>
      <c r="HP1700" s="73"/>
      <c r="HQ1700" s="73"/>
      <c r="HR1700" s="73"/>
      <c r="HS1700" s="73"/>
      <c r="HT1700" s="73"/>
      <c r="HU1700" s="73"/>
      <c r="HV1700" s="73"/>
      <c r="HW1700" s="73"/>
      <c r="HX1700" s="73"/>
      <c r="HY1700" s="73"/>
      <c r="HZ1700" s="73"/>
      <c r="IA1700" s="73"/>
      <c r="IB1700" s="73"/>
      <c r="IC1700" s="73"/>
      <c r="ID1700" s="73"/>
      <c r="IE1700" s="73"/>
      <c r="IF1700" s="73"/>
      <c r="IG1700" s="73"/>
      <c r="IH1700" s="73"/>
      <c r="II1700" s="73"/>
      <c r="IJ1700" s="73"/>
      <c r="IK1700" s="73"/>
      <c r="IL1700" s="73"/>
      <c r="IM1700" s="73"/>
      <c r="IN1700" s="73"/>
      <c r="IO1700" s="73"/>
      <c r="IP1700" s="73"/>
      <c r="IQ1700" s="73"/>
      <c r="IR1700" s="73"/>
      <c r="IS1700" s="73"/>
      <c r="IT1700" s="73"/>
      <c r="IU1700" s="73"/>
      <c r="IV1700" s="73"/>
      <c r="IW1700" s="73"/>
      <c r="IX1700" s="73"/>
      <c r="IY1700" s="73"/>
      <c r="IZ1700" s="73"/>
      <c r="JA1700" s="73"/>
      <c r="JB1700" s="73"/>
      <c r="JC1700" s="73"/>
    </row>
    <row r="1701" spans="2:263" s="72" customFormat="1">
      <c r="B1701" s="73"/>
      <c r="C1701" s="73"/>
      <c r="D1701" s="73"/>
      <c r="E1701" s="73"/>
      <c r="F1701" s="73"/>
      <c r="G1701" s="73"/>
      <c r="H1701" s="73"/>
      <c r="I1701" s="73"/>
      <c r="J1701" s="73"/>
      <c r="K1701" s="73"/>
      <c r="L1701" s="73"/>
      <c r="M1701" s="73"/>
      <c r="N1701" s="73"/>
      <c r="O1701" s="73"/>
      <c r="P1701" s="73"/>
      <c r="Q1701" s="73"/>
      <c r="R1701" s="73"/>
      <c r="S1701" s="73"/>
      <c r="T1701" s="73"/>
      <c r="U1701" s="73"/>
      <c r="V1701" s="73"/>
      <c r="W1701" s="73"/>
      <c r="GL1701" s="73"/>
      <c r="GM1701" s="73"/>
      <c r="GN1701" s="73"/>
      <c r="GO1701" s="73"/>
      <c r="GP1701" s="73"/>
      <c r="GQ1701" s="73"/>
      <c r="GR1701" s="73"/>
      <c r="GS1701" s="73"/>
      <c r="GT1701" s="73"/>
      <c r="GU1701" s="73"/>
      <c r="GV1701" s="73"/>
      <c r="GW1701" s="73"/>
      <c r="GX1701" s="73"/>
      <c r="GY1701" s="73"/>
      <c r="GZ1701" s="73"/>
      <c r="HA1701" s="73"/>
      <c r="HB1701" s="73"/>
      <c r="HC1701" s="73"/>
      <c r="HD1701" s="73"/>
      <c r="HE1701" s="73"/>
      <c r="HF1701" s="73"/>
      <c r="HG1701" s="73"/>
      <c r="HH1701" s="73"/>
      <c r="HI1701" s="73"/>
      <c r="HJ1701" s="73"/>
      <c r="HK1701" s="73"/>
      <c r="HL1701" s="73"/>
      <c r="HM1701" s="73"/>
      <c r="HN1701" s="73"/>
      <c r="HO1701" s="73"/>
      <c r="HP1701" s="73"/>
      <c r="HQ1701" s="73"/>
      <c r="HR1701" s="73"/>
      <c r="HS1701" s="73"/>
      <c r="HT1701" s="73"/>
      <c r="HU1701" s="73"/>
      <c r="HV1701" s="73"/>
      <c r="HW1701" s="73"/>
      <c r="HX1701" s="73"/>
      <c r="HY1701" s="73"/>
      <c r="HZ1701" s="73"/>
      <c r="IA1701" s="73"/>
      <c r="IB1701" s="73"/>
      <c r="IC1701" s="73"/>
      <c r="ID1701" s="73"/>
      <c r="IE1701" s="73"/>
      <c r="IF1701" s="73"/>
      <c r="IG1701" s="73"/>
      <c r="IH1701" s="73"/>
      <c r="II1701" s="73"/>
      <c r="IJ1701" s="73"/>
      <c r="IK1701" s="73"/>
      <c r="IL1701" s="73"/>
      <c r="IM1701" s="73"/>
      <c r="IN1701" s="73"/>
      <c r="IO1701" s="73"/>
      <c r="IP1701" s="73"/>
      <c r="IQ1701" s="73"/>
      <c r="IR1701" s="73"/>
      <c r="IS1701" s="73"/>
      <c r="IT1701" s="73"/>
      <c r="IU1701" s="73"/>
      <c r="IV1701" s="73"/>
      <c r="IW1701" s="73"/>
      <c r="IX1701" s="73"/>
      <c r="IY1701" s="73"/>
      <c r="IZ1701" s="73"/>
      <c r="JA1701" s="73"/>
      <c r="JB1701" s="73"/>
      <c r="JC1701" s="73"/>
    </row>
    <row r="1702" spans="2:263" s="72" customFormat="1">
      <c r="B1702" s="73"/>
      <c r="C1702" s="73"/>
      <c r="D1702" s="73"/>
      <c r="E1702" s="73"/>
      <c r="F1702" s="73"/>
      <c r="G1702" s="73"/>
      <c r="H1702" s="73"/>
      <c r="I1702" s="73"/>
      <c r="J1702" s="73"/>
      <c r="K1702" s="73"/>
      <c r="L1702" s="73"/>
      <c r="M1702" s="73"/>
      <c r="N1702" s="73"/>
      <c r="O1702" s="73"/>
      <c r="P1702" s="73"/>
      <c r="Q1702" s="73"/>
      <c r="R1702" s="73"/>
      <c r="S1702" s="73"/>
      <c r="T1702" s="73"/>
      <c r="U1702" s="73"/>
      <c r="V1702" s="73"/>
      <c r="W1702" s="73"/>
      <c r="GL1702" s="73"/>
      <c r="GM1702" s="73"/>
      <c r="GN1702" s="73"/>
      <c r="GO1702" s="73"/>
      <c r="GP1702" s="73"/>
      <c r="GQ1702" s="73"/>
      <c r="GR1702" s="73"/>
      <c r="GS1702" s="73"/>
      <c r="GT1702" s="73"/>
      <c r="GU1702" s="73"/>
      <c r="GV1702" s="73"/>
      <c r="GW1702" s="73"/>
      <c r="GX1702" s="73"/>
      <c r="GY1702" s="73"/>
      <c r="GZ1702" s="73"/>
      <c r="HA1702" s="73"/>
      <c r="HB1702" s="73"/>
      <c r="HC1702" s="73"/>
      <c r="HD1702" s="73"/>
      <c r="HE1702" s="73"/>
      <c r="HF1702" s="73"/>
      <c r="HG1702" s="73"/>
      <c r="HH1702" s="73"/>
      <c r="HI1702" s="73"/>
      <c r="HJ1702" s="73"/>
      <c r="HK1702" s="73"/>
      <c r="HL1702" s="73"/>
      <c r="HM1702" s="73"/>
      <c r="HN1702" s="73"/>
      <c r="HO1702" s="73"/>
      <c r="HP1702" s="73"/>
      <c r="HQ1702" s="73"/>
      <c r="HR1702" s="73"/>
      <c r="HS1702" s="73"/>
      <c r="HT1702" s="73"/>
      <c r="HU1702" s="73"/>
      <c r="HV1702" s="73"/>
      <c r="HW1702" s="73"/>
      <c r="HX1702" s="73"/>
      <c r="HY1702" s="73"/>
      <c r="HZ1702" s="73"/>
      <c r="IA1702" s="73"/>
      <c r="IB1702" s="73"/>
      <c r="IC1702" s="73"/>
      <c r="ID1702" s="73"/>
      <c r="IE1702" s="73"/>
      <c r="IF1702" s="73"/>
      <c r="IG1702" s="73"/>
      <c r="IH1702" s="73"/>
      <c r="II1702" s="73"/>
      <c r="IJ1702" s="73"/>
      <c r="IK1702" s="73"/>
      <c r="IL1702" s="73"/>
      <c r="IM1702" s="73"/>
      <c r="IN1702" s="73"/>
      <c r="IO1702" s="73"/>
      <c r="IP1702" s="73"/>
      <c r="IQ1702" s="73"/>
      <c r="IR1702" s="73"/>
      <c r="IS1702" s="73"/>
      <c r="IT1702" s="73"/>
      <c r="IU1702" s="73"/>
      <c r="IV1702" s="73"/>
      <c r="IW1702" s="73"/>
      <c r="IX1702" s="73"/>
      <c r="IY1702" s="73"/>
      <c r="IZ1702" s="73"/>
      <c r="JA1702" s="73"/>
      <c r="JB1702" s="73"/>
      <c r="JC1702" s="73"/>
    </row>
    <row r="1703" spans="2:263" s="72" customFormat="1">
      <c r="B1703" s="73"/>
      <c r="C1703" s="73"/>
      <c r="D1703" s="73"/>
      <c r="E1703" s="73"/>
      <c r="F1703" s="73"/>
      <c r="G1703" s="73"/>
      <c r="H1703" s="73"/>
      <c r="I1703" s="73"/>
      <c r="J1703" s="73"/>
      <c r="K1703" s="73"/>
      <c r="L1703" s="73"/>
      <c r="M1703" s="73"/>
      <c r="N1703" s="73"/>
      <c r="O1703" s="73"/>
      <c r="P1703" s="73"/>
      <c r="Q1703" s="73"/>
      <c r="R1703" s="73"/>
      <c r="S1703" s="73"/>
      <c r="T1703" s="73"/>
      <c r="U1703" s="73"/>
      <c r="V1703" s="73"/>
      <c r="W1703" s="73"/>
      <c r="GL1703" s="73"/>
      <c r="GM1703" s="73"/>
      <c r="GN1703" s="73"/>
      <c r="GO1703" s="73"/>
      <c r="GP1703" s="73"/>
      <c r="GQ1703" s="73"/>
      <c r="GR1703" s="73"/>
      <c r="GS1703" s="73"/>
      <c r="GT1703" s="73"/>
      <c r="GU1703" s="73"/>
      <c r="GV1703" s="73"/>
      <c r="GW1703" s="73"/>
      <c r="GX1703" s="73"/>
      <c r="GY1703" s="73"/>
      <c r="GZ1703" s="73"/>
      <c r="HA1703" s="73"/>
      <c r="HB1703" s="73"/>
      <c r="HC1703" s="73"/>
      <c r="HD1703" s="73"/>
      <c r="HE1703" s="73"/>
      <c r="HF1703" s="73"/>
      <c r="HG1703" s="73"/>
      <c r="HH1703" s="73"/>
      <c r="HI1703" s="73"/>
      <c r="HJ1703" s="73"/>
      <c r="HK1703" s="73"/>
      <c r="HL1703" s="73"/>
      <c r="HM1703" s="73"/>
      <c r="HN1703" s="73"/>
      <c r="HO1703" s="73"/>
      <c r="HP1703" s="73"/>
      <c r="HQ1703" s="73"/>
      <c r="HR1703" s="73"/>
      <c r="HS1703" s="73"/>
      <c r="HT1703" s="73"/>
      <c r="HU1703" s="73"/>
      <c r="HV1703" s="73"/>
      <c r="HW1703" s="73"/>
      <c r="HX1703" s="73"/>
      <c r="HY1703" s="73"/>
      <c r="HZ1703" s="73"/>
      <c r="IA1703" s="73"/>
      <c r="IB1703" s="73"/>
      <c r="IC1703" s="73"/>
      <c r="ID1703" s="73"/>
      <c r="IE1703" s="73"/>
      <c r="IF1703" s="73"/>
      <c r="IG1703" s="73"/>
      <c r="IH1703" s="73"/>
      <c r="II1703" s="73"/>
      <c r="IJ1703" s="73"/>
      <c r="IK1703" s="73"/>
      <c r="IL1703" s="73"/>
      <c r="IM1703" s="73"/>
      <c r="IN1703" s="73"/>
      <c r="IO1703" s="73"/>
      <c r="IP1703" s="73"/>
      <c r="IQ1703" s="73"/>
      <c r="IR1703" s="73"/>
      <c r="IS1703" s="73"/>
      <c r="IT1703" s="73"/>
      <c r="IU1703" s="73"/>
      <c r="IV1703" s="73"/>
      <c r="IW1703" s="73"/>
      <c r="IX1703" s="73"/>
      <c r="IY1703" s="73"/>
      <c r="IZ1703" s="73"/>
      <c r="JA1703" s="73"/>
      <c r="JB1703" s="73"/>
      <c r="JC1703" s="73"/>
    </row>
    <row r="1704" spans="2:263" s="72" customFormat="1">
      <c r="B1704" s="73"/>
      <c r="C1704" s="73"/>
      <c r="D1704" s="73"/>
      <c r="E1704" s="73"/>
      <c r="F1704" s="73"/>
      <c r="G1704" s="73"/>
      <c r="H1704" s="73"/>
      <c r="I1704" s="73"/>
      <c r="J1704" s="73"/>
      <c r="K1704" s="73"/>
      <c r="L1704" s="73"/>
      <c r="M1704" s="73"/>
      <c r="N1704" s="73"/>
      <c r="O1704" s="73"/>
      <c r="P1704" s="73"/>
      <c r="Q1704" s="73"/>
      <c r="R1704" s="73"/>
      <c r="S1704" s="73"/>
      <c r="T1704" s="73"/>
      <c r="U1704" s="73"/>
      <c r="V1704" s="73"/>
      <c r="W1704" s="73"/>
      <c r="GL1704" s="73"/>
      <c r="GM1704" s="73"/>
      <c r="GN1704" s="73"/>
      <c r="GO1704" s="73"/>
      <c r="GP1704" s="73"/>
      <c r="GQ1704" s="73"/>
      <c r="GR1704" s="73"/>
      <c r="GS1704" s="73"/>
      <c r="GT1704" s="73"/>
      <c r="GU1704" s="73"/>
      <c r="GV1704" s="73"/>
      <c r="GW1704" s="73"/>
      <c r="GX1704" s="73"/>
      <c r="GY1704" s="73"/>
      <c r="GZ1704" s="73"/>
      <c r="HA1704" s="73"/>
      <c r="HB1704" s="73"/>
      <c r="HC1704" s="73"/>
      <c r="HD1704" s="73"/>
      <c r="HE1704" s="73"/>
      <c r="HF1704" s="73"/>
      <c r="HG1704" s="73"/>
      <c r="HH1704" s="73"/>
      <c r="HI1704" s="73"/>
      <c r="HJ1704" s="73"/>
      <c r="HK1704" s="73"/>
      <c r="HL1704" s="73"/>
      <c r="HM1704" s="73"/>
      <c r="HN1704" s="73"/>
      <c r="HO1704" s="73"/>
      <c r="HP1704" s="73"/>
      <c r="HQ1704" s="73"/>
      <c r="HR1704" s="73"/>
      <c r="HS1704" s="73"/>
      <c r="HT1704" s="73"/>
      <c r="HU1704" s="73"/>
      <c r="HV1704" s="73"/>
      <c r="HW1704" s="73"/>
      <c r="HX1704" s="73"/>
      <c r="HY1704" s="73"/>
      <c r="HZ1704" s="73"/>
      <c r="IA1704" s="73"/>
      <c r="IB1704" s="73"/>
      <c r="IC1704" s="73"/>
      <c r="ID1704" s="73"/>
      <c r="IE1704" s="73"/>
      <c r="IF1704" s="73"/>
      <c r="IG1704" s="73"/>
      <c r="IH1704" s="73"/>
      <c r="II1704" s="73"/>
      <c r="IJ1704" s="73"/>
      <c r="IK1704" s="73"/>
      <c r="IL1704" s="73"/>
      <c r="IM1704" s="73"/>
      <c r="IN1704" s="73"/>
      <c r="IO1704" s="73"/>
      <c r="IP1704" s="73"/>
      <c r="IQ1704" s="73"/>
      <c r="IR1704" s="73"/>
      <c r="IS1704" s="73"/>
      <c r="IT1704" s="73"/>
      <c r="IU1704" s="73"/>
      <c r="IV1704" s="73"/>
      <c r="IW1704" s="73"/>
      <c r="IX1704" s="73"/>
      <c r="IY1704" s="73"/>
      <c r="IZ1704" s="73"/>
      <c r="JA1704" s="73"/>
      <c r="JB1704" s="73"/>
      <c r="JC1704" s="73"/>
    </row>
    <row r="1705" spans="2:263" s="72" customFormat="1">
      <c r="B1705" s="73"/>
      <c r="C1705" s="73"/>
      <c r="D1705" s="73"/>
      <c r="E1705" s="73"/>
      <c r="F1705" s="73"/>
      <c r="G1705" s="73"/>
      <c r="H1705" s="73"/>
      <c r="I1705" s="73"/>
      <c r="J1705" s="73"/>
      <c r="K1705" s="73"/>
      <c r="L1705" s="73"/>
      <c r="M1705" s="73"/>
      <c r="N1705" s="73"/>
      <c r="O1705" s="73"/>
      <c r="P1705" s="73"/>
      <c r="Q1705" s="73"/>
      <c r="R1705" s="73"/>
      <c r="S1705" s="73"/>
      <c r="T1705" s="73"/>
      <c r="U1705" s="73"/>
      <c r="V1705" s="73"/>
      <c r="W1705" s="73"/>
      <c r="GL1705" s="73"/>
      <c r="GM1705" s="73"/>
      <c r="GN1705" s="73"/>
      <c r="GO1705" s="73"/>
      <c r="GP1705" s="73"/>
      <c r="GQ1705" s="73"/>
      <c r="GR1705" s="73"/>
      <c r="GS1705" s="73"/>
      <c r="GT1705" s="73"/>
      <c r="GU1705" s="73"/>
      <c r="GV1705" s="73"/>
      <c r="GW1705" s="73"/>
      <c r="GX1705" s="73"/>
      <c r="GY1705" s="73"/>
      <c r="GZ1705" s="73"/>
      <c r="HA1705" s="73"/>
      <c r="HB1705" s="73"/>
      <c r="HC1705" s="73"/>
      <c r="HD1705" s="73"/>
      <c r="HE1705" s="73"/>
      <c r="HF1705" s="73"/>
      <c r="HG1705" s="73"/>
      <c r="HH1705" s="73"/>
      <c r="HI1705" s="73"/>
      <c r="HJ1705" s="73"/>
      <c r="HK1705" s="73"/>
      <c r="HL1705" s="73"/>
      <c r="HM1705" s="73"/>
      <c r="HN1705" s="73"/>
      <c r="HO1705" s="73"/>
      <c r="HP1705" s="73"/>
      <c r="HQ1705" s="73"/>
      <c r="HR1705" s="73"/>
      <c r="HS1705" s="73"/>
      <c r="HT1705" s="73"/>
      <c r="HU1705" s="73"/>
      <c r="HV1705" s="73"/>
      <c r="HW1705" s="73"/>
      <c r="HX1705" s="73"/>
      <c r="HY1705" s="73"/>
      <c r="HZ1705" s="73"/>
      <c r="IA1705" s="73"/>
      <c r="IB1705" s="73"/>
      <c r="IC1705" s="73"/>
      <c r="ID1705" s="73"/>
      <c r="IE1705" s="73"/>
      <c r="IF1705" s="73"/>
      <c r="IG1705" s="73"/>
      <c r="IH1705" s="73"/>
      <c r="II1705" s="73"/>
      <c r="IJ1705" s="73"/>
      <c r="IK1705" s="73"/>
      <c r="IL1705" s="73"/>
      <c r="IM1705" s="73"/>
      <c r="IN1705" s="73"/>
      <c r="IO1705" s="73"/>
      <c r="IP1705" s="73"/>
      <c r="IQ1705" s="73"/>
      <c r="IR1705" s="73"/>
      <c r="IS1705" s="73"/>
      <c r="IT1705" s="73"/>
      <c r="IU1705" s="73"/>
      <c r="IV1705" s="73"/>
      <c r="IW1705" s="73"/>
      <c r="IX1705" s="73"/>
      <c r="IY1705" s="73"/>
      <c r="IZ1705" s="73"/>
      <c r="JA1705" s="73"/>
      <c r="JB1705" s="73"/>
      <c r="JC1705" s="73"/>
    </row>
    <row r="1706" spans="2:263" s="72" customFormat="1">
      <c r="B1706" s="73"/>
      <c r="C1706" s="73"/>
      <c r="D1706" s="73"/>
      <c r="E1706" s="73"/>
      <c r="F1706" s="73"/>
      <c r="G1706" s="73"/>
      <c r="H1706" s="73"/>
      <c r="I1706" s="73"/>
      <c r="J1706" s="73"/>
      <c r="K1706" s="73"/>
      <c r="L1706" s="73"/>
      <c r="M1706" s="73"/>
      <c r="N1706" s="73"/>
      <c r="O1706" s="73"/>
      <c r="P1706" s="73"/>
      <c r="Q1706" s="73"/>
      <c r="R1706" s="73"/>
      <c r="S1706" s="73"/>
      <c r="T1706" s="73"/>
      <c r="U1706" s="73"/>
      <c r="V1706" s="73"/>
      <c r="W1706" s="73"/>
      <c r="GL1706" s="73"/>
      <c r="GM1706" s="73"/>
      <c r="GN1706" s="73"/>
      <c r="GO1706" s="73"/>
      <c r="GP1706" s="73"/>
      <c r="GQ1706" s="73"/>
      <c r="GR1706" s="73"/>
      <c r="GS1706" s="73"/>
      <c r="GT1706" s="73"/>
      <c r="GU1706" s="73"/>
      <c r="GV1706" s="73"/>
      <c r="GW1706" s="73"/>
      <c r="GX1706" s="73"/>
      <c r="GY1706" s="73"/>
      <c r="GZ1706" s="73"/>
      <c r="HA1706" s="73"/>
      <c r="HB1706" s="73"/>
      <c r="HC1706" s="73"/>
      <c r="HD1706" s="73"/>
      <c r="HE1706" s="73"/>
      <c r="HF1706" s="73"/>
      <c r="HG1706" s="73"/>
      <c r="HH1706" s="73"/>
      <c r="HI1706" s="73"/>
      <c r="HJ1706" s="73"/>
      <c r="HK1706" s="73"/>
      <c r="HL1706" s="73"/>
      <c r="HM1706" s="73"/>
      <c r="HN1706" s="73"/>
      <c r="HO1706" s="73"/>
      <c r="HP1706" s="73"/>
      <c r="HQ1706" s="73"/>
      <c r="HR1706" s="73"/>
      <c r="HS1706" s="73"/>
      <c r="HT1706" s="73"/>
      <c r="HU1706" s="73"/>
      <c r="HV1706" s="73"/>
      <c r="HW1706" s="73"/>
      <c r="HX1706" s="73"/>
      <c r="HY1706" s="73"/>
      <c r="HZ1706" s="73"/>
      <c r="IA1706" s="73"/>
      <c r="IB1706" s="73"/>
      <c r="IC1706" s="73"/>
      <c r="ID1706" s="73"/>
      <c r="IE1706" s="73"/>
      <c r="IF1706" s="73"/>
      <c r="IG1706" s="73"/>
      <c r="IH1706" s="73"/>
      <c r="II1706" s="73"/>
      <c r="IJ1706" s="73"/>
      <c r="IK1706" s="73"/>
      <c r="IL1706" s="73"/>
      <c r="IM1706" s="73"/>
      <c r="IN1706" s="73"/>
      <c r="IO1706" s="73"/>
      <c r="IP1706" s="73"/>
      <c r="IQ1706" s="73"/>
      <c r="IR1706" s="73"/>
      <c r="IS1706" s="73"/>
      <c r="IT1706" s="73"/>
      <c r="IU1706" s="73"/>
      <c r="IV1706" s="73"/>
      <c r="IW1706" s="73"/>
      <c r="IX1706" s="73"/>
      <c r="IY1706" s="73"/>
      <c r="IZ1706" s="73"/>
      <c r="JA1706" s="73"/>
      <c r="JB1706" s="73"/>
      <c r="JC1706" s="73"/>
    </row>
    <row r="1707" spans="2:263" s="72" customFormat="1">
      <c r="B1707" s="73"/>
      <c r="C1707" s="73"/>
      <c r="D1707" s="73"/>
      <c r="E1707" s="73"/>
      <c r="F1707" s="73"/>
      <c r="G1707" s="73"/>
      <c r="H1707" s="73"/>
      <c r="I1707" s="73"/>
      <c r="J1707" s="73"/>
      <c r="K1707" s="73"/>
      <c r="L1707" s="73"/>
      <c r="M1707" s="73"/>
      <c r="N1707" s="73"/>
      <c r="O1707" s="73"/>
      <c r="P1707" s="73"/>
      <c r="Q1707" s="73"/>
      <c r="R1707" s="73"/>
      <c r="S1707" s="73"/>
      <c r="T1707" s="73"/>
      <c r="U1707" s="73"/>
      <c r="V1707" s="73"/>
      <c r="W1707" s="73"/>
      <c r="GL1707" s="73"/>
      <c r="GM1707" s="73"/>
      <c r="GN1707" s="73"/>
      <c r="GO1707" s="73"/>
      <c r="GP1707" s="73"/>
      <c r="GQ1707" s="73"/>
      <c r="GR1707" s="73"/>
      <c r="GS1707" s="73"/>
      <c r="GT1707" s="73"/>
      <c r="GU1707" s="73"/>
      <c r="GV1707" s="73"/>
      <c r="GW1707" s="73"/>
      <c r="GX1707" s="73"/>
      <c r="GY1707" s="73"/>
      <c r="GZ1707" s="73"/>
      <c r="HA1707" s="73"/>
      <c r="HB1707" s="73"/>
      <c r="HC1707" s="73"/>
      <c r="HD1707" s="73"/>
      <c r="HE1707" s="73"/>
      <c r="HF1707" s="73"/>
      <c r="HG1707" s="73"/>
      <c r="HH1707" s="73"/>
      <c r="HI1707" s="73"/>
      <c r="HJ1707" s="73"/>
      <c r="HK1707" s="73"/>
      <c r="HL1707" s="73"/>
      <c r="HM1707" s="73"/>
      <c r="HN1707" s="73"/>
      <c r="HO1707" s="73"/>
      <c r="HP1707" s="73"/>
      <c r="HQ1707" s="73"/>
      <c r="HR1707" s="73"/>
      <c r="HS1707" s="73"/>
      <c r="HT1707" s="73"/>
      <c r="HU1707" s="73"/>
      <c r="HV1707" s="73"/>
      <c r="HW1707" s="73"/>
      <c r="HX1707" s="73"/>
      <c r="HY1707" s="73"/>
      <c r="HZ1707" s="73"/>
      <c r="IA1707" s="73"/>
      <c r="IB1707" s="73"/>
      <c r="IC1707" s="73"/>
      <c r="ID1707" s="73"/>
      <c r="IE1707" s="73"/>
      <c r="IF1707" s="73"/>
      <c r="IG1707" s="73"/>
      <c r="IH1707" s="73"/>
      <c r="II1707" s="73"/>
      <c r="IJ1707" s="73"/>
      <c r="IK1707" s="73"/>
      <c r="IL1707" s="73"/>
      <c r="IM1707" s="73"/>
      <c r="IN1707" s="73"/>
      <c r="IO1707" s="73"/>
      <c r="IP1707" s="73"/>
      <c r="IQ1707" s="73"/>
      <c r="IR1707" s="73"/>
      <c r="IS1707" s="73"/>
      <c r="IT1707" s="73"/>
      <c r="IU1707" s="73"/>
      <c r="IV1707" s="73"/>
      <c r="IW1707" s="73"/>
      <c r="IX1707" s="73"/>
      <c r="IY1707" s="73"/>
      <c r="IZ1707" s="73"/>
      <c r="JA1707" s="73"/>
      <c r="JB1707" s="73"/>
      <c r="JC1707" s="73"/>
    </row>
    <row r="1708" spans="2:263" s="72" customFormat="1">
      <c r="B1708" s="73"/>
      <c r="C1708" s="73"/>
      <c r="D1708" s="73"/>
      <c r="E1708" s="73"/>
      <c r="F1708" s="73"/>
      <c r="G1708" s="73"/>
      <c r="H1708" s="73"/>
      <c r="I1708" s="73"/>
      <c r="J1708" s="73"/>
      <c r="K1708" s="73"/>
      <c r="L1708" s="73"/>
      <c r="M1708" s="73"/>
      <c r="N1708" s="73"/>
      <c r="O1708" s="73"/>
      <c r="P1708" s="73"/>
      <c r="Q1708" s="73"/>
      <c r="R1708" s="73"/>
      <c r="S1708" s="73"/>
      <c r="T1708" s="73"/>
      <c r="U1708" s="73"/>
      <c r="V1708" s="73"/>
      <c r="W1708" s="73"/>
      <c r="GL1708" s="73"/>
      <c r="GM1708" s="73"/>
      <c r="GN1708" s="73"/>
      <c r="GO1708" s="73"/>
      <c r="GP1708" s="73"/>
      <c r="GQ1708" s="73"/>
      <c r="GR1708" s="73"/>
      <c r="GS1708" s="73"/>
      <c r="GT1708" s="73"/>
      <c r="GU1708" s="73"/>
      <c r="GV1708" s="73"/>
      <c r="GW1708" s="73"/>
      <c r="GX1708" s="73"/>
      <c r="GY1708" s="73"/>
      <c r="GZ1708" s="73"/>
      <c r="HA1708" s="73"/>
      <c r="HB1708" s="73"/>
      <c r="HC1708" s="73"/>
      <c r="HD1708" s="73"/>
      <c r="HE1708" s="73"/>
      <c r="HF1708" s="73"/>
      <c r="HG1708" s="73"/>
      <c r="HH1708" s="73"/>
      <c r="HI1708" s="73"/>
      <c r="HJ1708" s="73"/>
      <c r="HK1708" s="73"/>
      <c r="HL1708" s="73"/>
      <c r="HM1708" s="73"/>
      <c r="HN1708" s="73"/>
      <c r="HO1708" s="73"/>
      <c r="HP1708" s="73"/>
      <c r="HQ1708" s="73"/>
      <c r="HR1708" s="73"/>
      <c r="HS1708" s="73"/>
      <c r="HT1708" s="73"/>
      <c r="HU1708" s="73"/>
      <c r="HV1708" s="73"/>
      <c r="HW1708" s="73"/>
      <c r="HX1708" s="73"/>
      <c r="HY1708" s="73"/>
      <c r="HZ1708" s="73"/>
      <c r="IA1708" s="73"/>
      <c r="IB1708" s="73"/>
      <c r="IC1708" s="73"/>
      <c r="ID1708" s="73"/>
      <c r="IE1708" s="73"/>
      <c r="IF1708" s="73"/>
      <c r="IG1708" s="73"/>
      <c r="IH1708" s="73"/>
      <c r="II1708" s="73"/>
      <c r="IJ1708" s="73"/>
      <c r="IK1708" s="73"/>
      <c r="IL1708" s="73"/>
      <c r="IM1708" s="73"/>
      <c r="IN1708" s="73"/>
      <c r="IO1708" s="73"/>
      <c r="IP1708" s="73"/>
      <c r="IQ1708" s="73"/>
      <c r="IR1708" s="73"/>
      <c r="IS1708" s="73"/>
      <c r="IT1708" s="73"/>
      <c r="IU1708" s="73"/>
      <c r="IV1708" s="73"/>
      <c r="IW1708" s="73"/>
      <c r="IX1708" s="73"/>
      <c r="IY1708" s="73"/>
      <c r="IZ1708" s="73"/>
      <c r="JA1708" s="73"/>
      <c r="JB1708" s="73"/>
      <c r="JC1708" s="73"/>
    </row>
    <row r="1709" spans="2:263" s="72" customFormat="1">
      <c r="B1709" s="73"/>
      <c r="C1709" s="73"/>
      <c r="D1709" s="73"/>
      <c r="E1709" s="73"/>
      <c r="F1709" s="73"/>
      <c r="G1709" s="73"/>
      <c r="H1709" s="73"/>
      <c r="I1709" s="73"/>
      <c r="J1709" s="73"/>
      <c r="K1709" s="73"/>
      <c r="L1709" s="73"/>
      <c r="M1709" s="73"/>
      <c r="N1709" s="73"/>
      <c r="O1709" s="73"/>
      <c r="P1709" s="73"/>
      <c r="Q1709" s="73"/>
      <c r="R1709" s="73"/>
      <c r="S1709" s="73"/>
      <c r="T1709" s="73"/>
      <c r="U1709" s="73"/>
      <c r="V1709" s="73"/>
      <c r="W1709" s="73"/>
      <c r="GL1709" s="73"/>
      <c r="GM1709" s="73"/>
      <c r="GN1709" s="73"/>
      <c r="GO1709" s="73"/>
      <c r="GP1709" s="73"/>
      <c r="GQ1709" s="73"/>
      <c r="GR1709" s="73"/>
      <c r="GS1709" s="73"/>
      <c r="GT1709" s="73"/>
      <c r="GU1709" s="73"/>
      <c r="GV1709" s="73"/>
      <c r="GW1709" s="73"/>
      <c r="GX1709" s="73"/>
      <c r="GY1709" s="73"/>
      <c r="GZ1709" s="73"/>
      <c r="HA1709" s="73"/>
      <c r="HB1709" s="73"/>
      <c r="HC1709" s="73"/>
      <c r="HD1709" s="73"/>
      <c r="HE1709" s="73"/>
      <c r="HF1709" s="73"/>
      <c r="HG1709" s="73"/>
      <c r="HH1709" s="73"/>
      <c r="HI1709" s="73"/>
      <c r="HJ1709" s="73"/>
      <c r="HK1709" s="73"/>
      <c r="HL1709" s="73"/>
      <c r="HM1709" s="73"/>
      <c r="HN1709" s="73"/>
      <c r="HO1709" s="73"/>
      <c r="HP1709" s="73"/>
      <c r="HQ1709" s="73"/>
      <c r="HR1709" s="73"/>
      <c r="HS1709" s="73"/>
      <c r="HT1709" s="73"/>
      <c r="HU1709" s="73"/>
      <c r="HV1709" s="73"/>
      <c r="HW1709" s="73"/>
      <c r="HX1709" s="73"/>
      <c r="HY1709" s="73"/>
      <c r="HZ1709" s="73"/>
      <c r="IA1709" s="73"/>
      <c r="IB1709" s="73"/>
      <c r="IC1709" s="73"/>
      <c r="ID1709" s="73"/>
      <c r="IE1709" s="73"/>
      <c r="IF1709" s="73"/>
      <c r="IG1709" s="73"/>
      <c r="IH1709" s="73"/>
      <c r="II1709" s="73"/>
      <c r="IJ1709" s="73"/>
      <c r="IK1709" s="73"/>
      <c r="IL1709" s="73"/>
      <c r="IM1709" s="73"/>
      <c r="IN1709" s="73"/>
      <c r="IO1709" s="73"/>
      <c r="IP1709" s="73"/>
      <c r="IQ1709" s="73"/>
      <c r="IR1709" s="73"/>
      <c r="IS1709" s="73"/>
      <c r="IT1709" s="73"/>
      <c r="IU1709" s="73"/>
      <c r="IV1709" s="73"/>
      <c r="IW1709" s="73"/>
      <c r="IX1709" s="73"/>
      <c r="IY1709" s="73"/>
      <c r="IZ1709" s="73"/>
      <c r="JA1709" s="73"/>
      <c r="JB1709" s="73"/>
      <c r="JC1709" s="73"/>
    </row>
    <row r="1710" spans="2:263" s="72" customFormat="1">
      <c r="B1710" s="73"/>
      <c r="C1710" s="73"/>
      <c r="D1710" s="73"/>
      <c r="E1710" s="73"/>
      <c r="F1710" s="73"/>
      <c r="G1710" s="73"/>
      <c r="H1710" s="73"/>
      <c r="I1710" s="73"/>
      <c r="J1710" s="73"/>
      <c r="K1710" s="73"/>
      <c r="L1710" s="73"/>
      <c r="M1710" s="73"/>
      <c r="N1710" s="73"/>
      <c r="O1710" s="73"/>
      <c r="P1710" s="73"/>
      <c r="Q1710" s="73"/>
      <c r="R1710" s="73"/>
      <c r="S1710" s="73"/>
      <c r="T1710" s="73"/>
      <c r="U1710" s="73"/>
      <c r="V1710" s="73"/>
      <c r="W1710" s="73"/>
      <c r="GL1710" s="73"/>
      <c r="GM1710" s="73"/>
      <c r="GN1710" s="73"/>
      <c r="GO1710" s="73"/>
      <c r="GP1710" s="73"/>
      <c r="GQ1710" s="73"/>
      <c r="GR1710" s="73"/>
      <c r="GS1710" s="73"/>
      <c r="GT1710" s="73"/>
      <c r="GU1710" s="73"/>
      <c r="GV1710" s="73"/>
      <c r="GW1710" s="73"/>
      <c r="GX1710" s="73"/>
      <c r="GY1710" s="73"/>
      <c r="GZ1710" s="73"/>
      <c r="HA1710" s="73"/>
      <c r="HB1710" s="73"/>
      <c r="HC1710" s="73"/>
      <c r="HD1710" s="73"/>
      <c r="HE1710" s="73"/>
      <c r="HF1710" s="73"/>
      <c r="HG1710" s="73"/>
      <c r="HH1710" s="73"/>
      <c r="HI1710" s="73"/>
      <c r="HJ1710" s="73"/>
      <c r="HK1710" s="73"/>
      <c r="HL1710" s="73"/>
      <c r="HM1710" s="73"/>
      <c r="HN1710" s="73"/>
      <c r="HO1710" s="73"/>
      <c r="HP1710" s="73"/>
      <c r="HQ1710" s="73"/>
      <c r="HR1710" s="73"/>
      <c r="HS1710" s="73"/>
      <c r="HT1710" s="73"/>
      <c r="HU1710" s="73"/>
      <c r="HV1710" s="73"/>
      <c r="HW1710" s="73"/>
      <c r="HX1710" s="73"/>
      <c r="HY1710" s="73"/>
      <c r="HZ1710" s="73"/>
      <c r="IA1710" s="73"/>
      <c r="IB1710" s="73"/>
      <c r="IC1710" s="73"/>
      <c r="ID1710" s="73"/>
      <c r="IE1710" s="73"/>
      <c r="IF1710" s="73"/>
      <c r="IG1710" s="73"/>
      <c r="IH1710" s="73"/>
      <c r="II1710" s="73"/>
      <c r="IJ1710" s="73"/>
      <c r="IK1710" s="73"/>
      <c r="IL1710" s="73"/>
      <c r="IM1710" s="73"/>
      <c r="IN1710" s="73"/>
      <c r="IO1710" s="73"/>
      <c r="IP1710" s="73"/>
      <c r="IQ1710" s="73"/>
      <c r="IR1710" s="73"/>
      <c r="IS1710" s="73"/>
      <c r="IT1710" s="73"/>
      <c r="IU1710" s="73"/>
      <c r="IV1710" s="73"/>
      <c r="IW1710" s="73"/>
      <c r="IX1710" s="73"/>
      <c r="IY1710" s="73"/>
      <c r="IZ1710" s="73"/>
      <c r="JA1710" s="73"/>
      <c r="JB1710" s="73"/>
      <c r="JC1710" s="73"/>
    </row>
    <row r="1711" spans="2:263" s="72" customFormat="1">
      <c r="B1711" s="73"/>
      <c r="C1711" s="73"/>
      <c r="D1711" s="73"/>
      <c r="E1711" s="73"/>
      <c r="F1711" s="73"/>
      <c r="G1711" s="73"/>
      <c r="H1711" s="73"/>
      <c r="I1711" s="73"/>
      <c r="J1711" s="73"/>
      <c r="K1711" s="73"/>
      <c r="L1711" s="73"/>
      <c r="M1711" s="73"/>
      <c r="N1711" s="73"/>
      <c r="O1711" s="73"/>
      <c r="P1711" s="73"/>
      <c r="Q1711" s="73"/>
      <c r="R1711" s="73"/>
      <c r="S1711" s="73"/>
      <c r="T1711" s="73"/>
      <c r="U1711" s="73"/>
      <c r="V1711" s="73"/>
      <c r="W1711" s="73"/>
      <c r="GL1711" s="73"/>
      <c r="GM1711" s="73"/>
      <c r="GN1711" s="73"/>
      <c r="GO1711" s="73"/>
      <c r="GP1711" s="73"/>
      <c r="GQ1711" s="73"/>
      <c r="GR1711" s="73"/>
      <c r="GS1711" s="73"/>
      <c r="GT1711" s="73"/>
      <c r="GU1711" s="73"/>
      <c r="GV1711" s="73"/>
      <c r="GW1711" s="73"/>
      <c r="GX1711" s="73"/>
      <c r="GY1711" s="73"/>
      <c r="GZ1711" s="73"/>
      <c r="HA1711" s="73"/>
      <c r="HB1711" s="73"/>
      <c r="HC1711" s="73"/>
      <c r="HD1711" s="73"/>
      <c r="HE1711" s="73"/>
      <c r="HF1711" s="73"/>
      <c r="HG1711" s="73"/>
      <c r="HH1711" s="73"/>
      <c r="HI1711" s="73"/>
      <c r="HJ1711" s="73"/>
      <c r="HK1711" s="73"/>
      <c r="HL1711" s="73"/>
      <c r="HM1711" s="73"/>
      <c r="HN1711" s="73"/>
      <c r="HO1711" s="73"/>
      <c r="HP1711" s="73"/>
      <c r="HQ1711" s="73"/>
      <c r="HR1711" s="73"/>
      <c r="HS1711" s="73"/>
      <c r="HT1711" s="73"/>
      <c r="HU1711" s="73"/>
      <c r="HV1711" s="73"/>
      <c r="HW1711" s="73"/>
      <c r="HX1711" s="73"/>
      <c r="HY1711" s="73"/>
      <c r="HZ1711" s="73"/>
      <c r="IA1711" s="73"/>
      <c r="IB1711" s="73"/>
      <c r="IC1711" s="73"/>
      <c r="ID1711" s="73"/>
      <c r="IE1711" s="73"/>
      <c r="IF1711" s="73"/>
      <c r="IG1711" s="73"/>
      <c r="IH1711" s="73"/>
      <c r="II1711" s="73"/>
      <c r="IJ1711" s="73"/>
      <c r="IK1711" s="73"/>
      <c r="IL1711" s="73"/>
      <c r="IM1711" s="73"/>
      <c r="IN1711" s="73"/>
      <c r="IO1711" s="73"/>
      <c r="IP1711" s="73"/>
      <c r="IQ1711" s="73"/>
      <c r="IR1711" s="73"/>
      <c r="IS1711" s="73"/>
      <c r="IT1711" s="73"/>
      <c r="IU1711" s="73"/>
      <c r="IV1711" s="73"/>
      <c r="IW1711" s="73"/>
      <c r="IX1711" s="73"/>
      <c r="IY1711" s="73"/>
      <c r="IZ1711" s="73"/>
      <c r="JA1711" s="73"/>
      <c r="JB1711" s="73"/>
      <c r="JC1711" s="73"/>
    </row>
    <row r="1712" spans="2:263" s="72" customFormat="1">
      <c r="B1712" s="73"/>
      <c r="C1712" s="73"/>
      <c r="D1712" s="73"/>
      <c r="E1712" s="73"/>
      <c r="F1712" s="73"/>
      <c r="G1712" s="73"/>
      <c r="H1712" s="73"/>
      <c r="I1712" s="73"/>
      <c r="J1712" s="73"/>
      <c r="K1712" s="73"/>
      <c r="L1712" s="73"/>
      <c r="M1712" s="73"/>
      <c r="N1712" s="73"/>
      <c r="O1712" s="73"/>
      <c r="P1712" s="73"/>
      <c r="Q1712" s="73"/>
      <c r="R1712" s="73"/>
      <c r="S1712" s="73"/>
      <c r="T1712" s="73"/>
      <c r="U1712" s="73"/>
      <c r="V1712" s="73"/>
      <c r="W1712" s="73"/>
      <c r="GL1712" s="73"/>
      <c r="GM1712" s="73"/>
      <c r="GN1712" s="73"/>
      <c r="GO1712" s="73"/>
      <c r="GP1712" s="73"/>
      <c r="GQ1712" s="73"/>
      <c r="GR1712" s="73"/>
      <c r="GS1712" s="73"/>
      <c r="GT1712" s="73"/>
      <c r="GU1712" s="73"/>
      <c r="GV1712" s="73"/>
      <c r="GW1712" s="73"/>
      <c r="GX1712" s="73"/>
      <c r="GY1712" s="73"/>
      <c r="GZ1712" s="73"/>
      <c r="HA1712" s="73"/>
      <c r="HB1712" s="73"/>
      <c r="HC1712" s="73"/>
      <c r="HD1712" s="73"/>
      <c r="HE1712" s="73"/>
      <c r="HF1712" s="73"/>
      <c r="HG1712" s="73"/>
      <c r="HH1712" s="73"/>
      <c r="HI1712" s="73"/>
      <c r="HJ1712" s="73"/>
      <c r="HK1712" s="73"/>
      <c r="HL1712" s="73"/>
      <c r="HM1712" s="73"/>
      <c r="HN1712" s="73"/>
      <c r="HO1712" s="73"/>
      <c r="HP1712" s="73"/>
      <c r="HQ1712" s="73"/>
      <c r="HR1712" s="73"/>
      <c r="HS1712" s="73"/>
      <c r="HT1712" s="73"/>
      <c r="HU1712" s="73"/>
      <c r="HV1712" s="73"/>
      <c r="HW1712" s="73"/>
      <c r="HX1712" s="73"/>
      <c r="HY1712" s="73"/>
      <c r="HZ1712" s="73"/>
      <c r="IA1712" s="73"/>
      <c r="IB1712" s="73"/>
      <c r="IC1712" s="73"/>
      <c r="ID1712" s="73"/>
      <c r="IE1712" s="73"/>
      <c r="IF1712" s="73"/>
      <c r="IG1712" s="73"/>
      <c r="IH1712" s="73"/>
      <c r="II1712" s="73"/>
      <c r="IJ1712" s="73"/>
      <c r="IK1712" s="73"/>
      <c r="IL1712" s="73"/>
      <c r="IM1712" s="73"/>
      <c r="IN1712" s="73"/>
      <c r="IO1712" s="73"/>
      <c r="IP1712" s="73"/>
      <c r="IQ1712" s="73"/>
      <c r="IR1712" s="73"/>
      <c r="IS1712" s="73"/>
      <c r="IT1712" s="73"/>
      <c r="IU1712" s="73"/>
      <c r="IV1712" s="73"/>
      <c r="IW1712" s="73"/>
      <c r="IX1712" s="73"/>
      <c r="IY1712" s="73"/>
      <c r="IZ1712" s="73"/>
      <c r="JA1712" s="73"/>
      <c r="JB1712" s="73"/>
      <c r="JC1712" s="73"/>
    </row>
    <row r="1713" spans="2:263" s="72" customFormat="1">
      <c r="B1713" s="73"/>
      <c r="C1713" s="73"/>
      <c r="D1713" s="73"/>
      <c r="E1713" s="73"/>
      <c r="F1713" s="73"/>
      <c r="G1713" s="73"/>
      <c r="H1713" s="73"/>
      <c r="I1713" s="73"/>
      <c r="J1713" s="73"/>
      <c r="K1713" s="73"/>
      <c r="L1713" s="73"/>
      <c r="M1713" s="73"/>
      <c r="N1713" s="73"/>
      <c r="O1713" s="73"/>
      <c r="P1713" s="73"/>
      <c r="Q1713" s="73"/>
      <c r="R1713" s="73"/>
      <c r="S1713" s="73"/>
      <c r="T1713" s="73"/>
      <c r="U1713" s="73"/>
      <c r="V1713" s="73"/>
      <c r="W1713" s="73"/>
      <c r="GL1713" s="73"/>
      <c r="GM1713" s="73"/>
      <c r="GN1713" s="73"/>
      <c r="GO1713" s="73"/>
      <c r="GP1713" s="73"/>
      <c r="GQ1713" s="73"/>
      <c r="GR1713" s="73"/>
      <c r="GS1713" s="73"/>
      <c r="GT1713" s="73"/>
      <c r="GU1713" s="73"/>
      <c r="GV1713" s="73"/>
      <c r="GW1713" s="73"/>
      <c r="GX1713" s="73"/>
      <c r="GY1713" s="73"/>
      <c r="GZ1713" s="73"/>
      <c r="HA1713" s="73"/>
      <c r="HB1713" s="73"/>
      <c r="HC1713" s="73"/>
      <c r="HD1713" s="73"/>
      <c r="HE1713" s="73"/>
      <c r="HF1713" s="73"/>
      <c r="HG1713" s="73"/>
      <c r="HH1713" s="73"/>
      <c r="HI1713" s="73"/>
      <c r="HJ1713" s="73"/>
      <c r="HK1713" s="73"/>
      <c r="HL1713" s="73"/>
      <c r="HM1713" s="73"/>
      <c r="HN1713" s="73"/>
      <c r="HO1713" s="73"/>
      <c r="HP1713" s="73"/>
      <c r="HQ1713" s="73"/>
      <c r="HR1713" s="73"/>
      <c r="HS1713" s="73"/>
      <c r="HT1713" s="73"/>
      <c r="HU1713" s="73"/>
      <c r="HV1713" s="73"/>
      <c r="HW1713" s="73"/>
      <c r="HX1713" s="73"/>
      <c r="HY1713" s="73"/>
      <c r="HZ1713" s="73"/>
      <c r="IA1713" s="73"/>
      <c r="IB1713" s="73"/>
      <c r="IC1713" s="73"/>
      <c r="ID1713" s="73"/>
      <c r="IE1713" s="73"/>
      <c r="IF1713" s="73"/>
      <c r="IG1713" s="73"/>
      <c r="IH1713" s="73"/>
      <c r="II1713" s="73"/>
      <c r="IJ1713" s="73"/>
      <c r="IK1713" s="73"/>
      <c r="IL1713" s="73"/>
      <c r="IM1713" s="73"/>
      <c r="IN1713" s="73"/>
      <c r="IO1713" s="73"/>
      <c r="IP1713" s="73"/>
      <c r="IQ1713" s="73"/>
      <c r="IR1713" s="73"/>
      <c r="IS1713" s="73"/>
      <c r="IT1713" s="73"/>
      <c r="IU1713" s="73"/>
      <c r="IV1713" s="73"/>
      <c r="IW1713" s="73"/>
      <c r="IX1713" s="73"/>
      <c r="IY1713" s="73"/>
      <c r="IZ1713" s="73"/>
      <c r="JA1713" s="73"/>
      <c r="JB1713" s="73"/>
      <c r="JC1713" s="73"/>
    </row>
    <row r="1714" spans="2:263" s="72" customFormat="1">
      <c r="B1714" s="73"/>
      <c r="C1714" s="73"/>
      <c r="D1714" s="73"/>
      <c r="E1714" s="73"/>
      <c r="F1714" s="73"/>
      <c r="G1714" s="73"/>
      <c r="H1714" s="73"/>
      <c r="I1714" s="73"/>
      <c r="J1714" s="73"/>
      <c r="K1714" s="73"/>
      <c r="L1714" s="73"/>
      <c r="M1714" s="73"/>
      <c r="N1714" s="73"/>
      <c r="O1714" s="73"/>
      <c r="P1714" s="73"/>
      <c r="Q1714" s="73"/>
      <c r="R1714" s="73"/>
      <c r="S1714" s="73"/>
      <c r="T1714" s="73"/>
      <c r="U1714" s="73"/>
      <c r="V1714" s="73"/>
      <c r="W1714" s="73"/>
      <c r="GL1714" s="73"/>
      <c r="GM1714" s="73"/>
      <c r="GN1714" s="73"/>
      <c r="GO1714" s="73"/>
      <c r="GP1714" s="73"/>
      <c r="GQ1714" s="73"/>
      <c r="GR1714" s="73"/>
      <c r="GS1714" s="73"/>
      <c r="GT1714" s="73"/>
      <c r="GU1714" s="73"/>
      <c r="GV1714" s="73"/>
      <c r="GW1714" s="73"/>
      <c r="GX1714" s="73"/>
      <c r="GY1714" s="73"/>
      <c r="GZ1714" s="73"/>
      <c r="HA1714" s="73"/>
      <c r="HB1714" s="73"/>
      <c r="HC1714" s="73"/>
      <c r="HD1714" s="73"/>
      <c r="HE1714" s="73"/>
      <c r="HF1714" s="73"/>
      <c r="HG1714" s="73"/>
      <c r="HH1714" s="73"/>
      <c r="HI1714" s="73"/>
      <c r="HJ1714" s="73"/>
      <c r="HK1714" s="73"/>
      <c r="HL1714" s="73"/>
      <c r="HM1714" s="73"/>
      <c r="HN1714" s="73"/>
      <c r="HO1714" s="73"/>
      <c r="HP1714" s="73"/>
      <c r="HQ1714" s="73"/>
      <c r="HR1714" s="73"/>
      <c r="HS1714" s="73"/>
      <c r="HT1714" s="73"/>
      <c r="HU1714" s="73"/>
      <c r="HV1714" s="73"/>
      <c r="HW1714" s="73"/>
      <c r="HX1714" s="73"/>
      <c r="HY1714" s="73"/>
      <c r="HZ1714" s="73"/>
      <c r="IA1714" s="73"/>
      <c r="IB1714" s="73"/>
      <c r="IC1714" s="73"/>
      <c r="ID1714" s="73"/>
      <c r="IE1714" s="73"/>
      <c r="IF1714" s="73"/>
      <c r="IG1714" s="73"/>
      <c r="IH1714" s="73"/>
      <c r="II1714" s="73"/>
      <c r="IJ1714" s="73"/>
      <c r="IK1714" s="73"/>
      <c r="IL1714" s="73"/>
      <c r="IM1714" s="73"/>
      <c r="IN1714" s="73"/>
      <c r="IO1714" s="73"/>
      <c r="IP1714" s="73"/>
      <c r="IQ1714" s="73"/>
      <c r="IR1714" s="73"/>
      <c r="IS1714" s="73"/>
      <c r="IT1714" s="73"/>
      <c r="IU1714" s="73"/>
      <c r="IV1714" s="73"/>
      <c r="IW1714" s="73"/>
      <c r="IX1714" s="73"/>
      <c r="IY1714" s="73"/>
      <c r="IZ1714" s="73"/>
      <c r="JA1714" s="73"/>
      <c r="JB1714" s="73"/>
      <c r="JC1714" s="73"/>
    </row>
    <row r="1715" spans="2:263" s="72" customFormat="1">
      <c r="B1715" s="73"/>
      <c r="C1715" s="73"/>
      <c r="D1715" s="73"/>
      <c r="E1715" s="73"/>
      <c r="F1715" s="73"/>
      <c r="G1715" s="73"/>
      <c r="H1715" s="73"/>
      <c r="I1715" s="73"/>
      <c r="J1715" s="73"/>
      <c r="K1715" s="73"/>
      <c r="L1715" s="73"/>
      <c r="M1715" s="73"/>
      <c r="N1715" s="73"/>
      <c r="O1715" s="73"/>
      <c r="P1715" s="73"/>
      <c r="Q1715" s="73"/>
      <c r="R1715" s="73"/>
      <c r="S1715" s="73"/>
      <c r="T1715" s="73"/>
      <c r="U1715" s="73"/>
      <c r="V1715" s="73"/>
      <c r="W1715" s="73"/>
      <c r="GL1715" s="73"/>
      <c r="GM1715" s="73"/>
      <c r="GN1715" s="73"/>
      <c r="GO1715" s="73"/>
      <c r="GP1715" s="73"/>
      <c r="GQ1715" s="73"/>
      <c r="GR1715" s="73"/>
      <c r="GS1715" s="73"/>
      <c r="GT1715" s="73"/>
      <c r="GU1715" s="73"/>
      <c r="GV1715" s="73"/>
      <c r="GW1715" s="73"/>
      <c r="GX1715" s="73"/>
      <c r="GY1715" s="73"/>
      <c r="GZ1715" s="73"/>
      <c r="HA1715" s="73"/>
      <c r="HB1715" s="73"/>
      <c r="HC1715" s="73"/>
      <c r="HD1715" s="73"/>
      <c r="HE1715" s="73"/>
      <c r="HF1715" s="73"/>
      <c r="HG1715" s="73"/>
      <c r="HH1715" s="73"/>
      <c r="HI1715" s="73"/>
      <c r="HJ1715" s="73"/>
      <c r="HK1715" s="73"/>
      <c r="HL1715" s="73"/>
      <c r="HM1715" s="73"/>
      <c r="HN1715" s="73"/>
      <c r="HO1715" s="73"/>
      <c r="HP1715" s="73"/>
      <c r="HQ1715" s="73"/>
      <c r="HR1715" s="73"/>
      <c r="HS1715" s="73"/>
      <c r="HT1715" s="73"/>
      <c r="HU1715" s="73"/>
      <c r="HV1715" s="73"/>
      <c r="HW1715" s="73"/>
      <c r="HX1715" s="73"/>
      <c r="HY1715" s="73"/>
      <c r="HZ1715" s="73"/>
      <c r="IA1715" s="73"/>
      <c r="IB1715" s="73"/>
      <c r="IC1715" s="73"/>
      <c r="ID1715" s="73"/>
      <c r="IE1715" s="73"/>
      <c r="IF1715" s="73"/>
      <c r="IG1715" s="73"/>
      <c r="IH1715" s="73"/>
      <c r="II1715" s="73"/>
      <c r="IJ1715" s="73"/>
      <c r="IK1715" s="73"/>
      <c r="IL1715" s="73"/>
      <c r="IM1715" s="73"/>
      <c r="IN1715" s="73"/>
      <c r="IO1715" s="73"/>
      <c r="IP1715" s="73"/>
      <c r="IQ1715" s="73"/>
      <c r="IR1715" s="73"/>
      <c r="IS1715" s="73"/>
      <c r="IT1715" s="73"/>
      <c r="IU1715" s="73"/>
      <c r="IV1715" s="73"/>
      <c r="IW1715" s="73"/>
      <c r="IX1715" s="73"/>
      <c r="IY1715" s="73"/>
      <c r="IZ1715" s="73"/>
      <c r="JA1715" s="73"/>
      <c r="JB1715" s="73"/>
      <c r="JC1715" s="73"/>
    </row>
    <row r="1716" spans="2:263" s="72" customFormat="1">
      <c r="B1716" s="73"/>
      <c r="C1716" s="73"/>
      <c r="D1716" s="73"/>
      <c r="E1716" s="73"/>
      <c r="F1716" s="73"/>
      <c r="G1716" s="73"/>
      <c r="H1716" s="73"/>
      <c r="I1716" s="73"/>
      <c r="J1716" s="73"/>
      <c r="K1716" s="73"/>
      <c r="L1716" s="73"/>
      <c r="M1716" s="73"/>
      <c r="N1716" s="73"/>
      <c r="O1716" s="73"/>
      <c r="P1716" s="73"/>
      <c r="Q1716" s="73"/>
      <c r="R1716" s="73"/>
      <c r="S1716" s="73"/>
      <c r="T1716" s="73"/>
      <c r="U1716" s="73"/>
      <c r="V1716" s="73"/>
      <c r="W1716" s="73"/>
      <c r="GL1716" s="73"/>
      <c r="GM1716" s="73"/>
      <c r="GN1716" s="73"/>
      <c r="GO1716" s="73"/>
      <c r="GP1716" s="73"/>
      <c r="GQ1716" s="73"/>
      <c r="GR1716" s="73"/>
      <c r="GS1716" s="73"/>
      <c r="GT1716" s="73"/>
      <c r="GU1716" s="73"/>
      <c r="GV1716" s="73"/>
      <c r="GW1716" s="73"/>
      <c r="GX1716" s="73"/>
      <c r="GY1716" s="73"/>
      <c r="GZ1716" s="73"/>
      <c r="HA1716" s="73"/>
      <c r="HB1716" s="73"/>
      <c r="HC1716" s="73"/>
      <c r="HD1716" s="73"/>
      <c r="HE1716" s="73"/>
      <c r="HF1716" s="73"/>
      <c r="HG1716" s="73"/>
      <c r="HH1716" s="73"/>
      <c r="HI1716" s="73"/>
      <c r="HJ1716" s="73"/>
      <c r="HK1716" s="73"/>
      <c r="HL1716" s="73"/>
      <c r="HM1716" s="73"/>
      <c r="HN1716" s="73"/>
      <c r="HO1716" s="73"/>
      <c r="HP1716" s="73"/>
      <c r="HQ1716" s="73"/>
      <c r="HR1716" s="73"/>
      <c r="HS1716" s="73"/>
      <c r="HT1716" s="73"/>
      <c r="HU1716" s="73"/>
      <c r="HV1716" s="73"/>
      <c r="HW1716" s="73"/>
      <c r="HX1716" s="73"/>
      <c r="HY1716" s="73"/>
      <c r="HZ1716" s="73"/>
      <c r="IA1716" s="73"/>
      <c r="IB1716" s="73"/>
      <c r="IC1716" s="73"/>
      <c r="ID1716" s="73"/>
      <c r="IE1716" s="73"/>
      <c r="IF1716" s="73"/>
      <c r="IG1716" s="73"/>
      <c r="IH1716" s="73"/>
      <c r="II1716" s="73"/>
      <c r="IJ1716" s="73"/>
      <c r="IK1716" s="73"/>
      <c r="IL1716" s="73"/>
      <c r="IM1716" s="73"/>
      <c r="IN1716" s="73"/>
      <c r="IO1716" s="73"/>
      <c r="IP1716" s="73"/>
      <c r="IQ1716" s="73"/>
      <c r="IR1716" s="73"/>
      <c r="IS1716" s="73"/>
      <c r="IT1716" s="73"/>
      <c r="IU1716" s="73"/>
      <c r="IV1716" s="73"/>
      <c r="IW1716" s="73"/>
      <c r="IX1716" s="73"/>
      <c r="IY1716" s="73"/>
      <c r="IZ1716" s="73"/>
      <c r="JA1716" s="73"/>
      <c r="JB1716" s="73"/>
      <c r="JC1716" s="73"/>
    </row>
    <row r="1717" spans="2:263" s="72" customFormat="1">
      <c r="B1717" s="73"/>
      <c r="C1717" s="73"/>
      <c r="D1717" s="73"/>
      <c r="E1717" s="73"/>
      <c r="F1717" s="73"/>
      <c r="G1717" s="73"/>
      <c r="H1717" s="73"/>
      <c r="I1717" s="73"/>
      <c r="J1717" s="73"/>
      <c r="K1717" s="73"/>
      <c r="L1717" s="73"/>
      <c r="M1717" s="73"/>
      <c r="N1717" s="73"/>
      <c r="O1717" s="73"/>
      <c r="P1717" s="73"/>
      <c r="Q1717" s="73"/>
      <c r="R1717" s="73"/>
      <c r="S1717" s="73"/>
      <c r="T1717" s="73"/>
      <c r="U1717" s="73"/>
      <c r="V1717" s="73"/>
      <c r="W1717" s="73"/>
      <c r="GL1717" s="73"/>
      <c r="GM1717" s="73"/>
      <c r="GN1717" s="73"/>
      <c r="GO1717" s="73"/>
      <c r="GP1717" s="73"/>
      <c r="GQ1717" s="73"/>
      <c r="GR1717" s="73"/>
      <c r="GS1717" s="73"/>
      <c r="GT1717" s="73"/>
      <c r="GU1717" s="73"/>
      <c r="GV1717" s="73"/>
      <c r="GW1717" s="73"/>
      <c r="GX1717" s="73"/>
      <c r="GY1717" s="73"/>
      <c r="GZ1717" s="73"/>
      <c r="HA1717" s="73"/>
      <c r="HB1717" s="73"/>
      <c r="HC1717" s="73"/>
      <c r="HD1717" s="73"/>
      <c r="HE1717" s="73"/>
      <c r="HF1717" s="73"/>
      <c r="HG1717" s="73"/>
      <c r="HH1717" s="73"/>
      <c r="HI1717" s="73"/>
      <c r="HJ1717" s="73"/>
      <c r="HK1717" s="73"/>
      <c r="HL1717" s="73"/>
      <c r="HM1717" s="73"/>
      <c r="HN1717" s="73"/>
      <c r="HO1717" s="73"/>
      <c r="HP1717" s="73"/>
      <c r="HQ1717" s="73"/>
      <c r="HR1717" s="73"/>
      <c r="HS1717" s="73"/>
      <c r="HT1717" s="73"/>
      <c r="HU1717" s="73"/>
      <c r="HV1717" s="73"/>
      <c r="HW1717" s="73"/>
      <c r="HX1717" s="73"/>
      <c r="HY1717" s="73"/>
      <c r="HZ1717" s="73"/>
      <c r="IA1717" s="73"/>
      <c r="IB1717" s="73"/>
      <c r="IC1717" s="73"/>
      <c r="ID1717" s="73"/>
      <c r="IE1717" s="73"/>
      <c r="IF1717" s="73"/>
      <c r="IG1717" s="73"/>
      <c r="IH1717" s="73"/>
      <c r="II1717" s="73"/>
      <c r="IJ1717" s="73"/>
      <c r="IK1717" s="73"/>
      <c r="IL1717" s="73"/>
      <c r="IM1717" s="73"/>
      <c r="IN1717" s="73"/>
      <c r="IO1717" s="73"/>
      <c r="IP1717" s="73"/>
      <c r="IQ1717" s="73"/>
      <c r="IR1717" s="73"/>
      <c r="IS1717" s="73"/>
      <c r="IT1717" s="73"/>
      <c r="IU1717" s="73"/>
      <c r="IV1717" s="73"/>
      <c r="IW1717" s="73"/>
      <c r="IX1717" s="73"/>
      <c r="IY1717" s="73"/>
      <c r="IZ1717" s="73"/>
      <c r="JA1717" s="73"/>
      <c r="JB1717" s="73"/>
      <c r="JC1717" s="73"/>
    </row>
    <row r="1718" spans="2:263" s="72" customFormat="1">
      <c r="B1718" s="73"/>
      <c r="C1718" s="73"/>
      <c r="D1718" s="73"/>
      <c r="E1718" s="73"/>
      <c r="F1718" s="73"/>
      <c r="G1718" s="73"/>
      <c r="H1718" s="73"/>
      <c r="I1718" s="73"/>
      <c r="J1718" s="73"/>
      <c r="K1718" s="73"/>
      <c r="L1718" s="73"/>
      <c r="M1718" s="73"/>
      <c r="N1718" s="73"/>
      <c r="O1718" s="73"/>
      <c r="P1718" s="73"/>
      <c r="Q1718" s="73"/>
      <c r="R1718" s="73"/>
      <c r="S1718" s="73"/>
      <c r="T1718" s="73"/>
      <c r="U1718" s="73"/>
      <c r="V1718" s="73"/>
      <c r="W1718" s="73"/>
      <c r="GL1718" s="73"/>
      <c r="GM1718" s="73"/>
      <c r="GN1718" s="73"/>
      <c r="GO1718" s="73"/>
      <c r="GP1718" s="73"/>
      <c r="GQ1718" s="73"/>
      <c r="GR1718" s="73"/>
      <c r="GS1718" s="73"/>
      <c r="GT1718" s="73"/>
      <c r="GU1718" s="73"/>
      <c r="GV1718" s="73"/>
      <c r="GW1718" s="73"/>
      <c r="GX1718" s="73"/>
      <c r="GY1718" s="73"/>
      <c r="GZ1718" s="73"/>
      <c r="HA1718" s="73"/>
      <c r="HB1718" s="73"/>
      <c r="HC1718" s="73"/>
      <c r="HD1718" s="73"/>
      <c r="HE1718" s="73"/>
      <c r="HF1718" s="73"/>
      <c r="HG1718" s="73"/>
      <c r="HH1718" s="73"/>
      <c r="HI1718" s="73"/>
      <c r="HJ1718" s="73"/>
      <c r="HK1718" s="73"/>
      <c r="HL1718" s="73"/>
      <c r="HM1718" s="73"/>
      <c r="HN1718" s="73"/>
      <c r="HO1718" s="73"/>
      <c r="HP1718" s="73"/>
      <c r="HQ1718" s="73"/>
      <c r="HR1718" s="73"/>
      <c r="HS1718" s="73"/>
      <c r="HT1718" s="73"/>
      <c r="HU1718" s="73"/>
      <c r="HV1718" s="73"/>
      <c r="HW1718" s="73"/>
      <c r="HX1718" s="73"/>
      <c r="HY1718" s="73"/>
      <c r="HZ1718" s="73"/>
      <c r="IA1718" s="73"/>
      <c r="IB1718" s="73"/>
      <c r="IC1718" s="73"/>
      <c r="ID1718" s="73"/>
      <c r="IE1718" s="73"/>
      <c r="IF1718" s="73"/>
      <c r="IG1718" s="73"/>
      <c r="IH1718" s="73"/>
      <c r="II1718" s="73"/>
      <c r="IJ1718" s="73"/>
      <c r="IK1718" s="73"/>
      <c r="IL1718" s="73"/>
      <c r="IM1718" s="73"/>
      <c r="IN1718" s="73"/>
      <c r="IO1718" s="73"/>
      <c r="IP1718" s="73"/>
      <c r="IQ1718" s="73"/>
      <c r="IR1718" s="73"/>
      <c r="IS1718" s="73"/>
      <c r="IT1718" s="73"/>
      <c r="IU1718" s="73"/>
      <c r="IV1718" s="73"/>
      <c r="IW1718" s="73"/>
      <c r="IX1718" s="73"/>
      <c r="IY1718" s="73"/>
      <c r="IZ1718" s="73"/>
      <c r="JA1718" s="73"/>
      <c r="JB1718" s="73"/>
      <c r="JC1718" s="73"/>
    </row>
    <row r="1719" spans="2:263" s="72" customFormat="1">
      <c r="B1719" s="73"/>
      <c r="C1719" s="73"/>
      <c r="D1719" s="73"/>
      <c r="E1719" s="73"/>
      <c r="F1719" s="73"/>
      <c r="G1719" s="73"/>
      <c r="H1719" s="73"/>
      <c r="I1719" s="73"/>
      <c r="J1719" s="73"/>
      <c r="K1719" s="73"/>
      <c r="L1719" s="73"/>
      <c r="M1719" s="73"/>
      <c r="N1719" s="73"/>
      <c r="O1719" s="73"/>
      <c r="P1719" s="73"/>
      <c r="Q1719" s="73"/>
      <c r="R1719" s="73"/>
      <c r="S1719" s="73"/>
      <c r="T1719" s="73"/>
      <c r="U1719" s="73"/>
      <c r="V1719" s="73"/>
      <c r="W1719" s="73"/>
      <c r="GL1719" s="73"/>
      <c r="GM1719" s="73"/>
      <c r="GN1719" s="73"/>
      <c r="GO1719" s="73"/>
      <c r="GP1719" s="73"/>
      <c r="GQ1719" s="73"/>
      <c r="GR1719" s="73"/>
      <c r="GS1719" s="73"/>
      <c r="GT1719" s="73"/>
      <c r="GU1719" s="73"/>
      <c r="GV1719" s="73"/>
      <c r="GW1719" s="73"/>
      <c r="GX1719" s="73"/>
      <c r="GY1719" s="73"/>
      <c r="GZ1719" s="73"/>
      <c r="HA1719" s="73"/>
      <c r="HB1719" s="73"/>
      <c r="HC1719" s="73"/>
      <c r="HD1719" s="73"/>
      <c r="HE1719" s="73"/>
      <c r="HF1719" s="73"/>
      <c r="HG1719" s="73"/>
      <c r="HH1719" s="73"/>
      <c r="HI1719" s="73"/>
      <c r="HJ1719" s="73"/>
      <c r="HK1719" s="73"/>
      <c r="HL1719" s="73"/>
      <c r="HM1719" s="73"/>
      <c r="HN1719" s="73"/>
      <c r="HO1719" s="73"/>
      <c r="HP1719" s="73"/>
      <c r="HQ1719" s="73"/>
      <c r="HR1719" s="73"/>
      <c r="HS1719" s="73"/>
      <c r="HT1719" s="73"/>
      <c r="HU1719" s="73"/>
      <c r="HV1719" s="73"/>
      <c r="HW1719" s="73"/>
      <c r="HX1719" s="73"/>
      <c r="HY1719" s="73"/>
      <c r="HZ1719" s="73"/>
      <c r="IA1719" s="73"/>
      <c r="IB1719" s="73"/>
      <c r="IC1719" s="73"/>
      <c r="ID1719" s="73"/>
      <c r="IE1719" s="73"/>
      <c r="IF1719" s="73"/>
      <c r="IG1719" s="73"/>
      <c r="IH1719" s="73"/>
      <c r="II1719" s="73"/>
      <c r="IJ1719" s="73"/>
      <c r="IK1719" s="73"/>
      <c r="IL1719" s="73"/>
      <c r="IM1719" s="73"/>
      <c r="IN1719" s="73"/>
      <c r="IO1719" s="73"/>
      <c r="IP1719" s="73"/>
      <c r="IQ1719" s="73"/>
      <c r="IR1719" s="73"/>
      <c r="IS1719" s="73"/>
      <c r="IT1719" s="73"/>
      <c r="IU1719" s="73"/>
      <c r="IV1719" s="73"/>
      <c r="IW1719" s="73"/>
      <c r="IX1719" s="73"/>
      <c r="IY1719" s="73"/>
      <c r="IZ1719" s="73"/>
      <c r="JA1719" s="73"/>
      <c r="JB1719" s="73"/>
      <c r="JC1719" s="73"/>
    </row>
    <row r="1720" spans="2:263" s="72" customFormat="1">
      <c r="B1720" s="73"/>
      <c r="C1720" s="73"/>
      <c r="D1720" s="73"/>
      <c r="E1720" s="73"/>
      <c r="F1720" s="73"/>
      <c r="G1720" s="73"/>
      <c r="H1720" s="73"/>
      <c r="I1720" s="73"/>
      <c r="J1720" s="73"/>
      <c r="K1720" s="73"/>
      <c r="L1720" s="73"/>
      <c r="M1720" s="73"/>
      <c r="N1720" s="73"/>
      <c r="O1720" s="73"/>
      <c r="P1720" s="73"/>
      <c r="Q1720" s="73"/>
      <c r="R1720" s="73"/>
      <c r="S1720" s="73"/>
      <c r="T1720" s="73"/>
      <c r="U1720" s="73"/>
      <c r="V1720" s="73"/>
      <c r="W1720" s="73"/>
      <c r="GL1720" s="73"/>
      <c r="GM1720" s="73"/>
      <c r="GN1720" s="73"/>
      <c r="GO1720" s="73"/>
      <c r="GP1720" s="73"/>
      <c r="GQ1720" s="73"/>
      <c r="GR1720" s="73"/>
      <c r="GS1720" s="73"/>
      <c r="GT1720" s="73"/>
      <c r="GU1720" s="73"/>
      <c r="GV1720" s="73"/>
      <c r="GW1720" s="73"/>
      <c r="GX1720" s="73"/>
      <c r="GY1720" s="73"/>
      <c r="GZ1720" s="73"/>
      <c r="HA1720" s="73"/>
      <c r="HB1720" s="73"/>
      <c r="HC1720" s="73"/>
      <c r="HD1720" s="73"/>
      <c r="HE1720" s="73"/>
      <c r="HF1720" s="73"/>
      <c r="HG1720" s="73"/>
      <c r="HH1720" s="73"/>
      <c r="HI1720" s="73"/>
      <c r="HJ1720" s="73"/>
      <c r="HK1720" s="73"/>
      <c r="HL1720" s="73"/>
      <c r="HM1720" s="73"/>
      <c r="HN1720" s="73"/>
      <c r="HO1720" s="73"/>
      <c r="HP1720" s="73"/>
      <c r="HQ1720" s="73"/>
      <c r="HR1720" s="73"/>
      <c r="HS1720" s="73"/>
      <c r="HT1720" s="73"/>
      <c r="HU1720" s="73"/>
      <c r="HV1720" s="73"/>
      <c r="HW1720" s="73"/>
      <c r="HX1720" s="73"/>
      <c r="HY1720" s="73"/>
      <c r="HZ1720" s="73"/>
      <c r="IA1720" s="73"/>
      <c r="IB1720" s="73"/>
      <c r="IC1720" s="73"/>
      <c r="ID1720" s="73"/>
      <c r="IE1720" s="73"/>
      <c r="IF1720" s="73"/>
      <c r="IG1720" s="73"/>
      <c r="IH1720" s="73"/>
      <c r="II1720" s="73"/>
      <c r="IJ1720" s="73"/>
      <c r="IK1720" s="73"/>
      <c r="IL1720" s="73"/>
      <c r="IM1720" s="73"/>
      <c r="IN1720" s="73"/>
      <c r="IO1720" s="73"/>
      <c r="IP1720" s="73"/>
      <c r="IQ1720" s="73"/>
      <c r="IR1720" s="73"/>
      <c r="IS1720" s="73"/>
      <c r="IT1720" s="73"/>
      <c r="IU1720" s="73"/>
      <c r="IV1720" s="73"/>
      <c r="IW1720" s="73"/>
      <c r="IX1720" s="73"/>
      <c r="IY1720" s="73"/>
      <c r="IZ1720" s="73"/>
      <c r="JA1720" s="73"/>
      <c r="JB1720" s="73"/>
      <c r="JC1720" s="73"/>
    </row>
    <row r="1721" spans="2:263" s="72" customFormat="1">
      <c r="B1721" s="73"/>
      <c r="C1721" s="73"/>
      <c r="D1721" s="73"/>
      <c r="E1721" s="73"/>
      <c r="F1721" s="73"/>
      <c r="G1721" s="73"/>
      <c r="H1721" s="73"/>
      <c r="I1721" s="73"/>
      <c r="J1721" s="73"/>
      <c r="K1721" s="73"/>
      <c r="L1721" s="73"/>
      <c r="M1721" s="73"/>
      <c r="N1721" s="73"/>
      <c r="O1721" s="73"/>
      <c r="P1721" s="73"/>
      <c r="Q1721" s="73"/>
      <c r="R1721" s="73"/>
      <c r="S1721" s="73"/>
      <c r="T1721" s="73"/>
      <c r="U1721" s="73"/>
      <c r="V1721" s="73"/>
      <c r="W1721" s="73"/>
      <c r="GL1721" s="73"/>
      <c r="GM1721" s="73"/>
      <c r="GN1721" s="73"/>
      <c r="GO1721" s="73"/>
      <c r="GP1721" s="73"/>
      <c r="GQ1721" s="73"/>
      <c r="GR1721" s="73"/>
      <c r="GS1721" s="73"/>
      <c r="GT1721" s="73"/>
      <c r="GU1721" s="73"/>
      <c r="GV1721" s="73"/>
      <c r="GW1721" s="73"/>
      <c r="GX1721" s="73"/>
      <c r="GY1721" s="73"/>
      <c r="GZ1721" s="73"/>
      <c r="HA1721" s="73"/>
      <c r="HB1721" s="73"/>
      <c r="HC1721" s="73"/>
      <c r="HD1721" s="73"/>
      <c r="HE1721" s="73"/>
      <c r="HF1721" s="73"/>
      <c r="HG1721" s="73"/>
      <c r="HH1721" s="73"/>
      <c r="HI1721" s="73"/>
      <c r="HJ1721" s="73"/>
      <c r="HK1721" s="73"/>
      <c r="HL1721" s="73"/>
      <c r="HM1721" s="73"/>
      <c r="HN1721" s="73"/>
      <c r="HO1721" s="73"/>
      <c r="HP1721" s="73"/>
      <c r="HQ1721" s="73"/>
      <c r="HR1721" s="73"/>
      <c r="HS1721" s="73"/>
      <c r="HT1721" s="73"/>
      <c r="HU1721" s="73"/>
      <c r="HV1721" s="73"/>
      <c r="HW1721" s="73"/>
      <c r="HX1721" s="73"/>
      <c r="HY1721" s="73"/>
      <c r="HZ1721" s="73"/>
      <c r="IA1721" s="73"/>
      <c r="IB1721" s="73"/>
      <c r="IC1721" s="73"/>
      <c r="ID1721" s="73"/>
      <c r="IE1721" s="73"/>
      <c r="IF1721" s="73"/>
      <c r="IG1721" s="73"/>
      <c r="IH1721" s="73"/>
      <c r="II1721" s="73"/>
      <c r="IJ1721" s="73"/>
      <c r="IK1721" s="73"/>
      <c r="IL1721" s="73"/>
      <c r="IM1721" s="73"/>
      <c r="IN1721" s="73"/>
      <c r="IO1721" s="73"/>
      <c r="IP1721" s="73"/>
      <c r="IQ1721" s="73"/>
      <c r="IR1721" s="73"/>
      <c r="IS1721" s="73"/>
      <c r="IT1721" s="73"/>
      <c r="IU1721" s="73"/>
      <c r="IV1721" s="73"/>
      <c r="IW1721" s="73"/>
      <c r="IX1721" s="73"/>
      <c r="IY1721" s="73"/>
      <c r="IZ1721" s="73"/>
      <c r="JA1721" s="73"/>
      <c r="JB1721" s="73"/>
      <c r="JC1721" s="73"/>
    </row>
    <row r="1722" spans="2:263" s="72" customFormat="1">
      <c r="B1722" s="73"/>
      <c r="C1722" s="73"/>
      <c r="D1722" s="73"/>
      <c r="E1722" s="73"/>
      <c r="F1722" s="73"/>
      <c r="G1722" s="73"/>
      <c r="H1722" s="73"/>
      <c r="I1722" s="73"/>
      <c r="J1722" s="73"/>
      <c r="K1722" s="73"/>
      <c r="L1722" s="73"/>
      <c r="M1722" s="73"/>
      <c r="N1722" s="73"/>
      <c r="O1722" s="73"/>
      <c r="P1722" s="73"/>
      <c r="Q1722" s="73"/>
      <c r="R1722" s="73"/>
      <c r="S1722" s="73"/>
      <c r="T1722" s="73"/>
      <c r="U1722" s="73"/>
      <c r="V1722" s="73"/>
      <c r="W1722" s="73"/>
      <c r="GL1722" s="73"/>
      <c r="GM1722" s="73"/>
      <c r="GN1722" s="73"/>
      <c r="GO1722" s="73"/>
      <c r="GP1722" s="73"/>
      <c r="GQ1722" s="73"/>
      <c r="GR1722" s="73"/>
      <c r="GS1722" s="73"/>
      <c r="GT1722" s="73"/>
      <c r="GU1722" s="73"/>
      <c r="GV1722" s="73"/>
      <c r="GW1722" s="73"/>
      <c r="GX1722" s="73"/>
      <c r="GY1722" s="73"/>
      <c r="GZ1722" s="73"/>
      <c r="HA1722" s="73"/>
      <c r="HB1722" s="73"/>
      <c r="HC1722" s="73"/>
      <c r="HD1722" s="73"/>
      <c r="HE1722" s="73"/>
      <c r="HF1722" s="73"/>
      <c r="HG1722" s="73"/>
      <c r="HH1722" s="73"/>
      <c r="HI1722" s="73"/>
      <c r="HJ1722" s="73"/>
      <c r="HK1722" s="73"/>
      <c r="HL1722" s="73"/>
      <c r="HM1722" s="73"/>
      <c r="HN1722" s="73"/>
      <c r="HO1722" s="73"/>
      <c r="HP1722" s="73"/>
      <c r="HQ1722" s="73"/>
      <c r="HR1722" s="73"/>
      <c r="HS1722" s="73"/>
      <c r="HT1722" s="73"/>
      <c r="HU1722" s="73"/>
      <c r="HV1722" s="73"/>
      <c r="HW1722" s="73"/>
      <c r="HX1722" s="73"/>
      <c r="HY1722" s="73"/>
      <c r="HZ1722" s="73"/>
      <c r="IA1722" s="73"/>
      <c r="IB1722" s="73"/>
      <c r="IC1722" s="73"/>
      <c r="ID1722" s="73"/>
      <c r="IE1722" s="73"/>
      <c r="IF1722" s="73"/>
      <c r="IG1722" s="73"/>
      <c r="IH1722" s="73"/>
      <c r="II1722" s="73"/>
      <c r="IJ1722" s="73"/>
      <c r="IK1722" s="73"/>
      <c r="IL1722" s="73"/>
      <c r="IM1722" s="73"/>
      <c r="IN1722" s="73"/>
      <c r="IO1722" s="73"/>
      <c r="IP1722" s="73"/>
      <c r="IQ1722" s="73"/>
      <c r="IR1722" s="73"/>
      <c r="IS1722" s="73"/>
      <c r="IT1722" s="73"/>
      <c r="IU1722" s="73"/>
      <c r="IV1722" s="73"/>
      <c r="IW1722" s="73"/>
      <c r="IX1722" s="73"/>
      <c r="IY1722" s="73"/>
      <c r="IZ1722" s="73"/>
      <c r="JA1722" s="73"/>
      <c r="JB1722" s="73"/>
      <c r="JC1722" s="73"/>
    </row>
    <row r="1723" spans="2:263" s="72" customFormat="1">
      <c r="B1723" s="73"/>
      <c r="C1723" s="73"/>
      <c r="D1723" s="73"/>
      <c r="E1723" s="73"/>
      <c r="F1723" s="73"/>
      <c r="G1723" s="73"/>
      <c r="H1723" s="73"/>
      <c r="I1723" s="73"/>
      <c r="J1723" s="73"/>
      <c r="K1723" s="73"/>
      <c r="L1723" s="73"/>
      <c r="M1723" s="73"/>
      <c r="N1723" s="73"/>
      <c r="O1723" s="73"/>
      <c r="P1723" s="73"/>
      <c r="Q1723" s="73"/>
      <c r="R1723" s="73"/>
      <c r="S1723" s="73"/>
      <c r="T1723" s="73"/>
      <c r="U1723" s="73"/>
      <c r="V1723" s="73"/>
      <c r="W1723" s="73"/>
      <c r="GL1723" s="73"/>
      <c r="GM1723" s="73"/>
      <c r="GN1723" s="73"/>
      <c r="GO1723" s="73"/>
      <c r="GP1723" s="73"/>
      <c r="GQ1723" s="73"/>
      <c r="GR1723" s="73"/>
      <c r="GS1723" s="73"/>
      <c r="GT1723" s="73"/>
      <c r="GU1723" s="73"/>
      <c r="GV1723" s="73"/>
      <c r="GW1723" s="73"/>
      <c r="GX1723" s="73"/>
      <c r="GY1723" s="73"/>
      <c r="GZ1723" s="73"/>
      <c r="HA1723" s="73"/>
      <c r="HB1723" s="73"/>
      <c r="HC1723" s="73"/>
      <c r="HD1723" s="73"/>
      <c r="HE1723" s="73"/>
      <c r="HF1723" s="73"/>
      <c r="HG1723" s="73"/>
      <c r="HH1723" s="73"/>
      <c r="HI1723" s="73"/>
      <c r="HJ1723" s="73"/>
      <c r="HK1723" s="73"/>
      <c r="HL1723" s="73"/>
      <c r="HM1723" s="73"/>
      <c r="HN1723" s="73"/>
      <c r="HO1723" s="73"/>
      <c r="HP1723" s="73"/>
      <c r="HQ1723" s="73"/>
      <c r="HR1723" s="73"/>
      <c r="HS1723" s="73"/>
      <c r="HT1723" s="73"/>
      <c r="HU1723" s="73"/>
      <c r="HV1723" s="73"/>
      <c r="HW1723" s="73"/>
      <c r="HX1723" s="73"/>
      <c r="HY1723" s="73"/>
      <c r="HZ1723" s="73"/>
      <c r="IA1723" s="73"/>
      <c r="IB1723" s="73"/>
      <c r="IC1723" s="73"/>
      <c r="ID1723" s="73"/>
      <c r="IE1723" s="73"/>
      <c r="IF1723" s="73"/>
      <c r="IG1723" s="73"/>
      <c r="IH1723" s="73"/>
      <c r="II1723" s="73"/>
      <c r="IJ1723" s="73"/>
      <c r="IK1723" s="73"/>
      <c r="IL1723" s="73"/>
      <c r="IM1723" s="73"/>
      <c r="IN1723" s="73"/>
      <c r="IO1723" s="73"/>
      <c r="IP1723" s="73"/>
      <c r="IQ1723" s="73"/>
      <c r="IR1723" s="73"/>
      <c r="IS1723" s="73"/>
      <c r="IT1723" s="73"/>
      <c r="IU1723" s="73"/>
      <c r="IV1723" s="73"/>
      <c r="IW1723" s="73"/>
      <c r="IX1723" s="73"/>
      <c r="IY1723" s="73"/>
      <c r="IZ1723" s="73"/>
      <c r="JA1723" s="73"/>
      <c r="JB1723" s="73"/>
      <c r="JC1723" s="73"/>
    </row>
    <row r="1724" spans="2:263" s="72" customFormat="1">
      <c r="B1724" s="73"/>
      <c r="C1724" s="73"/>
      <c r="D1724" s="73"/>
      <c r="E1724" s="73"/>
      <c r="F1724" s="73"/>
      <c r="G1724" s="73"/>
      <c r="H1724" s="73"/>
      <c r="I1724" s="73"/>
      <c r="J1724" s="73"/>
      <c r="K1724" s="73"/>
      <c r="L1724" s="73"/>
      <c r="M1724" s="73"/>
      <c r="N1724" s="73"/>
      <c r="O1724" s="73"/>
      <c r="P1724" s="73"/>
      <c r="Q1724" s="73"/>
      <c r="R1724" s="73"/>
      <c r="S1724" s="73"/>
      <c r="T1724" s="73"/>
      <c r="U1724" s="73"/>
      <c r="V1724" s="73"/>
      <c r="W1724" s="73"/>
      <c r="GL1724" s="73"/>
      <c r="GM1724" s="73"/>
      <c r="GN1724" s="73"/>
      <c r="GO1724" s="73"/>
      <c r="GP1724" s="73"/>
      <c r="GQ1724" s="73"/>
      <c r="GR1724" s="73"/>
      <c r="GS1724" s="73"/>
      <c r="GT1724" s="73"/>
      <c r="GU1724" s="73"/>
      <c r="GV1724" s="73"/>
      <c r="GW1724" s="73"/>
      <c r="GX1724" s="73"/>
      <c r="GY1724" s="73"/>
      <c r="GZ1724" s="73"/>
      <c r="HA1724" s="73"/>
      <c r="HB1724" s="73"/>
      <c r="HC1724" s="73"/>
      <c r="HD1724" s="73"/>
      <c r="HE1724" s="73"/>
      <c r="HF1724" s="73"/>
      <c r="HG1724" s="73"/>
      <c r="HH1724" s="73"/>
      <c r="HI1724" s="73"/>
      <c r="HJ1724" s="73"/>
      <c r="HK1724" s="73"/>
      <c r="HL1724" s="73"/>
      <c r="HM1724" s="73"/>
      <c r="HN1724" s="73"/>
      <c r="HO1724" s="73"/>
      <c r="HP1724" s="73"/>
      <c r="HQ1724" s="73"/>
      <c r="HR1724" s="73"/>
      <c r="HS1724" s="73"/>
      <c r="HT1724" s="73"/>
      <c r="HU1724" s="73"/>
      <c r="HV1724" s="73"/>
      <c r="HW1724" s="73"/>
      <c r="HX1724" s="73"/>
      <c r="HY1724" s="73"/>
      <c r="HZ1724" s="73"/>
      <c r="IA1724" s="73"/>
      <c r="IB1724" s="73"/>
      <c r="IC1724" s="73"/>
      <c r="ID1724" s="73"/>
      <c r="IE1724" s="73"/>
      <c r="IF1724" s="73"/>
      <c r="IG1724" s="73"/>
      <c r="IH1724" s="73"/>
      <c r="II1724" s="73"/>
      <c r="IJ1724" s="73"/>
      <c r="IK1724" s="73"/>
      <c r="IL1724" s="73"/>
      <c r="IM1724" s="73"/>
      <c r="IN1724" s="73"/>
      <c r="IO1724" s="73"/>
      <c r="IP1724" s="73"/>
      <c r="IQ1724" s="73"/>
      <c r="IR1724" s="73"/>
      <c r="IS1724" s="73"/>
      <c r="IT1724" s="73"/>
      <c r="IU1724" s="73"/>
      <c r="IV1724" s="73"/>
      <c r="IW1724" s="73"/>
      <c r="IX1724" s="73"/>
      <c r="IY1724" s="73"/>
      <c r="IZ1724" s="73"/>
      <c r="JA1724" s="73"/>
      <c r="JB1724" s="73"/>
      <c r="JC1724" s="73"/>
    </row>
    <row r="1725" spans="2:263" s="72" customFormat="1">
      <c r="B1725" s="73"/>
      <c r="C1725" s="73"/>
      <c r="D1725" s="73"/>
      <c r="E1725" s="73"/>
      <c r="F1725" s="73"/>
      <c r="G1725" s="73"/>
      <c r="H1725" s="73"/>
      <c r="I1725" s="73"/>
      <c r="J1725" s="73"/>
      <c r="K1725" s="73"/>
      <c r="L1725" s="73"/>
      <c r="M1725" s="73"/>
      <c r="N1725" s="73"/>
      <c r="O1725" s="73"/>
      <c r="P1725" s="73"/>
      <c r="Q1725" s="73"/>
      <c r="R1725" s="73"/>
      <c r="S1725" s="73"/>
      <c r="T1725" s="73"/>
      <c r="U1725" s="73"/>
      <c r="V1725" s="73"/>
      <c r="W1725" s="73"/>
      <c r="GL1725" s="73"/>
      <c r="GM1725" s="73"/>
      <c r="GN1725" s="73"/>
      <c r="GO1725" s="73"/>
      <c r="GP1725" s="73"/>
      <c r="GQ1725" s="73"/>
      <c r="GR1725" s="73"/>
      <c r="GS1725" s="73"/>
      <c r="GT1725" s="73"/>
      <c r="GU1725" s="73"/>
      <c r="GV1725" s="73"/>
      <c r="GW1725" s="73"/>
      <c r="GX1725" s="73"/>
      <c r="GY1725" s="73"/>
      <c r="GZ1725" s="73"/>
      <c r="HA1725" s="73"/>
      <c r="HB1725" s="73"/>
      <c r="HC1725" s="73"/>
      <c r="HD1725" s="73"/>
      <c r="HE1725" s="73"/>
      <c r="HF1725" s="73"/>
      <c r="HG1725" s="73"/>
      <c r="HH1725" s="73"/>
      <c r="HI1725" s="73"/>
      <c r="HJ1725" s="73"/>
      <c r="HK1725" s="73"/>
      <c r="HL1725" s="73"/>
      <c r="HM1725" s="73"/>
      <c r="HN1725" s="73"/>
      <c r="HO1725" s="73"/>
      <c r="HP1725" s="73"/>
      <c r="HQ1725" s="73"/>
      <c r="HR1725" s="73"/>
      <c r="HS1725" s="73"/>
      <c r="HT1725" s="73"/>
      <c r="HU1725" s="73"/>
      <c r="HV1725" s="73"/>
      <c r="HW1725" s="73"/>
      <c r="HX1725" s="73"/>
      <c r="HY1725" s="73"/>
      <c r="HZ1725" s="73"/>
      <c r="IA1725" s="73"/>
      <c r="IB1725" s="73"/>
      <c r="IC1725" s="73"/>
      <c r="ID1725" s="73"/>
      <c r="IE1725" s="73"/>
      <c r="IF1725" s="73"/>
      <c r="IG1725" s="73"/>
      <c r="IH1725" s="73"/>
      <c r="II1725" s="73"/>
      <c r="IJ1725" s="73"/>
      <c r="IK1725" s="73"/>
      <c r="IL1725" s="73"/>
      <c r="IM1725" s="73"/>
      <c r="IN1725" s="73"/>
      <c r="IO1725" s="73"/>
      <c r="IP1725" s="73"/>
      <c r="IQ1725" s="73"/>
      <c r="IR1725" s="73"/>
      <c r="IS1725" s="73"/>
      <c r="IT1725" s="73"/>
      <c r="IU1725" s="73"/>
      <c r="IV1725" s="73"/>
      <c r="IW1725" s="73"/>
      <c r="IX1725" s="73"/>
      <c r="IY1725" s="73"/>
      <c r="IZ1725" s="73"/>
      <c r="JA1725" s="73"/>
      <c r="JB1725" s="73"/>
      <c r="JC1725" s="73"/>
    </row>
    <row r="1726" spans="2:263" s="72" customFormat="1">
      <c r="B1726" s="73"/>
      <c r="C1726" s="73"/>
      <c r="D1726" s="73"/>
      <c r="E1726" s="73"/>
      <c r="F1726" s="73"/>
      <c r="G1726" s="73"/>
      <c r="H1726" s="73"/>
      <c r="I1726" s="73"/>
      <c r="J1726" s="73"/>
      <c r="K1726" s="73"/>
      <c r="L1726" s="73"/>
      <c r="M1726" s="73"/>
      <c r="N1726" s="73"/>
      <c r="O1726" s="73"/>
      <c r="P1726" s="73"/>
      <c r="Q1726" s="73"/>
      <c r="R1726" s="73"/>
      <c r="S1726" s="73"/>
      <c r="T1726" s="73"/>
      <c r="U1726" s="73"/>
      <c r="V1726" s="73"/>
      <c r="W1726" s="73"/>
      <c r="GL1726" s="73"/>
      <c r="GM1726" s="73"/>
      <c r="GN1726" s="73"/>
      <c r="GO1726" s="73"/>
      <c r="GP1726" s="73"/>
      <c r="GQ1726" s="73"/>
      <c r="GR1726" s="73"/>
      <c r="GS1726" s="73"/>
      <c r="GT1726" s="73"/>
      <c r="GU1726" s="73"/>
      <c r="GV1726" s="73"/>
      <c r="GW1726" s="73"/>
      <c r="GX1726" s="73"/>
      <c r="GY1726" s="73"/>
      <c r="GZ1726" s="73"/>
      <c r="HA1726" s="73"/>
      <c r="HB1726" s="73"/>
      <c r="HC1726" s="73"/>
      <c r="HD1726" s="73"/>
      <c r="HE1726" s="73"/>
      <c r="HF1726" s="73"/>
      <c r="HG1726" s="73"/>
      <c r="HH1726" s="73"/>
      <c r="HI1726" s="73"/>
      <c r="HJ1726" s="73"/>
      <c r="HK1726" s="73"/>
      <c r="HL1726" s="73"/>
      <c r="HM1726" s="73"/>
      <c r="HN1726" s="73"/>
      <c r="HO1726" s="73"/>
      <c r="HP1726" s="73"/>
      <c r="HQ1726" s="73"/>
      <c r="HR1726" s="73"/>
      <c r="HS1726" s="73"/>
      <c r="HT1726" s="73"/>
      <c r="HU1726" s="73"/>
      <c r="HV1726" s="73"/>
      <c r="HW1726" s="73"/>
      <c r="HX1726" s="73"/>
      <c r="HY1726" s="73"/>
      <c r="HZ1726" s="73"/>
      <c r="IA1726" s="73"/>
      <c r="IB1726" s="73"/>
      <c r="IC1726" s="73"/>
      <c r="ID1726" s="73"/>
      <c r="IE1726" s="73"/>
      <c r="IF1726" s="73"/>
      <c r="IG1726" s="73"/>
      <c r="IH1726" s="73"/>
      <c r="II1726" s="73"/>
      <c r="IJ1726" s="73"/>
      <c r="IK1726" s="73"/>
      <c r="IL1726" s="73"/>
      <c r="IM1726" s="73"/>
      <c r="IN1726" s="73"/>
      <c r="IO1726" s="73"/>
      <c r="IP1726" s="73"/>
      <c r="IQ1726" s="73"/>
      <c r="IR1726" s="73"/>
      <c r="IS1726" s="73"/>
      <c r="IT1726" s="73"/>
      <c r="IU1726" s="73"/>
      <c r="IV1726" s="73"/>
      <c r="IW1726" s="73"/>
      <c r="IX1726" s="73"/>
      <c r="IY1726" s="73"/>
      <c r="IZ1726" s="73"/>
      <c r="JA1726" s="73"/>
      <c r="JB1726" s="73"/>
      <c r="JC1726" s="73"/>
    </row>
    <row r="1727" spans="2:263" s="72" customFormat="1">
      <c r="B1727" s="73"/>
      <c r="C1727" s="73"/>
      <c r="D1727" s="73"/>
      <c r="E1727" s="73"/>
      <c r="F1727" s="73"/>
      <c r="G1727" s="73"/>
      <c r="H1727" s="73"/>
      <c r="I1727" s="73"/>
      <c r="J1727" s="73"/>
      <c r="K1727" s="73"/>
      <c r="L1727" s="73"/>
      <c r="M1727" s="73"/>
      <c r="N1727" s="73"/>
      <c r="O1727" s="73"/>
      <c r="P1727" s="73"/>
      <c r="Q1727" s="73"/>
      <c r="R1727" s="73"/>
      <c r="S1727" s="73"/>
      <c r="T1727" s="73"/>
      <c r="U1727" s="73"/>
      <c r="V1727" s="73"/>
      <c r="W1727" s="73"/>
      <c r="GL1727" s="73"/>
      <c r="GM1727" s="73"/>
      <c r="GN1727" s="73"/>
      <c r="GO1727" s="73"/>
      <c r="GP1727" s="73"/>
      <c r="GQ1727" s="73"/>
      <c r="GR1727" s="73"/>
      <c r="GS1727" s="73"/>
      <c r="GT1727" s="73"/>
      <c r="GU1727" s="73"/>
      <c r="GV1727" s="73"/>
      <c r="GW1727" s="73"/>
      <c r="GX1727" s="73"/>
      <c r="GY1727" s="73"/>
      <c r="GZ1727" s="73"/>
      <c r="HA1727" s="73"/>
      <c r="HB1727" s="73"/>
      <c r="HC1727" s="73"/>
      <c r="HD1727" s="73"/>
      <c r="HE1727" s="73"/>
      <c r="HF1727" s="73"/>
      <c r="HG1727" s="73"/>
      <c r="HH1727" s="73"/>
      <c r="HI1727" s="73"/>
      <c r="HJ1727" s="73"/>
      <c r="HK1727" s="73"/>
      <c r="HL1727" s="73"/>
      <c r="HM1727" s="73"/>
      <c r="HN1727" s="73"/>
      <c r="HO1727" s="73"/>
      <c r="HP1727" s="73"/>
      <c r="HQ1727" s="73"/>
      <c r="HR1727" s="73"/>
      <c r="HS1727" s="73"/>
      <c r="HT1727" s="73"/>
      <c r="HU1727" s="73"/>
      <c r="HV1727" s="73"/>
      <c r="HW1727" s="73"/>
      <c r="HX1727" s="73"/>
      <c r="HY1727" s="73"/>
      <c r="HZ1727" s="73"/>
      <c r="IA1727" s="73"/>
      <c r="IB1727" s="73"/>
      <c r="IC1727" s="73"/>
      <c r="ID1727" s="73"/>
      <c r="IE1727" s="73"/>
      <c r="IF1727" s="73"/>
      <c r="IG1727" s="73"/>
      <c r="IH1727" s="73"/>
      <c r="II1727" s="73"/>
      <c r="IJ1727" s="73"/>
      <c r="IK1727" s="73"/>
      <c r="IL1727" s="73"/>
      <c r="IM1727" s="73"/>
      <c r="IN1727" s="73"/>
      <c r="IO1727" s="73"/>
      <c r="IP1727" s="73"/>
      <c r="IQ1727" s="73"/>
      <c r="IR1727" s="73"/>
      <c r="IS1727" s="73"/>
      <c r="IT1727" s="73"/>
      <c r="IU1727" s="73"/>
      <c r="IV1727" s="73"/>
      <c r="IW1727" s="73"/>
      <c r="IX1727" s="73"/>
      <c r="IY1727" s="73"/>
      <c r="IZ1727" s="73"/>
      <c r="JA1727" s="73"/>
      <c r="JB1727" s="73"/>
      <c r="JC1727" s="73"/>
    </row>
    <row r="1728" spans="2:263" s="72" customFormat="1">
      <c r="B1728" s="73"/>
      <c r="C1728" s="73"/>
      <c r="D1728" s="73"/>
      <c r="E1728" s="73"/>
      <c r="F1728" s="73"/>
      <c r="G1728" s="73"/>
      <c r="H1728" s="73"/>
      <c r="I1728" s="73"/>
      <c r="J1728" s="73"/>
      <c r="K1728" s="73"/>
      <c r="L1728" s="73"/>
      <c r="M1728" s="73"/>
      <c r="N1728" s="73"/>
      <c r="O1728" s="73"/>
      <c r="P1728" s="73"/>
      <c r="Q1728" s="73"/>
      <c r="R1728" s="73"/>
      <c r="S1728" s="73"/>
      <c r="T1728" s="73"/>
      <c r="U1728" s="73"/>
      <c r="V1728" s="73"/>
      <c r="W1728" s="73"/>
      <c r="GL1728" s="73"/>
      <c r="GM1728" s="73"/>
      <c r="GN1728" s="73"/>
      <c r="GO1728" s="73"/>
      <c r="GP1728" s="73"/>
      <c r="GQ1728" s="73"/>
      <c r="GR1728" s="73"/>
      <c r="GS1728" s="73"/>
      <c r="GT1728" s="73"/>
      <c r="GU1728" s="73"/>
      <c r="GV1728" s="73"/>
      <c r="GW1728" s="73"/>
      <c r="GX1728" s="73"/>
      <c r="GY1728" s="73"/>
      <c r="GZ1728" s="73"/>
      <c r="HA1728" s="73"/>
      <c r="HB1728" s="73"/>
      <c r="HC1728" s="73"/>
      <c r="HD1728" s="73"/>
      <c r="HE1728" s="73"/>
      <c r="HF1728" s="73"/>
      <c r="HG1728" s="73"/>
      <c r="HH1728" s="73"/>
      <c r="HI1728" s="73"/>
      <c r="HJ1728" s="73"/>
      <c r="HK1728" s="73"/>
      <c r="HL1728" s="73"/>
      <c r="HM1728" s="73"/>
      <c r="HN1728" s="73"/>
      <c r="HO1728" s="73"/>
      <c r="HP1728" s="73"/>
      <c r="HQ1728" s="73"/>
      <c r="HR1728" s="73"/>
      <c r="HS1728" s="73"/>
      <c r="HT1728" s="73"/>
      <c r="HU1728" s="73"/>
      <c r="HV1728" s="73"/>
      <c r="HW1728" s="73"/>
      <c r="HX1728" s="73"/>
      <c r="HY1728" s="73"/>
      <c r="HZ1728" s="73"/>
      <c r="IA1728" s="73"/>
      <c r="IB1728" s="73"/>
      <c r="IC1728" s="73"/>
      <c r="ID1728" s="73"/>
      <c r="IE1728" s="73"/>
      <c r="IF1728" s="73"/>
      <c r="IG1728" s="73"/>
      <c r="IH1728" s="73"/>
      <c r="II1728" s="73"/>
      <c r="IJ1728" s="73"/>
      <c r="IK1728" s="73"/>
      <c r="IL1728" s="73"/>
      <c r="IM1728" s="73"/>
      <c r="IN1728" s="73"/>
      <c r="IO1728" s="73"/>
      <c r="IP1728" s="73"/>
      <c r="IQ1728" s="73"/>
      <c r="IR1728" s="73"/>
      <c r="IS1728" s="73"/>
      <c r="IT1728" s="73"/>
      <c r="IU1728" s="73"/>
      <c r="IV1728" s="73"/>
      <c r="IW1728" s="73"/>
      <c r="IX1728" s="73"/>
      <c r="IY1728" s="73"/>
      <c r="IZ1728" s="73"/>
      <c r="JA1728" s="73"/>
      <c r="JB1728" s="73"/>
      <c r="JC1728" s="73"/>
    </row>
    <row r="1729" spans="2:263" s="72" customFormat="1">
      <c r="B1729" s="73"/>
      <c r="C1729" s="73"/>
      <c r="D1729" s="73"/>
      <c r="E1729" s="73"/>
      <c r="F1729" s="73"/>
      <c r="G1729" s="73"/>
      <c r="H1729" s="73"/>
      <c r="I1729" s="73"/>
      <c r="J1729" s="73"/>
      <c r="K1729" s="73"/>
      <c r="L1729" s="73"/>
      <c r="M1729" s="73"/>
      <c r="N1729" s="73"/>
      <c r="O1729" s="73"/>
      <c r="P1729" s="73"/>
      <c r="Q1729" s="73"/>
      <c r="R1729" s="73"/>
      <c r="S1729" s="73"/>
      <c r="T1729" s="73"/>
      <c r="U1729" s="73"/>
      <c r="V1729" s="73"/>
      <c r="W1729" s="73"/>
      <c r="GL1729" s="73"/>
      <c r="GM1729" s="73"/>
      <c r="GN1729" s="73"/>
      <c r="GO1729" s="73"/>
      <c r="GP1729" s="73"/>
      <c r="GQ1729" s="73"/>
      <c r="GR1729" s="73"/>
      <c r="GS1729" s="73"/>
      <c r="GT1729" s="73"/>
      <c r="GU1729" s="73"/>
      <c r="GV1729" s="73"/>
      <c r="GW1729" s="73"/>
      <c r="GX1729" s="73"/>
      <c r="GY1729" s="73"/>
      <c r="GZ1729" s="73"/>
      <c r="HA1729" s="73"/>
      <c r="HB1729" s="73"/>
      <c r="HC1729" s="73"/>
      <c r="HD1729" s="73"/>
      <c r="HE1729" s="73"/>
      <c r="HF1729" s="73"/>
      <c r="HG1729" s="73"/>
      <c r="HH1729" s="73"/>
      <c r="HI1729" s="73"/>
      <c r="HJ1729" s="73"/>
      <c r="HK1729" s="73"/>
      <c r="HL1729" s="73"/>
      <c r="HM1729" s="73"/>
      <c r="HN1729" s="73"/>
      <c r="HO1729" s="73"/>
      <c r="HP1729" s="73"/>
      <c r="HQ1729" s="73"/>
      <c r="HR1729" s="73"/>
      <c r="HS1729" s="73"/>
      <c r="HT1729" s="73"/>
      <c r="HU1729" s="73"/>
      <c r="HV1729" s="73"/>
      <c r="HW1729" s="73"/>
      <c r="HX1729" s="73"/>
      <c r="HY1729" s="73"/>
      <c r="HZ1729" s="73"/>
      <c r="IA1729" s="73"/>
      <c r="IB1729" s="73"/>
      <c r="IC1729" s="73"/>
      <c r="ID1729" s="73"/>
      <c r="IE1729" s="73"/>
      <c r="IF1729" s="73"/>
      <c r="IG1729" s="73"/>
      <c r="IH1729" s="73"/>
      <c r="II1729" s="73"/>
      <c r="IJ1729" s="73"/>
      <c r="IK1729" s="73"/>
      <c r="IL1729" s="73"/>
      <c r="IM1729" s="73"/>
      <c r="IN1729" s="73"/>
      <c r="IO1729" s="73"/>
      <c r="IP1729" s="73"/>
      <c r="IQ1729" s="73"/>
      <c r="IR1729" s="73"/>
      <c r="IS1729" s="73"/>
      <c r="IT1729" s="73"/>
      <c r="IU1729" s="73"/>
      <c r="IV1729" s="73"/>
      <c r="IW1729" s="73"/>
      <c r="IX1729" s="73"/>
      <c r="IY1729" s="73"/>
      <c r="IZ1729" s="73"/>
      <c r="JA1729" s="73"/>
      <c r="JB1729" s="73"/>
      <c r="JC1729" s="73"/>
    </row>
    <row r="1730" spans="2:263" s="72" customFormat="1">
      <c r="B1730" s="73"/>
      <c r="C1730" s="73"/>
      <c r="D1730" s="73"/>
      <c r="E1730" s="73"/>
      <c r="F1730" s="73"/>
      <c r="G1730" s="73"/>
      <c r="H1730" s="73"/>
      <c r="I1730" s="73"/>
      <c r="J1730" s="73"/>
      <c r="K1730" s="73"/>
      <c r="L1730" s="73"/>
      <c r="M1730" s="73"/>
      <c r="N1730" s="73"/>
      <c r="O1730" s="73"/>
      <c r="P1730" s="73"/>
      <c r="Q1730" s="73"/>
      <c r="R1730" s="73"/>
      <c r="S1730" s="73"/>
      <c r="T1730" s="73"/>
      <c r="U1730" s="73"/>
      <c r="V1730" s="73"/>
      <c r="W1730" s="73"/>
      <c r="GL1730" s="73"/>
      <c r="GM1730" s="73"/>
      <c r="GN1730" s="73"/>
      <c r="GO1730" s="73"/>
      <c r="GP1730" s="73"/>
      <c r="GQ1730" s="73"/>
      <c r="GR1730" s="73"/>
      <c r="GS1730" s="73"/>
      <c r="GT1730" s="73"/>
      <c r="GU1730" s="73"/>
      <c r="GV1730" s="73"/>
      <c r="GW1730" s="73"/>
      <c r="GX1730" s="73"/>
      <c r="GY1730" s="73"/>
      <c r="GZ1730" s="73"/>
      <c r="HA1730" s="73"/>
      <c r="HB1730" s="73"/>
      <c r="HC1730" s="73"/>
      <c r="HD1730" s="73"/>
      <c r="HE1730" s="73"/>
      <c r="HF1730" s="73"/>
      <c r="HG1730" s="73"/>
      <c r="HH1730" s="73"/>
      <c r="HI1730" s="73"/>
      <c r="HJ1730" s="73"/>
      <c r="HK1730" s="73"/>
      <c r="HL1730" s="73"/>
      <c r="HM1730" s="73"/>
      <c r="HN1730" s="73"/>
      <c r="HO1730" s="73"/>
      <c r="HP1730" s="73"/>
      <c r="HQ1730" s="73"/>
      <c r="HR1730" s="73"/>
      <c r="HS1730" s="73"/>
      <c r="HT1730" s="73"/>
      <c r="HU1730" s="73"/>
      <c r="HV1730" s="73"/>
      <c r="HW1730" s="73"/>
      <c r="HX1730" s="73"/>
      <c r="HY1730" s="73"/>
      <c r="HZ1730" s="73"/>
      <c r="IA1730" s="73"/>
      <c r="IB1730" s="73"/>
      <c r="IC1730" s="73"/>
      <c r="ID1730" s="73"/>
      <c r="IE1730" s="73"/>
      <c r="IF1730" s="73"/>
      <c r="IG1730" s="73"/>
      <c r="IH1730" s="73"/>
      <c r="II1730" s="73"/>
      <c r="IJ1730" s="73"/>
      <c r="IK1730" s="73"/>
      <c r="IL1730" s="73"/>
      <c r="IM1730" s="73"/>
      <c r="IN1730" s="73"/>
      <c r="IO1730" s="73"/>
      <c r="IP1730" s="73"/>
      <c r="IQ1730" s="73"/>
      <c r="IR1730" s="73"/>
      <c r="IS1730" s="73"/>
      <c r="IT1730" s="73"/>
      <c r="IU1730" s="73"/>
      <c r="IV1730" s="73"/>
      <c r="IW1730" s="73"/>
      <c r="IX1730" s="73"/>
      <c r="IY1730" s="73"/>
      <c r="IZ1730" s="73"/>
      <c r="JA1730" s="73"/>
      <c r="JB1730" s="73"/>
      <c r="JC1730" s="73"/>
    </row>
    <row r="1731" spans="2:263" s="72" customFormat="1">
      <c r="B1731" s="73"/>
      <c r="C1731" s="73"/>
      <c r="D1731" s="73"/>
      <c r="E1731" s="73"/>
      <c r="F1731" s="73"/>
      <c r="G1731" s="73"/>
      <c r="H1731" s="73"/>
      <c r="I1731" s="73"/>
      <c r="J1731" s="73"/>
      <c r="K1731" s="73"/>
      <c r="L1731" s="73"/>
      <c r="M1731" s="73"/>
      <c r="N1731" s="73"/>
      <c r="O1731" s="73"/>
      <c r="P1731" s="73"/>
      <c r="Q1731" s="73"/>
      <c r="R1731" s="73"/>
      <c r="S1731" s="73"/>
      <c r="T1731" s="73"/>
      <c r="U1731" s="73"/>
      <c r="V1731" s="73"/>
      <c r="W1731" s="73"/>
      <c r="GL1731" s="73"/>
      <c r="GM1731" s="73"/>
      <c r="GN1731" s="73"/>
      <c r="GO1731" s="73"/>
      <c r="GP1731" s="73"/>
      <c r="GQ1731" s="73"/>
      <c r="GR1731" s="73"/>
      <c r="GS1731" s="73"/>
      <c r="GT1731" s="73"/>
      <c r="GU1731" s="73"/>
      <c r="GV1731" s="73"/>
      <c r="GW1731" s="73"/>
      <c r="GX1731" s="73"/>
      <c r="GY1731" s="73"/>
      <c r="GZ1731" s="73"/>
      <c r="HA1731" s="73"/>
      <c r="HB1731" s="73"/>
      <c r="HC1731" s="73"/>
      <c r="HD1731" s="73"/>
      <c r="HE1731" s="73"/>
      <c r="HF1731" s="73"/>
      <c r="HG1731" s="73"/>
      <c r="HH1731" s="73"/>
      <c r="HI1731" s="73"/>
      <c r="HJ1731" s="73"/>
      <c r="HK1731" s="73"/>
      <c r="HL1731" s="73"/>
      <c r="HM1731" s="73"/>
      <c r="HN1731" s="73"/>
      <c r="HO1731" s="73"/>
      <c r="HP1731" s="73"/>
      <c r="HQ1731" s="73"/>
      <c r="HR1731" s="73"/>
      <c r="HS1731" s="73"/>
      <c r="HT1731" s="73"/>
      <c r="HU1731" s="73"/>
      <c r="HV1731" s="73"/>
      <c r="HW1731" s="73"/>
      <c r="HX1731" s="73"/>
      <c r="HY1731" s="73"/>
      <c r="HZ1731" s="73"/>
      <c r="IA1731" s="73"/>
      <c r="IB1731" s="73"/>
      <c r="IC1731" s="73"/>
      <c r="ID1731" s="73"/>
      <c r="IE1731" s="73"/>
      <c r="IF1731" s="73"/>
      <c r="IG1731" s="73"/>
      <c r="IH1731" s="73"/>
      <c r="II1731" s="73"/>
      <c r="IJ1731" s="73"/>
      <c r="IK1731" s="73"/>
      <c r="IL1731" s="73"/>
      <c r="IM1731" s="73"/>
      <c r="IN1731" s="73"/>
      <c r="IO1731" s="73"/>
      <c r="IP1731" s="73"/>
      <c r="IQ1731" s="73"/>
      <c r="IR1731" s="73"/>
      <c r="IS1731" s="73"/>
      <c r="IT1731" s="73"/>
      <c r="IU1731" s="73"/>
      <c r="IV1731" s="73"/>
      <c r="IW1731" s="73"/>
      <c r="IX1731" s="73"/>
      <c r="IY1731" s="73"/>
      <c r="IZ1731" s="73"/>
      <c r="JA1731" s="73"/>
      <c r="JB1731" s="73"/>
      <c r="JC1731" s="73"/>
    </row>
    <row r="1732" spans="2:263" s="72" customFormat="1">
      <c r="B1732" s="73"/>
      <c r="C1732" s="73"/>
      <c r="D1732" s="73"/>
      <c r="E1732" s="73"/>
      <c r="F1732" s="73"/>
      <c r="G1732" s="73"/>
      <c r="H1732" s="73"/>
      <c r="I1732" s="73"/>
      <c r="J1732" s="73"/>
      <c r="K1732" s="73"/>
      <c r="L1732" s="73"/>
      <c r="M1732" s="73"/>
      <c r="N1732" s="73"/>
      <c r="O1732" s="73"/>
      <c r="P1732" s="73"/>
      <c r="Q1732" s="73"/>
      <c r="R1732" s="73"/>
      <c r="S1732" s="73"/>
      <c r="T1732" s="73"/>
      <c r="U1732" s="73"/>
      <c r="V1732" s="73"/>
      <c r="W1732" s="73"/>
      <c r="GL1732" s="73"/>
      <c r="GM1732" s="73"/>
      <c r="GN1732" s="73"/>
      <c r="GO1732" s="73"/>
      <c r="GP1732" s="73"/>
      <c r="GQ1732" s="73"/>
      <c r="GR1732" s="73"/>
      <c r="GS1732" s="73"/>
      <c r="GT1732" s="73"/>
      <c r="GU1732" s="73"/>
      <c r="GV1732" s="73"/>
      <c r="GW1732" s="73"/>
      <c r="GX1732" s="73"/>
      <c r="GY1732" s="73"/>
      <c r="GZ1732" s="73"/>
      <c r="HA1732" s="73"/>
      <c r="HB1732" s="73"/>
      <c r="HC1732" s="73"/>
      <c r="HD1732" s="73"/>
      <c r="HE1732" s="73"/>
      <c r="HF1732" s="73"/>
      <c r="HG1732" s="73"/>
      <c r="HH1732" s="73"/>
      <c r="HI1732" s="73"/>
      <c r="HJ1732" s="73"/>
      <c r="HK1732" s="73"/>
      <c r="HL1732" s="73"/>
      <c r="HM1732" s="73"/>
      <c r="HN1732" s="73"/>
      <c r="HO1732" s="73"/>
      <c r="HP1732" s="73"/>
      <c r="HQ1732" s="73"/>
      <c r="HR1732" s="73"/>
      <c r="HS1732" s="73"/>
      <c r="HT1732" s="73"/>
      <c r="HU1732" s="73"/>
      <c r="HV1732" s="73"/>
      <c r="HW1732" s="73"/>
      <c r="HX1732" s="73"/>
      <c r="HY1732" s="73"/>
      <c r="HZ1732" s="73"/>
      <c r="IA1732" s="73"/>
      <c r="IB1732" s="73"/>
      <c r="IC1732" s="73"/>
      <c r="ID1732" s="73"/>
      <c r="IE1732" s="73"/>
      <c r="IF1732" s="73"/>
      <c r="IG1732" s="73"/>
      <c r="IH1732" s="73"/>
      <c r="II1732" s="73"/>
      <c r="IJ1732" s="73"/>
      <c r="IK1732" s="73"/>
      <c r="IL1732" s="73"/>
      <c r="IM1732" s="73"/>
      <c r="IN1732" s="73"/>
      <c r="IO1732" s="73"/>
      <c r="IP1732" s="73"/>
      <c r="IQ1732" s="73"/>
      <c r="IR1732" s="73"/>
      <c r="IS1732" s="73"/>
      <c r="IT1732" s="73"/>
      <c r="IU1732" s="73"/>
      <c r="IV1732" s="73"/>
      <c r="IW1732" s="73"/>
      <c r="IX1732" s="73"/>
      <c r="IY1732" s="73"/>
      <c r="IZ1732" s="73"/>
      <c r="JA1732" s="73"/>
      <c r="JB1732" s="73"/>
      <c r="JC1732" s="73"/>
    </row>
    <row r="1733" spans="2:263" s="72" customFormat="1">
      <c r="B1733" s="73"/>
      <c r="C1733" s="73"/>
      <c r="D1733" s="73"/>
      <c r="E1733" s="73"/>
      <c r="F1733" s="73"/>
      <c r="G1733" s="73"/>
      <c r="H1733" s="73"/>
      <c r="I1733" s="73"/>
      <c r="J1733" s="73"/>
      <c r="K1733" s="73"/>
      <c r="L1733" s="73"/>
      <c r="M1733" s="73"/>
      <c r="N1733" s="73"/>
      <c r="O1733" s="73"/>
      <c r="P1733" s="73"/>
      <c r="Q1733" s="73"/>
      <c r="R1733" s="73"/>
      <c r="S1733" s="73"/>
      <c r="T1733" s="73"/>
      <c r="U1733" s="73"/>
      <c r="V1733" s="73"/>
      <c r="W1733" s="73"/>
      <c r="GL1733" s="73"/>
      <c r="GM1733" s="73"/>
      <c r="GN1733" s="73"/>
      <c r="GO1733" s="73"/>
      <c r="GP1733" s="73"/>
      <c r="GQ1733" s="73"/>
      <c r="GR1733" s="73"/>
      <c r="GS1733" s="73"/>
      <c r="GT1733" s="73"/>
      <c r="GU1733" s="73"/>
      <c r="GV1733" s="73"/>
      <c r="GW1733" s="73"/>
      <c r="GX1733" s="73"/>
      <c r="GY1733" s="73"/>
      <c r="GZ1733" s="73"/>
      <c r="HA1733" s="73"/>
      <c r="HB1733" s="73"/>
      <c r="HC1733" s="73"/>
      <c r="HD1733" s="73"/>
      <c r="HE1733" s="73"/>
      <c r="HF1733" s="73"/>
      <c r="HG1733" s="73"/>
      <c r="HH1733" s="73"/>
      <c r="HI1733" s="73"/>
      <c r="HJ1733" s="73"/>
      <c r="HK1733" s="73"/>
      <c r="HL1733" s="73"/>
      <c r="HM1733" s="73"/>
      <c r="HN1733" s="73"/>
      <c r="HO1733" s="73"/>
      <c r="HP1733" s="73"/>
      <c r="HQ1733" s="73"/>
      <c r="HR1733" s="73"/>
      <c r="HS1733" s="73"/>
      <c r="HT1733" s="73"/>
      <c r="HU1733" s="73"/>
      <c r="HV1733" s="73"/>
      <c r="HW1733" s="73"/>
      <c r="HX1733" s="73"/>
      <c r="HY1733" s="73"/>
      <c r="HZ1733" s="73"/>
      <c r="IA1733" s="73"/>
      <c r="IB1733" s="73"/>
      <c r="IC1733" s="73"/>
      <c r="ID1733" s="73"/>
      <c r="IE1733" s="73"/>
      <c r="IF1733" s="73"/>
      <c r="IG1733" s="73"/>
      <c r="IH1733" s="73"/>
      <c r="II1733" s="73"/>
      <c r="IJ1733" s="73"/>
      <c r="IK1733" s="73"/>
      <c r="IL1733" s="73"/>
      <c r="IM1733" s="73"/>
      <c r="IN1733" s="73"/>
      <c r="IO1733" s="73"/>
      <c r="IP1733" s="73"/>
      <c r="IQ1733" s="73"/>
      <c r="IR1733" s="73"/>
      <c r="IS1733" s="73"/>
      <c r="IT1733" s="73"/>
      <c r="IU1733" s="73"/>
      <c r="IV1733" s="73"/>
      <c r="IW1733" s="73"/>
      <c r="IX1733" s="73"/>
      <c r="IY1733" s="73"/>
      <c r="IZ1733" s="73"/>
      <c r="JA1733" s="73"/>
      <c r="JB1733" s="73"/>
      <c r="JC1733" s="73"/>
    </row>
    <row r="1734" spans="2:263" s="72" customFormat="1">
      <c r="B1734" s="73"/>
      <c r="C1734" s="73"/>
      <c r="D1734" s="73"/>
      <c r="E1734" s="73"/>
      <c r="F1734" s="73"/>
      <c r="G1734" s="73"/>
      <c r="H1734" s="73"/>
      <c r="I1734" s="73"/>
      <c r="J1734" s="73"/>
      <c r="K1734" s="73"/>
      <c r="L1734" s="73"/>
      <c r="M1734" s="73"/>
      <c r="N1734" s="73"/>
      <c r="O1734" s="73"/>
      <c r="P1734" s="73"/>
      <c r="Q1734" s="73"/>
      <c r="R1734" s="73"/>
      <c r="S1734" s="73"/>
      <c r="T1734" s="73"/>
      <c r="U1734" s="73"/>
      <c r="V1734" s="73"/>
      <c r="W1734" s="73"/>
      <c r="GL1734" s="73"/>
      <c r="GM1734" s="73"/>
      <c r="GN1734" s="73"/>
      <c r="GO1734" s="73"/>
      <c r="GP1734" s="73"/>
      <c r="GQ1734" s="73"/>
      <c r="GR1734" s="73"/>
      <c r="GS1734" s="73"/>
      <c r="GT1734" s="73"/>
      <c r="GU1734" s="73"/>
      <c r="GV1734" s="73"/>
      <c r="GW1734" s="73"/>
      <c r="GX1734" s="73"/>
      <c r="GY1734" s="73"/>
      <c r="GZ1734" s="73"/>
      <c r="HA1734" s="73"/>
      <c r="HB1734" s="73"/>
      <c r="HC1734" s="73"/>
      <c r="HD1734" s="73"/>
      <c r="HE1734" s="73"/>
      <c r="HF1734" s="73"/>
      <c r="HG1734" s="73"/>
      <c r="HH1734" s="73"/>
      <c r="HI1734" s="73"/>
      <c r="HJ1734" s="73"/>
      <c r="HK1734" s="73"/>
      <c r="HL1734" s="73"/>
      <c r="HM1734" s="73"/>
      <c r="HN1734" s="73"/>
      <c r="HO1734" s="73"/>
      <c r="HP1734" s="73"/>
      <c r="HQ1734" s="73"/>
      <c r="HR1734" s="73"/>
      <c r="HS1734" s="73"/>
      <c r="HT1734" s="73"/>
      <c r="HU1734" s="73"/>
      <c r="HV1734" s="73"/>
      <c r="HW1734" s="73"/>
      <c r="HX1734" s="73"/>
      <c r="HY1734" s="73"/>
      <c r="HZ1734" s="73"/>
      <c r="IA1734" s="73"/>
      <c r="IB1734" s="73"/>
      <c r="IC1734" s="73"/>
      <c r="ID1734" s="73"/>
      <c r="IE1734" s="73"/>
      <c r="IF1734" s="73"/>
      <c r="IG1734" s="73"/>
      <c r="IH1734" s="73"/>
      <c r="II1734" s="73"/>
      <c r="IJ1734" s="73"/>
      <c r="IK1734" s="73"/>
      <c r="IL1734" s="73"/>
      <c r="IM1734" s="73"/>
      <c r="IN1734" s="73"/>
      <c r="IO1734" s="73"/>
      <c r="IP1734" s="73"/>
      <c r="IQ1734" s="73"/>
      <c r="IR1734" s="73"/>
      <c r="IS1734" s="73"/>
      <c r="IT1734" s="73"/>
      <c r="IU1734" s="73"/>
      <c r="IV1734" s="73"/>
      <c r="IW1734" s="73"/>
      <c r="IX1734" s="73"/>
      <c r="IY1734" s="73"/>
      <c r="IZ1734" s="73"/>
      <c r="JA1734" s="73"/>
      <c r="JB1734" s="73"/>
      <c r="JC1734" s="73"/>
    </row>
    <row r="1735" spans="2:263" s="72" customFormat="1">
      <c r="B1735" s="73"/>
      <c r="C1735" s="73"/>
      <c r="D1735" s="73"/>
      <c r="E1735" s="73"/>
      <c r="F1735" s="73"/>
      <c r="G1735" s="73"/>
      <c r="H1735" s="73"/>
      <c r="I1735" s="73"/>
      <c r="J1735" s="73"/>
      <c r="K1735" s="73"/>
      <c r="L1735" s="73"/>
      <c r="M1735" s="73"/>
      <c r="N1735" s="73"/>
      <c r="O1735" s="73"/>
      <c r="P1735" s="73"/>
      <c r="Q1735" s="73"/>
      <c r="R1735" s="73"/>
      <c r="S1735" s="73"/>
      <c r="T1735" s="73"/>
      <c r="U1735" s="73"/>
      <c r="V1735" s="73"/>
      <c r="W1735" s="73"/>
      <c r="GL1735" s="73"/>
      <c r="GM1735" s="73"/>
      <c r="GN1735" s="73"/>
      <c r="GO1735" s="73"/>
      <c r="GP1735" s="73"/>
      <c r="GQ1735" s="73"/>
      <c r="GR1735" s="73"/>
      <c r="GS1735" s="73"/>
      <c r="GT1735" s="73"/>
      <c r="GU1735" s="73"/>
      <c r="GV1735" s="73"/>
      <c r="GW1735" s="73"/>
      <c r="GX1735" s="73"/>
      <c r="GY1735" s="73"/>
      <c r="GZ1735" s="73"/>
      <c r="HA1735" s="73"/>
      <c r="HB1735" s="73"/>
      <c r="HC1735" s="73"/>
      <c r="HD1735" s="73"/>
      <c r="HE1735" s="73"/>
      <c r="HF1735" s="73"/>
      <c r="HG1735" s="73"/>
      <c r="HH1735" s="73"/>
      <c r="HI1735" s="73"/>
      <c r="HJ1735" s="73"/>
      <c r="HK1735" s="73"/>
      <c r="HL1735" s="73"/>
      <c r="HM1735" s="73"/>
      <c r="HN1735" s="73"/>
      <c r="HO1735" s="73"/>
      <c r="HP1735" s="73"/>
      <c r="HQ1735" s="73"/>
      <c r="HR1735" s="73"/>
      <c r="HS1735" s="73"/>
      <c r="HT1735" s="73"/>
      <c r="HU1735" s="73"/>
      <c r="HV1735" s="73"/>
      <c r="HW1735" s="73"/>
      <c r="HX1735" s="73"/>
      <c r="HY1735" s="73"/>
      <c r="HZ1735" s="73"/>
      <c r="IA1735" s="73"/>
      <c r="IB1735" s="73"/>
      <c r="IC1735" s="73"/>
      <c r="ID1735" s="73"/>
      <c r="IE1735" s="73"/>
      <c r="IF1735" s="73"/>
      <c r="IG1735" s="73"/>
      <c r="IH1735" s="73"/>
      <c r="II1735" s="73"/>
      <c r="IJ1735" s="73"/>
      <c r="IK1735" s="73"/>
      <c r="IL1735" s="73"/>
      <c r="IM1735" s="73"/>
      <c r="IN1735" s="73"/>
      <c r="IO1735" s="73"/>
      <c r="IP1735" s="73"/>
      <c r="IQ1735" s="73"/>
      <c r="IR1735" s="73"/>
      <c r="IS1735" s="73"/>
      <c r="IT1735" s="73"/>
      <c r="IU1735" s="73"/>
      <c r="IV1735" s="73"/>
      <c r="IW1735" s="73"/>
      <c r="IX1735" s="73"/>
      <c r="IY1735" s="73"/>
      <c r="IZ1735" s="73"/>
      <c r="JA1735" s="73"/>
      <c r="JB1735" s="73"/>
      <c r="JC1735" s="73"/>
    </row>
    <row r="1736" spans="2:263" s="72" customFormat="1">
      <c r="B1736" s="73"/>
      <c r="C1736" s="73"/>
      <c r="D1736" s="73"/>
      <c r="E1736" s="73"/>
      <c r="F1736" s="73"/>
      <c r="G1736" s="73"/>
      <c r="H1736" s="73"/>
      <c r="I1736" s="73"/>
      <c r="J1736" s="73"/>
      <c r="K1736" s="73"/>
      <c r="L1736" s="73"/>
      <c r="M1736" s="73"/>
      <c r="N1736" s="73"/>
      <c r="O1736" s="73"/>
      <c r="P1736" s="73"/>
      <c r="Q1736" s="73"/>
      <c r="R1736" s="73"/>
      <c r="S1736" s="73"/>
      <c r="T1736" s="73"/>
      <c r="U1736" s="73"/>
      <c r="V1736" s="73"/>
      <c r="W1736" s="73"/>
      <c r="GL1736" s="73"/>
      <c r="GM1736" s="73"/>
      <c r="GN1736" s="73"/>
      <c r="GO1736" s="73"/>
      <c r="GP1736" s="73"/>
      <c r="GQ1736" s="73"/>
      <c r="GR1736" s="73"/>
      <c r="GS1736" s="73"/>
      <c r="GT1736" s="73"/>
      <c r="GU1736" s="73"/>
      <c r="GV1736" s="73"/>
      <c r="GW1736" s="73"/>
      <c r="GX1736" s="73"/>
      <c r="GY1736" s="73"/>
      <c r="GZ1736" s="73"/>
      <c r="HA1736" s="73"/>
      <c r="HB1736" s="73"/>
      <c r="HC1736" s="73"/>
      <c r="HD1736" s="73"/>
      <c r="HE1736" s="73"/>
      <c r="HF1736" s="73"/>
      <c r="HG1736" s="73"/>
      <c r="HH1736" s="73"/>
      <c r="HI1736" s="73"/>
      <c r="HJ1736" s="73"/>
      <c r="HK1736" s="73"/>
      <c r="HL1736" s="73"/>
      <c r="HM1736" s="73"/>
      <c r="HN1736" s="73"/>
      <c r="HO1736" s="73"/>
      <c r="HP1736" s="73"/>
      <c r="HQ1736" s="73"/>
      <c r="HR1736" s="73"/>
      <c r="HS1736" s="73"/>
      <c r="HT1736" s="73"/>
      <c r="HU1736" s="73"/>
      <c r="HV1736" s="73"/>
      <c r="HW1736" s="73"/>
      <c r="HX1736" s="73"/>
      <c r="HY1736" s="73"/>
      <c r="HZ1736" s="73"/>
      <c r="IA1736" s="73"/>
      <c r="IB1736" s="73"/>
      <c r="IC1736" s="73"/>
      <c r="ID1736" s="73"/>
      <c r="IE1736" s="73"/>
      <c r="IF1736" s="73"/>
      <c r="IG1736" s="73"/>
      <c r="IH1736" s="73"/>
      <c r="II1736" s="73"/>
      <c r="IJ1736" s="73"/>
      <c r="IK1736" s="73"/>
      <c r="IL1736" s="73"/>
      <c r="IM1736" s="73"/>
      <c r="IN1736" s="73"/>
      <c r="IO1736" s="73"/>
      <c r="IP1736" s="73"/>
      <c r="IQ1736" s="73"/>
      <c r="IR1736" s="73"/>
      <c r="IS1736" s="73"/>
      <c r="IT1736" s="73"/>
      <c r="IU1736" s="73"/>
      <c r="IV1736" s="73"/>
      <c r="IW1736" s="73"/>
      <c r="IX1736" s="73"/>
      <c r="IY1736" s="73"/>
      <c r="IZ1736" s="73"/>
      <c r="JA1736" s="73"/>
      <c r="JB1736" s="73"/>
      <c r="JC1736" s="73"/>
    </row>
    <row r="1737" spans="2:263" s="72" customFormat="1">
      <c r="B1737" s="73"/>
      <c r="C1737" s="73"/>
      <c r="D1737" s="73"/>
      <c r="E1737" s="73"/>
      <c r="F1737" s="73"/>
      <c r="G1737" s="73"/>
      <c r="H1737" s="73"/>
      <c r="I1737" s="73"/>
      <c r="J1737" s="73"/>
      <c r="K1737" s="73"/>
      <c r="L1737" s="73"/>
      <c r="M1737" s="73"/>
      <c r="N1737" s="73"/>
      <c r="O1737" s="73"/>
      <c r="P1737" s="73"/>
      <c r="Q1737" s="73"/>
      <c r="R1737" s="73"/>
      <c r="S1737" s="73"/>
      <c r="T1737" s="73"/>
      <c r="U1737" s="73"/>
      <c r="V1737" s="73"/>
      <c r="W1737" s="73"/>
      <c r="GL1737" s="73"/>
      <c r="GM1737" s="73"/>
      <c r="GN1737" s="73"/>
      <c r="GO1737" s="73"/>
      <c r="GP1737" s="73"/>
      <c r="GQ1737" s="73"/>
      <c r="GR1737" s="73"/>
      <c r="GS1737" s="73"/>
      <c r="GT1737" s="73"/>
      <c r="GU1737" s="73"/>
      <c r="GV1737" s="73"/>
      <c r="GW1737" s="73"/>
      <c r="GX1737" s="73"/>
      <c r="GY1737" s="73"/>
      <c r="GZ1737" s="73"/>
      <c r="HA1737" s="73"/>
      <c r="HB1737" s="73"/>
      <c r="HC1737" s="73"/>
      <c r="HD1737" s="73"/>
      <c r="HE1737" s="73"/>
      <c r="HF1737" s="73"/>
      <c r="HG1737" s="73"/>
      <c r="HH1737" s="73"/>
      <c r="HI1737" s="73"/>
      <c r="HJ1737" s="73"/>
      <c r="HK1737" s="73"/>
      <c r="HL1737" s="73"/>
      <c r="HM1737" s="73"/>
      <c r="HN1737" s="73"/>
      <c r="HO1737" s="73"/>
      <c r="HP1737" s="73"/>
      <c r="HQ1737" s="73"/>
      <c r="HR1737" s="73"/>
      <c r="HS1737" s="73"/>
      <c r="HT1737" s="73"/>
      <c r="HU1737" s="73"/>
      <c r="HV1737" s="73"/>
      <c r="HW1737" s="73"/>
      <c r="HX1737" s="73"/>
      <c r="HY1737" s="73"/>
      <c r="HZ1737" s="73"/>
      <c r="IA1737" s="73"/>
      <c r="IB1737" s="73"/>
      <c r="IC1737" s="73"/>
      <c r="ID1737" s="73"/>
      <c r="IE1737" s="73"/>
      <c r="IF1737" s="73"/>
      <c r="IG1737" s="73"/>
      <c r="IH1737" s="73"/>
      <c r="II1737" s="73"/>
      <c r="IJ1737" s="73"/>
      <c r="IK1737" s="73"/>
      <c r="IL1737" s="73"/>
      <c r="IM1737" s="73"/>
      <c r="IN1737" s="73"/>
      <c r="IO1737" s="73"/>
      <c r="IP1737" s="73"/>
      <c r="IQ1737" s="73"/>
      <c r="IR1737" s="73"/>
      <c r="IS1737" s="73"/>
      <c r="IT1737" s="73"/>
      <c r="IU1737" s="73"/>
      <c r="IV1737" s="73"/>
      <c r="IW1737" s="73"/>
      <c r="IX1737" s="73"/>
      <c r="IY1737" s="73"/>
      <c r="IZ1737" s="73"/>
      <c r="JA1737" s="73"/>
      <c r="JB1737" s="73"/>
      <c r="JC1737" s="73"/>
    </row>
    <row r="1738" spans="2:263" s="72" customFormat="1">
      <c r="B1738" s="73"/>
      <c r="C1738" s="73"/>
      <c r="D1738" s="73"/>
      <c r="E1738" s="73"/>
      <c r="F1738" s="73"/>
      <c r="G1738" s="73"/>
      <c r="H1738" s="73"/>
      <c r="I1738" s="73"/>
      <c r="J1738" s="73"/>
      <c r="K1738" s="73"/>
      <c r="L1738" s="73"/>
      <c r="M1738" s="73"/>
      <c r="N1738" s="73"/>
      <c r="O1738" s="73"/>
      <c r="P1738" s="73"/>
      <c r="Q1738" s="73"/>
      <c r="R1738" s="73"/>
      <c r="S1738" s="73"/>
      <c r="T1738" s="73"/>
      <c r="U1738" s="73"/>
      <c r="V1738" s="73"/>
      <c r="W1738" s="73"/>
      <c r="GL1738" s="73"/>
      <c r="GM1738" s="73"/>
      <c r="GN1738" s="73"/>
      <c r="GO1738" s="73"/>
      <c r="GP1738" s="73"/>
      <c r="GQ1738" s="73"/>
      <c r="GR1738" s="73"/>
      <c r="GS1738" s="73"/>
      <c r="GT1738" s="73"/>
      <c r="GU1738" s="73"/>
      <c r="GV1738" s="73"/>
      <c r="GW1738" s="73"/>
      <c r="GX1738" s="73"/>
      <c r="GY1738" s="73"/>
      <c r="GZ1738" s="73"/>
      <c r="HA1738" s="73"/>
      <c r="HB1738" s="73"/>
      <c r="HC1738" s="73"/>
      <c r="HD1738" s="73"/>
      <c r="HE1738" s="73"/>
      <c r="HF1738" s="73"/>
      <c r="HG1738" s="73"/>
      <c r="HH1738" s="73"/>
      <c r="HI1738" s="73"/>
      <c r="HJ1738" s="73"/>
      <c r="HK1738" s="73"/>
      <c r="HL1738" s="73"/>
      <c r="HM1738" s="73"/>
      <c r="HN1738" s="73"/>
      <c r="HO1738" s="73"/>
      <c r="HP1738" s="73"/>
      <c r="HQ1738" s="73"/>
      <c r="HR1738" s="73"/>
      <c r="HS1738" s="73"/>
      <c r="HT1738" s="73"/>
      <c r="HU1738" s="73"/>
      <c r="HV1738" s="73"/>
      <c r="HW1738" s="73"/>
      <c r="HX1738" s="73"/>
      <c r="HY1738" s="73"/>
      <c r="HZ1738" s="73"/>
      <c r="IA1738" s="73"/>
      <c r="IB1738" s="73"/>
      <c r="IC1738" s="73"/>
      <c r="ID1738" s="73"/>
      <c r="IE1738" s="73"/>
      <c r="IF1738" s="73"/>
      <c r="IG1738" s="73"/>
      <c r="IH1738" s="73"/>
      <c r="II1738" s="73"/>
      <c r="IJ1738" s="73"/>
      <c r="IK1738" s="73"/>
      <c r="IL1738" s="73"/>
      <c r="IM1738" s="73"/>
      <c r="IN1738" s="73"/>
      <c r="IO1738" s="73"/>
      <c r="IP1738" s="73"/>
      <c r="IQ1738" s="73"/>
      <c r="IR1738" s="73"/>
      <c r="IS1738" s="73"/>
      <c r="IT1738" s="73"/>
      <c r="IU1738" s="73"/>
      <c r="IV1738" s="73"/>
      <c r="IW1738" s="73"/>
      <c r="IX1738" s="73"/>
      <c r="IY1738" s="73"/>
      <c r="IZ1738" s="73"/>
      <c r="JA1738" s="73"/>
      <c r="JB1738" s="73"/>
      <c r="JC1738" s="73"/>
    </row>
    <row r="1739" spans="2:263" s="72" customFormat="1">
      <c r="B1739" s="73"/>
      <c r="C1739" s="73"/>
      <c r="D1739" s="73"/>
      <c r="E1739" s="73"/>
      <c r="F1739" s="73"/>
      <c r="G1739" s="73"/>
      <c r="H1739" s="73"/>
      <c r="I1739" s="73"/>
      <c r="J1739" s="73"/>
      <c r="K1739" s="73"/>
      <c r="L1739" s="73"/>
      <c r="M1739" s="73"/>
      <c r="N1739" s="73"/>
      <c r="O1739" s="73"/>
      <c r="P1739" s="73"/>
      <c r="Q1739" s="73"/>
      <c r="R1739" s="73"/>
      <c r="S1739" s="73"/>
      <c r="T1739" s="73"/>
      <c r="U1739" s="73"/>
      <c r="V1739" s="73"/>
      <c r="W1739" s="73"/>
      <c r="GL1739" s="73"/>
      <c r="GM1739" s="73"/>
      <c r="GN1739" s="73"/>
      <c r="GO1739" s="73"/>
      <c r="GP1739" s="73"/>
      <c r="GQ1739" s="73"/>
      <c r="GR1739" s="73"/>
      <c r="GS1739" s="73"/>
      <c r="GT1739" s="73"/>
      <c r="GU1739" s="73"/>
      <c r="GV1739" s="73"/>
      <c r="GW1739" s="73"/>
      <c r="GX1739" s="73"/>
      <c r="GY1739" s="73"/>
      <c r="GZ1739" s="73"/>
      <c r="HA1739" s="73"/>
      <c r="HB1739" s="73"/>
      <c r="HC1739" s="73"/>
      <c r="HD1739" s="73"/>
      <c r="HE1739" s="73"/>
      <c r="HF1739" s="73"/>
      <c r="HG1739" s="73"/>
      <c r="HH1739" s="73"/>
      <c r="HI1739" s="73"/>
      <c r="HJ1739" s="73"/>
      <c r="HK1739" s="73"/>
      <c r="HL1739" s="73"/>
      <c r="HM1739" s="73"/>
      <c r="HN1739" s="73"/>
      <c r="HO1739" s="73"/>
      <c r="HP1739" s="73"/>
      <c r="HQ1739" s="73"/>
      <c r="HR1739" s="73"/>
      <c r="HS1739" s="73"/>
      <c r="HT1739" s="73"/>
      <c r="HU1739" s="73"/>
      <c r="HV1739" s="73"/>
      <c r="HW1739" s="73"/>
      <c r="HX1739" s="73"/>
      <c r="HY1739" s="73"/>
      <c r="HZ1739" s="73"/>
      <c r="IA1739" s="73"/>
      <c r="IB1739" s="73"/>
      <c r="IC1739" s="73"/>
      <c r="ID1739" s="73"/>
      <c r="IE1739" s="73"/>
      <c r="IF1739" s="73"/>
      <c r="IG1739" s="73"/>
      <c r="IH1739" s="73"/>
      <c r="II1739" s="73"/>
      <c r="IJ1739" s="73"/>
      <c r="IK1739" s="73"/>
      <c r="IL1739" s="73"/>
      <c r="IM1739" s="73"/>
      <c r="IN1739" s="73"/>
      <c r="IO1739" s="73"/>
      <c r="IP1739" s="73"/>
      <c r="IQ1739" s="73"/>
      <c r="IR1739" s="73"/>
      <c r="IS1739" s="73"/>
      <c r="IT1739" s="73"/>
      <c r="IU1739" s="73"/>
      <c r="IV1739" s="73"/>
      <c r="IW1739" s="73"/>
      <c r="IX1739" s="73"/>
      <c r="IY1739" s="73"/>
      <c r="IZ1739" s="73"/>
      <c r="JA1739" s="73"/>
      <c r="JB1739" s="73"/>
      <c r="JC1739" s="73"/>
    </row>
    <row r="1740" spans="2:263" s="72" customFormat="1">
      <c r="B1740" s="73"/>
      <c r="C1740" s="73"/>
      <c r="D1740" s="73"/>
      <c r="E1740" s="73"/>
      <c r="F1740" s="73"/>
      <c r="G1740" s="73"/>
      <c r="H1740" s="73"/>
      <c r="I1740" s="73"/>
      <c r="J1740" s="73"/>
      <c r="K1740" s="73"/>
      <c r="L1740" s="73"/>
      <c r="M1740" s="73"/>
      <c r="N1740" s="73"/>
      <c r="O1740" s="73"/>
      <c r="P1740" s="73"/>
      <c r="Q1740" s="73"/>
      <c r="R1740" s="73"/>
      <c r="S1740" s="73"/>
      <c r="T1740" s="73"/>
      <c r="U1740" s="73"/>
      <c r="V1740" s="73"/>
      <c r="W1740" s="73"/>
      <c r="GL1740" s="73"/>
      <c r="GM1740" s="73"/>
      <c r="GN1740" s="73"/>
      <c r="GO1740" s="73"/>
      <c r="GP1740" s="73"/>
      <c r="GQ1740" s="73"/>
      <c r="GR1740" s="73"/>
      <c r="GS1740" s="73"/>
      <c r="GT1740" s="73"/>
      <c r="GU1740" s="73"/>
      <c r="GV1740" s="73"/>
      <c r="GW1740" s="73"/>
      <c r="GX1740" s="73"/>
      <c r="GY1740" s="73"/>
      <c r="GZ1740" s="73"/>
      <c r="HA1740" s="73"/>
      <c r="HB1740" s="73"/>
      <c r="HC1740" s="73"/>
      <c r="HD1740" s="73"/>
      <c r="HE1740" s="73"/>
      <c r="HF1740" s="73"/>
      <c r="HG1740" s="73"/>
      <c r="HH1740" s="73"/>
      <c r="HI1740" s="73"/>
      <c r="HJ1740" s="73"/>
      <c r="HK1740" s="73"/>
      <c r="HL1740" s="73"/>
      <c r="HM1740" s="73"/>
      <c r="HN1740" s="73"/>
      <c r="HO1740" s="73"/>
      <c r="HP1740" s="73"/>
      <c r="HQ1740" s="73"/>
      <c r="HR1740" s="73"/>
      <c r="HS1740" s="73"/>
      <c r="HT1740" s="73"/>
      <c r="HU1740" s="73"/>
      <c r="HV1740" s="73"/>
      <c r="HW1740" s="73"/>
      <c r="HX1740" s="73"/>
      <c r="HY1740" s="73"/>
      <c r="HZ1740" s="73"/>
      <c r="IA1740" s="73"/>
      <c r="IB1740" s="73"/>
      <c r="IC1740" s="73"/>
      <c r="ID1740" s="73"/>
      <c r="IE1740" s="73"/>
      <c r="IF1740" s="73"/>
      <c r="IG1740" s="73"/>
      <c r="IH1740" s="73"/>
      <c r="II1740" s="73"/>
      <c r="IJ1740" s="73"/>
      <c r="IK1740" s="73"/>
      <c r="IL1740" s="73"/>
      <c r="IM1740" s="73"/>
      <c r="IN1740" s="73"/>
      <c r="IO1740" s="73"/>
      <c r="IP1740" s="73"/>
      <c r="IQ1740" s="73"/>
      <c r="IR1740" s="73"/>
      <c r="IS1740" s="73"/>
      <c r="IT1740" s="73"/>
      <c r="IU1740" s="73"/>
      <c r="IV1740" s="73"/>
      <c r="IW1740" s="73"/>
      <c r="IX1740" s="73"/>
      <c r="IY1740" s="73"/>
      <c r="IZ1740" s="73"/>
      <c r="JA1740" s="73"/>
      <c r="JB1740" s="73"/>
      <c r="JC1740" s="73"/>
    </row>
    <row r="1741" spans="2:263" s="72" customFormat="1">
      <c r="B1741" s="73"/>
      <c r="C1741" s="73"/>
      <c r="D1741" s="73"/>
      <c r="E1741" s="73"/>
      <c r="F1741" s="73"/>
      <c r="G1741" s="73"/>
      <c r="H1741" s="73"/>
      <c r="I1741" s="73"/>
      <c r="J1741" s="73"/>
      <c r="K1741" s="73"/>
      <c r="L1741" s="73"/>
      <c r="M1741" s="73"/>
      <c r="N1741" s="73"/>
      <c r="O1741" s="73"/>
      <c r="P1741" s="73"/>
      <c r="Q1741" s="73"/>
      <c r="R1741" s="73"/>
      <c r="S1741" s="73"/>
      <c r="T1741" s="73"/>
      <c r="U1741" s="73"/>
      <c r="V1741" s="73"/>
      <c r="W1741" s="73"/>
      <c r="GL1741" s="73"/>
      <c r="GM1741" s="73"/>
      <c r="GN1741" s="73"/>
      <c r="GO1741" s="73"/>
      <c r="GP1741" s="73"/>
      <c r="GQ1741" s="73"/>
      <c r="GR1741" s="73"/>
      <c r="GS1741" s="73"/>
      <c r="GT1741" s="73"/>
      <c r="GU1741" s="73"/>
      <c r="GV1741" s="73"/>
      <c r="GW1741" s="73"/>
      <c r="GX1741" s="73"/>
      <c r="GY1741" s="73"/>
      <c r="GZ1741" s="73"/>
      <c r="HA1741" s="73"/>
      <c r="HB1741" s="73"/>
      <c r="HC1741" s="73"/>
      <c r="HD1741" s="73"/>
      <c r="HE1741" s="73"/>
      <c r="HF1741" s="73"/>
      <c r="HG1741" s="73"/>
      <c r="HH1741" s="73"/>
      <c r="HI1741" s="73"/>
      <c r="HJ1741" s="73"/>
      <c r="HK1741" s="73"/>
      <c r="HL1741" s="73"/>
      <c r="HM1741" s="73"/>
      <c r="HN1741" s="73"/>
      <c r="HO1741" s="73"/>
      <c r="HP1741" s="73"/>
      <c r="HQ1741" s="73"/>
      <c r="HR1741" s="73"/>
      <c r="HS1741" s="73"/>
      <c r="HT1741" s="73"/>
      <c r="HU1741" s="73"/>
      <c r="HV1741" s="73"/>
      <c r="HW1741" s="73"/>
      <c r="HX1741" s="73"/>
      <c r="HY1741" s="73"/>
      <c r="HZ1741" s="73"/>
      <c r="IA1741" s="73"/>
      <c r="IB1741" s="73"/>
      <c r="IC1741" s="73"/>
      <c r="ID1741" s="73"/>
      <c r="IE1741" s="73"/>
      <c r="IF1741" s="73"/>
      <c r="IG1741" s="73"/>
      <c r="IH1741" s="73"/>
      <c r="II1741" s="73"/>
      <c r="IJ1741" s="73"/>
      <c r="IK1741" s="73"/>
      <c r="IL1741" s="73"/>
      <c r="IM1741" s="73"/>
      <c r="IN1741" s="73"/>
      <c r="IO1741" s="73"/>
      <c r="IP1741" s="73"/>
      <c r="IQ1741" s="73"/>
      <c r="IR1741" s="73"/>
      <c r="IS1741" s="73"/>
      <c r="IT1741" s="73"/>
      <c r="IU1741" s="73"/>
      <c r="IV1741" s="73"/>
      <c r="IW1741" s="73"/>
      <c r="IX1741" s="73"/>
      <c r="IY1741" s="73"/>
      <c r="IZ1741" s="73"/>
      <c r="JA1741" s="73"/>
      <c r="JB1741" s="73"/>
      <c r="JC1741" s="73"/>
    </row>
    <row r="1742" spans="2:263" s="72" customFormat="1">
      <c r="B1742" s="73"/>
      <c r="C1742" s="73"/>
      <c r="D1742" s="73"/>
      <c r="E1742" s="73"/>
      <c r="F1742" s="73"/>
      <c r="G1742" s="73"/>
      <c r="H1742" s="73"/>
      <c r="I1742" s="73"/>
      <c r="J1742" s="73"/>
      <c r="K1742" s="73"/>
      <c r="L1742" s="73"/>
      <c r="M1742" s="73"/>
      <c r="N1742" s="73"/>
      <c r="O1742" s="73"/>
      <c r="P1742" s="73"/>
      <c r="Q1742" s="73"/>
      <c r="R1742" s="73"/>
      <c r="S1742" s="73"/>
      <c r="T1742" s="73"/>
      <c r="U1742" s="73"/>
      <c r="V1742" s="73"/>
      <c r="W1742" s="73"/>
      <c r="GL1742" s="73"/>
      <c r="GM1742" s="73"/>
      <c r="GN1742" s="73"/>
      <c r="GO1742" s="73"/>
      <c r="GP1742" s="73"/>
      <c r="GQ1742" s="73"/>
      <c r="GR1742" s="73"/>
      <c r="GS1742" s="73"/>
      <c r="GT1742" s="73"/>
      <c r="GU1742" s="73"/>
      <c r="GV1742" s="73"/>
      <c r="GW1742" s="73"/>
      <c r="GX1742" s="73"/>
      <c r="GY1742" s="73"/>
      <c r="GZ1742" s="73"/>
      <c r="HA1742" s="73"/>
      <c r="HB1742" s="73"/>
      <c r="HC1742" s="73"/>
      <c r="HD1742" s="73"/>
      <c r="HE1742" s="73"/>
      <c r="HF1742" s="73"/>
      <c r="HG1742" s="73"/>
      <c r="HH1742" s="73"/>
      <c r="HI1742" s="73"/>
      <c r="HJ1742" s="73"/>
      <c r="HK1742" s="73"/>
      <c r="HL1742" s="73"/>
      <c r="HM1742" s="73"/>
      <c r="HN1742" s="73"/>
      <c r="HO1742" s="73"/>
      <c r="HP1742" s="73"/>
      <c r="HQ1742" s="73"/>
      <c r="HR1742" s="73"/>
      <c r="HS1742" s="73"/>
      <c r="HT1742" s="73"/>
      <c r="HU1742" s="73"/>
      <c r="HV1742" s="73"/>
      <c r="HW1742" s="73"/>
      <c r="HX1742" s="73"/>
      <c r="HY1742" s="73"/>
      <c r="HZ1742" s="73"/>
      <c r="IA1742" s="73"/>
      <c r="IB1742" s="73"/>
      <c r="IC1742" s="73"/>
      <c r="ID1742" s="73"/>
      <c r="IE1742" s="73"/>
      <c r="IF1742" s="73"/>
      <c r="IG1742" s="73"/>
      <c r="IH1742" s="73"/>
      <c r="II1742" s="73"/>
      <c r="IJ1742" s="73"/>
      <c r="IK1742" s="73"/>
      <c r="IL1742" s="73"/>
      <c r="IM1742" s="73"/>
      <c r="IN1742" s="73"/>
      <c r="IO1742" s="73"/>
      <c r="IP1742" s="73"/>
      <c r="IQ1742" s="73"/>
      <c r="IR1742" s="73"/>
      <c r="IS1742" s="73"/>
      <c r="IT1742" s="73"/>
      <c r="IU1742" s="73"/>
      <c r="IV1742" s="73"/>
      <c r="IW1742" s="73"/>
      <c r="IX1742" s="73"/>
      <c r="IY1742" s="73"/>
      <c r="IZ1742" s="73"/>
      <c r="JA1742" s="73"/>
      <c r="JB1742" s="73"/>
      <c r="JC1742" s="73"/>
    </row>
    <row r="1743" spans="2:263" s="72" customFormat="1">
      <c r="B1743" s="73"/>
      <c r="C1743" s="73"/>
      <c r="D1743" s="73"/>
      <c r="E1743" s="73"/>
      <c r="F1743" s="73"/>
      <c r="G1743" s="73"/>
      <c r="H1743" s="73"/>
      <c r="I1743" s="73"/>
      <c r="J1743" s="73"/>
      <c r="K1743" s="73"/>
      <c r="L1743" s="73"/>
      <c r="M1743" s="73"/>
      <c r="N1743" s="73"/>
      <c r="O1743" s="73"/>
      <c r="P1743" s="73"/>
      <c r="Q1743" s="73"/>
      <c r="R1743" s="73"/>
      <c r="S1743" s="73"/>
      <c r="T1743" s="73"/>
      <c r="U1743" s="73"/>
      <c r="V1743" s="73"/>
      <c r="W1743" s="73"/>
      <c r="GL1743" s="73"/>
      <c r="GM1743" s="73"/>
      <c r="GN1743" s="73"/>
      <c r="GO1743" s="73"/>
      <c r="GP1743" s="73"/>
      <c r="GQ1743" s="73"/>
      <c r="GR1743" s="73"/>
      <c r="GS1743" s="73"/>
      <c r="GT1743" s="73"/>
      <c r="GU1743" s="73"/>
      <c r="GV1743" s="73"/>
      <c r="GW1743" s="73"/>
      <c r="GX1743" s="73"/>
      <c r="GY1743" s="73"/>
      <c r="GZ1743" s="73"/>
      <c r="HA1743" s="73"/>
      <c r="HB1743" s="73"/>
      <c r="HC1743" s="73"/>
      <c r="HD1743" s="73"/>
      <c r="HE1743" s="73"/>
      <c r="HF1743" s="73"/>
      <c r="HG1743" s="73"/>
      <c r="HH1743" s="73"/>
      <c r="HI1743" s="73"/>
      <c r="HJ1743" s="73"/>
      <c r="HK1743" s="73"/>
      <c r="HL1743" s="73"/>
      <c r="HM1743" s="73"/>
      <c r="HN1743" s="73"/>
      <c r="HO1743" s="73"/>
      <c r="HP1743" s="73"/>
      <c r="HQ1743" s="73"/>
      <c r="HR1743" s="73"/>
      <c r="HS1743" s="73"/>
      <c r="HT1743" s="73"/>
      <c r="HU1743" s="73"/>
      <c r="HV1743" s="73"/>
      <c r="HW1743" s="73"/>
      <c r="HX1743" s="73"/>
      <c r="HY1743" s="73"/>
      <c r="HZ1743" s="73"/>
      <c r="IA1743" s="73"/>
      <c r="IB1743" s="73"/>
      <c r="IC1743" s="73"/>
      <c r="ID1743" s="73"/>
      <c r="IE1743" s="73"/>
      <c r="IF1743" s="73"/>
      <c r="IG1743" s="73"/>
      <c r="IH1743" s="73"/>
      <c r="II1743" s="73"/>
      <c r="IJ1743" s="73"/>
      <c r="IK1743" s="73"/>
      <c r="IL1743" s="73"/>
      <c r="IM1743" s="73"/>
      <c r="IN1743" s="73"/>
      <c r="IO1743" s="73"/>
      <c r="IP1743" s="73"/>
      <c r="IQ1743" s="73"/>
      <c r="IR1743" s="73"/>
      <c r="IS1743" s="73"/>
      <c r="IT1743" s="73"/>
      <c r="IU1743" s="73"/>
      <c r="IV1743" s="73"/>
      <c r="IW1743" s="73"/>
      <c r="IX1743" s="73"/>
      <c r="IY1743" s="73"/>
      <c r="IZ1743" s="73"/>
      <c r="JA1743" s="73"/>
      <c r="JB1743" s="73"/>
      <c r="JC1743" s="73"/>
    </row>
    <row r="1744" spans="2:263" s="72" customFormat="1">
      <c r="B1744" s="73"/>
      <c r="C1744" s="73"/>
      <c r="D1744" s="73"/>
      <c r="E1744" s="73"/>
      <c r="F1744" s="73"/>
      <c r="G1744" s="73"/>
      <c r="H1744" s="73"/>
      <c r="I1744" s="73"/>
      <c r="J1744" s="73"/>
      <c r="K1744" s="73"/>
      <c r="L1744" s="73"/>
      <c r="M1744" s="73"/>
      <c r="N1744" s="73"/>
      <c r="O1744" s="73"/>
      <c r="P1744" s="73"/>
      <c r="Q1744" s="73"/>
      <c r="R1744" s="73"/>
      <c r="S1744" s="73"/>
      <c r="T1744" s="73"/>
      <c r="U1744" s="73"/>
      <c r="V1744" s="73"/>
      <c r="W1744" s="73"/>
      <c r="GL1744" s="73"/>
      <c r="GM1744" s="73"/>
      <c r="GN1744" s="73"/>
      <c r="GO1744" s="73"/>
      <c r="GP1744" s="73"/>
      <c r="GQ1744" s="73"/>
      <c r="GR1744" s="73"/>
      <c r="GS1744" s="73"/>
      <c r="GT1744" s="73"/>
      <c r="GU1744" s="73"/>
      <c r="GV1744" s="73"/>
      <c r="GW1744" s="73"/>
      <c r="GX1744" s="73"/>
      <c r="GY1744" s="73"/>
      <c r="GZ1744" s="73"/>
      <c r="HA1744" s="73"/>
      <c r="HB1744" s="73"/>
      <c r="HC1744" s="73"/>
      <c r="HD1744" s="73"/>
      <c r="HE1744" s="73"/>
      <c r="HF1744" s="73"/>
      <c r="HG1744" s="73"/>
      <c r="HH1744" s="73"/>
      <c r="HI1744" s="73"/>
      <c r="HJ1744" s="73"/>
      <c r="HK1744" s="73"/>
      <c r="HL1744" s="73"/>
      <c r="HM1744" s="73"/>
      <c r="HN1744" s="73"/>
      <c r="HO1744" s="73"/>
      <c r="HP1744" s="73"/>
      <c r="HQ1744" s="73"/>
      <c r="HR1744" s="73"/>
      <c r="HS1744" s="73"/>
      <c r="HT1744" s="73"/>
      <c r="HU1744" s="73"/>
      <c r="HV1744" s="73"/>
      <c r="HW1744" s="73"/>
      <c r="HX1744" s="73"/>
      <c r="HY1744" s="73"/>
      <c r="HZ1744" s="73"/>
      <c r="IA1744" s="73"/>
      <c r="IB1744" s="73"/>
      <c r="IC1744" s="73"/>
      <c r="ID1744" s="73"/>
      <c r="IE1744" s="73"/>
      <c r="IF1744" s="73"/>
      <c r="IG1744" s="73"/>
      <c r="IH1744" s="73"/>
      <c r="II1744" s="73"/>
      <c r="IJ1744" s="73"/>
      <c r="IK1744" s="73"/>
      <c r="IL1744" s="73"/>
      <c r="IM1744" s="73"/>
      <c r="IN1744" s="73"/>
      <c r="IO1744" s="73"/>
      <c r="IP1744" s="73"/>
      <c r="IQ1744" s="73"/>
      <c r="IR1744" s="73"/>
      <c r="IS1744" s="73"/>
      <c r="IT1744" s="73"/>
      <c r="IU1744" s="73"/>
      <c r="IV1744" s="73"/>
      <c r="IW1744" s="73"/>
      <c r="IX1744" s="73"/>
      <c r="IY1744" s="73"/>
      <c r="IZ1744" s="73"/>
      <c r="JA1744" s="73"/>
      <c r="JB1744" s="73"/>
      <c r="JC1744" s="73"/>
    </row>
    <row r="1745" spans="2:263" s="72" customFormat="1">
      <c r="B1745" s="73"/>
      <c r="C1745" s="73"/>
      <c r="D1745" s="73"/>
      <c r="E1745" s="73"/>
      <c r="F1745" s="73"/>
      <c r="G1745" s="73"/>
      <c r="H1745" s="73"/>
      <c r="I1745" s="73"/>
      <c r="J1745" s="73"/>
      <c r="K1745" s="73"/>
      <c r="L1745" s="73"/>
      <c r="M1745" s="73"/>
      <c r="N1745" s="73"/>
      <c r="O1745" s="73"/>
      <c r="P1745" s="73"/>
      <c r="Q1745" s="73"/>
      <c r="R1745" s="73"/>
      <c r="S1745" s="73"/>
      <c r="T1745" s="73"/>
      <c r="U1745" s="73"/>
      <c r="V1745" s="73"/>
      <c r="W1745" s="73"/>
      <c r="GL1745" s="73"/>
      <c r="GM1745" s="73"/>
      <c r="GN1745" s="73"/>
      <c r="GO1745" s="73"/>
      <c r="GP1745" s="73"/>
      <c r="GQ1745" s="73"/>
      <c r="GR1745" s="73"/>
      <c r="GS1745" s="73"/>
      <c r="GT1745" s="73"/>
      <c r="GU1745" s="73"/>
      <c r="GV1745" s="73"/>
      <c r="GW1745" s="73"/>
      <c r="GX1745" s="73"/>
      <c r="GY1745" s="73"/>
      <c r="GZ1745" s="73"/>
      <c r="HA1745" s="73"/>
      <c r="HB1745" s="73"/>
      <c r="HC1745" s="73"/>
      <c r="HD1745" s="73"/>
      <c r="HE1745" s="73"/>
      <c r="HF1745" s="73"/>
      <c r="HG1745" s="73"/>
      <c r="HH1745" s="73"/>
      <c r="HI1745" s="73"/>
      <c r="HJ1745" s="73"/>
      <c r="HK1745" s="73"/>
      <c r="HL1745" s="73"/>
      <c r="HM1745" s="73"/>
      <c r="HN1745" s="73"/>
      <c r="HO1745" s="73"/>
      <c r="HP1745" s="73"/>
      <c r="HQ1745" s="73"/>
      <c r="HR1745" s="73"/>
      <c r="HS1745" s="73"/>
      <c r="HT1745" s="73"/>
      <c r="HU1745" s="73"/>
      <c r="HV1745" s="73"/>
      <c r="HW1745" s="73"/>
      <c r="HX1745" s="73"/>
      <c r="HY1745" s="73"/>
      <c r="HZ1745" s="73"/>
      <c r="IA1745" s="73"/>
      <c r="IB1745" s="73"/>
      <c r="IC1745" s="73"/>
      <c r="ID1745" s="73"/>
      <c r="IE1745" s="73"/>
      <c r="IF1745" s="73"/>
      <c r="IG1745" s="73"/>
      <c r="IH1745" s="73"/>
      <c r="II1745" s="73"/>
      <c r="IJ1745" s="73"/>
      <c r="IK1745" s="73"/>
      <c r="IL1745" s="73"/>
      <c r="IM1745" s="73"/>
      <c r="IN1745" s="73"/>
      <c r="IO1745" s="73"/>
      <c r="IP1745" s="73"/>
      <c r="IQ1745" s="73"/>
      <c r="IR1745" s="73"/>
      <c r="IS1745" s="73"/>
      <c r="IT1745" s="73"/>
      <c r="IU1745" s="73"/>
      <c r="IV1745" s="73"/>
      <c r="IW1745" s="73"/>
      <c r="IX1745" s="73"/>
      <c r="IY1745" s="73"/>
      <c r="IZ1745" s="73"/>
      <c r="JA1745" s="73"/>
      <c r="JB1745" s="73"/>
      <c r="JC1745" s="73"/>
    </row>
    <row r="1746" spans="2:263" s="72" customFormat="1">
      <c r="B1746" s="73"/>
      <c r="C1746" s="73"/>
      <c r="D1746" s="73"/>
      <c r="E1746" s="73"/>
      <c r="F1746" s="73"/>
      <c r="G1746" s="73"/>
      <c r="H1746" s="73"/>
      <c r="I1746" s="73"/>
      <c r="J1746" s="73"/>
      <c r="K1746" s="73"/>
      <c r="L1746" s="73"/>
      <c r="M1746" s="73"/>
      <c r="N1746" s="73"/>
      <c r="O1746" s="73"/>
      <c r="P1746" s="73"/>
      <c r="Q1746" s="73"/>
      <c r="R1746" s="73"/>
      <c r="S1746" s="73"/>
      <c r="T1746" s="73"/>
      <c r="U1746" s="73"/>
      <c r="V1746" s="73"/>
      <c r="W1746" s="73"/>
      <c r="GL1746" s="73"/>
      <c r="GM1746" s="73"/>
      <c r="GN1746" s="73"/>
      <c r="GO1746" s="73"/>
      <c r="GP1746" s="73"/>
      <c r="GQ1746" s="73"/>
      <c r="GR1746" s="73"/>
      <c r="GS1746" s="73"/>
      <c r="GT1746" s="73"/>
      <c r="GU1746" s="73"/>
      <c r="GV1746" s="73"/>
      <c r="GW1746" s="73"/>
      <c r="GX1746" s="73"/>
      <c r="GY1746" s="73"/>
      <c r="GZ1746" s="73"/>
      <c r="HA1746" s="73"/>
      <c r="HB1746" s="73"/>
      <c r="HC1746" s="73"/>
      <c r="HD1746" s="73"/>
      <c r="HE1746" s="73"/>
      <c r="HF1746" s="73"/>
      <c r="HG1746" s="73"/>
      <c r="HH1746" s="73"/>
      <c r="HI1746" s="73"/>
      <c r="HJ1746" s="73"/>
      <c r="HK1746" s="73"/>
      <c r="HL1746" s="73"/>
      <c r="HM1746" s="73"/>
      <c r="HN1746" s="73"/>
      <c r="HO1746" s="73"/>
      <c r="HP1746" s="73"/>
      <c r="HQ1746" s="73"/>
      <c r="HR1746" s="73"/>
      <c r="HS1746" s="73"/>
      <c r="HT1746" s="73"/>
      <c r="HU1746" s="73"/>
      <c r="HV1746" s="73"/>
      <c r="HW1746" s="73"/>
      <c r="HX1746" s="73"/>
      <c r="HY1746" s="73"/>
      <c r="HZ1746" s="73"/>
      <c r="IA1746" s="73"/>
      <c r="IB1746" s="73"/>
      <c r="IC1746" s="73"/>
      <c r="ID1746" s="73"/>
      <c r="IE1746" s="73"/>
      <c r="IF1746" s="73"/>
      <c r="IG1746" s="73"/>
      <c r="IH1746" s="73"/>
      <c r="II1746" s="73"/>
      <c r="IJ1746" s="73"/>
      <c r="IK1746" s="73"/>
      <c r="IL1746" s="73"/>
      <c r="IM1746" s="73"/>
      <c r="IN1746" s="73"/>
      <c r="IO1746" s="73"/>
      <c r="IP1746" s="73"/>
      <c r="IQ1746" s="73"/>
      <c r="IR1746" s="73"/>
      <c r="IS1746" s="73"/>
      <c r="IT1746" s="73"/>
      <c r="IU1746" s="73"/>
      <c r="IV1746" s="73"/>
      <c r="IW1746" s="73"/>
      <c r="IX1746" s="73"/>
      <c r="IY1746" s="73"/>
      <c r="IZ1746" s="73"/>
      <c r="JA1746" s="73"/>
      <c r="JB1746" s="73"/>
      <c r="JC1746" s="73"/>
    </row>
    <row r="1747" spans="2:263" s="72" customFormat="1">
      <c r="B1747" s="73"/>
      <c r="C1747" s="73"/>
      <c r="D1747" s="73"/>
      <c r="E1747" s="73"/>
      <c r="F1747" s="73"/>
      <c r="G1747" s="73"/>
      <c r="H1747" s="73"/>
      <c r="I1747" s="73"/>
      <c r="J1747" s="73"/>
      <c r="K1747" s="73"/>
      <c r="L1747" s="73"/>
      <c r="M1747" s="73"/>
      <c r="N1747" s="73"/>
      <c r="O1747" s="73"/>
      <c r="P1747" s="73"/>
      <c r="Q1747" s="73"/>
      <c r="R1747" s="73"/>
      <c r="S1747" s="73"/>
      <c r="T1747" s="73"/>
      <c r="U1747" s="73"/>
      <c r="V1747" s="73"/>
      <c r="W1747" s="73"/>
      <c r="GL1747" s="73"/>
      <c r="GM1747" s="73"/>
      <c r="GN1747" s="73"/>
      <c r="GO1747" s="73"/>
      <c r="GP1747" s="73"/>
      <c r="GQ1747" s="73"/>
      <c r="GR1747" s="73"/>
      <c r="GS1747" s="73"/>
      <c r="GT1747" s="73"/>
      <c r="GU1747" s="73"/>
      <c r="GV1747" s="73"/>
      <c r="GW1747" s="73"/>
      <c r="GX1747" s="73"/>
      <c r="GY1747" s="73"/>
      <c r="GZ1747" s="73"/>
      <c r="HA1747" s="73"/>
      <c r="HB1747" s="73"/>
      <c r="HC1747" s="73"/>
      <c r="HD1747" s="73"/>
      <c r="HE1747" s="73"/>
      <c r="HF1747" s="73"/>
      <c r="HG1747" s="73"/>
      <c r="HH1747" s="73"/>
      <c r="HI1747" s="73"/>
      <c r="HJ1747" s="73"/>
      <c r="HK1747" s="73"/>
      <c r="HL1747" s="73"/>
      <c r="HM1747" s="73"/>
      <c r="HN1747" s="73"/>
      <c r="HO1747" s="73"/>
      <c r="HP1747" s="73"/>
      <c r="HQ1747" s="73"/>
      <c r="HR1747" s="73"/>
      <c r="HS1747" s="73"/>
      <c r="HT1747" s="73"/>
      <c r="HU1747" s="73"/>
      <c r="HV1747" s="73"/>
      <c r="HW1747" s="73"/>
      <c r="HX1747" s="73"/>
      <c r="HY1747" s="73"/>
      <c r="HZ1747" s="73"/>
      <c r="IA1747" s="73"/>
      <c r="IB1747" s="73"/>
      <c r="IC1747" s="73"/>
      <c r="ID1747" s="73"/>
      <c r="IE1747" s="73"/>
      <c r="IF1747" s="73"/>
      <c r="IG1747" s="73"/>
      <c r="IH1747" s="73"/>
      <c r="II1747" s="73"/>
      <c r="IJ1747" s="73"/>
      <c r="IK1747" s="73"/>
      <c r="IL1747" s="73"/>
      <c r="IM1747" s="73"/>
      <c r="IN1747" s="73"/>
      <c r="IO1747" s="73"/>
      <c r="IP1747" s="73"/>
      <c r="IQ1747" s="73"/>
      <c r="IR1747" s="73"/>
      <c r="IS1747" s="73"/>
      <c r="IT1747" s="73"/>
      <c r="IU1747" s="73"/>
      <c r="IV1747" s="73"/>
      <c r="IW1747" s="73"/>
      <c r="IX1747" s="73"/>
      <c r="IY1747" s="73"/>
      <c r="IZ1747" s="73"/>
      <c r="JA1747" s="73"/>
      <c r="JB1747" s="73"/>
      <c r="JC1747" s="73"/>
    </row>
    <row r="1748" spans="2:263" s="72" customFormat="1">
      <c r="B1748" s="73"/>
      <c r="C1748" s="73"/>
      <c r="D1748" s="73"/>
      <c r="E1748" s="73"/>
      <c r="F1748" s="73"/>
      <c r="G1748" s="73"/>
      <c r="H1748" s="73"/>
      <c r="I1748" s="73"/>
      <c r="J1748" s="73"/>
      <c r="K1748" s="73"/>
      <c r="L1748" s="73"/>
      <c r="M1748" s="73"/>
      <c r="N1748" s="73"/>
      <c r="O1748" s="73"/>
      <c r="P1748" s="73"/>
      <c r="Q1748" s="73"/>
      <c r="R1748" s="73"/>
      <c r="S1748" s="73"/>
      <c r="T1748" s="73"/>
      <c r="U1748" s="73"/>
      <c r="V1748" s="73"/>
      <c r="W1748" s="73"/>
      <c r="GL1748" s="73"/>
      <c r="GM1748" s="73"/>
      <c r="GN1748" s="73"/>
      <c r="GO1748" s="73"/>
      <c r="GP1748" s="73"/>
      <c r="GQ1748" s="73"/>
      <c r="GR1748" s="73"/>
      <c r="GS1748" s="73"/>
      <c r="GT1748" s="73"/>
      <c r="GU1748" s="73"/>
      <c r="GV1748" s="73"/>
      <c r="GW1748" s="73"/>
      <c r="GX1748" s="73"/>
      <c r="GY1748" s="73"/>
      <c r="GZ1748" s="73"/>
      <c r="HA1748" s="73"/>
      <c r="HB1748" s="73"/>
      <c r="HC1748" s="73"/>
      <c r="HD1748" s="73"/>
      <c r="HE1748" s="73"/>
      <c r="HF1748" s="73"/>
      <c r="HG1748" s="73"/>
      <c r="HH1748" s="73"/>
      <c r="HI1748" s="73"/>
      <c r="HJ1748" s="73"/>
      <c r="HK1748" s="73"/>
      <c r="HL1748" s="73"/>
      <c r="HM1748" s="73"/>
      <c r="HN1748" s="73"/>
      <c r="HO1748" s="73"/>
      <c r="HP1748" s="73"/>
      <c r="HQ1748" s="73"/>
      <c r="HR1748" s="73"/>
      <c r="HS1748" s="73"/>
      <c r="HT1748" s="73"/>
      <c r="HU1748" s="73"/>
      <c r="HV1748" s="73"/>
      <c r="HW1748" s="73"/>
      <c r="HX1748" s="73"/>
      <c r="HY1748" s="73"/>
      <c r="HZ1748" s="73"/>
      <c r="IA1748" s="73"/>
      <c r="IB1748" s="73"/>
      <c r="IC1748" s="73"/>
      <c r="ID1748" s="73"/>
      <c r="IE1748" s="73"/>
      <c r="IF1748" s="73"/>
      <c r="IG1748" s="73"/>
      <c r="IH1748" s="73"/>
      <c r="II1748" s="73"/>
      <c r="IJ1748" s="73"/>
      <c r="IK1748" s="73"/>
      <c r="IL1748" s="73"/>
      <c r="IM1748" s="73"/>
      <c r="IN1748" s="73"/>
      <c r="IO1748" s="73"/>
      <c r="IP1748" s="73"/>
      <c r="IQ1748" s="73"/>
      <c r="IR1748" s="73"/>
      <c r="IS1748" s="73"/>
      <c r="IT1748" s="73"/>
      <c r="IU1748" s="73"/>
      <c r="IV1748" s="73"/>
      <c r="IW1748" s="73"/>
      <c r="IX1748" s="73"/>
      <c r="IY1748" s="73"/>
      <c r="IZ1748" s="73"/>
      <c r="JA1748" s="73"/>
      <c r="JB1748" s="73"/>
      <c r="JC1748" s="73"/>
    </row>
    <row r="1749" spans="2:263" s="72" customFormat="1">
      <c r="B1749" s="73"/>
      <c r="C1749" s="73"/>
      <c r="D1749" s="73"/>
      <c r="E1749" s="73"/>
      <c r="F1749" s="73"/>
      <c r="G1749" s="73"/>
      <c r="H1749" s="73"/>
      <c r="I1749" s="73"/>
      <c r="J1749" s="73"/>
      <c r="K1749" s="73"/>
      <c r="L1749" s="73"/>
      <c r="M1749" s="73"/>
      <c r="N1749" s="73"/>
      <c r="O1749" s="73"/>
      <c r="P1749" s="73"/>
      <c r="Q1749" s="73"/>
      <c r="R1749" s="73"/>
      <c r="S1749" s="73"/>
      <c r="T1749" s="73"/>
      <c r="U1749" s="73"/>
      <c r="V1749" s="73"/>
      <c r="W1749" s="73"/>
      <c r="GL1749" s="73"/>
      <c r="GM1749" s="73"/>
      <c r="GN1749" s="73"/>
      <c r="GO1749" s="73"/>
      <c r="GP1749" s="73"/>
      <c r="GQ1749" s="73"/>
      <c r="GR1749" s="73"/>
      <c r="GS1749" s="73"/>
      <c r="GT1749" s="73"/>
      <c r="GU1749" s="73"/>
      <c r="GV1749" s="73"/>
      <c r="GW1749" s="73"/>
      <c r="GX1749" s="73"/>
      <c r="GY1749" s="73"/>
      <c r="GZ1749" s="73"/>
      <c r="HA1749" s="73"/>
      <c r="HB1749" s="73"/>
      <c r="HC1749" s="73"/>
      <c r="HD1749" s="73"/>
      <c r="HE1749" s="73"/>
      <c r="HF1749" s="73"/>
      <c r="HG1749" s="73"/>
      <c r="HH1749" s="73"/>
      <c r="HI1749" s="73"/>
      <c r="HJ1749" s="73"/>
      <c r="HK1749" s="73"/>
      <c r="HL1749" s="73"/>
      <c r="HM1749" s="73"/>
      <c r="HN1749" s="73"/>
      <c r="HO1749" s="73"/>
      <c r="HP1749" s="73"/>
      <c r="HQ1749" s="73"/>
      <c r="HR1749" s="73"/>
      <c r="HS1749" s="73"/>
      <c r="HT1749" s="73"/>
      <c r="HU1749" s="73"/>
      <c r="HV1749" s="73"/>
      <c r="HW1749" s="73"/>
      <c r="HX1749" s="73"/>
      <c r="HY1749" s="73"/>
      <c r="HZ1749" s="73"/>
      <c r="IA1749" s="73"/>
      <c r="IB1749" s="73"/>
      <c r="IC1749" s="73"/>
      <c r="ID1749" s="73"/>
      <c r="IE1749" s="73"/>
      <c r="IF1749" s="73"/>
      <c r="IG1749" s="73"/>
      <c r="IH1749" s="73"/>
      <c r="II1749" s="73"/>
      <c r="IJ1749" s="73"/>
      <c r="IK1749" s="73"/>
      <c r="IL1749" s="73"/>
      <c r="IM1749" s="73"/>
      <c r="IN1749" s="73"/>
      <c r="IO1749" s="73"/>
      <c r="IP1749" s="73"/>
      <c r="IQ1749" s="73"/>
      <c r="IR1749" s="73"/>
      <c r="IS1749" s="73"/>
      <c r="IT1749" s="73"/>
      <c r="IU1749" s="73"/>
      <c r="IV1749" s="73"/>
      <c r="IW1749" s="73"/>
      <c r="IX1749" s="73"/>
      <c r="IY1749" s="73"/>
      <c r="IZ1749" s="73"/>
      <c r="JA1749" s="73"/>
      <c r="JB1749" s="73"/>
      <c r="JC1749" s="73"/>
    </row>
    <row r="1750" spans="2:263" s="72" customFormat="1">
      <c r="B1750" s="73"/>
      <c r="C1750" s="73"/>
      <c r="D1750" s="73"/>
      <c r="E1750" s="73"/>
      <c r="F1750" s="73"/>
      <c r="G1750" s="73"/>
      <c r="H1750" s="73"/>
      <c r="I1750" s="73"/>
      <c r="J1750" s="73"/>
      <c r="K1750" s="73"/>
      <c r="L1750" s="73"/>
      <c r="M1750" s="73"/>
      <c r="N1750" s="73"/>
      <c r="O1750" s="73"/>
      <c r="P1750" s="73"/>
      <c r="Q1750" s="73"/>
      <c r="R1750" s="73"/>
      <c r="S1750" s="73"/>
      <c r="T1750" s="73"/>
      <c r="U1750" s="73"/>
      <c r="V1750" s="73"/>
      <c r="W1750" s="73"/>
      <c r="GL1750" s="73"/>
      <c r="GM1750" s="73"/>
      <c r="GN1750" s="73"/>
      <c r="GO1750" s="73"/>
      <c r="GP1750" s="73"/>
      <c r="GQ1750" s="73"/>
      <c r="GR1750" s="73"/>
      <c r="GS1750" s="73"/>
      <c r="GT1750" s="73"/>
      <c r="GU1750" s="73"/>
      <c r="GV1750" s="73"/>
      <c r="GW1750" s="73"/>
      <c r="GX1750" s="73"/>
      <c r="GY1750" s="73"/>
      <c r="GZ1750" s="73"/>
      <c r="HA1750" s="73"/>
      <c r="HB1750" s="73"/>
      <c r="HC1750" s="73"/>
      <c r="HD1750" s="73"/>
      <c r="HE1750" s="73"/>
      <c r="HF1750" s="73"/>
      <c r="HG1750" s="73"/>
      <c r="HH1750" s="73"/>
      <c r="HI1750" s="73"/>
      <c r="HJ1750" s="73"/>
      <c r="HK1750" s="73"/>
      <c r="HL1750" s="73"/>
      <c r="HM1750" s="73"/>
      <c r="HN1750" s="73"/>
      <c r="HO1750" s="73"/>
      <c r="HP1750" s="73"/>
      <c r="HQ1750" s="73"/>
      <c r="HR1750" s="73"/>
      <c r="HS1750" s="73"/>
      <c r="HT1750" s="73"/>
      <c r="HU1750" s="73"/>
      <c r="HV1750" s="73"/>
      <c r="HW1750" s="73"/>
      <c r="HX1750" s="73"/>
      <c r="HY1750" s="73"/>
      <c r="HZ1750" s="73"/>
      <c r="IA1750" s="73"/>
      <c r="IB1750" s="73"/>
      <c r="IC1750" s="73"/>
      <c r="ID1750" s="73"/>
      <c r="IE1750" s="73"/>
      <c r="IF1750" s="73"/>
      <c r="IG1750" s="73"/>
      <c r="IH1750" s="73"/>
      <c r="II1750" s="73"/>
      <c r="IJ1750" s="73"/>
      <c r="IK1750" s="73"/>
      <c r="IL1750" s="73"/>
      <c r="IM1750" s="73"/>
      <c r="IN1750" s="73"/>
      <c r="IO1750" s="73"/>
      <c r="IP1750" s="73"/>
      <c r="IQ1750" s="73"/>
      <c r="IR1750" s="73"/>
      <c r="IS1750" s="73"/>
      <c r="IT1750" s="73"/>
      <c r="IU1750" s="73"/>
      <c r="IV1750" s="73"/>
      <c r="IW1750" s="73"/>
      <c r="IX1750" s="73"/>
      <c r="IY1750" s="73"/>
      <c r="IZ1750" s="73"/>
      <c r="JA1750" s="73"/>
      <c r="JB1750" s="73"/>
      <c r="JC1750" s="73"/>
    </row>
    <row r="1751" spans="2:263" s="72" customFormat="1">
      <c r="B1751" s="73"/>
      <c r="C1751" s="73"/>
      <c r="D1751" s="73"/>
      <c r="E1751" s="73"/>
      <c r="F1751" s="73"/>
      <c r="G1751" s="73"/>
      <c r="H1751" s="73"/>
      <c r="I1751" s="73"/>
      <c r="J1751" s="73"/>
      <c r="K1751" s="73"/>
      <c r="L1751" s="73"/>
      <c r="M1751" s="73"/>
      <c r="N1751" s="73"/>
      <c r="O1751" s="73"/>
      <c r="P1751" s="73"/>
      <c r="Q1751" s="73"/>
      <c r="R1751" s="73"/>
      <c r="S1751" s="73"/>
      <c r="T1751" s="73"/>
      <c r="U1751" s="73"/>
      <c r="V1751" s="73"/>
      <c r="W1751" s="73"/>
      <c r="GL1751" s="73"/>
      <c r="GM1751" s="73"/>
      <c r="GN1751" s="73"/>
      <c r="GO1751" s="73"/>
      <c r="GP1751" s="73"/>
      <c r="GQ1751" s="73"/>
      <c r="GR1751" s="73"/>
      <c r="GS1751" s="73"/>
      <c r="GT1751" s="73"/>
      <c r="GU1751" s="73"/>
      <c r="GV1751" s="73"/>
      <c r="GW1751" s="73"/>
      <c r="GX1751" s="73"/>
      <c r="GY1751" s="73"/>
      <c r="GZ1751" s="73"/>
      <c r="HA1751" s="73"/>
      <c r="HB1751" s="73"/>
      <c r="HC1751" s="73"/>
      <c r="HD1751" s="73"/>
      <c r="HE1751" s="73"/>
      <c r="HF1751" s="73"/>
      <c r="HG1751" s="73"/>
      <c r="HH1751" s="73"/>
      <c r="HI1751" s="73"/>
      <c r="HJ1751" s="73"/>
      <c r="HK1751" s="73"/>
      <c r="HL1751" s="73"/>
      <c r="HM1751" s="73"/>
      <c r="HN1751" s="73"/>
      <c r="HO1751" s="73"/>
      <c r="HP1751" s="73"/>
      <c r="HQ1751" s="73"/>
      <c r="HR1751" s="73"/>
      <c r="HS1751" s="73"/>
      <c r="HT1751" s="73"/>
      <c r="HU1751" s="73"/>
      <c r="HV1751" s="73"/>
      <c r="HW1751" s="73"/>
      <c r="HX1751" s="73"/>
      <c r="HY1751" s="73"/>
      <c r="HZ1751" s="73"/>
      <c r="IA1751" s="73"/>
      <c r="IB1751" s="73"/>
      <c r="IC1751" s="73"/>
      <c r="ID1751" s="73"/>
      <c r="IE1751" s="73"/>
      <c r="IF1751" s="73"/>
      <c r="IG1751" s="73"/>
      <c r="IH1751" s="73"/>
      <c r="II1751" s="73"/>
      <c r="IJ1751" s="73"/>
      <c r="IK1751" s="73"/>
      <c r="IL1751" s="73"/>
      <c r="IM1751" s="73"/>
      <c r="IN1751" s="73"/>
      <c r="IO1751" s="73"/>
      <c r="IP1751" s="73"/>
      <c r="IQ1751" s="73"/>
      <c r="IR1751" s="73"/>
      <c r="IS1751" s="73"/>
      <c r="IT1751" s="73"/>
      <c r="IU1751" s="73"/>
      <c r="IV1751" s="73"/>
      <c r="IW1751" s="73"/>
      <c r="IX1751" s="73"/>
      <c r="IY1751" s="73"/>
      <c r="IZ1751" s="73"/>
      <c r="JA1751" s="73"/>
      <c r="JB1751" s="73"/>
      <c r="JC1751" s="73"/>
    </row>
    <row r="1752" spans="2:263" s="72" customFormat="1">
      <c r="B1752" s="73"/>
      <c r="C1752" s="73"/>
      <c r="D1752" s="73"/>
      <c r="E1752" s="73"/>
      <c r="F1752" s="73"/>
      <c r="G1752" s="73"/>
      <c r="H1752" s="73"/>
      <c r="I1752" s="73"/>
      <c r="J1752" s="73"/>
      <c r="K1752" s="73"/>
      <c r="L1752" s="73"/>
      <c r="M1752" s="73"/>
      <c r="N1752" s="73"/>
      <c r="O1752" s="73"/>
      <c r="P1752" s="73"/>
      <c r="Q1752" s="73"/>
      <c r="R1752" s="73"/>
      <c r="S1752" s="73"/>
      <c r="T1752" s="73"/>
      <c r="U1752" s="73"/>
      <c r="V1752" s="73"/>
      <c r="W1752" s="73"/>
      <c r="GL1752" s="73"/>
      <c r="GM1752" s="73"/>
      <c r="GN1752" s="73"/>
      <c r="GO1752" s="73"/>
      <c r="GP1752" s="73"/>
      <c r="GQ1752" s="73"/>
      <c r="GR1752" s="73"/>
      <c r="GS1752" s="73"/>
      <c r="GT1752" s="73"/>
      <c r="GU1752" s="73"/>
      <c r="GV1752" s="73"/>
      <c r="GW1752" s="73"/>
      <c r="GX1752" s="73"/>
      <c r="GY1752" s="73"/>
      <c r="GZ1752" s="73"/>
      <c r="HA1752" s="73"/>
      <c r="HB1752" s="73"/>
      <c r="HC1752" s="73"/>
      <c r="HD1752" s="73"/>
      <c r="HE1752" s="73"/>
      <c r="HF1752" s="73"/>
      <c r="HG1752" s="73"/>
      <c r="HH1752" s="73"/>
      <c r="HI1752" s="73"/>
      <c r="HJ1752" s="73"/>
      <c r="HK1752" s="73"/>
      <c r="HL1752" s="73"/>
      <c r="HM1752" s="73"/>
      <c r="HN1752" s="73"/>
      <c r="HO1752" s="73"/>
      <c r="HP1752" s="73"/>
      <c r="HQ1752" s="73"/>
      <c r="HR1752" s="73"/>
      <c r="HS1752" s="73"/>
      <c r="HT1752" s="73"/>
      <c r="HU1752" s="73"/>
      <c r="HV1752" s="73"/>
      <c r="HW1752" s="73"/>
      <c r="HX1752" s="73"/>
      <c r="HY1752" s="73"/>
      <c r="HZ1752" s="73"/>
      <c r="IA1752" s="73"/>
      <c r="IB1752" s="73"/>
      <c r="IC1752" s="73"/>
      <c r="ID1752" s="73"/>
      <c r="IE1752" s="73"/>
      <c r="IF1752" s="73"/>
      <c r="IG1752" s="73"/>
      <c r="IH1752" s="73"/>
      <c r="II1752" s="73"/>
      <c r="IJ1752" s="73"/>
      <c r="IK1752" s="73"/>
      <c r="IL1752" s="73"/>
      <c r="IM1752" s="73"/>
      <c r="IN1752" s="73"/>
      <c r="IO1752" s="73"/>
      <c r="IP1752" s="73"/>
      <c r="IQ1752" s="73"/>
      <c r="IR1752" s="73"/>
      <c r="IS1752" s="73"/>
      <c r="IT1752" s="73"/>
      <c r="IU1752" s="73"/>
      <c r="IV1752" s="73"/>
      <c r="IW1752" s="73"/>
      <c r="IX1752" s="73"/>
      <c r="IY1752" s="73"/>
      <c r="IZ1752" s="73"/>
      <c r="JA1752" s="73"/>
      <c r="JB1752" s="73"/>
      <c r="JC1752" s="73"/>
    </row>
    <row r="1753" spans="2:263" s="72" customFormat="1">
      <c r="B1753" s="73"/>
      <c r="C1753" s="73"/>
      <c r="D1753" s="73"/>
      <c r="E1753" s="73"/>
      <c r="F1753" s="73"/>
      <c r="G1753" s="73"/>
      <c r="H1753" s="73"/>
      <c r="I1753" s="73"/>
      <c r="J1753" s="73"/>
      <c r="K1753" s="73"/>
      <c r="L1753" s="73"/>
      <c r="M1753" s="73"/>
      <c r="N1753" s="73"/>
      <c r="O1753" s="73"/>
      <c r="P1753" s="73"/>
      <c r="Q1753" s="73"/>
      <c r="R1753" s="73"/>
      <c r="S1753" s="73"/>
      <c r="T1753" s="73"/>
      <c r="U1753" s="73"/>
      <c r="V1753" s="73"/>
      <c r="W1753" s="73"/>
      <c r="GL1753" s="73"/>
      <c r="GM1753" s="73"/>
      <c r="GN1753" s="73"/>
      <c r="GO1753" s="73"/>
      <c r="GP1753" s="73"/>
      <c r="GQ1753" s="73"/>
      <c r="GR1753" s="73"/>
      <c r="GS1753" s="73"/>
      <c r="GT1753" s="73"/>
      <c r="GU1753" s="73"/>
      <c r="GV1753" s="73"/>
      <c r="GW1753" s="73"/>
      <c r="GX1753" s="73"/>
      <c r="GY1753" s="73"/>
      <c r="GZ1753" s="73"/>
      <c r="HA1753" s="73"/>
      <c r="HB1753" s="73"/>
      <c r="HC1753" s="73"/>
      <c r="HD1753" s="73"/>
      <c r="HE1753" s="73"/>
      <c r="HF1753" s="73"/>
      <c r="HG1753" s="73"/>
      <c r="HH1753" s="73"/>
      <c r="HI1753" s="73"/>
      <c r="HJ1753" s="73"/>
      <c r="HK1753" s="73"/>
      <c r="HL1753" s="73"/>
      <c r="HM1753" s="73"/>
      <c r="HN1753" s="73"/>
      <c r="HO1753" s="73"/>
      <c r="HP1753" s="73"/>
      <c r="HQ1753" s="73"/>
      <c r="HR1753" s="73"/>
      <c r="HS1753" s="73"/>
      <c r="HT1753" s="73"/>
      <c r="HU1753" s="73"/>
      <c r="HV1753" s="73"/>
      <c r="HW1753" s="73"/>
      <c r="HX1753" s="73"/>
      <c r="HY1753" s="73"/>
      <c r="HZ1753" s="73"/>
      <c r="IA1753" s="73"/>
      <c r="IB1753" s="73"/>
      <c r="IC1753" s="73"/>
      <c r="ID1753" s="73"/>
      <c r="IE1753" s="73"/>
      <c r="IF1753" s="73"/>
      <c r="IG1753" s="73"/>
      <c r="IH1753" s="73"/>
      <c r="II1753" s="73"/>
      <c r="IJ1753" s="73"/>
      <c r="IK1753" s="73"/>
      <c r="IL1753" s="73"/>
      <c r="IM1753" s="73"/>
      <c r="IN1753" s="73"/>
      <c r="IO1753" s="73"/>
      <c r="IP1753" s="73"/>
      <c r="IQ1753" s="73"/>
      <c r="IR1753" s="73"/>
      <c r="IS1753" s="73"/>
      <c r="IT1753" s="73"/>
      <c r="IU1753" s="73"/>
      <c r="IV1753" s="73"/>
      <c r="IW1753" s="73"/>
      <c r="IX1753" s="73"/>
      <c r="IY1753" s="73"/>
      <c r="IZ1753" s="73"/>
      <c r="JA1753" s="73"/>
      <c r="JB1753" s="73"/>
      <c r="JC1753" s="73"/>
    </row>
    <row r="1754" spans="2:263" s="72" customFormat="1">
      <c r="B1754" s="73"/>
      <c r="C1754" s="73"/>
      <c r="D1754" s="73"/>
      <c r="E1754" s="73"/>
      <c r="F1754" s="73"/>
      <c r="G1754" s="73"/>
      <c r="H1754" s="73"/>
      <c r="I1754" s="73"/>
      <c r="J1754" s="73"/>
      <c r="K1754" s="73"/>
      <c r="L1754" s="73"/>
      <c r="M1754" s="73"/>
      <c r="N1754" s="73"/>
      <c r="O1754" s="73"/>
      <c r="P1754" s="73"/>
      <c r="Q1754" s="73"/>
      <c r="R1754" s="73"/>
      <c r="S1754" s="73"/>
      <c r="T1754" s="73"/>
      <c r="U1754" s="73"/>
      <c r="V1754" s="73"/>
      <c r="W1754" s="73"/>
      <c r="GL1754" s="73"/>
      <c r="GM1754" s="73"/>
      <c r="GN1754" s="73"/>
      <c r="GO1754" s="73"/>
      <c r="GP1754" s="73"/>
      <c r="GQ1754" s="73"/>
      <c r="GR1754" s="73"/>
      <c r="GS1754" s="73"/>
      <c r="GT1754" s="73"/>
      <c r="GU1754" s="73"/>
      <c r="GV1754" s="73"/>
      <c r="GW1754" s="73"/>
      <c r="GX1754" s="73"/>
      <c r="GY1754" s="73"/>
      <c r="GZ1754" s="73"/>
      <c r="HA1754" s="73"/>
      <c r="HB1754" s="73"/>
      <c r="HC1754" s="73"/>
      <c r="HD1754" s="73"/>
      <c r="HE1754" s="73"/>
      <c r="HF1754" s="73"/>
      <c r="HG1754" s="73"/>
      <c r="HH1754" s="73"/>
      <c r="HI1754" s="73"/>
      <c r="HJ1754" s="73"/>
      <c r="HK1754" s="73"/>
      <c r="HL1754" s="73"/>
      <c r="HM1754" s="73"/>
      <c r="HN1754" s="73"/>
      <c r="HO1754" s="73"/>
      <c r="HP1754" s="73"/>
      <c r="HQ1754" s="73"/>
      <c r="HR1754" s="73"/>
      <c r="HS1754" s="73"/>
      <c r="HT1754" s="73"/>
      <c r="HU1754" s="73"/>
      <c r="HV1754" s="73"/>
      <c r="HW1754" s="73"/>
      <c r="HX1754" s="73"/>
      <c r="HY1754" s="73"/>
      <c r="HZ1754" s="73"/>
      <c r="IA1754" s="73"/>
      <c r="IB1754" s="73"/>
      <c r="IC1754" s="73"/>
      <c r="ID1754" s="73"/>
      <c r="IE1754" s="73"/>
      <c r="IF1754" s="73"/>
      <c r="IG1754" s="73"/>
      <c r="IH1754" s="73"/>
      <c r="II1754" s="73"/>
      <c r="IJ1754" s="73"/>
      <c r="IK1754" s="73"/>
      <c r="IL1754" s="73"/>
      <c r="IM1754" s="73"/>
      <c r="IN1754" s="73"/>
      <c r="IO1754" s="73"/>
      <c r="IP1754" s="73"/>
      <c r="IQ1754" s="73"/>
      <c r="IR1754" s="73"/>
      <c r="IS1754" s="73"/>
      <c r="IT1754" s="73"/>
      <c r="IU1754" s="73"/>
      <c r="IV1754" s="73"/>
      <c r="IW1754" s="73"/>
      <c r="IX1754" s="73"/>
      <c r="IY1754" s="73"/>
      <c r="IZ1754" s="73"/>
      <c r="JA1754" s="73"/>
      <c r="JB1754" s="73"/>
      <c r="JC1754" s="73"/>
    </row>
    <row r="1755" spans="2:263" s="72" customFormat="1">
      <c r="B1755" s="73"/>
      <c r="C1755" s="73"/>
      <c r="D1755" s="73"/>
      <c r="E1755" s="73"/>
      <c r="F1755" s="73"/>
      <c r="G1755" s="73"/>
      <c r="H1755" s="73"/>
      <c r="I1755" s="73"/>
      <c r="J1755" s="73"/>
      <c r="K1755" s="73"/>
      <c r="L1755" s="73"/>
      <c r="M1755" s="73"/>
      <c r="N1755" s="73"/>
      <c r="O1755" s="73"/>
      <c r="P1755" s="73"/>
      <c r="Q1755" s="73"/>
      <c r="R1755" s="73"/>
      <c r="S1755" s="73"/>
      <c r="T1755" s="73"/>
      <c r="U1755" s="73"/>
      <c r="V1755" s="73"/>
      <c r="W1755" s="73"/>
      <c r="GL1755" s="73"/>
      <c r="GM1755" s="73"/>
      <c r="GN1755" s="73"/>
      <c r="GO1755" s="73"/>
      <c r="GP1755" s="73"/>
      <c r="GQ1755" s="73"/>
      <c r="GR1755" s="73"/>
      <c r="GS1755" s="73"/>
      <c r="GT1755" s="73"/>
      <c r="GU1755" s="73"/>
      <c r="GV1755" s="73"/>
      <c r="GW1755" s="73"/>
      <c r="GX1755" s="73"/>
      <c r="GY1755" s="73"/>
      <c r="GZ1755" s="73"/>
      <c r="HA1755" s="73"/>
      <c r="HB1755" s="73"/>
      <c r="HC1755" s="73"/>
      <c r="HD1755" s="73"/>
      <c r="HE1755" s="73"/>
      <c r="HF1755" s="73"/>
      <c r="HG1755" s="73"/>
      <c r="HH1755" s="73"/>
      <c r="HI1755" s="73"/>
      <c r="HJ1755" s="73"/>
      <c r="HK1755" s="73"/>
      <c r="HL1755" s="73"/>
      <c r="HM1755" s="73"/>
      <c r="HN1755" s="73"/>
      <c r="HO1755" s="73"/>
      <c r="HP1755" s="73"/>
      <c r="HQ1755" s="73"/>
      <c r="HR1755" s="73"/>
      <c r="HS1755" s="73"/>
      <c r="HT1755" s="73"/>
      <c r="HU1755" s="73"/>
      <c r="HV1755" s="73"/>
      <c r="HW1755" s="73"/>
      <c r="HX1755" s="73"/>
      <c r="HY1755" s="73"/>
      <c r="HZ1755" s="73"/>
      <c r="IA1755" s="73"/>
      <c r="IB1755" s="73"/>
      <c r="IC1755" s="73"/>
      <c r="ID1755" s="73"/>
      <c r="IE1755" s="73"/>
      <c r="IF1755" s="73"/>
      <c r="IG1755" s="73"/>
      <c r="IH1755" s="73"/>
      <c r="II1755" s="73"/>
      <c r="IJ1755" s="73"/>
      <c r="IK1755" s="73"/>
      <c r="IL1755" s="73"/>
      <c r="IM1755" s="73"/>
      <c r="IN1755" s="73"/>
      <c r="IO1755" s="73"/>
      <c r="IP1755" s="73"/>
      <c r="IQ1755" s="73"/>
      <c r="IR1755" s="73"/>
      <c r="IS1755" s="73"/>
      <c r="IT1755" s="73"/>
      <c r="IU1755" s="73"/>
      <c r="IV1755" s="73"/>
      <c r="IW1755" s="73"/>
      <c r="IX1755" s="73"/>
      <c r="IY1755" s="73"/>
      <c r="IZ1755" s="73"/>
      <c r="JA1755" s="73"/>
      <c r="JB1755" s="73"/>
      <c r="JC1755" s="73"/>
    </row>
    <row r="1756" spans="2:263" s="72" customFormat="1">
      <c r="B1756" s="73"/>
      <c r="C1756" s="73"/>
      <c r="D1756" s="73"/>
      <c r="E1756" s="73"/>
      <c r="F1756" s="73"/>
      <c r="G1756" s="73"/>
      <c r="H1756" s="73"/>
      <c r="I1756" s="73"/>
      <c r="J1756" s="73"/>
      <c r="K1756" s="73"/>
      <c r="L1756" s="73"/>
      <c r="M1756" s="73"/>
      <c r="N1756" s="73"/>
      <c r="O1756" s="73"/>
      <c r="P1756" s="73"/>
      <c r="Q1756" s="73"/>
      <c r="R1756" s="73"/>
      <c r="S1756" s="73"/>
      <c r="T1756" s="73"/>
      <c r="U1756" s="73"/>
      <c r="V1756" s="73"/>
      <c r="W1756" s="73"/>
      <c r="GL1756" s="73"/>
      <c r="GM1756" s="73"/>
      <c r="GN1756" s="73"/>
      <c r="GO1756" s="73"/>
      <c r="GP1756" s="73"/>
      <c r="GQ1756" s="73"/>
      <c r="GR1756" s="73"/>
      <c r="GS1756" s="73"/>
      <c r="GT1756" s="73"/>
      <c r="GU1756" s="73"/>
      <c r="GV1756" s="73"/>
      <c r="GW1756" s="73"/>
      <c r="GX1756" s="73"/>
      <c r="GY1756" s="73"/>
      <c r="GZ1756" s="73"/>
      <c r="HA1756" s="73"/>
      <c r="HB1756" s="73"/>
      <c r="HC1756" s="73"/>
      <c r="HD1756" s="73"/>
      <c r="HE1756" s="73"/>
      <c r="HF1756" s="73"/>
      <c r="HG1756" s="73"/>
      <c r="HH1756" s="73"/>
      <c r="HI1756" s="73"/>
      <c r="HJ1756" s="73"/>
      <c r="HK1756" s="73"/>
      <c r="HL1756" s="73"/>
      <c r="HM1756" s="73"/>
      <c r="HN1756" s="73"/>
      <c r="HO1756" s="73"/>
      <c r="HP1756" s="73"/>
      <c r="HQ1756" s="73"/>
      <c r="HR1756" s="73"/>
      <c r="HS1756" s="73"/>
      <c r="HT1756" s="73"/>
      <c r="HU1756" s="73"/>
      <c r="HV1756" s="73"/>
      <c r="HW1756" s="73"/>
      <c r="HX1756" s="73"/>
      <c r="HY1756" s="73"/>
      <c r="HZ1756" s="73"/>
      <c r="IA1756" s="73"/>
      <c r="IB1756" s="73"/>
      <c r="IC1756" s="73"/>
      <c r="ID1756" s="73"/>
      <c r="IE1756" s="73"/>
      <c r="IF1756" s="73"/>
      <c r="IG1756" s="73"/>
      <c r="IH1756" s="73"/>
      <c r="II1756" s="73"/>
      <c r="IJ1756" s="73"/>
      <c r="IK1756" s="73"/>
      <c r="IL1756" s="73"/>
      <c r="IM1756" s="73"/>
      <c r="IN1756" s="73"/>
      <c r="IO1756" s="73"/>
      <c r="IP1756" s="73"/>
      <c r="IQ1756" s="73"/>
      <c r="IR1756" s="73"/>
      <c r="IS1756" s="73"/>
      <c r="IT1756" s="73"/>
      <c r="IU1756" s="73"/>
      <c r="IV1756" s="73"/>
      <c r="IW1756" s="73"/>
      <c r="IX1756" s="73"/>
      <c r="IY1756" s="73"/>
      <c r="IZ1756" s="73"/>
      <c r="JA1756" s="73"/>
      <c r="JB1756" s="73"/>
      <c r="JC1756" s="73"/>
    </row>
    <row r="1757" spans="2:263" s="72" customFormat="1">
      <c r="B1757" s="73"/>
      <c r="C1757" s="73"/>
      <c r="D1757" s="73"/>
      <c r="E1757" s="73"/>
      <c r="F1757" s="73"/>
      <c r="G1757" s="73"/>
      <c r="H1757" s="73"/>
      <c r="I1757" s="73"/>
      <c r="J1757" s="73"/>
      <c r="K1757" s="73"/>
      <c r="L1757" s="73"/>
      <c r="M1757" s="73"/>
      <c r="N1757" s="73"/>
      <c r="O1757" s="73"/>
      <c r="P1757" s="73"/>
      <c r="Q1757" s="73"/>
      <c r="R1757" s="73"/>
      <c r="S1757" s="73"/>
      <c r="T1757" s="73"/>
      <c r="U1757" s="73"/>
      <c r="V1757" s="73"/>
      <c r="W1757" s="73"/>
      <c r="GL1757" s="73"/>
      <c r="GM1757" s="73"/>
      <c r="GN1757" s="73"/>
      <c r="GO1757" s="73"/>
      <c r="GP1757" s="73"/>
      <c r="GQ1757" s="73"/>
      <c r="GR1757" s="73"/>
      <c r="GS1757" s="73"/>
      <c r="GT1757" s="73"/>
      <c r="GU1757" s="73"/>
      <c r="GV1757" s="73"/>
      <c r="GW1757" s="73"/>
      <c r="GX1757" s="73"/>
      <c r="GY1757" s="73"/>
      <c r="GZ1757" s="73"/>
      <c r="HA1757" s="73"/>
      <c r="HB1757" s="73"/>
      <c r="HC1757" s="73"/>
      <c r="HD1757" s="73"/>
      <c r="HE1757" s="73"/>
      <c r="HF1757" s="73"/>
      <c r="HG1757" s="73"/>
      <c r="HH1757" s="73"/>
      <c r="HI1757" s="73"/>
      <c r="HJ1757" s="73"/>
      <c r="HK1757" s="73"/>
      <c r="HL1757" s="73"/>
      <c r="HM1757" s="73"/>
      <c r="HN1757" s="73"/>
      <c r="HO1757" s="73"/>
      <c r="HP1757" s="73"/>
      <c r="HQ1757" s="73"/>
      <c r="HR1757" s="73"/>
      <c r="HS1757" s="73"/>
      <c r="HT1757" s="73"/>
      <c r="HU1757" s="73"/>
      <c r="HV1757" s="73"/>
      <c r="HW1757" s="73"/>
      <c r="HX1757" s="73"/>
      <c r="HY1757" s="73"/>
      <c r="HZ1757" s="73"/>
      <c r="IA1757" s="73"/>
      <c r="IB1757" s="73"/>
      <c r="IC1757" s="73"/>
      <c r="ID1757" s="73"/>
      <c r="IE1757" s="73"/>
      <c r="IF1757" s="73"/>
      <c r="IG1757" s="73"/>
      <c r="IH1757" s="73"/>
      <c r="II1757" s="73"/>
      <c r="IJ1757" s="73"/>
      <c r="IK1757" s="73"/>
      <c r="IL1757" s="73"/>
      <c r="IM1757" s="73"/>
      <c r="IN1757" s="73"/>
      <c r="IO1757" s="73"/>
      <c r="IP1757" s="73"/>
      <c r="IQ1757" s="73"/>
      <c r="IR1757" s="73"/>
      <c r="IS1757" s="73"/>
      <c r="IT1757" s="73"/>
      <c r="IU1757" s="73"/>
      <c r="IV1757" s="73"/>
      <c r="IW1757" s="73"/>
      <c r="IX1757" s="73"/>
      <c r="IY1757" s="73"/>
      <c r="IZ1757" s="73"/>
      <c r="JA1757" s="73"/>
      <c r="JB1757" s="73"/>
      <c r="JC1757" s="73"/>
    </row>
    <row r="1758" spans="2:263" s="72" customFormat="1">
      <c r="B1758" s="73"/>
      <c r="C1758" s="73"/>
      <c r="D1758" s="73"/>
      <c r="E1758" s="73"/>
      <c r="F1758" s="73"/>
      <c r="G1758" s="73"/>
      <c r="H1758" s="73"/>
      <c r="I1758" s="73"/>
      <c r="J1758" s="73"/>
      <c r="K1758" s="73"/>
      <c r="L1758" s="73"/>
      <c r="M1758" s="73"/>
      <c r="N1758" s="73"/>
      <c r="O1758" s="73"/>
      <c r="P1758" s="73"/>
      <c r="Q1758" s="73"/>
      <c r="R1758" s="73"/>
      <c r="S1758" s="73"/>
      <c r="T1758" s="73"/>
      <c r="U1758" s="73"/>
      <c r="V1758" s="73"/>
      <c r="W1758" s="73"/>
      <c r="GL1758" s="73"/>
      <c r="GM1758" s="73"/>
      <c r="GN1758" s="73"/>
      <c r="GO1758" s="73"/>
      <c r="GP1758" s="73"/>
      <c r="GQ1758" s="73"/>
      <c r="GR1758" s="73"/>
      <c r="GS1758" s="73"/>
      <c r="GT1758" s="73"/>
      <c r="GU1758" s="73"/>
      <c r="GV1758" s="73"/>
      <c r="GW1758" s="73"/>
      <c r="GX1758" s="73"/>
      <c r="GY1758" s="73"/>
      <c r="GZ1758" s="73"/>
      <c r="HA1758" s="73"/>
      <c r="HB1758" s="73"/>
      <c r="HC1758" s="73"/>
      <c r="HD1758" s="73"/>
      <c r="HE1758" s="73"/>
      <c r="HF1758" s="73"/>
      <c r="HG1758" s="73"/>
      <c r="HH1758" s="73"/>
      <c r="HI1758" s="73"/>
      <c r="HJ1758" s="73"/>
      <c r="HK1758" s="73"/>
      <c r="HL1758" s="73"/>
      <c r="HM1758" s="73"/>
      <c r="HN1758" s="73"/>
      <c r="HO1758" s="73"/>
      <c r="HP1758" s="73"/>
      <c r="HQ1758" s="73"/>
      <c r="HR1758" s="73"/>
      <c r="HS1758" s="73"/>
      <c r="HT1758" s="73"/>
      <c r="HU1758" s="73"/>
      <c r="HV1758" s="73"/>
      <c r="HW1758" s="73"/>
      <c r="HX1758" s="73"/>
      <c r="HY1758" s="73"/>
      <c r="HZ1758" s="73"/>
      <c r="IA1758" s="73"/>
      <c r="IB1758" s="73"/>
      <c r="IC1758" s="73"/>
      <c r="ID1758" s="73"/>
      <c r="IE1758" s="73"/>
      <c r="IF1758" s="73"/>
      <c r="IG1758" s="73"/>
      <c r="IH1758" s="73"/>
      <c r="II1758" s="73"/>
      <c r="IJ1758" s="73"/>
      <c r="IK1758" s="73"/>
      <c r="IL1758" s="73"/>
      <c r="IM1758" s="73"/>
      <c r="IN1758" s="73"/>
      <c r="IO1758" s="73"/>
      <c r="IP1758" s="73"/>
      <c r="IQ1758" s="73"/>
      <c r="IR1758" s="73"/>
      <c r="IS1758" s="73"/>
      <c r="IT1758" s="73"/>
      <c r="IU1758" s="73"/>
      <c r="IV1758" s="73"/>
      <c r="IW1758" s="73"/>
      <c r="IX1758" s="73"/>
      <c r="IY1758" s="73"/>
      <c r="IZ1758" s="73"/>
      <c r="JA1758" s="73"/>
      <c r="JB1758" s="73"/>
      <c r="JC1758" s="73"/>
    </row>
    <row r="1759" spans="2:263" s="72" customFormat="1">
      <c r="B1759" s="73"/>
      <c r="C1759" s="73"/>
      <c r="D1759" s="73"/>
      <c r="E1759" s="73"/>
      <c r="F1759" s="73"/>
      <c r="G1759" s="73"/>
      <c r="H1759" s="73"/>
      <c r="I1759" s="73"/>
      <c r="J1759" s="73"/>
      <c r="K1759" s="73"/>
      <c r="L1759" s="73"/>
      <c r="M1759" s="73"/>
      <c r="N1759" s="73"/>
      <c r="O1759" s="73"/>
      <c r="P1759" s="73"/>
      <c r="Q1759" s="73"/>
      <c r="R1759" s="73"/>
      <c r="S1759" s="73"/>
      <c r="T1759" s="73"/>
      <c r="U1759" s="73"/>
      <c r="V1759" s="73"/>
      <c r="W1759" s="73"/>
      <c r="GL1759" s="73"/>
      <c r="GM1759" s="73"/>
      <c r="GN1759" s="73"/>
      <c r="GO1759" s="73"/>
      <c r="GP1759" s="73"/>
      <c r="GQ1759" s="73"/>
      <c r="GR1759" s="73"/>
      <c r="GS1759" s="73"/>
      <c r="GT1759" s="73"/>
      <c r="GU1759" s="73"/>
      <c r="GV1759" s="73"/>
      <c r="GW1759" s="73"/>
      <c r="GX1759" s="73"/>
      <c r="GY1759" s="73"/>
      <c r="GZ1759" s="73"/>
      <c r="HA1759" s="73"/>
      <c r="HB1759" s="73"/>
      <c r="HC1759" s="73"/>
      <c r="HD1759" s="73"/>
      <c r="HE1759" s="73"/>
      <c r="HF1759" s="73"/>
      <c r="HG1759" s="73"/>
      <c r="HH1759" s="73"/>
      <c r="HI1759" s="73"/>
      <c r="HJ1759" s="73"/>
      <c r="HK1759" s="73"/>
      <c r="HL1759" s="73"/>
      <c r="HM1759" s="73"/>
      <c r="HN1759" s="73"/>
      <c r="HO1759" s="73"/>
      <c r="HP1759" s="73"/>
      <c r="HQ1759" s="73"/>
      <c r="HR1759" s="73"/>
      <c r="HS1759" s="73"/>
      <c r="HT1759" s="73"/>
      <c r="HU1759" s="73"/>
      <c r="HV1759" s="73"/>
      <c r="HW1759" s="73"/>
      <c r="HX1759" s="73"/>
      <c r="HY1759" s="73"/>
      <c r="HZ1759" s="73"/>
      <c r="IA1759" s="73"/>
      <c r="IB1759" s="73"/>
      <c r="IC1759" s="73"/>
      <c r="ID1759" s="73"/>
      <c r="IE1759" s="73"/>
      <c r="IF1759" s="73"/>
      <c r="IG1759" s="73"/>
      <c r="IH1759" s="73"/>
      <c r="II1759" s="73"/>
      <c r="IJ1759" s="73"/>
      <c r="IK1759" s="73"/>
      <c r="IL1759" s="73"/>
      <c r="IM1759" s="73"/>
      <c r="IN1759" s="73"/>
      <c r="IO1759" s="73"/>
      <c r="IP1759" s="73"/>
      <c r="IQ1759" s="73"/>
      <c r="IR1759" s="73"/>
      <c r="IS1759" s="73"/>
      <c r="IT1759" s="73"/>
      <c r="IU1759" s="73"/>
      <c r="IV1759" s="73"/>
      <c r="IW1759" s="73"/>
      <c r="IX1759" s="73"/>
      <c r="IY1759" s="73"/>
      <c r="IZ1759" s="73"/>
      <c r="JA1759" s="73"/>
      <c r="JB1759" s="73"/>
      <c r="JC1759" s="73"/>
    </row>
    <row r="1760" spans="2:263" s="72" customFormat="1">
      <c r="B1760" s="73"/>
      <c r="C1760" s="73"/>
      <c r="D1760" s="73"/>
      <c r="E1760" s="73"/>
      <c r="F1760" s="73"/>
      <c r="G1760" s="73"/>
      <c r="H1760" s="73"/>
      <c r="I1760" s="73"/>
      <c r="J1760" s="73"/>
      <c r="K1760" s="73"/>
      <c r="L1760" s="73"/>
      <c r="M1760" s="73"/>
      <c r="N1760" s="73"/>
      <c r="O1760" s="73"/>
      <c r="P1760" s="73"/>
      <c r="Q1760" s="73"/>
      <c r="R1760" s="73"/>
      <c r="S1760" s="73"/>
      <c r="T1760" s="73"/>
      <c r="U1760" s="73"/>
      <c r="V1760" s="73"/>
      <c r="W1760" s="73"/>
      <c r="GL1760" s="73"/>
      <c r="GM1760" s="73"/>
      <c r="GN1760" s="73"/>
      <c r="GO1760" s="73"/>
      <c r="GP1760" s="73"/>
      <c r="GQ1760" s="73"/>
      <c r="GR1760" s="73"/>
      <c r="GS1760" s="73"/>
      <c r="GT1760" s="73"/>
      <c r="GU1760" s="73"/>
      <c r="GV1760" s="73"/>
      <c r="GW1760" s="73"/>
      <c r="GX1760" s="73"/>
      <c r="GY1760" s="73"/>
      <c r="GZ1760" s="73"/>
      <c r="HA1760" s="73"/>
      <c r="HB1760" s="73"/>
      <c r="HC1760" s="73"/>
      <c r="HD1760" s="73"/>
      <c r="HE1760" s="73"/>
      <c r="HF1760" s="73"/>
      <c r="HG1760" s="73"/>
      <c r="HH1760" s="73"/>
      <c r="HI1760" s="73"/>
      <c r="HJ1760" s="73"/>
      <c r="HK1760" s="73"/>
      <c r="HL1760" s="73"/>
      <c r="HM1760" s="73"/>
      <c r="HN1760" s="73"/>
      <c r="HO1760" s="73"/>
      <c r="HP1760" s="73"/>
      <c r="HQ1760" s="73"/>
      <c r="HR1760" s="73"/>
      <c r="HS1760" s="73"/>
      <c r="HT1760" s="73"/>
      <c r="HU1760" s="73"/>
      <c r="HV1760" s="73"/>
      <c r="HW1760" s="73"/>
      <c r="HX1760" s="73"/>
      <c r="HY1760" s="73"/>
      <c r="HZ1760" s="73"/>
      <c r="IA1760" s="73"/>
      <c r="IB1760" s="73"/>
      <c r="IC1760" s="73"/>
      <c r="ID1760" s="73"/>
      <c r="IE1760" s="73"/>
      <c r="IF1760" s="73"/>
      <c r="IG1760" s="73"/>
      <c r="IH1760" s="73"/>
      <c r="II1760" s="73"/>
      <c r="IJ1760" s="73"/>
      <c r="IK1760" s="73"/>
      <c r="IL1760" s="73"/>
      <c r="IM1760" s="73"/>
      <c r="IN1760" s="73"/>
      <c r="IO1760" s="73"/>
      <c r="IP1760" s="73"/>
      <c r="IQ1760" s="73"/>
      <c r="IR1760" s="73"/>
      <c r="IS1760" s="73"/>
      <c r="IT1760" s="73"/>
      <c r="IU1760" s="73"/>
      <c r="IV1760" s="73"/>
      <c r="IW1760" s="73"/>
      <c r="IX1760" s="73"/>
      <c r="IY1760" s="73"/>
      <c r="IZ1760" s="73"/>
      <c r="JA1760" s="73"/>
      <c r="JB1760" s="73"/>
      <c r="JC1760" s="73"/>
    </row>
    <row r="1761" spans="2:263" s="72" customFormat="1">
      <c r="B1761" s="73"/>
      <c r="C1761" s="73"/>
      <c r="D1761" s="73"/>
      <c r="E1761" s="73"/>
      <c r="F1761" s="73"/>
      <c r="G1761" s="73"/>
      <c r="H1761" s="73"/>
      <c r="I1761" s="73"/>
      <c r="J1761" s="73"/>
      <c r="K1761" s="73"/>
      <c r="L1761" s="73"/>
      <c r="M1761" s="73"/>
      <c r="N1761" s="73"/>
      <c r="O1761" s="73"/>
      <c r="P1761" s="73"/>
      <c r="Q1761" s="73"/>
      <c r="R1761" s="73"/>
      <c r="S1761" s="73"/>
      <c r="T1761" s="73"/>
      <c r="U1761" s="73"/>
      <c r="V1761" s="73"/>
      <c r="W1761" s="73"/>
      <c r="GL1761" s="73"/>
      <c r="GM1761" s="73"/>
      <c r="GN1761" s="73"/>
      <c r="GO1761" s="73"/>
      <c r="GP1761" s="73"/>
      <c r="GQ1761" s="73"/>
      <c r="GR1761" s="73"/>
      <c r="GS1761" s="73"/>
      <c r="GT1761" s="73"/>
      <c r="GU1761" s="73"/>
      <c r="GV1761" s="73"/>
      <c r="GW1761" s="73"/>
      <c r="GX1761" s="73"/>
      <c r="GY1761" s="73"/>
      <c r="GZ1761" s="73"/>
      <c r="HA1761" s="73"/>
      <c r="HB1761" s="73"/>
      <c r="HC1761" s="73"/>
      <c r="HD1761" s="73"/>
      <c r="HE1761" s="73"/>
      <c r="HF1761" s="73"/>
      <c r="HG1761" s="73"/>
      <c r="HH1761" s="73"/>
      <c r="HI1761" s="73"/>
      <c r="HJ1761" s="73"/>
      <c r="HK1761" s="73"/>
      <c r="HL1761" s="73"/>
      <c r="HM1761" s="73"/>
      <c r="HN1761" s="73"/>
      <c r="HO1761" s="73"/>
      <c r="HP1761" s="73"/>
      <c r="HQ1761" s="73"/>
      <c r="HR1761" s="73"/>
      <c r="HS1761" s="73"/>
      <c r="HT1761" s="73"/>
      <c r="HU1761" s="73"/>
      <c r="HV1761" s="73"/>
      <c r="HW1761" s="73"/>
      <c r="HX1761" s="73"/>
      <c r="HY1761" s="73"/>
      <c r="HZ1761" s="73"/>
      <c r="IA1761" s="73"/>
      <c r="IB1761" s="73"/>
      <c r="IC1761" s="73"/>
      <c r="ID1761" s="73"/>
      <c r="IE1761" s="73"/>
      <c r="IF1761" s="73"/>
      <c r="IG1761" s="73"/>
      <c r="IH1761" s="73"/>
      <c r="II1761" s="73"/>
      <c r="IJ1761" s="73"/>
      <c r="IK1761" s="73"/>
      <c r="IL1761" s="73"/>
      <c r="IM1761" s="73"/>
      <c r="IN1761" s="73"/>
      <c r="IO1761" s="73"/>
      <c r="IP1761" s="73"/>
      <c r="IQ1761" s="73"/>
      <c r="IR1761" s="73"/>
      <c r="IS1761" s="73"/>
      <c r="IT1761" s="73"/>
      <c r="IU1761" s="73"/>
      <c r="IV1761" s="73"/>
      <c r="IW1761" s="73"/>
      <c r="IX1761" s="73"/>
      <c r="IY1761" s="73"/>
      <c r="IZ1761" s="73"/>
      <c r="JA1761" s="73"/>
      <c r="JB1761" s="73"/>
      <c r="JC1761" s="73"/>
    </row>
    <row r="1762" spans="2:263" s="72" customFormat="1">
      <c r="B1762" s="73"/>
      <c r="C1762" s="73"/>
      <c r="D1762" s="73"/>
      <c r="E1762" s="73"/>
      <c r="F1762" s="73"/>
      <c r="G1762" s="73"/>
      <c r="H1762" s="73"/>
      <c r="I1762" s="73"/>
      <c r="J1762" s="73"/>
      <c r="K1762" s="73"/>
      <c r="L1762" s="73"/>
      <c r="M1762" s="73"/>
      <c r="N1762" s="73"/>
      <c r="O1762" s="73"/>
      <c r="P1762" s="73"/>
      <c r="Q1762" s="73"/>
      <c r="R1762" s="73"/>
      <c r="S1762" s="73"/>
      <c r="T1762" s="73"/>
      <c r="U1762" s="73"/>
      <c r="V1762" s="73"/>
      <c r="W1762" s="73"/>
      <c r="GL1762" s="73"/>
      <c r="GM1762" s="73"/>
      <c r="GN1762" s="73"/>
      <c r="GO1762" s="73"/>
      <c r="GP1762" s="73"/>
      <c r="GQ1762" s="73"/>
      <c r="GR1762" s="73"/>
      <c r="GS1762" s="73"/>
      <c r="GT1762" s="73"/>
      <c r="GU1762" s="73"/>
      <c r="GV1762" s="73"/>
      <c r="GW1762" s="73"/>
      <c r="GX1762" s="73"/>
      <c r="GY1762" s="73"/>
      <c r="GZ1762" s="73"/>
      <c r="HA1762" s="73"/>
      <c r="HB1762" s="73"/>
      <c r="HC1762" s="73"/>
      <c r="HD1762" s="73"/>
      <c r="HE1762" s="73"/>
      <c r="HF1762" s="73"/>
      <c r="HG1762" s="73"/>
      <c r="HH1762" s="73"/>
      <c r="HI1762" s="73"/>
      <c r="HJ1762" s="73"/>
      <c r="HK1762" s="73"/>
      <c r="HL1762" s="73"/>
      <c r="HM1762" s="73"/>
      <c r="HN1762" s="73"/>
      <c r="HO1762" s="73"/>
      <c r="HP1762" s="73"/>
      <c r="HQ1762" s="73"/>
      <c r="HR1762" s="73"/>
      <c r="HS1762" s="73"/>
      <c r="HT1762" s="73"/>
      <c r="HU1762" s="73"/>
      <c r="HV1762" s="73"/>
      <c r="HW1762" s="73"/>
      <c r="HX1762" s="73"/>
      <c r="HY1762" s="73"/>
      <c r="HZ1762" s="73"/>
      <c r="IA1762" s="73"/>
      <c r="IB1762" s="73"/>
      <c r="IC1762" s="73"/>
      <c r="ID1762" s="73"/>
      <c r="IE1762" s="73"/>
      <c r="IF1762" s="73"/>
      <c r="IG1762" s="73"/>
      <c r="IH1762" s="73"/>
      <c r="II1762" s="73"/>
      <c r="IJ1762" s="73"/>
      <c r="IK1762" s="73"/>
      <c r="IL1762" s="73"/>
      <c r="IM1762" s="73"/>
      <c r="IN1762" s="73"/>
      <c r="IO1762" s="73"/>
      <c r="IP1762" s="73"/>
      <c r="IQ1762" s="73"/>
      <c r="IR1762" s="73"/>
      <c r="IS1762" s="73"/>
      <c r="IT1762" s="73"/>
      <c r="IU1762" s="73"/>
      <c r="IV1762" s="73"/>
      <c r="IW1762" s="73"/>
      <c r="IX1762" s="73"/>
      <c r="IY1762" s="73"/>
      <c r="IZ1762" s="73"/>
      <c r="JA1762" s="73"/>
      <c r="JB1762" s="73"/>
      <c r="JC1762" s="73"/>
    </row>
    <row r="1763" spans="2:263" s="72" customFormat="1">
      <c r="B1763" s="73"/>
      <c r="C1763" s="73"/>
      <c r="D1763" s="73"/>
      <c r="E1763" s="73"/>
      <c r="F1763" s="73"/>
      <c r="G1763" s="73"/>
      <c r="H1763" s="73"/>
      <c r="I1763" s="73"/>
      <c r="J1763" s="73"/>
      <c r="K1763" s="73"/>
      <c r="L1763" s="73"/>
      <c r="M1763" s="73"/>
      <c r="N1763" s="73"/>
      <c r="O1763" s="73"/>
      <c r="P1763" s="73"/>
      <c r="Q1763" s="73"/>
      <c r="R1763" s="73"/>
      <c r="S1763" s="73"/>
      <c r="T1763" s="73"/>
      <c r="U1763" s="73"/>
      <c r="V1763" s="73"/>
      <c r="W1763" s="73"/>
      <c r="GL1763" s="73"/>
      <c r="GM1763" s="73"/>
      <c r="GN1763" s="73"/>
      <c r="GO1763" s="73"/>
      <c r="GP1763" s="73"/>
      <c r="GQ1763" s="73"/>
      <c r="GR1763" s="73"/>
      <c r="GS1763" s="73"/>
      <c r="GT1763" s="73"/>
      <c r="GU1763" s="73"/>
      <c r="GV1763" s="73"/>
      <c r="GW1763" s="73"/>
      <c r="GX1763" s="73"/>
      <c r="GY1763" s="73"/>
      <c r="GZ1763" s="73"/>
      <c r="HA1763" s="73"/>
      <c r="HB1763" s="73"/>
      <c r="HC1763" s="73"/>
      <c r="HD1763" s="73"/>
      <c r="HE1763" s="73"/>
      <c r="HF1763" s="73"/>
      <c r="HG1763" s="73"/>
      <c r="HH1763" s="73"/>
      <c r="HI1763" s="73"/>
      <c r="HJ1763" s="73"/>
      <c r="HK1763" s="73"/>
      <c r="HL1763" s="73"/>
      <c r="HM1763" s="73"/>
      <c r="HN1763" s="73"/>
      <c r="HO1763" s="73"/>
      <c r="HP1763" s="73"/>
      <c r="HQ1763" s="73"/>
      <c r="HR1763" s="73"/>
      <c r="HS1763" s="73"/>
      <c r="HT1763" s="73"/>
      <c r="HU1763" s="73"/>
      <c r="HV1763" s="73"/>
      <c r="HW1763" s="73"/>
      <c r="HX1763" s="73"/>
      <c r="HY1763" s="73"/>
      <c r="HZ1763" s="73"/>
      <c r="IA1763" s="73"/>
      <c r="IB1763" s="73"/>
      <c r="IC1763" s="73"/>
      <c r="ID1763" s="73"/>
      <c r="IE1763" s="73"/>
      <c r="IF1763" s="73"/>
      <c r="IG1763" s="73"/>
      <c r="IH1763" s="73"/>
      <c r="II1763" s="73"/>
      <c r="IJ1763" s="73"/>
      <c r="IK1763" s="73"/>
      <c r="IL1763" s="73"/>
      <c r="IM1763" s="73"/>
      <c r="IN1763" s="73"/>
      <c r="IO1763" s="73"/>
      <c r="IP1763" s="73"/>
      <c r="IQ1763" s="73"/>
      <c r="IR1763" s="73"/>
      <c r="IS1763" s="73"/>
      <c r="IT1763" s="73"/>
      <c r="IU1763" s="73"/>
      <c r="IV1763" s="73"/>
      <c r="IW1763" s="73"/>
      <c r="IX1763" s="73"/>
      <c r="IY1763" s="73"/>
      <c r="IZ1763" s="73"/>
      <c r="JA1763" s="73"/>
      <c r="JB1763" s="73"/>
      <c r="JC1763" s="73"/>
    </row>
    <row r="1764" spans="2:263" s="72" customFormat="1">
      <c r="B1764" s="73"/>
      <c r="C1764" s="73"/>
      <c r="D1764" s="73"/>
      <c r="E1764" s="73"/>
      <c r="F1764" s="73"/>
      <c r="G1764" s="73"/>
      <c r="H1764" s="73"/>
      <c r="I1764" s="73"/>
      <c r="J1764" s="73"/>
      <c r="K1764" s="73"/>
      <c r="L1764" s="73"/>
      <c r="M1764" s="73"/>
      <c r="N1764" s="73"/>
      <c r="O1764" s="73"/>
      <c r="P1764" s="73"/>
      <c r="Q1764" s="73"/>
      <c r="R1764" s="73"/>
      <c r="S1764" s="73"/>
      <c r="T1764" s="73"/>
      <c r="U1764" s="73"/>
      <c r="V1764" s="73"/>
      <c r="W1764" s="73"/>
      <c r="GL1764" s="73"/>
      <c r="GM1764" s="73"/>
      <c r="GN1764" s="73"/>
      <c r="GO1764" s="73"/>
      <c r="GP1764" s="73"/>
      <c r="GQ1764" s="73"/>
      <c r="GR1764" s="73"/>
      <c r="GS1764" s="73"/>
      <c r="GT1764" s="73"/>
      <c r="GU1764" s="73"/>
      <c r="GV1764" s="73"/>
      <c r="GW1764" s="73"/>
      <c r="GX1764" s="73"/>
      <c r="GY1764" s="73"/>
      <c r="GZ1764" s="73"/>
      <c r="HA1764" s="73"/>
      <c r="HB1764" s="73"/>
      <c r="HC1764" s="73"/>
      <c r="HD1764" s="73"/>
      <c r="HE1764" s="73"/>
      <c r="HF1764" s="73"/>
      <c r="HG1764" s="73"/>
      <c r="HH1764" s="73"/>
      <c r="HI1764" s="73"/>
      <c r="HJ1764" s="73"/>
      <c r="HK1764" s="73"/>
      <c r="HL1764" s="73"/>
      <c r="HM1764" s="73"/>
      <c r="HN1764" s="73"/>
      <c r="HO1764" s="73"/>
      <c r="HP1764" s="73"/>
      <c r="HQ1764" s="73"/>
      <c r="HR1764" s="73"/>
      <c r="HS1764" s="73"/>
      <c r="HT1764" s="73"/>
      <c r="HU1764" s="73"/>
      <c r="HV1764" s="73"/>
      <c r="HW1764" s="73"/>
      <c r="HX1764" s="73"/>
      <c r="HY1764" s="73"/>
      <c r="HZ1764" s="73"/>
      <c r="IA1764" s="73"/>
      <c r="IB1764" s="73"/>
      <c r="IC1764" s="73"/>
      <c r="ID1764" s="73"/>
      <c r="IE1764" s="73"/>
      <c r="IF1764" s="73"/>
      <c r="IG1764" s="73"/>
      <c r="IH1764" s="73"/>
      <c r="II1764" s="73"/>
      <c r="IJ1764" s="73"/>
      <c r="IK1764" s="73"/>
      <c r="IL1764" s="73"/>
      <c r="IM1764" s="73"/>
      <c r="IN1764" s="73"/>
      <c r="IO1764" s="73"/>
      <c r="IP1764" s="73"/>
      <c r="IQ1764" s="73"/>
      <c r="IR1764" s="73"/>
      <c r="IS1764" s="73"/>
      <c r="IT1764" s="73"/>
      <c r="IU1764" s="73"/>
      <c r="IV1764" s="73"/>
      <c r="IW1764" s="73"/>
      <c r="IX1764" s="73"/>
      <c r="IY1764" s="73"/>
      <c r="IZ1764" s="73"/>
      <c r="JA1764" s="73"/>
      <c r="JB1764" s="73"/>
      <c r="JC1764" s="73"/>
    </row>
    <row r="1765" spans="2:263" s="72" customFormat="1">
      <c r="B1765" s="73"/>
      <c r="C1765" s="73"/>
      <c r="D1765" s="73"/>
      <c r="E1765" s="73"/>
      <c r="F1765" s="73"/>
      <c r="G1765" s="73"/>
      <c r="H1765" s="73"/>
      <c r="I1765" s="73"/>
      <c r="J1765" s="73"/>
      <c r="K1765" s="73"/>
      <c r="L1765" s="73"/>
      <c r="M1765" s="73"/>
      <c r="N1765" s="73"/>
      <c r="O1765" s="73"/>
      <c r="P1765" s="73"/>
      <c r="Q1765" s="73"/>
      <c r="R1765" s="73"/>
      <c r="S1765" s="73"/>
      <c r="T1765" s="73"/>
      <c r="U1765" s="73"/>
      <c r="V1765" s="73"/>
      <c r="W1765" s="73"/>
      <c r="GL1765" s="73"/>
      <c r="GM1765" s="73"/>
      <c r="GN1765" s="73"/>
      <c r="GO1765" s="73"/>
      <c r="GP1765" s="73"/>
      <c r="GQ1765" s="73"/>
      <c r="GR1765" s="73"/>
      <c r="GS1765" s="73"/>
      <c r="GT1765" s="73"/>
      <c r="GU1765" s="73"/>
      <c r="GV1765" s="73"/>
      <c r="GW1765" s="73"/>
      <c r="GX1765" s="73"/>
      <c r="GY1765" s="73"/>
      <c r="GZ1765" s="73"/>
      <c r="HA1765" s="73"/>
      <c r="HB1765" s="73"/>
      <c r="HC1765" s="73"/>
      <c r="HD1765" s="73"/>
      <c r="HE1765" s="73"/>
      <c r="HF1765" s="73"/>
      <c r="HG1765" s="73"/>
      <c r="HH1765" s="73"/>
      <c r="HI1765" s="73"/>
      <c r="HJ1765" s="73"/>
      <c r="HK1765" s="73"/>
      <c r="HL1765" s="73"/>
      <c r="HM1765" s="73"/>
      <c r="HN1765" s="73"/>
      <c r="HO1765" s="73"/>
      <c r="HP1765" s="73"/>
      <c r="HQ1765" s="73"/>
      <c r="HR1765" s="73"/>
      <c r="HS1765" s="73"/>
      <c r="HT1765" s="73"/>
      <c r="HU1765" s="73"/>
      <c r="HV1765" s="73"/>
      <c r="HW1765" s="73"/>
      <c r="HX1765" s="73"/>
      <c r="HY1765" s="73"/>
      <c r="HZ1765" s="73"/>
      <c r="IA1765" s="73"/>
      <c r="IB1765" s="73"/>
      <c r="IC1765" s="73"/>
      <c r="ID1765" s="73"/>
      <c r="IE1765" s="73"/>
      <c r="IF1765" s="73"/>
      <c r="IG1765" s="73"/>
      <c r="IH1765" s="73"/>
      <c r="II1765" s="73"/>
      <c r="IJ1765" s="73"/>
      <c r="IK1765" s="73"/>
      <c r="IL1765" s="73"/>
      <c r="IM1765" s="73"/>
      <c r="IN1765" s="73"/>
      <c r="IO1765" s="73"/>
      <c r="IP1765" s="73"/>
      <c r="IQ1765" s="73"/>
      <c r="IR1765" s="73"/>
      <c r="IS1765" s="73"/>
      <c r="IT1765" s="73"/>
      <c r="IU1765" s="73"/>
      <c r="IV1765" s="73"/>
      <c r="IW1765" s="73"/>
      <c r="IX1765" s="73"/>
      <c r="IY1765" s="73"/>
      <c r="IZ1765" s="73"/>
      <c r="JA1765" s="73"/>
      <c r="JB1765" s="73"/>
      <c r="JC1765" s="73"/>
    </row>
    <row r="1766" spans="2:263" s="72" customFormat="1">
      <c r="B1766" s="73"/>
      <c r="C1766" s="73"/>
      <c r="D1766" s="73"/>
      <c r="E1766" s="73"/>
      <c r="F1766" s="73"/>
      <c r="G1766" s="73"/>
      <c r="H1766" s="73"/>
      <c r="I1766" s="73"/>
      <c r="J1766" s="73"/>
      <c r="K1766" s="73"/>
      <c r="L1766" s="73"/>
      <c r="M1766" s="73"/>
      <c r="N1766" s="73"/>
      <c r="O1766" s="73"/>
      <c r="P1766" s="73"/>
      <c r="Q1766" s="73"/>
      <c r="R1766" s="73"/>
      <c r="S1766" s="73"/>
      <c r="T1766" s="73"/>
      <c r="U1766" s="73"/>
      <c r="V1766" s="73"/>
      <c r="W1766" s="73"/>
      <c r="GL1766" s="73"/>
      <c r="GM1766" s="73"/>
      <c r="GN1766" s="73"/>
      <c r="GO1766" s="73"/>
      <c r="GP1766" s="73"/>
      <c r="GQ1766" s="73"/>
      <c r="GR1766" s="73"/>
      <c r="GS1766" s="73"/>
      <c r="GT1766" s="73"/>
      <c r="GU1766" s="73"/>
      <c r="GV1766" s="73"/>
      <c r="GW1766" s="73"/>
      <c r="GX1766" s="73"/>
      <c r="GY1766" s="73"/>
      <c r="GZ1766" s="73"/>
      <c r="HA1766" s="73"/>
      <c r="HB1766" s="73"/>
      <c r="HC1766" s="73"/>
      <c r="HD1766" s="73"/>
      <c r="HE1766" s="73"/>
      <c r="HF1766" s="73"/>
      <c r="HG1766" s="73"/>
      <c r="HH1766" s="73"/>
      <c r="HI1766" s="73"/>
      <c r="HJ1766" s="73"/>
      <c r="HK1766" s="73"/>
      <c r="HL1766" s="73"/>
      <c r="HM1766" s="73"/>
      <c r="HN1766" s="73"/>
      <c r="HO1766" s="73"/>
      <c r="HP1766" s="73"/>
      <c r="HQ1766" s="73"/>
      <c r="HR1766" s="73"/>
      <c r="HS1766" s="73"/>
      <c r="HT1766" s="73"/>
      <c r="HU1766" s="73"/>
      <c r="HV1766" s="73"/>
      <c r="HW1766" s="73"/>
      <c r="HX1766" s="73"/>
      <c r="HY1766" s="73"/>
      <c r="HZ1766" s="73"/>
      <c r="IA1766" s="73"/>
      <c r="IB1766" s="73"/>
      <c r="IC1766" s="73"/>
      <c r="ID1766" s="73"/>
      <c r="IE1766" s="73"/>
      <c r="IF1766" s="73"/>
      <c r="IG1766" s="73"/>
      <c r="IH1766" s="73"/>
      <c r="II1766" s="73"/>
      <c r="IJ1766" s="73"/>
      <c r="IK1766" s="73"/>
      <c r="IL1766" s="73"/>
      <c r="IM1766" s="73"/>
      <c r="IN1766" s="73"/>
      <c r="IO1766" s="73"/>
      <c r="IP1766" s="73"/>
      <c r="IQ1766" s="73"/>
      <c r="IR1766" s="73"/>
      <c r="IS1766" s="73"/>
      <c r="IT1766" s="73"/>
      <c r="IU1766" s="73"/>
      <c r="IV1766" s="73"/>
      <c r="IW1766" s="73"/>
      <c r="IX1766" s="73"/>
      <c r="IY1766" s="73"/>
      <c r="IZ1766" s="73"/>
      <c r="JA1766" s="73"/>
      <c r="JB1766" s="73"/>
      <c r="JC1766" s="73"/>
    </row>
    <row r="1767" spans="2:263" s="72" customFormat="1">
      <c r="B1767" s="73"/>
      <c r="C1767" s="73"/>
      <c r="D1767" s="73"/>
      <c r="E1767" s="73"/>
      <c r="F1767" s="73"/>
      <c r="G1767" s="73"/>
      <c r="H1767" s="73"/>
      <c r="I1767" s="73"/>
      <c r="J1767" s="73"/>
      <c r="K1767" s="73"/>
      <c r="L1767" s="73"/>
      <c r="M1767" s="73"/>
      <c r="N1767" s="73"/>
      <c r="O1767" s="73"/>
      <c r="P1767" s="73"/>
      <c r="Q1767" s="73"/>
      <c r="R1767" s="73"/>
      <c r="S1767" s="73"/>
      <c r="T1767" s="73"/>
      <c r="U1767" s="73"/>
      <c r="V1767" s="73"/>
      <c r="W1767" s="73"/>
      <c r="GL1767" s="73"/>
      <c r="GM1767" s="73"/>
      <c r="GN1767" s="73"/>
      <c r="GO1767" s="73"/>
      <c r="GP1767" s="73"/>
      <c r="GQ1767" s="73"/>
      <c r="GR1767" s="73"/>
      <c r="GS1767" s="73"/>
      <c r="GT1767" s="73"/>
      <c r="GU1767" s="73"/>
      <c r="GV1767" s="73"/>
      <c r="GW1767" s="73"/>
      <c r="GX1767" s="73"/>
      <c r="GY1767" s="73"/>
      <c r="GZ1767" s="73"/>
      <c r="HA1767" s="73"/>
      <c r="HB1767" s="73"/>
      <c r="HC1767" s="73"/>
      <c r="HD1767" s="73"/>
      <c r="HE1767" s="73"/>
      <c r="HF1767" s="73"/>
      <c r="HG1767" s="73"/>
      <c r="HH1767" s="73"/>
      <c r="HI1767" s="73"/>
      <c r="HJ1767" s="73"/>
      <c r="HK1767" s="73"/>
      <c r="HL1767" s="73"/>
      <c r="HM1767" s="73"/>
      <c r="HN1767" s="73"/>
      <c r="HO1767" s="73"/>
      <c r="HP1767" s="73"/>
      <c r="HQ1767" s="73"/>
      <c r="HR1767" s="73"/>
      <c r="HS1767" s="73"/>
      <c r="HT1767" s="73"/>
      <c r="HU1767" s="73"/>
      <c r="HV1767" s="73"/>
      <c r="HW1767" s="73"/>
      <c r="HX1767" s="73"/>
      <c r="HY1767" s="73"/>
      <c r="HZ1767" s="73"/>
      <c r="IA1767" s="73"/>
      <c r="IB1767" s="73"/>
      <c r="IC1767" s="73"/>
      <c r="ID1767" s="73"/>
      <c r="IE1767" s="73"/>
      <c r="IF1767" s="73"/>
      <c r="IG1767" s="73"/>
      <c r="IH1767" s="73"/>
      <c r="II1767" s="73"/>
      <c r="IJ1767" s="73"/>
      <c r="IK1767" s="73"/>
      <c r="IL1767" s="73"/>
      <c r="IM1767" s="73"/>
      <c r="IN1767" s="73"/>
      <c r="IO1767" s="73"/>
      <c r="IP1767" s="73"/>
      <c r="IQ1767" s="73"/>
      <c r="IR1767" s="73"/>
      <c r="IS1767" s="73"/>
      <c r="IT1767" s="73"/>
      <c r="IU1767" s="73"/>
      <c r="IV1767" s="73"/>
      <c r="IW1767" s="73"/>
      <c r="IX1767" s="73"/>
      <c r="IY1767" s="73"/>
      <c r="IZ1767" s="73"/>
      <c r="JA1767" s="73"/>
      <c r="JB1767" s="73"/>
      <c r="JC1767" s="73"/>
    </row>
    <row r="1768" spans="2:263" s="72" customFormat="1">
      <c r="B1768" s="73"/>
      <c r="C1768" s="73"/>
      <c r="D1768" s="73"/>
      <c r="E1768" s="73"/>
      <c r="F1768" s="73"/>
      <c r="G1768" s="73"/>
      <c r="H1768" s="73"/>
      <c r="I1768" s="73"/>
      <c r="J1768" s="73"/>
      <c r="K1768" s="73"/>
      <c r="L1768" s="73"/>
      <c r="M1768" s="73"/>
      <c r="N1768" s="73"/>
      <c r="O1768" s="73"/>
      <c r="P1768" s="73"/>
      <c r="Q1768" s="73"/>
      <c r="R1768" s="73"/>
      <c r="S1768" s="73"/>
      <c r="T1768" s="73"/>
      <c r="U1768" s="73"/>
      <c r="V1768" s="73"/>
      <c r="W1768" s="73"/>
      <c r="GL1768" s="73"/>
      <c r="GM1768" s="73"/>
      <c r="GN1768" s="73"/>
      <c r="GO1768" s="73"/>
      <c r="GP1768" s="73"/>
      <c r="GQ1768" s="73"/>
      <c r="GR1768" s="73"/>
      <c r="GS1768" s="73"/>
      <c r="GT1768" s="73"/>
      <c r="GU1768" s="73"/>
      <c r="GV1768" s="73"/>
      <c r="GW1768" s="73"/>
      <c r="GX1768" s="73"/>
      <c r="GY1768" s="73"/>
      <c r="GZ1768" s="73"/>
      <c r="HA1768" s="73"/>
      <c r="HB1768" s="73"/>
      <c r="HC1768" s="73"/>
      <c r="HD1768" s="73"/>
      <c r="HE1768" s="73"/>
      <c r="HF1768" s="73"/>
      <c r="HG1768" s="73"/>
      <c r="HH1768" s="73"/>
      <c r="HI1768" s="73"/>
      <c r="HJ1768" s="73"/>
      <c r="HK1768" s="73"/>
      <c r="HL1768" s="73"/>
      <c r="HM1768" s="73"/>
      <c r="HN1768" s="73"/>
      <c r="HO1768" s="73"/>
      <c r="HP1768" s="73"/>
      <c r="HQ1768" s="73"/>
      <c r="HR1768" s="73"/>
      <c r="HS1768" s="73"/>
      <c r="HT1768" s="73"/>
      <c r="HU1768" s="73"/>
      <c r="HV1768" s="73"/>
      <c r="HW1768" s="73"/>
      <c r="HX1768" s="73"/>
      <c r="HY1768" s="73"/>
      <c r="HZ1768" s="73"/>
      <c r="IA1768" s="73"/>
      <c r="IB1768" s="73"/>
      <c r="IC1768" s="73"/>
      <c r="ID1768" s="73"/>
      <c r="IE1768" s="73"/>
      <c r="IF1768" s="73"/>
      <c r="IG1768" s="73"/>
      <c r="IH1768" s="73"/>
      <c r="II1768" s="73"/>
      <c r="IJ1768" s="73"/>
      <c r="IK1768" s="73"/>
      <c r="IL1768" s="73"/>
      <c r="IM1768" s="73"/>
      <c r="IN1768" s="73"/>
      <c r="IO1768" s="73"/>
      <c r="IP1768" s="73"/>
      <c r="IQ1768" s="73"/>
      <c r="IR1768" s="73"/>
      <c r="IS1768" s="73"/>
      <c r="IT1768" s="73"/>
      <c r="IU1768" s="73"/>
      <c r="IV1768" s="73"/>
      <c r="IW1768" s="73"/>
      <c r="IX1768" s="73"/>
      <c r="IY1768" s="73"/>
      <c r="IZ1768" s="73"/>
      <c r="JA1768" s="73"/>
      <c r="JB1768" s="73"/>
      <c r="JC1768" s="73"/>
    </row>
    <row r="1769" spans="2:263" s="72" customFormat="1">
      <c r="B1769" s="73"/>
      <c r="C1769" s="73"/>
      <c r="D1769" s="73"/>
      <c r="E1769" s="73"/>
      <c r="F1769" s="73"/>
      <c r="G1769" s="73"/>
      <c r="H1769" s="73"/>
      <c r="I1769" s="73"/>
      <c r="J1769" s="73"/>
      <c r="K1769" s="73"/>
      <c r="L1769" s="73"/>
      <c r="M1769" s="73"/>
      <c r="N1769" s="73"/>
      <c r="O1769" s="73"/>
      <c r="P1769" s="73"/>
      <c r="Q1769" s="73"/>
      <c r="R1769" s="73"/>
      <c r="S1769" s="73"/>
      <c r="T1769" s="73"/>
      <c r="U1769" s="73"/>
      <c r="V1769" s="73"/>
      <c r="W1769" s="73"/>
      <c r="GL1769" s="73"/>
      <c r="GM1769" s="73"/>
      <c r="GN1769" s="73"/>
      <c r="GO1769" s="73"/>
      <c r="GP1769" s="73"/>
      <c r="GQ1769" s="73"/>
      <c r="GR1769" s="73"/>
      <c r="GS1769" s="73"/>
      <c r="GT1769" s="73"/>
      <c r="GU1769" s="73"/>
      <c r="GV1769" s="73"/>
      <c r="GW1769" s="73"/>
      <c r="GX1769" s="73"/>
      <c r="GY1769" s="73"/>
      <c r="GZ1769" s="73"/>
      <c r="HA1769" s="73"/>
      <c r="HB1769" s="73"/>
      <c r="HC1769" s="73"/>
      <c r="HD1769" s="73"/>
      <c r="HE1769" s="73"/>
      <c r="HF1769" s="73"/>
      <c r="HG1769" s="73"/>
      <c r="HH1769" s="73"/>
      <c r="HI1769" s="73"/>
      <c r="HJ1769" s="73"/>
      <c r="HK1769" s="73"/>
      <c r="HL1769" s="73"/>
      <c r="HM1769" s="73"/>
      <c r="HN1769" s="73"/>
      <c r="HO1769" s="73"/>
      <c r="HP1769" s="73"/>
      <c r="HQ1769" s="73"/>
      <c r="HR1769" s="73"/>
      <c r="HS1769" s="73"/>
      <c r="HT1769" s="73"/>
      <c r="HU1769" s="73"/>
      <c r="HV1769" s="73"/>
      <c r="HW1769" s="73"/>
      <c r="HX1769" s="73"/>
      <c r="HY1769" s="73"/>
      <c r="HZ1769" s="73"/>
      <c r="IA1769" s="73"/>
      <c r="IB1769" s="73"/>
      <c r="IC1769" s="73"/>
      <c r="ID1769" s="73"/>
      <c r="IE1769" s="73"/>
      <c r="IF1769" s="73"/>
      <c r="IG1769" s="73"/>
      <c r="IH1769" s="73"/>
      <c r="II1769" s="73"/>
      <c r="IJ1769" s="73"/>
      <c r="IK1769" s="73"/>
      <c r="IL1769" s="73"/>
      <c r="IM1769" s="73"/>
      <c r="IN1769" s="73"/>
      <c r="IO1769" s="73"/>
      <c r="IP1769" s="73"/>
      <c r="IQ1769" s="73"/>
      <c r="IR1769" s="73"/>
      <c r="IS1769" s="73"/>
      <c r="IT1769" s="73"/>
      <c r="IU1769" s="73"/>
      <c r="IV1769" s="73"/>
      <c r="IW1769" s="73"/>
      <c r="IX1769" s="73"/>
      <c r="IY1769" s="73"/>
      <c r="IZ1769" s="73"/>
      <c r="JA1769" s="73"/>
      <c r="JB1769" s="73"/>
      <c r="JC1769" s="73"/>
    </row>
    <row r="1770" spans="2:263" s="72" customFormat="1">
      <c r="B1770" s="73"/>
      <c r="C1770" s="73"/>
      <c r="D1770" s="73"/>
      <c r="E1770" s="73"/>
      <c r="F1770" s="73"/>
      <c r="G1770" s="73"/>
      <c r="H1770" s="73"/>
      <c r="I1770" s="73"/>
      <c r="J1770" s="73"/>
      <c r="K1770" s="73"/>
      <c r="L1770" s="73"/>
      <c r="M1770" s="73"/>
      <c r="N1770" s="73"/>
      <c r="O1770" s="73"/>
      <c r="P1770" s="73"/>
      <c r="Q1770" s="73"/>
      <c r="R1770" s="73"/>
      <c r="S1770" s="73"/>
      <c r="T1770" s="73"/>
      <c r="U1770" s="73"/>
      <c r="V1770" s="73"/>
      <c r="W1770" s="73"/>
      <c r="GL1770" s="73"/>
      <c r="GM1770" s="73"/>
      <c r="GN1770" s="73"/>
      <c r="GO1770" s="73"/>
      <c r="GP1770" s="73"/>
      <c r="GQ1770" s="73"/>
      <c r="GR1770" s="73"/>
      <c r="GS1770" s="73"/>
      <c r="GT1770" s="73"/>
      <c r="GU1770" s="73"/>
      <c r="GV1770" s="73"/>
      <c r="GW1770" s="73"/>
      <c r="GX1770" s="73"/>
      <c r="GY1770" s="73"/>
      <c r="GZ1770" s="73"/>
      <c r="HA1770" s="73"/>
      <c r="HB1770" s="73"/>
      <c r="HC1770" s="73"/>
      <c r="HD1770" s="73"/>
      <c r="HE1770" s="73"/>
      <c r="HF1770" s="73"/>
      <c r="HG1770" s="73"/>
      <c r="HH1770" s="73"/>
      <c r="HI1770" s="73"/>
      <c r="HJ1770" s="73"/>
      <c r="HK1770" s="73"/>
      <c r="HL1770" s="73"/>
      <c r="HM1770" s="73"/>
      <c r="HN1770" s="73"/>
      <c r="HO1770" s="73"/>
      <c r="HP1770" s="73"/>
      <c r="HQ1770" s="73"/>
      <c r="HR1770" s="73"/>
      <c r="HS1770" s="73"/>
      <c r="HT1770" s="73"/>
      <c r="HU1770" s="73"/>
      <c r="HV1770" s="73"/>
      <c r="HW1770" s="73"/>
      <c r="HX1770" s="73"/>
      <c r="HY1770" s="73"/>
      <c r="HZ1770" s="73"/>
      <c r="IA1770" s="73"/>
      <c r="IB1770" s="73"/>
      <c r="IC1770" s="73"/>
      <c r="ID1770" s="73"/>
      <c r="IE1770" s="73"/>
      <c r="IF1770" s="73"/>
      <c r="IG1770" s="73"/>
      <c r="IH1770" s="73"/>
      <c r="II1770" s="73"/>
      <c r="IJ1770" s="73"/>
      <c r="IK1770" s="73"/>
      <c r="IL1770" s="73"/>
      <c r="IM1770" s="73"/>
      <c r="IN1770" s="73"/>
      <c r="IO1770" s="73"/>
      <c r="IP1770" s="73"/>
      <c r="IQ1770" s="73"/>
      <c r="IR1770" s="73"/>
      <c r="IS1770" s="73"/>
      <c r="IT1770" s="73"/>
      <c r="IU1770" s="73"/>
      <c r="IV1770" s="73"/>
      <c r="IW1770" s="73"/>
      <c r="IX1770" s="73"/>
      <c r="IY1770" s="73"/>
      <c r="IZ1770" s="73"/>
      <c r="JA1770" s="73"/>
      <c r="JB1770" s="73"/>
      <c r="JC1770" s="73"/>
    </row>
    <row r="1771" spans="2:263" s="72" customFormat="1">
      <c r="B1771" s="73"/>
      <c r="C1771" s="73"/>
      <c r="D1771" s="73"/>
      <c r="E1771" s="73"/>
      <c r="F1771" s="73"/>
      <c r="G1771" s="73"/>
      <c r="H1771" s="73"/>
      <c r="I1771" s="73"/>
      <c r="J1771" s="73"/>
      <c r="K1771" s="73"/>
      <c r="L1771" s="73"/>
      <c r="M1771" s="73"/>
      <c r="N1771" s="73"/>
      <c r="O1771" s="73"/>
      <c r="P1771" s="73"/>
      <c r="Q1771" s="73"/>
      <c r="R1771" s="73"/>
      <c r="S1771" s="73"/>
      <c r="T1771" s="73"/>
      <c r="U1771" s="73"/>
      <c r="V1771" s="73"/>
      <c r="W1771" s="73"/>
      <c r="GL1771" s="73"/>
      <c r="GM1771" s="73"/>
      <c r="GN1771" s="73"/>
      <c r="GO1771" s="73"/>
      <c r="GP1771" s="73"/>
      <c r="GQ1771" s="73"/>
      <c r="GR1771" s="73"/>
      <c r="GS1771" s="73"/>
      <c r="GT1771" s="73"/>
      <c r="GU1771" s="73"/>
      <c r="GV1771" s="73"/>
      <c r="GW1771" s="73"/>
      <c r="GX1771" s="73"/>
      <c r="GY1771" s="73"/>
      <c r="GZ1771" s="73"/>
      <c r="HA1771" s="73"/>
      <c r="HB1771" s="73"/>
      <c r="HC1771" s="73"/>
      <c r="HD1771" s="73"/>
      <c r="HE1771" s="73"/>
      <c r="HF1771" s="73"/>
      <c r="HG1771" s="73"/>
      <c r="HH1771" s="73"/>
      <c r="HI1771" s="73"/>
      <c r="HJ1771" s="73"/>
      <c r="HK1771" s="73"/>
      <c r="HL1771" s="73"/>
      <c r="HM1771" s="73"/>
      <c r="HN1771" s="73"/>
      <c r="HO1771" s="73"/>
      <c r="HP1771" s="73"/>
      <c r="HQ1771" s="73"/>
      <c r="HR1771" s="73"/>
      <c r="HS1771" s="73"/>
      <c r="HT1771" s="73"/>
      <c r="HU1771" s="73"/>
      <c r="HV1771" s="73"/>
      <c r="HW1771" s="73"/>
      <c r="HX1771" s="73"/>
      <c r="HY1771" s="73"/>
      <c r="HZ1771" s="73"/>
      <c r="IA1771" s="73"/>
      <c r="IB1771" s="73"/>
      <c r="IC1771" s="73"/>
      <c r="ID1771" s="73"/>
      <c r="IE1771" s="73"/>
      <c r="IF1771" s="73"/>
      <c r="IG1771" s="73"/>
      <c r="IH1771" s="73"/>
      <c r="II1771" s="73"/>
      <c r="IJ1771" s="73"/>
      <c r="IK1771" s="73"/>
      <c r="IL1771" s="73"/>
      <c r="IM1771" s="73"/>
      <c r="IN1771" s="73"/>
      <c r="IO1771" s="73"/>
      <c r="IP1771" s="73"/>
      <c r="IQ1771" s="73"/>
      <c r="IR1771" s="73"/>
      <c r="IS1771" s="73"/>
      <c r="IT1771" s="73"/>
      <c r="IU1771" s="73"/>
      <c r="IV1771" s="73"/>
      <c r="IW1771" s="73"/>
      <c r="IX1771" s="73"/>
      <c r="IY1771" s="73"/>
      <c r="IZ1771" s="73"/>
      <c r="JA1771" s="73"/>
      <c r="JB1771" s="73"/>
      <c r="JC1771" s="73"/>
    </row>
    <row r="1772" spans="2:263" s="72" customFormat="1">
      <c r="B1772" s="73"/>
      <c r="C1772" s="73"/>
      <c r="D1772" s="73"/>
      <c r="E1772" s="73"/>
      <c r="F1772" s="73"/>
      <c r="G1772" s="73"/>
      <c r="H1772" s="73"/>
      <c r="I1772" s="73"/>
      <c r="J1772" s="73"/>
      <c r="K1772" s="73"/>
      <c r="L1772" s="73"/>
      <c r="M1772" s="73"/>
      <c r="N1772" s="73"/>
      <c r="O1772" s="73"/>
      <c r="P1772" s="73"/>
      <c r="Q1772" s="73"/>
      <c r="R1772" s="73"/>
      <c r="S1772" s="73"/>
      <c r="T1772" s="73"/>
      <c r="U1772" s="73"/>
      <c r="V1772" s="73"/>
      <c r="W1772" s="73"/>
      <c r="GL1772" s="73"/>
      <c r="GM1772" s="73"/>
      <c r="GN1772" s="73"/>
      <c r="GO1772" s="73"/>
      <c r="GP1772" s="73"/>
      <c r="GQ1772" s="73"/>
      <c r="GR1772" s="73"/>
      <c r="GS1772" s="73"/>
      <c r="GT1772" s="73"/>
      <c r="GU1772" s="73"/>
      <c r="GV1772" s="73"/>
      <c r="GW1772" s="73"/>
      <c r="GX1772" s="73"/>
      <c r="GY1772" s="73"/>
      <c r="GZ1772" s="73"/>
      <c r="HA1772" s="73"/>
      <c r="HB1772" s="73"/>
      <c r="HC1772" s="73"/>
      <c r="HD1772" s="73"/>
      <c r="HE1772" s="73"/>
      <c r="HF1772" s="73"/>
      <c r="HG1772" s="73"/>
      <c r="HH1772" s="73"/>
      <c r="HI1772" s="73"/>
      <c r="HJ1772" s="73"/>
      <c r="HK1772" s="73"/>
      <c r="HL1772" s="73"/>
      <c r="HM1772" s="73"/>
      <c r="HN1772" s="73"/>
      <c r="HO1772" s="73"/>
      <c r="HP1772" s="73"/>
      <c r="HQ1772" s="73"/>
      <c r="HR1772" s="73"/>
      <c r="HS1772" s="73"/>
      <c r="HT1772" s="73"/>
      <c r="HU1772" s="73"/>
      <c r="HV1772" s="73"/>
      <c r="HW1772" s="73"/>
      <c r="HX1772" s="73"/>
      <c r="HY1772" s="73"/>
      <c r="HZ1772" s="73"/>
      <c r="IA1772" s="73"/>
      <c r="IB1772" s="73"/>
      <c r="IC1772" s="73"/>
      <c r="ID1772" s="73"/>
      <c r="IE1772" s="73"/>
      <c r="IF1772" s="73"/>
      <c r="IG1772" s="73"/>
      <c r="IH1772" s="73"/>
      <c r="II1772" s="73"/>
      <c r="IJ1772" s="73"/>
      <c r="IK1772" s="73"/>
      <c r="IL1772" s="73"/>
      <c r="IM1772" s="73"/>
      <c r="IN1772" s="73"/>
      <c r="IO1772" s="73"/>
      <c r="IP1772" s="73"/>
      <c r="IQ1772" s="73"/>
      <c r="IR1772" s="73"/>
      <c r="IS1772" s="73"/>
      <c r="IT1772" s="73"/>
      <c r="IU1772" s="73"/>
      <c r="IV1772" s="73"/>
      <c r="IW1772" s="73"/>
      <c r="IX1772" s="73"/>
      <c r="IY1772" s="73"/>
      <c r="IZ1772" s="73"/>
      <c r="JA1772" s="73"/>
      <c r="JB1772" s="73"/>
      <c r="JC1772" s="73"/>
    </row>
    <row r="1773" spans="2:263" s="72" customFormat="1">
      <c r="B1773" s="73"/>
      <c r="C1773" s="73"/>
      <c r="D1773" s="73"/>
      <c r="E1773" s="73"/>
      <c r="F1773" s="73"/>
      <c r="G1773" s="73"/>
      <c r="H1773" s="73"/>
      <c r="I1773" s="73"/>
      <c r="J1773" s="73"/>
      <c r="K1773" s="73"/>
      <c r="L1773" s="73"/>
      <c r="M1773" s="73"/>
      <c r="N1773" s="73"/>
      <c r="O1773" s="73"/>
      <c r="P1773" s="73"/>
      <c r="Q1773" s="73"/>
      <c r="R1773" s="73"/>
      <c r="S1773" s="73"/>
      <c r="T1773" s="73"/>
      <c r="U1773" s="73"/>
      <c r="V1773" s="73"/>
      <c r="W1773" s="73"/>
      <c r="GL1773" s="73"/>
      <c r="GM1773" s="73"/>
      <c r="GN1773" s="73"/>
      <c r="GO1773" s="73"/>
      <c r="GP1773" s="73"/>
      <c r="GQ1773" s="73"/>
      <c r="GR1773" s="73"/>
      <c r="GS1773" s="73"/>
      <c r="GT1773" s="73"/>
      <c r="GU1773" s="73"/>
      <c r="GV1773" s="73"/>
      <c r="GW1773" s="73"/>
      <c r="GX1773" s="73"/>
      <c r="GY1773" s="73"/>
      <c r="GZ1773" s="73"/>
      <c r="HA1773" s="73"/>
      <c r="HB1773" s="73"/>
      <c r="HC1773" s="73"/>
      <c r="HD1773" s="73"/>
      <c r="HE1773" s="73"/>
      <c r="HF1773" s="73"/>
      <c r="HG1773" s="73"/>
      <c r="HH1773" s="73"/>
      <c r="HI1773" s="73"/>
      <c r="HJ1773" s="73"/>
      <c r="HK1773" s="73"/>
      <c r="HL1773" s="73"/>
      <c r="HM1773" s="73"/>
      <c r="HN1773" s="73"/>
      <c r="HO1773" s="73"/>
      <c r="HP1773" s="73"/>
      <c r="HQ1773" s="73"/>
      <c r="HR1773" s="73"/>
      <c r="HS1773" s="73"/>
      <c r="HT1773" s="73"/>
      <c r="HU1773" s="73"/>
      <c r="HV1773" s="73"/>
      <c r="HW1773" s="73"/>
      <c r="HX1773" s="73"/>
      <c r="HY1773" s="73"/>
      <c r="HZ1773" s="73"/>
      <c r="IA1773" s="73"/>
      <c r="IB1773" s="73"/>
      <c r="IC1773" s="73"/>
      <c r="ID1773" s="73"/>
      <c r="IE1773" s="73"/>
      <c r="IF1773" s="73"/>
      <c r="IG1773" s="73"/>
      <c r="IH1773" s="73"/>
      <c r="II1773" s="73"/>
      <c r="IJ1773" s="73"/>
      <c r="IK1773" s="73"/>
      <c r="IL1773" s="73"/>
      <c r="IM1773" s="73"/>
      <c r="IN1773" s="73"/>
      <c r="IO1773" s="73"/>
      <c r="IP1773" s="73"/>
      <c r="IQ1773" s="73"/>
      <c r="IR1773" s="73"/>
      <c r="IS1773" s="73"/>
      <c r="IT1773" s="73"/>
      <c r="IU1773" s="73"/>
      <c r="IV1773" s="73"/>
      <c r="IW1773" s="73"/>
      <c r="IX1773" s="73"/>
      <c r="IY1773" s="73"/>
      <c r="IZ1773" s="73"/>
      <c r="JA1773" s="73"/>
      <c r="JB1773" s="73"/>
      <c r="JC1773" s="73"/>
    </row>
    <row r="1774" spans="2:263" s="72" customFormat="1">
      <c r="B1774" s="73"/>
      <c r="C1774" s="73"/>
      <c r="D1774" s="73"/>
      <c r="E1774" s="73"/>
      <c r="F1774" s="73"/>
      <c r="G1774" s="73"/>
      <c r="H1774" s="73"/>
      <c r="I1774" s="73"/>
      <c r="J1774" s="73"/>
      <c r="K1774" s="73"/>
      <c r="L1774" s="73"/>
      <c r="M1774" s="73"/>
      <c r="N1774" s="73"/>
      <c r="O1774" s="73"/>
      <c r="P1774" s="73"/>
      <c r="Q1774" s="73"/>
      <c r="R1774" s="73"/>
      <c r="S1774" s="73"/>
      <c r="T1774" s="73"/>
      <c r="U1774" s="73"/>
      <c r="V1774" s="73"/>
      <c r="W1774" s="73"/>
      <c r="GL1774" s="73"/>
      <c r="GM1774" s="73"/>
      <c r="GN1774" s="73"/>
      <c r="GO1774" s="73"/>
      <c r="GP1774" s="73"/>
      <c r="GQ1774" s="73"/>
      <c r="GR1774" s="73"/>
      <c r="GS1774" s="73"/>
      <c r="GT1774" s="73"/>
      <c r="GU1774" s="73"/>
      <c r="GV1774" s="73"/>
      <c r="GW1774" s="73"/>
      <c r="GX1774" s="73"/>
      <c r="GY1774" s="73"/>
      <c r="GZ1774" s="73"/>
      <c r="HA1774" s="73"/>
      <c r="HB1774" s="73"/>
      <c r="HC1774" s="73"/>
      <c r="HD1774" s="73"/>
      <c r="HE1774" s="73"/>
      <c r="HF1774" s="73"/>
      <c r="HG1774" s="73"/>
      <c r="HH1774" s="73"/>
      <c r="HI1774" s="73"/>
      <c r="HJ1774" s="73"/>
      <c r="HK1774" s="73"/>
      <c r="HL1774" s="73"/>
      <c r="HM1774" s="73"/>
      <c r="HN1774" s="73"/>
      <c r="HO1774" s="73"/>
      <c r="HP1774" s="73"/>
      <c r="HQ1774" s="73"/>
      <c r="HR1774" s="73"/>
      <c r="HS1774" s="73"/>
      <c r="HT1774" s="73"/>
      <c r="HU1774" s="73"/>
      <c r="HV1774" s="73"/>
      <c r="HW1774" s="73"/>
      <c r="HX1774" s="73"/>
      <c r="HY1774" s="73"/>
      <c r="HZ1774" s="73"/>
      <c r="IA1774" s="73"/>
      <c r="IB1774" s="73"/>
      <c r="IC1774" s="73"/>
      <c r="ID1774" s="73"/>
      <c r="IE1774" s="73"/>
      <c r="IF1774" s="73"/>
      <c r="IG1774" s="73"/>
      <c r="IH1774" s="73"/>
      <c r="II1774" s="73"/>
      <c r="IJ1774" s="73"/>
      <c r="IK1774" s="73"/>
      <c r="IL1774" s="73"/>
      <c r="IM1774" s="73"/>
      <c r="IN1774" s="73"/>
      <c r="IO1774" s="73"/>
      <c r="IP1774" s="73"/>
      <c r="IQ1774" s="73"/>
      <c r="IR1774" s="73"/>
      <c r="IS1774" s="73"/>
      <c r="IT1774" s="73"/>
      <c r="IU1774" s="73"/>
      <c r="IV1774" s="73"/>
      <c r="IW1774" s="73"/>
      <c r="IX1774" s="73"/>
      <c r="IY1774" s="73"/>
      <c r="IZ1774" s="73"/>
      <c r="JA1774" s="73"/>
      <c r="JB1774" s="73"/>
      <c r="JC1774" s="73"/>
    </row>
    <row r="1775" spans="2:263" s="72" customFormat="1">
      <c r="B1775" s="73"/>
      <c r="C1775" s="73"/>
      <c r="D1775" s="73"/>
      <c r="E1775" s="73"/>
      <c r="F1775" s="73"/>
      <c r="G1775" s="73"/>
      <c r="H1775" s="73"/>
      <c r="I1775" s="73"/>
      <c r="J1775" s="73"/>
      <c r="K1775" s="73"/>
      <c r="L1775" s="73"/>
      <c r="M1775" s="73"/>
      <c r="N1775" s="73"/>
      <c r="O1775" s="73"/>
      <c r="P1775" s="73"/>
      <c r="Q1775" s="73"/>
      <c r="R1775" s="73"/>
      <c r="S1775" s="73"/>
      <c r="T1775" s="73"/>
      <c r="U1775" s="73"/>
      <c r="V1775" s="73"/>
      <c r="W1775" s="73"/>
      <c r="GL1775" s="73"/>
      <c r="GM1775" s="73"/>
      <c r="GN1775" s="73"/>
      <c r="GO1775" s="73"/>
      <c r="GP1775" s="73"/>
      <c r="GQ1775" s="73"/>
      <c r="GR1775" s="73"/>
      <c r="GS1775" s="73"/>
      <c r="GT1775" s="73"/>
      <c r="GU1775" s="73"/>
      <c r="GV1775" s="73"/>
      <c r="GW1775" s="73"/>
      <c r="GX1775" s="73"/>
      <c r="GY1775" s="73"/>
      <c r="GZ1775" s="73"/>
      <c r="HA1775" s="73"/>
      <c r="HB1775" s="73"/>
      <c r="HC1775" s="73"/>
      <c r="HD1775" s="73"/>
      <c r="HE1775" s="73"/>
      <c r="HF1775" s="73"/>
      <c r="HG1775" s="73"/>
      <c r="HH1775" s="73"/>
      <c r="HI1775" s="73"/>
      <c r="HJ1775" s="73"/>
      <c r="HK1775" s="73"/>
      <c r="HL1775" s="73"/>
      <c r="HM1775" s="73"/>
      <c r="HN1775" s="73"/>
      <c r="HO1775" s="73"/>
      <c r="HP1775" s="73"/>
      <c r="HQ1775" s="73"/>
      <c r="HR1775" s="73"/>
      <c r="HS1775" s="73"/>
      <c r="HT1775" s="73"/>
      <c r="HU1775" s="73"/>
      <c r="HV1775" s="73"/>
      <c r="HW1775" s="73"/>
      <c r="HX1775" s="73"/>
      <c r="HY1775" s="73"/>
      <c r="HZ1775" s="73"/>
      <c r="IA1775" s="73"/>
      <c r="IB1775" s="73"/>
      <c r="IC1775" s="73"/>
      <c r="ID1775" s="73"/>
      <c r="IE1775" s="73"/>
      <c r="IF1775" s="73"/>
      <c r="IG1775" s="73"/>
      <c r="IH1775" s="73"/>
      <c r="II1775" s="73"/>
      <c r="IJ1775" s="73"/>
      <c r="IK1775" s="73"/>
      <c r="IL1775" s="73"/>
      <c r="IM1775" s="73"/>
      <c r="IN1775" s="73"/>
      <c r="IO1775" s="73"/>
      <c r="IP1775" s="73"/>
      <c r="IQ1775" s="73"/>
      <c r="IR1775" s="73"/>
      <c r="IS1775" s="73"/>
      <c r="IT1775" s="73"/>
      <c r="IU1775" s="73"/>
      <c r="IV1775" s="73"/>
      <c r="IW1775" s="73"/>
      <c r="IX1775" s="73"/>
      <c r="IY1775" s="73"/>
      <c r="IZ1775" s="73"/>
      <c r="JA1775" s="73"/>
      <c r="JB1775" s="73"/>
      <c r="JC1775" s="73"/>
    </row>
    <row r="1776" spans="2:263" s="72" customFormat="1">
      <c r="B1776" s="73"/>
      <c r="C1776" s="73"/>
      <c r="D1776" s="73"/>
      <c r="E1776" s="73"/>
      <c r="F1776" s="73"/>
      <c r="G1776" s="73"/>
      <c r="H1776" s="73"/>
      <c r="I1776" s="73"/>
      <c r="J1776" s="73"/>
      <c r="K1776" s="73"/>
      <c r="L1776" s="73"/>
      <c r="M1776" s="73"/>
      <c r="N1776" s="73"/>
      <c r="O1776" s="73"/>
      <c r="P1776" s="73"/>
      <c r="Q1776" s="73"/>
      <c r="R1776" s="73"/>
      <c r="S1776" s="73"/>
      <c r="T1776" s="73"/>
      <c r="U1776" s="73"/>
      <c r="V1776" s="73"/>
      <c r="W1776" s="73"/>
      <c r="GL1776" s="73"/>
      <c r="GM1776" s="73"/>
      <c r="GN1776" s="73"/>
      <c r="GO1776" s="73"/>
      <c r="GP1776" s="73"/>
      <c r="GQ1776" s="73"/>
      <c r="GR1776" s="73"/>
      <c r="GS1776" s="73"/>
      <c r="GT1776" s="73"/>
      <c r="GU1776" s="73"/>
      <c r="GV1776" s="73"/>
      <c r="GW1776" s="73"/>
      <c r="GX1776" s="73"/>
      <c r="GY1776" s="73"/>
      <c r="GZ1776" s="73"/>
      <c r="HA1776" s="73"/>
      <c r="HB1776" s="73"/>
      <c r="HC1776" s="73"/>
      <c r="HD1776" s="73"/>
      <c r="HE1776" s="73"/>
      <c r="HF1776" s="73"/>
      <c r="HG1776" s="73"/>
      <c r="HH1776" s="73"/>
      <c r="HI1776" s="73"/>
      <c r="HJ1776" s="73"/>
      <c r="HK1776" s="73"/>
      <c r="HL1776" s="73"/>
      <c r="HM1776" s="73"/>
      <c r="HN1776" s="73"/>
      <c r="HO1776" s="73"/>
      <c r="HP1776" s="73"/>
      <c r="HQ1776" s="73"/>
      <c r="HR1776" s="73"/>
      <c r="HS1776" s="73"/>
      <c r="HT1776" s="73"/>
      <c r="HU1776" s="73"/>
      <c r="HV1776" s="73"/>
      <c r="HW1776" s="73"/>
      <c r="HX1776" s="73"/>
      <c r="HY1776" s="73"/>
      <c r="HZ1776" s="73"/>
      <c r="IA1776" s="73"/>
      <c r="IB1776" s="73"/>
      <c r="IC1776" s="73"/>
      <c r="ID1776" s="73"/>
      <c r="IE1776" s="73"/>
      <c r="IF1776" s="73"/>
      <c r="IG1776" s="73"/>
      <c r="IH1776" s="73"/>
      <c r="II1776" s="73"/>
      <c r="IJ1776" s="73"/>
      <c r="IK1776" s="73"/>
      <c r="IL1776" s="73"/>
      <c r="IM1776" s="73"/>
      <c r="IN1776" s="73"/>
      <c r="IO1776" s="73"/>
      <c r="IP1776" s="73"/>
      <c r="IQ1776" s="73"/>
      <c r="IR1776" s="73"/>
      <c r="IS1776" s="73"/>
      <c r="IT1776" s="73"/>
      <c r="IU1776" s="73"/>
      <c r="IV1776" s="73"/>
      <c r="IW1776" s="73"/>
      <c r="IX1776" s="73"/>
      <c r="IY1776" s="73"/>
      <c r="IZ1776" s="73"/>
      <c r="JA1776" s="73"/>
      <c r="JB1776" s="73"/>
      <c r="JC1776" s="73"/>
    </row>
    <row r="1777" spans="2:263" s="72" customFormat="1">
      <c r="B1777" s="73"/>
      <c r="C1777" s="73"/>
      <c r="D1777" s="73"/>
      <c r="E1777" s="73"/>
      <c r="F1777" s="73"/>
      <c r="G1777" s="73"/>
      <c r="H1777" s="73"/>
      <c r="I1777" s="73"/>
      <c r="J1777" s="73"/>
      <c r="K1777" s="73"/>
      <c r="L1777" s="73"/>
      <c r="M1777" s="73"/>
      <c r="N1777" s="73"/>
      <c r="O1777" s="73"/>
      <c r="P1777" s="73"/>
      <c r="Q1777" s="73"/>
      <c r="R1777" s="73"/>
      <c r="S1777" s="73"/>
      <c r="T1777" s="73"/>
      <c r="U1777" s="73"/>
      <c r="V1777" s="73"/>
      <c r="W1777" s="73"/>
      <c r="GL1777" s="73"/>
      <c r="GM1777" s="73"/>
      <c r="GN1777" s="73"/>
      <c r="GO1777" s="73"/>
      <c r="GP1777" s="73"/>
      <c r="GQ1777" s="73"/>
      <c r="GR1777" s="73"/>
      <c r="GS1777" s="73"/>
      <c r="GT1777" s="73"/>
      <c r="GU1777" s="73"/>
      <c r="GV1777" s="73"/>
      <c r="GW1777" s="73"/>
      <c r="GX1777" s="73"/>
      <c r="GY1777" s="73"/>
      <c r="GZ1777" s="73"/>
      <c r="HA1777" s="73"/>
      <c r="HB1777" s="73"/>
      <c r="HC1777" s="73"/>
      <c r="HD1777" s="73"/>
      <c r="HE1777" s="73"/>
      <c r="HF1777" s="73"/>
      <c r="HG1777" s="73"/>
      <c r="HH1777" s="73"/>
      <c r="HI1777" s="73"/>
      <c r="HJ1777" s="73"/>
      <c r="HK1777" s="73"/>
      <c r="HL1777" s="73"/>
      <c r="HM1777" s="73"/>
      <c r="HN1777" s="73"/>
      <c r="HO1777" s="73"/>
      <c r="HP1777" s="73"/>
      <c r="HQ1777" s="73"/>
      <c r="HR1777" s="73"/>
      <c r="HS1777" s="73"/>
      <c r="HT1777" s="73"/>
      <c r="HU1777" s="73"/>
      <c r="HV1777" s="73"/>
      <c r="HW1777" s="73"/>
      <c r="HX1777" s="73"/>
      <c r="HY1777" s="73"/>
      <c r="HZ1777" s="73"/>
      <c r="IA1777" s="73"/>
      <c r="IB1777" s="73"/>
      <c r="IC1777" s="73"/>
      <c r="ID1777" s="73"/>
      <c r="IE1777" s="73"/>
      <c r="IF1777" s="73"/>
      <c r="IG1777" s="73"/>
      <c r="IH1777" s="73"/>
      <c r="II1777" s="73"/>
      <c r="IJ1777" s="73"/>
      <c r="IK1777" s="73"/>
      <c r="IL1777" s="73"/>
      <c r="IM1777" s="73"/>
      <c r="IN1777" s="73"/>
      <c r="IO1777" s="73"/>
      <c r="IP1777" s="73"/>
      <c r="IQ1777" s="73"/>
      <c r="IR1777" s="73"/>
      <c r="IS1777" s="73"/>
      <c r="IT1777" s="73"/>
      <c r="IU1777" s="73"/>
      <c r="IV1777" s="73"/>
      <c r="IW1777" s="73"/>
      <c r="IX1777" s="73"/>
      <c r="IY1777" s="73"/>
      <c r="IZ1777" s="73"/>
      <c r="JA1777" s="73"/>
      <c r="JB1777" s="73"/>
      <c r="JC1777" s="73"/>
    </row>
    <row r="1778" spans="2:263" s="72" customFormat="1">
      <c r="B1778" s="73"/>
      <c r="C1778" s="73"/>
      <c r="D1778" s="73"/>
      <c r="E1778" s="73"/>
      <c r="F1778" s="73"/>
      <c r="G1778" s="73"/>
      <c r="H1778" s="73"/>
      <c r="I1778" s="73"/>
      <c r="J1778" s="73"/>
      <c r="K1778" s="73"/>
      <c r="L1778" s="73"/>
      <c r="M1778" s="73"/>
      <c r="N1778" s="73"/>
      <c r="O1778" s="73"/>
      <c r="P1778" s="73"/>
      <c r="Q1778" s="73"/>
      <c r="R1778" s="73"/>
      <c r="S1778" s="73"/>
      <c r="T1778" s="73"/>
      <c r="U1778" s="73"/>
      <c r="V1778" s="73"/>
      <c r="W1778" s="73"/>
      <c r="GL1778" s="73"/>
      <c r="GM1778" s="73"/>
      <c r="GN1778" s="73"/>
      <c r="GO1778" s="73"/>
      <c r="GP1778" s="73"/>
      <c r="GQ1778" s="73"/>
      <c r="GR1778" s="73"/>
      <c r="GS1778" s="73"/>
      <c r="GT1778" s="73"/>
      <c r="GU1778" s="73"/>
      <c r="GV1778" s="73"/>
      <c r="GW1778" s="73"/>
      <c r="GX1778" s="73"/>
      <c r="GY1778" s="73"/>
      <c r="GZ1778" s="73"/>
      <c r="HA1778" s="73"/>
      <c r="HB1778" s="73"/>
      <c r="HC1778" s="73"/>
      <c r="HD1778" s="73"/>
      <c r="HE1778" s="73"/>
      <c r="HF1778" s="73"/>
      <c r="HG1778" s="73"/>
      <c r="HH1778" s="73"/>
      <c r="HI1778" s="73"/>
      <c r="HJ1778" s="73"/>
      <c r="HK1778" s="73"/>
      <c r="HL1778" s="73"/>
      <c r="HM1778" s="73"/>
      <c r="HN1778" s="73"/>
      <c r="HO1778" s="73"/>
      <c r="HP1778" s="73"/>
      <c r="HQ1778" s="73"/>
      <c r="HR1778" s="73"/>
      <c r="HS1778" s="73"/>
      <c r="HT1778" s="73"/>
      <c r="HU1778" s="73"/>
      <c r="HV1778" s="73"/>
      <c r="HW1778" s="73"/>
      <c r="HX1778" s="73"/>
      <c r="HY1778" s="73"/>
      <c r="HZ1778" s="73"/>
      <c r="IA1778" s="73"/>
      <c r="IB1778" s="73"/>
      <c r="IC1778" s="73"/>
      <c r="ID1778" s="73"/>
      <c r="IE1778" s="73"/>
      <c r="IF1778" s="73"/>
      <c r="IG1778" s="73"/>
      <c r="IH1778" s="73"/>
      <c r="II1778" s="73"/>
      <c r="IJ1778" s="73"/>
      <c r="IK1778" s="73"/>
      <c r="IL1778" s="73"/>
      <c r="IM1778" s="73"/>
      <c r="IN1778" s="73"/>
      <c r="IO1778" s="73"/>
      <c r="IP1778" s="73"/>
      <c r="IQ1778" s="73"/>
      <c r="IR1778" s="73"/>
      <c r="IS1778" s="73"/>
      <c r="IT1778" s="73"/>
      <c r="IU1778" s="73"/>
      <c r="IV1778" s="73"/>
      <c r="IW1778" s="73"/>
      <c r="IX1778" s="73"/>
      <c r="IY1778" s="73"/>
      <c r="IZ1778" s="73"/>
      <c r="JA1778" s="73"/>
      <c r="JB1778" s="73"/>
      <c r="JC1778" s="73"/>
    </row>
    <row r="1779" spans="2:263" s="72" customFormat="1">
      <c r="B1779" s="73"/>
      <c r="C1779" s="73"/>
      <c r="D1779" s="73"/>
      <c r="E1779" s="73"/>
      <c r="F1779" s="73"/>
      <c r="G1779" s="73"/>
      <c r="H1779" s="73"/>
      <c r="I1779" s="73"/>
      <c r="J1779" s="73"/>
      <c r="K1779" s="73"/>
      <c r="L1779" s="73"/>
      <c r="M1779" s="73"/>
      <c r="N1779" s="73"/>
      <c r="O1779" s="73"/>
      <c r="P1779" s="73"/>
      <c r="Q1779" s="73"/>
      <c r="R1779" s="73"/>
      <c r="S1779" s="73"/>
      <c r="T1779" s="73"/>
      <c r="U1779" s="73"/>
      <c r="V1779" s="73"/>
      <c r="W1779" s="73"/>
      <c r="GL1779" s="73"/>
      <c r="GM1779" s="73"/>
      <c r="GN1779" s="73"/>
      <c r="GO1779" s="73"/>
      <c r="GP1779" s="73"/>
      <c r="GQ1779" s="73"/>
      <c r="GR1779" s="73"/>
      <c r="GS1779" s="73"/>
      <c r="GT1779" s="73"/>
      <c r="GU1779" s="73"/>
      <c r="GV1779" s="73"/>
      <c r="GW1779" s="73"/>
      <c r="GX1779" s="73"/>
      <c r="GY1779" s="73"/>
      <c r="GZ1779" s="73"/>
      <c r="HA1779" s="73"/>
      <c r="HB1779" s="73"/>
      <c r="HC1779" s="73"/>
      <c r="HD1779" s="73"/>
      <c r="HE1779" s="73"/>
      <c r="HF1779" s="73"/>
      <c r="HG1779" s="73"/>
      <c r="HH1779" s="73"/>
      <c r="HI1779" s="73"/>
      <c r="HJ1779" s="73"/>
      <c r="HK1779" s="73"/>
      <c r="HL1779" s="73"/>
      <c r="HM1779" s="73"/>
      <c r="HN1779" s="73"/>
      <c r="HO1779" s="73"/>
      <c r="HP1779" s="73"/>
      <c r="HQ1779" s="73"/>
      <c r="HR1779" s="73"/>
      <c r="HS1779" s="73"/>
      <c r="HT1779" s="73"/>
      <c r="HU1779" s="73"/>
      <c r="HV1779" s="73"/>
      <c r="HW1779" s="73"/>
      <c r="HX1779" s="73"/>
      <c r="HY1779" s="73"/>
      <c r="HZ1779" s="73"/>
      <c r="IA1779" s="73"/>
      <c r="IB1779" s="73"/>
      <c r="IC1779" s="73"/>
      <c r="ID1779" s="73"/>
      <c r="IE1779" s="73"/>
      <c r="IF1779" s="73"/>
      <c r="IG1779" s="73"/>
      <c r="IH1779" s="73"/>
      <c r="II1779" s="73"/>
      <c r="IJ1779" s="73"/>
      <c r="IK1779" s="73"/>
      <c r="IL1779" s="73"/>
      <c r="IM1779" s="73"/>
      <c r="IN1779" s="73"/>
      <c r="IO1779" s="73"/>
      <c r="IP1779" s="73"/>
      <c r="IQ1779" s="73"/>
      <c r="IR1779" s="73"/>
      <c r="IS1779" s="73"/>
      <c r="IT1779" s="73"/>
      <c r="IU1779" s="73"/>
      <c r="IV1779" s="73"/>
      <c r="IW1779" s="73"/>
      <c r="IX1779" s="73"/>
      <c r="IY1779" s="73"/>
      <c r="IZ1779" s="73"/>
      <c r="JA1779" s="73"/>
      <c r="JB1779" s="73"/>
      <c r="JC1779" s="73"/>
    </row>
    <row r="1780" spans="2:263" s="72" customFormat="1">
      <c r="B1780" s="73"/>
      <c r="C1780" s="73"/>
      <c r="D1780" s="73"/>
      <c r="E1780" s="73"/>
      <c r="F1780" s="73"/>
      <c r="G1780" s="73"/>
      <c r="H1780" s="73"/>
      <c r="I1780" s="73"/>
      <c r="J1780" s="73"/>
      <c r="K1780" s="73"/>
      <c r="L1780" s="73"/>
      <c r="M1780" s="73"/>
      <c r="N1780" s="73"/>
      <c r="O1780" s="73"/>
      <c r="P1780" s="73"/>
      <c r="Q1780" s="73"/>
      <c r="R1780" s="73"/>
      <c r="S1780" s="73"/>
      <c r="T1780" s="73"/>
      <c r="U1780" s="73"/>
      <c r="V1780" s="73"/>
      <c r="W1780" s="73"/>
      <c r="GL1780" s="73"/>
      <c r="GM1780" s="73"/>
      <c r="GN1780" s="73"/>
      <c r="GO1780" s="73"/>
      <c r="GP1780" s="73"/>
      <c r="GQ1780" s="73"/>
      <c r="GR1780" s="73"/>
      <c r="GS1780" s="73"/>
      <c r="GT1780" s="73"/>
      <c r="GU1780" s="73"/>
      <c r="GV1780" s="73"/>
      <c r="GW1780" s="73"/>
      <c r="GX1780" s="73"/>
      <c r="GY1780" s="73"/>
      <c r="GZ1780" s="73"/>
      <c r="HA1780" s="73"/>
      <c r="HB1780" s="73"/>
      <c r="HC1780" s="73"/>
      <c r="HD1780" s="73"/>
      <c r="HE1780" s="73"/>
      <c r="HF1780" s="73"/>
      <c r="HG1780" s="73"/>
      <c r="HH1780" s="73"/>
      <c r="HI1780" s="73"/>
      <c r="HJ1780" s="73"/>
      <c r="HK1780" s="73"/>
      <c r="HL1780" s="73"/>
      <c r="HM1780" s="73"/>
      <c r="HN1780" s="73"/>
      <c r="HO1780" s="73"/>
      <c r="HP1780" s="73"/>
      <c r="HQ1780" s="73"/>
      <c r="HR1780" s="73"/>
      <c r="HS1780" s="73"/>
      <c r="HT1780" s="73"/>
      <c r="HU1780" s="73"/>
      <c r="HV1780" s="73"/>
      <c r="HW1780" s="73"/>
      <c r="HX1780" s="73"/>
      <c r="HY1780" s="73"/>
      <c r="HZ1780" s="73"/>
      <c r="IA1780" s="73"/>
      <c r="IB1780" s="73"/>
      <c r="IC1780" s="73"/>
      <c r="ID1780" s="73"/>
      <c r="IE1780" s="73"/>
      <c r="IF1780" s="73"/>
      <c r="IG1780" s="73"/>
      <c r="IH1780" s="73"/>
      <c r="II1780" s="73"/>
      <c r="IJ1780" s="73"/>
      <c r="IK1780" s="73"/>
      <c r="IL1780" s="73"/>
      <c r="IM1780" s="73"/>
      <c r="IN1780" s="73"/>
      <c r="IO1780" s="73"/>
      <c r="IP1780" s="73"/>
      <c r="IQ1780" s="73"/>
      <c r="IR1780" s="73"/>
      <c r="IS1780" s="73"/>
      <c r="IT1780" s="73"/>
      <c r="IU1780" s="73"/>
      <c r="IV1780" s="73"/>
      <c r="IW1780" s="73"/>
      <c r="IX1780" s="73"/>
      <c r="IY1780" s="73"/>
      <c r="IZ1780" s="73"/>
      <c r="JA1780" s="73"/>
      <c r="JB1780" s="73"/>
      <c r="JC1780" s="73"/>
    </row>
    <row r="1781" spans="2:263" s="72" customFormat="1">
      <c r="B1781" s="73"/>
      <c r="C1781" s="73"/>
      <c r="D1781" s="73"/>
      <c r="E1781" s="73"/>
      <c r="F1781" s="73"/>
      <c r="G1781" s="73"/>
      <c r="H1781" s="73"/>
      <c r="I1781" s="73"/>
      <c r="J1781" s="73"/>
      <c r="K1781" s="73"/>
      <c r="L1781" s="73"/>
      <c r="M1781" s="73"/>
      <c r="N1781" s="73"/>
      <c r="O1781" s="73"/>
      <c r="P1781" s="73"/>
      <c r="Q1781" s="73"/>
      <c r="R1781" s="73"/>
      <c r="S1781" s="73"/>
      <c r="T1781" s="73"/>
      <c r="U1781" s="73"/>
      <c r="V1781" s="73"/>
      <c r="W1781" s="73"/>
      <c r="GL1781" s="73"/>
      <c r="GM1781" s="73"/>
      <c r="GN1781" s="73"/>
      <c r="GO1781" s="73"/>
      <c r="GP1781" s="73"/>
      <c r="GQ1781" s="73"/>
      <c r="GR1781" s="73"/>
      <c r="GS1781" s="73"/>
      <c r="GT1781" s="73"/>
      <c r="GU1781" s="73"/>
      <c r="GV1781" s="73"/>
      <c r="GW1781" s="73"/>
      <c r="GX1781" s="73"/>
      <c r="GY1781" s="73"/>
      <c r="GZ1781" s="73"/>
      <c r="HA1781" s="73"/>
      <c r="HB1781" s="73"/>
      <c r="HC1781" s="73"/>
      <c r="HD1781" s="73"/>
      <c r="HE1781" s="73"/>
      <c r="HF1781" s="73"/>
      <c r="HG1781" s="73"/>
      <c r="HH1781" s="73"/>
      <c r="HI1781" s="73"/>
      <c r="HJ1781" s="73"/>
      <c r="HK1781" s="73"/>
      <c r="HL1781" s="73"/>
      <c r="HM1781" s="73"/>
      <c r="HN1781" s="73"/>
      <c r="HO1781" s="73"/>
      <c r="HP1781" s="73"/>
      <c r="HQ1781" s="73"/>
      <c r="HR1781" s="73"/>
      <c r="HS1781" s="73"/>
      <c r="HT1781" s="73"/>
      <c r="HU1781" s="73"/>
      <c r="HV1781" s="73"/>
      <c r="HW1781" s="73"/>
      <c r="HX1781" s="73"/>
      <c r="HY1781" s="73"/>
      <c r="HZ1781" s="73"/>
      <c r="IA1781" s="73"/>
      <c r="IB1781" s="73"/>
      <c r="IC1781" s="73"/>
      <c r="ID1781" s="73"/>
      <c r="IE1781" s="73"/>
      <c r="IF1781" s="73"/>
      <c r="IG1781" s="73"/>
      <c r="IH1781" s="73"/>
      <c r="II1781" s="73"/>
      <c r="IJ1781" s="73"/>
      <c r="IK1781" s="73"/>
      <c r="IL1781" s="73"/>
      <c r="IM1781" s="73"/>
      <c r="IN1781" s="73"/>
      <c r="IO1781" s="73"/>
      <c r="IP1781" s="73"/>
      <c r="IQ1781" s="73"/>
      <c r="IR1781" s="73"/>
      <c r="IS1781" s="73"/>
      <c r="IT1781" s="73"/>
      <c r="IU1781" s="73"/>
      <c r="IV1781" s="73"/>
      <c r="IW1781" s="73"/>
      <c r="IX1781" s="73"/>
      <c r="IY1781" s="73"/>
      <c r="IZ1781" s="73"/>
      <c r="JA1781" s="73"/>
      <c r="JB1781" s="73"/>
      <c r="JC1781" s="73"/>
    </row>
    <row r="1782" spans="2:263" s="72" customFormat="1">
      <c r="B1782" s="73"/>
      <c r="C1782" s="73"/>
      <c r="D1782" s="73"/>
      <c r="E1782" s="73"/>
      <c r="F1782" s="73"/>
      <c r="G1782" s="73"/>
      <c r="H1782" s="73"/>
      <c r="I1782" s="73"/>
      <c r="J1782" s="73"/>
      <c r="K1782" s="73"/>
      <c r="L1782" s="73"/>
      <c r="M1782" s="73"/>
      <c r="N1782" s="73"/>
      <c r="O1782" s="73"/>
      <c r="P1782" s="73"/>
      <c r="Q1782" s="73"/>
      <c r="R1782" s="73"/>
      <c r="S1782" s="73"/>
      <c r="T1782" s="73"/>
      <c r="U1782" s="73"/>
      <c r="V1782" s="73"/>
      <c r="W1782" s="73"/>
      <c r="GL1782" s="73"/>
      <c r="GM1782" s="73"/>
      <c r="GN1782" s="73"/>
      <c r="GO1782" s="73"/>
      <c r="GP1782" s="73"/>
      <c r="GQ1782" s="73"/>
      <c r="GR1782" s="73"/>
      <c r="GS1782" s="73"/>
      <c r="GT1782" s="73"/>
      <c r="GU1782" s="73"/>
      <c r="GV1782" s="73"/>
      <c r="GW1782" s="73"/>
      <c r="GX1782" s="73"/>
      <c r="GY1782" s="73"/>
      <c r="GZ1782" s="73"/>
      <c r="HA1782" s="73"/>
      <c r="HB1782" s="73"/>
      <c r="HC1782" s="73"/>
      <c r="HD1782" s="73"/>
      <c r="HE1782" s="73"/>
      <c r="HF1782" s="73"/>
      <c r="HG1782" s="73"/>
      <c r="HH1782" s="73"/>
      <c r="HI1782" s="73"/>
      <c r="HJ1782" s="73"/>
      <c r="HK1782" s="73"/>
      <c r="HL1782" s="73"/>
      <c r="HM1782" s="73"/>
      <c r="HN1782" s="73"/>
      <c r="HO1782" s="73"/>
      <c r="HP1782" s="73"/>
      <c r="HQ1782" s="73"/>
      <c r="HR1782" s="73"/>
      <c r="HS1782" s="73"/>
      <c r="HT1782" s="73"/>
      <c r="HU1782" s="73"/>
      <c r="HV1782" s="73"/>
      <c r="HW1782" s="73"/>
      <c r="HX1782" s="73"/>
      <c r="HY1782" s="73"/>
      <c r="HZ1782" s="73"/>
      <c r="IA1782" s="73"/>
      <c r="IB1782" s="73"/>
      <c r="IC1782" s="73"/>
      <c r="ID1782" s="73"/>
      <c r="IE1782" s="73"/>
      <c r="IF1782" s="73"/>
      <c r="IG1782" s="73"/>
      <c r="IH1782" s="73"/>
      <c r="II1782" s="73"/>
      <c r="IJ1782" s="73"/>
      <c r="IK1782" s="73"/>
      <c r="IL1782" s="73"/>
      <c r="IM1782" s="73"/>
      <c r="IN1782" s="73"/>
      <c r="IO1782" s="73"/>
      <c r="IP1782" s="73"/>
      <c r="IQ1782" s="73"/>
      <c r="IR1782" s="73"/>
      <c r="IS1782" s="73"/>
      <c r="IT1782" s="73"/>
      <c r="IU1782" s="73"/>
      <c r="IV1782" s="73"/>
      <c r="IW1782" s="73"/>
      <c r="IX1782" s="73"/>
      <c r="IY1782" s="73"/>
      <c r="IZ1782" s="73"/>
      <c r="JA1782" s="73"/>
      <c r="JB1782" s="73"/>
      <c r="JC1782" s="73"/>
    </row>
    <row r="1783" spans="2:263" s="72" customFormat="1">
      <c r="B1783" s="73"/>
      <c r="C1783" s="73"/>
      <c r="D1783" s="73"/>
      <c r="E1783" s="73"/>
      <c r="F1783" s="73"/>
      <c r="G1783" s="73"/>
      <c r="H1783" s="73"/>
      <c r="I1783" s="73"/>
      <c r="J1783" s="73"/>
      <c r="K1783" s="73"/>
      <c r="L1783" s="73"/>
      <c r="M1783" s="73"/>
      <c r="N1783" s="73"/>
      <c r="O1783" s="73"/>
      <c r="P1783" s="73"/>
      <c r="Q1783" s="73"/>
      <c r="R1783" s="73"/>
      <c r="S1783" s="73"/>
      <c r="T1783" s="73"/>
      <c r="U1783" s="73"/>
      <c r="V1783" s="73"/>
      <c r="W1783" s="73"/>
      <c r="GL1783" s="73"/>
      <c r="GM1783" s="73"/>
      <c r="GN1783" s="73"/>
      <c r="GO1783" s="73"/>
      <c r="GP1783" s="73"/>
      <c r="GQ1783" s="73"/>
      <c r="GR1783" s="73"/>
      <c r="GS1783" s="73"/>
      <c r="GT1783" s="73"/>
      <c r="GU1783" s="73"/>
      <c r="GV1783" s="73"/>
      <c r="GW1783" s="73"/>
      <c r="GX1783" s="73"/>
      <c r="GY1783" s="73"/>
      <c r="GZ1783" s="73"/>
      <c r="HA1783" s="73"/>
      <c r="HB1783" s="73"/>
      <c r="HC1783" s="73"/>
      <c r="HD1783" s="73"/>
      <c r="HE1783" s="73"/>
      <c r="HF1783" s="73"/>
      <c r="HG1783" s="73"/>
      <c r="HH1783" s="73"/>
      <c r="HI1783" s="73"/>
      <c r="HJ1783" s="73"/>
      <c r="HK1783" s="73"/>
      <c r="HL1783" s="73"/>
      <c r="HM1783" s="73"/>
      <c r="HN1783" s="73"/>
      <c r="HO1783" s="73"/>
      <c r="HP1783" s="73"/>
      <c r="HQ1783" s="73"/>
      <c r="HR1783" s="73"/>
      <c r="HS1783" s="73"/>
      <c r="HT1783" s="73"/>
      <c r="HU1783" s="73"/>
      <c r="HV1783" s="73"/>
      <c r="HW1783" s="73"/>
      <c r="HX1783" s="73"/>
      <c r="HY1783" s="73"/>
      <c r="HZ1783" s="73"/>
      <c r="IA1783" s="73"/>
      <c r="IB1783" s="73"/>
      <c r="IC1783" s="73"/>
      <c r="ID1783" s="73"/>
      <c r="IE1783" s="73"/>
      <c r="IF1783" s="73"/>
      <c r="IG1783" s="73"/>
      <c r="IH1783" s="73"/>
      <c r="II1783" s="73"/>
      <c r="IJ1783" s="73"/>
      <c r="IK1783" s="73"/>
      <c r="IL1783" s="73"/>
      <c r="IM1783" s="73"/>
      <c r="IN1783" s="73"/>
      <c r="IO1783" s="73"/>
      <c r="IP1783" s="73"/>
      <c r="IQ1783" s="73"/>
      <c r="IR1783" s="73"/>
      <c r="IS1783" s="73"/>
      <c r="IT1783" s="73"/>
      <c r="IU1783" s="73"/>
      <c r="IV1783" s="73"/>
      <c r="IW1783" s="73"/>
      <c r="IX1783" s="73"/>
      <c r="IY1783" s="73"/>
      <c r="IZ1783" s="73"/>
      <c r="JA1783" s="73"/>
      <c r="JB1783" s="73"/>
      <c r="JC1783" s="73"/>
    </row>
    <row r="1784" spans="2:263" s="72" customFormat="1">
      <c r="B1784" s="73"/>
      <c r="C1784" s="73"/>
      <c r="D1784" s="73"/>
      <c r="E1784" s="73"/>
      <c r="F1784" s="73"/>
      <c r="G1784" s="73"/>
      <c r="H1784" s="73"/>
      <c r="I1784" s="73"/>
      <c r="J1784" s="73"/>
      <c r="K1784" s="73"/>
      <c r="L1784" s="73"/>
      <c r="M1784" s="73"/>
      <c r="N1784" s="73"/>
      <c r="O1784" s="73"/>
      <c r="P1784" s="73"/>
      <c r="Q1784" s="73"/>
      <c r="R1784" s="73"/>
      <c r="S1784" s="73"/>
      <c r="T1784" s="73"/>
      <c r="U1784" s="73"/>
      <c r="V1784" s="73"/>
      <c r="W1784" s="73"/>
      <c r="GL1784" s="73"/>
      <c r="GM1784" s="73"/>
      <c r="GN1784" s="73"/>
      <c r="GO1784" s="73"/>
      <c r="GP1784" s="73"/>
      <c r="GQ1784" s="73"/>
      <c r="GR1784" s="73"/>
      <c r="GS1784" s="73"/>
      <c r="GT1784" s="73"/>
      <c r="GU1784" s="73"/>
      <c r="GV1784" s="73"/>
      <c r="GW1784" s="73"/>
      <c r="GX1784" s="73"/>
      <c r="GY1784" s="73"/>
      <c r="GZ1784" s="73"/>
      <c r="HA1784" s="73"/>
      <c r="HB1784" s="73"/>
      <c r="HC1784" s="73"/>
      <c r="HD1784" s="73"/>
      <c r="HE1784" s="73"/>
      <c r="HF1784" s="73"/>
      <c r="HG1784" s="73"/>
      <c r="HH1784" s="73"/>
      <c r="HI1784" s="73"/>
      <c r="HJ1784" s="73"/>
      <c r="HK1784" s="73"/>
      <c r="HL1784" s="73"/>
      <c r="HM1784" s="73"/>
      <c r="HN1784" s="73"/>
      <c r="HO1784" s="73"/>
      <c r="HP1784" s="73"/>
      <c r="HQ1784" s="73"/>
      <c r="HR1784" s="73"/>
      <c r="HS1784" s="73"/>
      <c r="HT1784" s="73"/>
      <c r="HU1784" s="73"/>
      <c r="HV1784" s="73"/>
      <c r="HW1784" s="73"/>
      <c r="HX1784" s="73"/>
      <c r="HY1784" s="73"/>
      <c r="HZ1784" s="73"/>
      <c r="IA1784" s="73"/>
      <c r="IB1784" s="73"/>
      <c r="IC1784" s="73"/>
      <c r="ID1784" s="73"/>
      <c r="IE1784" s="73"/>
      <c r="IF1784" s="73"/>
      <c r="IG1784" s="73"/>
      <c r="IH1784" s="73"/>
      <c r="II1784" s="73"/>
      <c r="IJ1784" s="73"/>
      <c r="IK1784" s="73"/>
      <c r="IL1784" s="73"/>
      <c r="IM1784" s="73"/>
      <c r="IN1784" s="73"/>
      <c r="IO1784" s="73"/>
      <c r="IP1784" s="73"/>
      <c r="IQ1784" s="73"/>
      <c r="IR1784" s="73"/>
      <c r="IS1784" s="73"/>
      <c r="IT1784" s="73"/>
      <c r="IU1784" s="73"/>
      <c r="IV1784" s="73"/>
      <c r="IW1784" s="73"/>
      <c r="IX1784" s="73"/>
      <c r="IY1784" s="73"/>
      <c r="IZ1784" s="73"/>
      <c r="JA1784" s="73"/>
      <c r="JB1784" s="73"/>
      <c r="JC1784" s="73"/>
    </row>
    <row r="1785" spans="2:263" s="72" customFormat="1">
      <c r="B1785" s="73"/>
      <c r="C1785" s="73"/>
      <c r="D1785" s="73"/>
      <c r="E1785" s="73"/>
      <c r="F1785" s="73"/>
      <c r="G1785" s="73"/>
      <c r="H1785" s="73"/>
      <c r="I1785" s="73"/>
      <c r="J1785" s="73"/>
      <c r="K1785" s="73"/>
      <c r="L1785" s="73"/>
      <c r="M1785" s="73"/>
      <c r="N1785" s="73"/>
      <c r="O1785" s="73"/>
      <c r="P1785" s="73"/>
      <c r="Q1785" s="73"/>
      <c r="R1785" s="73"/>
      <c r="S1785" s="73"/>
      <c r="T1785" s="73"/>
      <c r="U1785" s="73"/>
      <c r="V1785" s="73"/>
      <c r="W1785" s="73"/>
      <c r="GL1785" s="73"/>
      <c r="GM1785" s="73"/>
      <c r="GN1785" s="73"/>
      <c r="GO1785" s="73"/>
      <c r="GP1785" s="73"/>
      <c r="GQ1785" s="73"/>
      <c r="GR1785" s="73"/>
      <c r="GS1785" s="73"/>
      <c r="GT1785" s="73"/>
      <c r="GU1785" s="73"/>
      <c r="GV1785" s="73"/>
      <c r="GW1785" s="73"/>
      <c r="GX1785" s="73"/>
      <c r="GY1785" s="73"/>
      <c r="GZ1785" s="73"/>
      <c r="HA1785" s="73"/>
      <c r="HB1785" s="73"/>
      <c r="HC1785" s="73"/>
      <c r="HD1785" s="73"/>
      <c r="HE1785" s="73"/>
      <c r="HF1785" s="73"/>
      <c r="HG1785" s="73"/>
      <c r="HH1785" s="73"/>
      <c r="HI1785" s="73"/>
      <c r="HJ1785" s="73"/>
      <c r="HK1785" s="73"/>
      <c r="HL1785" s="73"/>
      <c r="HM1785" s="73"/>
      <c r="HN1785" s="73"/>
      <c r="HO1785" s="73"/>
      <c r="HP1785" s="73"/>
      <c r="HQ1785" s="73"/>
      <c r="HR1785" s="73"/>
      <c r="HS1785" s="73"/>
      <c r="HT1785" s="73"/>
      <c r="HU1785" s="73"/>
      <c r="HV1785" s="73"/>
      <c r="HW1785" s="73"/>
      <c r="HX1785" s="73"/>
      <c r="HY1785" s="73"/>
      <c r="HZ1785" s="73"/>
      <c r="IA1785" s="73"/>
      <c r="IB1785" s="73"/>
      <c r="IC1785" s="73"/>
      <c r="ID1785" s="73"/>
      <c r="IE1785" s="73"/>
      <c r="IF1785" s="73"/>
      <c r="IG1785" s="73"/>
      <c r="IH1785" s="73"/>
      <c r="II1785" s="73"/>
      <c r="IJ1785" s="73"/>
      <c r="IK1785" s="73"/>
      <c r="IL1785" s="73"/>
      <c r="IM1785" s="73"/>
      <c r="IN1785" s="73"/>
      <c r="IO1785" s="73"/>
      <c r="IP1785" s="73"/>
      <c r="IQ1785" s="73"/>
      <c r="IR1785" s="73"/>
      <c r="IS1785" s="73"/>
      <c r="IT1785" s="73"/>
      <c r="IU1785" s="73"/>
      <c r="IV1785" s="73"/>
      <c r="IW1785" s="73"/>
      <c r="IX1785" s="73"/>
      <c r="IY1785" s="73"/>
      <c r="IZ1785" s="73"/>
      <c r="JA1785" s="73"/>
      <c r="JB1785" s="73"/>
      <c r="JC1785" s="73"/>
    </row>
    <row r="1786" spans="2:263" s="72" customFormat="1">
      <c r="B1786" s="73"/>
      <c r="C1786" s="73"/>
      <c r="D1786" s="73"/>
      <c r="E1786" s="73"/>
      <c r="F1786" s="73"/>
      <c r="G1786" s="73"/>
      <c r="H1786" s="73"/>
      <c r="I1786" s="73"/>
      <c r="J1786" s="73"/>
      <c r="K1786" s="73"/>
      <c r="L1786" s="73"/>
      <c r="M1786" s="73"/>
      <c r="N1786" s="73"/>
      <c r="O1786" s="73"/>
      <c r="P1786" s="73"/>
      <c r="Q1786" s="73"/>
      <c r="R1786" s="73"/>
      <c r="S1786" s="73"/>
      <c r="T1786" s="73"/>
      <c r="U1786" s="73"/>
      <c r="V1786" s="73"/>
      <c r="W1786" s="73"/>
      <c r="GL1786" s="73"/>
      <c r="GM1786" s="73"/>
      <c r="GN1786" s="73"/>
      <c r="GO1786" s="73"/>
      <c r="GP1786" s="73"/>
      <c r="GQ1786" s="73"/>
      <c r="GR1786" s="73"/>
      <c r="GS1786" s="73"/>
      <c r="GT1786" s="73"/>
      <c r="GU1786" s="73"/>
      <c r="GV1786" s="73"/>
      <c r="GW1786" s="73"/>
      <c r="GX1786" s="73"/>
      <c r="GY1786" s="73"/>
      <c r="GZ1786" s="73"/>
      <c r="HA1786" s="73"/>
      <c r="HB1786" s="73"/>
      <c r="HC1786" s="73"/>
      <c r="HD1786" s="73"/>
      <c r="HE1786" s="73"/>
      <c r="HF1786" s="73"/>
      <c r="HG1786" s="73"/>
      <c r="HH1786" s="73"/>
      <c r="HI1786" s="73"/>
      <c r="HJ1786" s="73"/>
      <c r="HK1786" s="73"/>
      <c r="HL1786" s="73"/>
      <c r="HM1786" s="73"/>
      <c r="HN1786" s="73"/>
      <c r="HO1786" s="73"/>
      <c r="HP1786" s="73"/>
      <c r="HQ1786" s="73"/>
      <c r="HR1786" s="73"/>
      <c r="HS1786" s="73"/>
      <c r="HT1786" s="73"/>
      <c r="HU1786" s="73"/>
      <c r="HV1786" s="73"/>
      <c r="HW1786" s="73"/>
      <c r="HX1786" s="73"/>
      <c r="HY1786" s="73"/>
      <c r="HZ1786" s="73"/>
      <c r="IA1786" s="73"/>
      <c r="IB1786" s="73"/>
      <c r="IC1786" s="73"/>
      <c r="ID1786" s="73"/>
      <c r="IE1786" s="73"/>
      <c r="IF1786" s="73"/>
      <c r="IG1786" s="73"/>
      <c r="IH1786" s="73"/>
      <c r="II1786" s="73"/>
      <c r="IJ1786" s="73"/>
      <c r="IK1786" s="73"/>
      <c r="IL1786" s="73"/>
      <c r="IM1786" s="73"/>
      <c r="IN1786" s="73"/>
      <c r="IO1786" s="73"/>
      <c r="IP1786" s="73"/>
      <c r="IQ1786" s="73"/>
      <c r="IR1786" s="73"/>
      <c r="IS1786" s="73"/>
      <c r="IT1786" s="73"/>
      <c r="IU1786" s="73"/>
      <c r="IV1786" s="73"/>
      <c r="IW1786" s="73"/>
      <c r="IX1786" s="73"/>
      <c r="IY1786" s="73"/>
      <c r="IZ1786" s="73"/>
      <c r="JA1786" s="73"/>
      <c r="JB1786" s="73"/>
      <c r="JC1786" s="73"/>
    </row>
    <row r="1787" spans="2:263" s="72" customFormat="1">
      <c r="B1787" s="73"/>
      <c r="C1787" s="73"/>
      <c r="D1787" s="73"/>
      <c r="E1787" s="73"/>
      <c r="F1787" s="73"/>
      <c r="G1787" s="73"/>
      <c r="H1787" s="73"/>
      <c r="I1787" s="73"/>
      <c r="J1787" s="73"/>
      <c r="K1787" s="73"/>
      <c r="L1787" s="73"/>
      <c r="M1787" s="73"/>
      <c r="N1787" s="73"/>
      <c r="O1787" s="73"/>
      <c r="P1787" s="73"/>
      <c r="Q1787" s="73"/>
      <c r="R1787" s="73"/>
      <c r="S1787" s="73"/>
      <c r="T1787" s="73"/>
      <c r="U1787" s="73"/>
      <c r="V1787" s="73"/>
      <c r="W1787" s="73"/>
      <c r="GL1787" s="73"/>
      <c r="GM1787" s="73"/>
      <c r="GN1787" s="73"/>
      <c r="GO1787" s="73"/>
      <c r="GP1787" s="73"/>
      <c r="GQ1787" s="73"/>
      <c r="GR1787" s="73"/>
      <c r="GS1787" s="73"/>
      <c r="GT1787" s="73"/>
      <c r="GU1787" s="73"/>
      <c r="GV1787" s="73"/>
      <c r="GW1787" s="73"/>
      <c r="GX1787" s="73"/>
      <c r="GY1787" s="73"/>
      <c r="GZ1787" s="73"/>
      <c r="HA1787" s="73"/>
      <c r="HB1787" s="73"/>
      <c r="HC1787" s="73"/>
      <c r="HD1787" s="73"/>
      <c r="HE1787" s="73"/>
      <c r="HF1787" s="73"/>
      <c r="HG1787" s="73"/>
      <c r="HH1787" s="73"/>
      <c r="HI1787" s="73"/>
      <c r="HJ1787" s="73"/>
      <c r="HK1787" s="73"/>
      <c r="HL1787" s="73"/>
      <c r="HM1787" s="73"/>
      <c r="HN1787" s="73"/>
      <c r="HO1787" s="73"/>
      <c r="HP1787" s="73"/>
      <c r="HQ1787" s="73"/>
      <c r="HR1787" s="73"/>
      <c r="HS1787" s="73"/>
      <c r="HT1787" s="73"/>
      <c r="HU1787" s="73"/>
      <c r="HV1787" s="73"/>
      <c r="HW1787" s="73"/>
      <c r="HX1787" s="73"/>
      <c r="HY1787" s="73"/>
      <c r="HZ1787" s="73"/>
      <c r="IA1787" s="73"/>
      <c r="IB1787" s="73"/>
      <c r="IC1787" s="73"/>
      <c r="ID1787" s="73"/>
      <c r="IE1787" s="73"/>
      <c r="IF1787" s="73"/>
      <c r="IG1787" s="73"/>
      <c r="IH1787" s="73"/>
      <c r="II1787" s="73"/>
      <c r="IJ1787" s="73"/>
      <c r="IK1787" s="73"/>
      <c r="IL1787" s="73"/>
      <c r="IM1787" s="73"/>
      <c r="IN1787" s="73"/>
      <c r="IO1787" s="73"/>
      <c r="IP1787" s="73"/>
      <c r="IQ1787" s="73"/>
      <c r="IR1787" s="73"/>
      <c r="IS1787" s="73"/>
      <c r="IT1787" s="73"/>
      <c r="IU1787" s="73"/>
      <c r="IV1787" s="73"/>
      <c r="IW1787" s="73"/>
      <c r="IX1787" s="73"/>
      <c r="IY1787" s="73"/>
      <c r="IZ1787" s="73"/>
      <c r="JA1787" s="73"/>
      <c r="JB1787" s="73"/>
      <c r="JC1787" s="73"/>
    </row>
    <row r="1788" spans="2:263" s="72" customFormat="1">
      <c r="B1788" s="73"/>
      <c r="C1788" s="73"/>
      <c r="D1788" s="73"/>
      <c r="E1788" s="73"/>
      <c r="F1788" s="73"/>
      <c r="G1788" s="73"/>
      <c r="H1788" s="73"/>
      <c r="I1788" s="73"/>
      <c r="J1788" s="73"/>
      <c r="K1788" s="73"/>
      <c r="L1788" s="73"/>
      <c r="M1788" s="73"/>
      <c r="N1788" s="73"/>
      <c r="O1788" s="73"/>
      <c r="P1788" s="73"/>
      <c r="Q1788" s="73"/>
      <c r="R1788" s="73"/>
      <c r="S1788" s="73"/>
      <c r="T1788" s="73"/>
      <c r="U1788" s="73"/>
      <c r="V1788" s="73"/>
      <c r="W1788" s="73"/>
      <c r="GL1788" s="73"/>
      <c r="GM1788" s="73"/>
      <c r="GN1788" s="73"/>
      <c r="GO1788" s="73"/>
      <c r="GP1788" s="73"/>
      <c r="GQ1788" s="73"/>
      <c r="GR1788" s="73"/>
      <c r="GS1788" s="73"/>
      <c r="GT1788" s="73"/>
      <c r="GU1788" s="73"/>
      <c r="GV1788" s="73"/>
      <c r="GW1788" s="73"/>
      <c r="GX1788" s="73"/>
      <c r="GY1788" s="73"/>
      <c r="GZ1788" s="73"/>
      <c r="HA1788" s="73"/>
      <c r="HB1788" s="73"/>
      <c r="HC1788" s="73"/>
      <c r="HD1788" s="73"/>
      <c r="HE1788" s="73"/>
      <c r="HF1788" s="73"/>
      <c r="HG1788" s="73"/>
      <c r="HH1788" s="73"/>
      <c r="HI1788" s="73"/>
      <c r="HJ1788" s="73"/>
      <c r="HK1788" s="73"/>
      <c r="HL1788" s="73"/>
      <c r="HM1788" s="73"/>
      <c r="HN1788" s="73"/>
      <c r="HO1788" s="73"/>
      <c r="HP1788" s="73"/>
      <c r="HQ1788" s="73"/>
      <c r="HR1788" s="73"/>
      <c r="HS1788" s="73"/>
      <c r="HT1788" s="73"/>
      <c r="HU1788" s="73"/>
      <c r="HV1788" s="73"/>
      <c r="HW1788" s="73"/>
      <c r="HX1788" s="73"/>
      <c r="HY1788" s="73"/>
      <c r="HZ1788" s="73"/>
      <c r="IA1788" s="73"/>
      <c r="IB1788" s="73"/>
      <c r="IC1788" s="73"/>
      <c r="ID1788" s="73"/>
      <c r="IE1788" s="73"/>
      <c r="IF1788" s="73"/>
      <c r="IG1788" s="73"/>
      <c r="IH1788" s="73"/>
      <c r="II1788" s="73"/>
      <c r="IJ1788" s="73"/>
      <c r="IK1788" s="73"/>
      <c r="IL1788" s="73"/>
      <c r="IM1788" s="73"/>
      <c r="IN1788" s="73"/>
      <c r="IO1788" s="73"/>
      <c r="IP1788" s="73"/>
      <c r="IQ1788" s="73"/>
      <c r="IR1788" s="73"/>
      <c r="IS1788" s="73"/>
      <c r="IT1788" s="73"/>
      <c r="IU1788" s="73"/>
      <c r="IV1788" s="73"/>
      <c r="IW1788" s="73"/>
      <c r="IX1788" s="73"/>
      <c r="IY1788" s="73"/>
      <c r="IZ1788" s="73"/>
      <c r="JA1788" s="73"/>
      <c r="JB1788" s="73"/>
      <c r="JC1788" s="73"/>
    </row>
    <row r="1789" spans="2:263" s="72" customFormat="1">
      <c r="B1789" s="73"/>
      <c r="C1789" s="73"/>
      <c r="D1789" s="73"/>
      <c r="E1789" s="73"/>
      <c r="F1789" s="73"/>
      <c r="G1789" s="73"/>
      <c r="H1789" s="73"/>
      <c r="I1789" s="73"/>
      <c r="J1789" s="73"/>
      <c r="K1789" s="73"/>
      <c r="L1789" s="73"/>
      <c r="M1789" s="73"/>
      <c r="N1789" s="73"/>
      <c r="O1789" s="73"/>
      <c r="P1789" s="73"/>
      <c r="Q1789" s="73"/>
      <c r="R1789" s="73"/>
      <c r="S1789" s="73"/>
      <c r="T1789" s="73"/>
      <c r="U1789" s="73"/>
      <c r="V1789" s="73"/>
      <c r="W1789" s="73"/>
      <c r="GL1789" s="73"/>
      <c r="GM1789" s="73"/>
      <c r="GN1789" s="73"/>
      <c r="GO1789" s="73"/>
      <c r="GP1789" s="73"/>
      <c r="GQ1789" s="73"/>
      <c r="GR1789" s="73"/>
      <c r="GS1789" s="73"/>
      <c r="GT1789" s="73"/>
      <c r="GU1789" s="73"/>
      <c r="GV1789" s="73"/>
      <c r="GW1789" s="73"/>
      <c r="GX1789" s="73"/>
      <c r="GY1789" s="73"/>
      <c r="GZ1789" s="73"/>
      <c r="HA1789" s="73"/>
      <c r="HB1789" s="73"/>
      <c r="HC1789" s="73"/>
      <c r="HD1789" s="73"/>
      <c r="HE1789" s="73"/>
      <c r="HF1789" s="73"/>
      <c r="HG1789" s="73"/>
      <c r="HH1789" s="73"/>
      <c r="HI1789" s="73"/>
      <c r="HJ1789" s="73"/>
      <c r="HK1789" s="73"/>
      <c r="HL1789" s="73"/>
      <c r="HM1789" s="73"/>
      <c r="HN1789" s="73"/>
      <c r="HO1789" s="73"/>
      <c r="HP1789" s="73"/>
      <c r="HQ1789" s="73"/>
      <c r="HR1789" s="73"/>
      <c r="HS1789" s="73"/>
      <c r="HT1789" s="73"/>
      <c r="HU1789" s="73"/>
      <c r="HV1789" s="73"/>
      <c r="HW1789" s="73"/>
      <c r="HX1789" s="73"/>
      <c r="HY1789" s="73"/>
      <c r="HZ1789" s="73"/>
      <c r="IA1789" s="73"/>
      <c r="IB1789" s="73"/>
      <c r="IC1789" s="73"/>
      <c r="ID1789" s="73"/>
      <c r="IE1789" s="73"/>
      <c r="IF1789" s="73"/>
      <c r="IG1789" s="73"/>
      <c r="IH1789" s="73"/>
      <c r="II1789" s="73"/>
      <c r="IJ1789" s="73"/>
      <c r="IK1789" s="73"/>
      <c r="IL1789" s="73"/>
      <c r="IM1789" s="73"/>
      <c r="IN1789" s="73"/>
      <c r="IO1789" s="73"/>
      <c r="IP1789" s="73"/>
      <c r="IQ1789" s="73"/>
      <c r="IR1789" s="73"/>
      <c r="IS1789" s="73"/>
      <c r="IT1789" s="73"/>
      <c r="IU1789" s="73"/>
      <c r="IV1789" s="73"/>
      <c r="IW1789" s="73"/>
      <c r="IX1789" s="73"/>
      <c r="IY1789" s="73"/>
      <c r="IZ1789" s="73"/>
      <c r="JA1789" s="73"/>
      <c r="JB1789" s="73"/>
      <c r="JC1789" s="73"/>
    </row>
    <row r="1790" spans="2:263" s="72" customFormat="1">
      <c r="B1790" s="73"/>
      <c r="C1790" s="73"/>
      <c r="D1790" s="73"/>
      <c r="E1790" s="73"/>
      <c r="F1790" s="73"/>
      <c r="G1790" s="73"/>
      <c r="H1790" s="73"/>
      <c r="I1790" s="73"/>
      <c r="J1790" s="73"/>
      <c r="K1790" s="73"/>
      <c r="L1790" s="73"/>
      <c r="M1790" s="73"/>
      <c r="N1790" s="73"/>
      <c r="O1790" s="73"/>
      <c r="P1790" s="73"/>
      <c r="Q1790" s="73"/>
      <c r="R1790" s="73"/>
      <c r="S1790" s="73"/>
      <c r="T1790" s="73"/>
      <c r="U1790" s="73"/>
      <c r="V1790" s="73"/>
      <c r="W1790" s="73"/>
      <c r="GL1790" s="73"/>
      <c r="GM1790" s="73"/>
      <c r="GN1790" s="73"/>
      <c r="GO1790" s="73"/>
      <c r="GP1790" s="73"/>
      <c r="GQ1790" s="73"/>
      <c r="GR1790" s="73"/>
      <c r="GS1790" s="73"/>
      <c r="GT1790" s="73"/>
      <c r="GU1790" s="73"/>
      <c r="GV1790" s="73"/>
      <c r="GW1790" s="73"/>
      <c r="GX1790" s="73"/>
      <c r="GY1790" s="73"/>
      <c r="GZ1790" s="73"/>
      <c r="HA1790" s="73"/>
      <c r="HB1790" s="73"/>
      <c r="HC1790" s="73"/>
      <c r="HD1790" s="73"/>
      <c r="HE1790" s="73"/>
      <c r="HF1790" s="73"/>
      <c r="HG1790" s="73"/>
      <c r="HH1790" s="73"/>
      <c r="HI1790" s="73"/>
      <c r="HJ1790" s="73"/>
      <c r="HK1790" s="73"/>
      <c r="HL1790" s="73"/>
      <c r="HM1790" s="73"/>
      <c r="HN1790" s="73"/>
      <c r="HO1790" s="73"/>
      <c r="HP1790" s="73"/>
      <c r="HQ1790" s="73"/>
      <c r="HR1790" s="73"/>
      <c r="HS1790" s="73"/>
      <c r="HT1790" s="73"/>
      <c r="HU1790" s="73"/>
      <c r="HV1790" s="73"/>
      <c r="HW1790" s="73"/>
      <c r="HX1790" s="73"/>
      <c r="HY1790" s="73"/>
      <c r="HZ1790" s="73"/>
      <c r="IA1790" s="73"/>
      <c r="IB1790" s="73"/>
      <c r="IC1790" s="73"/>
      <c r="ID1790" s="73"/>
      <c r="IE1790" s="73"/>
      <c r="IF1790" s="73"/>
      <c r="IG1790" s="73"/>
      <c r="IH1790" s="73"/>
      <c r="II1790" s="73"/>
      <c r="IJ1790" s="73"/>
      <c r="IK1790" s="73"/>
      <c r="IL1790" s="73"/>
      <c r="IM1790" s="73"/>
      <c r="IN1790" s="73"/>
      <c r="IO1790" s="73"/>
      <c r="IP1790" s="73"/>
      <c r="IQ1790" s="73"/>
      <c r="IR1790" s="73"/>
      <c r="IS1790" s="73"/>
      <c r="IT1790" s="73"/>
      <c r="IU1790" s="73"/>
      <c r="IV1790" s="73"/>
      <c r="IW1790" s="73"/>
      <c r="IX1790" s="73"/>
      <c r="IY1790" s="73"/>
      <c r="IZ1790" s="73"/>
      <c r="JA1790" s="73"/>
      <c r="JB1790" s="73"/>
      <c r="JC1790" s="73"/>
    </row>
    <row r="1791" spans="2:263" s="72" customFormat="1">
      <c r="B1791" s="73"/>
      <c r="C1791" s="73"/>
      <c r="D1791" s="73"/>
      <c r="E1791" s="73"/>
      <c r="F1791" s="73"/>
      <c r="G1791" s="73"/>
      <c r="H1791" s="73"/>
      <c r="I1791" s="73"/>
      <c r="J1791" s="73"/>
      <c r="K1791" s="73"/>
      <c r="L1791" s="73"/>
      <c r="M1791" s="73"/>
      <c r="N1791" s="73"/>
      <c r="O1791" s="73"/>
      <c r="P1791" s="73"/>
      <c r="Q1791" s="73"/>
      <c r="R1791" s="73"/>
      <c r="S1791" s="73"/>
      <c r="T1791" s="73"/>
      <c r="U1791" s="73"/>
      <c r="V1791" s="73"/>
      <c r="W1791" s="73"/>
      <c r="GL1791" s="73"/>
      <c r="GM1791" s="73"/>
      <c r="GN1791" s="73"/>
      <c r="GO1791" s="73"/>
      <c r="GP1791" s="73"/>
      <c r="GQ1791" s="73"/>
      <c r="GR1791" s="73"/>
      <c r="GS1791" s="73"/>
      <c r="GT1791" s="73"/>
      <c r="GU1791" s="73"/>
      <c r="GV1791" s="73"/>
      <c r="GW1791" s="73"/>
      <c r="GX1791" s="73"/>
      <c r="GY1791" s="73"/>
      <c r="GZ1791" s="73"/>
      <c r="HA1791" s="73"/>
      <c r="HB1791" s="73"/>
      <c r="HC1791" s="73"/>
      <c r="HD1791" s="73"/>
      <c r="HE1791" s="73"/>
      <c r="HF1791" s="73"/>
      <c r="HG1791" s="73"/>
      <c r="HH1791" s="73"/>
      <c r="HI1791" s="73"/>
      <c r="HJ1791" s="73"/>
      <c r="HK1791" s="73"/>
      <c r="HL1791" s="73"/>
      <c r="HM1791" s="73"/>
      <c r="HN1791" s="73"/>
      <c r="HO1791" s="73"/>
      <c r="HP1791" s="73"/>
      <c r="HQ1791" s="73"/>
      <c r="HR1791" s="73"/>
      <c r="HS1791" s="73"/>
      <c r="HT1791" s="73"/>
      <c r="HU1791" s="73"/>
      <c r="HV1791" s="73"/>
      <c r="HW1791" s="73"/>
      <c r="HX1791" s="73"/>
      <c r="HY1791" s="73"/>
      <c r="HZ1791" s="73"/>
      <c r="IA1791" s="73"/>
      <c r="IB1791" s="73"/>
      <c r="IC1791" s="73"/>
      <c r="ID1791" s="73"/>
      <c r="IE1791" s="73"/>
      <c r="IF1791" s="73"/>
      <c r="IG1791" s="73"/>
      <c r="IH1791" s="73"/>
      <c r="II1791" s="73"/>
      <c r="IJ1791" s="73"/>
      <c r="IK1791" s="73"/>
      <c r="IL1791" s="73"/>
      <c r="IM1791" s="73"/>
      <c r="IN1791" s="73"/>
      <c r="IO1791" s="73"/>
      <c r="IP1791" s="73"/>
      <c r="IQ1791" s="73"/>
      <c r="IR1791" s="73"/>
      <c r="IS1791" s="73"/>
      <c r="IT1791" s="73"/>
      <c r="IU1791" s="73"/>
      <c r="IV1791" s="73"/>
      <c r="IW1791" s="73"/>
      <c r="IX1791" s="73"/>
      <c r="IY1791" s="73"/>
      <c r="IZ1791" s="73"/>
      <c r="JA1791" s="73"/>
      <c r="JB1791" s="73"/>
      <c r="JC1791" s="73"/>
    </row>
    <row r="1792" spans="2:263" s="72" customFormat="1">
      <c r="B1792" s="73"/>
      <c r="C1792" s="73"/>
      <c r="D1792" s="73"/>
      <c r="E1792" s="73"/>
      <c r="F1792" s="73"/>
      <c r="G1792" s="73"/>
      <c r="H1792" s="73"/>
      <c r="I1792" s="73"/>
      <c r="J1792" s="73"/>
      <c r="K1792" s="73"/>
      <c r="L1792" s="73"/>
      <c r="M1792" s="73"/>
      <c r="N1792" s="73"/>
      <c r="O1792" s="73"/>
      <c r="P1792" s="73"/>
      <c r="Q1792" s="73"/>
      <c r="R1792" s="73"/>
      <c r="S1792" s="73"/>
      <c r="T1792" s="73"/>
      <c r="U1792" s="73"/>
      <c r="V1792" s="73"/>
      <c r="W1792" s="73"/>
      <c r="GL1792" s="73"/>
      <c r="GM1792" s="73"/>
      <c r="GN1792" s="73"/>
      <c r="GO1792" s="73"/>
      <c r="GP1792" s="73"/>
      <c r="GQ1792" s="73"/>
      <c r="GR1792" s="73"/>
      <c r="GS1792" s="73"/>
      <c r="GT1792" s="73"/>
      <c r="GU1792" s="73"/>
      <c r="GV1792" s="73"/>
      <c r="GW1792" s="73"/>
      <c r="GX1792" s="73"/>
      <c r="GY1792" s="73"/>
      <c r="GZ1792" s="73"/>
      <c r="HA1792" s="73"/>
      <c r="HB1792" s="73"/>
      <c r="HC1792" s="73"/>
      <c r="HD1792" s="73"/>
      <c r="HE1792" s="73"/>
      <c r="HF1792" s="73"/>
      <c r="HG1792" s="73"/>
      <c r="HH1792" s="73"/>
      <c r="HI1792" s="73"/>
      <c r="HJ1792" s="73"/>
      <c r="HK1792" s="73"/>
      <c r="HL1792" s="73"/>
      <c r="HM1792" s="73"/>
      <c r="HN1792" s="73"/>
      <c r="HO1792" s="73"/>
      <c r="HP1792" s="73"/>
      <c r="HQ1792" s="73"/>
      <c r="HR1792" s="73"/>
      <c r="HS1792" s="73"/>
      <c r="HT1792" s="73"/>
      <c r="HU1792" s="73"/>
      <c r="HV1792" s="73"/>
      <c r="HW1792" s="73"/>
      <c r="HX1792" s="73"/>
      <c r="HY1792" s="73"/>
      <c r="HZ1792" s="73"/>
      <c r="IA1792" s="73"/>
      <c r="IB1792" s="73"/>
      <c r="IC1792" s="73"/>
      <c r="ID1792" s="73"/>
      <c r="IE1792" s="73"/>
      <c r="IF1792" s="73"/>
      <c r="IG1792" s="73"/>
      <c r="IH1792" s="73"/>
      <c r="II1792" s="73"/>
      <c r="IJ1792" s="73"/>
      <c r="IK1792" s="73"/>
      <c r="IL1792" s="73"/>
      <c r="IM1792" s="73"/>
      <c r="IN1792" s="73"/>
      <c r="IO1792" s="73"/>
      <c r="IP1792" s="73"/>
      <c r="IQ1792" s="73"/>
      <c r="IR1792" s="73"/>
      <c r="IS1792" s="73"/>
      <c r="IT1792" s="73"/>
      <c r="IU1792" s="73"/>
      <c r="IV1792" s="73"/>
      <c r="IW1792" s="73"/>
      <c r="IX1792" s="73"/>
      <c r="IY1792" s="73"/>
      <c r="IZ1792" s="73"/>
      <c r="JA1792" s="73"/>
      <c r="JB1792" s="73"/>
      <c r="JC1792" s="73"/>
    </row>
    <row r="1793" spans="2:263" s="72" customFormat="1">
      <c r="B1793" s="73"/>
      <c r="C1793" s="73"/>
      <c r="D1793" s="73"/>
      <c r="E1793" s="73"/>
      <c r="F1793" s="73"/>
      <c r="G1793" s="73"/>
      <c r="H1793" s="73"/>
      <c r="I1793" s="73"/>
      <c r="J1793" s="73"/>
      <c r="K1793" s="73"/>
      <c r="L1793" s="73"/>
      <c r="M1793" s="73"/>
      <c r="N1793" s="73"/>
      <c r="O1793" s="73"/>
      <c r="P1793" s="73"/>
      <c r="Q1793" s="73"/>
      <c r="R1793" s="73"/>
      <c r="S1793" s="73"/>
      <c r="T1793" s="73"/>
      <c r="U1793" s="73"/>
      <c r="V1793" s="73"/>
      <c r="W1793" s="73"/>
      <c r="GL1793" s="73"/>
      <c r="GM1793" s="73"/>
      <c r="GN1793" s="73"/>
      <c r="GO1793" s="73"/>
      <c r="GP1793" s="73"/>
      <c r="GQ1793" s="73"/>
      <c r="GR1793" s="73"/>
      <c r="GS1793" s="73"/>
      <c r="GT1793" s="73"/>
      <c r="GU1793" s="73"/>
      <c r="GV1793" s="73"/>
      <c r="GW1793" s="73"/>
      <c r="GX1793" s="73"/>
      <c r="GY1793" s="73"/>
      <c r="GZ1793" s="73"/>
      <c r="HA1793" s="73"/>
      <c r="HB1793" s="73"/>
      <c r="HC1793" s="73"/>
      <c r="HD1793" s="73"/>
      <c r="HE1793" s="73"/>
      <c r="HF1793" s="73"/>
      <c r="HG1793" s="73"/>
      <c r="HH1793" s="73"/>
      <c r="HI1793" s="73"/>
      <c r="HJ1793" s="73"/>
      <c r="HK1793" s="73"/>
      <c r="HL1793" s="73"/>
      <c r="HM1793" s="73"/>
      <c r="HN1793" s="73"/>
      <c r="HO1793" s="73"/>
      <c r="HP1793" s="73"/>
      <c r="HQ1793" s="73"/>
      <c r="HR1793" s="73"/>
      <c r="HS1793" s="73"/>
      <c r="HT1793" s="73"/>
      <c r="HU1793" s="73"/>
      <c r="HV1793" s="73"/>
      <c r="HW1793" s="73"/>
      <c r="HX1793" s="73"/>
      <c r="HY1793" s="73"/>
      <c r="HZ1793" s="73"/>
      <c r="IA1793" s="73"/>
      <c r="IB1793" s="73"/>
      <c r="IC1793" s="73"/>
      <c r="ID1793" s="73"/>
      <c r="IE1793" s="73"/>
      <c r="IF1793" s="73"/>
      <c r="IG1793" s="73"/>
      <c r="IH1793" s="73"/>
      <c r="II1793" s="73"/>
      <c r="IJ1793" s="73"/>
      <c r="IK1793" s="73"/>
      <c r="IL1793" s="73"/>
      <c r="IM1793" s="73"/>
      <c r="IN1793" s="73"/>
      <c r="IO1793" s="73"/>
      <c r="IP1793" s="73"/>
      <c r="IQ1793" s="73"/>
      <c r="IR1793" s="73"/>
      <c r="IS1793" s="73"/>
      <c r="IT1793" s="73"/>
      <c r="IU1793" s="73"/>
      <c r="IV1793" s="73"/>
      <c r="IW1793" s="73"/>
      <c r="IX1793" s="73"/>
      <c r="IY1793" s="73"/>
      <c r="IZ1793" s="73"/>
      <c r="JA1793" s="73"/>
      <c r="JB1793" s="73"/>
      <c r="JC1793" s="73"/>
    </row>
    <row r="1794" spans="2:263" s="72" customFormat="1">
      <c r="B1794" s="73"/>
      <c r="C1794" s="73"/>
      <c r="D1794" s="73"/>
      <c r="E1794" s="73"/>
      <c r="F1794" s="73"/>
      <c r="G1794" s="73"/>
      <c r="H1794" s="73"/>
      <c r="I1794" s="73"/>
      <c r="J1794" s="73"/>
      <c r="K1794" s="73"/>
      <c r="L1794" s="73"/>
      <c r="M1794" s="73"/>
      <c r="N1794" s="73"/>
      <c r="O1794" s="73"/>
      <c r="P1794" s="73"/>
      <c r="Q1794" s="73"/>
      <c r="R1794" s="73"/>
      <c r="S1794" s="73"/>
      <c r="T1794" s="73"/>
      <c r="U1794" s="73"/>
      <c r="V1794" s="73"/>
      <c r="W1794" s="73"/>
      <c r="GL1794" s="73"/>
      <c r="GM1794" s="73"/>
      <c r="GN1794" s="73"/>
      <c r="GO1794" s="73"/>
      <c r="GP1794" s="73"/>
      <c r="GQ1794" s="73"/>
      <c r="GR1794" s="73"/>
      <c r="GS1794" s="73"/>
      <c r="GT1794" s="73"/>
      <c r="GU1794" s="73"/>
      <c r="GV1794" s="73"/>
      <c r="GW1794" s="73"/>
      <c r="GX1794" s="73"/>
      <c r="GY1794" s="73"/>
      <c r="GZ1794" s="73"/>
      <c r="HA1794" s="73"/>
      <c r="HB1794" s="73"/>
      <c r="HC1794" s="73"/>
      <c r="HD1794" s="73"/>
      <c r="HE1794" s="73"/>
      <c r="HF1794" s="73"/>
      <c r="HG1794" s="73"/>
      <c r="HH1794" s="73"/>
      <c r="HI1794" s="73"/>
      <c r="HJ1794" s="73"/>
      <c r="HK1794" s="73"/>
      <c r="HL1794" s="73"/>
      <c r="HM1794" s="73"/>
      <c r="HN1794" s="73"/>
      <c r="HO1794" s="73"/>
      <c r="HP1794" s="73"/>
      <c r="HQ1794" s="73"/>
      <c r="HR1794" s="73"/>
      <c r="HS1794" s="73"/>
      <c r="HT1794" s="73"/>
      <c r="HU1794" s="73"/>
      <c r="HV1794" s="73"/>
      <c r="HW1794" s="73"/>
      <c r="HX1794" s="73"/>
      <c r="HY1794" s="73"/>
      <c r="HZ1794" s="73"/>
      <c r="IA1794" s="73"/>
      <c r="IB1794" s="73"/>
      <c r="IC1794" s="73"/>
      <c r="ID1794" s="73"/>
      <c r="IE1794" s="73"/>
      <c r="IF1794" s="73"/>
      <c r="IG1794" s="73"/>
      <c r="IH1794" s="73"/>
      <c r="II1794" s="73"/>
      <c r="IJ1794" s="73"/>
      <c r="IK1794" s="73"/>
      <c r="IL1794" s="73"/>
      <c r="IM1794" s="73"/>
      <c r="IN1794" s="73"/>
      <c r="IO1794" s="73"/>
      <c r="IP1794" s="73"/>
      <c r="IQ1794" s="73"/>
      <c r="IR1794" s="73"/>
      <c r="IS1794" s="73"/>
      <c r="IT1794" s="73"/>
      <c r="IU1794" s="73"/>
      <c r="IV1794" s="73"/>
      <c r="IW1794" s="73"/>
      <c r="IX1794" s="73"/>
      <c r="IY1794" s="73"/>
      <c r="IZ1794" s="73"/>
      <c r="JA1794" s="73"/>
      <c r="JB1794" s="73"/>
      <c r="JC1794" s="73"/>
    </row>
    <row r="1795" spans="2:263" s="72" customFormat="1">
      <c r="B1795" s="73"/>
      <c r="C1795" s="73"/>
      <c r="D1795" s="73"/>
      <c r="E1795" s="73"/>
      <c r="F1795" s="73"/>
      <c r="G1795" s="73"/>
      <c r="H1795" s="73"/>
      <c r="I1795" s="73"/>
      <c r="J1795" s="73"/>
      <c r="K1795" s="73"/>
      <c r="L1795" s="73"/>
      <c r="M1795" s="73"/>
      <c r="N1795" s="73"/>
      <c r="O1795" s="73"/>
      <c r="P1795" s="73"/>
      <c r="Q1795" s="73"/>
      <c r="R1795" s="73"/>
      <c r="S1795" s="73"/>
      <c r="T1795" s="73"/>
      <c r="U1795" s="73"/>
      <c r="V1795" s="73"/>
      <c r="W1795" s="73"/>
      <c r="GL1795" s="73"/>
      <c r="GM1795" s="73"/>
      <c r="GN1795" s="73"/>
      <c r="GO1795" s="73"/>
      <c r="GP1795" s="73"/>
      <c r="GQ1795" s="73"/>
      <c r="GR1795" s="73"/>
      <c r="GS1795" s="73"/>
      <c r="GT1795" s="73"/>
      <c r="GU1795" s="73"/>
      <c r="GV1795" s="73"/>
      <c r="GW1795" s="73"/>
      <c r="GX1795" s="73"/>
      <c r="GY1795" s="73"/>
      <c r="GZ1795" s="73"/>
      <c r="HA1795" s="73"/>
      <c r="HB1795" s="73"/>
      <c r="HC1795" s="73"/>
      <c r="HD1795" s="73"/>
      <c r="HE1795" s="73"/>
      <c r="HF1795" s="73"/>
      <c r="HG1795" s="73"/>
      <c r="HH1795" s="73"/>
      <c r="HI1795" s="73"/>
      <c r="HJ1795" s="73"/>
      <c r="HK1795" s="73"/>
      <c r="HL1795" s="73"/>
      <c r="HM1795" s="73"/>
      <c r="HN1795" s="73"/>
      <c r="HO1795" s="73"/>
      <c r="HP1795" s="73"/>
      <c r="HQ1795" s="73"/>
      <c r="HR1795" s="73"/>
      <c r="HS1795" s="73"/>
      <c r="HT1795" s="73"/>
      <c r="HU1795" s="73"/>
      <c r="HV1795" s="73"/>
      <c r="HW1795" s="73"/>
      <c r="HX1795" s="73"/>
      <c r="HY1795" s="73"/>
      <c r="HZ1795" s="73"/>
      <c r="IA1795" s="73"/>
      <c r="IB1795" s="73"/>
      <c r="IC1795" s="73"/>
      <c r="ID1795" s="73"/>
      <c r="IE1795" s="73"/>
      <c r="IF1795" s="73"/>
      <c r="IG1795" s="73"/>
      <c r="IH1795" s="73"/>
      <c r="II1795" s="73"/>
      <c r="IJ1795" s="73"/>
      <c r="IK1795" s="73"/>
      <c r="IL1795" s="73"/>
      <c r="IM1795" s="73"/>
      <c r="IN1795" s="73"/>
      <c r="IO1795" s="73"/>
      <c r="IP1795" s="73"/>
      <c r="IQ1795" s="73"/>
      <c r="IR1795" s="73"/>
      <c r="IS1795" s="73"/>
      <c r="IT1795" s="73"/>
      <c r="IU1795" s="73"/>
      <c r="IV1795" s="73"/>
      <c r="IW1795" s="73"/>
      <c r="IX1795" s="73"/>
      <c r="IY1795" s="73"/>
      <c r="IZ1795" s="73"/>
      <c r="JA1795" s="73"/>
      <c r="JB1795" s="73"/>
      <c r="JC1795" s="73"/>
    </row>
    <row r="1796" spans="2:263" s="72" customFormat="1">
      <c r="B1796" s="73"/>
      <c r="C1796" s="73"/>
      <c r="D1796" s="73"/>
      <c r="E1796" s="73"/>
      <c r="F1796" s="73"/>
      <c r="G1796" s="73"/>
      <c r="H1796" s="73"/>
      <c r="I1796" s="73"/>
      <c r="J1796" s="73"/>
      <c r="K1796" s="73"/>
      <c r="L1796" s="73"/>
      <c r="M1796" s="73"/>
      <c r="N1796" s="73"/>
      <c r="O1796" s="73"/>
      <c r="P1796" s="73"/>
      <c r="Q1796" s="73"/>
      <c r="R1796" s="73"/>
      <c r="S1796" s="73"/>
      <c r="T1796" s="73"/>
      <c r="U1796" s="73"/>
      <c r="V1796" s="73"/>
      <c r="W1796" s="73"/>
      <c r="GL1796" s="73"/>
      <c r="GM1796" s="73"/>
      <c r="GN1796" s="73"/>
      <c r="GO1796" s="73"/>
      <c r="GP1796" s="73"/>
      <c r="GQ1796" s="73"/>
      <c r="GR1796" s="73"/>
      <c r="GS1796" s="73"/>
      <c r="GT1796" s="73"/>
      <c r="GU1796" s="73"/>
      <c r="GV1796" s="73"/>
      <c r="GW1796" s="73"/>
      <c r="GX1796" s="73"/>
      <c r="GY1796" s="73"/>
      <c r="GZ1796" s="73"/>
      <c r="HA1796" s="73"/>
      <c r="HB1796" s="73"/>
      <c r="HC1796" s="73"/>
      <c r="HD1796" s="73"/>
      <c r="HE1796" s="73"/>
      <c r="HF1796" s="73"/>
      <c r="HG1796" s="73"/>
      <c r="HH1796" s="73"/>
      <c r="HI1796" s="73"/>
      <c r="HJ1796" s="73"/>
      <c r="HK1796" s="73"/>
      <c r="HL1796" s="73"/>
      <c r="HM1796" s="73"/>
      <c r="HN1796" s="73"/>
      <c r="HO1796" s="73"/>
      <c r="HP1796" s="73"/>
      <c r="HQ1796" s="73"/>
      <c r="HR1796" s="73"/>
      <c r="HS1796" s="73"/>
      <c r="HT1796" s="73"/>
      <c r="HU1796" s="73"/>
      <c r="HV1796" s="73"/>
      <c r="HW1796" s="73"/>
      <c r="HX1796" s="73"/>
      <c r="HY1796" s="73"/>
      <c r="HZ1796" s="73"/>
      <c r="IA1796" s="73"/>
      <c r="IB1796" s="73"/>
      <c r="IC1796" s="73"/>
      <c r="ID1796" s="73"/>
      <c r="IE1796" s="73"/>
      <c r="IF1796" s="73"/>
      <c r="IG1796" s="73"/>
      <c r="IH1796" s="73"/>
      <c r="II1796" s="73"/>
      <c r="IJ1796" s="73"/>
      <c r="IK1796" s="73"/>
      <c r="IL1796" s="73"/>
      <c r="IM1796" s="73"/>
      <c r="IN1796" s="73"/>
      <c r="IO1796" s="73"/>
      <c r="IP1796" s="73"/>
      <c r="IQ1796" s="73"/>
      <c r="IR1796" s="73"/>
      <c r="IS1796" s="73"/>
      <c r="IT1796" s="73"/>
      <c r="IU1796" s="73"/>
      <c r="IV1796" s="73"/>
      <c r="IW1796" s="73"/>
      <c r="IX1796" s="73"/>
      <c r="IY1796" s="73"/>
      <c r="IZ1796" s="73"/>
      <c r="JA1796" s="73"/>
      <c r="JB1796" s="73"/>
      <c r="JC1796" s="73"/>
    </row>
    <row r="1797" spans="2:263" s="72" customFormat="1">
      <c r="B1797" s="73"/>
      <c r="C1797" s="73"/>
      <c r="D1797" s="73"/>
      <c r="E1797" s="73"/>
      <c r="F1797" s="73"/>
      <c r="G1797" s="73"/>
      <c r="H1797" s="73"/>
      <c r="I1797" s="73"/>
      <c r="J1797" s="73"/>
      <c r="K1797" s="73"/>
      <c r="L1797" s="73"/>
      <c r="M1797" s="73"/>
      <c r="N1797" s="73"/>
      <c r="O1797" s="73"/>
      <c r="P1797" s="73"/>
      <c r="Q1797" s="73"/>
      <c r="R1797" s="73"/>
      <c r="S1797" s="73"/>
      <c r="T1797" s="73"/>
      <c r="U1797" s="73"/>
      <c r="V1797" s="73"/>
      <c r="W1797" s="73"/>
      <c r="GL1797" s="73"/>
      <c r="GM1797" s="73"/>
      <c r="GN1797" s="73"/>
      <c r="GO1797" s="73"/>
      <c r="GP1797" s="73"/>
      <c r="GQ1797" s="73"/>
      <c r="GR1797" s="73"/>
      <c r="GS1797" s="73"/>
      <c r="GT1797" s="73"/>
      <c r="GU1797" s="73"/>
      <c r="GV1797" s="73"/>
      <c r="GW1797" s="73"/>
      <c r="GX1797" s="73"/>
      <c r="GY1797" s="73"/>
      <c r="GZ1797" s="73"/>
      <c r="HA1797" s="73"/>
      <c r="HB1797" s="73"/>
      <c r="HC1797" s="73"/>
      <c r="HD1797" s="73"/>
      <c r="HE1797" s="73"/>
      <c r="HF1797" s="73"/>
      <c r="HG1797" s="73"/>
      <c r="HH1797" s="73"/>
      <c r="HI1797" s="73"/>
      <c r="HJ1797" s="73"/>
      <c r="HK1797" s="73"/>
      <c r="HL1797" s="73"/>
      <c r="HM1797" s="73"/>
      <c r="HN1797" s="73"/>
      <c r="HO1797" s="73"/>
      <c r="HP1797" s="73"/>
      <c r="HQ1797" s="73"/>
      <c r="HR1797" s="73"/>
      <c r="HS1797" s="73"/>
      <c r="HT1797" s="73"/>
      <c r="HU1797" s="73"/>
      <c r="HV1797" s="73"/>
      <c r="HW1797" s="73"/>
      <c r="HX1797" s="73"/>
      <c r="HY1797" s="73"/>
      <c r="HZ1797" s="73"/>
      <c r="IA1797" s="73"/>
      <c r="IB1797" s="73"/>
      <c r="IC1797" s="73"/>
      <c r="ID1797" s="73"/>
      <c r="IE1797" s="73"/>
      <c r="IF1797" s="73"/>
      <c r="IG1797" s="73"/>
      <c r="IH1797" s="73"/>
      <c r="II1797" s="73"/>
      <c r="IJ1797" s="73"/>
      <c r="IK1797" s="73"/>
      <c r="IL1797" s="73"/>
      <c r="IM1797" s="73"/>
      <c r="IN1797" s="73"/>
      <c r="IO1797" s="73"/>
      <c r="IP1797" s="73"/>
      <c r="IQ1797" s="73"/>
      <c r="IR1797" s="73"/>
      <c r="IS1797" s="73"/>
      <c r="IT1797" s="73"/>
      <c r="IU1797" s="73"/>
      <c r="IV1797" s="73"/>
      <c r="IW1797" s="73"/>
      <c r="IX1797" s="73"/>
      <c r="IY1797" s="73"/>
      <c r="IZ1797" s="73"/>
      <c r="JA1797" s="73"/>
      <c r="JB1797" s="73"/>
      <c r="JC1797" s="73"/>
    </row>
    <row r="1798" spans="2:263" s="72" customFormat="1">
      <c r="B1798" s="73"/>
      <c r="C1798" s="73"/>
      <c r="D1798" s="73"/>
      <c r="E1798" s="73"/>
      <c r="F1798" s="73"/>
      <c r="G1798" s="73"/>
      <c r="H1798" s="73"/>
      <c r="I1798" s="73"/>
      <c r="J1798" s="73"/>
      <c r="K1798" s="73"/>
      <c r="L1798" s="73"/>
      <c r="M1798" s="73"/>
      <c r="N1798" s="73"/>
      <c r="O1798" s="73"/>
      <c r="P1798" s="73"/>
      <c r="Q1798" s="73"/>
      <c r="R1798" s="73"/>
      <c r="S1798" s="73"/>
      <c r="T1798" s="73"/>
      <c r="U1798" s="73"/>
      <c r="V1798" s="73"/>
      <c r="W1798" s="73"/>
      <c r="GL1798" s="73"/>
      <c r="GM1798" s="73"/>
      <c r="GN1798" s="73"/>
      <c r="GO1798" s="73"/>
      <c r="GP1798" s="73"/>
      <c r="GQ1798" s="73"/>
      <c r="GR1798" s="73"/>
      <c r="GS1798" s="73"/>
      <c r="GT1798" s="73"/>
      <c r="GU1798" s="73"/>
      <c r="GV1798" s="73"/>
      <c r="GW1798" s="73"/>
      <c r="GX1798" s="73"/>
      <c r="GY1798" s="73"/>
      <c r="GZ1798" s="73"/>
      <c r="HA1798" s="73"/>
      <c r="HB1798" s="73"/>
      <c r="HC1798" s="73"/>
      <c r="HD1798" s="73"/>
      <c r="HE1798" s="73"/>
      <c r="HF1798" s="73"/>
      <c r="HG1798" s="73"/>
      <c r="HH1798" s="73"/>
      <c r="HI1798" s="73"/>
      <c r="HJ1798" s="73"/>
      <c r="HK1798" s="73"/>
      <c r="HL1798" s="73"/>
      <c r="HM1798" s="73"/>
      <c r="HN1798" s="73"/>
      <c r="HO1798" s="73"/>
      <c r="HP1798" s="73"/>
      <c r="HQ1798" s="73"/>
      <c r="HR1798" s="73"/>
      <c r="HS1798" s="73"/>
      <c r="HT1798" s="73"/>
      <c r="HU1798" s="73"/>
      <c r="HV1798" s="73"/>
      <c r="HW1798" s="73"/>
      <c r="HX1798" s="73"/>
      <c r="HY1798" s="73"/>
      <c r="HZ1798" s="73"/>
      <c r="IA1798" s="73"/>
      <c r="IB1798" s="73"/>
      <c r="IC1798" s="73"/>
      <c r="ID1798" s="73"/>
      <c r="IE1798" s="73"/>
      <c r="IF1798" s="73"/>
      <c r="IG1798" s="73"/>
      <c r="IH1798" s="73"/>
      <c r="II1798" s="73"/>
      <c r="IJ1798" s="73"/>
      <c r="IK1798" s="73"/>
      <c r="IL1798" s="73"/>
      <c r="IM1798" s="73"/>
      <c r="IN1798" s="73"/>
      <c r="IO1798" s="73"/>
      <c r="IP1798" s="73"/>
      <c r="IQ1798" s="73"/>
      <c r="IR1798" s="73"/>
      <c r="IS1798" s="73"/>
      <c r="IT1798" s="73"/>
      <c r="IU1798" s="73"/>
      <c r="IV1798" s="73"/>
      <c r="IW1798" s="73"/>
      <c r="IX1798" s="73"/>
      <c r="IY1798" s="73"/>
      <c r="IZ1798" s="73"/>
      <c r="JA1798" s="73"/>
      <c r="JB1798" s="73"/>
      <c r="JC1798" s="73"/>
    </row>
    <row r="1799" spans="2:263" s="72" customFormat="1">
      <c r="B1799" s="73"/>
      <c r="C1799" s="73"/>
      <c r="D1799" s="73"/>
      <c r="E1799" s="73"/>
      <c r="F1799" s="73"/>
      <c r="G1799" s="73"/>
      <c r="H1799" s="73"/>
      <c r="I1799" s="73"/>
      <c r="J1799" s="73"/>
      <c r="K1799" s="73"/>
      <c r="L1799" s="73"/>
      <c r="M1799" s="73"/>
      <c r="N1799" s="73"/>
      <c r="O1799" s="73"/>
      <c r="P1799" s="73"/>
      <c r="Q1799" s="73"/>
      <c r="R1799" s="73"/>
      <c r="S1799" s="73"/>
      <c r="T1799" s="73"/>
      <c r="U1799" s="73"/>
      <c r="V1799" s="73"/>
      <c r="W1799" s="73"/>
      <c r="GL1799" s="73"/>
      <c r="GM1799" s="73"/>
      <c r="GN1799" s="73"/>
      <c r="GO1799" s="73"/>
      <c r="GP1799" s="73"/>
      <c r="GQ1799" s="73"/>
      <c r="GR1799" s="73"/>
      <c r="GS1799" s="73"/>
      <c r="GT1799" s="73"/>
      <c r="GU1799" s="73"/>
      <c r="GV1799" s="73"/>
      <c r="GW1799" s="73"/>
      <c r="GX1799" s="73"/>
      <c r="GY1799" s="73"/>
      <c r="GZ1799" s="73"/>
      <c r="HA1799" s="73"/>
      <c r="HB1799" s="73"/>
      <c r="HC1799" s="73"/>
      <c r="HD1799" s="73"/>
      <c r="HE1799" s="73"/>
      <c r="HF1799" s="73"/>
      <c r="HG1799" s="73"/>
      <c r="HH1799" s="73"/>
      <c r="HI1799" s="73"/>
      <c r="HJ1799" s="73"/>
      <c r="HK1799" s="73"/>
      <c r="HL1799" s="73"/>
      <c r="HM1799" s="73"/>
      <c r="HN1799" s="73"/>
      <c r="HO1799" s="73"/>
      <c r="HP1799" s="73"/>
      <c r="HQ1799" s="73"/>
      <c r="HR1799" s="73"/>
      <c r="HS1799" s="73"/>
      <c r="HT1799" s="73"/>
      <c r="HU1799" s="73"/>
      <c r="HV1799" s="73"/>
      <c r="HW1799" s="73"/>
      <c r="HX1799" s="73"/>
      <c r="HY1799" s="73"/>
      <c r="HZ1799" s="73"/>
      <c r="IA1799" s="73"/>
      <c r="IB1799" s="73"/>
      <c r="IC1799" s="73"/>
      <c r="ID1799" s="73"/>
      <c r="IE1799" s="73"/>
      <c r="IF1799" s="73"/>
      <c r="IG1799" s="73"/>
      <c r="IH1799" s="73"/>
      <c r="II1799" s="73"/>
      <c r="IJ1799" s="73"/>
      <c r="IK1799" s="73"/>
      <c r="IL1799" s="73"/>
      <c r="IM1799" s="73"/>
      <c r="IN1799" s="73"/>
      <c r="IO1799" s="73"/>
      <c r="IP1799" s="73"/>
      <c r="IQ1799" s="73"/>
      <c r="IR1799" s="73"/>
      <c r="IS1799" s="73"/>
      <c r="IT1799" s="73"/>
      <c r="IU1799" s="73"/>
      <c r="IV1799" s="73"/>
      <c r="IW1799" s="73"/>
      <c r="IX1799" s="73"/>
      <c r="IY1799" s="73"/>
      <c r="IZ1799" s="73"/>
      <c r="JA1799" s="73"/>
      <c r="JB1799" s="73"/>
      <c r="JC1799" s="73"/>
    </row>
    <row r="1800" spans="2:263" s="72" customFormat="1">
      <c r="B1800" s="73"/>
      <c r="C1800" s="73"/>
      <c r="D1800" s="73"/>
      <c r="E1800" s="73"/>
      <c r="F1800" s="73"/>
      <c r="G1800" s="73"/>
      <c r="H1800" s="73"/>
      <c r="I1800" s="73"/>
      <c r="J1800" s="73"/>
      <c r="K1800" s="73"/>
      <c r="L1800" s="73"/>
      <c r="M1800" s="73"/>
      <c r="N1800" s="73"/>
      <c r="O1800" s="73"/>
      <c r="P1800" s="73"/>
      <c r="Q1800" s="73"/>
      <c r="R1800" s="73"/>
      <c r="S1800" s="73"/>
      <c r="T1800" s="73"/>
      <c r="U1800" s="73"/>
      <c r="V1800" s="73"/>
      <c r="W1800" s="73"/>
      <c r="GL1800" s="73"/>
      <c r="GM1800" s="73"/>
      <c r="GN1800" s="73"/>
      <c r="GO1800" s="73"/>
      <c r="GP1800" s="73"/>
      <c r="GQ1800" s="73"/>
      <c r="GR1800" s="73"/>
      <c r="GS1800" s="73"/>
      <c r="GT1800" s="73"/>
      <c r="GU1800" s="73"/>
      <c r="GV1800" s="73"/>
      <c r="GW1800" s="73"/>
      <c r="GX1800" s="73"/>
      <c r="GY1800" s="73"/>
      <c r="GZ1800" s="73"/>
      <c r="HA1800" s="73"/>
      <c r="HB1800" s="73"/>
      <c r="HC1800" s="73"/>
      <c r="HD1800" s="73"/>
      <c r="HE1800" s="73"/>
      <c r="HF1800" s="73"/>
      <c r="HG1800" s="73"/>
      <c r="HH1800" s="73"/>
      <c r="HI1800" s="73"/>
      <c r="HJ1800" s="73"/>
      <c r="HK1800" s="73"/>
      <c r="HL1800" s="73"/>
      <c r="HM1800" s="73"/>
      <c r="HN1800" s="73"/>
      <c r="HO1800" s="73"/>
      <c r="HP1800" s="73"/>
      <c r="HQ1800" s="73"/>
      <c r="HR1800" s="73"/>
      <c r="HS1800" s="73"/>
      <c r="HT1800" s="73"/>
      <c r="HU1800" s="73"/>
      <c r="HV1800" s="73"/>
      <c r="HW1800" s="73"/>
      <c r="HX1800" s="73"/>
      <c r="HY1800" s="73"/>
      <c r="HZ1800" s="73"/>
      <c r="IA1800" s="73"/>
      <c r="IB1800" s="73"/>
      <c r="IC1800" s="73"/>
      <c r="ID1800" s="73"/>
      <c r="IE1800" s="73"/>
      <c r="IF1800" s="73"/>
      <c r="IG1800" s="73"/>
      <c r="IH1800" s="73"/>
      <c r="II1800" s="73"/>
      <c r="IJ1800" s="73"/>
      <c r="IK1800" s="73"/>
      <c r="IL1800" s="73"/>
      <c r="IM1800" s="73"/>
      <c r="IN1800" s="73"/>
      <c r="IO1800" s="73"/>
      <c r="IP1800" s="73"/>
      <c r="IQ1800" s="73"/>
      <c r="IR1800" s="73"/>
      <c r="IS1800" s="73"/>
      <c r="IT1800" s="73"/>
      <c r="IU1800" s="73"/>
      <c r="IV1800" s="73"/>
      <c r="IW1800" s="73"/>
      <c r="IX1800" s="73"/>
      <c r="IY1800" s="73"/>
      <c r="IZ1800" s="73"/>
      <c r="JA1800" s="73"/>
      <c r="JB1800" s="73"/>
      <c r="JC1800" s="73"/>
    </row>
    <row r="1801" spans="2:263" s="72" customFormat="1">
      <c r="B1801" s="73"/>
      <c r="C1801" s="73"/>
      <c r="D1801" s="73"/>
      <c r="E1801" s="73"/>
      <c r="F1801" s="73"/>
      <c r="G1801" s="73"/>
      <c r="H1801" s="73"/>
      <c r="I1801" s="73"/>
      <c r="J1801" s="73"/>
      <c r="K1801" s="73"/>
      <c r="L1801" s="73"/>
      <c r="M1801" s="73"/>
      <c r="N1801" s="73"/>
      <c r="O1801" s="73"/>
      <c r="P1801" s="73"/>
      <c r="Q1801" s="73"/>
      <c r="R1801" s="73"/>
      <c r="S1801" s="73"/>
      <c r="T1801" s="73"/>
      <c r="U1801" s="73"/>
      <c r="V1801" s="73"/>
      <c r="W1801" s="73"/>
      <c r="GL1801" s="73"/>
      <c r="GM1801" s="73"/>
      <c r="GN1801" s="73"/>
      <c r="GO1801" s="73"/>
      <c r="GP1801" s="73"/>
      <c r="GQ1801" s="73"/>
      <c r="GR1801" s="73"/>
      <c r="GS1801" s="73"/>
      <c r="GT1801" s="73"/>
      <c r="GU1801" s="73"/>
      <c r="GV1801" s="73"/>
      <c r="GW1801" s="73"/>
      <c r="GX1801" s="73"/>
      <c r="GY1801" s="73"/>
      <c r="GZ1801" s="73"/>
      <c r="HA1801" s="73"/>
      <c r="HB1801" s="73"/>
      <c r="HC1801" s="73"/>
      <c r="HD1801" s="73"/>
      <c r="HE1801" s="73"/>
      <c r="HF1801" s="73"/>
      <c r="HG1801" s="73"/>
      <c r="HH1801" s="73"/>
      <c r="HI1801" s="73"/>
      <c r="HJ1801" s="73"/>
      <c r="HK1801" s="73"/>
      <c r="HL1801" s="73"/>
      <c r="HM1801" s="73"/>
      <c r="HN1801" s="73"/>
      <c r="HO1801" s="73"/>
      <c r="HP1801" s="73"/>
      <c r="HQ1801" s="73"/>
      <c r="HR1801" s="73"/>
      <c r="HS1801" s="73"/>
      <c r="HT1801" s="73"/>
      <c r="HU1801" s="73"/>
      <c r="HV1801" s="73"/>
      <c r="HW1801" s="73"/>
      <c r="HX1801" s="73"/>
      <c r="HY1801" s="73"/>
      <c r="HZ1801" s="73"/>
      <c r="IA1801" s="73"/>
      <c r="IB1801" s="73"/>
      <c r="IC1801" s="73"/>
      <c r="ID1801" s="73"/>
      <c r="IE1801" s="73"/>
      <c r="IF1801" s="73"/>
      <c r="IG1801" s="73"/>
      <c r="IH1801" s="73"/>
      <c r="II1801" s="73"/>
      <c r="IJ1801" s="73"/>
      <c r="IK1801" s="73"/>
      <c r="IL1801" s="73"/>
      <c r="IM1801" s="73"/>
      <c r="IN1801" s="73"/>
      <c r="IO1801" s="73"/>
      <c r="IP1801" s="73"/>
      <c r="IQ1801" s="73"/>
      <c r="IR1801" s="73"/>
      <c r="IS1801" s="73"/>
      <c r="IT1801" s="73"/>
      <c r="IU1801" s="73"/>
      <c r="IV1801" s="73"/>
      <c r="IW1801" s="73"/>
      <c r="IX1801" s="73"/>
      <c r="IY1801" s="73"/>
      <c r="IZ1801" s="73"/>
      <c r="JA1801" s="73"/>
      <c r="JB1801" s="73"/>
      <c r="JC1801" s="73"/>
    </row>
    <row r="1802" spans="2:263" s="72" customFormat="1">
      <c r="B1802" s="73"/>
      <c r="C1802" s="73"/>
      <c r="D1802" s="73"/>
      <c r="E1802" s="73"/>
      <c r="F1802" s="73"/>
      <c r="G1802" s="73"/>
      <c r="H1802" s="73"/>
      <c r="I1802" s="73"/>
      <c r="J1802" s="73"/>
      <c r="K1802" s="73"/>
      <c r="L1802" s="73"/>
      <c r="M1802" s="73"/>
      <c r="N1802" s="73"/>
      <c r="O1802" s="73"/>
      <c r="P1802" s="73"/>
      <c r="Q1802" s="73"/>
      <c r="R1802" s="73"/>
      <c r="S1802" s="73"/>
      <c r="T1802" s="73"/>
      <c r="U1802" s="73"/>
      <c r="V1802" s="73"/>
      <c r="W1802" s="73"/>
      <c r="GL1802" s="73"/>
      <c r="GM1802" s="73"/>
      <c r="GN1802" s="73"/>
      <c r="GO1802" s="73"/>
      <c r="GP1802" s="73"/>
      <c r="GQ1802" s="73"/>
      <c r="GR1802" s="73"/>
      <c r="GS1802" s="73"/>
      <c r="GT1802" s="73"/>
      <c r="GU1802" s="73"/>
      <c r="GV1802" s="73"/>
      <c r="GW1802" s="73"/>
      <c r="GX1802" s="73"/>
      <c r="GY1802" s="73"/>
      <c r="GZ1802" s="73"/>
      <c r="HA1802" s="73"/>
      <c r="HB1802" s="73"/>
      <c r="HC1802" s="73"/>
      <c r="HD1802" s="73"/>
      <c r="HE1802" s="73"/>
      <c r="HF1802" s="73"/>
      <c r="HG1802" s="73"/>
      <c r="HH1802" s="73"/>
      <c r="HI1802" s="73"/>
      <c r="HJ1802" s="73"/>
      <c r="HK1802" s="73"/>
      <c r="HL1802" s="73"/>
      <c r="HM1802" s="73"/>
      <c r="HN1802" s="73"/>
      <c r="HO1802" s="73"/>
      <c r="HP1802" s="73"/>
      <c r="HQ1802" s="73"/>
      <c r="HR1802" s="73"/>
      <c r="HS1802" s="73"/>
      <c r="HT1802" s="73"/>
      <c r="HU1802" s="73"/>
      <c r="HV1802" s="73"/>
      <c r="HW1802" s="73"/>
      <c r="HX1802" s="73"/>
      <c r="HY1802" s="73"/>
      <c r="HZ1802" s="73"/>
      <c r="IA1802" s="73"/>
      <c r="IB1802" s="73"/>
      <c r="IC1802" s="73"/>
      <c r="ID1802" s="73"/>
      <c r="IE1802" s="73"/>
      <c r="IF1802" s="73"/>
      <c r="IG1802" s="73"/>
      <c r="IH1802" s="73"/>
      <c r="II1802" s="73"/>
      <c r="IJ1802" s="73"/>
      <c r="IK1802" s="73"/>
      <c r="IL1802" s="73"/>
      <c r="IM1802" s="73"/>
      <c r="IN1802" s="73"/>
      <c r="IO1802" s="73"/>
      <c r="IP1802" s="73"/>
      <c r="IQ1802" s="73"/>
      <c r="IR1802" s="73"/>
      <c r="IS1802" s="73"/>
      <c r="IT1802" s="73"/>
      <c r="IU1802" s="73"/>
      <c r="IV1802" s="73"/>
      <c r="IW1802" s="73"/>
      <c r="IX1802" s="73"/>
      <c r="IY1802" s="73"/>
      <c r="IZ1802" s="73"/>
      <c r="JA1802" s="73"/>
      <c r="JB1802" s="73"/>
      <c r="JC1802" s="73"/>
    </row>
    <row r="1803" spans="2:263" s="72" customFormat="1">
      <c r="B1803" s="73"/>
      <c r="C1803" s="73"/>
      <c r="D1803" s="73"/>
      <c r="E1803" s="73"/>
      <c r="F1803" s="73"/>
      <c r="G1803" s="73"/>
      <c r="H1803" s="73"/>
      <c r="I1803" s="73"/>
      <c r="J1803" s="73"/>
      <c r="K1803" s="73"/>
      <c r="L1803" s="73"/>
      <c r="M1803" s="73"/>
      <c r="N1803" s="73"/>
      <c r="O1803" s="73"/>
      <c r="P1803" s="73"/>
      <c r="Q1803" s="73"/>
      <c r="R1803" s="73"/>
      <c r="S1803" s="73"/>
      <c r="T1803" s="73"/>
      <c r="U1803" s="73"/>
      <c r="V1803" s="73"/>
      <c r="W1803" s="73"/>
      <c r="GL1803" s="73"/>
      <c r="GM1803" s="73"/>
      <c r="GN1803" s="73"/>
      <c r="GO1803" s="73"/>
      <c r="GP1803" s="73"/>
      <c r="GQ1803" s="73"/>
      <c r="GR1803" s="73"/>
      <c r="GS1803" s="73"/>
      <c r="GT1803" s="73"/>
      <c r="GU1803" s="73"/>
      <c r="GV1803" s="73"/>
      <c r="GW1803" s="73"/>
      <c r="GX1803" s="73"/>
      <c r="GY1803" s="73"/>
      <c r="GZ1803" s="73"/>
      <c r="HA1803" s="73"/>
      <c r="HB1803" s="73"/>
      <c r="HC1803" s="73"/>
      <c r="HD1803" s="73"/>
      <c r="HE1803" s="73"/>
      <c r="HF1803" s="73"/>
      <c r="HG1803" s="73"/>
      <c r="HH1803" s="73"/>
      <c r="HI1803" s="73"/>
      <c r="HJ1803" s="73"/>
      <c r="HK1803" s="73"/>
      <c r="HL1803" s="73"/>
      <c r="HM1803" s="73"/>
      <c r="HN1803" s="73"/>
      <c r="HO1803" s="73"/>
      <c r="HP1803" s="73"/>
      <c r="HQ1803" s="73"/>
      <c r="HR1803" s="73"/>
      <c r="HS1803" s="73"/>
      <c r="HT1803" s="73"/>
      <c r="HU1803" s="73"/>
      <c r="HV1803" s="73"/>
      <c r="HW1803" s="73"/>
      <c r="HX1803" s="73"/>
      <c r="HY1803" s="73"/>
      <c r="HZ1803" s="73"/>
      <c r="IA1803" s="73"/>
      <c r="IB1803" s="73"/>
      <c r="IC1803" s="73"/>
      <c r="ID1803" s="73"/>
      <c r="IE1803" s="73"/>
      <c r="IF1803" s="73"/>
      <c r="IG1803" s="73"/>
      <c r="IH1803" s="73"/>
      <c r="II1803" s="73"/>
      <c r="IJ1803" s="73"/>
      <c r="IK1803" s="73"/>
      <c r="IL1803" s="73"/>
      <c r="IM1803" s="73"/>
      <c r="IN1803" s="73"/>
      <c r="IO1803" s="73"/>
      <c r="IP1803" s="73"/>
      <c r="IQ1803" s="73"/>
      <c r="IR1803" s="73"/>
      <c r="IS1803" s="73"/>
      <c r="IT1803" s="73"/>
      <c r="IU1803" s="73"/>
      <c r="IV1803" s="73"/>
      <c r="IW1803" s="73"/>
      <c r="IX1803" s="73"/>
      <c r="IY1803" s="73"/>
      <c r="IZ1803" s="73"/>
      <c r="JA1803" s="73"/>
      <c r="JB1803" s="73"/>
      <c r="JC1803" s="73"/>
    </row>
    <row r="1804" spans="2:263" s="72" customFormat="1">
      <c r="B1804" s="73"/>
      <c r="C1804" s="73"/>
      <c r="D1804" s="73"/>
      <c r="E1804" s="73"/>
      <c r="F1804" s="73"/>
      <c r="G1804" s="73"/>
      <c r="H1804" s="73"/>
      <c r="I1804" s="73"/>
      <c r="J1804" s="73"/>
      <c r="K1804" s="73"/>
      <c r="L1804" s="73"/>
      <c r="M1804" s="73"/>
      <c r="N1804" s="73"/>
      <c r="O1804" s="73"/>
      <c r="P1804" s="73"/>
      <c r="Q1804" s="73"/>
      <c r="R1804" s="73"/>
      <c r="S1804" s="73"/>
      <c r="T1804" s="73"/>
      <c r="U1804" s="73"/>
      <c r="V1804" s="73"/>
      <c r="W1804" s="73"/>
      <c r="GL1804" s="73"/>
      <c r="GM1804" s="73"/>
      <c r="GN1804" s="73"/>
      <c r="GO1804" s="73"/>
      <c r="GP1804" s="73"/>
      <c r="GQ1804" s="73"/>
      <c r="GR1804" s="73"/>
      <c r="GS1804" s="73"/>
      <c r="GT1804" s="73"/>
      <c r="GU1804" s="73"/>
      <c r="GV1804" s="73"/>
      <c r="GW1804" s="73"/>
      <c r="GX1804" s="73"/>
      <c r="GY1804" s="73"/>
      <c r="GZ1804" s="73"/>
      <c r="HA1804" s="73"/>
      <c r="HB1804" s="73"/>
      <c r="HC1804" s="73"/>
      <c r="HD1804" s="73"/>
      <c r="HE1804" s="73"/>
      <c r="HF1804" s="73"/>
      <c r="HG1804" s="73"/>
      <c r="HH1804" s="73"/>
      <c r="HI1804" s="73"/>
      <c r="HJ1804" s="73"/>
      <c r="HK1804" s="73"/>
      <c r="HL1804" s="73"/>
      <c r="HM1804" s="73"/>
      <c r="HN1804" s="73"/>
      <c r="HO1804" s="73"/>
      <c r="HP1804" s="73"/>
      <c r="HQ1804" s="73"/>
      <c r="HR1804" s="73"/>
      <c r="HS1804" s="73"/>
      <c r="HT1804" s="73"/>
      <c r="HU1804" s="73"/>
      <c r="HV1804" s="73"/>
      <c r="HW1804" s="73"/>
      <c r="HX1804" s="73"/>
      <c r="HY1804" s="73"/>
      <c r="HZ1804" s="73"/>
      <c r="IA1804" s="73"/>
      <c r="IB1804" s="73"/>
      <c r="IC1804" s="73"/>
      <c r="ID1804" s="73"/>
      <c r="IE1804" s="73"/>
      <c r="IF1804" s="73"/>
      <c r="IG1804" s="73"/>
      <c r="IH1804" s="73"/>
      <c r="II1804" s="73"/>
      <c r="IJ1804" s="73"/>
      <c r="IK1804" s="73"/>
      <c r="IL1804" s="73"/>
      <c r="IM1804" s="73"/>
      <c r="IN1804" s="73"/>
      <c r="IO1804" s="73"/>
      <c r="IP1804" s="73"/>
      <c r="IQ1804" s="73"/>
      <c r="IR1804" s="73"/>
      <c r="IS1804" s="73"/>
      <c r="IT1804" s="73"/>
      <c r="IU1804" s="73"/>
      <c r="IV1804" s="73"/>
      <c r="IW1804" s="73"/>
      <c r="IX1804" s="73"/>
      <c r="IY1804" s="73"/>
      <c r="IZ1804" s="73"/>
      <c r="JA1804" s="73"/>
      <c r="JB1804" s="73"/>
      <c r="JC1804" s="73"/>
    </row>
    <row r="1805" spans="2:263" s="72" customFormat="1">
      <c r="B1805" s="73"/>
      <c r="C1805" s="73"/>
      <c r="D1805" s="73"/>
      <c r="E1805" s="73"/>
      <c r="F1805" s="73"/>
      <c r="G1805" s="73"/>
      <c r="H1805" s="73"/>
      <c r="I1805" s="73"/>
      <c r="J1805" s="73"/>
      <c r="K1805" s="73"/>
      <c r="L1805" s="73"/>
      <c r="M1805" s="73"/>
      <c r="N1805" s="73"/>
      <c r="O1805" s="73"/>
      <c r="P1805" s="73"/>
      <c r="Q1805" s="73"/>
      <c r="R1805" s="73"/>
      <c r="S1805" s="73"/>
      <c r="T1805" s="73"/>
      <c r="U1805" s="73"/>
      <c r="V1805" s="73"/>
      <c r="W1805" s="73"/>
      <c r="GL1805" s="73"/>
      <c r="GM1805" s="73"/>
      <c r="GN1805" s="73"/>
      <c r="GO1805" s="73"/>
      <c r="GP1805" s="73"/>
      <c r="GQ1805" s="73"/>
      <c r="GR1805" s="73"/>
      <c r="GS1805" s="73"/>
      <c r="GT1805" s="73"/>
      <c r="GU1805" s="73"/>
      <c r="GV1805" s="73"/>
      <c r="GW1805" s="73"/>
      <c r="GX1805" s="73"/>
      <c r="GY1805" s="73"/>
      <c r="GZ1805" s="73"/>
      <c r="HA1805" s="73"/>
      <c r="HB1805" s="73"/>
      <c r="HC1805" s="73"/>
      <c r="HD1805" s="73"/>
      <c r="HE1805" s="73"/>
      <c r="HF1805" s="73"/>
      <c r="HG1805" s="73"/>
      <c r="HH1805" s="73"/>
      <c r="HI1805" s="73"/>
      <c r="HJ1805" s="73"/>
      <c r="HK1805" s="73"/>
      <c r="HL1805" s="73"/>
      <c r="HM1805" s="73"/>
      <c r="HN1805" s="73"/>
      <c r="HO1805" s="73"/>
      <c r="HP1805" s="73"/>
      <c r="HQ1805" s="73"/>
      <c r="HR1805" s="73"/>
      <c r="HS1805" s="73"/>
      <c r="HT1805" s="73"/>
      <c r="HU1805" s="73"/>
      <c r="HV1805" s="73"/>
      <c r="HW1805" s="73"/>
      <c r="HX1805" s="73"/>
      <c r="HY1805" s="73"/>
      <c r="HZ1805" s="73"/>
      <c r="IA1805" s="73"/>
      <c r="IB1805" s="73"/>
      <c r="IC1805" s="73"/>
      <c r="ID1805" s="73"/>
      <c r="IE1805" s="73"/>
      <c r="IF1805" s="73"/>
      <c r="IG1805" s="73"/>
      <c r="IH1805" s="73"/>
      <c r="II1805" s="73"/>
      <c r="IJ1805" s="73"/>
      <c r="IK1805" s="73"/>
      <c r="IL1805" s="73"/>
      <c r="IM1805" s="73"/>
      <c r="IN1805" s="73"/>
      <c r="IO1805" s="73"/>
      <c r="IP1805" s="73"/>
      <c r="IQ1805" s="73"/>
      <c r="IR1805" s="73"/>
      <c r="IS1805" s="73"/>
      <c r="IT1805" s="73"/>
      <c r="IU1805" s="73"/>
      <c r="IV1805" s="73"/>
      <c r="IW1805" s="73"/>
      <c r="IX1805" s="73"/>
      <c r="IY1805" s="73"/>
      <c r="IZ1805" s="73"/>
      <c r="JA1805" s="73"/>
      <c r="JB1805" s="73"/>
      <c r="JC1805" s="73"/>
    </row>
    <row r="1806" spans="2:263" s="72" customFormat="1">
      <c r="B1806" s="73"/>
      <c r="C1806" s="73"/>
      <c r="D1806" s="73"/>
      <c r="E1806" s="73"/>
      <c r="F1806" s="73"/>
      <c r="G1806" s="73"/>
      <c r="H1806" s="73"/>
      <c r="I1806" s="73"/>
      <c r="J1806" s="73"/>
      <c r="K1806" s="73"/>
      <c r="L1806" s="73"/>
      <c r="M1806" s="73"/>
      <c r="N1806" s="73"/>
      <c r="O1806" s="73"/>
      <c r="P1806" s="73"/>
      <c r="Q1806" s="73"/>
      <c r="R1806" s="73"/>
      <c r="S1806" s="73"/>
      <c r="T1806" s="73"/>
      <c r="U1806" s="73"/>
      <c r="V1806" s="73"/>
      <c r="W1806" s="73"/>
      <c r="GL1806" s="73"/>
      <c r="GM1806" s="73"/>
      <c r="GN1806" s="73"/>
      <c r="GO1806" s="73"/>
      <c r="GP1806" s="73"/>
      <c r="GQ1806" s="73"/>
      <c r="GR1806" s="73"/>
      <c r="GS1806" s="73"/>
      <c r="GT1806" s="73"/>
      <c r="GU1806" s="73"/>
      <c r="GV1806" s="73"/>
      <c r="GW1806" s="73"/>
      <c r="GX1806" s="73"/>
      <c r="GY1806" s="73"/>
      <c r="GZ1806" s="73"/>
      <c r="HA1806" s="73"/>
      <c r="HB1806" s="73"/>
      <c r="HC1806" s="73"/>
      <c r="HD1806" s="73"/>
      <c r="HE1806" s="73"/>
      <c r="HF1806" s="73"/>
      <c r="HG1806" s="73"/>
      <c r="HH1806" s="73"/>
      <c r="HI1806" s="73"/>
      <c r="HJ1806" s="73"/>
      <c r="HK1806" s="73"/>
      <c r="HL1806" s="73"/>
      <c r="HM1806" s="73"/>
      <c r="HN1806" s="73"/>
      <c r="HO1806" s="73"/>
      <c r="HP1806" s="73"/>
      <c r="HQ1806" s="73"/>
      <c r="HR1806" s="73"/>
      <c r="HS1806" s="73"/>
      <c r="HT1806" s="73"/>
      <c r="HU1806" s="73"/>
      <c r="HV1806" s="73"/>
      <c r="HW1806" s="73"/>
      <c r="HX1806" s="73"/>
      <c r="HY1806" s="73"/>
      <c r="HZ1806" s="73"/>
      <c r="IA1806" s="73"/>
      <c r="IB1806" s="73"/>
      <c r="IC1806" s="73"/>
      <c r="ID1806" s="73"/>
      <c r="IE1806" s="73"/>
      <c r="IF1806" s="73"/>
      <c r="IG1806" s="73"/>
      <c r="IH1806" s="73"/>
      <c r="II1806" s="73"/>
      <c r="IJ1806" s="73"/>
      <c r="IK1806" s="73"/>
      <c r="IL1806" s="73"/>
      <c r="IM1806" s="73"/>
      <c r="IN1806" s="73"/>
      <c r="IO1806" s="73"/>
      <c r="IP1806" s="73"/>
      <c r="IQ1806" s="73"/>
      <c r="IR1806" s="73"/>
      <c r="IS1806" s="73"/>
      <c r="IT1806" s="73"/>
      <c r="IU1806" s="73"/>
      <c r="IV1806" s="73"/>
      <c r="IW1806" s="73"/>
      <c r="IX1806" s="73"/>
      <c r="IY1806" s="73"/>
      <c r="IZ1806" s="73"/>
      <c r="JA1806" s="73"/>
      <c r="JB1806" s="73"/>
      <c r="JC1806" s="73"/>
    </row>
    <row r="1807" spans="2:263" s="72" customFormat="1">
      <c r="B1807" s="73"/>
      <c r="C1807" s="73"/>
      <c r="D1807" s="73"/>
      <c r="E1807" s="73"/>
      <c r="F1807" s="73"/>
      <c r="G1807" s="73"/>
      <c r="H1807" s="73"/>
      <c r="I1807" s="73"/>
      <c r="J1807" s="73"/>
      <c r="K1807" s="73"/>
      <c r="L1807" s="73"/>
      <c r="M1807" s="73"/>
      <c r="N1807" s="73"/>
      <c r="O1807" s="73"/>
      <c r="P1807" s="73"/>
      <c r="Q1807" s="73"/>
      <c r="R1807" s="73"/>
      <c r="S1807" s="73"/>
      <c r="T1807" s="73"/>
      <c r="U1807" s="73"/>
      <c r="V1807" s="73"/>
      <c r="W1807" s="73"/>
      <c r="GL1807" s="73"/>
      <c r="GM1807" s="73"/>
      <c r="GN1807" s="73"/>
      <c r="GO1807" s="73"/>
      <c r="GP1807" s="73"/>
      <c r="GQ1807" s="73"/>
      <c r="GR1807" s="73"/>
      <c r="GS1807" s="73"/>
      <c r="GT1807" s="73"/>
      <c r="GU1807" s="73"/>
      <c r="GV1807" s="73"/>
      <c r="GW1807" s="73"/>
      <c r="GX1807" s="73"/>
      <c r="GY1807" s="73"/>
      <c r="GZ1807" s="73"/>
      <c r="HA1807" s="73"/>
      <c r="HB1807" s="73"/>
      <c r="HC1807" s="73"/>
      <c r="HD1807" s="73"/>
      <c r="HE1807" s="73"/>
      <c r="HF1807" s="73"/>
      <c r="HG1807" s="73"/>
      <c r="HH1807" s="73"/>
      <c r="HI1807" s="73"/>
      <c r="HJ1807" s="73"/>
      <c r="HK1807" s="73"/>
      <c r="HL1807" s="73"/>
      <c r="HM1807" s="73"/>
      <c r="HN1807" s="73"/>
      <c r="HO1807" s="73"/>
      <c r="HP1807" s="73"/>
      <c r="HQ1807" s="73"/>
      <c r="HR1807" s="73"/>
      <c r="HS1807" s="73"/>
      <c r="HT1807" s="73"/>
      <c r="HU1807" s="73"/>
      <c r="HV1807" s="73"/>
      <c r="HW1807" s="73"/>
      <c r="HX1807" s="73"/>
      <c r="HY1807" s="73"/>
      <c r="HZ1807" s="73"/>
      <c r="IA1807" s="73"/>
      <c r="IB1807" s="73"/>
      <c r="IC1807" s="73"/>
      <c r="ID1807" s="73"/>
      <c r="IE1807" s="73"/>
      <c r="IF1807" s="73"/>
      <c r="IG1807" s="73"/>
      <c r="IH1807" s="73"/>
      <c r="II1807" s="73"/>
      <c r="IJ1807" s="73"/>
      <c r="IK1807" s="73"/>
      <c r="IL1807" s="73"/>
      <c r="IM1807" s="73"/>
      <c r="IN1807" s="73"/>
      <c r="IO1807" s="73"/>
      <c r="IP1807" s="73"/>
      <c r="IQ1807" s="73"/>
      <c r="IR1807" s="73"/>
      <c r="IS1807" s="73"/>
      <c r="IT1807" s="73"/>
      <c r="IU1807" s="73"/>
      <c r="IV1807" s="73"/>
      <c r="IW1807" s="73"/>
      <c r="IX1807" s="73"/>
      <c r="IY1807" s="73"/>
      <c r="IZ1807" s="73"/>
      <c r="JA1807" s="73"/>
      <c r="JB1807" s="73"/>
      <c r="JC1807" s="73"/>
    </row>
    <row r="1808" spans="2:263" s="72" customFormat="1">
      <c r="B1808" s="73"/>
      <c r="C1808" s="73"/>
      <c r="D1808" s="73"/>
      <c r="E1808" s="73"/>
      <c r="F1808" s="73"/>
      <c r="G1808" s="73"/>
      <c r="H1808" s="73"/>
      <c r="I1808" s="73"/>
      <c r="J1808" s="73"/>
      <c r="K1808" s="73"/>
      <c r="L1808" s="73"/>
      <c r="M1808" s="73"/>
      <c r="N1808" s="73"/>
      <c r="O1808" s="73"/>
      <c r="P1808" s="73"/>
      <c r="Q1808" s="73"/>
      <c r="R1808" s="73"/>
      <c r="S1808" s="73"/>
      <c r="T1808" s="73"/>
      <c r="U1808" s="73"/>
      <c r="V1808" s="73"/>
      <c r="W1808" s="73"/>
      <c r="GL1808" s="73"/>
      <c r="GM1808" s="73"/>
      <c r="GN1808" s="73"/>
      <c r="GO1808" s="73"/>
      <c r="GP1808" s="73"/>
      <c r="GQ1808" s="73"/>
      <c r="GR1808" s="73"/>
      <c r="GS1808" s="73"/>
      <c r="GT1808" s="73"/>
      <c r="GU1808" s="73"/>
      <c r="GV1808" s="73"/>
      <c r="GW1808" s="73"/>
      <c r="GX1808" s="73"/>
      <c r="GY1808" s="73"/>
      <c r="GZ1808" s="73"/>
      <c r="HA1808" s="73"/>
      <c r="HB1808" s="73"/>
      <c r="HC1808" s="73"/>
      <c r="HD1808" s="73"/>
      <c r="HE1808" s="73"/>
      <c r="HF1808" s="73"/>
      <c r="HG1808" s="73"/>
      <c r="HH1808" s="73"/>
      <c r="HI1808" s="73"/>
      <c r="HJ1808" s="73"/>
      <c r="HK1808" s="73"/>
      <c r="HL1808" s="73"/>
      <c r="HM1808" s="73"/>
      <c r="HN1808" s="73"/>
      <c r="HO1808" s="73"/>
      <c r="HP1808" s="73"/>
      <c r="HQ1808" s="73"/>
      <c r="HR1808" s="73"/>
      <c r="HS1808" s="73"/>
      <c r="HT1808" s="73"/>
      <c r="HU1808" s="73"/>
      <c r="HV1808" s="73"/>
      <c r="HW1808" s="73"/>
      <c r="HX1808" s="73"/>
      <c r="HY1808" s="73"/>
      <c r="HZ1808" s="73"/>
      <c r="IA1808" s="73"/>
      <c r="IB1808" s="73"/>
      <c r="IC1808" s="73"/>
      <c r="ID1808" s="73"/>
      <c r="IE1808" s="73"/>
      <c r="IF1808" s="73"/>
      <c r="IG1808" s="73"/>
      <c r="IH1808" s="73"/>
      <c r="II1808" s="73"/>
      <c r="IJ1808" s="73"/>
      <c r="IK1808" s="73"/>
      <c r="IL1808" s="73"/>
      <c r="IM1808" s="73"/>
      <c r="IN1808" s="73"/>
      <c r="IO1808" s="73"/>
      <c r="IP1808" s="73"/>
      <c r="IQ1808" s="73"/>
      <c r="IR1808" s="73"/>
      <c r="IS1808" s="73"/>
      <c r="IT1808" s="73"/>
      <c r="IU1808" s="73"/>
      <c r="IV1808" s="73"/>
      <c r="IW1808" s="73"/>
      <c r="IX1808" s="73"/>
      <c r="IY1808" s="73"/>
      <c r="IZ1808" s="73"/>
      <c r="JA1808" s="73"/>
      <c r="JB1808" s="73"/>
      <c r="JC1808" s="73"/>
    </row>
    <row r="1809" spans="2:263" s="72" customFormat="1">
      <c r="B1809" s="73"/>
      <c r="C1809" s="73"/>
      <c r="D1809" s="73"/>
      <c r="E1809" s="73"/>
      <c r="F1809" s="73"/>
      <c r="G1809" s="73"/>
      <c r="H1809" s="73"/>
      <c r="I1809" s="73"/>
      <c r="J1809" s="73"/>
      <c r="K1809" s="73"/>
      <c r="L1809" s="73"/>
      <c r="M1809" s="73"/>
      <c r="N1809" s="73"/>
      <c r="O1809" s="73"/>
      <c r="P1809" s="73"/>
      <c r="Q1809" s="73"/>
      <c r="R1809" s="73"/>
      <c r="S1809" s="73"/>
      <c r="T1809" s="73"/>
      <c r="U1809" s="73"/>
      <c r="V1809" s="73"/>
      <c r="W1809" s="73"/>
      <c r="GL1809" s="73"/>
      <c r="GM1809" s="73"/>
      <c r="GN1809" s="73"/>
      <c r="GO1809" s="73"/>
      <c r="GP1809" s="73"/>
      <c r="GQ1809" s="73"/>
      <c r="GR1809" s="73"/>
      <c r="GS1809" s="73"/>
      <c r="GT1809" s="73"/>
      <c r="GU1809" s="73"/>
      <c r="GV1809" s="73"/>
      <c r="GW1809" s="73"/>
      <c r="GX1809" s="73"/>
      <c r="GY1809" s="73"/>
      <c r="GZ1809" s="73"/>
      <c r="HA1809" s="73"/>
      <c r="HB1809" s="73"/>
      <c r="HC1809" s="73"/>
      <c r="HD1809" s="73"/>
      <c r="HE1809" s="73"/>
      <c r="HF1809" s="73"/>
      <c r="HG1809" s="73"/>
      <c r="HH1809" s="73"/>
      <c r="HI1809" s="73"/>
      <c r="HJ1809" s="73"/>
      <c r="HK1809" s="73"/>
      <c r="HL1809" s="73"/>
      <c r="HM1809" s="73"/>
      <c r="HN1809" s="73"/>
      <c r="HO1809" s="73"/>
      <c r="HP1809" s="73"/>
      <c r="HQ1809" s="73"/>
      <c r="HR1809" s="73"/>
      <c r="HS1809" s="73"/>
      <c r="HT1809" s="73"/>
      <c r="HU1809" s="73"/>
      <c r="HV1809" s="73"/>
      <c r="HW1809" s="73"/>
      <c r="HX1809" s="73"/>
      <c r="HY1809" s="73"/>
      <c r="HZ1809" s="73"/>
      <c r="IA1809" s="73"/>
      <c r="IB1809" s="73"/>
      <c r="IC1809" s="73"/>
      <c r="ID1809" s="73"/>
      <c r="IE1809" s="73"/>
      <c r="IF1809" s="73"/>
      <c r="IG1809" s="73"/>
      <c r="IH1809" s="73"/>
      <c r="II1809" s="73"/>
      <c r="IJ1809" s="73"/>
      <c r="IK1809" s="73"/>
      <c r="IL1809" s="73"/>
      <c r="IM1809" s="73"/>
      <c r="IN1809" s="73"/>
      <c r="IO1809" s="73"/>
      <c r="IP1809" s="73"/>
      <c r="IQ1809" s="73"/>
      <c r="IR1809" s="73"/>
      <c r="IS1809" s="73"/>
      <c r="IT1809" s="73"/>
      <c r="IU1809" s="73"/>
      <c r="IV1809" s="73"/>
      <c r="IW1809" s="73"/>
      <c r="IX1809" s="73"/>
      <c r="IY1809" s="73"/>
      <c r="IZ1809" s="73"/>
      <c r="JA1809" s="73"/>
      <c r="JB1809" s="73"/>
      <c r="JC1809" s="73"/>
    </row>
    <row r="1810" spans="2:263" s="72" customFormat="1">
      <c r="B1810" s="73"/>
      <c r="C1810" s="73"/>
      <c r="D1810" s="73"/>
      <c r="E1810" s="73"/>
      <c r="F1810" s="73"/>
      <c r="G1810" s="73"/>
      <c r="H1810" s="73"/>
      <c r="I1810" s="73"/>
      <c r="J1810" s="73"/>
      <c r="K1810" s="73"/>
      <c r="L1810" s="73"/>
      <c r="M1810" s="73"/>
      <c r="N1810" s="73"/>
      <c r="O1810" s="73"/>
      <c r="P1810" s="73"/>
      <c r="Q1810" s="73"/>
      <c r="R1810" s="73"/>
      <c r="S1810" s="73"/>
      <c r="T1810" s="73"/>
      <c r="U1810" s="73"/>
      <c r="V1810" s="73"/>
      <c r="W1810" s="73"/>
      <c r="GL1810" s="73"/>
      <c r="GM1810" s="73"/>
      <c r="GN1810" s="73"/>
      <c r="GO1810" s="73"/>
      <c r="GP1810" s="73"/>
      <c r="GQ1810" s="73"/>
      <c r="GR1810" s="73"/>
      <c r="GS1810" s="73"/>
      <c r="GT1810" s="73"/>
      <c r="GU1810" s="73"/>
      <c r="GV1810" s="73"/>
      <c r="GW1810" s="73"/>
      <c r="GX1810" s="73"/>
      <c r="GY1810" s="73"/>
      <c r="GZ1810" s="73"/>
      <c r="HA1810" s="73"/>
      <c r="HB1810" s="73"/>
      <c r="HC1810" s="73"/>
      <c r="HD1810" s="73"/>
      <c r="HE1810" s="73"/>
      <c r="HF1810" s="73"/>
      <c r="HG1810" s="73"/>
      <c r="HH1810" s="73"/>
      <c r="HI1810" s="73"/>
      <c r="HJ1810" s="73"/>
      <c r="HK1810" s="73"/>
      <c r="HL1810" s="73"/>
      <c r="HM1810" s="73"/>
      <c r="HN1810" s="73"/>
      <c r="HO1810" s="73"/>
      <c r="HP1810" s="73"/>
      <c r="HQ1810" s="73"/>
      <c r="HR1810" s="73"/>
      <c r="HS1810" s="73"/>
      <c r="HT1810" s="73"/>
      <c r="HU1810" s="73"/>
      <c r="HV1810" s="73"/>
      <c r="HW1810" s="73"/>
      <c r="HX1810" s="73"/>
      <c r="HY1810" s="73"/>
      <c r="HZ1810" s="73"/>
      <c r="IA1810" s="73"/>
      <c r="IB1810" s="73"/>
      <c r="IC1810" s="73"/>
      <c r="ID1810" s="73"/>
      <c r="IE1810" s="73"/>
      <c r="IF1810" s="73"/>
      <c r="IG1810" s="73"/>
      <c r="IH1810" s="73"/>
      <c r="II1810" s="73"/>
      <c r="IJ1810" s="73"/>
      <c r="IK1810" s="73"/>
      <c r="IL1810" s="73"/>
      <c r="IM1810" s="73"/>
      <c r="IN1810" s="73"/>
      <c r="IO1810" s="73"/>
      <c r="IP1810" s="73"/>
      <c r="IQ1810" s="73"/>
      <c r="IR1810" s="73"/>
      <c r="IS1810" s="73"/>
      <c r="IT1810" s="73"/>
      <c r="IU1810" s="73"/>
      <c r="IV1810" s="73"/>
      <c r="IW1810" s="73"/>
      <c r="IX1810" s="73"/>
      <c r="IY1810" s="73"/>
      <c r="IZ1810" s="73"/>
      <c r="JA1810" s="73"/>
      <c r="JB1810" s="73"/>
      <c r="JC1810" s="73"/>
    </row>
    <row r="1811" spans="2:263" s="72" customFormat="1">
      <c r="B1811" s="73"/>
      <c r="C1811" s="73"/>
      <c r="D1811" s="73"/>
      <c r="E1811" s="73"/>
      <c r="F1811" s="73"/>
      <c r="G1811" s="73"/>
      <c r="H1811" s="73"/>
      <c r="I1811" s="73"/>
      <c r="J1811" s="73"/>
      <c r="K1811" s="73"/>
      <c r="L1811" s="73"/>
      <c r="M1811" s="73"/>
      <c r="N1811" s="73"/>
      <c r="O1811" s="73"/>
      <c r="P1811" s="73"/>
      <c r="Q1811" s="73"/>
      <c r="R1811" s="73"/>
      <c r="S1811" s="73"/>
      <c r="T1811" s="73"/>
      <c r="U1811" s="73"/>
      <c r="V1811" s="73"/>
      <c r="W1811" s="73"/>
      <c r="GL1811" s="73"/>
      <c r="GM1811" s="73"/>
      <c r="GN1811" s="73"/>
      <c r="GO1811" s="73"/>
      <c r="GP1811" s="73"/>
      <c r="GQ1811" s="73"/>
      <c r="GR1811" s="73"/>
      <c r="GS1811" s="73"/>
      <c r="GT1811" s="73"/>
      <c r="GU1811" s="73"/>
      <c r="GV1811" s="73"/>
      <c r="GW1811" s="73"/>
      <c r="GX1811" s="73"/>
      <c r="GY1811" s="73"/>
      <c r="GZ1811" s="73"/>
      <c r="HA1811" s="73"/>
      <c r="HB1811" s="73"/>
      <c r="HC1811" s="73"/>
      <c r="HD1811" s="73"/>
      <c r="HE1811" s="73"/>
      <c r="HF1811" s="73"/>
      <c r="HG1811" s="73"/>
      <c r="HH1811" s="73"/>
      <c r="HI1811" s="73"/>
      <c r="HJ1811" s="73"/>
      <c r="HK1811" s="73"/>
      <c r="HL1811" s="73"/>
      <c r="HM1811" s="73"/>
      <c r="HN1811" s="73"/>
      <c r="HO1811" s="73"/>
      <c r="HP1811" s="73"/>
      <c r="HQ1811" s="73"/>
      <c r="HR1811" s="73"/>
      <c r="HS1811" s="73"/>
      <c r="HT1811" s="73"/>
      <c r="HU1811" s="73"/>
      <c r="HV1811" s="73"/>
      <c r="HW1811" s="73"/>
      <c r="HX1811" s="73"/>
      <c r="HY1811" s="73"/>
      <c r="HZ1811" s="73"/>
      <c r="IA1811" s="73"/>
      <c r="IB1811" s="73"/>
      <c r="IC1811" s="73"/>
      <c r="ID1811" s="73"/>
      <c r="IE1811" s="73"/>
      <c r="IF1811" s="73"/>
      <c r="IG1811" s="73"/>
      <c r="IH1811" s="73"/>
      <c r="II1811" s="73"/>
      <c r="IJ1811" s="73"/>
      <c r="IK1811" s="73"/>
      <c r="IL1811" s="73"/>
      <c r="IM1811" s="73"/>
      <c r="IN1811" s="73"/>
      <c r="IO1811" s="73"/>
      <c r="IP1811" s="73"/>
      <c r="IQ1811" s="73"/>
      <c r="IR1811" s="73"/>
      <c r="IS1811" s="73"/>
      <c r="IT1811" s="73"/>
      <c r="IU1811" s="73"/>
      <c r="IV1811" s="73"/>
      <c r="IW1811" s="73"/>
      <c r="IX1811" s="73"/>
      <c r="IY1811" s="73"/>
      <c r="IZ1811" s="73"/>
      <c r="JA1811" s="73"/>
      <c r="JB1811" s="73"/>
      <c r="JC1811" s="73"/>
    </row>
    <row r="1812" spans="2:263" s="72" customFormat="1">
      <c r="B1812" s="73"/>
      <c r="C1812" s="73"/>
      <c r="D1812" s="73"/>
      <c r="E1812" s="73"/>
      <c r="F1812" s="73"/>
      <c r="G1812" s="73"/>
      <c r="H1812" s="73"/>
      <c r="I1812" s="73"/>
      <c r="J1812" s="73"/>
      <c r="K1812" s="73"/>
      <c r="L1812" s="73"/>
      <c r="M1812" s="73"/>
      <c r="N1812" s="73"/>
      <c r="O1812" s="73"/>
      <c r="P1812" s="73"/>
      <c r="Q1812" s="73"/>
      <c r="R1812" s="73"/>
      <c r="S1812" s="73"/>
      <c r="T1812" s="73"/>
      <c r="U1812" s="73"/>
      <c r="V1812" s="73"/>
      <c r="W1812" s="73"/>
      <c r="GL1812" s="73"/>
      <c r="GM1812" s="73"/>
      <c r="GN1812" s="73"/>
      <c r="GO1812" s="73"/>
      <c r="GP1812" s="73"/>
      <c r="GQ1812" s="73"/>
      <c r="GR1812" s="73"/>
      <c r="GS1812" s="73"/>
      <c r="GT1812" s="73"/>
      <c r="GU1812" s="73"/>
      <c r="GV1812" s="73"/>
      <c r="GW1812" s="73"/>
      <c r="GX1812" s="73"/>
      <c r="GY1812" s="73"/>
      <c r="GZ1812" s="73"/>
      <c r="HA1812" s="73"/>
      <c r="HB1812" s="73"/>
      <c r="HC1812" s="73"/>
      <c r="HD1812" s="73"/>
      <c r="HE1812" s="73"/>
      <c r="HF1812" s="73"/>
      <c r="HG1812" s="73"/>
      <c r="HH1812" s="73"/>
      <c r="HI1812" s="73"/>
      <c r="HJ1812" s="73"/>
      <c r="HK1812" s="73"/>
      <c r="HL1812" s="73"/>
      <c r="HM1812" s="73"/>
      <c r="HN1812" s="73"/>
      <c r="HO1812" s="73"/>
      <c r="HP1812" s="73"/>
      <c r="HQ1812" s="73"/>
      <c r="HR1812" s="73"/>
      <c r="HS1812" s="73"/>
      <c r="HT1812" s="73"/>
      <c r="HU1812" s="73"/>
      <c r="HV1812" s="73"/>
      <c r="HW1812" s="73"/>
      <c r="HX1812" s="73"/>
      <c r="HY1812" s="73"/>
      <c r="HZ1812" s="73"/>
      <c r="IA1812" s="73"/>
      <c r="IB1812" s="73"/>
      <c r="IC1812" s="73"/>
      <c r="ID1812" s="73"/>
      <c r="IE1812" s="73"/>
      <c r="IF1812" s="73"/>
      <c r="IG1812" s="73"/>
      <c r="IH1812" s="73"/>
      <c r="II1812" s="73"/>
      <c r="IJ1812" s="73"/>
      <c r="IK1812" s="73"/>
      <c r="IL1812" s="73"/>
      <c r="IM1812" s="73"/>
      <c r="IN1812" s="73"/>
      <c r="IO1812" s="73"/>
      <c r="IP1812" s="73"/>
      <c r="IQ1812" s="73"/>
      <c r="IR1812" s="73"/>
      <c r="IS1812" s="73"/>
      <c r="IT1812" s="73"/>
      <c r="IU1812" s="73"/>
      <c r="IV1812" s="73"/>
      <c r="IW1812" s="73"/>
      <c r="IX1812" s="73"/>
      <c r="IY1812" s="73"/>
      <c r="IZ1812" s="73"/>
      <c r="JA1812" s="73"/>
      <c r="JB1812" s="73"/>
      <c r="JC1812" s="73"/>
    </row>
    <row r="1813" spans="2:263" s="72" customFormat="1">
      <c r="B1813" s="73"/>
      <c r="C1813" s="73"/>
      <c r="D1813" s="73"/>
      <c r="E1813" s="73"/>
      <c r="F1813" s="73"/>
      <c r="G1813" s="73"/>
      <c r="H1813" s="73"/>
      <c r="I1813" s="73"/>
      <c r="J1813" s="73"/>
      <c r="K1813" s="73"/>
      <c r="L1813" s="73"/>
      <c r="M1813" s="73"/>
      <c r="N1813" s="73"/>
      <c r="O1813" s="73"/>
      <c r="P1813" s="73"/>
      <c r="Q1813" s="73"/>
      <c r="R1813" s="73"/>
      <c r="S1813" s="73"/>
      <c r="T1813" s="73"/>
      <c r="U1813" s="73"/>
      <c r="V1813" s="73"/>
      <c r="W1813" s="73"/>
      <c r="GL1813" s="73"/>
      <c r="GM1813" s="73"/>
      <c r="GN1813" s="73"/>
      <c r="GO1813" s="73"/>
      <c r="GP1813" s="73"/>
      <c r="GQ1813" s="73"/>
      <c r="GR1813" s="73"/>
      <c r="GS1813" s="73"/>
      <c r="GT1813" s="73"/>
      <c r="GU1813" s="73"/>
      <c r="GV1813" s="73"/>
      <c r="GW1813" s="73"/>
      <c r="GX1813" s="73"/>
      <c r="GY1813" s="73"/>
      <c r="GZ1813" s="73"/>
      <c r="HA1813" s="73"/>
      <c r="HB1813" s="73"/>
      <c r="HC1813" s="73"/>
      <c r="HD1813" s="73"/>
      <c r="HE1813" s="73"/>
      <c r="HF1813" s="73"/>
      <c r="HG1813" s="73"/>
      <c r="HH1813" s="73"/>
      <c r="HI1813" s="73"/>
      <c r="HJ1813" s="73"/>
      <c r="HK1813" s="73"/>
      <c r="HL1813" s="73"/>
      <c r="HM1813" s="73"/>
      <c r="HN1813" s="73"/>
      <c r="HO1813" s="73"/>
      <c r="HP1813" s="73"/>
      <c r="HQ1813" s="73"/>
      <c r="HR1813" s="73"/>
      <c r="HS1813" s="73"/>
      <c r="HT1813" s="73"/>
      <c r="HU1813" s="73"/>
      <c r="HV1813" s="73"/>
      <c r="HW1813" s="73"/>
      <c r="HX1813" s="73"/>
      <c r="HY1813" s="73"/>
      <c r="HZ1813" s="73"/>
      <c r="IA1813" s="73"/>
      <c r="IB1813" s="73"/>
      <c r="IC1813" s="73"/>
      <c r="ID1813" s="73"/>
      <c r="IE1813" s="73"/>
      <c r="IF1813" s="73"/>
      <c r="IG1813" s="73"/>
      <c r="IH1813" s="73"/>
      <c r="II1813" s="73"/>
      <c r="IJ1813" s="73"/>
      <c r="IK1813" s="73"/>
      <c r="IL1813" s="73"/>
      <c r="IM1813" s="73"/>
      <c r="IN1813" s="73"/>
      <c r="IO1813" s="73"/>
      <c r="IP1813" s="73"/>
      <c r="IQ1813" s="73"/>
      <c r="IR1813" s="73"/>
      <c r="IS1813" s="73"/>
      <c r="IT1813" s="73"/>
      <c r="IU1813" s="73"/>
      <c r="IV1813" s="73"/>
      <c r="IW1813" s="73"/>
      <c r="IX1813" s="73"/>
      <c r="IY1813" s="73"/>
      <c r="IZ1813" s="73"/>
      <c r="JA1813" s="73"/>
      <c r="JB1813" s="73"/>
      <c r="JC1813" s="73"/>
    </row>
    <row r="1814" spans="2:263" s="72" customFormat="1">
      <c r="B1814" s="73"/>
      <c r="C1814" s="73"/>
      <c r="D1814" s="73"/>
      <c r="E1814" s="73"/>
      <c r="F1814" s="73"/>
      <c r="G1814" s="73"/>
      <c r="H1814" s="73"/>
      <c r="I1814" s="73"/>
      <c r="J1814" s="73"/>
      <c r="K1814" s="73"/>
      <c r="L1814" s="73"/>
      <c r="M1814" s="73"/>
      <c r="N1814" s="73"/>
      <c r="O1814" s="73"/>
      <c r="P1814" s="73"/>
      <c r="Q1814" s="73"/>
      <c r="R1814" s="73"/>
      <c r="S1814" s="73"/>
      <c r="T1814" s="73"/>
      <c r="U1814" s="73"/>
      <c r="V1814" s="73"/>
      <c r="W1814" s="73"/>
      <c r="GL1814" s="73"/>
      <c r="GM1814" s="73"/>
      <c r="GN1814" s="73"/>
      <c r="GO1814" s="73"/>
      <c r="GP1814" s="73"/>
      <c r="GQ1814" s="73"/>
      <c r="GR1814" s="73"/>
      <c r="GS1814" s="73"/>
      <c r="GT1814" s="73"/>
      <c r="GU1814" s="73"/>
      <c r="GV1814" s="73"/>
      <c r="GW1814" s="73"/>
      <c r="GX1814" s="73"/>
      <c r="GY1814" s="73"/>
      <c r="GZ1814" s="73"/>
      <c r="HA1814" s="73"/>
      <c r="HB1814" s="73"/>
      <c r="HC1814" s="73"/>
      <c r="HD1814" s="73"/>
      <c r="HE1814" s="73"/>
      <c r="HF1814" s="73"/>
      <c r="HG1814" s="73"/>
      <c r="HH1814" s="73"/>
      <c r="HI1814" s="73"/>
      <c r="HJ1814" s="73"/>
      <c r="HK1814" s="73"/>
      <c r="HL1814" s="73"/>
      <c r="HM1814" s="73"/>
      <c r="HN1814" s="73"/>
      <c r="HO1814" s="73"/>
      <c r="HP1814" s="73"/>
      <c r="HQ1814" s="73"/>
      <c r="HR1814" s="73"/>
      <c r="HS1814" s="73"/>
      <c r="HT1814" s="73"/>
      <c r="HU1814" s="73"/>
      <c r="HV1814" s="73"/>
      <c r="HW1814" s="73"/>
      <c r="HX1814" s="73"/>
      <c r="HY1814" s="73"/>
      <c r="HZ1814" s="73"/>
      <c r="IA1814" s="73"/>
      <c r="IB1814" s="73"/>
      <c r="IC1814" s="73"/>
      <c r="ID1814" s="73"/>
      <c r="IE1814" s="73"/>
      <c r="IF1814" s="73"/>
      <c r="IG1814" s="73"/>
      <c r="IH1814" s="73"/>
      <c r="II1814" s="73"/>
      <c r="IJ1814" s="73"/>
      <c r="IK1814" s="73"/>
      <c r="IL1814" s="73"/>
      <c r="IM1814" s="73"/>
      <c r="IN1814" s="73"/>
      <c r="IO1814" s="73"/>
      <c r="IP1814" s="73"/>
      <c r="IQ1814" s="73"/>
      <c r="IR1814" s="73"/>
      <c r="IS1814" s="73"/>
      <c r="IT1814" s="73"/>
      <c r="IU1814" s="73"/>
      <c r="IV1814" s="73"/>
      <c r="IW1814" s="73"/>
      <c r="IX1814" s="73"/>
      <c r="IY1814" s="73"/>
      <c r="IZ1814" s="73"/>
      <c r="JA1814" s="73"/>
      <c r="JB1814" s="73"/>
      <c r="JC1814" s="73"/>
    </row>
    <row r="1815" spans="2:263" s="72" customFormat="1">
      <c r="B1815" s="73"/>
      <c r="C1815" s="73"/>
      <c r="D1815" s="73"/>
      <c r="E1815" s="73"/>
      <c r="F1815" s="73"/>
      <c r="G1815" s="73"/>
      <c r="H1815" s="73"/>
      <c r="I1815" s="73"/>
      <c r="J1815" s="73"/>
      <c r="K1815" s="73"/>
      <c r="L1815" s="73"/>
      <c r="M1815" s="73"/>
      <c r="N1815" s="73"/>
      <c r="O1815" s="73"/>
      <c r="P1815" s="73"/>
      <c r="Q1815" s="73"/>
      <c r="R1815" s="73"/>
      <c r="S1815" s="73"/>
      <c r="T1815" s="73"/>
      <c r="U1815" s="73"/>
      <c r="V1815" s="73"/>
      <c r="W1815" s="73"/>
      <c r="GL1815" s="73"/>
      <c r="GM1815" s="73"/>
      <c r="GN1815" s="73"/>
      <c r="GO1815" s="73"/>
      <c r="GP1815" s="73"/>
      <c r="GQ1815" s="73"/>
      <c r="GR1815" s="73"/>
      <c r="GS1815" s="73"/>
      <c r="GT1815" s="73"/>
      <c r="GU1815" s="73"/>
      <c r="GV1815" s="73"/>
      <c r="GW1815" s="73"/>
      <c r="GX1815" s="73"/>
      <c r="GY1815" s="73"/>
      <c r="GZ1815" s="73"/>
      <c r="HA1815" s="73"/>
      <c r="HB1815" s="73"/>
      <c r="HC1815" s="73"/>
      <c r="HD1815" s="73"/>
      <c r="HE1815" s="73"/>
      <c r="HF1815" s="73"/>
      <c r="HG1815" s="73"/>
      <c r="HH1815" s="73"/>
      <c r="HI1815" s="73"/>
      <c r="HJ1815" s="73"/>
      <c r="HK1815" s="73"/>
      <c r="HL1815" s="73"/>
      <c r="HM1815" s="73"/>
      <c r="HN1815" s="73"/>
      <c r="HO1815" s="73"/>
      <c r="HP1815" s="73"/>
      <c r="HQ1815" s="73"/>
      <c r="HR1815" s="73"/>
      <c r="HS1815" s="73"/>
      <c r="HT1815" s="73"/>
      <c r="HU1815" s="73"/>
      <c r="HV1815" s="73"/>
      <c r="HW1815" s="73"/>
      <c r="HX1815" s="73"/>
      <c r="HY1815" s="73"/>
      <c r="HZ1815" s="73"/>
      <c r="IA1815" s="73"/>
      <c r="IB1815" s="73"/>
      <c r="IC1815" s="73"/>
      <c r="ID1815" s="73"/>
      <c r="IE1815" s="73"/>
      <c r="IF1815" s="73"/>
      <c r="IG1815" s="73"/>
      <c r="IH1815" s="73"/>
      <c r="II1815" s="73"/>
      <c r="IJ1815" s="73"/>
      <c r="IK1815" s="73"/>
      <c r="IL1815" s="73"/>
      <c r="IM1815" s="73"/>
      <c r="IN1815" s="73"/>
      <c r="IO1815" s="73"/>
      <c r="IP1815" s="73"/>
      <c r="IQ1815" s="73"/>
      <c r="IR1815" s="73"/>
      <c r="IS1815" s="73"/>
      <c r="IT1815" s="73"/>
      <c r="IU1815" s="73"/>
      <c r="IV1815" s="73"/>
      <c r="IW1815" s="73"/>
      <c r="IX1815" s="73"/>
      <c r="IY1815" s="73"/>
      <c r="IZ1815" s="73"/>
      <c r="JA1815" s="73"/>
      <c r="JB1815" s="73"/>
      <c r="JC1815" s="73"/>
    </row>
    <row r="1816" spans="2:263" s="72" customFormat="1">
      <c r="B1816" s="73"/>
      <c r="C1816" s="73"/>
      <c r="D1816" s="73"/>
      <c r="E1816" s="73"/>
      <c r="F1816" s="73"/>
      <c r="G1816" s="73"/>
      <c r="H1816" s="73"/>
      <c r="I1816" s="73"/>
      <c r="J1816" s="73"/>
      <c r="K1816" s="73"/>
      <c r="L1816" s="73"/>
      <c r="M1816" s="73"/>
      <c r="N1816" s="73"/>
      <c r="O1816" s="73"/>
      <c r="P1816" s="73"/>
      <c r="Q1816" s="73"/>
      <c r="R1816" s="73"/>
      <c r="S1816" s="73"/>
      <c r="T1816" s="73"/>
      <c r="U1816" s="73"/>
      <c r="V1816" s="73"/>
      <c r="W1816" s="73"/>
      <c r="GL1816" s="73"/>
      <c r="GM1816" s="73"/>
      <c r="GN1816" s="73"/>
      <c r="GO1816" s="73"/>
      <c r="GP1816" s="73"/>
      <c r="GQ1816" s="73"/>
      <c r="GR1816" s="73"/>
      <c r="GS1816" s="73"/>
      <c r="GT1816" s="73"/>
      <c r="GU1816" s="73"/>
      <c r="GV1816" s="73"/>
      <c r="GW1816" s="73"/>
      <c r="GX1816" s="73"/>
      <c r="GY1816" s="73"/>
      <c r="GZ1816" s="73"/>
      <c r="HA1816" s="73"/>
      <c r="HB1816" s="73"/>
      <c r="HC1816" s="73"/>
      <c r="HD1816" s="73"/>
      <c r="HE1816" s="73"/>
      <c r="HF1816" s="73"/>
      <c r="HG1816" s="73"/>
      <c r="HH1816" s="73"/>
      <c r="HI1816" s="73"/>
      <c r="HJ1816" s="73"/>
      <c r="HK1816" s="73"/>
      <c r="HL1816" s="73"/>
      <c r="HM1816" s="73"/>
      <c r="HN1816" s="73"/>
      <c r="HO1816" s="73"/>
      <c r="HP1816" s="73"/>
      <c r="HQ1816" s="73"/>
      <c r="HR1816" s="73"/>
      <c r="HS1816" s="73"/>
      <c r="HT1816" s="73"/>
      <c r="HU1816" s="73"/>
      <c r="HV1816" s="73"/>
      <c r="HW1816" s="73"/>
      <c r="HX1816" s="73"/>
      <c r="HY1816" s="73"/>
      <c r="HZ1816" s="73"/>
      <c r="IA1816" s="73"/>
      <c r="IB1816" s="73"/>
      <c r="IC1816" s="73"/>
      <c r="ID1816" s="73"/>
      <c r="IE1816" s="73"/>
      <c r="IF1816" s="73"/>
      <c r="IG1816" s="73"/>
      <c r="IH1816" s="73"/>
      <c r="II1816" s="73"/>
      <c r="IJ1816" s="73"/>
      <c r="IK1816" s="73"/>
      <c r="IL1816" s="73"/>
      <c r="IM1816" s="73"/>
      <c r="IN1816" s="73"/>
      <c r="IO1816" s="73"/>
      <c r="IP1816" s="73"/>
      <c r="IQ1816" s="73"/>
      <c r="IR1816" s="73"/>
      <c r="IS1816" s="73"/>
      <c r="IT1816" s="73"/>
      <c r="IU1816" s="73"/>
      <c r="IV1816" s="73"/>
      <c r="IW1816" s="73"/>
      <c r="IX1816" s="73"/>
      <c r="IY1816" s="73"/>
      <c r="IZ1816" s="73"/>
      <c r="JA1816" s="73"/>
      <c r="JB1816" s="73"/>
      <c r="JC1816" s="73"/>
    </row>
    <row r="1817" spans="2:263" s="72" customFormat="1">
      <c r="B1817" s="73"/>
      <c r="C1817" s="73"/>
      <c r="D1817" s="73"/>
      <c r="E1817" s="73"/>
      <c r="F1817" s="73"/>
      <c r="G1817" s="73"/>
      <c r="H1817" s="73"/>
      <c r="I1817" s="73"/>
      <c r="J1817" s="73"/>
      <c r="K1817" s="73"/>
      <c r="L1817" s="73"/>
      <c r="M1817" s="73"/>
      <c r="N1817" s="73"/>
      <c r="O1817" s="73"/>
      <c r="P1817" s="73"/>
      <c r="Q1817" s="73"/>
      <c r="R1817" s="73"/>
      <c r="S1817" s="73"/>
      <c r="T1817" s="73"/>
      <c r="U1817" s="73"/>
      <c r="V1817" s="73"/>
      <c r="W1817" s="73"/>
      <c r="GL1817" s="73"/>
      <c r="GM1817" s="73"/>
      <c r="GN1817" s="73"/>
      <c r="GO1817" s="73"/>
      <c r="GP1817" s="73"/>
      <c r="GQ1817" s="73"/>
      <c r="GR1817" s="73"/>
      <c r="GS1817" s="73"/>
      <c r="GT1817" s="73"/>
      <c r="GU1817" s="73"/>
      <c r="GV1817" s="73"/>
      <c r="GW1817" s="73"/>
      <c r="GX1817" s="73"/>
      <c r="GY1817" s="73"/>
      <c r="GZ1817" s="73"/>
      <c r="HA1817" s="73"/>
      <c r="HB1817" s="73"/>
      <c r="HC1817" s="73"/>
      <c r="HD1817" s="73"/>
      <c r="HE1817" s="73"/>
      <c r="HF1817" s="73"/>
      <c r="HG1817" s="73"/>
      <c r="HH1817" s="73"/>
      <c r="HI1817" s="73"/>
      <c r="HJ1817" s="73"/>
      <c r="HK1817" s="73"/>
      <c r="HL1817" s="73"/>
      <c r="HM1817" s="73"/>
      <c r="HN1817" s="73"/>
      <c r="HO1817" s="73"/>
      <c r="HP1817" s="73"/>
      <c r="HQ1817" s="73"/>
      <c r="HR1817" s="73"/>
      <c r="HS1817" s="73"/>
      <c r="HT1817" s="73"/>
      <c r="HU1817" s="73"/>
      <c r="HV1817" s="73"/>
      <c r="HW1817" s="73"/>
      <c r="HX1817" s="73"/>
      <c r="HY1817" s="73"/>
      <c r="HZ1817" s="73"/>
      <c r="IA1817" s="73"/>
      <c r="IB1817" s="73"/>
      <c r="IC1817" s="73"/>
      <c r="ID1817" s="73"/>
      <c r="IE1817" s="73"/>
      <c r="IF1817" s="73"/>
      <c r="IG1817" s="73"/>
      <c r="IH1817" s="73"/>
      <c r="II1817" s="73"/>
      <c r="IJ1817" s="73"/>
      <c r="IK1817" s="73"/>
      <c r="IL1817" s="73"/>
      <c r="IM1817" s="73"/>
      <c r="IN1817" s="73"/>
      <c r="IO1817" s="73"/>
      <c r="IP1817" s="73"/>
      <c r="IQ1817" s="73"/>
      <c r="IR1817" s="73"/>
      <c r="IS1817" s="73"/>
      <c r="IT1817" s="73"/>
      <c r="IU1817" s="73"/>
      <c r="IV1817" s="73"/>
      <c r="IW1817" s="73"/>
      <c r="IX1817" s="73"/>
      <c r="IY1817" s="73"/>
      <c r="IZ1817" s="73"/>
      <c r="JA1817" s="73"/>
      <c r="JB1817" s="73"/>
      <c r="JC1817" s="73"/>
    </row>
    <row r="1818" spans="2:263" s="72" customFormat="1">
      <c r="B1818" s="73"/>
      <c r="C1818" s="73"/>
      <c r="D1818" s="73"/>
      <c r="E1818" s="73"/>
      <c r="F1818" s="73"/>
      <c r="G1818" s="73"/>
      <c r="H1818" s="73"/>
      <c r="I1818" s="73"/>
      <c r="J1818" s="73"/>
      <c r="K1818" s="73"/>
      <c r="L1818" s="73"/>
      <c r="M1818" s="73"/>
      <c r="N1818" s="73"/>
      <c r="O1818" s="73"/>
      <c r="P1818" s="73"/>
      <c r="Q1818" s="73"/>
      <c r="R1818" s="73"/>
      <c r="S1818" s="73"/>
      <c r="T1818" s="73"/>
      <c r="U1818" s="73"/>
      <c r="V1818" s="73"/>
      <c r="W1818" s="73"/>
      <c r="GL1818" s="73"/>
      <c r="GM1818" s="73"/>
      <c r="GN1818" s="73"/>
      <c r="GO1818" s="73"/>
      <c r="GP1818" s="73"/>
      <c r="GQ1818" s="73"/>
      <c r="GR1818" s="73"/>
      <c r="GS1818" s="73"/>
      <c r="GT1818" s="73"/>
      <c r="GU1818" s="73"/>
      <c r="GV1818" s="73"/>
      <c r="GW1818" s="73"/>
      <c r="GX1818" s="73"/>
      <c r="GY1818" s="73"/>
      <c r="GZ1818" s="73"/>
      <c r="HA1818" s="73"/>
      <c r="HB1818" s="73"/>
      <c r="HC1818" s="73"/>
      <c r="HD1818" s="73"/>
      <c r="HE1818" s="73"/>
      <c r="HF1818" s="73"/>
      <c r="HG1818" s="73"/>
      <c r="HH1818" s="73"/>
      <c r="HI1818" s="73"/>
      <c r="HJ1818" s="73"/>
      <c r="HK1818" s="73"/>
      <c r="HL1818" s="73"/>
      <c r="HM1818" s="73"/>
      <c r="HN1818" s="73"/>
      <c r="HO1818" s="73"/>
      <c r="HP1818" s="73"/>
      <c r="HQ1818" s="73"/>
      <c r="HR1818" s="73"/>
      <c r="HS1818" s="73"/>
      <c r="HT1818" s="73"/>
      <c r="HU1818" s="73"/>
      <c r="HV1818" s="73"/>
      <c r="HW1818" s="73"/>
      <c r="HX1818" s="73"/>
      <c r="HY1818" s="73"/>
      <c r="HZ1818" s="73"/>
      <c r="IA1818" s="73"/>
      <c r="IB1818" s="73"/>
      <c r="IC1818" s="73"/>
      <c r="ID1818" s="73"/>
      <c r="IE1818" s="73"/>
      <c r="IF1818" s="73"/>
      <c r="IG1818" s="73"/>
      <c r="IH1818" s="73"/>
      <c r="II1818" s="73"/>
      <c r="IJ1818" s="73"/>
      <c r="IK1818" s="73"/>
      <c r="IL1818" s="73"/>
      <c r="IM1818" s="73"/>
      <c r="IN1818" s="73"/>
      <c r="IO1818" s="73"/>
      <c r="IP1818" s="73"/>
      <c r="IQ1818" s="73"/>
      <c r="IR1818" s="73"/>
      <c r="IS1818" s="73"/>
      <c r="IT1818" s="73"/>
      <c r="IU1818" s="73"/>
      <c r="IV1818" s="73"/>
      <c r="IW1818" s="73"/>
      <c r="IX1818" s="73"/>
      <c r="IY1818" s="73"/>
      <c r="IZ1818" s="73"/>
      <c r="JA1818" s="73"/>
      <c r="JB1818" s="73"/>
      <c r="JC1818" s="73"/>
    </row>
    <row r="1819" spans="2:263" s="72" customFormat="1">
      <c r="B1819" s="73"/>
      <c r="C1819" s="73"/>
      <c r="D1819" s="73"/>
      <c r="E1819" s="73"/>
      <c r="F1819" s="73"/>
      <c r="G1819" s="73"/>
      <c r="H1819" s="73"/>
      <c r="I1819" s="73"/>
      <c r="J1819" s="73"/>
      <c r="K1819" s="73"/>
      <c r="L1819" s="73"/>
      <c r="M1819" s="73"/>
      <c r="N1819" s="73"/>
      <c r="O1819" s="73"/>
      <c r="P1819" s="73"/>
      <c r="Q1819" s="73"/>
      <c r="R1819" s="73"/>
      <c r="S1819" s="73"/>
      <c r="T1819" s="73"/>
      <c r="U1819" s="73"/>
      <c r="V1819" s="73"/>
      <c r="W1819" s="73"/>
      <c r="GL1819" s="73"/>
      <c r="GM1819" s="73"/>
      <c r="GN1819" s="73"/>
      <c r="GO1819" s="73"/>
      <c r="GP1819" s="73"/>
      <c r="GQ1819" s="73"/>
      <c r="GR1819" s="73"/>
      <c r="GS1819" s="73"/>
      <c r="GT1819" s="73"/>
      <c r="GU1819" s="73"/>
      <c r="GV1819" s="73"/>
      <c r="GW1819" s="73"/>
      <c r="GX1819" s="73"/>
      <c r="GY1819" s="73"/>
      <c r="GZ1819" s="73"/>
      <c r="HA1819" s="73"/>
      <c r="HB1819" s="73"/>
      <c r="HC1819" s="73"/>
      <c r="HD1819" s="73"/>
      <c r="HE1819" s="73"/>
      <c r="HF1819" s="73"/>
      <c r="HG1819" s="73"/>
      <c r="HH1819" s="73"/>
      <c r="HI1819" s="73"/>
      <c r="HJ1819" s="73"/>
      <c r="HK1819" s="73"/>
      <c r="HL1819" s="73"/>
      <c r="HM1819" s="73"/>
      <c r="HN1819" s="73"/>
      <c r="HO1819" s="73"/>
      <c r="HP1819" s="73"/>
      <c r="HQ1819" s="73"/>
      <c r="HR1819" s="73"/>
      <c r="HS1819" s="73"/>
      <c r="HT1819" s="73"/>
      <c r="HU1819" s="73"/>
      <c r="HV1819" s="73"/>
      <c r="HW1819" s="73"/>
      <c r="HX1819" s="73"/>
      <c r="HY1819" s="73"/>
      <c r="HZ1819" s="73"/>
      <c r="IA1819" s="73"/>
      <c r="IB1819" s="73"/>
      <c r="IC1819" s="73"/>
      <c r="ID1819" s="73"/>
      <c r="IE1819" s="73"/>
      <c r="IF1819" s="73"/>
      <c r="IG1819" s="73"/>
      <c r="IH1819" s="73"/>
      <c r="II1819" s="73"/>
      <c r="IJ1819" s="73"/>
      <c r="IK1819" s="73"/>
      <c r="IL1819" s="73"/>
      <c r="IM1819" s="73"/>
      <c r="IN1819" s="73"/>
      <c r="IO1819" s="73"/>
      <c r="IP1819" s="73"/>
      <c r="IQ1819" s="73"/>
      <c r="IR1819" s="73"/>
      <c r="IS1819" s="73"/>
      <c r="IT1819" s="73"/>
      <c r="IU1819" s="73"/>
      <c r="IV1819" s="73"/>
      <c r="IW1819" s="73"/>
      <c r="IX1819" s="73"/>
      <c r="IY1819" s="73"/>
      <c r="IZ1819" s="73"/>
      <c r="JA1819" s="73"/>
      <c r="JB1819" s="73"/>
      <c r="JC1819" s="73"/>
    </row>
    <row r="1820" spans="2:263" s="72" customFormat="1">
      <c r="B1820" s="73"/>
      <c r="C1820" s="73"/>
      <c r="D1820" s="73"/>
      <c r="E1820" s="73"/>
      <c r="F1820" s="73"/>
      <c r="G1820" s="73"/>
      <c r="H1820" s="73"/>
      <c r="I1820" s="73"/>
      <c r="J1820" s="73"/>
      <c r="K1820" s="73"/>
      <c r="L1820" s="73"/>
      <c r="M1820" s="73"/>
      <c r="N1820" s="73"/>
      <c r="O1820" s="73"/>
      <c r="P1820" s="73"/>
      <c r="Q1820" s="73"/>
      <c r="R1820" s="73"/>
      <c r="S1820" s="73"/>
      <c r="T1820" s="73"/>
      <c r="U1820" s="73"/>
      <c r="V1820" s="73"/>
      <c r="W1820" s="73"/>
      <c r="GL1820" s="73"/>
      <c r="GM1820" s="73"/>
      <c r="GN1820" s="73"/>
      <c r="GO1820" s="73"/>
      <c r="GP1820" s="73"/>
      <c r="GQ1820" s="73"/>
      <c r="GR1820" s="73"/>
      <c r="GS1820" s="73"/>
      <c r="GT1820" s="73"/>
      <c r="GU1820" s="73"/>
      <c r="GV1820" s="73"/>
      <c r="GW1820" s="73"/>
      <c r="GX1820" s="73"/>
      <c r="GY1820" s="73"/>
      <c r="GZ1820" s="73"/>
      <c r="HA1820" s="73"/>
      <c r="HB1820" s="73"/>
      <c r="HC1820" s="73"/>
      <c r="HD1820" s="73"/>
      <c r="HE1820" s="73"/>
      <c r="HF1820" s="73"/>
      <c r="HG1820" s="73"/>
      <c r="HH1820" s="73"/>
      <c r="HI1820" s="73"/>
      <c r="HJ1820" s="73"/>
      <c r="HK1820" s="73"/>
      <c r="HL1820" s="73"/>
      <c r="HM1820" s="73"/>
      <c r="HN1820" s="73"/>
      <c r="HO1820" s="73"/>
      <c r="HP1820" s="73"/>
      <c r="HQ1820" s="73"/>
      <c r="HR1820" s="73"/>
      <c r="HS1820" s="73"/>
      <c r="HT1820" s="73"/>
      <c r="HU1820" s="73"/>
      <c r="HV1820" s="73"/>
      <c r="HW1820" s="73"/>
      <c r="HX1820" s="73"/>
      <c r="HY1820" s="73"/>
      <c r="HZ1820" s="73"/>
      <c r="IA1820" s="73"/>
      <c r="IB1820" s="73"/>
      <c r="IC1820" s="73"/>
      <c r="ID1820" s="73"/>
      <c r="IE1820" s="73"/>
      <c r="IF1820" s="73"/>
      <c r="IG1820" s="73"/>
      <c r="IH1820" s="73"/>
      <c r="II1820" s="73"/>
      <c r="IJ1820" s="73"/>
      <c r="IK1820" s="73"/>
      <c r="IL1820" s="73"/>
      <c r="IM1820" s="73"/>
      <c r="IN1820" s="73"/>
      <c r="IO1820" s="73"/>
      <c r="IP1820" s="73"/>
      <c r="IQ1820" s="73"/>
      <c r="IR1820" s="73"/>
      <c r="IS1820" s="73"/>
      <c r="IT1820" s="73"/>
      <c r="IU1820" s="73"/>
      <c r="IV1820" s="73"/>
      <c r="IW1820" s="73"/>
      <c r="IX1820" s="73"/>
      <c r="IY1820" s="73"/>
      <c r="IZ1820" s="73"/>
      <c r="JA1820" s="73"/>
      <c r="JB1820" s="73"/>
      <c r="JC1820" s="73"/>
    </row>
    <row r="1821" spans="2:263" s="72" customFormat="1">
      <c r="B1821" s="73"/>
      <c r="C1821" s="73"/>
      <c r="D1821" s="73"/>
      <c r="E1821" s="73"/>
      <c r="F1821" s="73"/>
      <c r="G1821" s="73"/>
      <c r="H1821" s="73"/>
      <c r="I1821" s="73"/>
      <c r="J1821" s="73"/>
      <c r="K1821" s="73"/>
      <c r="L1821" s="73"/>
      <c r="M1821" s="73"/>
      <c r="N1821" s="73"/>
      <c r="O1821" s="73"/>
      <c r="P1821" s="73"/>
      <c r="Q1821" s="73"/>
      <c r="R1821" s="73"/>
      <c r="S1821" s="73"/>
      <c r="T1821" s="73"/>
      <c r="U1821" s="73"/>
      <c r="V1821" s="73"/>
      <c r="W1821" s="73"/>
      <c r="GL1821" s="73"/>
      <c r="GM1821" s="73"/>
      <c r="GN1821" s="73"/>
      <c r="GO1821" s="73"/>
      <c r="GP1821" s="73"/>
      <c r="GQ1821" s="73"/>
      <c r="GR1821" s="73"/>
      <c r="GS1821" s="73"/>
      <c r="GT1821" s="73"/>
      <c r="GU1821" s="73"/>
      <c r="GV1821" s="73"/>
      <c r="GW1821" s="73"/>
      <c r="GX1821" s="73"/>
      <c r="GY1821" s="73"/>
      <c r="GZ1821" s="73"/>
      <c r="HA1821" s="73"/>
      <c r="HB1821" s="73"/>
      <c r="HC1821" s="73"/>
      <c r="HD1821" s="73"/>
      <c r="HE1821" s="73"/>
      <c r="HF1821" s="73"/>
      <c r="HG1821" s="73"/>
      <c r="HH1821" s="73"/>
      <c r="HI1821" s="73"/>
      <c r="HJ1821" s="73"/>
      <c r="HK1821" s="73"/>
      <c r="HL1821" s="73"/>
      <c r="HM1821" s="73"/>
      <c r="HN1821" s="73"/>
      <c r="HO1821" s="73"/>
      <c r="HP1821" s="73"/>
      <c r="HQ1821" s="73"/>
      <c r="HR1821" s="73"/>
      <c r="HS1821" s="73"/>
      <c r="HT1821" s="73"/>
      <c r="HU1821" s="73"/>
      <c r="HV1821" s="73"/>
      <c r="HW1821" s="73"/>
      <c r="HX1821" s="73"/>
      <c r="HY1821" s="73"/>
      <c r="HZ1821" s="73"/>
      <c r="IA1821" s="73"/>
      <c r="IB1821" s="73"/>
      <c r="IC1821" s="73"/>
      <c r="ID1821" s="73"/>
      <c r="IE1821" s="73"/>
      <c r="IF1821" s="73"/>
      <c r="IG1821" s="73"/>
      <c r="IH1821" s="73"/>
      <c r="II1821" s="73"/>
      <c r="IJ1821" s="73"/>
      <c r="IK1821" s="73"/>
      <c r="IL1821" s="73"/>
      <c r="IM1821" s="73"/>
      <c r="IN1821" s="73"/>
      <c r="IO1821" s="73"/>
      <c r="IP1821" s="73"/>
      <c r="IQ1821" s="73"/>
      <c r="IR1821" s="73"/>
      <c r="IS1821" s="73"/>
      <c r="IT1821" s="73"/>
      <c r="IU1821" s="73"/>
      <c r="IV1821" s="73"/>
      <c r="IW1821" s="73"/>
      <c r="IX1821" s="73"/>
      <c r="IY1821" s="73"/>
      <c r="IZ1821" s="73"/>
      <c r="JA1821" s="73"/>
      <c r="JB1821" s="73"/>
      <c r="JC1821" s="73"/>
    </row>
    <row r="1822" spans="2:263" s="72" customFormat="1">
      <c r="B1822" s="73"/>
      <c r="C1822" s="73"/>
      <c r="D1822" s="73"/>
      <c r="E1822" s="73"/>
      <c r="F1822" s="73"/>
      <c r="G1822" s="73"/>
      <c r="H1822" s="73"/>
      <c r="I1822" s="73"/>
      <c r="J1822" s="73"/>
      <c r="K1822" s="73"/>
      <c r="L1822" s="73"/>
      <c r="M1822" s="73"/>
      <c r="N1822" s="73"/>
      <c r="O1822" s="73"/>
      <c r="P1822" s="73"/>
      <c r="Q1822" s="73"/>
      <c r="R1822" s="73"/>
      <c r="S1822" s="73"/>
      <c r="T1822" s="73"/>
      <c r="U1822" s="73"/>
      <c r="V1822" s="73"/>
      <c r="W1822" s="73"/>
      <c r="GL1822" s="73"/>
      <c r="GM1822" s="73"/>
      <c r="GN1822" s="73"/>
      <c r="GO1822" s="73"/>
      <c r="GP1822" s="73"/>
      <c r="GQ1822" s="73"/>
      <c r="GR1822" s="73"/>
      <c r="GS1822" s="73"/>
      <c r="GT1822" s="73"/>
      <c r="GU1822" s="73"/>
      <c r="GV1822" s="73"/>
      <c r="GW1822" s="73"/>
      <c r="GX1822" s="73"/>
      <c r="GY1822" s="73"/>
      <c r="GZ1822" s="73"/>
      <c r="HA1822" s="73"/>
      <c r="HB1822" s="73"/>
      <c r="HC1822" s="73"/>
      <c r="HD1822" s="73"/>
      <c r="HE1822" s="73"/>
      <c r="HF1822" s="73"/>
      <c r="HG1822" s="73"/>
      <c r="HH1822" s="73"/>
      <c r="HI1822" s="73"/>
      <c r="HJ1822" s="73"/>
      <c r="HK1822" s="73"/>
      <c r="HL1822" s="73"/>
      <c r="HM1822" s="73"/>
      <c r="HN1822" s="73"/>
      <c r="HO1822" s="73"/>
      <c r="HP1822" s="73"/>
      <c r="HQ1822" s="73"/>
      <c r="HR1822" s="73"/>
      <c r="HS1822" s="73"/>
      <c r="HT1822" s="73"/>
      <c r="HU1822" s="73"/>
      <c r="HV1822" s="73"/>
      <c r="HW1822" s="73"/>
      <c r="HX1822" s="73"/>
      <c r="HY1822" s="73"/>
      <c r="HZ1822" s="73"/>
      <c r="IA1822" s="73"/>
      <c r="IB1822" s="73"/>
      <c r="IC1822" s="73"/>
      <c r="ID1822" s="73"/>
      <c r="IE1822" s="73"/>
      <c r="IF1822" s="73"/>
      <c r="IG1822" s="73"/>
      <c r="IH1822" s="73"/>
      <c r="II1822" s="73"/>
      <c r="IJ1822" s="73"/>
      <c r="IK1822" s="73"/>
      <c r="IL1822" s="73"/>
      <c r="IM1822" s="73"/>
      <c r="IN1822" s="73"/>
      <c r="IO1822" s="73"/>
      <c r="IP1822" s="73"/>
      <c r="IQ1822" s="73"/>
      <c r="IR1822" s="73"/>
      <c r="IS1822" s="73"/>
      <c r="IT1822" s="73"/>
      <c r="IU1822" s="73"/>
      <c r="IV1822" s="73"/>
      <c r="IW1822" s="73"/>
      <c r="IX1822" s="73"/>
      <c r="IY1822" s="73"/>
      <c r="IZ1822" s="73"/>
      <c r="JA1822" s="73"/>
      <c r="JB1822" s="73"/>
      <c r="JC1822" s="73"/>
    </row>
    <row r="1823" spans="2:263" s="72" customFormat="1">
      <c r="B1823" s="73"/>
      <c r="C1823" s="73"/>
      <c r="D1823" s="73"/>
      <c r="E1823" s="73"/>
      <c r="F1823" s="73"/>
      <c r="G1823" s="73"/>
      <c r="H1823" s="73"/>
      <c r="I1823" s="73"/>
      <c r="J1823" s="73"/>
      <c r="K1823" s="73"/>
      <c r="L1823" s="73"/>
      <c r="M1823" s="73"/>
      <c r="N1823" s="73"/>
      <c r="O1823" s="73"/>
      <c r="P1823" s="73"/>
      <c r="Q1823" s="73"/>
      <c r="R1823" s="73"/>
      <c r="S1823" s="73"/>
      <c r="T1823" s="73"/>
      <c r="U1823" s="73"/>
      <c r="V1823" s="73"/>
      <c r="W1823" s="73"/>
      <c r="GL1823" s="73"/>
      <c r="GM1823" s="73"/>
      <c r="GN1823" s="73"/>
      <c r="GO1823" s="73"/>
      <c r="GP1823" s="73"/>
      <c r="GQ1823" s="73"/>
      <c r="GR1823" s="73"/>
      <c r="GS1823" s="73"/>
      <c r="GT1823" s="73"/>
      <c r="GU1823" s="73"/>
      <c r="GV1823" s="73"/>
      <c r="GW1823" s="73"/>
      <c r="GX1823" s="73"/>
      <c r="GY1823" s="73"/>
      <c r="GZ1823" s="73"/>
      <c r="HA1823" s="73"/>
      <c r="HB1823" s="73"/>
      <c r="HC1823" s="73"/>
      <c r="HD1823" s="73"/>
      <c r="HE1823" s="73"/>
      <c r="HF1823" s="73"/>
      <c r="HG1823" s="73"/>
      <c r="HH1823" s="73"/>
      <c r="HI1823" s="73"/>
      <c r="HJ1823" s="73"/>
      <c r="HK1823" s="73"/>
      <c r="HL1823" s="73"/>
      <c r="HM1823" s="73"/>
      <c r="HN1823" s="73"/>
      <c r="HO1823" s="73"/>
      <c r="HP1823" s="73"/>
      <c r="HQ1823" s="73"/>
      <c r="HR1823" s="73"/>
      <c r="HS1823" s="73"/>
      <c r="HT1823" s="73"/>
      <c r="HU1823" s="73"/>
      <c r="HV1823" s="73"/>
      <c r="HW1823" s="73"/>
      <c r="HX1823" s="73"/>
      <c r="HY1823" s="73"/>
      <c r="HZ1823" s="73"/>
      <c r="IA1823" s="73"/>
      <c r="IB1823" s="73"/>
      <c r="IC1823" s="73"/>
      <c r="ID1823" s="73"/>
      <c r="IE1823" s="73"/>
      <c r="IF1823" s="73"/>
      <c r="IG1823" s="73"/>
      <c r="IH1823" s="73"/>
      <c r="II1823" s="73"/>
      <c r="IJ1823" s="73"/>
      <c r="IK1823" s="73"/>
      <c r="IL1823" s="73"/>
      <c r="IM1823" s="73"/>
      <c r="IN1823" s="73"/>
      <c r="IO1823" s="73"/>
      <c r="IP1823" s="73"/>
      <c r="IQ1823" s="73"/>
      <c r="IR1823" s="73"/>
      <c r="IS1823" s="73"/>
      <c r="IT1823" s="73"/>
      <c r="IU1823" s="73"/>
      <c r="IV1823" s="73"/>
      <c r="IW1823" s="73"/>
      <c r="IX1823" s="73"/>
      <c r="IY1823" s="73"/>
      <c r="IZ1823" s="73"/>
      <c r="JA1823" s="73"/>
      <c r="JB1823" s="73"/>
      <c r="JC1823" s="73"/>
    </row>
    <row r="1824" spans="2:263" s="72" customFormat="1">
      <c r="B1824" s="73"/>
      <c r="C1824" s="73"/>
      <c r="D1824" s="73"/>
      <c r="E1824" s="73"/>
      <c r="F1824" s="73"/>
      <c r="G1824" s="73"/>
      <c r="H1824" s="73"/>
      <c r="I1824" s="73"/>
      <c r="J1824" s="73"/>
      <c r="K1824" s="73"/>
      <c r="L1824" s="73"/>
      <c r="M1824" s="73"/>
      <c r="N1824" s="73"/>
      <c r="O1824" s="73"/>
      <c r="P1824" s="73"/>
      <c r="Q1824" s="73"/>
      <c r="R1824" s="73"/>
      <c r="S1824" s="73"/>
      <c r="T1824" s="73"/>
      <c r="U1824" s="73"/>
      <c r="V1824" s="73"/>
      <c r="W1824" s="73"/>
      <c r="GL1824" s="73"/>
      <c r="GM1824" s="73"/>
      <c r="GN1824" s="73"/>
      <c r="GO1824" s="73"/>
      <c r="GP1824" s="73"/>
      <c r="GQ1824" s="73"/>
      <c r="GR1824" s="73"/>
      <c r="GS1824" s="73"/>
      <c r="GT1824" s="73"/>
      <c r="GU1824" s="73"/>
      <c r="GV1824" s="73"/>
      <c r="GW1824" s="73"/>
      <c r="GX1824" s="73"/>
      <c r="GY1824" s="73"/>
      <c r="GZ1824" s="73"/>
      <c r="HA1824" s="73"/>
      <c r="HB1824" s="73"/>
      <c r="HC1824" s="73"/>
      <c r="HD1824" s="73"/>
      <c r="HE1824" s="73"/>
      <c r="HF1824" s="73"/>
      <c r="HG1824" s="73"/>
      <c r="HH1824" s="73"/>
      <c r="HI1824" s="73"/>
      <c r="HJ1824" s="73"/>
      <c r="HK1824" s="73"/>
      <c r="HL1824" s="73"/>
      <c r="HM1824" s="73"/>
      <c r="HN1824" s="73"/>
      <c r="HO1824" s="73"/>
      <c r="HP1824" s="73"/>
      <c r="HQ1824" s="73"/>
      <c r="HR1824" s="73"/>
      <c r="HS1824" s="73"/>
      <c r="HT1824" s="73"/>
      <c r="HU1824" s="73"/>
      <c r="HV1824" s="73"/>
      <c r="HW1824" s="73"/>
      <c r="HX1824" s="73"/>
      <c r="HY1824" s="73"/>
      <c r="HZ1824" s="73"/>
      <c r="IA1824" s="73"/>
      <c r="IB1824" s="73"/>
      <c r="IC1824" s="73"/>
      <c r="ID1824" s="73"/>
      <c r="IE1824" s="73"/>
      <c r="IF1824" s="73"/>
      <c r="IG1824" s="73"/>
      <c r="IH1824" s="73"/>
      <c r="II1824" s="73"/>
      <c r="IJ1824" s="73"/>
      <c r="IK1824" s="73"/>
      <c r="IL1824" s="73"/>
      <c r="IM1824" s="73"/>
      <c r="IN1824" s="73"/>
      <c r="IO1824" s="73"/>
      <c r="IP1824" s="73"/>
      <c r="IQ1824" s="73"/>
      <c r="IR1824" s="73"/>
      <c r="IS1824" s="73"/>
      <c r="IT1824" s="73"/>
      <c r="IU1824" s="73"/>
      <c r="IV1824" s="73"/>
      <c r="IW1824" s="73"/>
      <c r="IX1824" s="73"/>
      <c r="IY1824" s="73"/>
      <c r="IZ1824" s="73"/>
      <c r="JA1824" s="73"/>
      <c r="JB1824" s="73"/>
      <c r="JC1824" s="73"/>
    </row>
    <row r="1825" spans="2:263" s="72" customFormat="1">
      <c r="B1825" s="73"/>
      <c r="C1825" s="73"/>
      <c r="D1825" s="73"/>
      <c r="E1825" s="73"/>
      <c r="F1825" s="73"/>
      <c r="G1825" s="73"/>
      <c r="H1825" s="73"/>
      <c r="I1825" s="73"/>
      <c r="J1825" s="73"/>
      <c r="K1825" s="73"/>
      <c r="L1825" s="73"/>
      <c r="M1825" s="73"/>
      <c r="N1825" s="73"/>
      <c r="O1825" s="73"/>
      <c r="P1825" s="73"/>
      <c r="Q1825" s="73"/>
      <c r="R1825" s="73"/>
      <c r="S1825" s="73"/>
      <c r="T1825" s="73"/>
      <c r="U1825" s="73"/>
      <c r="V1825" s="73"/>
      <c r="W1825" s="73"/>
      <c r="GL1825" s="73"/>
      <c r="GM1825" s="73"/>
      <c r="GN1825" s="73"/>
      <c r="GO1825" s="73"/>
      <c r="GP1825" s="73"/>
      <c r="GQ1825" s="73"/>
      <c r="GR1825" s="73"/>
      <c r="GS1825" s="73"/>
      <c r="GT1825" s="73"/>
      <c r="GU1825" s="73"/>
      <c r="GV1825" s="73"/>
      <c r="GW1825" s="73"/>
      <c r="GX1825" s="73"/>
      <c r="GY1825" s="73"/>
      <c r="GZ1825" s="73"/>
      <c r="HA1825" s="73"/>
      <c r="HB1825" s="73"/>
      <c r="HC1825" s="73"/>
      <c r="HD1825" s="73"/>
      <c r="HE1825" s="73"/>
      <c r="HF1825" s="73"/>
      <c r="HG1825" s="73"/>
      <c r="HH1825" s="73"/>
      <c r="HI1825" s="73"/>
      <c r="HJ1825" s="73"/>
      <c r="HK1825" s="73"/>
      <c r="HL1825" s="73"/>
      <c r="HM1825" s="73"/>
      <c r="HN1825" s="73"/>
      <c r="HO1825" s="73"/>
      <c r="HP1825" s="73"/>
      <c r="HQ1825" s="73"/>
      <c r="HR1825" s="73"/>
      <c r="HS1825" s="73"/>
      <c r="HT1825" s="73"/>
      <c r="HU1825" s="73"/>
      <c r="HV1825" s="73"/>
      <c r="HW1825" s="73"/>
      <c r="HX1825" s="73"/>
      <c r="HY1825" s="73"/>
      <c r="HZ1825" s="73"/>
      <c r="IA1825" s="73"/>
      <c r="IB1825" s="73"/>
      <c r="IC1825" s="73"/>
      <c r="ID1825" s="73"/>
      <c r="IE1825" s="73"/>
      <c r="IF1825" s="73"/>
      <c r="IG1825" s="73"/>
      <c r="IH1825" s="73"/>
      <c r="II1825" s="73"/>
      <c r="IJ1825" s="73"/>
      <c r="IK1825" s="73"/>
      <c r="IL1825" s="73"/>
      <c r="IM1825" s="73"/>
      <c r="IN1825" s="73"/>
      <c r="IO1825" s="73"/>
      <c r="IP1825" s="73"/>
      <c r="IQ1825" s="73"/>
      <c r="IR1825" s="73"/>
      <c r="IS1825" s="73"/>
      <c r="IT1825" s="73"/>
      <c r="IU1825" s="73"/>
      <c r="IV1825" s="73"/>
      <c r="IW1825" s="73"/>
      <c r="IX1825" s="73"/>
      <c r="IY1825" s="73"/>
      <c r="IZ1825" s="73"/>
      <c r="JA1825" s="73"/>
      <c r="JB1825" s="73"/>
      <c r="JC1825" s="73"/>
    </row>
    <row r="1826" spans="2:263" s="72" customFormat="1">
      <c r="B1826" s="73"/>
      <c r="C1826" s="73"/>
      <c r="D1826" s="73"/>
      <c r="E1826" s="73"/>
      <c r="F1826" s="73"/>
      <c r="G1826" s="73"/>
      <c r="H1826" s="73"/>
      <c r="I1826" s="73"/>
      <c r="J1826" s="73"/>
      <c r="K1826" s="73"/>
      <c r="L1826" s="73"/>
      <c r="M1826" s="73"/>
      <c r="N1826" s="73"/>
      <c r="O1826" s="73"/>
      <c r="P1826" s="73"/>
      <c r="Q1826" s="73"/>
      <c r="R1826" s="73"/>
      <c r="S1826" s="73"/>
      <c r="T1826" s="73"/>
      <c r="U1826" s="73"/>
      <c r="V1826" s="73"/>
      <c r="W1826" s="73"/>
      <c r="GL1826" s="73"/>
      <c r="GM1826" s="73"/>
      <c r="GN1826" s="73"/>
      <c r="GO1826" s="73"/>
      <c r="GP1826" s="73"/>
      <c r="GQ1826" s="73"/>
      <c r="GR1826" s="73"/>
      <c r="GS1826" s="73"/>
      <c r="GT1826" s="73"/>
      <c r="GU1826" s="73"/>
      <c r="GV1826" s="73"/>
      <c r="GW1826" s="73"/>
      <c r="GX1826" s="73"/>
      <c r="GY1826" s="73"/>
      <c r="GZ1826" s="73"/>
      <c r="HA1826" s="73"/>
      <c r="HB1826" s="73"/>
      <c r="HC1826" s="73"/>
      <c r="HD1826" s="73"/>
      <c r="HE1826" s="73"/>
      <c r="HF1826" s="73"/>
      <c r="HG1826" s="73"/>
      <c r="HH1826" s="73"/>
      <c r="HI1826" s="73"/>
      <c r="HJ1826" s="73"/>
      <c r="HK1826" s="73"/>
      <c r="HL1826" s="73"/>
      <c r="HM1826" s="73"/>
      <c r="HN1826" s="73"/>
      <c r="HO1826" s="73"/>
      <c r="HP1826" s="73"/>
      <c r="HQ1826" s="73"/>
      <c r="HR1826" s="73"/>
      <c r="HS1826" s="73"/>
      <c r="HT1826" s="73"/>
      <c r="HU1826" s="73"/>
      <c r="HV1826" s="73"/>
      <c r="HW1826" s="73"/>
      <c r="HX1826" s="73"/>
      <c r="HY1826" s="73"/>
      <c r="HZ1826" s="73"/>
      <c r="IA1826" s="73"/>
      <c r="IB1826" s="73"/>
      <c r="IC1826" s="73"/>
      <c r="ID1826" s="73"/>
      <c r="IE1826" s="73"/>
      <c r="IF1826" s="73"/>
      <c r="IG1826" s="73"/>
      <c r="IH1826" s="73"/>
      <c r="II1826" s="73"/>
      <c r="IJ1826" s="73"/>
      <c r="IK1826" s="73"/>
      <c r="IL1826" s="73"/>
      <c r="IM1826" s="73"/>
      <c r="IN1826" s="73"/>
      <c r="IO1826" s="73"/>
      <c r="IP1826" s="73"/>
      <c r="IQ1826" s="73"/>
      <c r="IR1826" s="73"/>
      <c r="IS1826" s="73"/>
      <c r="IT1826" s="73"/>
      <c r="IU1826" s="73"/>
      <c r="IV1826" s="73"/>
      <c r="IW1826" s="73"/>
      <c r="IX1826" s="73"/>
      <c r="IY1826" s="73"/>
      <c r="IZ1826" s="73"/>
      <c r="JA1826" s="73"/>
      <c r="JB1826" s="73"/>
      <c r="JC1826" s="73"/>
    </row>
    <row r="1827" spans="2:263" s="72" customFormat="1">
      <c r="B1827" s="73"/>
      <c r="C1827" s="73"/>
      <c r="D1827" s="73"/>
      <c r="E1827" s="73"/>
      <c r="F1827" s="73"/>
      <c r="G1827" s="73"/>
      <c r="H1827" s="73"/>
      <c r="I1827" s="73"/>
      <c r="J1827" s="73"/>
      <c r="K1827" s="73"/>
      <c r="L1827" s="73"/>
      <c r="M1827" s="73"/>
      <c r="N1827" s="73"/>
      <c r="O1827" s="73"/>
      <c r="P1827" s="73"/>
      <c r="Q1827" s="73"/>
      <c r="R1827" s="73"/>
      <c r="S1827" s="73"/>
      <c r="T1827" s="73"/>
      <c r="U1827" s="73"/>
      <c r="V1827" s="73"/>
      <c r="W1827" s="73"/>
      <c r="GL1827" s="73"/>
      <c r="GM1827" s="73"/>
      <c r="GN1827" s="73"/>
      <c r="GO1827" s="73"/>
      <c r="GP1827" s="73"/>
      <c r="GQ1827" s="73"/>
      <c r="GR1827" s="73"/>
      <c r="GS1827" s="73"/>
      <c r="GT1827" s="73"/>
      <c r="GU1827" s="73"/>
      <c r="GV1827" s="73"/>
      <c r="GW1827" s="73"/>
      <c r="GX1827" s="73"/>
      <c r="GY1827" s="73"/>
      <c r="GZ1827" s="73"/>
      <c r="HA1827" s="73"/>
      <c r="HB1827" s="73"/>
      <c r="HC1827" s="73"/>
      <c r="HD1827" s="73"/>
      <c r="HE1827" s="73"/>
      <c r="HF1827" s="73"/>
      <c r="HG1827" s="73"/>
      <c r="HH1827" s="73"/>
      <c r="HI1827" s="73"/>
      <c r="HJ1827" s="73"/>
      <c r="HK1827" s="73"/>
      <c r="HL1827" s="73"/>
      <c r="HM1827" s="73"/>
      <c r="HN1827" s="73"/>
      <c r="HO1827" s="73"/>
      <c r="HP1827" s="73"/>
      <c r="HQ1827" s="73"/>
      <c r="HR1827" s="73"/>
      <c r="HS1827" s="73"/>
      <c r="HT1827" s="73"/>
      <c r="HU1827" s="73"/>
      <c r="HV1827" s="73"/>
      <c r="HW1827" s="73"/>
      <c r="HX1827" s="73"/>
      <c r="HY1827" s="73"/>
      <c r="HZ1827" s="73"/>
      <c r="IA1827" s="73"/>
      <c r="IB1827" s="73"/>
      <c r="IC1827" s="73"/>
      <c r="ID1827" s="73"/>
      <c r="IE1827" s="73"/>
      <c r="IF1827" s="73"/>
      <c r="IG1827" s="73"/>
      <c r="IH1827" s="73"/>
      <c r="II1827" s="73"/>
      <c r="IJ1827" s="73"/>
      <c r="IK1827" s="73"/>
      <c r="IL1827" s="73"/>
      <c r="IM1827" s="73"/>
      <c r="IN1827" s="73"/>
      <c r="IO1827" s="73"/>
      <c r="IP1827" s="73"/>
      <c r="IQ1827" s="73"/>
      <c r="IR1827" s="73"/>
      <c r="IS1827" s="73"/>
      <c r="IT1827" s="73"/>
      <c r="IU1827" s="73"/>
      <c r="IV1827" s="73"/>
      <c r="IW1827" s="73"/>
      <c r="IX1827" s="73"/>
      <c r="IY1827" s="73"/>
      <c r="IZ1827" s="73"/>
      <c r="JA1827" s="73"/>
      <c r="JB1827" s="73"/>
      <c r="JC1827" s="73"/>
    </row>
    <row r="1828" spans="2:263" s="72" customFormat="1">
      <c r="B1828" s="73"/>
      <c r="C1828" s="73"/>
      <c r="D1828" s="73"/>
      <c r="E1828" s="73"/>
      <c r="F1828" s="73"/>
      <c r="G1828" s="73"/>
      <c r="H1828" s="73"/>
      <c r="I1828" s="73"/>
      <c r="J1828" s="73"/>
      <c r="K1828" s="73"/>
      <c r="L1828" s="73"/>
      <c r="M1828" s="73"/>
      <c r="N1828" s="73"/>
      <c r="O1828" s="73"/>
      <c r="P1828" s="73"/>
      <c r="Q1828" s="73"/>
      <c r="R1828" s="73"/>
      <c r="S1828" s="73"/>
      <c r="T1828" s="73"/>
      <c r="U1828" s="73"/>
      <c r="V1828" s="73"/>
      <c r="W1828" s="73"/>
      <c r="GL1828" s="73"/>
      <c r="GM1828" s="73"/>
      <c r="GN1828" s="73"/>
      <c r="GO1828" s="73"/>
      <c r="GP1828" s="73"/>
      <c r="GQ1828" s="73"/>
      <c r="GR1828" s="73"/>
      <c r="GS1828" s="73"/>
      <c r="GT1828" s="73"/>
      <c r="GU1828" s="73"/>
      <c r="GV1828" s="73"/>
      <c r="GW1828" s="73"/>
      <c r="GX1828" s="73"/>
      <c r="GY1828" s="73"/>
      <c r="GZ1828" s="73"/>
      <c r="HA1828" s="73"/>
      <c r="HB1828" s="73"/>
      <c r="HC1828" s="73"/>
      <c r="HD1828" s="73"/>
      <c r="HE1828" s="73"/>
      <c r="HF1828" s="73"/>
      <c r="HG1828" s="73"/>
      <c r="HH1828" s="73"/>
      <c r="HI1828" s="73"/>
      <c r="HJ1828" s="73"/>
      <c r="HK1828" s="73"/>
      <c r="HL1828" s="73"/>
      <c r="HM1828" s="73"/>
      <c r="HN1828" s="73"/>
      <c r="HO1828" s="73"/>
      <c r="HP1828" s="73"/>
      <c r="HQ1828" s="73"/>
      <c r="HR1828" s="73"/>
      <c r="HS1828" s="73"/>
      <c r="HT1828" s="73"/>
      <c r="HU1828" s="73"/>
      <c r="HV1828" s="73"/>
      <c r="HW1828" s="73"/>
      <c r="HX1828" s="73"/>
      <c r="HY1828" s="73"/>
      <c r="HZ1828" s="73"/>
      <c r="IA1828" s="73"/>
      <c r="IB1828" s="73"/>
      <c r="IC1828" s="73"/>
      <c r="ID1828" s="73"/>
      <c r="IE1828" s="73"/>
      <c r="IF1828" s="73"/>
      <c r="IG1828" s="73"/>
      <c r="IH1828" s="73"/>
      <c r="II1828" s="73"/>
      <c r="IJ1828" s="73"/>
      <c r="IK1828" s="73"/>
      <c r="IL1828" s="73"/>
      <c r="IM1828" s="73"/>
      <c r="IN1828" s="73"/>
      <c r="IO1828" s="73"/>
      <c r="IP1828" s="73"/>
      <c r="IQ1828" s="73"/>
      <c r="IR1828" s="73"/>
      <c r="IS1828" s="73"/>
      <c r="IT1828" s="73"/>
      <c r="IU1828" s="73"/>
      <c r="IV1828" s="73"/>
      <c r="IW1828" s="73"/>
      <c r="IX1828" s="73"/>
      <c r="IY1828" s="73"/>
      <c r="IZ1828" s="73"/>
      <c r="JA1828" s="73"/>
      <c r="JB1828" s="73"/>
      <c r="JC1828" s="73"/>
    </row>
    <row r="1829" spans="2:263" s="72" customFormat="1">
      <c r="B1829" s="73"/>
      <c r="C1829" s="73"/>
      <c r="D1829" s="73"/>
      <c r="E1829" s="73"/>
      <c r="F1829" s="73"/>
      <c r="G1829" s="73"/>
      <c r="H1829" s="73"/>
      <c r="I1829" s="73"/>
      <c r="J1829" s="73"/>
      <c r="K1829" s="73"/>
      <c r="L1829" s="73"/>
      <c r="M1829" s="73"/>
      <c r="N1829" s="73"/>
      <c r="O1829" s="73"/>
      <c r="P1829" s="73"/>
      <c r="Q1829" s="73"/>
      <c r="R1829" s="73"/>
      <c r="S1829" s="73"/>
      <c r="T1829" s="73"/>
      <c r="U1829" s="73"/>
      <c r="V1829" s="73"/>
      <c r="W1829" s="73"/>
      <c r="GL1829" s="73"/>
      <c r="GM1829" s="73"/>
      <c r="GN1829" s="73"/>
      <c r="GO1829" s="73"/>
      <c r="GP1829" s="73"/>
      <c r="GQ1829" s="73"/>
      <c r="GR1829" s="73"/>
      <c r="GS1829" s="73"/>
      <c r="GT1829" s="73"/>
      <c r="GU1829" s="73"/>
      <c r="GV1829" s="73"/>
      <c r="GW1829" s="73"/>
      <c r="GX1829" s="73"/>
      <c r="GY1829" s="73"/>
      <c r="GZ1829" s="73"/>
      <c r="HA1829" s="73"/>
      <c r="HB1829" s="73"/>
      <c r="HC1829" s="73"/>
      <c r="HD1829" s="73"/>
      <c r="HE1829" s="73"/>
      <c r="HF1829" s="73"/>
      <c r="HG1829" s="73"/>
      <c r="HH1829" s="73"/>
      <c r="HI1829" s="73"/>
      <c r="HJ1829" s="73"/>
      <c r="HK1829" s="73"/>
      <c r="HL1829" s="73"/>
      <c r="HM1829" s="73"/>
      <c r="HN1829" s="73"/>
      <c r="HO1829" s="73"/>
      <c r="HP1829" s="73"/>
      <c r="HQ1829" s="73"/>
      <c r="HR1829" s="73"/>
      <c r="HS1829" s="73"/>
      <c r="HT1829" s="73"/>
      <c r="HU1829" s="73"/>
      <c r="HV1829" s="73"/>
      <c r="HW1829" s="73"/>
      <c r="HX1829" s="73"/>
      <c r="HY1829" s="73"/>
      <c r="HZ1829" s="73"/>
      <c r="IA1829" s="73"/>
      <c r="IB1829" s="73"/>
      <c r="IC1829" s="73"/>
      <c r="ID1829" s="73"/>
      <c r="IE1829" s="73"/>
      <c r="IF1829" s="73"/>
      <c r="IG1829" s="73"/>
      <c r="IH1829" s="73"/>
      <c r="II1829" s="73"/>
      <c r="IJ1829" s="73"/>
      <c r="IK1829" s="73"/>
      <c r="IL1829" s="73"/>
      <c r="IM1829" s="73"/>
      <c r="IN1829" s="73"/>
      <c r="IO1829" s="73"/>
      <c r="IP1829" s="73"/>
      <c r="IQ1829" s="73"/>
      <c r="IR1829" s="73"/>
      <c r="IS1829" s="73"/>
      <c r="IT1829" s="73"/>
      <c r="IU1829" s="73"/>
      <c r="IV1829" s="73"/>
      <c r="IW1829" s="73"/>
      <c r="IX1829" s="73"/>
      <c r="IY1829" s="73"/>
      <c r="IZ1829" s="73"/>
      <c r="JA1829" s="73"/>
      <c r="JB1829" s="73"/>
      <c r="JC1829" s="73"/>
    </row>
    <row r="1830" spans="2:263" s="72" customFormat="1">
      <c r="B1830" s="73"/>
      <c r="C1830" s="73"/>
      <c r="D1830" s="73"/>
      <c r="E1830" s="73"/>
      <c r="F1830" s="73"/>
      <c r="G1830" s="73"/>
      <c r="H1830" s="73"/>
      <c r="I1830" s="73"/>
      <c r="J1830" s="73"/>
      <c r="K1830" s="73"/>
      <c r="L1830" s="73"/>
      <c r="M1830" s="73"/>
      <c r="N1830" s="73"/>
      <c r="O1830" s="73"/>
      <c r="P1830" s="73"/>
      <c r="Q1830" s="73"/>
      <c r="R1830" s="73"/>
      <c r="S1830" s="73"/>
      <c r="T1830" s="73"/>
      <c r="U1830" s="73"/>
      <c r="V1830" s="73"/>
      <c r="W1830" s="73"/>
      <c r="GL1830" s="73"/>
      <c r="GM1830" s="73"/>
      <c r="GN1830" s="73"/>
      <c r="GO1830" s="73"/>
      <c r="GP1830" s="73"/>
      <c r="GQ1830" s="73"/>
      <c r="GR1830" s="73"/>
      <c r="GS1830" s="73"/>
      <c r="GT1830" s="73"/>
      <c r="GU1830" s="73"/>
      <c r="GV1830" s="73"/>
      <c r="GW1830" s="73"/>
      <c r="GX1830" s="73"/>
      <c r="GY1830" s="73"/>
      <c r="GZ1830" s="73"/>
      <c r="HA1830" s="73"/>
      <c r="HB1830" s="73"/>
      <c r="HC1830" s="73"/>
      <c r="HD1830" s="73"/>
      <c r="HE1830" s="73"/>
      <c r="HF1830" s="73"/>
      <c r="HG1830" s="73"/>
      <c r="HH1830" s="73"/>
      <c r="HI1830" s="73"/>
      <c r="HJ1830" s="73"/>
      <c r="HK1830" s="73"/>
      <c r="HL1830" s="73"/>
      <c r="HM1830" s="73"/>
      <c r="HN1830" s="73"/>
      <c r="HO1830" s="73"/>
      <c r="HP1830" s="73"/>
      <c r="HQ1830" s="73"/>
      <c r="HR1830" s="73"/>
      <c r="HS1830" s="73"/>
      <c r="HT1830" s="73"/>
      <c r="HU1830" s="73"/>
      <c r="HV1830" s="73"/>
      <c r="HW1830" s="73"/>
      <c r="HX1830" s="73"/>
      <c r="HY1830" s="73"/>
      <c r="HZ1830" s="73"/>
      <c r="IA1830" s="73"/>
      <c r="IB1830" s="73"/>
      <c r="IC1830" s="73"/>
      <c r="ID1830" s="73"/>
      <c r="IE1830" s="73"/>
      <c r="IF1830" s="73"/>
      <c r="IG1830" s="73"/>
      <c r="IH1830" s="73"/>
      <c r="II1830" s="73"/>
      <c r="IJ1830" s="73"/>
      <c r="IK1830" s="73"/>
      <c r="IL1830" s="73"/>
      <c r="IM1830" s="73"/>
      <c r="IN1830" s="73"/>
      <c r="IO1830" s="73"/>
      <c r="IP1830" s="73"/>
      <c r="IQ1830" s="73"/>
      <c r="IR1830" s="73"/>
      <c r="IS1830" s="73"/>
      <c r="IT1830" s="73"/>
      <c r="IU1830" s="73"/>
      <c r="IV1830" s="73"/>
      <c r="IW1830" s="73"/>
      <c r="IX1830" s="73"/>
      <c r="IY1830" s="73"/>
      <c r="IZ1830" s="73"/>
      <c r="JA1830" s="73"/>
      <c r="JB1830" s="73"/>
      <c r="JC1830" s="73"/>
    </row>
    <row r="1831" spans="2:263" s="72" customFormat="1">
      <c r="B1831" s="73"/>
      <c r="C1831" s="73"/>
      <c r="D1831" s="73"/>
      <c r="E1831" s="73"/>
      <c r="F1831" s="73"/>
      <c r="G1831" s="73"/>
      <c r="H1831" s="73"/>
      <c r="I1831" s="73"/>
      <c r="J1831" s="73"/>
      <c r="K1831" s="73"/>
      <c r="L1831" s="73"/>
      <c r="M1831" s="73"/>
      <c r="N1831" s="73"/>
      <c r="O1831" s="73"/>
      <c r="P1831" s="73"/>
      <c r="Q1831" s="73"/>
      <c r="R1831" s="73"/>
      <c r="S1831" s="73"/>
      <c r="T1831" s="73"/>
      <c r="U1831" s="73"/>
      <c r="V1831" s="73"/>
      <c r="W1831" s="73"/>
      <c r="GL1831" s="73"/>
      <c r="GM1831" s="73"/>
      <c r="GN1831" s="73"/>
      <c r="GO1831" s="73"/>
      <c r="GP1831" s="73"/>
      <c r="GQ1831" s="73"/>
      <c r="GR1831" s="73"/>
      <c r="GS1831" s="73"/>
      <c r="GT1831" s="73"/>
      <c r="GU1831" s="73"/>
      <c r="GV1831" s="73"/>
      <c r="GW1831" s="73"/>
      <c r="GX1831" s="73"/>
      <c r="GY1831" s="73"/>
      <c r="GZ1831" s="73"/>
      <c r="HA1831" s="73"/>
      <c r="HB1831" s="73"/>
      <c r="HC1831" s="73"/>
      <c r="HD1831" s="73"/>
      <c r="HE1831" s="73"/>
      <c r="HF1831" s="73"/>
      <c r="HG1831" s="73"/>
      <c r="HH1831" s="73"/>
      <c r="HI1831" s="73"/>
      <c r="HJ1831" s="73"/>
      <c r="HK1831" s="73"/>
      <c r="HL1831" s="73"/>
      <c r="HM1831" s="73"/>
      <c r="HN1831" s="73"/>
      <c r="HO1831" s="73"/>
      <c r="HP1831" s="73"/>
      <c r="HQ1831" s="73"/>
      <c r="HR1831" s="73"/>
      <c r="HS1831" s="73"/>
      <c r="HT1831" s="73"/>
      <c r="HU1831" s="73"/>
      <c r="HV1831" s="73"/>
      <c r="HW1831" s="73"/>
      <c r="HX1831" s="73"/>
      <c r="HY1831" s="73"/>
      <c r="HZ1831" s="73"/>
      <c r="IA1831" s="73"/>
      <c r="IB1831" s="73"/>
      <c r="IC1831" s="73"/>
      <c r="ID1831" s="73"/>
      <c r="IE1831" s="73"/>
      <c r="IF1831" s="73"/>
      <c r="IG1831" s="73"/>
      <c r="IH1831" s="73"/>
      <c r="II1831" s="73"/>
      <c r="IJ1831" s="73"/>
      <c r="IK1831" s="73"/>
      <c r="IL1831" s="73"/>
      <c r="IM1831" s="73"/>
      <c r="IN1831" s="73"/>
      <c r="IO1831" s="73"/>
      <c r="IP1831" s="73"/>
      <c r="IQ1831" s="73"/>
      <c r="IR1831" s="73"/>
      <c r="IS1831" s="73"/>
      <c r="IT1831" s="73"/>
      <c r="IU1831" s="73"/>
      <c r="IV1831" s="73"/>
      <c r="IW1831" s="73"/>
      <c r="IX1831" s="73"/>
      <c r="IY1831" s="73"/>
      <c r="IZ1831" s="73"/>
      <c r="JA1831" s="73"/>
      <c r="JB1831" s="73"/>
      <c r="JC1831" s="73"/>
    </row>
    <row r="1832" spans="2:263" s="72" customFormat="1">
      <c r="B1832" s="73"/>
      <c r="C1832" s="73"/>
      <c r="D1832" s="73"/>
      <c r="E1832" s="73"/>
      <c r="F1832" s="73"/>
      <c r="G1832" s="73"/>
      <c r="H1832" s="73"/>
      <c r="I1832" s="73"/>
      <c r="J1832" s="73"/>
      <c r="K1832" s="73"/>
      <c r="L1832" s="73"/>
      <c r="M1832" s="73"/>
      <c r="N1832" s="73"/>
      <c r="O1832" s="73"/>
      <c r="P1832" s="73"/>
      <c r="Q1832" s="73"/>
      <c r="R1832" s="73"/>
      <c r="S1832" s="73"/>
      <c r="T1832" s="73"/>
      <c r="U1832" s="73"/>
      <c r="V1832" s="73"/>
      <c r="W1832" s="73"/>
      <c r="GL1832" s="73"/>
      <c r="GM1832" s="73"/>
      <c r="GN1832" s="73"/>
      <c r="GO1832" s="73"/>
      <c r="GP1832" s="73"/>
      <c r="GQ1832" s="73"/>
      <c r="GR1832" s="73"/>
      <c r="GS1832" s="73"/>
      <c r="GT1832" s="73"/>
      <c r="GU1832" s="73"/>
      <c r="GV1832" s="73"/>
      <c r="GW1832" s="73"/>
      <c r="GX1832" s="73"/>
      <c r="GY1832" s="73"/>
      <c r="GZ1832" s="73"/>
      <c r="HA1832" s="73"/>
      <c r="HB1832" s="73"/>
      <c r="HC1832" s="73"/>
      <c r="HD1832" s="73"/>
      <c r="HE1832" s="73"/>
      <c r="HF1832" s="73"/>
      <c r="HG1832" s="73"/>
      <c r="HH1832" s="73"/>
      <c r="HI1832" s="73"/>
      <c r="HJ1832" s="73"/>
      <c r="HK1832" s="73"/>
      <c r="HL1832" s="73"/>
      <c r="HM1832" s="73"/>
      <c r="HN1832" s="73"/>
      <c r="HO1832" s="73"/>
      <c r="HP1832" s="73"/>
      <c r="HQ1832" s="73"/>
      <c r="HR1832" s="73"/>
      <c r="HS1832" s="73"/>
      <c r="HT1832" s="73"/>
      <c r="HU1832" s="73"/>
      <c r="HV1832" s="73"/>
      <c r="HW1832" s="73"/>
      <c r="HX1832" s="73"/>
      <c r="HY1832" s="73"/>
      <c r="HZ1832" s="73"/>
      <c r="IA1832" s="73"/>
      <c r="IB1832" s="73"/>
      <c r="IC1832" s="73"/>
      <c r="ID1832" s="73"/>
      <c r="IE1832" s="73"/>
      <c r="IF1832" s="73"/>
      <c r="IG1832" s="73"/>
      <c r="IH1832" s="73"/>
      <c r="II1832" s="73"/>
      <c r="IJ1832" s="73"/>
      <c r="IK1832" s="73"/>
      <c r="IL1832" s="73"/>
      <c r="IM1832" s="73"/>
      <c r="IN1832" s="73"/>
      <c r="IO1832" s="73"/>
      <c r="IP1832" s="73"/>
      <c r="IQ1832" s="73"/>
      <c r="IR1832" s="73"/>
      <c r="IS1832" s="73"/>
      <c r="IT1832" s="73"/>
      <c r="IU1832" s="73"/>
      <c r="IV1832" s="73"/>
      <c r="IW1832" s="73"/>
      <c r="IX1832" s="73"/>
      <c r="IY1832" s="73"/>
      <c r="IZ1832" s="73"/>
      <c r="JA1832" s="73"/>
      <c r="JB1832" s="73"/>
      <c r="JC1832" s="73"/>
    </row>
    <row r="1833" spans="2:263" s="72" customFormat="1">
      <c r="B1833" s="73"/>
      <c r="C1833" s="73"/>
      <c r="D1833" s="73"/>
      <c r="E1833" s="73"/>
      <c r="F1833" s="73"/>
      <c r="G1833" s="73"/>
      <c r="H1833" s="73"/>
      <c r="I1833" s="73"/>
      <c r="J1833" s="73"/>
      <c r="K1833" s="73"/>
      <c r="L1833" s="73"/>
      <c r="M1833" s="73"/>
      <c r="N1833" s="73"/>
      <c r="O1833" s="73"/>
      <c r="P1833" s="73"/>
      <c r="Q1833" s="73"/>
      <c r="R1833" s="73"/>
      <c r="S1833" s="73"/>
      <c r="T1833" s="73"/>
      <c r="U1833" s="73"/>
      <c r="V1833" s="73"/>
      <c r="W1833" s="73"/>
      <c r="GL1833" s="73"/>
      <c r="GM1833" s="73"/>
      <c r="GN1833" s="73"/>
      <c r="GO1833" s="73"/>
      <c r="GP1833" s="73"/>
      <c r="GQ1833" s="73"/>
      <c r="GR1833" s="73"/>
      <c r="GS1833" s="73"/>
      <c r="GT1833" s="73"/>
      <c r="GU1833" s="73"/>
      <c r="GV1833" s="73"/>
      <c r="GW1833" s="73"/>
      <c r="GX1833" s="73"/>
      <c r="GY1833" s="73"/>
      <c r="GZ1833" s="73"/>
      <c r="HA1833" s="73"/>
      <c r="HB1833" s="73"/>
      <c r="HC1833" s="73"/>
      <c r="HD1833" s="73"/>
      <c r="HE1833" s="73"/>
      <c r="HF1833" s="73"/>
      <c r="HG1833" s="73"/>
      <c r="HH1833" s="73"/>
      <c r="HI1833" s="73"/>
      <c r="HJ1833" s="73"/>
      <c r="HK1833" s="73"/>
      <c r="HL1833" s="73"/>
      <c r="HM1833" s="73"/>
      <c r="HN1833" s="73"/>
      <c r="HO1833" s="73"/>
      <c r="HP1833" s="73"/>
      <c r="HQ1833" s="73"/>
      <c r="HR1833" s="73"/>
      <c r="HS1833" s="73"/>
      <c r="HT1833" s="73"/>
      <c r="HU1833" s="73"/>
      <c r="HV1833" s="73"/>
      <c r="HW1833" s="73"/>
      <c r="HX1833" s="73"/>
      <c r="HY1833" s="73"/>
      <c r="HZ1833" s="73"/>
      <c r="IA1833" s="73"/>
      <c r="IB1833" s="73"/>
      <c r="IC1833" s="73"/>
      <c r="ID1833" s="73"/>
      <c r="IE1833" s="73"/>
      <c r="IF1833" s="73"/>
      <c r="IG1833" s="73"/>
      <c r="IH1833" s="73"/>
      <c r="II1833" s="73"/>
      <c r="IJ1833" s="73"/>
      <c r="IK1833" s="73"/>
      <c r="IL1833" s="73"/>
      <c r="IM1833" s="73"/>
      <c r="IN1833" s="73"/>
      <c r="IO1833" s="73"/>
      <c r="IP1833" s="73"/>
      <c r="IQ1833" s="73"/>
      <c r="IR1833" s="73"/>
      <c r="IS1833" s="73"/>
      <c r="IT1833" s="73"/>
      <c r="IU1833" s="73"/>
      <c r="IV1833" s="73"/>
      <c r="IW1833" s="73"/>
      <c r="IX1833" s="73"/>
      <c r="IY1833" s="73"/>
      <c r="IZ1833" s="73"/>
      <c r="JA1833" s="73"/>
      <c r="JB1833" s="73"/>
      <c r="JC1833" s="73"/>
    </row>
    <row r="1834" spans="2:263" s="72" customFormat="1">
      <c r="B1834" s="73"/>
      <c r="C1834" s="73"/>
      <c r="D1834" s="73"/>
      <c r="E1834" s="73"/>
      <c r="F1834" s="73"/>
      <c r="G1834" s="73"/>
      <c r="H1834" s="73"/>
      <c r="I1834" s="73"/>
      <c r="J1834" s="73"/>
      <c r="K1834" s="73"/>
      <c r="L1834" s="73"/>
      <c r="M1834" s="73"/>
      <c r="N1834" s="73"/>
      <c r="O1834" s="73"/>
      <c r="P1834" s="73"/>
      <c r="Q1834" s="73"/>
      <c r="R1834" s="73"/>
      <c r="S1834" s="73"/>
      <c r="T1834" s="73"/>
      <c r="U1834" s="73"/>
      <c r="V1834" s="73"/>
      <c r="W1834" s="73"/>
      <c r="GL1834" s="73"/>
      <c r="GM1834" s="73"/>
      <c r="GN1834" s="73"/>
      <c r="GO1834" s="73"/>
      <c r="GP1834" s="73"/>
      <c r="GQ1834" s="73"/>
      <c r="GR1834" s="73"/>
      <c r="GS1834" s="73"/>
      <c r="GT1834" s="73"/>
      <c r="GU1834" s="73"/>
      <c r="GV1834" s="73"/>
      <c r="GW1834" s="73"/>
      <c r="GX1834" s="73"/>
      <c r="GY1834" s="73"/>
      <c r="GZ1834" s="73"/>
      <c r="HA1834" s="73"/>
      <c r="HB1834" s="73"/>
      <c r="HC1834" s="73"/>
      <c r="HD1834" s="73"/>
      <c r="HE1834" s="73"/>
      <c r="HF1834" s="73"/>
      <c r="HG1834" s="73"/>
      <c r="HH1834" s="73"/>
      <c r="HI1834" s="73"/>
      <c r="HJ1834" s="73"/>
      <c r="HK1834" s="73"/>
      <c r="HL1834" s="73"/>
      <c r="HM1834" s="73"/>
      <c r="HN1834" s="73"/>
      <c r="HO1834" s="73"/>
      <c r="HP1834" s="73"/>
      <c r="HQ1834" s="73"/>
      <c r="HR1834" s="73"/>
      <c r="HS1834" s="73"/>
      <c r="HT1834" s="73"/>
      <c r="HU1834" s="73"/>
      <c r="HV1834" s="73"/>
      <c r="HW1834" s="73"/>
      <c r="HX1834" s="73"/>
      <c r="HY1834" s="73"/>
      <c r="HZ1834" s="73"/>
      <c r="IA1834" s="73"/>
      <c r="IB1834" s="73"/>
      <c r="IC1834" s="73"/>
      <c r="ID1834" s="73"/>
      <c r="IE1834" s="73"/>
      <c r="IF1834" s="73"/>
      <c r="IG1834" s="73"/>
      <c r="IH1834" s="73"/>
      <c r="II1834" s="73"/>
      <c r="IJ1834" s="73"/>
      <c r="IK1834" s="73"/>
      <c r="IL1834" s="73"/>
      <c r="IM1834" s="73"/>
      <c r="IN1834" s="73"/>
      <c r="IO1834" s="73"/>
      <c r="IP1834" s="73"/>
      <c r="IQ1834" s="73"/>
      <c r="IR1834" s="73"/>
      <c r="IS1834" s="73"/>
      <c r="IT1834" s="73"/>
      <c r="IU1834" s="73"/>
      <c r="IV1834" s="73"/>
      <c r="IW1834" s="73"/>
      <c r="IX1834" s="73"/>
      <c r="IY1834" s="73"/>
      <c r="IZ1834" s="73"/>
      <c r="JA1834" s="73"/>
      <c r="JB1834" s="73"/>
      <c r="JC1834" s="73"/>
    </row>
    <row r="1835" spans="2:263" s="72" customFormat="1">
      <c r="B1835" s="73"/>
      <c r="C1835" s="73"/>
      <c r="D1835" s="73"/>
      <c r="E1835" s="73"/>
      <c r="F1835" s="73"/>
      <c r="G1835" s="73"/>
      <c r="H1835" s="73"/>
      <c r="I1835" s="73"/>
      <c r="J1835" s="73"/>
      <c r="K1835" s="73"/>
      <c r="L1835" s="73"/>
      <c r="M1835" s="73"/>
      <c r="N1835" s="73"/>
      <c r="O1835" s="73"/>
      <c r="P1835" s="73"/>
      <c r="Q1835" s="73"/>
      <c r="R1835" s="73"/>
      <c r="S1835" s="73"/>
      <c r="T1835" s="73"/>
      <c r="U1835" s="73"/>
      <c r="V1835" s="73"/>
      <c r="W1835" s="73"/>
      <c r="GL1835" s="73"/>
      <c r="GM1835" s="73"/>
      <c r="GN1835" s="73"/>
      <c r="GO1835" s="73"/>
      <c r="GP1835" s="73"/>
      <c r="GQ1835" s="73"/>
      <c r="GR1835" s="73"/>
      <c r="GS1835" s="73"/>
      <c r="GT1835" s="73"/>
      <c r="GU1835" s="73"/>
      <c r="GV1835" s="73"/>
      <c r="GW1835" s="73"/>
      <c r="GX1835" s="73"/>
      <c r="GY1835" s="73"/>
      <c r="GZ1835" s="73"/>
      <c r="HA1835" s="73"/>
      <c r="HB1835" s="73"/>
      <c r="HC1835" s="73"/>
      <c r="HD1835" s="73"/>
      <c r="HE1835" s="73"/>
      <c r="HF1835" s="73"/>
      <c r="HG1835" s="73"/>
      <c r="HH1835" s="73"/>
      <c r="HI1835" s="73"/>
      <c r="HJ1835" s="73"/>
      <c r="HK1835" s="73"/>
      <c r="HL1835" s="73"/>
      <c r="HM1835" s="73"/>
      <c r="HN1835" s="73"/>
      <c r="HO1835" s="73"/>
      <c r="HP1835" s="73"/>
      <c r="HQ1835" s="73"/>
      <c r="HR1835" s="73"/>
      <c r="HS1835" s="73"/>
      <c r="HT1835" s="73"/>
      <c r="HU1835" s="73"/>
      <c r="HV1835" s="73"/>
      <c r="HW1835" s="73"/>
      <c r="HX1835" s="73"/>
      <c r="HY1835" s="73"/>
      <c r="HZ1835" s="73"/>
      <c r="IA1835" s="73"/>
      <c r="IB1835" s="73"/>
      <c r="IC1835" s="73"/>
      <c r="ID1835" s="73"/>
      <c r="IE1835" s="73"/>
      <c r="IF1835" s="73"/>
      <c r="IG1835" s="73"/>
      <c r="IH1835" s="73"/>
      <c r="II1835" s="73"/>
      <c r="IJ1835" s="73"/>
      <c r="IK1835" s="73"/>
      <c r="IL1835" s="73"/>
      <c r="IM1835" s="73"/>
      <c r="IN1835" s="73"/>
      <c r="IO1835" s="73"/>
      <c r="IP1835" s="73"/>
      <c r="IQ1835" s="73"/>
      <c r="IR1835" s="73"/>
      <c r="IS1835" s="73"/>
      <c r="IT1835" s="73"/>
      <c r="IU1835" s="73"/>
      <c r="IV1835" s="73"/>
      <c r="IW1835" s="73"/>
      <c r="IX1835" s="73"/>
      <c r="IY1835" s="73"/>
      <c r="IZ1835" s="73"/>
      <c r="JA1835" s="73"/>
      <c r="JB1835" s="73"/>
      <c r="JC1835" s="73"/>
    </row>
    <row r="1836" spans="2:263" s="72" customFormat="1">
      <c r="B1836" s="73"/>
      <c r="C1836" s="73"/>
      <c r="D1836" s="73"/>
      <c r="E1836" s="73"/>
      <c r="F1836" s="73"/>
      <c r="G1836" s="73"/>
      <c r="H1836" s="73"/>
      <c r="I1836" s="73"/>
      <c r="J1836" s="73"/>
      <c r="K1836" s="73"/>
      <c r="L1836" s="73"/>
      <c r="M1836" s="73"/>
      <c r="N1836" s="73"/>
      <c r="O1836" s="73"/>
      <c r="P1836" s="73"/>
      <c r="Q1836" s="73"/>
      <c r="R1836" s="73"/>
      <c r="S1836" s="73"/>
      <c r="T1836" s="73"/>
      <c r="U1836" s="73"/>
      <c r="V1836" s="73"/>
      <c r="W1836" s="73"/>
      <c r="GL1836" s="73"/>
      <c r="GM1836" s="73"/>
      <c r="GN1836" s="73"/>
      <c r="GO1836" s="73"/>
      <c r="GP1836" s="73"/>
      <c r="GQ1836" s="73"/>
      <c r="GR1836" s="73"/>
      <c r="GS1836" s="73"/>
      <c r="GT1836" s="73"/>
      <c r="GU1836" s="73"/>
      <c r="GV1836" s="73"/>
      <c r="GW1836" s="73"/>
      <c r="GX1836" s="73"/>
      <c r="GY1836" s="73"/>
      <c r="GZ1836" s="73"/>
      <c r="HA1836" s="73"/>
      <c r="HB1836" s="73"/>
      <c r="HC1836" s="73"/>
      <c r="HD1836" s="73"/>
      <c r="HE1836" s="73"/>
      <c r="HF1836" s="73"/>
      <c r="HG1836" s="73"/>
      <c r="HH1836" s="73"/>
      <c r="HI1836" s="73"/>
      <c r="HJ1836" s="73"/>
      <c r="HK1836" s="73"/>
      <c r="HL1836" s="73"/>
      <c r="HM1836" s="73"/>
      <c r="HN1836" s="73"/>
      <c r="HO1836" s="73"/>
      <c r="HP1836" s="73"/>
      <c r="HQ1836" s="73"/>
      <c r="HR1836" s="73"/>
      <c r="HS1836" s="73"/>
      <c r="HT1836" s="73"/>
      <c r="HU1836" s="73"/>
      <c r="HV1836" s="73"/>
      <c r="HW1836" s="73"/>
      <c r="HX1836" s="73"/>
      <c r="HY1836" s="73"/>
      <c r="HZ1836" s="73"/>
      <c r="IA1836" s="73"/>
      <c r="IB1836" s="73"/>
      <c r="IC1836" s="73"/>
      <c r="ID1836" s="73"/>
      <c r="IE1836" s="73"/>
      <c r="IF1836" s="73"/>
      <c r="IG1836" s="73"/>
      <c r="IH1836" s="73"/>
      <c r="II1836" s="73"/>
      <c r="IJ1836" s="73"/>
      <c r="IK1836" s="73"/>
      <c r="IL1836" s="73"/>
      <c r="IM1836" s="73"/>
      <c r="IN1836" s="73"/>
      <c r="IO1836" s="73"/>
      <c r="IP1836" s="73"/>
      <c r="IQ1836" s="73"/>
      <c r="IR1836" s="73"/>
      <c r="IS1836" s="73"/>
      <c r="IT1836" s="73"/>
      <c r="IU1836" s="73"/>
      <c r="IV1836" s="73"/>
      <c r="IW1836" s="73"/>
      <c r="IX1836" s="73"/>
      <c r="IY1836" s="73"/>
      <c r="IZ1836" s="73"/>
      <c r="JA1836" s="73"/>
      <c r="JB1836" s="73"/>
      <c r="JC1836" s="73"/>
    </row>
    <row r="1837" spans="2:263" s="72" customFormat="1">
      <c r="B1837" s="73"/>
      <c r="C1837" s="73"/>
      <c r="D1837" s="73"/>
      <c r="E1837" s="73"/>
      <c r="F1837" s="73"/>
      <c r="G1837" s="73"/>
      <c r="H1837" s="73"/>
      <c r="I1837" s="73"/>
      <c r="J1837" s="73"/>
      <c r="K1837" s="73"/>
      <c r="L1837" s="73"/>
      <c r="M1837" s="73"/>
      <c r="N1837" s="73"/>
      <c r="O1837" s="73"/>
      <c r="P1837" s="73"/>
      <c r="Q1837" s="73"/>
      <c r="R1837" s="73"/>
      <c r="S1837" s="73"/>
      <c r="T1837" s="73"/>
      <c r="U1837" s="73"/>
      <c r="V1837" s="73"/>
      <c r="W1837" s="73"/>
      <c r="GL1837" s="73"/>
      <c r="GM1837" s="73"/>
      <c r="GN1837" s="73"/>
      <c r="GO1837" s="73"/>
      <c r="GP1837" s="73"/>
      <c r="GQ1837" s="73"/>
      <c r="GR1837" s="73"/>
      <c r="GS1837" s="73"/>
      <c r="GT1837" s="73"/>
      <c r="GU1837" s="73"/>
      <c r="GV1837" s="73"/>
      <c r="GW1837" s="73"/>
      <c r="GX1837" s="73"/>
      <c r="GY1837" s="73"/>
      <c r="GZ1837" s="73"/>
      <c r="HA1837" s="73"/>
      <c r="HB1837" s="73"/>
      <c r="HC1837" s="73"/>
      <c r="HD1837" s="73"/>
      <c r="HE1837" s="73"/>
      <c r="HF1837" s="73"/>
      <c r="HG1837" s="73"/>
      <c r="HH1837" s="73"/>
      <c r="HI1837" s="73"/>
      <c r="HJ1837" s="73"/>
      <c r="HK1837" s="73"/>
      <c r="HL1837" s="73"/>
      <c r="HM1837" s="73"/>
      <c r="HN1837" s="73"/>
      <c r="HO1837" s="73"/>
      <c r="HP1837" s="73"/>
      <c r="HQ1837" s="73"/>
      <c r="HR1837" s="73"/>
      <c r="HS1837" s="73"/>
      <c r="HT1837" s="73"/>
      <c r="HU1837" s="73"/>
      <c r="HV1837" s="73"/>
      <c r="HW1837" s="73"/>
      <c r="HX1837" s="73"/>
      <c r="HY1837" s="73"/>
      <c r="HZ1837" s="73"/>
      <c r="IA1837" s="73"/>
      <c r="IB1837" s="73"/>
      <c r="IC1837" s="73"/>
      <c r="ID1837" s="73"/>
      <c r="IE1837" s="73"/>
      <c r="IF1837" s="73"/>
      <c r="IG1837" s="73"/>
      <c r="IH1837" s="73"/>
      <c r="II1837" s="73"/>
      <c r="IJ1837" s="73"/>
      <c r="IK1837" s="73"/>
      <c r="IL1837" s="73"/>
      <c r="IM1837" s="73"/>
      <c r="IN1837" s="73"/>
      <c r="IO1837" s="73"/>
      <c r="IP1837" s="73"/>
      <c r="IQ1837" s="73"/>
      <c r="IR1837" s="73"/>
      <c r="IS1837" s="73"/>
      <c r="IT1837" s="73"/>
      <c r="IU1837" s="73"/>
      <c r="IV1837" s="73"/>
      <c r="IW1837" s="73"/>
      <c r="IX1837" s="73"/>
      <c r="IY1837" s="73"/>
      <c r="IZ1837" s="73"/>
      <c r="JA1837" s="73"/>
      <c r="JB1837" s="73"/>
      <c r="JC1837" s="73"/>
    </row>
    <row r="1838" spans="2:263" s="72" customFormat="1">
      <c r="B1838" s="73"/>
      <c r="C1838" s="73"/>
      <c r="D1838" s="73"/>
      <c r="E1838" s="73"/>
      <c r="F1838" s="73"/>
      <c r="G1838" s="73"/>
      <c r="H1838" s="73"/>
      <c r="I1838" s="73"/>
      <c r="J1838" s="73"/>
      <c r="K1838" s="73"/>
      <c r="L1838" s="73"/>
      <c r="M1838" s="73"/>
      <c r="N1838" s="73"/>
      <c r="O1838" s="73"/>
      <c r="P1838" s="73"/>
      <c r="Q1838" s="73"/>
      <c r="R1838" s="73"/>
      <c r="S1838" s="73"/>
      <c r="T1838" s="73"/>
      <c r="U1838" s="73"/>
      <c r="V1838" s="73"/>
      <c r="W1838" s="73"/>
      <c r="GL1838" s="73"/>
      <c r="GM1838" s="73"/>
      <c r="GN1838" s="73"/>
      <c r="GO1838" s="73"/>
      <c r="GP1838" s="73"/>
      <c r="GQ1838" s="73"/>
      <c r="GR1838" s="73"/>
      <c r="GS1838" s="73"/>
      <c r="GT1838" s="73"/>
      <c r="GU1838" s="73"/>
      <c r="GV1838" s="73"/>
      <c r="GW1838" s="73"/>
      <c r="GX1838" s="73"/>
      <c r="GY1838" s="73"/>
      <c r="GZ1838" s="73"/>
      <c r="HA1838" s="73"/>
      <c r="HB1838" s="73"/>
      <c r="HC1838" s="73"/>
      <c r="HD1838" s="73"/>
      <c r="HE1838" s="73"/>
      <c r="HF1838" s="73"/>
      <c r="HG1838" s="73"/>
      <c r="HH1838" s="73"/>
      <c r="HI1838" s="73"/>
      <c r="HJ1838" s="73"/>
      <c r="HK1838" s="73"/>
      <c r="HL1838" s="73"/>
      <c r="HM1838" s="73"/>
      <c r="HN1838" s="73"/>
      <c r="HO1838" s="73"/>
      <c r="HP1838" s="73"/>
      <c r="HQ1838" s="73"/>
      <c r="HR1838" s="73"/>
      <c r="HS1838" s="73"/>
      <c r="HT1838" s="73"/>
      <c r="HU1838" s="73"/>
      <c r="HV1838" s="73"/>
      <c r="HW1838" s="73"/>
      <c r="HX1838" s="73"/>
      <c r="HY1838" s="73"/>
      <c r="HZ1838" s="73"/>
      <c r="IA1838" s="73"/>
      <c r="IB1838" s="73"/>
      <c r="IC1838" s="73"/>
      <c r="ID1838" s="73"/>
      <c r="IE1838" s="73"/>
      <c r="IF1838" s="73"/>
      <c r="IG1838" s="73"/>
      <c r="IH1838" s="73"/>
      <c r="II1838" s="73"/>
      <c r="IJ1838" s="73"/>
      <c r="IK1838" s="73"/>
      <c r="IL1838" s="73"/>
      <c r="IM1838" s="73"/>
      <c r="IN1838" s="73"/>
      <c r="IO1838" s="73"/>
      <c r="IP1838" s="73"/>
      <c r="IQ1838" s="73"/>
      <c r="IR1838" s="73"/>
      <c r="IS1838" s="73"/>
      <c r="IT1838" s="73"/>
      <c r="IU1838" s="73"/>
      <c r="IV1838" s="73"/>
      <c r="IW1838" s="73"/>
      <c r="IX1838" s="73"/>
      <c r="IY1838" s="73"/>
      <c r="IZ1838" s="73"/>
      <c r="JA1838" s="73"/>
      <c r="JB1838" s="73"/>
      <c r="JC1838" s="73"/>
    </row>
    <row r="1839" spans="2:263" s="72" customFormat="1">
      <c r="B1839" s="73"/>
      <c r="C1839" s="73"/>
      <c r="D1839" s="73"/>
      <c r="E1839" s="73"/>
      <c r="F1839" s="73"/>
      <c r="G1839" s="73"/>
      <c r="H1839" s="73"/>
      <c r="I1839" s="73"/>
      <c r="J1839" s="73"/>
      <c r="K1839" s="73"/>
      <c r="L1839" s="73"/>
      <c r="M1839" s="73"/>
      <c r="N1839" s="73"/>
      <c r="O1839" s="73"/>
      <c r="P1839" s="73"/>
      <c r="Q1839" s="73"/>
      <c r="R1839" s="73"/>
      <c r="S1839" s="73"/>
      <c r="T1839" s="73"/>
      <c r="U1839" s="73"/>
      <c r="V1839" s="73"/>
      <c r="W1839" s="73"/>
      <c r="GL1839" s="73"/>
      <c r="GM1839" s="73"/>
      <c r="GN1839" s="73"/>
      <c r="GO1839" s="73"/>
      <c r="GP1839" s="73"/>
      <c r="GQ1839" s="73"/>
      <c r="GR1839" s="73"/>
      <c r="GS1839" s="73"/>
      <c r="GT1839" s="73"/>
      <c r="GU1839" s="73"/>
      <c r="GV1839" s="73"/>
      <c r="GW1839" s="73"/>
      <c r="GX1839" s="73"/>
      <c r="GY1839" s="73"/>
      <c r="GZ1839" s="73"/>
      <c r="HA1839" s="73"/>
      <c r="HB1839" s="73"/>
      <c r="HC1839" s="73"/>
      <c r="HD1839" s="73"/>
      <c r="HE1839" s="73"/>
      <c r="HF1839" s="73"/>
      <c r="HG1839" s="73"/>
      <c r="HH1839" s="73"/>
      <c r="HI1839" s="73"/>
      <c r="HJ1839" s="73"/>
      <c r="HK1839" s="73"/>
      <c r="HL1839" s="73"/>
      <c r="HM1839" s="73"/>
      <c r="HN1839" s="73"/>
      <c r="HO1839" s="73"/>
      <c r="HP1839" s="73"/>
      <c r="HQ1839" s="73"/>
      <c r="HR1839" s="73"/>
      <c r="HS1839" s="73"/>
      <c r="HT1839" s="73"/>
      <c r="HU1839" s="73"/>
      <c r="HV1839" s="73"/>
      <c r="HW1839" s="73"/>
      <c r="HX1839" s="73"/>
      <c r="HY1839" s="73"/>
      <c r="HZ1839" s="73"/>
      <c r="IA1839" s="73"/>
      <c r="IB1839" s="73"/>
      <c r="IC1839" s="73"/>
      <c r="ID1839" s="73"/>
      <c r="IE1839" s="73"/>
      <c r="IF1839" s="73"/>
      <c r="IG1839" s="73"/>
      <c r="IH1839" s="73"/>
      <c r="II1839" s="73"/>
      <c r="IJ1839" s="73"/>
      <c r="IK1839" s="73"/>
      <c r="IL1839" s="73"/>
      <c r="IM1839" s="73"/>
      <c r="IN1839" s="73"/>
      <c r="IO1839" s="73"/>
      <c r="IP1839" s="73"/>
      <c r="IQ1839" s="73"/>
      <c r="IR1839" s="73"/>
      <c r="IS1839" s="73"/>
      <c r="IT1839" s="73"/>
      <c r="IU1839" s="73"/>
      <c r="IV1839" s="73"/>
      <c r="IW1839" s="73"/>
      <c r="IX1839" s="73"/>
      <c r="IY1839" s="73"/>
      <c r="IZ1839" s="73"/>
      <c r="JA1839" s="73"/>
      <c r="JB1839" s="73"/>
      <c r="JC1839" s="73"/>
    </row>
    <row r="1840" spans="2:263" s="72" customFormat="1">
      <c r="B1840" s="73"/>
      <c r="C1840" s="73"/>
      <c r="D1840" s="73"/>
      <c r="E1840" s="73"/>
      <c r="F1840" s="73"/>
      <c r="G1840" s="73"/>
      <c r="H1840" s="73"/>
      <c r="I1840" s="73"/>
      <c r="J1840" s="73"/>
      <c r="K1840" s="73"/>
      <c r="L1840" s="73"/>
      <c r="M1840" s="73"/>
      <c r="N1840" s="73"/>
      <c r="O1840" s="73"/>
      <c r="P1840" s="73"/>
      <c r="Q1840" s="73"/>
      <c r="R1840" s="73"/>
      <c r="S1840" s="73"/>
      <c r="T1840" s="73"/>
      <c r="U1840" s="73"/>
      <c r="V1840" s="73"/>
      <c r="W1840" s="73"/>
      <c r="GL1840" s="73"/>
      <c r="GM1840" s="73"/>
      <c r="GN1840" s="73"/>
      <c r="GO1840" s="73"/>
      <c r="GP1840" s="73"/>
      <c r="GQ1840" s="73"/>
      <c r="GR1840" s="73"/>
      <c r="GS1840" s="73"/>
      <c r="GT1840" s="73"/>
      <c r="GU1840" s="73"/>
      <c r="GV1840" s="73"/>
      <c r="GW1840" s="73"/>
      <c r="GX1840" s="73"/>
      <c r="GY1840" s="73"/>
      <c r="GZ1840" s="73"/>
      <c r="HA1840" s="73"/>
      <c r="HB1840" s="73"/>
      <c r="HC1840" s="73"/>
      <c r="HD1840" s="73"/>
      <c r="HE1840" s="73"/>
      <c r="HF1840" s="73"/>
      <c r="HG1840" s="73"/>
      <c r="HH1840" s="73"/>
      <c r="HI1840" s="73"/>
      <c r="HJ1840" s="73"/>
      <c r="HK1840" s="73"/>
      <c r="HL1840" s="73"/>
      <c r="HM1840" s="73"/>
      <c r="HN1840" s="73"/>
      <c r="HO1840" s="73"/>
      <c r="HP1840" s="73"/>
      <c r="HQ1840" s="73"/>
      <c r="HR1840" s="73"/>
      <c r="HS1840" s="73"/>
      <c r="HT1840" s="73"/>
      <c r="HU1840" s="73"/>
      <c r="HV1840" s="73"/>
      <c r="HW1840" s="73"/>
      <c r="HX1840" s="73"/>
      <c r="HY1840" s="73"/>
      <c r="HZ1840" s="73"/>
      <c r="IA1840" s="73"/>
      <c r="IB1840" s="73"/>
      <c r="IC1840" s="73"/>
      <c r="ID1840" s="73"/>
      <c r="IE1840" s="73"/>
      <c r="IF1840" s="73"/>
      <c r="IG1840" s="73"/>
      <c r="IH1840" s="73"/>
      <c r="II1840" s="73"/>
      <c r="IJ1840" s="73"/>
      <c r="IK1840" s="73"/>
      <c r="IL1840" s="73"/>
      <c r="IM1840" s="73"/>
      <c r="IN1840" s="73"/>
      <c r="IO1840" s="73"/>
      <c r="IP1840" s="73"/>
      <c r="IQ1840" s="73"/>
      <c r="IR1840" s="73"/>
      <c r="IS1840" s="73"/>
      <c r="IT1840" s="73"/>
      <c r="IU1840" s="73"/>
      <c r="IV1840" s="73"/>
      <c r="IW1840" s="73"/>
      <c r="IX1840" s="73"/>
      <c r="IY1840" s="73"/>
      <c r="IZ1840" s="73"/>
      <c r="JA1840" s="73"/>
      <c r="JB1840" s="73"/>
      <c r="JC1840" s="73"/>
    </row>
    <row r="1841" spans="2:263" s="72" customFormat="1">
      <c r="B1841" s="73"/>
      <c r="C1841" s="73"/>
      <c r="D1841" s="73"/>
      <c r="E1841" s="73"/>
      <c r="F1841" s="73"/>
      <c r="G1841" s="73"/>
      <c r="H1841" s="73"/>
      <c r="I1841" s="73"/>
      <c r="J1841" s="73"/>
      <c r="K1841" s="73"/>
      <c r="L1841" s="73"/>
      <c r="M1841" s="73"/>
      <c r="N1841" s="73"/>
      <c r="O1841" s="73"/>
      <c r="P1841" s="73"/>
      <c r="Q1841" s="73"/>
      <c r="R1841" s="73"/>
      <c r="S1841" s="73"/>
      <c r="T1841" s="73"/>
      <c r="U1841" s="73"/>
      <c r="V1841" s="73"/>
      <c r="W1841" s="73"/>
      <c r="GL1841" s="73"/>
      <c r="GM1841" s="73"/>
      <c r="GN1841" s="73"/>
      <c r="GO1841" s="73"/>
      <c r="GP1841" s="73"/>
      <c r="GQ1841" s="73"/>
      <c r="GR1841" s="73"/>
      <c r="GS1841" s="73"/>
      <c r="GT1841" s="73"/>
      <c r="GU1841" s="73"/>
      <c r="GV1841" s="73"/>
      <c r="GW1841" s="73"/>
      <c r="GX1841" s="73"/>
      <c r="GY1841" s="73"/>
      <c r="GZ1841" s="73"/>
      <c r="HA1841" s="73"/>
      <c r="HB1841" s="73"/>
      <c r="HC1841" s="73"/>
      <c r="HD1841" s="73"/>
      <c r="HE1841" s="73"/>
      <c r="HF1841" s="73"/>
      <c r="HG1841" s="73"/>
      <c r="HH1841" s="73"/>
      <c r="HI1841" s="73"/>
      <c r="HJ1841" s="73"/>
      <c r="HK1841" s="73"/>
      <c r="HL1841" s="73"/>
      <c r="HM1841" s="73"/>
      <c r="HN1841" s="73"/>
      <c r="HO1841" s="73"/>
      <c r="HP1841" s="73"/>
      <c r="HQ1841" s="73"/>
      <c r="HR1841" s="73"/>
      <c r="HS1841" s="73"/>
      <c r="HT1841" s="73"/>
      <c r="HU1841" s="73"/>
      <c r="HV1841" s="73"/>
      <c r="HW1841" s="73"/>
      <c r="HX1841" s="73"/>
      <c r="HY1841" s="73"/>
      <c r="HZ1841" s="73"/>
      <c r="IA1841" s="73"/>
      <c r="IB1841" s="73"/>
      <c r="IC1841" s="73"/>
      <c r="ID1841" s="73"/>
      <c r="IE1841" s="73"/>
      <c r="IF1841" s="73"/>
      <c r="IG1841" s="73"/>
      <c r="IH1841" s="73"/>
      <c r="II1841" s="73"/>
      <c r="IJ1841" s="73"/>
      <c r="IK1841" s="73"/>
      <c r="IL1841" s="73"/>
      <c r="IM1841" s="73"/>
      <c r="IN1841" s="73"/>
      <c r="IO1841" s="73"/>
      <c r="IP1841" s="73"/>
      <c r="IQ1841" s="73"/>
      <c r="IR1841" s="73"/>
      <c r="IS1841" s="73"/>
      <c r="IT1841" s="73"/>
      <c r="IU1841" s="73"/>
      <c r="IV1841" s="73"/>
      <c r="IW1841" s="73"/>
      <c r="IX1841" s="73"/>
      <c r="IY1841" s="73"/>
      <c r="IZ1841" s="73"/>
      <c r="JA1841" s="73"/>
      <c r="JB1841" s="73"/>
      <c r="JC1841" s="73"/>
    </row>
    <row r="1842" spans="2:263" s="72" customFormat="1">
      <c r="B1842" s="73"/>
      <c r="C1842" s="73"/>
      <c r="D1842" s="73"/>
      <c r="E1842" s="73"/>
      <c r="F1842" s="73"/>
      <c r="G1842" s="73"/>
      <c r="H1842" s="73"/>
      <c r="I1842" s="73"/>
      <c r="J1842" s="73"/>
      <c r="K1842" s="73"/>
      <c r="L1842" s="73"/>
      <c r="M1842" s="73"/>
      <c r="N1842" s="73"/>
      <c r="O1842" s="73"/>
      <c r="P1842" s="73"/>
      <c r="Q1842" s="73"/>
      <c r="R1842" s="73"/>
      <c r="S1842" s="73"/>
      <c r="T1842" s="73"/>
      <c r="U1842" s="73"/>
      <c r="V1842" s="73"/>
      <c r="W1842" s="73"/>
      <c r="GL1842" s="73"/>
      <c r="GM1842" s="73"/>
      <c r="GN1842" s="73"/>
      <c r="GO1842" s="73"/>
      <c r="GP1842" s="73"/>
      <c r="GQ1842" s="73"/>
      <c r="GR1842" s="73"/>
      <c r="GS1842" s="73"/>
      <c r="GT1842" s="73"/>
      <c r="GU1842" s="73"/>
      <c r="GV1842" s="73"/>
      <c r="GW1842" s="73"/>
      <c r="GX1842" s="73"/>
      <c r="GY1842" s="73"/>
      <c r="GZ1842" s="73"/>
      <c r="HA1842" s="73"/>
      <c r="HB1842" s="73"/>
      <c r="HC1842" s="73"/>
      <c r="HD1842" s="73"/>
      <c r="HE1842" s="73"/>
      <c r="HF1842" s="73"/>
      <c r="HG1842" s="73"/>
      <c r="HH1842" s="73"/>
      <c r="HI1842" s="73"/>
      <c r="HJ1842" s="73"/>
      <c r="HK1842" s="73"/>
      <c r="HL1842" s="73"/>
      <c r="HM1842" s="73"/>
      <c r="HN1842" s="73"/>
      <c r="HO1842" s="73"/>
      <c r="HP1842" s="73"/>
      <c r="HQ1842" s="73"/>
      <c r="HR1842" s="73"/>
      <c r="HS1842" s="73"/>
      <c r="HT1842" s="73"/>
      <c r="HU1842" s="73"/>
      <c r="HV1842" s="73"/>
      <c r="HW1842" s="73"/>
      <c r="HX1842" s="73"/>
      <c r="HY1842" s="73"/>
      <c r="HZ1842" s="73"/>
      <c r="IA1842" s="73"/>
      <c r="IB1842" s="73"/>
      <c r="IC1842" s="73"/>
      <c r="ID1842" s="73"/>
      <c r="IE1842" s="73"/>
      <c r="IF1842" s="73"/>
      <c r="IG1842" s="73"/>
      <c r="IH1842" s="73"/>
      <c r="II1842" s="73"/>
      <c r="IJ1842" s="73"/>
      <c r="IK1842" s="73"/>
      <c r="IL1842" s="73"/>
      <c r="IM1842" s="73"/>
      <c r="IN1842" s="73"/>
      <c r="IO1842" s="73"/>
      <c r="IP1842" s="73"/>
      <c r="IQ1842" s="73"/>
      <c r="IR1842" s="73"/>
      <c r="IS1842" s="73"/>
      <c r="IT1842" s="73"/>
      <c r="IU1842" s="73"/>
      <c r="IV1842" s="73"/>
      <c r="IW1842" s="73"/>
      <c r="IX1842" s="73"/>
      <c r="IY1842" s="73"/>
      <c r="IZ1842" s="73"/>
      <c r="JA1842" s="73"/>
      <c r="JB1842" s="73"/>
      <c r="JC1842" s="73"/>
    </row>
    <row r="1843" spans="2:263" s="72" customFormat="1">
      <c r="B1843" s="73"/>
      <c r="C1843" s="73"/>
      <c r="D1843" s="73"/>
      <c r="E1843" s="73"/>
      <c r="F1843" s="73"/>
      <c r="G1843" s="73"/>
      <c r="H1843" s="73"/>
      <c r="I1843" s="73"/>
      <c r="J1843" s="73"/>
      <c r="K1843" s="73"/>
      <c r="L1843" s="73"/>
      <c r="M1843" s="73"/>
      <c r="N1843" s="73"/>
      <c r="O1843" s="73"/>
      <c r="P1843" s="73"/>
      <c r="Q1843" s="73"/>
      <c r="R1843" s="73"/>
      <c r="S1843" s="73"/>
      <c r="T1843" s="73"/>
      <c r="U1843" s="73"/>
      <c r="V1843" s="73"/>
      <c r="W1843" s="73"/>
      <c r="GL1843" s="73"/>
      <c r="GM1843" s="73"/>
      <c r="GN1843" s="73"/>
      <c r="GO1843" s="73"/>
      <c r="GP1843" s="73"/>
      <c r="GQ1843" s="73"/>
      <c r="GR1843" s="73"/>
      <c r="GS1843" s="73"/>
      <c r="GT1843" s="73"/>
      <c r="GU1843" s="73"/>
      <c r="GV1843" s="73"/>
      <c r="GW1843" s="73"/>
      <c r="GX1843" s="73"/>
      <c r="GY1843" s="73"/>
      <c r="GZ1843" s="73"/>
      <c r="HA1843" s="73"/>
      <c r="HB1843" s="73"/>
      <c r="HC1843" s="73"/>
      <c r="HD1843" s="73"/>
      <c r="HE1843" s="73"/>
      <c r="HF1843" s="73"/>
      <c r="HG1843" s="73"/>
      <c r="HH1843" s="73"/>
      <c r="HI1843" s="73"/>
      <c r="HJ1843" s="73"/>
      <c r="HK1843" s="73"/>
      <c r="HL1843" s="73"/>
      <c r="HM1843" s="73"/>
      <c r="HN1843" s="73"/>
      <c r="HO1843" s="73"/>
      <c r="HP1843" s="73"/>
      <c r="HQ1843" s="73"/>
      <c r="HR1843" s="73"/>
      <c r="HS1843" s="73"/>
      <c r="HT1843" s="73"/>
      <c r="HU1843" s="73"/>
      <c r="HV1843" s="73"/>
      <c r="HW1843" s="73"/>
      <c r="HX1843" s="73"/>
      <c r="HY1843" s="73"/>
      <c r="HZ1843" s="73"/>
      <c r="IA1843" s="73"/>
      <c r="IB1843" s="73"/>
      <c r="IC1843" s="73"/>
      <c r="ID1843" s="73"/>
      <c r="IE1843" s="73"/>
      <c r="IF1843" s="73"/>
      <c r="IG1843" s="73"/>
      <c r="IH1843" s="73"/>
      <c r="II1843" s="73"/>
      <c r="IJ1843" s="73"/>
      <c r="IK1843" s="73"/>
      <c r="IL1843" s="73"/>
      <c r="IM1843" s="73"/>
      <c r="IN1843" s="73"/>
      <c r="IO1843" s="73"/>
      <c r="IP1843" s="73"/>
      <c r="IQ1843" s="73"/>
      <c r="IR1843" s="73"/>
      <c r="IS1843" s="73"/>
      <c r="IT1843" s="73"/>
      <c r="IU1843" s="73"/>
      <c r="IV1843" s="73"/>
      <c r="IW1843" s="73"/>
      <c r="IX1843" s="73"/>
      <c r="IY1843" s="73"/>
      <c r="IZ1843" s="73"/>
      <c r="JA1843" s="73"/>
      <c r="JB1843" s="73"/>
      <c r="JC1843" s="73"/>
    </row>
    <row r="1844" spans="2:263" s="72" customFormat="1">
      <c r="B1844" s="73"/>
      <c r="C1844" s="73"/>
      <c r="D1844" s="73"/>
      <c r="E1844" s="73"/>
      <c r="F1844" s="73"/>
      <c r="G1844" s="73"/>
      <c r="H1844" s="73"/>
      <c r="I1844" s="73"/>
      <c r="J1844" s="73"/>
      <c r="K1844" s="73"/>
      <c r="L1844" s="73"/>
      <c r="M1844" s="73"/>
      <c r="N1844" s="73"/>
      <c r="O1844" s="73"/>
      <c r="P1844" s="73"/>
      <c r="Q1844" s="73"/>
      <c r="R1844" s="73"/>
      <c r="S1844" s="73"/>
      <c r="T1844" s="73"/>
      <c r="U1844" s="73"/>
      <c r="V1844" s="73"/>
      <c r="W1844" s="73"/>
      <c r="GL1844" s="73"/>
      <c r="GM1844" s="73"/>
      <c r="GN1844" s="73"/>
      <c r="GO1844" s="73"/>
      <c r="GP1844" s="73"/>
      <c r="GQ1844" s="73"/>
      <c r="GR1844" s="73"/>
      <c r="GS1844" s="73"/>
      <c r="GT1844" s="73"/>
      <c r="GU1844" s="73"/>
      <c r="GV1844" s="73"/>
      <c r="GW1844" s="73"/>
      <c r="GX1844" s="73"/>
      <c r="GY1844" s="73"/>
      <c r="GZ1844" s="73"/>
      <c r="HA1844" s="73"/>
      <c r="HB1844" s="73"/>
      <c r="HC1844" s="73"/>
      <c r="HD1844" s="73"/>
      <c r="HE1844" s="73"/>
      <c r="HF1844" s="73"/>
      <c r="HG1844" s="73"/>
      <c r="HH1844" s="73"/>
      <c r="HI1844" s="73"/>
      <c r="HJ1844" s="73"/>
      <c r="HK1844" s="73"/>
      <c r="HL1844" s="73"/>
      <c r="HM1844" s="73"/>
      <c r="HN1844" s="73"/>
      <c r="HO1844" s="73"/>
      <c r="HP1844" s="73"/>
      <c r="HQ1844" s="73"/>
      <c r="HR1844" s="73"/>
      <c r="HS1844" s="73"/>
      <c r="HT1844" s="73"/>
      <c r="HU1844" s="73"/>
      <c r="HV1844" s="73"/>
      <c r="HW1844" s="73"/>
      <c r="HX1844" s="73"/>
      <c r="HY1844" s="73"/>
      <c r="HZ1844" s="73"/>
      <c r="IA1844" s="73"/>
      <c r="IB1844" s="73"/>
      <c r="IC1844" s="73"/>
      <c r="ID1844" s="73"/>
      <c r="IE1844" s="73"/>
      <c r="IF1844" s="73"/>
      <c r="IG1844" s="73"/>
      <c r="IH1844" s="73"/>
      <c r="II1844" s="73"/>
      <c r="IJ1844" s="73"/>
      <c r="IK1844" s="73"/>
      <c r="IL1844" s="73"/>
      <c r="IM1844" s="73"/>
      <c r="IN1844" s="73"/>
      <c r="IO1844" s="73"/>
      <c r="IP1844" s="73"/>
      <c r="IQ1844" s="73"/>
      <c r="IR1844" s="73"/>
      <c r="IS1844" s="73"/>
      <c r="IT1844" s="73"/>
      <c r="IU1844" s="73"/>
      <c r="IV1844" s="73"/>
      <c r="IW1844" s="73"/>
      <c r="IX1844" s="73"/>
      <c r="IY1844" s="73"/>
      <c r="IZ1844" s="73"/>
      <c r="JA1844" s="73"/>
      <c r="JB1844" s="73"/>
      <c r="JC1844" s="73"/>
    </row>
    <row r="1845" spans="2:263" s="72" customFormat="1">
      <c r="B1845" s="73"/>
      <c r="C1845" s="73"/>
      <c r="D1845" s="73"/>
      <c r="E1845" s="73"/>
      <c r="F1845" s="73"/>
      <c r="G1845" s="73"/>
      <c r="H1845" s="73"/>
      <c r="I1845" s="73"/>
      <c r="J1845" s="73"/>
      <c r="K1845" s="73"/>
      <c r="L1845" s="73"/>
      <c r="M1845" s="73"/>
      <c r="N1845" s="73"/>
      <c r="O1845" s="73"/>
      <c r="P1845" s="73"/>
      <c r="Q1845" s="73"/>
      <c r="R1845" s="73"/>
      <c r="S1845" s="73"/>
      <c r="T1845" s="73"/>
      <c r="U1845" s="73"/>
      <c r="V1845" s="73"/>
      <c r="W1845" s="73"/>
      <c r="GL1845" s="73"/>
      <c r="GM1845" s="73"/>
      <c r="GN1845" s="73"/>
      <c r="GO1845" s="73"/>
      <c r="GP1845" s="73"/>
      <c r="GQ1845" s="73"/>
      <c r="GR1845" s="73"/>
      <c r="GS1845" s="73"/>
      <c r="GT1845" s="73"/>
      <c r="GU1845" s="73"/>
      <c r="GV1845" s="73"/>
      <c r="GW1845" s="73"/>
      <c r="GX1845" s="73"/>
      <c r="GY1845" s="73"/>
      <c r="GZ1845" s="73"/>
      <c r="HA1845" s="73"/>
      <c r="HB1845" s="73"/>
      <c r="HC1845" s="73"/>
      <c r="HD1845" s="73"/>
      <c r="HE1845" s="73"/>
      <c r="HF1845" s="73"/>
      <c r="HG1845" s="73"/>
      <c r="HH1845" s="73"/>
      <c r="HI1845" s="73"/>
      <c r="HJ1845" s="73"/>
      <c r="HK1845" s="73"/>
      <c r="HL1845" s="73"/>
      <c r="HM1845" s="73"/>
      <c r="HN1845" s="73"/>
      <c r="HO1845" s="73"/>
      <c r="HP1845" s="73"/>
      <c r="HQ1845" s="73"/>
      <c r="HR1845" s="73"/>
      <c r="HS1845" s="73"/>
      <c r="HT1845" s="73"/>
      <c r="HU1845" s="73"/>
      <c r="HV1845" s="73"/>
      <c r="HW1845" s="73"/>
      <c r="HX1845" s="73"/>
      <c r="HY1845" s="73"/>
      <c r="HZ1845" s="73"/>
      <c r="IA1845" s="73"/>
      <c r="IB1845" s="73"/>
      <c r="IC1845" s="73"/>
      <c r="ID1845" s="73"/>
      <c r="IE1845" s="73"/>
      <c r="IF1845" s="73"/>
      <c r="IG1845" s="73"/>
      <c r="IH1845" s="73"/>
      <c r="II1845" s="73"/>
      <c r="IJ1845" s="73"/>
      <c r="IK1845" s="73"/>
      <c r="IL1845" s="73"/>
      <c r="IM1845" s="73"/>
      <c r="IN1845" s="73"/>
      <c r="IO1845" s="73"/>
      <c r="IP1845" s="73"/>
      <c r="IQ1845" s="73"/>
      <c r="IR1845" s="73"/>
      <c r="IS1845" s="73"/>
      <c r="IT1845" s="73"/>
      <c r="IU1845" s="73"/>
      <c r="IV1845" s="73"/>
      <c r="IW1845" s="73"/>
      <c r="IX1845" s="73"/>
      <c r="IY1845" s="73"/>
      <c r="IZ1845" s="73"/>
      <c r="JA1845" s="73"/>
      <c r="JB1845" s="73"/>
      <c r="JC1845" s="73"/>
    </row>
    <row r="1846" spans="2:263" s="72" customFormat="1">
      <c r="B1846" s="73"/>
      <c r="C1846" s="73"/>
      <c r="D1846" s="73"/>
      <c r="E1846" s="73"/>
      <c r="F1846" s="73"/>
      <c r="G1846" s="73"/>
      <c r="H1846" s="73"/>
      <c r="I1846" s="73"/>
      <c r="J1846" s="73"/>
      <c r="K1846" s="73"/>
      <c r="L1846" s="73"/>
      <c r="M1846" s="73"/>
      <c r="N1846" s="73"/>
      <c r="O1846" s="73"/>
      <c r="P1846" s="73"/>
      <c r="Q1846" s="73"/>
      <c r="R1846" s="73"/>
      <c r="S1846" s="73"/>
      <c r="T1846" s="73"/>
      <c r="U1846" s="73"/>
      <c r="V1846" s="73"/>
      <c r="W1846" s="73"/>
      <c r="GL1846" s="73"/>
      <c r="GM1846" s="73"/>
      <c r="GN1846" s="73"/>
      <c r="GO1846" s="73"/>
      <c r="GP1846" s="73"/>
      <c r="GQ1846" s="73"/>
      <c r="GR1846" s="73"/>
      <c r="GS1846" s="73"/>
      <c r="GT1846" s="73"/>
      <c r="GU1846" s="73"/>
      <c r="GV1846" s="73"/>
      <c r="GW1846" s="73"/>
      <c r="GX1846" s="73"/>
      <c r="GY1846" s="73"/>
      <c r="GZ1846" s="73"/>
      <c r="HA1846" s="73"/>
      <c r="HB1846" s="73"/>
      <c r="HC1846" s="73"/>
      <c r="HD1846" s="73"/>
      <c r="HE1846" s="73"/>
      <c r="HF1846" s="73"/>
      <c r="HG1846" s="73"/>
      <c r="HH1846" s="73"/>
      <c r="HI1846" s="73"/>
      <c r="HJ1846" s="73"/>
      <c r="HK1846" s="73"/>
      <c r="HL1846" s="73"/>
      <c r="HM1846" s="73"/>
      <c r="HN1846" s="73"/>
      <c r="HO1846" s="73"/>
      <c r="HP1846" s="73"/>
      <c r="HQ1846" s="73"/>
      <c r="HR1846" s="73"/>
      <c r="HS1846" s="73"/>
      <c r="HT1846" s="73"/>
      <c r="HU1846" s="73"/>
      <c r="HV1846" s="73"/>
      <c r="HW1846" s="73"/>
      <c r="HX1846" s="73"/>
      <c r="HY1846" s="73"/>
      <c r="HZ1846" s="73"/>
      <c r="IA1846" s="73"/>
      <c r="IB1846" s="73"/>
      <c r="IC1846" s="73"/>
      <c r="ID1846" s="73"/>
      <c r="IE1846" s="73"/>
      <c r="IF1846" s="73"/>
      <c r="IG1846" s="73"/>
      <c r="IH1846" s="73"/>
      <c r="II1846" s="73"/>
      <c r="IJ1846" s="73"/>
      <c r="IK1846" s="73"/>
      <c r="IL1846" s="73"/>
      <c r="IM1846" s="73"/>
      <c r="IN1846" s="73"/>
      <c r="IO1846" s="73"/>
      <c r="IP1846" s="73"/>
      <c r="IQ1846" s="73"/>
      <c r="IR1846" s="73"/>
      <c r="IS1846" s="73"/>
      <c r="IT1846" s="73"/>
      <c r="IU1846" s="73"/>
      <c r="IV1846" s="73"/>
      <c r="IW1846" s="73"/>
      <c r="IX1846" s="73"/>
      <c r="IY1846" s="73"/>
      <c r="IZ1846" s="73"/>
      <c r="JA1846" s="73"/>
      <c r="JB1846" s="73"/>
      <c r="JC1846" s="73"/>
    </row>
    <row r="1847" spans="2:263" s="72" customFormat="1">
      <c r="B1847" s="73"/>
      <c r="C1847" s="73"/>
      <c r="D1847" s="73"/>
      <c r="E1847" s="73"/>
      <c r="F1847" s="73"/>
      <c r="G1847" s="73"/>
      <c r="H1847" s="73"/>
      <c r="I1847" s="73"/>
      <c r="J1847" s="73"/>
      <c r="K1847" s="73"/>
      <c r="L1847" s="73"/>
      <c r="M1847" s="73"/>
      <c r="N1847" s="73"/>
      <c r="O1847" s="73"/>
      <c r="P1847" s="73"/>
      <c r="Q1847" s="73"/>
      <c r="R1847" s="73"/>
      <c r="S1847" s="73"/>
      <c r="T1847" s="73"/>
      <c r="U1847" s="73"/>
      <c r="V1847" s="73"/>
      <c r="W1847" s="73"/>
      <c r="GL1847" s="73"/>
      <c r="GM1847" s="73"/>
      <c r="GN1847" s="73"/>
      <c r="GO1847" s="73"/>
      <c r="GP1847" s="73"/>
      <c r="GQ1847" s="73"/>
      <c r="GR1847" s="73"/>
      <c r="GS1847" s="73"/>
      <c r="GT1847" s="73"/>
      <c r="GU1847" s="73"/>
      <c r="GV1847" s="73"/>
      <c r="GW1847" s="73"/>
      <c r="GX1847" s="73"/>
      <c r="GY1847" s="73"/>
      <c r="GZ1847" s="73"/>
      <c r="HA1847" s="73"/>
      <c r="HB1847" s="73"/>
      <c r="HC1847" s="73"/>
      <c r="HD1847" s="73"/>
      <c r="HE1847" s="73"/>
      <c r="HF1847" s="73"/>
      <c r="HG1847" s="73"/>
      <c r="HH1847" s="73"/>
      <c r="HI1847" s="73"/>
      <c r="HJ1847" s="73"/>
      <c r="HK1847" s="73"/>
      <c r="HL1847" s="73"/>
      <c r="HM1847" s="73"/>
      <c r="HN1847" s="73"/>
      <c r="HO1847" s="73"/>
      <c r="HP1847" s="73"/>
      <c r="HQ1847" s="73"/>
      <c r="HR1847" s="73"/>
      <c r="HS1847" s="73"/>
      <c r="HT1847" s="73"/>
      <c r="HU1847" s="73"/>
      <c r="HV1847" s="73"/>
      <c r="HW1847" s="73"/>
      <c r="HX1847" s="73"/>
      <c r="HY1847" s="73"/>
      <c r="HZ1847" s="73"/>
      <c r="IA1847" s="73"/>
      <c r="IB1847" s="73"/>
      <c r="IC1847" s="73"/>
      <c r="ID1847" s="73"/>
      <c r="IE1847" s="73"/>
      <c r="IF1847" s="73"/>
      <c r="IG1847" s="73"/>
      <c r="IH1847" s="73"/>
      <c r="II1847" s="73"/>
      <c r="IJ1847" s="73"/>
      <c r="IK1847" s="73"/>
      <c r="IL1847" s="73"/>
      <c r="IM1847" s="73"/>
      <c r="IN1847" s="73"/>
      <c r="IO1847" s="73"/>
      <c r="IP1847" s="73"/>
      <c r="IQ1847" s="73"/>
      <c r="IR1847" s="73"/>
      <c r="IS1847" s="73"/>
      <c r="IT1847" s="73"/>
      <c r="IU1847" s="73"/>
      <c r="IV1847" s="73"/>
      <c r="IW1847" s="73"/>
      <c r="IX1847" s="73"/>
      <c r="IY1847" s="73"/>
      <c r="IZ1847" s="73"/>
      <c r="JA1847" s="73"/>
      <c r="JB1847" s="73"/>
      <c r="JC1847" s="73"/>
    </row>
    <row r="1848" spans="2:263" s="72" customFormat="1">
      <c r="B1848" s="73"/>
      <c r="C1848" s="73"/>
      <c r="D1848" s="73"/>
      <c r="E1848" s="73"/>
      <c r="F1848" s="73"/>
      <c r="G1848" s="73"/>
      <c r="H1848" s="73"/>
      <c r="I1848" s="73"/>
      <c r="J1848" s="73"/>
      <c r="K1848" s="73"/>
      <c r="L1848" s="73"/>
      <c r="M1848" s="73"/>
      <c r="N1848" s="73"/>
      <c r="O1848" s="73"/>
      <c r="P1848" s="73"/>
      <c r="Q1848" s="73"/>
      <c r="R1848" s="73"/>
      <c r="S1848" s="73"/>
      <c r="T1848" s="73"/>
      <c r="U1848" s="73"/>
      <c r="V1848" s="73"/>
      <c r="W1848" s="73"/>
      <c r="GL1848" s="73"/>
      <c r="GM1848" s="73"/>
      <c r="GN1848" s="73"/>
      <c r="GO1848" s="73"/>
      <c r="GP1848" s="73"/>
      <c r="GQ1848" s="73"/>
      <c r="GR1848" s="73"/>
      <c r="GS1848" s="73"/>
      <c r="GT1848" s="73"/>
      <c r="GU1848" s="73"/>
      <c r="GV1848" s="73"/>
      <c r="GW1848" s="73"/>
      <c r="GX1848" s="73"/>
      <c r="GY1848" s="73"/>
      <c r="GZ1848" s="73"/>
      <c r="HA1848" s="73"/>
      <c r="HB1848" s="73"/>
      <c r="HC1848" s="73"/>
      <c r="HD1848" s="73"/>
      <c r="HE1848" s="73"/>
      <c r="HF1848" s="73"/>
      <c r="HG1848" s="73"/>
      <c r="HH1848" s="73"/>
      <c r="HI1848" s="73"/>
      <c r="HJ1848" s="73"/>
      <c r="HK1848" s="73"/>
      <c r="HL1848" s="73"/>
      <c r="HM1848" s="73"/>
      <c r="HN1848" s="73"/>
      <c r="HO1848" s="73"/>
      <c r="HP1848" s="73"/>
      <c r="HQ1848" s="73"/>
      <c r="HR1848" s="73"/>
      <c r="HS1848" s="73"/>
      <c r="HT1848" s="73"/>
      <c r="HU1848" s="73"/>
      <c r="HV1848" s="73"/>
      <c r="HW1848" s="73"/>
      <c r="HX1848" s="73"/>
      <c r="HY1848" s="73"/>
      <c r="HZ1848" s="73"/>
      <c r="IA1848" s="73"/>
      <c r="IB1848" s="73"/>
      <c r="IC1848" s="73"/>
      <c r="ID1848" s="73"/>
      <c r="IE1848" s="73"/>
      <c r="IF1848" s="73"/>
      <c r="IG1848" s="73"/>
      <c r="IH1848" s="73"/>
      <c r="II1848" s="73"/>
      <c r="IJ1848" s="73"/>
      <c r="IK1848" s="73"/>
      <c r="IL1848" s="73"/>
      <c r="IM1848" s="73"/>
      <c r="IN1848" s="73"/>
      <c r="IO1848" s="73"/>
      <c r="IP1848" s="73"/>
      <c r="IQ1848" s="73"/>
      <c r="IR1848" s="73"/>
      <c r="IS1848" s="73"/>
      <c r="IT1848" s="73"/>
      <c r="IU1848" s="73"/>
      <c r="IV1848" s="73"/>
      <c r="IW1848" s="73"/>
      <c r="IX1848" s="73"/>
      <c r="IY1848" s="73"/>
      <c r="IZ1848" s="73"/>
      <c r="JA1848" s="73"/>
      <c r="JB1848" s="73"/>
      <c r="JC1848" s="73"/>
    </row>
    <row r="1849" spans="2:263" s="72" customFormat="1">
      <c r="B1849" s="73"/>
      <c r="C1849" s="73"/>
      <c r="D1849" s="73"/>
      <c r="E1849" s="73"/>
      <c r="F1849" s="73"/>
      <c r="G1849" s="73"/>
      <c r="H1849" s="73"/>
      <c r="I1849" s="73"/>
      <c r="J1849" s="73"/>
      <c r="K1849" s="73"/>
      <c r="L1849" s="73"/>
      <c r="M1849" s="73"/>
      <c r="N1849" s="73"/>
      <c r="O1849" s="73"/>
      <c r="P1849" s="73"/>
      <c r="Q1849" s="73"/>
      <c r="R1849" s="73"/>
      <c r="S1849" s="73"/>
      <c r="T1849" s="73"/>
      <c r="U1849" s="73"/>
      <c r="V1849" s="73"/>
      <c r="W1849" s="73"/>
      <c r="GL1849" s="73"/>
      <c r="GM1849" s="73"/>
      <c r="GN1849" s="73"/>
      <c r="GO1849" s="73"/>
      <c r="GP1849" s="73"/>
      <c r="GQ1849" s="73"/>
      <c r="GR1849" s="73"/>
      <c r="GS1849" s="73"/>
      <c r="GT1849" s="73"/>
      <c r="GU1849" s="73"/>
      <c r="GV1849" s="73"/>
      <c r="GW1849" s="73"/>
      <c r="GX1849" s="73"/>
      <c r="GY1849" s="73"/>
      <c r="GZ1849" s="73"/>
      <c r="HA1849" s="73"/>
      <c r="HB1849" s="73"/>
      <c r="HC1849" s="73"/>
      <c r="HD1849" s="73"/>
      <c r="HE1849" s="73"/>
      <c r="HF1849" s="73"/>
      <c r="HG1849" s="73"/>
      <c r="HH1849" s="73"/>
      <c r="HI1849" s="73"/>
      <c r="HJ1849" s="73"/>
      <c r="HK1849" s="73"/>
      <c r="HL1849" s="73"/>
      <c r="HM1849" s="73"/>
      <c r="HN1849" s="73"/>
      <c r="HO1849" s="73"/>
      <c r="HP1849" s="73"/>
      <c r="HQ1849" s="73"/>
      <c r="HR1849" s="73"/>
      <c r="HS1849" s="73"/>
      <c r="HT1849" s="73"/>
      <c r="HU1849" s="73"/>
      <c r="HV1849" s="73"/>
      <c r="HW1849" s="73"/>
      <c r="HX1849" s="73"/>
      <c r="HY1849" s="73"/>
      <c r="HZ1849" s="73"/>
      <c r="IA1849" s="73"/>
      <c r="IB1849" s="73"/>
      <c r="IC1849" s="73"/>
      <c r="ID1849" s="73"/>
      <c r="IE1849" s="73"/>
      <c r="IF1849" s="73"/>
      <c r="IG1849" s="73"/>
      <c r="IH1849" s="73"/>
      <c r="II1849" s="73"/>
      <c r="IJ1849" s="73"/>
      <c r="IK1849" s="73"/>
      <c r="IL1849" s="73"/>
      <c r="IM1849" s="73"/>
      <c r="IN1849" s="73"/>
      <c r="IO1849" s="73"/>
      <c r="IP1849" s="73"/>
      <c r="IQ1849" s="73"/>
      <c r="IR1849" s="73"/>
      <c r="IS1849" s="73"/>
      <c r="IT1849" s="73"/>
      <c r="IU1849" s="73"/>
      <c r="IV1849" s="73"/>
      <c r="IW1849" s="73"/>
      <c r="IX1849" s="73"/>
      <c r="IY1849" s="73"/>
      <c r="IZ1849" s="73"/>
      <c r="JA1849" s="73"/>
      <c r="JB1849" s="73"/>
      <c r="JC1849" s="73"/>
    </row>
    <row r="1850" spans="2:263" s="72" customFormat="1">
      <c r="B1850" s="73"/>
      <c r="C1850" s="73"/>
      <c r="D1850" s="73"/>
      <c r="E1850" s="73"/>
      <c r="F1850" s="73"/>
      <c r="G1850" s="73"/>
      <c r="H1850" s="73"/>
      <c r="I1850" s="73"/>
      <c r="J1850" s="73"/>
      <c r="K1850" s="73"/>
      <c r="L1850" s="73"/>
      <c r="M1850" s="73"/>
      <c r="N1850" s="73"/>
      <c r="O1850" s="73"/>
      <c r="P1850" s="73"/>
      <c r="Q1850" s="73"/>
      <c r="R1850" s="73"/>
      <c r="S1850" s="73"/>
      <c r="T1850" s="73"/>
      <c r="U1850" s="73"/>
      <c r="V1850" s="73"/>
      <c r="W1850" s="73"/>
      <c r="GL1850" s="73"/>
      <c r="GM1850" s="73"/>
      <c r="GN1850" s="73"/>
      <c r="GO1850" s="73"/>
      <c r="GP1850" s="73"/>
      <c r="GQ1850" s="73"/>
      <c r="GR1850" s="73"/>
      <c r="GS1850" s="73"/>
      <c r="GT1850" s="73"/>
      <c r="GU1850" s="73"/>
      <c r="GV1850" s="73"/>
      <c r="GW1850" s="73"/>
      <c r="GX1850" s="73"/>
      <c r="GY1850" s="73"/>
      <c r="GZ1850" s="73"/>
      <c r="HA1850" s="73"/>
      <c r="HB1850" s="73"/>
      <c r="HC1850" s="73"/>
      <c r="HD1850" s="73"/>
      <c r="HE1850" s="73"/>
      <c r="HF1850" s="73"/>
      <c r="HG1850" s="73"/>
      <c r="HH1850" s="73"/>
      <c r="HI1850" s="73"/>
      <c r="HJ1850" s="73"/>
      <c r="HK1850" s="73"/>
      <c r="HL1850" s="73"/>
      <c r="HM1850" s="73"/>
      <c r="HN1850" s="73"/>
      <c r="HO1850" s="73"/>
      <c r="HP1850" s="73"/>
      <c r="HQ1850" s="73"/>
      <c r="HR1850" s="73"/>
      <c r="HS1850" s="73"/>
      <c r="HT1850" s="73"/>
      <c r="HU1850" s="73"/>
      <c r="HV1850" s="73"/>
      <c r="HW1850" s="73"/>
      <c r="HX1850" s="73"/>
      <c r="HY1850" s="73"/>
      <c r="HZ1850" s="73"/>
      <c r="IA1850" s="73"/>
      <c r="IB1850" s="73"/>
      <c r="IC1850" s="73"/>
      <c r="ID1850" s="73"/>
      <c r="IE1850" s="73"/>
      <c r="IF1850" s="73"/>
      <c r="IG1850" s="73"/>
      <c r="IH1850" s="73"/>
      <c r="II1850" s="73"/>
      <c r="IJ1850" s="73"/>
      <c r="IK1850" s="73"/>
      <c r="IL1850" s="73"/>
      <c r="IM1850" s="73"/>
      <c r="IN1850" s="73"/>
      <c r="IO1850" s="73"/>
      <c r="IP1850" s="73"/>
      <c r="IQ1850" s="73"/>
      <c r="IR1850" s="73"/>
      <c r="IS1850" s="73"/>
      <c r="IT1850" s="73"/>
      <c r="IU1850" s="73"/>
      <c r="IV1850" s="73"/>
      <c r="IW1850" s="73"/>
      <c r="IX1850" s="73"/>
      <c r="IY1850" s="73"/>
      <c r="IZ1850" s="73"/>
      <c r="JA1850" s="73"/>
      <c r="JB1850" s="73"/>
      <c r="JC1850" s="73"/>
    </row>
    <row r="1851" spans="2:263" s="72" customFormat="1">
      <c r="B1851" s="73"/>
      <c r="C1851" s="73"/>
      <c r="D1851" s="73"/>
      <c r="E1851" s="73"/>
      <c r="F1851" s="73"/>
      <c r="G1851" s="73"/>
      <c r="H1851" s="73"/>
      <c r="I1851" s="73"/>
      <c r="J1851" s="73"/>
      <c r="K1851" s="73"/>
      <c r="L1851" s="73"/>
      <c r="M1851" s="73"/>
      <c r="N1851" s="73"/>
      <c r="O1851" s="73"/>
      <c r="P1851" s="73"/>
      <c r="Q1851" s="73"/>
      <c r="R1851" s="73"/>
      <c r="S1851" s="73"/>
      <c r="T1851" s="73"/>
      <c r="U1851" s="73"/>
      <c r="V1851" s="73"/>
      <c r="W1851" s="73"/>
      <c r="GL1851" s="73"/>
      <c r="GM1851" s="73"/>
      <c r="GN1851" s="73"/>
      <c r="GO1851" s="73"/>
      <c r="GP1851" s="73"/>
      <c r="GQ1851" s="73"/>
      <c r="GR1851" s="73"/>
      <c r="GS1851" s="73"/>
      <c r="GT1851" s="73"/>
      <c r="GU1851" s="73"/>
      <c r="GV1851" s="73"/>
      <c r="GW1851" s="73"/>
      <c r="GX1851" s="73"/>
      <c r="GY1851" s="73"/>
      <c r="GZ1851" s="73"/>
      <c r="HA1851" s="73"/>
      <c r="HB1851" s="73"/>
      <c r="HC1851" s="73"/>
      <c r="HD1851" s="73"/>
      <c r="HE1851" s="73"/>
      <c r="HF1851" s="73"/>
      <c r="HG1851" s="73"/>
      <c r="HH1851" s="73"/>
      <c r="HI1851" s="73"/>
      <c r="HJ1851" s="73"/>
      <c r="HK1851" s="73"/>
      <c r="HL1851" s="73"/>
      <c r="HM1851" s="73"/>
      <c r="HN1851" s="73"/>
      <c r="HO1851" s="73"/>
      <c r="HP1851" s="73"/>
      <c r="HQ1851" s="73"/>
      <c r="HR1851" s="73"/>
      <c r="HS1851" s="73"/>
      <c r="HT1851" s="73"/>
      <c r="HU1851" s="73"/>
      <c r="HV1851" s="73"/>
      <c r="HW1851" s="73"/>
      <c r="HX1851" s="73"/>
      <c r="HY1851" s="73"/>
      <c r="HZ1851" s="73"/>
      <c r="IA1851" s="73"/>
      <c r="IB1851" s="73"/>
      <c r="IC1851" s="73"/>
      <c r="ID1851" s="73"/>
      <c r="IE1851" s="73"/>
      <c r="IF1851" s="73"/>
      <c r="IG1851" s="73"/>
      <c r="IH1851" s="73"/>
      <c r="II1851" s="73"/>
      <c r="IJ1851" s="73"/>
      <c r="IK1851" s="73"/>
      <c r="IL1851" s="73"/>
      <c r="IM1851" s="73"/>
      <c r="IN1851" s="73"/>
      <c r="IO1851" s="73"/>
      <c r="IP1851" s="73"/>
      <c r="IQ1851" s="73"/>
      <c r="IR1851" s="73"/>
      <c r="IS1851" s="73"/>
      <c r="IT1851" s="73"/>
      <c r="IU1851" s="73"/>
      <c r="IV1851" s="73"/>
      <c r="IW1851" s="73"/>
      <c r="IX1851" s="73"/>
      <c r="IY1851" s="73"/>
      <c r="IZ1851" s="73"/>
      <c r="JA1851" s="73"/>
      <c r="JB1851" s="73"/>
      <c r="JC1851" s="73"/>
    </row>
    <row r="1852" spans="2:263" s="72" customFormat="1">
      <c r="B1852" s="73"/>
      <c r="C1852" s="73"/>
      <c r="D1852" s="73"/>
      <c r="E1852" s="73"/>
      <c r="F1852" s="73"/>
      <c r="G1852" s="73"/>
      <c r="H1852" s="73"/>
      <c r="I1852" s="73"/>
      <c r="J1852" s="73"/>
      <c r="K1852" s="73"/>
      <c r="L1852" s="73"/>
      <c r="M1852" s="73"/>
      <c r="N1852" s="73"/>
      <c r="O1852" s="73"/>
      <c r="P1852" s="73"/>
      <c r="Q1852" s="73"/>
      <c r="R1852" s="73"/>
      <c r="S1852" s="73"/>
      <c r="T1852" s="73"/>
      <c r="U1852" s="73"/>
      <c r="V1852" s="73"/>
      <c r="W1852" s="73"/>
      <c r="GL1852" s="73"/>
      <c r="GM1852" s="73"/>
      <c r="GN1852" s="73"/>
      <c r="GO1852" s="73"/>
      <c r="GP1852" s="73"/>
      <c r="GQ1852" s="73"/>
      <c r="GR1852" s="73"/>
      <c r="GS1852" s="73"/>
      <c r="GT1852" s="73"/>
      <c r="GU1852" s="73"/>
      <c r="GV1852" s="73"/>
      <c r="GW1852" s="73"/>
      <c r="GX1852" s="73"/>
      <c r="GY1852" s="73"/>
      <c r="GZ1852" s="73"/>
      <c r="HA1852" s="73"/>
      <c r="HB1852" s="73"/>
      <c r="HC1852" s="73"/>
      <c r="HD1852" s="73"/>
      <c r="HE1852" s="73"/>
      <c r="HF1852" s="73"/>
      <c r="HG1852" s="73"/>
      <c r="HH1852" s="73"/>
      <c r="HI1852" s="73"/>
      <c r="HJ1852" s="73"/>
      <c r="HK1852" s="73"/>
      <c r="HL1852" s="73"/>
      <c r="HM1852" s="73"/>
      <c r="HN1852" s="73"/>
      <c r="HO1852" s="73"/>
      <c r="HP1852" s="73"/>
      <c r="HQ1852" s="73"/>
      <c r="HR1852" s="73"/>
      <c r="HS1852" s="73"/>
      <c r="HT1852" s="73"/>
      <c r="HU1852" s="73"/>
      <c r="HV1852" s="73"/>
      <c r="HW1852" s="73"/>
      <c r="HX1852" s="73"/>
      <c r="HY1852" s="73"/>
      <c r="HZ1852" s="73"/>
      <c r="IA1852" s="73"/>
      <c r="IB1852" s="73"/>
      <c r="IC1852" s="73"/>
      <c r="ID1852" s="73"/>
      <c r="IE1852" s="73"/>
      <c r="IF1852" s="73"/>
      <c r="IG1852" s="73"/>
      <c r="IH1852" s="73"/>
      <c r="II1852" s="73"/>
      <c r="IJ1852" s="73"/>
      <c r="IK1852" s="73"/>
      <c r="IL1852" s="73"/>
      <c r="IM1852" s="73"/>
      <c r="IN1852" s="73"/>
      <c r="IO1852" s="73"/>
      <c r="IP1852" s="73"/>
      <c r="IQ1852" s="73"/>
      <c r="IR1852" s="73"/>
      <c r="IS1852" s="73"/>
      <c r="IT1852" s="73"/>
      <c r="IU1852" s="73"/>
      <c r="IV1852" s="73"/>
      <c r="IW1852" s="73"/>
      <c r="IX1852" s="73"/>
      <c r="IY1852" s="73"/>
      <c r="IZ1852" s="73"/>
      <c r="JA1852" s="73"/>
      <c r="JB1852" s="73"/>
      <c r="JC1852" s="73"/>
    </row>
    <row r="1853" spans="2:263" s="72" customFormat="1">
      <c r="B1853" s="73"/>
      <c r="C1853" s="73"/>
      <c r="D1853" s="73"/>
      <c r="E1853" s="73"/>
      <c r="F1853" s="73"/>
      <c r="G1853" s="73"/>
      <c r="H1853" s="73"/>
      <c r="I1853" s="73"/>
      <c r="J1853" s="73"/>
      <c r="K1853" s="73"/>
      <c r="L1853" s="73"/>
      <c r="M1853" s="73"/>
      <c r="N1853" s="73"/>
      <c r="O1853" s="73"/>
      <c r="P1853" s="73"/>
      <c r="Q1853" s="73"/>
      <c r="R1853" s="73"/>
      <c r="S1853" s="73"/>
      <c r="T1853" s="73"/>
      <c r="U1853" s="73"/>
      <c r="V1853" s="73"/>
      <c r="W1853" s="73"/>
      <c r="GL1853" s="73"/>
      <c r="GM1853" s="73"/>
      <c r="GN1853" s="73"/>
      <c r="GO1853" s="73"/>
      <c r="GP1853" s="73"/>
      <c r="GQ1853" s="73"/>
      <c r="GR1853" s="73"/>
      <c r="GS1853" s="73"/>
      <c r="GT1853" s="73"/>
      <c r="GU1853" s="73"/>
      <c r="GV1853" s="73"/>
      <c r="GW1853" s="73"/>
      <c r="GX1853" s="73"/>
      <c r="GY1853" s="73"/>
      <c r="GZ1853" s="73"/>
      <c r="HA1853" s="73"/>
      <c r="HB1853" s="73"/>
      <c r="HC1853" s="73"/>
      <c r="HD1853" s="73"/>
      <c r="HE1853" s="73"/>
      <c r="HF1853" s="73"/>
      <c r="HG1853" s="73"/>
      <c r="HH1853" s="73"/>
      <c r="HI1853" s="73"/>
      <c r="HJ1853" s="73"/>
      <c r="HK1853" s="73"/>
      <c r="HL1853" s="73"/>
      <c r="HM1853" s="73"/>
      <c r="HN1853" s="73"/>
      <c r="HO1853" s="73"/>
      <c r="HP1853" s="73"/>
      <c r="HQ1853" s="73"/>
      <c r="HR1853" s="73"/>
      <c r="HS1853" s="73"/>
      <c r="HT1853" s="73"/>
      <c r="HU1853" s="73"/>
      <c r="HV1853" s="73"/>
      <c r="HW1853" s="73"/>
      <c r="HX1853" s="73"/>
      <c r="HY1853" s="73"/>
      <c r="HZ1853" s="73"/>
      <c r="IA1853" s="73"/>
      <c r="IB1853" s="73"/>
      <c r="IC1853" s="73"/>
      <c r="ID1853" s="73"/>
      <c r="IE1853" s="73"/>
      <c r="IF1853" s="73"/>
      <c r="IG1853" s="73"/>
      <c r="IH1853" s="73"/>
      <c r="II1853" s="73"/>
      <c r="IJ1853" s="73"/>
      <c r="IK1853" s="73"/>
      <c r="IL1853" s="73"/>
      <c r="IM1853" s="73"/>
      <c r="IN1853" s="73"/>
      <c r="IO1853" s="73"/>
      <c r="IP1853" s="73"/>
      <c r="IQ1853" s="73"/>
      <c r="IR1853" s="73"/>
      <c r="IS1853" s="73"/>
      <c r="IT1853" s="73"/>
      <c r="IU1853" s="73"/>
      <c r="IV1853" s="73"/>
      <c r="IW1853" s="73"/>
      <c r="IX1853" s="73"/>
      <c r="IY1853" s="73"/>
      <c r="IZ1853" s="73"/>
      <c r="JA1853" s="73"/>
      <c r="JB1853" s="73"/>
      <c r="JC1853" s="73"/>
    </row>
    <row r="1854" spans="2:263" s="72" customFormat="1">
      <c r="B1854" s="73"/>
      <c r="C1854" s="73"/>
      <c r="D1854" s="73"/>
      <c r="E1854" s="73"/>
      <c r="F1854" s="73"/>
      <c r="G1854" s="73"/>
      <c r="H1854" s="73"/>
      <c r="I1854" s="73"/>
      <c r="J1854" s="73"/>
      <c r="K1854" s="73"/>
      <c r="L1854" s="73"/>
      <c r="M1854" s="73"/>
      <c r="N1854" s="73"/>
      <c r="O1854" s="73"/>
      <c r="P1854" s="73"/>
      <c r="Q1854" s="73"/>
      <c r="R1854" s="73"/>
      <c r="S1854" s="73"/>
      <c r="T1854" s="73"/>
      <c r="U1854" s="73"/>
      <c r="V1854" s="73"/>
      <c r="W1854" s="73"/>
      <c r="GL1854" s="73"/>
      <c r="GM1854" s="73"/>
      <c r="GN1854" s="73"/>
      <c r="GO1854" s="73"/>
      <c r="GP1854" s="73"/>
      <c r="GQ1854" s="73"/>
      <c r="GR1854" s="73"/>
      <c r="GS1854" s="73"/>
      <c r="GT1854" s="73"/>
      <c r="GU1854" s="73"/>
      <c r="GV1854" s="73"/>
      <c r="GW1854" s="73"/>
      <c r="GX1854" s="73"/>
      <c r="GY1854" s="73"/>
      <c r="GZ1854" s="73"/>
      <c r="HA1854" s="73"/>
      <c r="HB1854" s="73"/>
      <c r="HC1854" s="73"/>
      <c r="HD1854" s="73"/>
      <c r="HE1854" s="73"/>
      <c r="HF1854" s="73"/>
      <c r="HG1854" s="73"/>
      <c r="HH1854" s="73"/>
      <c r="HI1854" s="73"/>
      <c r="HJ1854" s="73"/>
      <c r="HK1854" s="73"/>
      <c r="HL1854" s="73"/>
      <c r="HM1854" s="73"/>
      <c r="HN1854" s="73"/>
      <c r="HO1854" s="73"/>
      <c r="HP1854" s="73"/>
      <c r="HQ1854" s="73"/>
      <c r="HR1854" s="73"/>
      <c r="HS1854" s="73"/>
      <c r="HT1854" s="73"/>
      <c r="HU1854" s="73"/>
      <c r="HV1854" s="73"/>
      <c r="HW1854" s="73"/>
      <c r="HX1854" s="73"/>
      <c r="HY1854" s="73"/>
      <c r="HZ1854" s="73"/>
      <c r="IA1854" s="73"/>
      <c r="IB1854" s="73"/>
      <c r="IC1854" s="73"/>
      <c r="ID1854" s="73"/>
      <c r="IE1854" s="73"/>
      <c r="IF1854" s="73"/>
      <c r="IG1854" s="73"/>
      <c r="IH1854" s="73"/>
      <c r="II1854" s="73"/>
      <c r="IJ1854" s="73"/>
      <c r="IK1854" s="73"/>
      <c r="IL1854" s="73"/>
      <c r="IM1854" s="73"/>
      <c r="IN1854" s="73"/>
      <c r="IO1854" s="73"/>
      <c r="IP1854" s="73"/>
      <c r="IQ1854" s="73"/>
      <c r="IR1854" s="73"/>
      <c r="IS1854" s="73"/>
      <c r="IT1854" s="73"/>
      <c r="IU1854" s="73"/>
      <c r="IV1854" s="73"/>
      <c r="IW1854" s="73"/>
      <c r="IX1854" s="73"/>
      <c r="IY1854" s="73"/>
      <c r="IZ1854" s="73"/>
      <c r="JA1854" s="73"/>
      <c r="JB1854" s="73"/>
      <c r="JC1854" s="73"/>
    </row>
    <row r="1855" spans="2:263" s="72" customFormat="1">
      <c r="B1855" s="73"/>
      <c r="C1855" s="73"/>
      <c r="D1855" s="73"/>
      <c r="E1855" s="73"/>
      <c r="F1855" s="73"/>
      <c r="G1855" s="73"/>
      <c r="H1855" s="73"/>
      <c r="I1855" s="73"/>
      <c r="J1855" s="73"/>
      <c r="K1855" s="73"/>
      <c r="L1855" s="73"/>
      <c r="M1855" s="73"/>
      <c r="N1855" s="73"/>
      <c r="O1855" s="73"/>
      <c r="P1855" s="73"/>
      <c r="Q1855" s="73"/>
      <c r="R1855" s="73"/>
      <c r="S1855" s="73"/>
      <c r="T1855" s="73"/>
      <c r="U1855" s="73"/>
      <c r="V1855" s="73"/>
      <c r="W1855" s="73"/>
      <c r="GL1855" s="73"/>
      <c r="GM1855" s="73"/>
      <c r="GN1855" s="73"/>
      <c r="GO1855" s="73"/>
      <c r="GP1855" s="73"/>
      <c r="GQ1855" s="73"/>
      <c r="GR1855" s="73"/>
      <c r="GS1855" s="73"/>
      <c r="GT1855" s="73"/>
      <c r="GU1855" s="73"/>
      <c r="GV1855" s="73"/>
      <c r="GW1855" s="73"/>
      <c r="GX1855" s="73"/>
      <c r="GY1855" s="73"/>
      <c r="GZ1855" s="73"/>
      <c r="HA1855" s="73"/>
      <c r="HB1855" s="73"/>
      <c r="HC1855" s="73"/>
      <c r="HD1855" s="73"/>
      <c r="HE1855" s="73"/>
      <c r="HF1855" s="73"/>
      <c r="HG1855" s="73"/>
      <c r="HH1855" s="73"/>
      <c r="HI1855" s="73"/>
      <c r="HJ1855" s="73"/>
      <c r="HK1855" s="73"/>
      <c r="HL1855" s="73"/>
      <c r="HM1855" s="73"/>
      <c r="HN1855" s="73"/>
      <c r="HO1855" s="73"/>
      <c r="HP1855" s="73"/>
      <c r="HQ1855" s="73"/>
      <c r="HR1855" s="73"/>
      <c r="HS1855" s="73"/>
      <c r="HT1855" s="73"/>
      <c r="HU1855" s="73"/>
      <c r="HV1855" s="73"/>
      <c r="HW1855" s="73"/>
      <c r="HX1855" s="73"/>
      <c r="HY1855" s="73"/>
      <c r="HZ1855" s="73"/>
      <c r="IA1855" s="73"/>
      <c r="IB1855" s="73"/>
      <c r="IC1855" s="73"/>
      <c r="ID1855" s="73"/>
      <c r="IE1855" s="73"/>
      <c r="IF1855" s="73"/>
      <c r="IG1855" s="73"/>
      <c r="IH1855" s="73"/>
      <c r="II1855" s="73"/>
      <c r="IJ1855" s="73"/>
      <c r="IK1855" s="73"/>
      <c r="IL1855" s="73"/>
      <c r="IM1855" s="73"/>
      <c r="IN1855" s="73"/>
      <c r="IO1855" s="73"/>
      <c r="IP1855" s="73"/>
      <c r="IQ1855" s="73"/>
      <c r="IR1855" s="73"/>
      <c r="IS1855" s="73"/>
      <c r="IT1855" s="73"/>
      <c r="IU1855" s="73"/>
      <c r="IV1855" s="73"/>
      <c r="IW1855" s="73"/>
      <c r="IX1855" s="73"/>
      <c r="IY1855" s="73"/>
      <c r="IZ1855" s="73"/>
      <c r="JA1855" s="73"/>
      <c r="JB1855" s="73"/>
      <c r="JC1855" s="73"/>
    </row>
    <row r="1856" spans="2:263" s="72" customFormat="1">
      <c r="B1856" s="73"/>
      <c r="C1856" s="73"/>
      <c r="D1856" s="73"/>
      <c r="E1856" s="73"/>
      <c r="F1856" s="73"/>
      <c r="G1856" s="73"/>
      <c r="H1856" s="73"/>
      <c r="I1856" s="73"/>
      <c r="J1856" s="73"/>
      <c r="K1856" s="73"/>
      <c r="L1856" s="73"/>
      <c r="M1856" s="73"/>
      <c r="N1856" s="73"/>
      <c r="O1856" s="73"/>
      <c r="P1856" s="73"/>
      <c r="Q1856" s="73"/>
      <c r="R1856" s="73"/>
      <c r="S1856" s="73"/>
      <c r="T1856" s="73"/>
      <c r="U1856" s="73"/>
      <c r="V1856" s="73"/>
      <c r="W1856" s="73"/>
      <c r="GL1856" s="73"/>
      <c r="GM1856" s="73"/>
      <c r="GN1856" s="73"/>
      <c r="GO1856" s="73"/>
      <c r="GP1856" s="73"/>
      <c r="GQ1856" s="73"/>
      <c r="GR1856" s="73"/>
      <c r="GS1856" s="73"/>
      <c r="GT1856" s="73"/>
      <c r="GU1856" s="73"/>
      <c r="GV1856" s="73"/>
      <c r="GW1856" s="73"/>
      <c r="GX1856" s="73"/>
      <c r="GY1856" s="73"/>
      <c r="GZ1856" s="73"/>
      <c r="HA1856" s="73"/>
      <c r="HB1856" s="73"/>
      <c r="HC1856" s="73"/>
      <c r="HD1856" s="73"/>
      <c r="HE1856" s="73"/>
      <c r="HF1856" s="73"/>
      <c r="HG1856" s="73"/>
      <c r="HH1856" s="73"/>
      <c r="HI1856" s="73"/>
      <c r="HJ1856" s="73"/>
      <c r="HK1856" s="73"/>
      <c r="HL1856" s="73"/>
      <c r="HM1856" s="73"/>
      <c r="HN1856" s="73"/>
      <c r="HO1856" s="73"/>
      <c r="HP1856" s="73"/>
      <c r="HQ1856" s="73"/>
      <c r="HR1856" s="73"/>
      <c r="HS1856" s="73"/>
      <c r="HT1856" s="73"/>
      <c r="HU1856" s="73"/>
      <c r="HV1856" s="73"/>
      <c r="HW1856" s="73"/>
      <c r="HX1856" s="73"/>
      <c r="HY1856" s="73"/>
      <c r="HZ1856" s="73"/>
      <c r="IA1856" s="73"/>
      <c r="IB1856" s="73"/>
      <c r="IC1856" s="73"/>
      <c r="ID1856" s="73"/>
      <c r="IE1856" s="73"/>
      <c r="IF1856" s="73"/>
      <c r="IG1856" s="73"/>
      <c r="IH1856" s="73"/>
      <c r="II1856" s="73"/>
      <c r="IJ1856" s="73"/>
      <c r="IK1856" s="73"/>
      <c r="IL1856" s="73"/>
      <c r="IM1856" s="73"/>
      <c r="IN1856" s="73"/>
      <c r="IO1856" s="73"/>
      <c r="IP1856" s="73"/>
      <c r="IQ1856" s="73"/>
      <c r="IR1856" s="73"/>
      <c r="IS1856" s="73"/>
      <c r="IT1856" s="73"/>
      <c r="IU1856" s="73"/>
      <c r="IV1856" s="73"/>
      <c r="IW1856" s="73"/>
      <c r="IX1856" s="73"/>
      <c r="IY1856" s="73"/>
      <c r="IZ1856" s="73"/>
      <c r="JA1856" s="73"/>
      <c r="JB1856" s="73"/>
      <c r="JC1856" s="73"/>
    </row>
    <row r="1857" spans="2:263" s="72" customFormat="1">
      <c r="B1857" s="73"/>
      <c r="C1857" s="73"/>
      <c r="D1857" s="73"/>
      <c r="E1857" s="73"/>
      <c r="F1857" s="73"/>
      <c r="G1857" s="73"/>
      <c r="H1857" s="73"/>
      <c r="I1857" s="73"/>
      <c r="J1857" s="73"/>
      <c r="K1857" s="73"/>
      <c r="L1857" s="73"/>
      <c r="M1857" s="73"/>
      <c r="N1857" s="73"/>
      <c r="O1857" s="73"/>
      <c r="P1857" s="73"/>
      <c r="Q1857" s="73"/>
      <c r="R1857" s="73"/>
      <c r="S1857" s="73"/>
      <c r="T1857" s="73"/>
      <c r="U1857" s="73"/>
      <c r="V1857" s="73"/>
      <c r="W1857" s="73"/>
      <c r="GL1857" s="73"/>
      <c r="GM1857" s="73"/>
      <c r="GN1857" s="73"/>
      <c r="GO1857" s="73"/>
      <c r="GP1857" s="73"/>
      <c r="GQ1857" s="73"/>
      <c r="GR1857" s="73"/>
      <c r="GS1857" s="73"/>
      <c r="GT1857" s="73"/>
      <c r="GU1857" s="73"/>
      <c r="GV1857" s="73"/>
      <c r="GW1857" s="73"/>
      <c r="GX1857" s="73"/>
      <c r="GY1857" s="73"/>
      <c r="GZ1857" s="73"/>
      <c r="HA1857" s="73"/>
      <c r="HB1857" s="73"/>
      <c r="HC1857" s="73"/>
      <c r="HD1857" s="73"/>
      <c r="HE1857" s="73"/>
      <c r="HF1857" s="73"/>
      <c r="HG1857" s="73"/>
      <c r="HH1857" s="73"/>
      <c r="HI1857" s="73"/>
      <c r="HJ1857" s="73"/>
      <c r="HK1857" s="73"/>
      <c r="HL1857" s="73"/>
      <c r="HM1857" s="73"/>
      <c r="HN1857" s="73"/>
      <c r="HO1857" s="73"/>
      <c r="HP1857" s="73"/>
      <c r="HQ1857" s="73"/>
      <c r="HR1857" s="73"/>
      <c r="HS1857" s="73"/>
      <c r="HT1857" s="73"/>
      <c r="HU1857" s="73"/>
      <c r="HV1857" s="73"/>
      <c r="HW1857" s="73"/>
      <c r="HX1857" s="73"/>
      <c r="HY1857" s="73"/>
      <c r="HZ1857" s="73"/>
      <c r="IA1857" s="73"/>
      <c r="IB1857" s="73"/>
      <c r="IC1857" s="73"/>
      <c r="ID1857" s="73"/>
      <c r="IE1857" s="73"/>
      <c r="IF1857" s="73"/>
      <c r="IG1857" s="73"/>
      <c r="IH1857" s="73"/>
      <c r="II1857" s="73"/>
      <c r="IJ1857" s="73"/>
      <c r="IK1857" s="73"/>
      <c r="IL1857" s="73"/>
      <c r="IM1857" s="73"/>
      <c r="IN1857" s="73"/>
      <c r="IO1857" s="73"/>
      <c r="IP1857" s="73"/>
      <c r="IQ1857" s="73"/>
      <c r="IR1857" s="73"/>
      <c r="IS1857" s="73"/>
      <c r="IT1857" s="73"/>
      <c r="IU1857" s="73"/>
      <c r="IV1857" s="73"/>
      <c r="IW1857" s="73"/>
      <c r="IX1857" s="73"/>
      <c r="IY1857" s="73"/>
      <c r="IZ1857" s="73"/>
      <c r="JA1857" s="73"/>
      <c r="JB1857" s="73"/>
      <c r="JC1857" s="73"/>
    </row>
    <row r="1858" spans="2:263" s="72" customFormat="1">
      <c r="B1858" s="73"/>
      <c r="C1858" s="73"/>
      <c r="D1858" s="73"/>
      <c r="E1858" s="73"/>
      <c r="F1858" s="73"/>
      <c r="G1858" s="73"/>
      <c r="H1858" s="73"/>
      <c r="I1858" s="73"/>
      <c r="J1858" s="73"/>
      <c r="K1858" s="73"/>
      <c r="L1858" s="73"/>
      <c r="M1858" s="73"/>
      <c r="N1858" s="73"/>
      <c r="O1858" s="73"/>
      <c r="P1858" s="73"/>
      <c r="Q1858" s="73"/>
      <c r="R1858" s="73"/>
      <c r="S1858" s="73"/>
      <c r="T1858" s="73"/>
      <c r="U1858" s="73"/>
      <c r="V1858" s="73"/>
      <c r="W1858" s="73"/>
      <c r="GL1858" s="73"/>
      <c r="GM1858" s="73"/>
      <c r="GN1858" s="73"/>
      <c r="GO1858" s="73"/>
      <c r="GP1858" s="73"/>
      <c r="GQ1858" s="73"/>
      <c r="GR1858" s="73"/>
      <c r="GS1858" s="73"/>
      <c r="GT1858" s="73"/>
      <c r="GU1858" s="73"/>
      <c r="GV1858" s="73"/>
      <c r="GW1858" s="73"/>
      <c r="GX1858" s="73"/>
      <c r="GY1858" s="73"/>
      <c r="GZ1858" s="73"/>
      <c r="HA1858" s="73"/>
      <c r="HB1858" s="73"/>
      <c r="HC1858" s="73"/>
      <c r="HD1858" s="73"/>
      <c r="HE1858" s="73"/>
      <c r="HF1858" s="73"/>
      <c r="HG1858" s="73"/>
      <c r="HH1858" s="73"/>
      <c r="HI1858" s="73"/>
      <c r="HJ1858" s="73"/>
      <c r="HK1858" s="73"/>
      <c r="HL1858" s="73"/>
      <c r="HM1858" s="73"/>
      <c r="HN1858" s="73"/>
      <c r="HO1858" s="73"/>
      <c r="HP1858" s="73"/>
      <c r="HQ1858" s="73"/>
      <c r="HR1858" s="73"/>
      <c r="HS1858" s="73"/>
      <c r="HT1858" s="73"/>
      <c r="HU1858" s="73"/>
      <c r="HV1858" s="73"/>
      <c r="HW1858" s="73"/>
      <c r="HX1858" s="73"/>
      <c r="HY1858" s="73"/>
      <c r="HZ1858" s="73"/>
      <c r="IA1858" s="73"/>
      <c r="IB1858" s="73"/>
      <c r="IC1858" s="73"/>
      <c r="ID1858" s="73"/>
      <c r="IE1858" s="73"/>
      <c r="IF1858" s="73"/>
      <c r="IG1858" s="73"/>
      <c r="IH1858" s="73"/>
      <c r="II1858" s="73"/>
      <c r="IJ1858" s="73"/>
      <c r="IK1858" s="73"/>
      <c r="IL1858" s="73"/>
      <c r="IM1858" s="73"/>
      <c r="IN1858" s="73"/>
      <c r="IO1858" s="73"/>
      <c r="IP1858" s="73"/>
      <c r="IQ1858" s="73"/>
      <c r="IR1858" s="73"/>
      <c r="IS1858" s="73"/>
      <c r="IT1858" s="73"/>
      <c r="IU1858" s="73"/>
      <c r="IV1858" s="73"/>
      <c r="IW1858" s="73"/>
      <c r="IX1858" s="73"/>
      <c r="IY1858" s="73"/>
      <c r="IZ1858" s="73"/>
      <c r="JA1858" s="73"/>
      <c r="JB1858" s="73"/>
      <c r="JC1858" s="73"/>
    </row>
    <row r="1859" spans="2:263" s="72" customFormat="1">
      <c r="B1859" s="73"/>
      <c r="C1859" s="73"/>
      <c r="D1859" s="73"/>
      <c r="E1859" s="73"/>
      <c r="F1859" s="73"/>
      <c r="G1859" s="73"/>
      <c r="H1859" s="73"/>
      <c r="I1859" s="73"/>
      <c r="J1859" s="73"/>
      <c r="K1859" s="73"/>
      <c r="L1859" s="73"/>
      <c r="M1859" s="73"/>
      <c r="N1859" s="73"/>
      <c r="O1859" s="73"/>
      <c r="P1859" s="73"/>
      <c r="Q1859" s="73"/>
      <c r="R1859" s="73"/>
      <c r="S1859" s="73"/>
      <c r="T1859" s="73"/>
      <c r="U1859" s="73"/>
      <c r="V1859" s="73"/>
      <c r="W1859" s="73"/>
      <c r="GL1859" s="73"/>
      <c r="GM1859" s="73"/>
      <c r="GN1859" s="73"/>
      <c r="GO1859" s="73"/>
      <c r="GP1859" s="73"/>
      <c r="GQ1859" s="73"/>
      <c r="GR1859" s="73"/>
      <c r="GS1859" s="73"/>
      <c r="GT1859" s="73"/>
      <c r="GU1859" s="73"/>
      <c r="GV1859" s="73"/>
      <c r="GW1859" s="73"/>
      <c r="GX1859" s="73"/>
      <c r="GY1859" s="73"/>
      <c r="GZ1859" s="73"/>
      <c r="HA1859" s="73"/>
      <c r="HB1859" s="73"/>
      <c r="HC1859" s="73"/>
      <c r="HD1859" s="73"/>
      <c r="HE1859" s="73"/>
      <c r="HF1859" s="73"/>
      <c r="HG1859" s="73"/>
      <c r="HH1859" s="73"/>
      <c r="HI1859" s="73"/>
      <c r="HJ1859" s="73"/>
      <c r="HK1859" s="73"/>
      <c r="HL1859" s="73"/>
      <c r="HM1859" s="73"/>
      <c r="HN1859" s="73"/>
      <c r="HO1859" s="73"/>
      <c r="HP1859" s="73"/>
      <c r="HQ1859" s="73"/>
      <c r="HR1859" s="73"/>
      <c r="HS1859" s="73"/>
      <c r="HT1859" s="73"/>
      <c r="HU1859" s="73"/>
      <c r="HV1859" s="73"/>
      <c r="HW1859" s="73"/>
      <c r="HX1859" s="73"/>
      <c r="HY1859" s="73"/>
      <c r="HZ1859" s="73"/>
      <c r="IA1859" s="73"/>
      <c r="IB1859" s="73"/>
      <c r="IC1859" s="73"/>
      <c r="ID1859" s="73"/>
      <c r="IE1859" s="73"/>
      <c r="IF1859" s="73"/>
      <c r="IG1859" s="73"/>
      <c r="IH1859" s="73"/>
      <c r="II1859" s="73"/>
      <c r="IJ1859" s="73"/>
      <c r="IK1859" s="73"/>
      <c r="IL1859" s="73"/>
      <c r="IM1859" s="73"/>
      <c r="IN1859" s="73"/>
      <c r="IO1859" s="73"/>
      <c r="IP1859" s="73"/>
      <c r="IQ1859" s="73"/>
      <c r="IR1859" s="73"/>
      <c r="IS1859" s="73"/>
      <c r="IT1859" s="73"/>
      <c r="IU1859" s="73"/>
      <c r="IV1859" s="73"/>
      <c r="IW1859" s="73"/>
      <c r="IX1859" s="73"/>
      <c r="IY1859" s="73"/>
      <c r="IZ1859" s="73"/>
      <c r="JA1859" s="73"/>
      <c r="JB1859" s="73"/>
      <c r="JC1859" s="73"/>
    </row>
    <row r="1860" spans="2:263" s="72" customFormat="1">
      <c r="B1860" s="73"/>
      <c r="C1860" s="73"/>
      <c r="D1860" s="73"/>
      <c r="E1860" s="73"/>
      <c r="F1860" s="73"/>
      <c r="G1860" s="73"/>
      <c r="H1860" s="73"/>
      <c r="I1860" s="73"/>
      <c r="J1860" s="73"/>
      <c r="K1860" s="73"/>
      <c r="L1860" s="73"/>
      <c r="M1860" s="73"/>
      <c r="N1860" s="73"/>
      <c r="O1860" s="73"/>
      <c r="P1860" s="73"/>
      <c r="Q1860" s="73"/>
      <c r="R1860" s="73"/>
      <c r="S1860" s="73"/>
      <c r="T1860" s="73"/>
      <c r="U1860" s="73"/>
      <c r="V1860" s="73"/>
      <c r="W1860" s="73"/>
      <c r="GL1860" s="73"/>
      <c r="GM1860" s="73"/>
      <c r="GN1860" s="73"/>
      <c r="GO1860" s="73"/>
      <c r="GP1860" s="73"/>
      <c r="GQ1860" s="73"/>
      <c r="GR1860" s="73"/>
      <c r="GS1860" s="73"/>
      <c r="GT1860" s="73"/>
      <c r="GU1860" s="73"/>
      <c r="GV1860" s="73"/>
      <c r="GW1860" s="73"/>
      <c r="GX1860" s="73"/>
      <c r="GY1860" s="73"/>
      <c r="GZ1860" s="73"/>
      <c r="HA1860" s="73"/>
      <c r="HB1860" s="73"/>
      <c r="HC1860" s="73"/>
      <c r="HD1860" s="73"/>
      <c r="HE1860" s="73"/>
      <c r="HF1860" s="73"/>
      <c r="HG1860" s="73"/>
      <c r="HH1860" s="73"/>
      <c r="HI1860" s="73"/>
      <c r="HJ1860" s="73"/>
      <c r="HK1860" s="73"/>
      <c r="HL1860" s="73"/>
      <c r="HM1860" s="73"/>
      <c r="HN1860" s="73"/>
      <c r="HO1860" s="73"/>
      <c r="HP1860" s="73"/>
      <c r="HQ1860" s="73"/>
      <c r="HR1860" s="73"/>
      <c r="HS1860" s="73"/>
      <c r="HT1860" s="73"/>
      <c r="HU1860" s="73"/>
      <c r="HV1860" s="73"/>
      <c r="HW1860" s="73"/>
      <c r="HX1860" s="73"/>
      <c r="HY1860" s="73"/>
      <c r="HZ1860" s="73"/>
      <c r="IA1860" s="73"/>
      <c r="IB1860" s="73"/>
      <c r="IC1860" s="73"/>
      <c r="ID1860" s="73"/>
      <c r="IE1860" s="73"/>
      <c r="IF1860" s="73"/>
      <c r="IG1860" s="73"/>
      <c r="IH1860" s="73"/>
      <c r="II1860" s="73"/>
      <c r="IJ1860" s="73"/>
      <c r="IK1860" s="73"/>
      <c r="IL1860" s="73"/>
      <c r="IM1860" s="73"/>
      <c r="IN1860" s="73"/>
      <c r="IO1860" s="73"/>
      <c r="IP1860" s="73"/>
      <c r="IQ1860" s="73"/>
      <c r="IR1860" s="73"/>
      <c r="IS1860" s="73"/>
      <c r="IT1860" s="73"/>
      <c r="IU1860" s="73"/>
      <c r="IV1860" s="73"/>
      <c r="IW1860" s="73"/>
      <c r="IX1860" s="73"/>
      <c r="IY1860" s="73"/>
      <c r="IZ1860" s="73"/>
      <c r="JA1860" s="73"/>
      <c r="JB1860" s="73"/>
      <c r="JC1860" s="73"/>
    </row>
    <row r="1861" spans="2:263" s="72" customFormat="1">
      <c r="B1861" s="73"/>
      <c r="C1861" s="73"/>
      <c r="D1861" s="73"/>
      <c r="E1861" s="73"/>
      <c r="F1861" s="73"/>
      <c r="G1861" s="73"/>
      <c r="H1861" s="73"/>
      <c r="I1861" s="73"/>
      <c r="J1861" s="73"/>
      <c r="K1861" s="73"/>
      <c r="L1861" s="73"/>
      <c r="M1861" s="73"/>
      <c r="N1861" s="73"/>
      <c r="O1861" s="73"/>
      <c r="P1861" s="73"/>
      <c r="Q1861" s="73"/>
      <c r="R1861" s="73"/>
      <c r="S1861" s="73"/>
      <c r="T1861" s="73"/>
      <c r="U1861" s="73"/>
      <c r="V1861" s="73"/>
      <c r="W1861" s="73"/>
      <c r="GL1861" s="73"/>
      <c r="GM1861" s="73"/>
      <c r="GN1861" s="73"/>
      <c r="GO1861" s="73"/>
      <c r="GP1861" s="73"/>
      <c r="GQ1861" s="73"/>
      <c r="GR1861" s="73"/>
      <c r="GS1861" s="73"/>
      <c r="GT1861" s="73"/>
      <c r="GU1861" s="73"/>
      <c r="GV1861" s="73"/>
      <c r="GW1861" s="73"/>
      <c r="GX1861" s="73"/>
      <c r="GY1861" s="73"/>
      <c r="GZ1861" s="73"/>
      <c r="HA1861" s="73"/>
      <c r="HB1861" s="73"/>
      <c r="HC1861" s="73"/>
      <c r="HD1861" s="73"/>
      <c r="HE1861" s="73"/>
      <c r="HF1861" s="73"/>
      <c r="HG1861" s="73"/>
      <c r="HH1861" s="73"/>
      <c r="HI1861" s="73"/>
      <c r="HJ1861" s="73"/>
      <c r="HK1861" s="73"/>
      <c r="HL1861" s="73"/>
      <c r="HM1861" s="73"/>
      <c r="HN1861" s="73"/>
      <c r="HO1861" s="73"/>
      <c r="HP1861" s="73"/>
      <c r="HQ1861" s="73"/>
      <c r="HR1861" s="73"/>
      <c r="HS1861" s="73"/>
      <c r="HT1861" s="73"/>
      <c r="HU1861" s="73"/>
      <c r="HV1861" s="73"/>
      <c r="HW1861" s="73"/>
      <c r="HX1861" s="73"/>
      <c r="HY1861" s="73"/>
      <c r="HZ1861" s="73"/>
      <c r="IA1861" s="73"/>
      <c r="IB1861" s="73"/>
      <c r="IC1861" s="73"/>
      <c r="ID1861" s="73"/>
      <c r="IE1861" s="73"/>
      <c r="IF1861" s="73"/>
      <c r="IG1861" s="73"/>
      <c r="IH1861" s="73"/>
      <c r="II1861" s="73"/>
      <c r="IJ1861" s="73"/>
      <c r="IK1861" s="73"/>
      <c r="IL1861" s="73"/>
      <c r="IM1861" s="73"/>
      <c r="IN1861" s="73"/>
      <c r="IO1861" s="73"/>
      <c r="IP1861" s="73"/>
      <c r="IQ1861" s="73"/>
      <c r="IR1861" s="73"/>
      <c r="IS1861" s="73"/>
      <c r="IT1861" s="73"/>
      <c r="IU1861" s="73"/>
      <c r="IV1861" s="73"/>
      <c r="IW1861" s="73"/>
      <c r="IX1861" s="73"/>
      <c r="IY1861" s="73"/>
      <c r="IZ1861" s="73"/>
      <c r="JA1861" s="73"/>
      <c r="JB1861" s="73"/>
      <c r="JC1861" s="73"/>
    </row>
    <row r="1862" spans="2:263" s="72" customFormat="1">
      <c r="B1862" s="73"/>
      <c r="C1862" s="73"/>
      <c r="D1862" s="73"/>
      <c r="E1862" s="73"/>
      <c r="F1862" s="73"/>
      <c r="G1862" s="73"/>
      <c r="H1862" s="73"/>
      <c r="I1862" s="73"/>
      <c r="J1862" s="73"/>
      <c r="K1862" s="73"/>
      <c r="L1862" s="73"/>
      <c r="M1862" s="73"/>
      <c r="N1862" s="73"/>
      <c r="O1862" s="73"/>
      <c r="P1862" s="73"/>
      <c r="Q1862" s="73"/>
      <c r="R1862" s="73"/>
      <c r="S1862" s="73"/>
      <c r="T1862" s="73"/>
      <c r="U1862" s="73"/>
      <c r="V1862" s="73"/>
      <c r="W1862" s="73"/>
      <c r="GL1862" s="73"/>
      <c r="GM1862" s="73"/>
      <c r="GN1862" s="73"/>
      <c r="GO1862" s="73"/>
      <c r="GP1862" s="73"/>
      <c r="GQ1862" s="73"/>
      <c r="GR1862" s="73"/>
      <c r="GS1862" s="73"/>
      <c r="GT1862" s="73"/>
      <c r="GU1862" s="73"/>
      <c r="GV1862" s="73"/>
      <c r="GW1862" s="73"/>
      <c r="GX1862" s="73"/>
      <c r="GY1862" s="73"/>
      <c r="GZ1862" s="73"/>
      <c r="HA1862" s="73"/>
      <c r="HB1862" s="73"/>
      <c r="HC1862" s="73"/>
      <c r="HD1862" s="73"/>
      <c r="HE1862" s="73"/>
      <c r="HF1862" s="73"/>
      <c r="HG1862" s="73"/>
      <c r="HH1862" s="73"/>
      <c r="HI1862" s="73"/>
      <c r="HJ1862" s="73"/>
      <c r="HK1862" s="73"/>
      <c r="HL1862" s="73"/>
      <c r="HM1862" s="73"/>
      <c r="HN1862" s="73"/>
      <c r="HO1862" s="73"/>
      <c r="HP1862" s="73"/>
      <c r="HQ1862" s="73"/>
      <c r="HR1862" s="73"/>
      <c r="HS1862" s="73"/>
      <c r="HT1862" s="73"/>
      <c r="HU1862" s="73"/>
      <c r="HV1862" s="73"/>
      <c r="HW1862" s="73"/>
      <c r="HX1862" s="73"/>
      <c r="HY1862" s="73"/>
      <c r="HZ1862" s="73"/>
      <c r="IA1862" s="73"/>
      <c r="IB1862" s="73"/>
      <c r="IC1862" s="73"/>
      <c r="ID1862" s="73"/>
      <c r="IE1862" s="73"/>
      <c r="IF1862" s="73"/>
      <c r="IG1862" s="73"/>
      <c r="IH1862" s="73"/>
      <c r="II1862" s="73"/>
      <c r="IJ1862" s="73"/>
      <c r="IK1862" s="73"/>
      <c r="IL1862" s="73"/>
      <c r="IM1862" s="73"/>
      <c r="IN1862" s="73"/>
      <c r="IO1862" s="73"/>
      <c r="IP1862" s="73"/>
      <c r="IQ1862" s="73"/>
      <c r="IR1862" s="73"/>
      <c r="IS1862" s="73"/>
      <c r="IT1862" s="73"/>
      <c r="IU1862" s="73"/>
      <c r="IV1862" s="73"/>
      <c r="IW1862" s="73"/>
      <c r="IX1862" s="73"/>
      <c r="IY1862" s="73"/>
      <c r="IZ1862" s="73"/>
      <c r="JA1862" s="73"/>
      <c r="JB1862" s="73"/>
      <c r="JC1862" s="73"/>
    </row>
    <row r="1863" spans="2:263" s="72" customFormat="1">
      <c r="B1863" s="73"/>
      <c r="C1863" s="73"/>
      <c r="D1863" s="73"/>
      <c r="E1863" s="73"/>
      <c r="F1863" s="73"/>
      <c r="G1863" s="73"/>
      <c r="H1863" s="73"/>
      <c r="I1863" s="73"/>
      <c r="J1863" s="73"/>
      <c r="K1863" s="73"/>
      <c r="L1863" s="73"/>
      <c r="M1863" s="73"/>
      <c r="N1863" s="73"/>
      <c r="O1863" s="73"/>
      <c r="P1863" s="73"/>
      <c r="Q1863" s="73"/>
      <c r="R1863" s="73"/>
      <c r="S1863" s="73"/>
      <c r="T1863" s="73"/>
      <c r="U1863" s="73"/>
      <c r="V1863" s="73"/>
      <c r="W1863" s="73"/>
      <c r="GL1863" s="73"/>
      <c r="GM1863" s="73"/>
      <c r="GN1863" s="73"/>
      <c r="GO1863" s="73"/>
      <c r="GP1863" s="73"/>
      <c r="GQ1863" s="73"/>
      <c r="GR1863" s="73"/>
      <c r="GS1863" s="73"/>
      <c r="GT1863" s="73"/>
      <c r="GU1863" s="73"/>
      <c r="GV1863" s="73"/>
      <c r="GW1863" s="73"/>
      <c r="GX1863" s="73"/>
      <c r="GY1863" s="73"/>
      <c r="GZ1863" s="73"/>
      <c r="HA1863" s="73"/>
      <c r="HB1863" s="73"/>
      <c r="HC1863" s="73"/>
      <c r="HD1863" s="73"/>
      <c r="HE1863" s="73"/>
      <c r="HF1863" s="73"/>
      <c r="HG1863" s="73"/>
      <c r="HH1863" s="73"/>
      <c r="HI1863" s="73"/>
      <c r="HJ1863" s="73"/>
      <c r="HK1863" s="73"/>
      <c r="HL1863" s="73"/>
      <c r="HM1863" s="73"/>
      <c r="HN1863" s="73"/>
      <c r="HO1863" s="73"/>
      <c r="HP1863" s="73"/>
      <c r="HQ1863" s="73"/>
      <c r="HR1863" s="73"/>
      <c r="HS1863" s="73"/>
      <c r="HT1863" s="73"/>
      <c r="HU1863" s="73"/>
      <c r="HV1863" s="73"/>
      <c r="HW1863" s="73"/>
      <c r="HX1863" s="73"/>
      <c r="HY1863" s="73"/>
      <c r="HZ1863" s="73"/>
      <c r="IA1863" s="73"/>
      <c r="IB1863" s="73"/>
      <c r="IC1863" s="73"/>
      <c r="ID1863" s="73"/>
      <c r="IE1863" s="73"/>
      <c r="IF1863" s="73"/>
      <c r="IG1863" s="73"/>
      <c r="IH1863" s="73"/>
      <c r="II1863" s="73"/>
      <c r="IJ1863" s="73"/>
      <c r="IK1863" s="73"/>
      <c r="IL1863" s="73"/>
      <c r="IM1863" s="73"/>
      <c r="IN1863" s="73"/>
      <c r="IO1863" s="73"/>
      <c r="IP1863" s="73"/>
      <c r="IQ1863" s="73"/>
      <c r="IR1863" s="73"/>
      <c r="IS1863" s="73"/>
      <c r="IT1863" s="73"/>
      <c r="IU1863" s="73"/>
      <c r="IV1863" s="73"/>
      <c r="IW1863" s="73"/>
      <c r="IX1863" s="73"/>
      <c r="IY1863" s="73"/>
      <c r="IZ1863" s="73"/>
      <c r="JA1863" s="73"/>
      <c r="JB1863" s="73"/>
      <c r="JC1863" s="73"/>
    </row>
    <row r="1864" spans="2:263" s="72" customFormat="1">
      <c r="B1864" s="73"/>
      <c r="C1864" s="73"/>
      <c r="D1864" s="73"/>
      <c r="E1864" s="73"/>
      <c r="F1864" s="73"/>
      <c r="G1864" s="73"/>
      <c r="H1864" s="73"/>
      <c r="I1864" s="73"/>
      <c r="J1864" s="73"/>
      <c r="K1864" s="73"/>
      <c r="L1864" s="73"/>
      <c r="M1864" s="73"/>
      <c r="N1864" s="73"/>
      <c r="O1864" s="73"/>
      <c r="P1864" s="73"/>
      <c r="Q1864" s="73"/>
      <c r="R1864" s="73"/>
      <c r="S1864" s="73"/>
      <c r="T1864" s="73"/>
      <c r="U1864" s="73"/>
      <c r="V1864" s="73"/>
      <c r="W1864" s="73"/>
      <c r="GL1864" s="73"/>
      <c r="GM1864" s="73"/>
      <c r="GN1864" s="73"/>
      <c r="GO1864" s="73"/>
      <c r="GP1864" s="73"/>
      <c r="GQ1864" s="73"/>
      <c r="GR1864" s="73"/>
      <c r="GS1864" s="73"/>
      <c r="GT1864" s="73"/>
      <c r="GU1864" s="73"/>
      <c r="GV1864" s="73"/>
      <c r="GW1864" s="73"/>
      <c r="GX1864" s="73"/>
      <c r="GY1864" s="73"/>
      <c r="GZ1864" s="73"/>
      <c r="HA1864" s="73"/>
      <c r="HB1864" s="73"/>
      <c r="HC1864" s="73"/>
      <c r="HD1864" s="73"/>
      <c r="HE1864" s="73"/>
      <c r="HF1864" s="73"/>
      <c r="HG1864" s="73"/>
      <c r="HH1864" s="73"/>
      <c r="HI1864" s="73"/>
      <c r="HJ1864" s="73"/>
      <c r="HK1864" s="73"/>
      <c r="HL1864" s="73"/>
      <c r="HM1864" s="73"/>
      <c r="HN1864" s="73"/>
      <c r="HO1864" s="73"/>
      <c r="HP1864" s="73"/>
      <c r="HQ1864" s="73"/>
      <c r="HR1864" s="73"/>
      <c r="HS1864" s="73"/>
      <c r="HT1864" s="73"/>
      <c r="HU1864" s="73"/>
      <c r="HV1864" s="73"/>
      <c r="HW1864" s="73"/>
      <c r="HX1864" s="73"/>
      <c r="HY1864" s="73"/>
      <c r="HZ1864" s="73"/>
      <c r="IA1864" s="73"/>
      <c r="IB1864" s="73"/>
      <c r="IC1864" s="73"/>
      <c r="ID1864" s="73"/>
      <c r="IE1864" s="73"/>
      <c r="IF1864" s="73"/>
      <c r="IG1864" s="73"/>
      <c r="IH1864" s="73"/>
      <c r="II1864" s="73"/>
      <c r="IJ1864" s="73"/>
      <c r="IK1864" s="73"/>
      <c r="IL1864" s="73"/>
      <c r="IM1864" s="73"/>
      <c r="IN1864" s="73"/>
      <c r="IO1864" s="73"/>
      <c r="IP1864" s="73"/>
      <c r="IQ1864" s="73"/>
      <c r="IR1864" s="73"/>
      <c r="IS1864" s="73"/>
      <c r="IT1864" s="73"/>
      <c r="IU1864" s="73"/>
      <c r="IV1864" s="73"/>
      <c r="IW1864" s="73"/>
      <c r="IX1864" s="73"/>
      <c r="IY1864" s="73"/>
      <c r="IZ1864" s="73"/>
      <c r="JA1864" s="73"/>
      <c r="JB1864" s="73"/>
      <c r="JC1864" s="73"/>
    </row>
    <row r="1865" spans="2:263" s="72" customFormat="1">
      <c r="B1865" s="73"/>
      <c r="C1865" s="73"/>
      <c r="D1865" s="73"/>
      <c r="E1865" s="73"/>
      <c r="F1865" s="73"/>
      <c r="G1865" s="73"/>
      <c r="H1865" s="73"/>
      <c r="I1865" s="73"/>
      <c r="J1865" s="73"/>
      <c r="K1865" s="73"/>
      <c r="L1865" s="73"/>
      <c r="M1865" s="73"/>
      <c r="N1865" s="73"/>
      <c r="O1865" s="73"/>
      <c r="P1865" s="73"/>
      <c r="Q1865" s="73"/>
      <c r="R1865" s="73"/>
      <c r="S1865" s="73"/>
      <c r="T1865" s="73"/>
      <c r="U1865" s="73"/>
      <c r="V1865" s="73"/>
      <c r="W1865" s="73"/>
      <c r="GL1865" s="73"/>
      <c r="GM1865" s="73"/>
      <c r="GN1865" s="73"/>
      <c r="GO1865" s="73"/>
      <c r="GP1865" s="73"/>
      <c r="GQ1865" s="73"/>
      <c r="GR1865" s="73"/>
      <c r="GS1865" s="73"/>
      <c r="GT1865" s="73"/>
      <c r="GU1865" s="73"/>
      <c r="GV1865" s="73"/>
      <c r="GW1865" s="73"/>
      <c r="GX1865" s="73"/>
      <c r="GY1865" s="73"/>
      <c r="GZ1865" s="73"/>
      <c r="HA1865" s="73"/>
      <c r="HB1865" s="73"/>
      <c r="HC1865" s="73"/>
      <c r="HD1865" s="73"/>
      <c r="HE1865" s="73"/>
      <c r="HF1865" s="73"/>
      <c r="HG1865" s="73"/>
      <c r="HH1865" s="73"/>
      <c r="HI1865" s="73"/>
      <c r="HJ1865" s="73"/>
      <c r="HK1865" s="73"/>
      <c r="HL1865" s="73"/>
      <c r="HM1865" s="73"/>
      <c r="HN1865" s="73"/>
      <c r="HO1865" s="73"/>
      <c r="HP1865" s="73"/>
      <c r="HQ1865" s="73"/>
      <c r="HR1865" s="73"/>
      <c r="HS1865" s="73"/>
      <c r="HT1865" s="73"/>
      <c r="HU1865" s="73"/>
      <c r="HV1865" s="73"/>
      <c r="HW1865" s="73"/>
      <c r="HX1865" s="73"/>
      <c r="HY1865" s="73"/>
      <c r="HZ1865" s="73"/>
      <c r="IA1865" s="73"/>
      <c r="IB1865" s="73"/>
      <c r="IC1865" s="73"/>
      <c r="ID1865" s="73"/>
      <c r="IE1865" s="73"/>
      <c r="IF1865" s="73"/>
      <c r="IG1865" s="73"/>
      <c r="IH1865" s="73"/>
      <c r="II1865" s="73"/>
      <c r="IJ1865" s="73"/>
      <c r="IK1865" s="73"/>
      <c r="IL1865" s="73"/>
      <c r="IM1865" s="73"/>
      <c r="IN1865" s="73"/>
      <c r="IO1865" s="73"/>
      <c r="IP1865" s="73"/>
      <c r="IQ1865" s="73"/>
      <c r="IR1865" s="73"/>
      <c r="IS1865" s="73"/>
      <c r="IT1865" s="73"/>
      <c r="IU1865" s="73"/>
      <c r="IV1865" s="73"/>
      <c r="IW1865" s="73"/>
      <c r="IX1865" s="73"/>
      <c r="IY1865" s="73"/>
      <c r="IZ1865" s="73"/>
      <c r="JA1865" s="73"/>
      <c r="JB1865" s="73"/>
      <c r="JC1865" s="73"/>
    </row>
    <row r="1866" spans="2:263" s="72" customFormat="1">
      <c r="B1866" s="73"/>
      <c r="C1866" s="73"/>
      <c r="D1866" s="73"/>
      <c r="E1866" s="73"/>
      <c r="F1866" s="73"/>
      <c r="G1866" s="73"/>
      <c r="H1866" s="73"/>
      <c r="I1866" s="73"/>
      <c r="J1866" s="73"/>
      <c r="K1866" s="73"/>
      <c r="L1866" s="73"/>
      <c r="M1866" s="73"/>
      <c r="N1866" s="73"/>
      <c r="O1866" s="73"/>
      <c r="P1866" s="73"/>
      <c r="Q1866" s="73"/>
      <c r="R1866" s="73"/>
      <c r="S1866" s="73"/>
      <c r="T1866" s="73"/>
      <c r="U1866" s="73"/>
      <c r="V1866" s="73"/>
      <c r="W1866" s="73"/>
      <c r="GL1866" s="73"/>
      <c r="GM1866" s="73"/>
      <c r="GN1866" s="73"/>
      <c r="GO1866" s="73"/>
      <c r="GP1866" s="73"/>
      <c r="GQ1866" s="73"/>
      <c r="GR1866" s="73"/>
      <c r="GS1866" s="73"/>
      <c r="GT1866" s="73"/>
      <c r="GU1866" s="73"/>
      <c r="GV1866" s="73"/>
      <c r="GW1866" s="73"/>
      <c r="GX1866" s="73"/>
      <c r="GY1866" s="73"/>
      <c r="GZ1866" s="73"/>
      <c r="HA1866" s="73"/>
      <c r="HB1866" s="73"/>
      <c r="HC1866" s="73"/>
      <c r="HD1866" s="73"/>
      <c r="HE1866" s="73"/>
      <c r="HF1866" s="73"/>
      <c r="HG1866" s="73"/>
      <c r="HH1866" s="73"/>
      <c r="HI1866" s="73"/>
      <c r="HJ1866" s="73"/>
      <c r="HK1866" s="73"/>
      <c r="HL1866" s="73"/>
      <c r="HM1866" s="73"/>
      <c r="HN1866" s="73"/>
      <c r="HO1866" s="73"/>
      <c r="HP1866" s="73"/>
      <c r="HQ1866" s="73"/>
      <c r="HR1866" s="73"/>
      <c r="HS1866" s="73"/>
      <c r="HT1866" s="73"/>
      <c r="HU1866" s="73"/>
      <c r="HV1866" s="73"/>
      <c r="HW1866" s="73"/>
      <c r="HX1866" s="73"/>
      <c r="HY1866" s="73"/>
      <c r="HZ1866" s="73"/>
      <c r="IA1866" s="73"/>
      <c r="IB1866" s="73"/>
      <c r="IC1866" s="73"/>
      <c r="ID1866" s="73"/>
      <c r="IE1866" s="73"/>
      <c r="IF1866" s="73"/>
      <c r="IG1866" s="73"/>
      <c r="IH1866" s="73"/>
      <c r="II1866" s="73"/>
      <c r="IJ1866" s="73"/>
      <c r="IK1866" s="73"/>
      <c r="IL1866" s="73"/>
      <c r="IM1866" s="73"/>
      <c r="IN1866" s="73"/>
      <c r="IO1866" s="73"/>
      <c r="IP1866" s="73"/>
      <c r="IQ1866" s="73"/>
      <c r="IR1866" s="73"/>
      <c r="IS1866" s="73"/>
      <c r="IT1866" s="73"/>
      <c r="IU1866" s="73"/>
      <c r="IV1866" s="73"/>
      <c r="IW1866" s="73"/>
      <c r="IX1866" s="73"/>
      <c r="IY1866" s="73"/>
      <c r="IZ1866" s="73"/>
      <c r="JA1866" s="73"/>
      <c r="JB1866" s="73"/>
      <c r="JC1866" s="73"/>
    </row>
    <row r="1867" spans="2:263" s="72" customFormat="1">
      <c r="B1867" s="73"/>
      <c r="C1867" s="73"/>
      <c r="D1867" s="73"/>
      <c r="E1867" s="73"/>
      <c r="F1867" s="73"/>
      <c r="G1867" s="73"/>
      <c r="H1867" s="73"/>
      <c r="I1867" s="73"/>
      <c r="J1867" s="73"/>
      <c r="K1867" s="73"/>
      <c r="L1867" s="73"/>
      <c r="M1867" s="73"/>
      <c r="N1867" s="73"/>
      <c r="O1867" s="73"/>
      <c r="P1867" s="73"/>
      <c r="Q1867" s="73"/>
      <c r="R1867" s="73"/>
      <c r="S1867" s="73"/>
      <c r="T1867" s="73"/>
      <c r="U1867" s="73"/>
      <c r="V1867" s="73"/>
      <c r="W1867" s="73"/>
      <c r="GL1867" s="73"/>
      <c r="GM1867" s="73"/>
      <c r="GN1867" s="73"/>
      <c r="GO1867" s="73"/>
      <c r="GP1867" s="73"/>
      <c r="GQ1867" s="73"/>
      <c r="GR1867" s="73"/>
      <c r="GS1867" s="73"/>
      <c r="GT1867" s="73"/>
      <c r="GU1867" s="73"/>
      <c r="GV1867" s="73"/>
      <c r="GW1867" s="73"/>
      <c r="GX1867" s="73"/>
      <c r="GY1867" s="73"/>
      <c r="GZ1867" s="73"/>
      <c r="HA1867" s="73"/>
      <c r="HB1867" s="73"/>
      <c r="HC1867" s="73"/>
      <c r="HD1867" s="73"/>
      <c r="HE1867" s="73"/>
      <c r="HF1867" s="73"/>
      <c r="HG1867" s="73"/>
      <c r="HH1867" s="73"/>
      <c r="HI1867" s="73"/>
      <c r="HJ1867" s="73"/>
      <c r="HK1867" s="73"/>
      <c r="HL1867" s="73"/>
      <c r="HM1867" s="73"/>
      <c r="HN1867" s="73"/>
      <c r="HO1867" s="73"/>
      <c r="HP1867" s="73"/>
      <c r="HQ1867" s="73"/>
      <c r="HR1867" s="73"/>
      <c r="HS1867" s="73"/>
      <c r="HT1867" s="73"/>
      <c r="HU1867" s="73"/>
      <c r="HV1867" s="73"/>
      <c r="HW1867" s="73"/>
      <c r="HX1867" s="73"/>
      <c r="HY1867" s="73"/>
      <c r="HZ1867" s="73"/>
      <c r="IA1867" s="73"/>
      <c r="IB1867" s="73"/>
      <c r="IC1867" s="73"/>
      <c r="ID1867" s="73"/>
      <c r="IE1867" s="73"/>
      <c r="IF1867" s="73"/>
      <c r="IG1867" s="73"/>
      <c r="IH1867" s="73"/>
      <c r="II1867" s="73"/>
      <c r="IJ1867" s="73"/>
      <c r="IK1867" s="73"/>
      <c r="IL1867" s="73"/>
      <c r="IM1867" s="73"/>
      <c r="IN1867" s="73"/>
      <c r="IO1867" s="73"/>
      <c r="IP1867" s="73"/>
      <c r="IQ1867" s="73"/>
      <c r="IR1867" s="73"/>
      <c r="IS1867" s="73"/>
      <c r="IT1867" s="73"/>
      <c r="IU1867" s="73"/>
      <c r="IV1867" s="73"/>
      <c r="IW1867" s="73"/>
      <c r="IX1867" s="73"/>
      <c r="IY1867" s="73"/>
      <c r="IZ1867" s="73"/>
      <c r="JA1867" s="73"/>
      <c r="JB1867" s="73"/>
      <c r="JC1867" s="73"/>
    </row>
    <row r="1868" spans="2:263" s="72" customFormat="1">
      <c r="B1868" s="73"/>
      <c r="C1868" s="73"/>
      <c r="D1868" s="73"/>
      <c r="E1868" s="73"/>
      <c r="F1868" s="73"/>
      <c r="G1868" s="73"/>
      <c r="H1868" s="73"/>
      <c r="I1868" s="73"/>
      <c r="J1868" s="73"/>
      <c r="K1868" s="73"/>
      <c r="L1868" s="73"/>
      <c r="M1868" s="73"/>
      <c r="N1868" s="73"/>
      <c r="O1868" s="73"/>
      <c r="P1868" s="73"/>
      <c r="Q1868" s="73"/>
      <c r="R1868" s="73"/>
      <c r="S1868" s="73"/>
      <c r="T1868" s="73"/>
      <c r="U1868" s="73"/>
      <c r="V1868" s="73"/>
      <c r="W1868" s="73"/>
      <c r="GL1868" s="73"/>
      <c r="GM1868" s="73"/>
      <c r="GN1868" s="73"/>
      <c r="GO1868" s="73"/>
      <c r="GP1868" s="73"/>
      <c r="GQ1868" s="73"/>
      <c r="GR1868" s="73"/>
      <c r="GS1868" s="73"/>
      <c r="GT1868" s="73"/>
      <c r="GU1868" s="73"/>
      <c r="GV1868" s="73"/>
      <c r="GW1868" s="73"/>
      <c r="GX1868" s="73"/>
      <c r="GY1868" s="73"/>
      <c r="GZ1868" s="73"/>
      <c r="HA1868" s="73"/>
      <c r="HB1868" s="73"/>
      <c r="HC1868" s="73"/>
      <c r="HD1868" s="73"/>
      <c r="HE1868" s="73"/>
      <c r="HF1868" s="73"/>
      <c r="HG1868" s="73"/>
      <c r="HH1868" s="73"/>
      <c r="HI1868" s="73"/>
      <c r="HJ1868" s="73"/>
      <c r="HK1868" s="73"/>
      <c r="HL1868" s="73"/>
      <c r="HM1868" s="73"/>
      <c r="HN1868" s="73"/>
      <c r="HO1868" s="73"/>
      <c r="HP1868" s="73"/>
      <c r="HQ1868" s="73"/>
      <c r="HR1868" s="73"/>
      <c r="HS1868" s="73"/>
      <c r="HT1868" s="73"/>
      <c r="HU1868" s="73"/>
      <c r="HV1868" s="73"/>
      <c r="HW1868" s="73"/>
      <c r="HX1868" s="73"/>
      <c r="HY1868" s="73"/>
      <c r="HZ1868" s="73"/>
      <c r="IA1868" s="73"/>
      <c r="IB1868" s="73"/>
      <c r="IC1868" s="73"/>
      <c r="ID1868" s="73"/>
      <c r="IE1868" s="73"/>
      <c r="IF1868" s="73"/>
      <c r="IG1868" s="73"/>
      <c r="IH1868" s="73"/>
      <c r="II1868" s="73"/>
      <c r="IJ1868" s="73"/>
      <c r="IK1868" s="73"/>
      <c r="IL1868" s="73"/>
      <c r="IM1868" s="73"/>
      <c r="IN1868" s="73"/>
      <c r="IO1868" s="73"/>
      <c r="IP1868" s="73"/>
      <c r="IQ1868" s="73"/>
      <c r="IR1868" s="73"/>
      <c r="IS1868" s="73"/>
      <c r="IT1868" s="73"/>
      <c r="IU1868" s="73"/>
      <c r="IV1868" s="73"/>
      <c r="IW1868" s="73"/>
      <c r="IX1868" s="73"/>
      <c r="IY1868" s="73"/>
      <c r="IZ1868" s="73"/>
      <c r="JA1868" s="73"/>
      <c r="JB1868" s="73"/>
      <c r="JC1868" s="73"/>
    </row>
    <row r="1869" spans="2:263" s="72" customFormat="1">
      <c r="B1869" s="73"/>
      <c r="C1869" s="73"/>
      <c r="D1869" s="73"/>
      <c r="E1869" s="73"/>
      <c r="F1869" s="73"/>
      <c r="G1869" s="73"/>
      <c r="H1869" s="73"/>
      <c r="I1869" s="73"/>
      <c r="J1869" s="73"/>
      <c r="K1869" s="73"/>
      <c r="L1869" s="73"/>
      <c r="M1869" s="73"/>
      <c r="N1869" s="73"/>
      <c r="O1869" s="73"/>
      <c r="P1869" s="73"/>
      <c r="Q1869" s="73"/>
      <c r="R1869" s="73"/>
      <c r="S1869" s="73"/>
      <c r="T1869" s="73"/>
      <c r="U1869" s="73"/>
      <c r="V1869" s="73"/>
      <c r="W1869" s="73"/>
      <c r="GL1869" s="73"/>
      <c r="GM1869" s="73"/>
      <c r="GN1869" s="73"/>
      <c r="GO1869" s="73"/>
      <c r="GP1869" s="73"/>
      <c r="GQ1869" s="73"/>
      <c r="GR1869" s="73"/>
      <c r="GS1869" s="73"/>
      <c r="GT1869" s="73"/>
      <c r="GU1869" s="73"/>
      <c r="GV1869" s="73"/>
      <c r="GW1869" s="73"/>
      <c r="GX1869" s="73"/>
      <c r="GY1869" s="73"/>
      <c r="GZ1869" s="73"/>
      <c r="HA1869" s="73"/>
      <c r="HB1869" s="73"/>
      <c r="HC1869" s="73"/>
      <c r="HD1869" s="73"/>
      <c r="HE1869" s="73"/>
      <c r="HF1869" s="73"/>
      <c r="HG1869" s="73"/>
      <c r="HH1869" s="73"/>
      <c r="HI1869" s="73"/>
      <c r="HJ1869" s="73"/>
      <c r="HK1869" s="73"/>
      <c r="HL1869" s="73"/>
      <c r="HM1869" s="73"/>
      <c r="HN1869" s="73"/>
      <c r="HO1869" s="73"/>
      <c r="HP1869" s="73"/>
      <c r="HQ1869" s="73"/>
      <c r="HR1869" s="73"/>
      <c r="HS1869" s="73"/>
      <c r="HT1869" s="73"/>
      <c r="HU1869" s="73"/>
      <c r="HV1869" s="73"/>
      <c r="HW1869" s="73"/>
      <c r="HX1869" s="73"/>
      <c r="HY1869" s="73"/>
      <c r="HZ1869" s="73"/>
      <c r="IA1869" s="73"/>
      <c r="IB1869" s="73"/>
      <c r="IC1869" s="73"/>
      <c r="ID1869" s="73"/>
      <c r="IE1869" s="73"/>
      <c r="IF1869" s="73"/>
      <c r="IG1869" s="73"/>
      <c r="IH1869" s="73"/>
      <c r="II1869" s="73"/>
      <c r="IJ1869" s="73"/>
      <c r="IK1869" s="73"/>
      <c r="IL1869" s="73"/>
      <c r="IM1869" s="73"/>
      <c r="IN1869" s="73"/>
      <c r="IO1869" s="73"/>
      <c r="IP1869" s="73"/>
      <c r="IQ1869" s="73"/>
      <c r="IR1869" s="73"/>
      <c r="IS1869" s="73"/>
      <c r="IT1869" s="73"/>
      <c r="IU1869" s="73"/>
      <c r="IV1869" s="73"/>
      <c r="IW1869" s="73"/>
      <c r="IX1869" s="73"/>
      <c r="IY1869" s="73"/>
      <c r="IZ1869" s="73"/>
      <c r="JA1869" s="73"/>
      <c r="JB1869" s="73"/>
      <c r="JC1869" s="73"/>
    </row>
    <row r="1870" spans="2:263" s="72" customFormat="1">
      <c r="B1870" s="73"/>
      <c r="C1870" s="73"/>
      <c r="D1870" s="73"/>
      <c r="E1870" s="73"/>
      <c r="F1870" s="73"/>
      <c r="G1870" s="73"/>
      <c r="H1870" s="73"/>
      <c r="I1870" s="73"/>
      <c r="J1870" s="73"/>
      <c r="K1870" s="73"/>
      <c r="L1870" s="73"/>
      <c r="M1870" s="73"/>
      <c r="N1870" s="73"/>
      <c r="O1870" s="73"/>
      <c r="P1870" s="73"/>
      <c r="Q1870" s="73"/>
      <c r="R1870" s="73"/>
      <c r="S1870" s="73"/>
      <c r="T1870" s="73"/>
      <c r="U1870" s="73"/>
      <c r="V1870" s="73"/>
      <c r="W1870" s="73"/>
      <c r="GL1870" s="73"/>
      <c r="GM1870" s="73"/>
      <c r="GN1870" s="73"/>
      <c r="GO1870" s="73"/>
      <c r="GP1870" s="73"/>
      <c r="GQ1870" s="73"/>
      <c r="GR1870" s="73"/>
      <c r="GS1870" s="73"/>
      <c r="GT1870" s="73"/>
      <c r="GU1870" s="73"/>
      <c r="GV1870" s="73"/>
      <c r="GW1870" s="73"/>
      <c r="GX1870" s="73"/>
      <c r="GY1870" s="73"/>
      <c r="GZ1870" s="73"/>
      <c r="HA1870" s="73"/>
      <c r="HB1870" s="73"/>
      <c r="HC1870" s="73"/>
      <c r="HD1870" s="73"/>
      <c r="HE1870" s="73"/>
      <c r="HF1870" s="73"/>
      <c r="HG1870" s="73"/>
      <c r="HH1870" s="73"/>
      <c r="HI1870" s="73"/>
      <c r="HJ1870" s="73"/>
      <c r="HK1870" s="73"/>
      <c r="HL1870" s="73"/>
      <c r="HM1870" s="73"/>
      <c r="HN1870" s="73"/>
      <c r="HO1870" s="73"/>
      <c r="HP1870" s="73"/>
      <c r="HQ1870" s="73"/>
      <c r="HR1870" s="73"/>
      <c r="HS1870" s="73"/>
      <c r="HT1870" s="73"/>
      <c r="HU1870" s="73"/>
      <c r="HV1870" s="73"/>
      <c r="HW1870" s="73"/>
      <c r="HX1870" s="73"/>
      <c r="HY1870" s="73"/>
      <c r="HZ1870" s="73"/>
      <c r="IA1870" s="73"/>
      <c r="IB1870" s="73"/>
      <c r="IC1870" s="73"/>
      <c r="ID1870" s="73"/>
      <c r="IE1870" s="73"/>
      <c r="IF1870" s="73"/>
      <c r="IG1870" s="73"/>
      <c r="IH1870" s="73"/>
      <c r="II1870" s="73"/>
      <c r="IJ1870" s="73"/>
      <c r="IK1870" s="73"/>
      <c r="IL1870" s="73"/>
      <c r="IM1870" s="73"/>
      <c r="IN1870" s="73"/>
      <c r="IO1870" s="73"/>
      <c r="IP1870" s="73"/>
      <c r="IQ1870" s="73"/>
      <c r="IR1870" s="73"/>
      <c r="IS1870" s="73"/>
      <c r="IT1870" s="73"/>
      <c r="IU1870" s="73"/>
      <c r="IV1870" s="73"/>
      <c r="IW1870" s="73"/>
      <c r="IX1870" s="73"/>
      <c r="IY1870" s="73"/>
      <c r="IZ1870" s="73"/>
      <c r="JA1870" s="73"/>
      <c r="JB1870" s="73"/>
      <c r="JC1870" s="73"/>
    </row>
    <row r="1871" spans="2:263" s="72" customFormat="1">
      <c r="B1871" s="73"/>
      <c r="C1871" s="73"/>
      <c r="D1871" s="73"/>
      <c r="E1871" s="73"/>
      <c r="F1871" s="73"/>
      <c r="G1871" s="73"/>
      <c r="H1871" s="73"/>
      <c r="I1871" s="73"/>
      <c r="J1871" s="73"/>
      <c r="K1871" s="73"/>
      <c r="L1871" s="73"/>
      <c r="M1871" s="73"/>
      <c r="N1871" s="73"/>
      <c r="O1871" s="73"/>
      <c r="P1871" s="73"/>
      <c r="Q1871" s="73"/>
      <c r="R1871" s="73"/>
      <c r="S1871" s="73"/>
      <c r="T1871" s="73"/>
      <c r="U1871" s="73"/>
      <c r="V1871" s="73"/>
      <c r="W1871" s="73"/>
      <c r="GL1871" s="73"/>
      <c r="GM1871" s="73"/>
      <c r="GN1871" s="73"/>
      <c r="GO1871" s="73"/>
      <c r="GP1871" s="73"/>
      <c r="GQ1871" s="73"/>
      <c r="GR1871" s="73"/>
      <c r="GS1871" s="73"/>
      <c r="GT1871" s="73"/>
      <c r="GU1871" s="73"/>
      <c r="GV1871" s="73"/>
      <c r="GW1871" s="73"/>
      <c r="GX1871" s="73"/>
      <c r="GY1871" s="73"/>
      <c r="GZ1871" s="73"/>
      <c r="HA1871" s="73"/>
      <c r="HB1871" s="73"/>
      <c r="HC1871" s="73"/>
      <c r="HD1871" s="73"/>
      <c r="HE1871" s="73"/>
      <c r="HF1871" s="73"/>
      <c r="HG1871" s="73"/>
      <c r="HH1871" s="73"/>
      <c r="HI1871" s="73"/>
      <c r="HJ1871" s="73"/>
      <c r="HK1871" s="73"/>
      <c r="HL1871" s="73"/>
      <c r="HM1871" s="73"/>
      <c r="HN1871" s="73"/>
      <c r="HO1871" s="73"/>
      <c r="HP1871" s="73"/>
      <c r="HQ1871" s="73"/>
      <c r="HR1871" s="73"/>
      <c r="HS1871" s="73"/>
      <c r="HT1871" s="73"/>
      <c r="HU1871" s="73"/>
      <c r="HV1871" s="73"/>
      <c r="HW1871" s="73"/>
      <c r="HX1871" s="73"/>
      <c r="HY1871" s="73"/>
      <c r="HZ1871" s="73"/>
      <c r="IA1871" s="73"/>
      <c r="IB1871" s="73"/>
      <c r="IC1871" s="73"/>
      <c r="ID1871" s="73"/>
      <c r="IE1871" s="73"/>
      <c r="IF1871" s="73"/>
      <c r="IG1871" s="73"/>
      <c r="IH1871" s="73"/>
      <c r="II1871" s="73"/>
      <c r="IJ1871" s="73"/>
      <c r="IK1871" s="73"/>
      <c r="IL1871" s="73"/>
      <c r="IM1871" s="73"/>
      <c r="IN1871" s="73"/>
      <c r="IO1871" s="73"/>
      <c r="IP1871" s="73"/>
      <c r="IQ1871" s="73"/>
      <c r="IR1871" s="73"/>
      <c r="IS1871" s="73"/>
      <c r="IT1871" s="73"/>
      <c r="IU1871" s="73"/>
      <c r="IV1871" s="73"/>
      <c r="IW1871" s="73"/>
      <c r="IX1871" s="73"/>
      <c r="IY1871" s="73"/>
      <c r="IZ1871" s="73"/>
      <c r="JA1871" s="73"/>
      <c r="JB1871" s="73"/>
      <c r="JC1871" s="73"/>
    </row>
    <row r="1872" spans="2:263" s="72" customFormat="1">
      <c r="B1872" s="73"/>
      <c r="C1872" s="73"/>
      <c r="D1872" s="73"/>
      <c r="E1872" s="73"/>
      <c r="F1872" s="73"/>
      <c r="G1872" s="73"/>
      <c r="H1872" s="73"/>
      <c r="I1872" s="73"/>
      <c r="J1872" s="73"/>
      <c r="K1872" s="73"/>
      <c r="L1872" s="73"/>
      <c r="M1872" s="73"/>
      <c r="N1872" s="73"/>
      <c r="O1872" s="73"/>
      <c r="P1872" s="73"/>
      <c r="Q1872" s="73"/>
      <c r="R1872" s="73"/>
      <c r="S1872" s="73"/>
      <c r="T1872" s="73"/>
      <c r="U1872" s="73"/>
      <c r="V1872" s="73"/>
      <c r="W1872" s="73"/>
      <c r="GL1872" s="73"/>
      <c r="GM1872" s="73"/>
      <c r="GN1872" s="73"/>
      <c r="GO1872" s="73"/>
      <c r="GP1872" s="73"/>
      <c r="GQ1872" s="73"/>
      <c r="GR1872" s="73"/>
      <c r="GS1872" s="73"/>
      <c r="GT1872" s="73"/>
      <c r="GU1872" s="73"/>
      <c r="GV1872" s="73"/>
      <c r="GW1872" s="73"/>
      <c r="GX1872" s="73"/>
      <c r="GY1872" s="73"/>
      <c r="GZ1872" s="73"/>
      <c r="HA1872" s="73"/>
      <c r="HB1872" s="73"/>
      <c r="HC1872" s="73"/>
      <c r="HD1872" s="73"/>
      <c r="HE1872" s="73"/>
      <c r="HF1872" s="73"/>
      <c r="HG1872" s="73"/>
      <c r="HH1872" s="73"/>
      <c r="HI1872" s="73"/>
      <c r="HJ1872" s="73"/>
      <c r="HK1872" s="73"/>
      <c r="HL1872" s="73"/>
      <c r="HM1872" s="73"/>
      <c r="HN1872" s="73"/>
      <c r="HO1872" s="73"/>
      <c r="HP1872" s="73"/>
      <c r="HQ1872" s="73"/>
      <c r="HR1872" s="73"/>
      <c r="HS1872" s="73"/>
      <c r="HT1872" s="73"/>
      <c r="HU1872" s="73"/>
      <c r="HV1872" s="73"/>
      <c r="HW1872" s="73"/>
      <c r="HX1872" s="73"/>
      <c r="HY1872" s="73"/>
      <c r="HZ1872" s="73"/>
      <c r="IA1872" s="73"/>
      <c r="IB1872" s="73"/>
      <c r="IC1872" s="73"/>
      <c r="ID1872" s="73"/>
      <c r="IE1872" s="73"/>
      <c r="IF1872" s="73"/>
      <c r="IG1872" s="73"/>
      <c r="IH1872" s="73"/>
      <c r="II1872" s="73"/>
      <c r="IJ1872" s="73"/>
      <c r="IK1872" s="73"/>
      <c r="IL1872" s="73"/>
      <c r="IM1872" s="73"/>
      <c r="IN1872" s="73"/>
      <c r="IO1872" s="73"/>
      <c r="IP1872" s="73"/>
      <c r="IQ1872" s="73"/>
      <c r="IR1872" s="73"/>
      <c r="IS1872" s="73"/>
      <c r="IT1872" s="73"/>
      <c r="IU1872" s="73"/>
      <c r="IV1872" s="73"/>
      <c r="IW1872" s="73"/>
      <c r="IX1872" s="73"/>
      <c r="IY1872" s="73"/>
      <c r="IZ1872" s="73"/>
      <c r="JA1872" s="73"/>
      <c r="JB1872" s="73"/>
      <c r="JC1872" s="73"/>
    </row>
    <row r="1873" spans="2:263" s="72" customFormat="1">
      <c r="B1873" s="73"/>
      <c r="C1873" s="73"/>
      <c r="D1873" s="73"/>
      <c r="E1873" s="73"/>
      <c r="F1873" s="73"/>
      <c r="G1873" s="73"/>
      <c r="H1873" s="73"/>
      <c r="I1873" s="73"/>
      <c r="J1873" s="73"/>
      <c r="K1873" s="73"/>
      <c r="L1873" s="73"/>
      <c r="M1873" s="73"/>
      <c r="N1873" s="73"/>
      <c r="O1873" s="73"/>
      <c r="P1873" s="73"/>
      <c r="Q1873" s="73"/>
      <c r="R1873" s="73"/>
      <c r="S1873" s="73"/>
      <c r="T1873" s="73"/>
      <c r="U1873" s="73"/>
      <c r="V1873" s="73"/>
      <c r="W1873" s="73"/>
      <c r="GL1873" s="73"/>
      <c r="GM1873" s="73"/>
      <c r="GN1873" s="73"/>
      <c r="GO1873" s="73"/>
      <c r="GP1873" s="73"/>
      <c r="GQ1873" s="73"/>
      <c r="GR1873" s="73"/>
      <c r="GS1873" s="73"/>
      <c r="GT1873" s="73"/>
      <c r="GU1873" s="73"/>
      <c r="GV1873" s="73"/>
      <c r="GW1873" s="73"/>
      <c r="GX1873" s="73"/>
      <c r="GY1873" s="73"/>
      <c r="GZ1873" s="73"/>
      <c r="HA1873" s="73"/>
      <c r="HB1873" s="73"/>
      <c r="HC1873" s="73"/>
      <c r="HD1873" s="73"/>
      <c r="HE1873" s="73"/>
      <c r="HF1873" s="73"/>
      <c r="HG1873" s="73"/>
      <c r="HH1873" s="73"/>
      <c r="HI1873" s="73"/>
      <c r="HJ1873" s="73"/>
      <c r="HK1873" s="73"/>
      <c r="HL1873" s="73"/>
      <c r="HM1873" s="73"/>
      <c r="HN1873" s="73"/>
      <c r="HO1873" s="73"/>
      <c r="HP1873" s="73"/>
      <c r="HQ1873" s="73"/>
      <c r="HR1873" s="73"/>
      <c r="HS1873" s="73"/>
      <c r="HT1873" s="73"/>
      <c r="HU1873" s="73"/>
      <c r="HV1873" s="73"/>
      <c r="HW1873" s="73"/>
      <c r="HX1873" s="73"/>
      <c r="HY1873" s="73"/>
      <c r="HZ1873" s="73"/>
      <c r="IA1873" s="73"/>
      <c r="IB1873" s="73"/>
      <c r="IC1873" s="73"/>
      <c r="ID1873" s="73"/>
      <c r="IE1873" s="73"/>
      <c r="IF1873" s="73"/>
      <c r="IG1873" s="73"/>
      <c r="IH1873" s="73"/>
      <c r="II1873" s="73"/>
      <c r="IJ1873" s="73"/>
      <c r="IK1873" s="73"/>
      <c r="IL1873" s="73"/>
      <c r="IM1873" s="73"/>
      <c r="IN1873" s="73"/>
      <c r="IO1873" s="73"/>
      <c r="IP1873" s="73"/>
      <c r="IQ1873" s="73"/>
      <c r="IR1873" s="73"/>
      <c r="IS1873" s="73"/>
      <c r="IT1873" s="73"/>
      <c r="IU1873" s="73"/>
      <c r="IV1873" s="73"/>
      <c r="IW1873" s="73"/>
      <c r="IX1873" s="73"/>
      <c r="IY1873" s="73"/>
      <c r="IZ1873" s="73"/>
      <c r="JA1873" s="73"/>
      <c r="JB1873" s="73"/>
      <c r="JC1873" s="73"/>
    </row>
    <row r="1874" spans="2:263" s="72" customFormat="1">
      <c r="B1874" s="73"/>
      <c r="C1874" s="73"/>
      <c r="D1874" s="73"/>
      <c r="E1874" s="73"/>
      <c r="F1874" s="73"/>
      <c r="G1874" s="73"/>
      <c r="H1874" s="73"/>
      <c r="I1874" s="73"/>
      <c r="J1874" s="73"/>
      <c r="K1874" s="73"/>
      <c r="L1874" s="73"/>
      <c r="M1874" s="73"/>
      <c r="N1874" s="73"/>
      <c r="O1874" s="73"/>
      <c r="P1874" s="73"/>
      <c r="Q1874" s="73"/>
      <c r="R1874" s="73"/>
      <c r="S1874" s="73"/>
      <c r="T1874" s="73"/>
      <c r="U1874" s="73"/>
      <c r="V1874" s="73"/>
      <c r="W1874" s="73"/>
      <c r="GL1874" s="73"/>
      <c r="GM1874" s="73"/>
      <c r="GN1874" s="73"/>
      <c r="GO1874" s="73"/>
      <c r="GP1874" s="73"/>
      <c r="GQ1874" s="73"/>
      <c r="GR1874" s="73"/>
      <c r="GS1874" s="73"/>
      <c r="GT1874" s="73"/>
      <c r="GU1874" s="73"/>
      <c r="GV1874" s="73"/>
      <c r="GW1874" s="73"/>
      <c r="GX1874" s="73"/>
      <c r="GY1874" s="73"/>
      <c r="GZ1874" s="73"/>
      <c r="HA1874" s="73"/>
      <c r="HB1874" s="73"/>
      <c r="HC1874" s="73"/>
      <c r="HD1874" s="73"/>
      <c r="HE1874" s="73"/>
      <c r="HF1874" s="73"/>
      <c r="HG1874" s="73"/>
      <c r="HH1874" s="73"/>
      <c r="HI1874" s="73"/>
      <c r="HJ1874" s="73"/>
      <c r="HK1874" s="73"/>
      <c r="HL1874" s="73"/>
      <c r="HM1874" s="73"/>
      <c r="HN1874" s="73"/>
      <c r="HO1874" s="73"/>
      <c r="HP1874" s="73"/>
      <c r="HQ1874" s="73"/>
      <c r="HR1874" s="73"/>
      <c r="HS1874" s="73"/>
      <c r="HT1874" s="73"/>
      <c r="HU1874" s="73"/>
      <c r="HV1874" s="73"/>
      <c r="HW1874" s="73"/>
      <c r="HX1874" s="73"/>
      <c r="HY1874" s="73"/>
      <c r="HZ1874" s="73"/>
      <c r="IA1874" s="73"/>
      <c r="IB1874" s="73"/>
      <c r="IC1874" s="73"/>
      <c r="ID1874" s="73"/>
      <c r="IE1874" s="73"/>
      <c r="IF1874" s="73"/>
      <c r="IG1874" s="73"/>
      <c r="IH1874" s="73"/>
      <c r="II1874" s="73"/>
      <c r="IJ1874" s="73"/>
      <c r="IK1874" s="73"/>
      <c r="IL1874" s="73"/>
      <c r="IM1874" s="73"/>
      <c r="IN1874" s="73"/>
      <c r="IO1874" s="73"/>
      <c r="IP1874" s="73"/>
      <c r="IQ1874" s="73"/>
      <c r="IR1874" s="73"/>
      <c r="IS1874" s="73"/>
      <c r="IT1874" s="73"/>
      <c r="IU1874" s="73"/>
      <c r="IV1874" s="73"/>
      <c r="IW1874" s="73"/>
      <c r="IX1874" s="73"/>
      <c r="IY1874" s="73"/>
      <c r="IZ1874" s="73"/>
      <c r="JA1874" s="73"/>
      <c r="JB1874" s="73"/>
      <c r="JC1874" s="73"/>
    </row>
    <row r="1875" spans="2:263" s="72" customFormat="1">
      <c r="B1875" s="73"/>
      <c r="C1875" s="73"/>
      <c r="D1875" s="73"/>
      <c r="E1875" s="73"/>
      <c r="F1875" s="73"/>
      <c r="G1875" s="73"/>
      <c r="H1875" s="73"/>
      <c r="I1875" s="73"/>
      <c r="J1875" s="73"/>
      <c r="K1875" s="73"/>
      <c r="L1875" s="73"/>
      <c r="M1875" s="73"/>
      <c r="N1875" s="73"/>
      <c r="O1875" s="73"/>
      <c r="P1875" s="73"/>
      <c r="Q1875" s="73"/>
      <c r="R1875" s="73"/>
      <c r="S1875" s="73"/>
      <c r="T1875" s="73"/>
      <c r="U1875" s="73"/>
      <c r="V1875" s="73"/>
      <c r="W1875" s="73"/>
      <c r="GL1875" s="73"/>
      <c r="GM1875" s="73"/>
      <c r="GN1875" s="73"/>
      <c r="GO1875" s="73"/>
      <c r="GP1875" s="73"/>
      <c r="GQ1875" s="73"/>
      <c r="GR1875" s="73"/>
      <c r="GS1875" s="73"/>
      <c r="GT1875" s="73"/>
      <c r="GU1875" s="73"/>
      <c r="GV1875" s="73"/>
      <c r="GW1875" s="73"/>
      <c r="GX1875" s="73"/>
      <c r="GY1875" s="73"/>
      <c r="GZ1875" s="73"/>
      <c r="HA1875" s="73"/>
      <c r="HB1875" s="73"/>
      <c r="HC1875" s="73"/>
      <c r="HD1875" s="73"/>
      <c r="HE1875" s="73"/>
      <c r="HF1875" s="73"/>
      <c r="HG1875" s="73"/>
      <c r="HH1875" s="73"/>
      <c r="HI1875" s="73"/>
      <c r="HJ1875" s="73"/>
      <c r="HK1875" s="73"/>
      <c r="HL1875" s="73"/>
      <c r="HM1875" s="73"/>
      <c r="HN1875" s="73"/>
      <c r="HO1875" s="73"/>
      <c r="HP1875" s="73"/>
      <c r="HQ1875" s="73"/>
      <c r="HR1875" s="73"/>
      <c r="HS1875" s="73"/>
      <c r="HT1875" s="73"/>
      <c r="HU1875" s="73"/>
      <c r="HV1875" s="73"/>
      <c r="HW1875" s="73"/>
      <c r="HX1875" s="73"/>
      <c r="HY1875" s="73"/>
      <c r="HZ1875" s="73"/>
      <c r="IA1875" s="73"/>
      <c r="IB1875" s="73"/>
      <c r="IC1875" s="73"/>
      <c r="ID1875" s="73"/>
      <c r="IE1875" s="73"/>
      <c r="IF1875" s="73"/>
      <c r="IG1875" s="73"/>
      <c r="IH1875" s="73"/>
      <c r="II1875" s="73"/>
      <c r="IJ1875" s="73"/>
      <c r="IK1875" s="73"/>
      <c r="IL1875" s="73"/>
      <c r="IM1875" s="73"/>
      <c r="IN1875" s="73"/>
      <c r="IO1875" s="73"/>
      <c r="IP1875" s="73"/>
      <c r="IQ1875" s="73"/>
      <c r="IR1875" s="73"/>
      <c r="IS1875" s="73"/>
      <c r="IT1875" s="73"/>
      <c r="IU1875" s="73"/>
      <c r="IV1875" s="73"/>
      <c r="IW1875" s="73"/>
      <c r="IX1875" s="73"/>
      <c r="IY1875" s="73"/>
      <c r="IZ1875" s="73"/>
      <c r="JA1875" s="73"/>
      <c r="JB1875" s="73"/>
      <c r="JC1875" s="73"/>
    </row>
    <row r="1876" spans="2:263" s="72" customFormat="1">
      <c r="B1876" s="73"/>
      <c r="C1876" s="73"/>
      <c r="D1876" s="73"/>
      <c r="E1876" s="73"/>
      <c r="F1876" s="73"/>
      <c r="G1876" s="73"/>
      <c r="H1876" s="73"/>
      <c r="I1876" s="73"/>
      <c r="J1876" s="73"/>
      <c r="K1876" s="73"/>
      <c r="L1876" s="73"/>
      <c r="M1876" s="73"/>
      <c r="N1876" s="73"/>
      <c r="O1876" s="73"/>
      <c r="P1876" s="73"/>
      <c r="Q1876" s="73"/>
      <c r="R1876" s="73"/>
      <c r="S1876" s="73"/>
      <c r="T1876" s="73"/>
      <c r="U1876" s="73"/>
      <c r="V1876" s="73"/>
      <c r="W1876" s="73"/>
      <c r="GL1876" s="73"/>
      <c r="GM1876" s="73"/>
      <c r="GN1876" s="73"/>
      <c r="GO1876" s="73"/>
      <c r="GP1876" s="73"/>
      <c r="GQ1876" s="73"/>
      <c r="GR1876" s="73"/>
      <c r="GS1876" s="73"/>
      <c r="GT1876" s="73"/>
      <c r="GU1876" s="73"/>
      <c r="GV1876" s="73"/>
      <c r="GW1876" s="73"/>
      <c r="GX1876" s="73"/>
      <c r="GY1876" s="73"/>
      <c r="GZ1876" s="73"/>
      <c r="HA1876" s="73"/>
      <c r="HB1876" s="73"/>
      <c r="HC1876" s="73"/>
      <c r="HD1876" s="73"/>
      <c r="HE1876" s="73"/>
      <c r="HF1876" s="73"/>
      <c r="HG1876" s="73"/>
      <c r="HH1876" s="73"/>
      <c r="HI1876" s="73"/>
      <c r="HJ1876" s="73"/>
      <c r="HK1876" s="73"/>
      <c r="HL1876" s="73"/>
      <c r="HM1876" s="73"/>
      <c r="HN1876" s="73"/>
      <c r="HO1876" s="73"/>
      <c r="HP1876" s="73"/>
      <c r="HQ1876" s="73"/>
      <c r="HR1876" s="73"/>
      <c r="HS1876" s="73"/>
      <c r="HT1876" s="73"/>
      <c r="HU1876" s="73"/>
      <c r="HV1876" s="73"/>
      <c r="HW1876" s="73"/>
      <c r="HX1876" s="73"/>
      <c r="HY1876" s="73"/>
      <c r="HZ1876" s="73"/>
      <c r="IA1876" s="73"/>
      <c r="IB1876" s="73"/>
      <c r="IC1876" s="73"/>
      <c r="ID1876" s="73"/>
      <c r="IE1876" s="73"/>
      <c r="IF1876" s="73"/>
      <c r="IG1876" s="73"/>
      <c r="IH1876" s="73"/>
      <c r="II1876" s="73"/>
      <c r="IJ1876" s="73"/>
      <c r="IK1876" s="73"/>
      <c r="IL1876" s="73"/>
      <c r="IM1876" s="73"/>
      <c r="IN1876" s="73"/>
      <c r="IO1876" s="73"/>
      <c r="IP1876" s="73"/>
      <c r="IQ1876" s="73"/>
      <c r="IR1876" s="73"/>
      <c r="IS1876" s="73"/>
      <c r="IT1876" s="73"/>
      <c r="IU1876" s="73"/>
      <c r="IV1876" s="73"/>
      <c r="IW1876" s="73"/>
      <c r="IX1876" s="73"/>
      <c r="IY1876" s="73"/>
      <c r="IZ1876" s="73"/>
      <c r="JA1876" s="73"/>
      <c r="JB1876" s="73"/>
      <c r="JC1876" s="73"/>
    </row>
    <row r="1877" spans="2:263" s="72" customFormat="1">
      <c r="B1877" s="73"/>
      <c r="C1877" s="73"/>
      <c r="D1877" s="73"/>
      <c r="E1877" s="73"/>
      <c r="F1877" s="73"/>
      <c r="G1877" s="73"/>
      <c r="H1877" s="73"/>
      <c r="I1877" s="73"/>
      <c r="J1877" s="73"/>
      <c r="K1877" s="73"/>
      <c r="L1877" s="73"/>
      <c r="M1877" s="73"/>
      <c r="N1877" s="73"/>
      <c r="O1877" s="73"/>
      <c r="P1877" s="73"/>
      <c r="Q1877" s="73"/>
      <c r="R1877" s="73"/>
      <c r="S1877" s="73"/>
      <c r="T1877" s="73"/>
      <c r="U1877" s="73"/>
      <c r="V1877" s="73"/>
      <c r="W1877" s="73"/>
      <c r="GL1877" s="73"/>
      <c r="GM1877" s="73"/>
      <c r="GN1877" s="73"/>
      <c r="GO1877" s="73"/>
      <c r="GP1877" s="73"/>
      <c r="GQ1877" s="73"/>
      <c r="GR1877" s="73"/>
      <c r="GS1877" s="73"/>
      <c r="GT1877" s="73"/>
      <c r="GU1877" s="73"/>
      <c r="GV1877" s="73"/>
      <c r="GW1877" s="73"/>
      <c r="GX1877" s="73"/>
      <c r="GY1877" s="73"/>
      <c r="GZ1877" s="73"/>
      <c r="HA1877" s="73"/>
      <c r="HB1877" s="73"/>
      <c r="HC1877" s="73"/>
      <c r="HD1877" s="73"/>
      <c r="HE1877" s="73"/>
      <c r="HF1877" s="73"/>
      <c r="HG1877" s="73"/>
      <c r="HH1877" s="73"/>
      <c r="HI1877" s="73"/>
      <c r="HJ1877" s="73"/>
      <c r="HK1877" s="73"/>
      <c r="HL1877" s="73"/>
      <c r="HM1877" s="73"/>
      <c r="HN1877" s="73"/>
      <c r="HO1877" s="73"/>
      <c r="HP1877" s="73"/>
      <c r="HQ1877" s="73"/>
      <c r="HR1877" s="73"/>
      <c r="HS1877" s="73"/>
      <c r="HT1877" s="73"/>
      <c r="HU1877" s="73"/>
      <c r="HV1877" s="73"/>
      <c r="HW1877" s="73"/>
      <c r="HX1877" s="73"/>
      <c r="HY1877" s="73"/>
      <c r="HZ1877" s="73"/>
      <c r="IA1877" s="73"/>
      <c r="IB1877" s="73"/>
      <c r="IC1877" s="73"/>
      <c r="ID1877" s="73"/>
      <c r="IE1877" s="73"/>
      <c r="IF1877" s="73"/>
      <c r="IG1877" s="73"/>
      <c r="IH1877" s="73"/>
      <c r="II1877" s="73"/>
      <c r="IJ1877" s="73"/>
      <c r="IK1877" s="73"/>
      <c r="IL1877" s="73"/>
      <c r="IM1877" s="73"/>
      <c r="IN1877" s="73"/>
      <c r="IO1877" s="73"/>
      <c r="IP1877" s="73"/>
      <c r="IQ1877" s="73"/>
      <c r="IR1877" s="73"/>
      <c r="IS1877" s="73"/>
      <c r="IT1877" s="73"/>
      <c r="IU1877" s="73"/>
      <c r="IV1877" s="73"/>
      <c r="IW1877" s="73"/>
      <c r="IX1877" s="73"/>
      <c r="IY1877" s="73"/>
      <c r="IZ1877" s="73"/>
      <c r="JA1877" s="73"/>
      <c r="JB1877" s="73"/>
      <c r="JC1877" s="73"/>
    </row>
    <row r="1878" spans="2:263" s="72" customFormat="1">
      <c r="B1878" s="73"/>
      <c r="C1878" s="73"/>
      <c r="D1878" s="73"/>
      <c r="E1878" s="73"/>
      <c r="F1878" s="73"/>
      <c r="G1878" s="73"/>
      <c r="H1878" s="73"/>
      <c r="I1878" s="73"/>
      <c r="J1878" s="73"/>
      <c r="K1878" s="73"/>
      <c r="L1878" s="73"/>
      <c r="M1878" s="73"/>
      <c r="N1878" s="73"/>
      <c r="O1878" s="73"/>
      <c r="P1878" s="73"/>
      <c r="Q1878" s="73"/>
      <c r="R1878" s="73"/>
      <c r="S1878" s="73"/>
      <c r="T1878" s="73"/>
      <c r="U1878" s="73"/>
      <c r="V1878" s="73"/>
      <c r="W1878" s="73"/>
      <c r="GL1878" s="73"/>
      <c r="GM1878" s="73"/>
      <c r="GN1878" s="73"/>
      <c r="GO1878" s="73"/>
      <c r="GP1878" s="73"/>
      <c r="GQ1878" s="73"/>
      <c r="GR1878" s="73"/>
      <c r="GS1878" s="73"/>
      <c r="GT1878" s="73"/>
      <c r="GU1878" s="73"/>
      <c r="GV1878" s="73"/>
      <c r="GW1878" s="73"/>
      <c r="GX1878" s="73"/>
      <c r="GY1878" s="73"/>
      <c r="GZ1878" s="73"/>
      <c r="HA1878" s="73"/>
      <c r="HB1878" s="73"/>
      <c r="HC1878" s="73"/>
      <c r="HD1878" s="73"/>
      <c r="HE1878" s="73"/>
      <c r="HF1878" s="73"/>
      <c r="HG1878" s="73"/>
      <c r="HH1878" s="73"/>
      <c r="HI1878" s="73"/>
      <c r="HJ1878" s="73"/>
      <c r="HK1878" s="73"/>
      <c r="HL1878" s="73"/>
      <c r="HM1878" s="73"/>
      <c r="HN1878" s="73"/>
      <c r="HO1878" s="73"/>
      <c r="HP1878" s="73"/>
      <c r="HQ1878" s="73"/>
      <c r="HR1878" s="73"/>
      <c r="HS1878" s="73"/>
      <c r="HT1878" s="73"/>
      <c r="HU1878" s="73"/>
      <c r="HV1878" s="73"/>
      <c r="HW1878" s="73"/>
      <c r="HX1878" s="73"/>
      <c r="HY1878" s="73"/>
      <c r="HZ1878" s="73"/>
      <c r="IA1878" s="73"/>
      <c r="IB1878" s="73"/>
      <c r="IC1878" s="73"/>
      <c r="ID1878" s="73"/>
      <c r="IE1878" s="73"/>
      <c r="IF1878" s="73"/>
      <c r="IG1878" s="73"/>
      <c r="IH1878" s="73"/>
      <c r="II1878" s="73"/>
      <c r="IJ1878" s="73"/>
      <c r="IK1878" s="73"/>
      <c r="IL1878" s="73"/>
      <c r="IM1878" s="73"/>
      <c r="IN1878" s="73"/>
      <c r="IO1878" s="73"/>
      <c r="IP1878" s="73"/>
      <c r="IQ1878" s="73"/>
      <c r="IR1878" s="73"/>
      <c r="IS1878" s="73"/>
      <c r="IT1878" s="73"/>
      <c r="IU1878" s="73"/>
      <c r="IV1878" s="73"/>
      <c r="IW1878" s="73"/>
      <c r="IX1878" s="73"/>
      <c r="IY1878" s="73"/>
      <c r="IZ1878" s="73"/>
      <c r="JA1878" s="73"/>
      <c r="JB1878" s="73"/>
      <c r="JC1878" s="73"/>
    </row>
    <row r="1879" spans="2:263" s="72" customFormat="1">
      <c r="B1879" s="73"/>
      <c r="C1879" s="73"/>
      <c r="D1879" s="73"/>
      <c r="E1879" s="73"/>
      <c r="F1879" s="73"/>
      <c r="G1879" s="73"/>
      <c r="H1879" s="73"/>
      <c r="I1879" s="73"/>
      <c r="J1879" s="73"/>
      <c r="K1879" s="73"/>
      <c r="L1879" s="73"/>
      <c r="M1879" s="73"/>
      <c r="N1879" s="73"/>
      <c r="O1879" s="73"/>
      <c r="P1879" s="73"/>
      <c r="Q1879" s="73"/>
      <c r="R1879" s="73"/>
      <c r="S1879" s="73"/>
      <c r="T1879" s="73"/>
      <c r="U1879" s="73"/>
      <c r="V1879" s="73"/>
      <c r="W1879" s="73"/>
      <c r="GL1879" s="73"/>
      <c r="GM1879" s="73"/>
      <c r="GN1879" s="73"/>
      <c r="GO1879" s="73"/>
      <c r="GP1879" s="73"/>
      <c r="GQ1879" s="73"/>
      <c r="GR1879" s="73"/>
      <c r="GS1879" s="73"/>
      <c r="GT1879" s="73"/>
      <c r="GU1879" s="73"/>
      <c r="GV1879" s="73"/>
      <c r="GW1879" s="73"/>
      <c r="GX1879" s="73"/>
      <c r="GY1879" s="73"/>
      <c r="GZ1879" s="73"/>
      <c r="HA1879" s="73"/>
      <c r="HB1879" s="73"/>
      <c r="HC1879" s="73"/>
      <c r="HD1879" s="73"/>
      <c r="HE1879" s="73"/>
      <c r="HF1879" s="73"/>
      <c r="HG1879" s="73"/>
      <c r="HH1879" s="73"/>
      <c r="HI1879" s="73"/>
      <c r="HJ1879" s="73"/>
      <c r="HK1879" s="73"/>
      <c r="HL1879" s="73"/>
      <c r="HM1879" s="73"/>
      <c r="HN1879" s="73"/>
      <c r="HO1879" s="73"/>
      <c r="HP1879" s="73"/>
      <c r="HQ1879" s="73"/>
      <c r="HR1879" s="73"/>
      <c r="HS1879" s="73"/>
      <c r="HT1879" s="73"/>
      <c r="HU1879" s="73"/>
      <c r="HV1879" s="73"/>
      <c r="HW1879" s="73"/>
      <c r="HX1879" s="73"/>
      <c r="HY1879" s="73"/>
      <c r="HZ1879" s="73"/>
      <c r="IA1879" s="73"/>
      <c r="IB1879" s="73"/>
      <c r="IC1879" s="73"/>
      <c r="ID1879" s="73"/>
      <c r="IE1879" s="73"/>
      <c r="IF1879" s="73"/>
      <c r="IG1879" s="73"/>
      <c r="IH1879" s="73"/>
      <c r="II1879" s="73"/>
      <c r="IJ1879" s="73"/>
      <c r="IK1879" s="73"/>
      <c r="IL1879" s="73"/>
      <c r="IM1879" s="73"/>
      <c r="IN1879" s="73"/>
      <c r="IO1879" s="73"/>
      <c r="IP1879" s="73"/>
      <c r="IQ1879" s="73"/>
      <c r="IR1879" s="73"/>
      <c r="IS1879" s="73"/>
      <c r="IT1879" s="73"/>
      <c r="IU1879" s="73"/>
      <c r="IV1879" s="73"/>
      <c r="IW1879" s="73"/>
      <c r="IX1879" s="73"/>
      <c r="IY1879" s="73"/>
      <c r="IZ1879" s="73"/>
      <c r="JA1879" s="73"/>
      <c r="JB1879" s="73"/>
      <c r="JC1879" s="73"/>
    </row>
    <row r="1880" spans="2:263" s="72" customFormat="1">
      <c r="B1880" s="73"/>
      <c r="C1880" s="73"/>
      <c r="D1880" s="73"/>
      <c r="E1880" s="73"/>
      <c r="F1880" s="73"/>
      <c r="G1880" s="73"/>
      <c r="H1880" s="73"/>
      <c r="I1880" s="73"/>
      <c r="J1880" s="73"/>
      <c r="K1880" s="73"/>
      <c r="L1880" s="73"/>
      <c r="M1880" s="73"/>
      <c r="N1880" s="73"/>
      <c r="O1880" s="73"/>
      <c r="P1880" s="73"/>
      <c r="Q1880" s="73"/>
      <c r="R1880" s="73"/>
      <c r="S1880" s="73"/>
      <c r="T1880" s="73"/>
      <c r="U1880" s="73"/>
      <c r="V1880" s="73"/>
      <c r="W1880" s="73"/>
      <c r="GL1880" s="73"/>
      <c r="GM1880" s="73"/>
      <c r="GN1880" s="73"/>
      <c r="GO1880" s="73"/>
      <c r="GP1880" s="73"/>
      <c r="GQ1880" s="73"/>
      <c r="GR1880" s="73"/>
      <c r="GS1880" s="73"/>
      <c r="GT1880" s="73"/>
      <c r="GU1880" s="73"/>
      <c r="GV1880" s="73"/>
      <c r="GW1880" s="73"/>
      <c r="GX1880" s="73"/>
      <c r="GY1880" s="73"/>
      <c r="GZ1880" s="73"/>
      <c r="HA1880" s="73"/>
      <c r="HB1880" s="73"/>
      <c r="HC1880" s="73"/>
      <c r="HD1880" s="73"/>
      <c r="HE1880" s="73"/>
      <c r="HF1880" s="73"/>
      <c r="HG1880" s="73"/>
      <c r="HH1880" s="73"/>
      <c r="HI1880" s="73"/>
      <c r="HJ1880" s="73"/>
      <c r="HK1880" s="73"/>
      <c r="HL1880" s="73"/>
      <c r="HM1880" s="73"/>
      <c r="HN1880" s="73"/>
      <c r="HO1880" s="73"/>
      <c r="HP1880" s="73"/>
      <c r="HQ1880" s="73"/>
      <c r="HR1880" s="73"/>
      <c r="HS1880" s="73"/>
      <c r="HT1880" s="73"/>
      <c r="HU1880" s="73"/>
      <c r="HV1880" s="73"/>
      <c r="HW1880" s="73"/>
      <c r="HX1880" s="73"/>
      <c r="HY1880" s="73"/>
      <c r="HZ1880" s="73"/>
      <c r="IA1880" s="73"/>
      <c r="IB1880" s="73"/>
      <c r="IC1880" s="73"/>
      <c r="ID1880" s="73"/>
      <c r="IE1880" s="73"/>
      <c r="IF1880" s="73"/>
      <c r="IG1880" s="73"/>
      <c r="IH1880" s="73"/>
      <c r="II1880" s="73"/>
      <c r="IJ1880" s="73"/>
      <c r="IK1880" s="73"/>
      <c r="IL1880" s="73"/>
      <c r="IM1880" s="73"/>
      <c r="IN1880" s="73"/>
      <c r="IO1880" s="73"/>
      <c r="IP1880" s="73"/>
      <c r="IQ1880" s="73"/>
      <c r="IR1880" s="73"/>
      <c r="IS1880" s="73"/>
      <c r="IT1880" s="73"/>
      <c r="IU1880" s="73"/>
      <c r="IV1880" s="73"/>
      <c r="IW1880" s="73"/>
      <c r="IX1880" s="73"/>
      <c r="IY1880" s="73"/>
      <c r="IZ1880" s="73"/>
      <c r="JA1880" s="73"/>
      <c r="JB1880" s="73"/>
      <c r="JC1880" s="73"/>
    </row>
    <row r="1881" spans="2:263" s="72" customFormat="1">
      <c r="B1881" s="73"/>
      <c r="C1881" s="73"/>
      <c r="D1881" s="73"/>
      <c r="E1881" s="73"/>
      <c r="F1881" s="73"/>
      <c r="G1881" s="73"/>
      <c r="H1881" s="73"/>
      <c r="I1881" s="73"/>
      <c r="J1881" s="73"/>
      <c r="K1881" s="73"/>
      <c r="L1881" s="73"/>
      <c r="M1881" s="73"/>
      <c r="N1881" s="73"/>
      <c r="O1881" s="73"/>
      <c r="P1881" s="73"/>
      <c r="Q1881" s="73"/>
      <c r="R1881" s="73"/>
      <c r="S1881" s="73"/>
      <c r="T1881" s="73"/>
      <c r="U1881" s="73"/>
      <c r="V1881" s="73"/>
      <c r="W1881" s="73"/>
      <c r="GL1881" s="73"/>
      <c r="GM1881" s="73"/>
      <c r="GN1881" s="73"/>
      <c r="GO1881" s="73"/>
      <c r="GP1881" s="73"/>
      <c r="GQ1881" s="73"/>
      <c r="GR1881" s="73"/>
      <c r="GS1881" s="73"/>
      <c r="GT1881" s="73"/>
      <c r="GU1881" s="73"/>
      <c r="GV1881" s="73"/>
      <c r="GW1881" s="73"/>
      <c r="GX1881" s="73"/>
      <c r="GY1881" s="73"/>
      <c r="GZ1881" s="73"/>
      <c r="HA1881" s="73"/>
      <c r="HB1881" s="73"/>
      <c r="HC1881" s="73"/>
      <c r="HD1881" s="73"/>
      <c r="HE1881" s="73"/>
      <c r="HF1881" s="73"/>
      <c r="HG1881" s="73"/>
      <c r="HH1881" s="73"/>
      <c r="HI1881" s="73"/>
      <c r="HJ1881" s="73"/>
      <c r="HK1881" s="73"/>
      <c r="HL1881" s="73"/>
      <c r="HM1881" s="73"/>
      <c r="HN1881" s="73"/>
      <c r="HO1881" s="73"/>
      <c r="HP1881" s="73"/>
      <c r="HQ1881" s="73"/>
      <c r="HR1881" s="73"/>
      <c r="HS1881" s="73"/>
      <c r="HT1881" s="73"/>
      <c r="HU1881" s="73"/>
      <c r="HV1881" s="73"/>
      <c r="HW1881" s="73"/>
      <c r="HX1881" s="73"/>
      <c r="HY1881" s="73"/>
      <c r="HZ1881" s="73"/>
      <c r="IA1881" s="73"/>
      <c r="IB1881" s="73"/>
      <c r="IC1881" s="73"/>
      <c r="ID1881" s="73"/>
      <c r="IE1881" s="73"/>
      <c r="IF1881" s="73"/>
      <c r="IG1881" s="73"/>
      <c r="IH1881" s="73"/>
      <c r="II1881" s="73"/>
      <c r="IJ1881" s="73"/>
      <c r="IK1881" s="73"/>
      <c r="IL1881" s="73"/>
      <c r="IM1881" s="73"/>
      <c r="IN1881" s="73"/>
      <c r="IO1881" s="73"/>
      <c r="IP1881" s="73"/>
      <c r="IQ1881" s="73"/>
      <c r="IR1881" s="73"/>
      <c r="IS1881" s="73"/>
      <c r="IT1881" s="73"/>
      <c r="IU1881" s="73"/>
      <c r="IV1881" s="73"/>
      <c r="IW1881" s="73"/>
      <c r="IX1881" s="73"/>
      <c r="IY1881" s="73"/>
      <c r="IZ1881" s="73"/>
      <c r="JA1881" s="73"/>
      <c r="JB1881" s="73"/>
      <c r="JC1881" s="73"/>
    </row>
    <row r="1882" spans="2:263" s="72" customFormat="1">
      <c r="B1882" s="73"/>
      <c r="C1882" s="73"/>
      <c r="D1882" s="73"/>
      <c r="E1882" s="73"/>
      <c r="F1882" s="73"/>
      <c r="G1882" s="73"/>
      <c r="H1882" s="73"/>
      <c r="I1882" s="73"/>
      <c r="J1882" s="73"/>
      <c r="K1882" s="73"/>
      <c r="L1882" s="73"/>
      <c r="M1882" s="73"/>
      <c r="N1882" s="73"/>
      <c r="O1882" s="73"/>
      <c r="P1882" s="73"/>
      <c r="Q1882" s="73"/>
      <c r="R1882" s="73"/>
      <c r="S1882" s="73"/>
      <c r="T1882" s="73"/>
      <c r="U1882" s="73"/>
      <c r="V1882" s="73"/>
      <c r="W1882" s="73"/>
      <c r="GL1882" s="73"/>
      <c r="GM1882" s="73"/>
      <c r="GN1882" s="73"/>
      <c r="GO1882" s="73"/>
      <c r="GP1882" s="73"/>
      <c r="GQ1882" s="73"/>
      <c r="GR1882" s="73"/>
      <c r="GS1882" s="73"/>
      <c r="GT1882" s="73"/>
      <c r="GU1882" s="73"/>
      <c r="GV1882" s="73"/>
      <c r="GW1882" s="73"/>
      <c r="GX1882" s="73"/>
      <c r="GY1882" s="73"/>
      <c r="GZ1882" s="73"/>
      <c r="HA1882" s="73"/>
      <c r="HB1882" s="73"/>
      <c r="HC1882" s="73"/>
      <c r="HD1882" s="73"/>
      <c r="HE1882" s="73"/>
      <c r="HF1882" s="73"/>
      <c r="HG1882" s="73"/>
      <c r="HH1882" s="73"/>
      <c r="HI1882" s="73"/>
      <c r="HJ1882" s="73"/>
      <c r="HK1882" s="73"/>
      <c r="HL1882" s="73"/>
      <c r="HM1882" s="73"/>
      <c r="HN1882" s="73"/>
      <c r="HO1882" s="73"/>
      <c r="HP1882" s="73"/>
      <c r="HQ1882" s="73"/>
      <c r="HR1882" s="73"/>
      <c r="HS1882" s="73"/>
      <c r="HT1882" s="73"/>
      <c r="HU1882" s="73"/>
      <c r="HV1882" s="73"/>
      <c r="HW1882" s="73"/>
      <c r="HX1882" s="73"/>
      <c r="HY1882" s="73"/>
      <c r="HZ1882" s="73"/>
      <c r="IA1882" s="73"/>
      <c r="IB1882" s="73"/>
      <c r="IC1882" s="73"/>
      <c r="ID1882" s="73"/>
      <c r="IE1882" s="73"/>
      <c r="IF1882" s="73"/>
      <c r="IG1882" s="73"/>
      <c r="IH1882" s="73"/>
      <c r="II1882" s="73"/>
      <c r="IJ1882" s="73"/>
      <c r="IK1882" s="73"/>
      <c r="IL1882" s="73"/>
      <c r="IM1882" s="73"/>
      <c r="IN1882" s="73"/>
      <c r="IO1882" s="73"/>
      <c r="IP1882" s="73"/>
      <c r="IQ1882" s="73"/>
      <c r="IR1882" s="73"/>
      <c r="IS1882" s="73"/>
      <c r="IT1882" s="73"/>
      <c r="IU1882" s="73"/>
      <c r="IV1882" s="73"/>
      <c r="IW1882" s="73"/>
      <c r="IX1882" s="73"/>
      <c r="IY1882" s="73"/>
      <c r="IZ1882" s="73"/>
      <c r="JA1882" s="73"/>
      <c r="JB1882" s="73"/>
      <c r="JC1882" s="73"/>
    </row>
    <row r="1883" spans="2:263" s="72" customFormat="1">
      <c r="B1883" s="73"/>
      <c r="C1883" s="73"/>
      <c r="D1883" s="73"/>
      <c r="E1883" s="73"/>
      <c r="F1883" s="73"/>
      <c r="G1883" s="73"/>
      <c r="H1883" s="73"/>
      <c r="I1883" s="73"/>
      <c r="J1883" s="73"/>
      <c r="K1883" s="73"/>
      <c r="L1883" s="73"/>
      <c r="M1883" s="73"/>
      <c r="N1883" s="73"/>
      <c r="O1883" s="73"/>
      <c r="P1883" s="73"/>
      <c r="Q1883" s="73"/>
      <c r="R1883" s="73"/>
      <c r="S1883" s="73"/>
      <c r="T1883" s="73"/>
      <c r="U1883" s="73"/>
      <c r="V1883" s="73"/>
      <c r="W1883" s="73"/>
      <c r="GL1883" s="73"/>
      <c r="GM1883" s="73"/>
      <c r="GN1883" s="73"/>
      <c r="GO1883" s="73"/>
      <c r="GP1883" s="73"/>
      <c r="GQ1883" s="73"/>
      <c r="GR1883" s="73"/>
      <c r="GS1883" s="73"/>
      <c r="GT1883" s="73"/>
      <c r="GU1883" s="73"/>
      <c r="GV1883" s="73"/>
      <c r="GW1883" s="73"/>
      <c r="GX1883" s="73"/>
      <c r="GY1883" s="73"/>
      <c r="GZ1883" s="73"/>
      <c r="HA1883" s="73"/>
      <c r="HB1883" s="73"/>
      <c r="HC1883" s="73"/>
      <c r="HD1883" s="73"/>
      <c r="HE1883" s="73"/>
      <c r="HF1883" s="73"/>
      <c r="HG1883" s="73"/>
      <c r="HH1883" s="73"/>
      <c r="HI1883" s="73"/>
      <c r="HJ1883" s="73"/>
      <c r="HK1883" s="73"/>
      <c r="HL1883" s="73"/>
      <c r="HM1883" s="73"/>
      <c r="HN1883" s="73"/>
      <c r="HO1883" s="73"/>
      <c r="HP1883" s="73"/>
      <c r="HQ1883" s="73"/>
      <c r="HR1883" s="73"/>
      <c r="HS1883" s="73"/>
      <c r="HT1883" s="73"/>
      <c r="HU1883" s="73"/>
      <c r="HV1883" s="73"/>
      <c r="HW1883" s="73"/>
      <c r="HX1883" s="73"/>
      <c r="HY1883" s="73"/>
      <c r="HZ1883" s="73"/>
      <c r="IA1883" s="73"/>
      <c r="IB1883" s="73"/>
      <c r="IC1883" s="73"/>
      <c r="ID1883" s="73"/>
      <c r="IE1883" s="73"/>
      <c r="IF1883" s="73"/>
      <c r="IG1883" s="73"/>
      <c r="IH1883" s="73"/>
      <c r="II1883" s="73"/>
      <c r="IJ1883" s="73"/>
      <c r="IK1883" s="73"/>
      <c r="IL1883" s="73"/>
      <c r="IM1883" s="73"/>
      <c r="IN1883" s="73"/>
      <c r="IO1883" s="73"/>
      <c r="IP1883" s="73"/>
      <c r="IQ1883" s="73"/>
      <c r="IR1883" s="73"/>
      <c r="IS1883" s="73"/>
      <c r="IT1883" s="73"/>
      <c r="IU1883" s="73"/>
      <c r="IV1883" s="73"/>
      <c r="IW1883" s="73"/>
      <c r="IX1883" s="73"/>
      <c r="IY1883" s="73"/>
      <c r="IZ1883" s="73"/>
      <c r="JA1883" s="73"/>
      <c r="JB1883" s="73"/>
      <c r="JC1883" s="73"/>
    </row>
    <row r="1884" spans="2:263" s="72" customFormat="1">
      <c r="B1884" s="73"/>
      <c r="C1884" s="73"/>
      <c r="D1884" s="73"/>
      <c r="E1884" s="73"/>
      <c r="F1884" s="73"/>
      <c r="G1884" s="73"/>
      <c r="H1884" s="73"/>
      <c r="I1884" s="73"/>
      <c r="J1884" s="73"/>
      <c r="K1884" s="73"/>
      <c r="L1884" s="73"/>
      <c r="M1884" s="73"/>
      <c r="N1884" s="73"/>
      <c r="O1884" s="73"/>
      <c r="P1884" s="73"/>
      <c r="Q1884" s="73"/>
      <c r="R1884" s="73"/>
      <c r="S1884" s="73"/>
      <c r="T1884" s="73"/>
      <c r="U1884" s="73"/>
      <c r="V1884" s="73"/>
      <c r="W1884" s="73"/>
      <c r="GL1884" s="73"/>
      <c r="GM1884" s="73"/>
      <c r="GN1884" s="73"/>
      <c r="GO1884" s="73"/>
      <c r="GP1884" s="73"/>
      <c r="GQ1884" s="73"/>
      <c r="GR1884" s="73"/>
      <c r="GS1884" s="73"/>
      <c r="GT1884" s="73"/>
      <c r="GU1884" s="73"/>
      <c r="GV1884" s="73"/>
      <c r="GW1884" s="73"/>
      <c r="GX1884" s="73"/>
      <c r="GY1884" s="73"/>
      <c r="GZ1884" s="73"/>
      <c r="HA1884" s="73"/>
      <c r="HB1884" s="73"/>
      <c r="HC1884" s="73"/>
      <c r="HD1884" s="73"/>
      <c r="HE1884" s="73"/>
      <c r="HF1884" s="73"/>
      <c r="HG1884" s="73"/>
      <c r="HH1884" s="73"/>
      <c r="HI1884" s="73"/>
      <c r="HJ1884" s="73"/>
      <c r="HK1884" s="73"/>
      <c r="HL1884" s="73"/>
      <c r="HM1884" s="73"/>
      <c r="HN1884" s="73"/>
      <c r="HO1884" s="73"/>
      <c r="HP1884" s="73"/>
      <c r="HQ1884" s="73"/>
      <c r="HR1884" s="73"/>
      <c r="HS1884" s="73"/>
      <c r="HT1884" s="73"/>
      <c r="HU1884" s="73"/>
      <c r="HV1884" s="73"/>
      <c r="HW1884" s="73"/>
      <c r="HX1884" s="73"/>
      <c r="HY1884" s="73"/>
      <c r="HZ1884" s="73"/>
      <c r="IA1884" s="73"/>
      <c r="IB1884" s="73"/>
      <c r="IC1884" s="73"/>
      <c r="ID1884" s="73"/>
      <c r="IE1884" s="73"/>
      <c r="IF1884" s="73"/>
      <c r="IG1884" s="73"/>
      <c r="IH1884" s="73"/>
      <c r="II1884" s="73"/>
      <c r="IJ1884" s="73"/>
      <c r="IK1884" s="73"/>
      <c r="IL1884" s="73"/>
      <c r="IM1884" s="73"/>
      <c r="IN1884" s="73"/>
      <c r="IO1884" s="73"/>
      <c r="IP1884" s="73"/>
      <c r="IQ1884" s="73"/>
      <c r="IR1884" s="73"/>
      <c r="IS1884" s="73"/>
      <c r="IT1884" s="73"/>
      <c r="IU1884" s="73"/>
      <c r="IV1884" s="73"/>
      <c r="IW1884" s="73"/>
      <c r="IX1884" s="73"/>
      <c r="IY1884" s="73"/>
      <c r="IZ1884" s="73"/>
      <c r="JA1884" s="73"/>
      <c r="JB1884" s="73"/>
      <c r="JC1884" s="73"/>
    </row>
    <row r="1885" spans="2:263" s="72" customFormat="1">
      <c r="B1885" s="73"/>
      <c r="C1885" s="73"/>
      <c r="D1885" s="73"/>
      <c r="E1885" s="73"/>
      <c r="F1885" s="73"/>
      <c r="G1885" s="73"/>
      <c r="H1885" s="73"/>
      <c r="I1885" s="73"/>
      <c r="J1885" s="73"/>
      <c r="K1885" s="73"/>
      <c r="L1885" s="73"/>
      <c r="M1885" s="73"/>
      <c r="N1885" s="73"/>
      <c r="O1885" s="73"/>
      <c r="P1885" s="73"/>
      <c r="Q1885" s="73"/>
      <c r="R1885" s="73"/>
      <c r="S1885" s="73"/>
      <c r="T1885" s="73"/>
      <c r="U1885" s="73"/>
      <c r="V1885" s="73"/>
      <c r="W1885" s="73"/>
      <c r="GL1885" s="73"/>
      <c r="GM1885" s="73"/>
      <c r="GN1885" s="73"/>
      <c r="GO1885" s="73"/>
      <c r="GP1885" s="73"/>
      <c r="GQ1885" s="73"/>
      <c r="GR1885" s="73"/>
      <c r="GS1885" s="73"/>
      <c r="GT1885" s="73"/>
      <c r="GU1885" s="73"/>
      <c r="GV1885" s="73"/>
      <c r="GW1885" s="73"/>
      <c r="GX1885" s="73"/>
      <c r="GY1885" s="73"/>
      <c r="GZ1885" s="73"/>
      <c r="HA1885" s="73"/>
      <c r="HB1885" s="73"/>
      <c r="HC1885" s="73"/>
      <c r="HD1885" s="73"/>
      <c r="HE1885" s="73"/>
      <c r="HF1885" s="73"/>
      <c r="HG1885" s="73"/>
      <c r="HH1885" s="73"/>
      <c r="HI1885" s="73"/>
      <c r="HJ1885" s="73"/>
      <c r="HK1885" s="73"/>
      <c r="HL1885" s="73"/>
      <c r="HM1885" s="73"/>
      <c r="HN1885" s="73"/>
      <c r="HO1885" s="73"/>
      <c r="HP1885" s="73"/>
      <c r="HQ1885" s="73"/>
      <c r="HR1885" s="73"/>
      <c r="HS1885" s="73"/>
      <c r="HT1885" s="73"/>
      <c r="HU1885" s="73"/>
      <c r="HV1885" s="73"/>
      <c r="HW1885" s="73"/>
      <c r="HX1885" s="73"/>
      <c r="HY1885" s="73"/>
      <c r="HZ1885" s="73"/>
      <c r="IA1885" s="73"/>
      <c r="IB1885" s="73"/>
      <c r="IC1885" s="73"/>
      <c r="ID1885" s="73"/>
      <c r="IE1885" s="73"/>
      <c r="IF1885" s="73"/>
      <c r="IG1885" s="73"/>
      <c r="IH1885" s="73"/>
      <c r="II1885" s="73"/>
      <c r="IJ1885" s="73"/>
      <c r="IK1885" s="73"/>
      <c r="IL1885" s="73"/>
      <c r="IM1885" s="73"/>
      <c r="IN1885" s="73"/>
      <c r="IO1885" s="73"/>
      <c r="IP1885" s="73"/>
      <c r="IQ1885" s="73"/>
      <c r="IR1885" s="73"/>
      <c r="IS1885" s="73"/>
      <c r="IT1885" s="73"/>
      <c r="IU1885" s="73"/>
      <c r="IV1885" s="73"/>
      <c r="IW1885" s="73"/>
      <c r="IX1885" s="73"/>
      <c r="IY1885" s="73"/>
      <c r="IZ1885" s="73"/>
      <c r="JA1885" s="73"/>
      <c r="JB1885" s="73"/>
      <c r="JC1885" s="73"/>
    </row>
    <row r="1886" spans="2:263" s="72" customFormat="1">
      <c r="B1886" s="73"/>
      <c r="C1886" s="73"/>
      <c r="D1886" s="73"/>
      <c r="E1886" s="73"/>
      <c r="F1886" s="73"/>
      <c r="G1886" s="73"/>
      <c r="H1886" s="73"/>
      <c r="I1886" s="73"/>
      <c r="J1886" s="73"/>
      <c r="K1886" s="73"/>
      <c r="L1886" s="73"/>
      <c r="M1886" s="73"/>
      <c r="N1886" s="73"/>
      <c r="O1886" s="73"/>
      <c r="P1886" s="73"/>
      <c r="Q1886" s="73"/>
      <c r="R1886" s="73"/>
      <c r="S1886" s="73"/>
      <c r="T1886" s="73"/>
      <c r="U1886" s="73"/>
      <c r="V1886" s="73"/>
      <c r="W1886" s="73"/>
      <c r="GL1886" s="73"/>
      <c r="GM1886" s="73"/>
      <c r="GN1886" s="73"/>
      <c r="GO1886" s="73"/>
      <c r="GP1886" s="73"/>
      <c r="GQ1886" s="73"/>
      <c r="GR1886" s="73"/>
      <c r="GS1886" s="73"/>
      <c r="GT1886" s="73"/>
      <c r="GU1886" s="73"/>
      <c r="GV1886" s="73"/>
      <c r="GW1886" s="73"/>
      <c r="GX1886" s="73"/>
      <c r="GY1886" s="73"/>
      <c r="GZ1886" s="73"/>
      <c r="HA1886" s="73"/>
      <c r="HB1886" s="73"/>
      <c r="HC1886" s="73"/>
      <c r="HD1886" s="73"/>
      <c r="HE1886" s="73"/>
      <c r="HF1886" s="73"/>
      <c r="HG1886" s="73"/>
      <c r="HH1886" s="73"/>
      <c r="HI1886" s="73"/>
      <c r="HJ1886" s="73"/>
      <c r="HK1886" s="73"/>
      <c r="HL1886" s="73"/>
      <c r="HM1886" s="73"/>
      <c r="HN1886" s="73"/>
      <c r="HO1886" s="73"/>
      <c r="HP1886" s="73"/>
      <c r="HQ1886" s="73"/>
      <c r="HR1886" s="73"/>
      <c r="HS1886" s="73"/>
      <c r="HT1886" s="73"/>
      <c r="HU1886" s="73"/>
      <c r="HV1886" s="73"/>
      <c r="HW1886" s="73"/>
      <c r="HX1886" s="73"/>
      <c r="HY1886" s="73"/>
      <c r="HZ1886" s="73"/>
      <c r="IA1886" s="73"/>
      <c r="IB1886" s="73"/>
      <c r="IC1886" s="73"/>
      <c r="ID1886" s="73"/>
      <c r="IE1886" s="73"/>
      <c r="IF1886" s="73"/>
      <c r="IG1886" s="73"/>
      <c r="IH1886" s="73"/>
      <c r="II1886" s="73"/>
      <c r="IJ1886" s="73"/>
      <c r="IK1886" s="73"/>
      <c r="IL1886" s="73"/>
      <c r="IM1886" s="73"/>
      <c r="IN1886" s="73"/>
      <c r="IO1886" s="73"/>
      <c r="IP1886" s="73"/>
      <c r="IQ1886" s="73"/>
      <c r="IR1886" s="73"/>
      <c r="IS1886" s="73"/>
      <c r="IT1886" s="73"/>
      <c r="IU1886" s="73"/>
      <c r="IV1886" s="73"/>
      <c r="IW1886" s="73"/>
      <c r="IX1886" s="73"/>
      <c r="IY1886" s="73"/>
      <c r="IZ1886" s="73"/>
      <c r="JA1886" s="73"/>
      <c r="JB1886" s="73"/>
      <c r="JC1886" s="73"/>
    </row>
    <row r="1887" spans="2:263" s="72" customFormat="1">
      <c r="B1887" s="73"/>
      <c r="C1887" s="73"/>
      <c r="D1887" s="73"/>
      <c r="E1887" s="73"/>
      <c r="F1887" s="73"/>
      <c r="G1887" s="73"/>
      <c r="H1887" s="73"/>
      <c r="I1887" s="73"/>
      <c r="J1887" s="73"/>
      <c r="K1887" s="73"/>
      <c r="L1887" s="73"/>
      <c r="M1887" s="73"/>
      <c r="N1887" s="73"/>
      <c r="O1887" s="73"/>
      <c r="P1887" s="73"/>
      <c r="Q1887" s="73"/>
      <c r="R1887" s="73"/>
      <c r="S1887" s="73"/>
      <c r="T1887" s="73"/>
      <c r="U1887" s="73"/>
      <c r="V1887" s="73"/>
      <c r="W1887" s="73"/>
      <c r="GL1887" s="73"/>
      <c r="GM1887" s="73"/>
      <c r="GN1887" s="73"/>
      <c r="GO1887" s="73"/>
      <c r="GP1887" s="73"/>
      <c r="GQ1887" s="73"/>
      <c r="GR1887" s="73"/>
      <c r="GS1887" s="73"/>
      <c r="GT1887" s="73"/>
      <c r="GU1887" s="73"/>
      <c r="GV1887" s="73"/>
      <c r="GW1887" s="73"/>
      <c r="GX1887" s="73"/>
      <c r="GY1887" s="73"/>
      <c r="GZ1887" s="73"/>
      <c r="HA1887" s="73"/>
      <c r="HB1887" s="73"/>
      <c r="HC1887" s="73"/>
      <c r="HD1887" s="73"/>
      <c r="HE1887" s="73"/>
      <c r="HF1887" s="73"/>
      <c r="HG1887" s="73"/>
      <c r="HH1887" s="73"/>
      <c r="HI1887" s="73"/>
      <c r="HJ1887" s="73"/>
      <c r="HK1887" s="73"/>
      <c r="HL1887" s="73"/>
      <c r="HM1887" s="73"/>
      <c r="HN1887" s="73"/>
      <c r="HO1887" s="73"/>
      <c r="HP1887" s="73"/>
      <c r="HQ1887" s="73"/>
      <c r="HR1887" s="73"/>
      <c r="HS1887" s="73"/>
      <c r="HT1887" s="73"/>
      <c r="HU1887" s="73"/>
      <c r="HV1887" s="73"/>
      <c r="HW1887" s="73"/>
      <c r="HX1887" s="73"/>
      <c r="HY1887" s="73"/>
      <c r="HZ1887" s="73"/>
      <c r="IA1887" s="73"/>
      <c r="IB1887" s="73"/>
      <c r="IC1887" s="73"/>
      <c r="ID1887" s="73"/>
      <c r="IE1887" s="73"/>
      <c r="IF1887" s="73"/>
      <c r="IG1887" s="73"/>
      <c r="IH1887" s="73"/>
      <c r="II1887" s="73"/>
      <c r="IJ1887" s="73"/>
      <c r="IK1887" s="73"/>
      <c r="IL1887" s="73"/>
      <c r="IM1887" s="73"/>
      <c r="IN1887" s="73"/>
      <c r="IO1887" s="73"/>
      <c r="IP1887" s="73"/>
      <c r="IQ1887" s="73"/>
      <c r="IR1887" s="73"/>
      <c r="IS1887" s="73"/>
      <c r="IT1887" s="73"/>
      <c r="IU1887" s="73"/>
      <c r="IV1887" s="73"/>
      <c r="IW1887" s="73"/>
      <c r="IX1887" s="73"/>
      <c r="IY1887" s="73"/>
      <c r="IZ1887" s="73"/>
      <c r="JA1887" s="73"/>
      <c r="JB1887" s="73"/>
      <c r="JC1887" s="73"/>
    </row>
    <row r="1888" spans="2:263" s="72" customFormat="1">
      <c r="B1888" s="73"/>
      <c r="C1888" s="73"/>
      <c r="D1888" s="73"/>
      <c r="E1888" s="73"/>
      <c r="F1888" s="73"/>
      <c r="G1888" s="73"/>
      <c r="H1888" s="73"/>
      <c r="I1888" s="73"/>
      <c r="J1888" s="73"/>
      <c r="K1888" s="73"/>
      <c r="L1888" s="73"/>
      <c r="M1888" s="73"/>
      <c r="N1888" s="73"/>
      <c r="O1888" s="73"/>
      <c r="P1888" s="73"/>
      <c r="Q1888" s="73"/>
      <c r="R1888" s="73"/>
      <c r="S1888" s="73"/>
      <c r="T1888" s="73"/>
      <c r="U1888" s="73"/>
      <c r="V1888" s="73"/>
      <c r="W1888" s="73"/>
      <c r="GL1888" s="73"/>
      <c r="GM1888" s="73"/>
      <c r="GN1888" s="73"/>
      <c r="GO1888" s="73"/>
      <c r="GP1888" s="73"/>
      <c r="GQ1888" s="73"/>
      <c r="GR1888" s="73"/>
      <c r="GS1888" s="73"/>
      <c r="GT1888" s="73"/>
      <c r="GU1888" s="73"/>
      <c r="GV1888" s="73"/>
      <c r="GW1888" s="73"/>
      <c r="GX1888" s="73"/>
      <c r="GY1888" s="73"/>
      <c r="GZ1888" s="73"/>
      <c r="HA1888" s="73"/>
      <c r="HB1888" s="73"/>
      <c r="HC1888" s="73"/>
      <c r="HD1888" s="73"/>
      <c r="HE1888" s="73"/>
      <c r="HF1888" s="73"/>
      <c r="HG1888" s="73"/>
      <c r="HH1888" s="73"/>
      <c r="HI1888" s="73"/>
      <c r="HJ1888" s="73"/>
      <c r="HK1888" s="73"/>
      <c r="HL1888" s="73"/>
      <c r="HM1888" s="73"/>
      <c r="HN1888" s="73"/>
      <c r="HO1888" s="73"/>
      <c r="HP1888" s="73"/>
      <c r="HQ1888" s="73"/>
      <c r="HR1888" s="73"/>
      <c r="HS1888" s="73"/>
      <c r="HT1888" s="73"/>
      <c r="HU1888" s="73"/>
      <c r="HV1888" s="73"/>
      <c r="HW1888" s="73"/>
      <c r="HX1888" s="73"/>
      <c r="HY1888" s="73"/>
      <c r="HZ1888" s="73"/>
      <c r="IA1888" s="73"/>
      <c r="IB1888" s="73"/>
      <c r="IC1888" s="73"/>
      <c r="ID1888" s="73"/>
      <c r="IE1888" s="73"/>
      <c r="IF1888" s="73"/>
      <c r="IG1888" s="73"/>
      <c r="IH1888" s="73"/>
      <c r="II1888" s="73"/>
      <c r="IJ1888" s="73"/>
      <c r="IK1888" s="73"/>
      <c r="IL1888" s="73"/>
      <c r="IM1888" s="73"/>
      <c r="IN1888" s="73"/>
      <c r="IO1888" s="73"/>
      <c r="IP1888" s="73"/>
      <c r="IQ1888" s="73"/>
      <c r="IR1888" s="73"/>
      <c r="IS1888" s="73"/>
      <c r="IT1888" s="73"/>
      <c r="IU1888" s="73"/>
      <c r="IV1888" s="73"/>
      <c r="IW1888" s="73"/>
      <c r="IX1888" s="73"/>
      <c r="IY1888" s="73"/>
      <c r="IZ1888" s="73"/>
      <c r="JA1888" s="73"/>
      <c r="JB1888" s="73"/>
      <c r="JC1888" s="73"/>
    </row>
    <row r="1889" spans="2:263" s="72" customFormat="1">
      <c r="B1889" s="73"/>
      <c r="C1889" s="73"/>
      <c r="D1889" s="73"/>
      <c r="E1889" s="73"/>
      <c r="F1889" s="73"/>
      <c r="G1889" s="73"/>
      <c r="H1889" s="73"/>
      <c r="I1889" s="73"/>
      <c r="J1889" s="73"/>
      <c r="K1889" s="73"/>
      <c r="L1889" s="73"/>
      <c r="M1889" s="73"/>
      <c r="N1889" s="73"/>
      <c r="O1889" s="73"/>
      <c r="P1889" s="73"/>
      <c r="Q1889" s="73"/>
      <c r="R1889" s="73"/>
      <c r="S1889" s="73"/>
      <c r="T1889" s="73"/>
      <c r="U1889" s="73"/>
      <c r="V1889" s="73"/>
      <c r="W1889" s="73"/>
      <c r="GL1889" s="73"/>
      <c r="GM1889" s="73"/>
      <c r="GN1889" s="73"/>
      <c r="GO1889" s="73"/>
      <c r="GP1889" s="73"/>
      <c r="GQ1889" s="73"/>
      <c r="GR1889" s="73"/>
      <c r="GS1889" s="73"/>
      <c r="GT1889" s="73"/>
      <c r="GU1889" s="73"/>
      <c r="GV1889" s="73"/>
      <c r="GW1889" s="73"/>
      <c r="GX1889" s="73"/>
      <c r="GY1889" s="73"/>
      <c r="GZ1889" s="73"/>
      <c r="HA1889" s="73"/>
      <c r="HB1889" s="73"/>
      <c r="HC1889" s="73"/>
      <c r="HD1889" s="73"/>
      <c r="HE1889" s="73"/>
      <c r="HF1889" s="73"/>
      <c r="HG1889" s="73"/>
      <c r="HH1889" s="73"/>
      <c r="HI1889" s="73"/>
      <c r="HJ1889" s="73"/>
      <c r="HK1889" s="73"/>
      <c r="HL1889" s="73"/>
      <c r="HM1889" s="73"/>
      <c r="HN1889" s="73"/>
      <c r="HO1889" s="73"/>
      <c r="HP1889" s="73"/>
      <c r="HQ1889" s="73"/>
      <c r="HR1889" s="73"/>
      <c r="HS1889" s="73"/>
      <c r="HT1889" s="73"/>
      <c r="HU1889" s="73"/>
      <c r="HV1889" s="73"/>
      <c r="HW1889" s="73"/>
      <c r="HX1889" s="73"/>
      <c r="HY1889" s="73"/>
      <c r="HZ1889" s="73"/>
      <c r="IA1889" s="73"/>
      <c r="IB1889" s="73"/>
      <c r="IC1889" s="73"/>
      <c r="ID1889" s="73"/>
      <c r="IE1889" s="73"/>
      <c r="IF1889" s="73"/>
      <c r="IG1889" s="73"/>
      <c r="IH1889" s="73"/>
      <c r="II1889" s="73"/>
      <c r="IJ1889" s="73"/>
      <c r="IK1889" s="73"/>
      <c r="IL1889" s="73"/>
      <c r="IM1889" s="73"/>
      <c r="IN1889" s="73"/>
      <c r="IO1889" s="73"/>
      <c r="IP1889" s="73"/>
      <c r="IQ1889" s="73"/>
      <c r="IR1889" s="73"/>
      <c r="IS1889" s="73"/>
      <c r="IT1889" s="73"/>
      <c r="IU1889" s="73"/>
      <c r="IV1889" s="73"/>
      <c r="IW1889" s="73"/>
      <c r="IX1889" s="73"/>
      <c r="IY1889" s="73"/>
      <c r="IZ1889" s="73"/>
      <c r="JA1889" s="73"/>
      <c r="JB1889" s="73"/>
      <c r="JC1889" s="73"/>
    </row>
    <row r="1890" spans="2:263" s="72" customFormat="1">
      <c r="B1890" s="73"/>
      <c r="C1890" s="73"/>
      <c r="D1890" s="73"/>
      <c r="E1890" s="73"/>
      <c r="F1890" s="73"/>
      <c r="G1890" s="73"/>
      <c r="H1890" s="73"/>
      <c r="I1890" s="73"/>
      <c r="J1890" s="73"/>
      <c r="K1890" s="73"/>
      <c r="L1890" s="73"/>
      <c r="M1890" s="73"/>
      <c r="N1890" s="73"/>
      <c r="O1890" s="73"/>
      <c r="P1890" s="73"/>
      <c r="Q1890" s="73"/>
      <c r="R1890" s="73"/>
      <c r="S1890" s="73"/>
      <c r="T1890" s="73"/>
      <c r="U1890" s="73"/>
      <c r="V1890" s="73"/>
      <c r="W1890" s="73"/>
      <c r="GL1890" s="73"/>
      <c r="GM1890" s="73"/>
      <c r="GN1890" s="73"/>
      <c r="GO1890" s="73"/>
      <c r="GP1890" s="73"/>
      <c r="GQ1890" s="73"/>
      <c r="GR1890" s="73"/>
      <c r="GS1890" s="73"/>
      <c r="GT1890" s="73"/>
      <c r="GU1890" s="73"/>
      <c r="GV1890" s="73"/>
      <c r="GW1890" s="73"/>
      <c r="GX1890" s="73"/>
      <c r="GY1890" s="73"/>
      <c r="GZ1890" s="73"/>
      <c r="HA1890" s="73"/>
      <c r="HB1890" s="73"/>
      <c r="HC1890" s="73"/>
      <c r="HD1890" s="73"/>
      <c r="HE1890" s="73"/>
      <c r="HF1890" s="73"/>
      <c r="HG1890" s="73"/>
      <c r="HH1890" s="73"/>
      <c r="HI1890" s="73"/>
      <c r="HJ1890" s="73"/>
      <c r="HK1890" s="73"/>
      <c r="HL1890" s="73"/>
      <c r="HM1890" s="73"/>
      <c r="HN1890" s="73"/>
      <c r="HO1890" s="73"/>
      <c r="HP1890" s="73"/>
      <c r="HQ1890" s="73"/>
      <c r="HR1890" s="73"/>
      <c r="HS1890" s="73"/>
      <c r="HT1890" s="73"/>
      <c r="HU1890" s="73"/>
      <c r="HV1890" s="73"/>
      <c r="HW1890" s="73"/>
      <c r="HX1890" s="73"/>
      <c r="HY1890" s="73"/>
      <c r="HZ1890" s="73"/>
      <c r="IA1890" s="73"/>
      <c r="IB1890" s="73"/>
      <c r="IC1890" s="73"/>
      <c r="ID1890" s="73"/>
      <c r="IE1890" s="73"/>
      <c r="IF1890" s="73"/>
      <c r="IG1890" s="73"/>
      <c r="IH1890" s="73"/>
      <c r="II1890" s="73"/>
      <c r="IJ1890" s="73"/>
      <c r="IK1890" s="73"/>
      <c r="IL1890" s="73"/>
      <c r="IM1890" s="73"/>
      <c r="IN1890" s="73"/>
      <c r="IO1890" s="73"/>
      <c r="IP1890" s="73"/>
      <c r="IQ1890" s="73"/>
      <c r="IR1890" s="73"/>
      <c r="IS1890" s="73"/>
      <c r="IT1890" s="73"/>
      <c r="IU1890" s="73"/>
      <c r="IV1890" s="73"/>
      <c r="IW1890" s="73"/>
      <c r="IX1890" s="73"/>
      <c r="IY1890" s="73"/>
      <c r="IZ1890" s="73"/>
      <c r="JA1890" s="73"/>
      <c r="JB1890" s="73"/>
      <c r="JC1890" s="73"/>
    </row>
    <row r="1891" spans="2:263" s="72" customFormat="1">
      <c r="B1891" s="73"/>
      <c r="C1891" s="73"/>
      <c r="D1891" s="73"/>
      <c r="E1891" s="73"/>
      <c r="F1891" s="73"/>
      <c r="G1891" s="73"/>
      <c r="H1891" s="73"/>
      <c r="I1891" s="73"/>
      <c r="J1891" s="73"/>
      <c r="K1891" s="73"/>
      <c r="L1891" s="73"/>
      <c r="M1891" s="73"/>
      <c r="N1891" s="73"/>
      <c r="O1891" s="73"/>
      <c r="P1891" s="73"/>
      <c r="Q1891" s="73"/>
      <c r="R1891" s="73"/>
      <c r="S1891" s="73"/>
      <c r="T1891" s="73"/>
      <c r="U1891" s="73"/>
      <c r="V1891" s="73"/>
      <c r="W1891" s="73"/>
      <c r="GL1891" s="73"/>
      <c r="GM1891" s="73"/>
      <c r="GN1891" s="73"/>
      <c r="GO1891" s="73"/>
      <c r="GP1891" s="73"/>
      <c r="GQ1891" s="73"/>
      <c r="GR1891" s="73"/>
      <c r="GS1891" s="73"/>
      <c r="GT1891" s="73"/>
      <c r="GU1891" s="73"/>
      <c r="GV1891" s="73"/>
      <c r="GW1891" s="73"/>
      <c r="GX1891" s="73"/>
      <c r="GY1891" s="73"/>
      <c r="GZ1891" s="73"/>
      <c r="HA1891" s="73"/>
      <c r="HB1891" s="73"/>
      <c r="HC1891" s="73"/>
      <c r="HD1891" s="73"/>
      <c r="HE1891" s="73"/>
      <c r="HF1891" s="73"/>
      <c r="HG1891" s="73"/>
      <c r="HH1891" s="73"/>
      <c r="HI1891" s="73"/>
      <c r="HJ1891" s="73"/>
      <c r="HK1891" s="73"/>
      <c r="HL1891" s="73"/>
      <c r="HM1891" s="73"/>
      <c r="HN1891" s="73"/>
      <c r="HO1891" s="73"/>
      <c r="HP1891" s="73"/>
      <c r="HQ1891" s="73"/>
      <c r="HR1891" s="73"/>
      <c r="HS1891" s="73"/>
      <c r="HT1891" s="73"/>
      <c r="HU1891" s="73"/>
      <c r="HV1891" s="73"/>
      <c r="HW1891" s="73"/>
      <c r="HX1891" s="73"/>
      <c r="HY1891" s="73"/>
      <c r="HZ1891" s="73"/>
      <c r="IA1891" s="73"/>
      <c r="IB1891" s="73"/>
      <c r="IC1891" s="73"/>
      <c r="ID1891" s="73"/>
      <c r="IE1891" s="73"/>
      <c r="IF1891" s="73"/>
      <c r="IG1891" s="73"/>
      <c r="IH1891" s="73"/>
      <c r="II1891" s="73"/>
      <c r="IJ1891" s="73"/>
      <c r="IK1891" s="73"/>
      <c r="IL1891" s="73"/>
      <c r="IM1891" s="73"/>
      <c r="IN1891" s="73"/>
      <c r="IO1891" s="73"/>
      <c r="IP1891" s="73"/>
      <c r="IQ1891" s="73"/>
      <c r="IR1891" s="73"/>
      <c r="IS1891" s="73"/>
      <c r="IT1891" s="73"/>
      <c r="IU1891" s="73"/>
      <c r="IV1891" s="73"/>
      <c r="IW1891" s="73"/>
      <c r="IX1891" s="73"/>
      <c r="IY1891" s="73"/>
      <c r="IZ1891" s="73"/>
      <c r="JA1891" s="73"/>
      <c r="JB1891" s="73"/>
      <c r="JC1891" s="73"/>
    </row>
    <row r="1892" spans="2:263" s="72" customFormat="1">
      <c r="B1892" s="73"/>
      <c r="C1892" s="73"/>
      <c r="D1892" s="73"/>
      <c r="E1892" s="73"/>
      <c r="F1892" s="73"/>
      <c r="G1892" s="73"/>
      <c r="H1892" s="73"/>
      <c r="I1892" s="73"/>
      <c r="J1892" s="73"/>
      <c r="K1892" s="73"/>
      <c r="L1892" s="73"/>
      <c r="M1892" s="73"/>
      <c r="N1892" s="73"/>
      <c r="O1892" s="73"/>
      <c r="P1892" s="73"/>
      <c r="Q1892" s="73"/>
      <c r="R1892" s="73"/>
      <c r="S1892" s="73"/>
      <c r="T1892" s="73"/>
      <c r="U1892" s="73"/>
      <c r="V1892" s="73"/>
      <c r="W1892" s="73"/>
      <c r="GL1892" s="73"/>
      <c r="GM1892" s="73"/>
      <c r="GN1892" s="73"/>
      <c r="GO1892" s="73"/>
      <c r="GP1892" s="73"/>
      <c r="GQ1892" s="73"/>
      <c r="GR1892" s="73"/>
      <c r="GS1892" s="73"/>
      <c r="GT1892" s="73"/>
      <c r="GU1892" s="73"/>
      <c r="GV1892" s="73"/>
      <c r="GW1892" s="73"/>
      <c r="GX1892" s="73"/>
      <c r="GY1892" s="73"/>
      <c r="GZ1892" s="73"/>
      <c r="HA1892" s="73"/>
      <c r="HB1892" s="73"/>
      <c r="HC1892" s="73"/>
      <c r="HD1892" s="73"/>
      <c r="HE1892" s="73"/>
      <c r="HF1892" s="73"/>
      <c r="HG1892" s="73"/>
      <c r="HH1892" s="73"/>
      <c r="HI1892" s="73"/>
      <c r="HJ1892" s="73"/>
      <c r="HK1892" s="73"/>
      <c r="HL1892" s="73"/>
      <c r="HM1892" s="73"/>
      <c r="HN1892" s="73"/>
      <c r="HO1892" s="73"/>
      <c r="HP1892" s="73"/>
      <c r="HQ1892" s="73"/>
      <c r="HR1892" s="73"/>
      <c r="HS1892" s="73"/>
      <c r="HT1892" s="73"/>
      <c r="HU1892" s="73"/>
      <c r="HV1892" s="73"/>
      <c r="HW1892" s="73"/>
      <c r="HX1892" s="73"/>
      <c r="HY1892" s="73"/>
      <c r="HZ1892" s="73"/>
      <c r="IA1892" s="73"/>
      <c r="IB1892" s="73"/>
      <c r="IC1892" s="73"/>
      <c r="ID1892" s="73"/>
      <c r="IE1892" s="73"/>
      <c r="IF1892" s="73"/>
      <c r="IG1892" s="73"/>
      <c r="IH1892" s="73"/>
      <c r="II1892" s="73"/>
      <c r="IJ1892" s="73"/>
      <c r="IK1892" s="73"/>
      <c r="IL1892" s="73"/>
      <c r="IM1892" s="73"/>
      <c r="IN1892" s="73"/>
      <c r="IO1892" s="73"/>
      <c r="IP1892" s="73"/>
      <c r="IQ1892" s="73"/>
      <c r="IR1892" s="73"/>
      <c r="IS1892" s="73"/>
      <c r="IT1892" s="73"/>
      <c r="IU1892" s="73"/>
      <c r="IV1892" s="73"/>
      <c r="IW1892" s="73"/>
      <c r="IX1892" s="73"/>
      <c r="IY1892" s="73"/>
      <c r="IZ1892" s="73"/>
      <c r="JA1892" s="73"/>
      <c r="JB1892" s="73"/>
      <c r="JC1892" s="73"/>
    </row>
    <row r="1893" spans="2:263" s="72" customFormat="1">
      <c r="B1893" s="73"/>
      <c r="C1893" s="73"/>
      <c r="D1893" s="73"/>
      <c r="E1893" s="73"/>
      <c r="F1893" s="73"/>
      <c r="G1893" s="73"/>
      <c r="H1893" s="73"/>
      <c r="I1893" s="73"/>
      <c r="J1893" s="73"/>
      <c r="K1893" s="73"/>
      <c r="L1893" s="73"/>
      <c r="M1893" s="73"/>
      <c r="N1893" s="73"/>
      <c r="O1893" s="73"/>
      <c r="P1893" s="73"/>
      <c r="Q1893" s="73"/>
      <c r="R1893" s="73"/>
      <c r="S1893" s="73"/>
      <c r="T1893" s="73"/>
      <c r="U1893" s="73"/>
      <c r="V1893" s="73"/>
      <c r="W1893" s="73"/>
      <c r="GL1893" s="73"/>
      <c r="GM1893" s="73"/>
      <c r="GN1893" s="73"/>
      <c r="GO1893" s="73"/>
      <c r="GP1893" s="73"/>
      <c r="GQ1893" s="73"/>
      <c r="GR1893" s="73"/>
      <c r="GS1893" s="73"/>
      <c r="GT1893" s="73"/>
      <c r="GU1893" s="73"/>
      <c r="GV1893" s="73"/>
      <c r="GW1893" s="73"/>
      <c r="GX1893" s="73"/>
      <c r="GY1893" s="73"/>
      <c r="GZ1893" s="73"/>
      <c r="HA1893" s="73"/>
      <c r="HB1893" s="73"/>
      <c r="HC1893" s="73"/>
      <c r="HD1893" s="73"/>
      <c r="HE1893" s="73"/>
      <c r="HF1893" s="73"/>
      <c r="HG1893" s="73"/>
      <c r="HH1893" s="73"/>
      <c r="HI1893" s="73"/>
      <c r="HJ1893" s="73"/>
      <c r="HK1893" s="73"/>
      <c r="HL1893" s="73"/>
      <c r="HM1893" s="73"/>
      <c r="HN1893" s="73"/>
      <c r="HO1893" s="73"/>
      <c r="HP1893" s="73"/>
      <c r="HQ1893" s="73"/>
      <c r="HR1893" s="73"/>
      <c r="HS1893" s="73"/>
      <c r="HT1893" s="73"/>
      <c r="HU1893" s="73"/>
      <c r="HV1893" s="73"/>
      <c r="HW1893" s="73"/>
      <c r="HX1893" s="73"/>
      <c r="HY1893" s="73"/>
      <c r="HZ1893" s="73"/>
      <c r="IA1893" s="73"/>
      <c r="IB1893" s="73"/>
      <c r="IC1893" s="73"/>
      <c r="ID1893" s="73"/>
      <c r="IE1893" s="73"/>
      <c r="IF1893" s="73"/>
      <c r="IG1893" s="73"/>
      <c r="IH1893" s="73"/>
      <c r="II1893" s="73"/>
      <c r="IJ1893" s="73"/>
      <c r="IK1893" s="73"/>
      <c r="IL1893" s="73"/>
      <c r="IM1893" s="73"/>
      <c r="IN1893" s="73"/>
      <c r="IO1893" s="73"/>
      <c r="IP1893" s="73"/>
      <c r="IQ1893" s="73"/>
      <c r="IR1893" s="73"/>
      <c r="IS1893" s="73"/>
      <c r="IT1893" s="73"/>
      <c r="IU1893" s="73"/>
      <c r="IV1893" s="73"/>
      <c r="IW1893" s="73"/>
      <c r="IX1893" s="73"/>
      <c r="IY1893" s="73"/>
      <c r="IZ1893" s="73"/>
      <c r="JA1893" s="73"/>
      <c r="JB1893" s="73"/>
      <c r="JC1893" s="73"/>
    </row>
    <row r="1894" spans="2:263" s="72" customFormat="1">
      <c r="B1894" s="73"/>
      <c r="C1894" s="73"/>
      <c r="D1894" s="73"/>
      <c r="E1894" s="73"/>
      <c r="F1894" s="73"/>
      <c r="G1894" s="73"/>
      <c r="H1894" s="73"/>
      <c r="I1894" s="73"/>
      <c r="J1894" s="73"/>
      <c r="K1894" s="73"/>
      <c r="L1894" s="73"/>
      <c r="M1894" s="73"/>
      <c r="N1894" s="73"/>
      <c r="O1894" s="73"/>
      <c r="P1894" s="73"/>
      <c r="Q1894" s="73"/>
      <c r="R1894" s="73"/>
      <c r="S1894" s="73"/>
      <c r="T1894" s="73"/>
      <c r="U1894" s="73"/>
      <c r="V1894" s="73"/>
      <c r="W1894" s="73"/>
      <c r="GL1894" s="73"/>
      <c r="GM1894" s="73"/>
      <c r="GN1894" s="73"/>
      <c r="GO1894" s="73"/>
      <c r="GP1894" s="73"/>
      <c r="GQ1894" s="73"/>
      <c r="GR1894" s="73"/>
      <c r="GS1894" s="73"/>
      <c r="GT1894" s="73"/>
      <c r="GU1894" s="73"/>
      <c r="GV1894" s="73"/>
      <c r="GW1894" s="73"/>
      <c r="GX1894" s="73"/>
      <c r="GY1894" s="73"/>
      <c r="GZ1894" s="73"/>
      <c r="HA1894" s="73"/>
      <c r="HB1894" s="73"/>
      <c r="HC1894" s="73"/>
      <c r="HD1894" s="73"/>
      <c r="HE1894" s="73"/>
      <c r="HF1894" s="73"/>
      <c r="HG1894" s="73"/>
      <c r="HH1894" s="73"/>
      <c r="HI1894" s="73"/>
      <c r="HJ1894" s="73"/>
      <c r="HK1894" s="73"/>
      <c r="HL1894" s="73"/>
      <c r="HM1894" s="73"/>
      <c r="HN1894" s="73"/>
      <c r="HO1894" s="73"/>
      <c r="HP1894" s="73"/>
      <c r="HQ1894" s="73"/>
      <c r="HR1894" s="73"/>
      <c r="HS1894" s="73"/>
      <c r="HT1894" s="73"/>
      <c r="HU1894" s="73"/>
      <c r="HV1894" s="73"/>
      <c r="HW1894" s="73"/>
      <c r="HX1894" s="73"/>
      <c r="HY1894" s="73"/>
      <c r="HZ1894" s="73"/>
      <c r="IA1894" s="73"/>
      <c r="IB1894" s="73"/>
      <c r="IC1894" s="73"/>
      <c r="ID1894" s="73"/>
      <c r="IE1894" s="73"/>
      <c r="IF1894" s="73"/>
      <c r="IG1894" s="73"/>
      <c r="IH1894" s="73"/>
      <c r="II1894" s="73"/>
      <c r="IJ1894" s="73"/>
      <c r="IK1894" s="73"/>
      <c r="IL1894" s="73"/>
      <c r="IM1894" s="73"/>
      <c r="IN1894" s="73"/>
      <c r="IO1894" s="73"/>
      <c r="IP1894" s="73"/>
      <c r="IQ1894" s="73"/>
      <c r="IR1894" s="73"/>
      <c r="IS1894" s="73"/>
      <c r="IT1894" s="73"/>
      <c r="IU1894" s="73"/>
      <c r="IV1894" s="73"/>
      <c r="IW1894" s="73"/>
      <c r="IX1894" s="73"/>
      <c r="IY1894" s="73"/>
      <c r="IZ1894" s="73"/>
      <c r="JA1894" s="73"/>
      <c r="JB1894" s="73"/>
      <c r="JC1894" s="73"/>
    </row>
    <row r="1895" spans="2:263" s="72" customFormat="1">
      <c r="B1895" s="73"/>
      <c r="C1895" s="73"/>
      <c r="D1895" s="73"/>
      <c r="E1895" s="73"/>
      <c r="F1895" s="73"/>
      <c r="G1895" s="73"/>
      <c r="H1895" s="73"/>
      <c r="I1895" s="73"/>
      <c r="J1895" s="73"/>
      <c r="K1895" s="73"/>
      <c r="L1895" s="73"/>
      <c r="M1895" s="73"/>
      <c r="N1895" s="73"/>
      <c r="O1895" s="73"/>
      <c r="P1895" s="73"/>
      <c r="Q1895" s="73"/>
      <c r="R1895" s="73"/>
      <c r="S1895" s="73"/>
      <c r="T1895" s="73"/>
      <c r="U1895" s="73"/>
      <c r="V1895" s="73"/>
      <c r="W1895" s="73"/>
      <c r="GL1895" s="73"/>
      <c r="GM1895" s="73"/>
      <c r="GN1895" s="73"/>
      <c r="GO1895" s="73"/>
      <c r="GP1895" s="73"/>
      <c r="GQ1895" s="73"/>
      <c r="GR1895" s="73"/>
      <c r="GS1895" s="73"/>
      <c r="GT1895" s="73"/>
      <c r="GU1895" s="73"/>
      <c r="GV1895" s="73"/>
      <c r="GW1895" s="73"/>
      <c r="GX1895" s="73"/>
      <c r="GY1895" s="73"/>
      <c r="GZ1895" s="73"/>
      <c r="HA1895" s="73"/>
      <c r="HB1895" s="73"/>
      <c r="HC1895" s="73"/>
      <c r="HD1895" s="73"/>
      <c r="HE1895" s="73"/>
      <c r="HF1895" s="73"/>
      <c r="HG1895" s="73"/>
      <c r="HH1895" s="73"/>
      <c r="HI1895" s="73"/>
      <c r="HJ1895" s="73"/>
      <c r="HK1895" s="73"/>
      <c r="HL1895" s="73"/>
      <c r="HM1895" s="73"/>
      <c r="HN1895" s="73"/>
      <c r="HO1895" s="73"/>
      <c r="HP1895" s="73"/>
      <c r="HQ1895" s="73"/>
      <c r="HR1895" s="73"/>
      <c r="HS1895" s="73"/>
      <c r="HT1895" s="73"/>
      <c r="HU1895" s="73"/>
      <c r="HV1895" s="73"/>
      <c r="HW1895" s="73"/>
      <c r="HX1895" s="73"/>
      <c r="HY1895" s="73"/>
      <c r="HZ1895" s="73"/>
      <c r="IA1895" s="73"/>
      <c r="IB1895" s="73"/>
      <c r="IC1895" s="73"/>
      <c r="ID1895" s="73"/>
      <c r="IE1895" s="73"/>
      <c r="IF1895" s="73"/>
      <c r="IG1895" s="73"/>
      <c r="IH1895" s="73"/>
      <c r="II1895" s="73"/>
      <c r="IJ1895" s="73"/>
      <c r="IK1895" s="73"/>
      <c r="IL1895" s="73"/>
      <c r="IM1895" s="73"/>
      <c r="IN1895" s="73"/>
      <c r="IO1895" s="73"/>
      <c r="IP1895" s="73"/>
      <c r="IQ1895" s="73"/>
      <c r="IR1895" s="73"/>
      <c r="IS1895" s="73"/>
      <c r="IT1895" s="73"/>
      <c r="IU1895" s="73"/>
      <c r="IV1895" s="73"/>
      <c r="IW1895" s="73"/>
      <c r="IX1895" s="73"/>
      <c r="IY1895" s="73"/>
      <c r="IZ1895" s="73"/>
      <c r="JA1895" s="73"/>
      <c r="JB1895" s="73"/>
      <c r="JC1895" s="73"/>
    </row>
    <row r="1896" spans="2:263" s="72" customFormat="1">
      <c r="B1896" s="73"/>
      <c r="C1896" s="73"/>
      <c r="D1896" s="73"/>
      <c r="E1896" s="73"/>
      <c r="F1896" s="73"/>
      <c r="G1896" s="73"/>
      <c r="H1896" s="73"/>
      <c r="I1896" s="73"/>
      <c r="J1896" s="73"/>
      <c r="K1896" s="73"/>
      <c r="L1896" s="73"/>
      <c r="M1896" s="73"/>
      <c r="N1896" s="73"/>
      <c r="O1896" s="73"/>
      <c r="P1896" s="73"/>
      <c r="Q1896" s="73"/>
      <c r="R1896" s="73"/>
      <c r="S1896" s="73"/>
      <c r="T1896" s="73"/>
      <c r="U1896" s="73"/>
      <c r="V1896" s="73"/>
      <c r="W1896" s="73"/>
      <c r="GL1896" s="73"/>
      <c r="GM1896" s="73"/>
      <c r="GN1896" s="73"/>
      <c r="GO1896" s="73"/>
      <c r="GP1896" s="73"/>
      <c r="GQ1896" s="73"/>
      <c r="GR1896" s="73"/>
      <c r="GS1896" s="73"/>
      <c r="GT1896" s="73"/>
      <c r="GU1896" s="73"/>
      <c r="GV1896" s="73"/>
      <c r="GW1896" s="73"/>
      <c r="GX1896" s="73"/>
      <c r="GY1896" s="73"/>
      <c r="GZ1896" s="73"/>
      <c r="HA1896" s="73"/>
      <c r="HB1896" s="73"/>
      <c r="HC1896" s="73"/>
      <c r="HD1896" s="73"/>
      <c r="HE1896" s="73"/>
      <c r="HF1896" s="73"/>
      <c r="HG1896" s="73"/>
      <c r="HH1896" s="73"/>
      <c r="HI1896" s="73"/>
      <c r="HJ1896" s="73"/>
      <c r="HK1896" s="73"/>
      <c r="HL1896" s="73"/>
      <c r="HM1896" s="73"/>
      <c r="HN1896" s="73"/>
      <c r="HO1896" s="73"/>
      <c r="HP1896" s="73"/>
      <c r="HQ1896" s="73"/>
      <c r="HR1896" s="73"/>
      <c r="HS1896" s="73"/>
      <c r="HT1896" s="73"/>
      <c r="HU1896" s="73"/>
      <c r="HV1896" s="73"/>
      <c r="HW1896" s="73"/>
      <c r="HX1896" s="73"/>
      <c r="HY1896" s="73"/>
      <c r="HZ1896" s="73"/>
      <c r="IA1896" s="73"/>
      <c r="IB1896" s="73"/>
      <c r="IC1896" s="73"/>
      <c r="ID1896" s="73"/>
      <c r="IE1896" s="73"/>
      <c r="IF1896" s="73"/>
      <c r="IG1896" s="73"/>
      <c r="IH1896" s="73"/>
      <c r="II1896" s="73"/>
      <c r="IJ1896" s="73"/>
      <c r="IK1896" s="73"/>
      <c r="IL1896" s="73"/>
      <c r="IM1896" s="73"/>
      <c r="IN1896" s="73"/>
      <c r="IO1896" s="73"/>
      <c r="IP1896" s="73"/>
      <c r="IQ1896" s="73"/>
      <c r="IR1896" s="73"/>
      <c r="IS1896" s="73"/>
      <c r="IT1896" s="73"/>
      <c r="IU1896" s="73"/>
      <c r="IV1896" s="73"/>
      <c r="IW1896" s="73"/>
      <c r="IX1896" s="73"/>
      <c r="IY1896" s="73"/>
      <c r="IZ1896" s="73"/>
      <c r="JA1896" s="73"/>
      <c r="JB1896" s="73"/>
      <c r="JC1896" s="73"/>
    </row>
    <row r="1897" spans="2:263" s="72" customFormat="1">
      <c r="B1897" s="73"/>
      <c r="C1897" s="73"/>
      <c r="D1897" s="73"/>
      <c r="E1897" s="73"/>
      <c r="F1897" s="73"/>
      <c r="G1897" s="73"/>
      <c r="H1897" s="73"/>
      <c r="I1897" s="73"/>
      <c r="J1897" s="73"/>
      <c r="K1897" s="73"/>
      <c r="L1897" s="73"/>
      <c r="M1897" s="73"/>
      <c r="N1897" s="73"/>
      <c r="O1897" s="73"/>
      <c r="P1897" s="73"/>
      <c r="Q1897" s="73"/>
      <c r="R1897" s="73"/>
      <c r="S1897" s="73"/>
      <c r="T1897" s="73"/>
      <c r="U1897" s="73"/>
      <c r="V1897" s="73"/>
      <c r="W1897" s="73"/>
      <c r="GL1897" s="73"/>
      <c r="GM1897" s="73"/>
      <c r="GN1897" s="73"/>
      <c r="GO1897" s="73"/>
      <c r="GP1897" s="73"/>
      <c r="GQ1897" s="73"/>
      <c r="GR1897" s="73"/>
      <c r="GS1897" s="73"/>
      <c r="GT1897" s="73"/>
      <c r="GU1897" s="73"/>
      <c r="GV1897" s="73"/>
      <c r="GW1897" s="73"/>
      <c r="GX1897" s="73"/>
      <c r="GY1897" s="73"/>
      <c r="GZ1897" s="73"/>
      <c r="HA1897" s="73"/>
      <c r="HB1897" s="73"/>
      <c r="HC1897" s="73"/>
      <c r="HD1897" s="73"/>
      <c r="HE1897" s="73"/>
      <c r="HF1897" s="73"/>
      <c r="HG1897" s="73"/>
      <c r="HH1897" s="73"/>
      <c r="HI1897" s="73"/>
      <c r="HJ1897" s="73"/>
      <c r="HK1897" s="73"/>
      <c r="HL1897" s="73"/>
      <c r="HM1897" s="73"/>
      <c r="HN1897" s="73"/>
      <c r="HO1897" s="73"/>
      <c r="HP1897" s="73"/>
      <c r="HQ1897" s="73"/>
      <c r="HR1897" s="73"/>
      <c r="HS1897" s="73"/>
      <c r="HT1897" s="73"/>
      <c r="HU1897" s="73"/>
      <c r="HV1897" s="73"/>
      <c r="HW1897" s="73"/>
      <c r="HX1897" s="73"/>
      <c r="HY1897" s="73"/>
      <c r="HZ1897" s="73"/>
      <c r="IA1897" s="73"/>
      <c r="IB1897" s="73"/>
      <c r="IC1897" s="73"/>
      <c r="ID1897" s="73"/>
      <c r="IE1897" s="73"/>
      <c r="IF1897" s="73"/>
      <c r="IG1897" s="73"/>
      <c r="IH1897" s="73"/>
      <c r="II1897" s="73"/>
      <c r="IJ1897" s="73"/>
      <c r="IK1897" s="73"/>
      <c r="IL1897" s="73"/>
      <c r="IM1897" s="73"/>
      <c r="IN1897" s="73"/>
      <c r="IO1897" s="73"/>
      <c r="IP1897" s="73"/>
      <c r="IQ1897" s="73"/>
      <c r="IR1897" s="73"/>
      <c r="IS1897" s="73"/>
      <c r="IT1897" s="73"/>
      <c r="IU1897" s="73"/>
      <c r="IV1897" s="73"/>
      <c r="IW1897" s="73"/>
      <c r="IX1897" s="73"/>
      <c r="IY1897" s="73"/>
      <c r="IZ1897" s="73"/>
      <c r="JA1897" s="73"/>
      <c r="JB1897" s="73"/>
      <c r="JC1897" s="73"/>
    </row>
    <row r="1898" spans="2:263" s="72" customFormat="1">
      <c r="B1898" s="73"/>
      <c r="C1898" s="73"/>
      <c r="D1898" s="73"/>
      <c r="E1898" s="73"/>
      <c r="F1898" s="73"/>
      <c r="G1898" s="73"/>
      <c r="H1898" s="73"/>
      <c r="I1898" s="73"/>
      <c r="J1898" s="73"/>
      <c r="K1898" s="73"/>
      <c r="L1898" s="73"/>
      <c r="M1898" s="73"/>
      <c r="N1898" s="73"/>
      <c r="O1898" s="73"/>
      <c r="P1898" s="73"/>
      <c r="Q1898" s="73"/>
      <c r="R1898" s="73"/>
      <c r="S1898" s="73"/>
      <c r="T1898" s="73"/>
      <c r="U1898" s="73"/>
      <c r="V1898" s="73"/>
      <c r="W1898" s="73"/>
      <c r="GL1898" s="73"/>
      <c r="GM1898" s="73"/>
      <c r="GN1898" s="73"/>
      <c r="GO1898" s="73"/>
      <c r="GP1898" s="73"/>
      <c r="GQ1898" s="73"/>
      <c r="GR1898" s="73"/>
      <c r="GS1898" s="73"/>
      <c r="GT1898" s="73"/>
      <c r="GU1898" s="73"/>
      <c r="GV1898" s="73"/>
      <c r="GW1898" s="73"/>
      <c r="GX1898" s="73"/>
      <c r="GY1898" s="73"/>
      <c r="GZ1898" s="73"/>
      <c r="HA1898" s="73"/>
      <c r="HB1898" s="73"/>
      <c r="HC1898" s="73"/>
      <c r="HD1898" s="73"/>
      <c r="HE1898" s="73"/>
      <c r="HF1898" s="73"/>
      <c r="HG1898" s="73"/>
      <c r="HH1898" s="73"/>
      <c r="HI1898" s="73"/>
      <c r="HJ1898" s="73"/>
      <c r="HK1898" s="73"/>
      <c r="HL1898" s="73"/>
      <c r="HM1898" s="73"/>
      <c r="HN1898" s="73"/>
      <c r="HO1898" s="73"/>
      <c r="HP1898" s="73"/>
      <c r="HQ1898" s="73"/>
      <c r="HR1898" s="73"/>
      <c r="HS1898" s="73"/>
      <c r="HT1898" s="73"/>
      <c r="HU1898" s="73"/>
      <c r="HV1898" s="73"/>
      <c r="HW1898" s="73"/>
      <c r="HX1898" s="73"/>
      <c r="HY1898" s="73"/>
      <c r="HZ1898" s="73"/>
      <c r="IA1898" s="73"/>
      <c r="IB1898" s="73"/>
      <c r="IC1898" s="73"/>
      <c r="ID1898" s="73"/>
      <c r="IE1898" s="73"/>
      <c r="IF1898" s="73"/>
      <c r="IG1898" s="73"/>
      <c r="IH1898" s="73"/>
      <c r="II1898" s="73"/>
      <c r="IJ1898" s="73"/>
      <c r="IK1898" s="73"/>
      <c r="IL1898" s="73"/>
      <c r="IM1898" s="73"/>
      <c r="IN1898" s="73"/>
      <c r="IO1898" s="73"/>
      <c r="IP1898" s="73"/>
      <c r="IQ1898" s="73"/>
      <c r="IR1898" s="73"/>
      <c r="IS1898" s="73"/>
      <c r="IT1898" s="73"/>
      <c r="IU1898" s="73"/>
      <c r="IV1898" s="73"/>
      <c r="IW1898" s="73"/>
      <c r="IX1898" s="73"/>
      <c r="IY1898" s="73"/>
      <c r="IZ1898" s="73"/>
      <c r="JA1898" s="73"/>
      <c r="JB1898" s="73"/>
      <c r="JC1898" s="73"/>
    </row>
    <row r="1899" spans="2:263" s="72" customFormat="1">
      <c r="B1899" s="73"/>
      <c r="C1899" s="73"/>
      <c r="D1899" s="73"/>
      <c r="E1899" s="73"/>
      <c r="F1899" s="73"/>
      <c r="G1899" s="73"/>
      <c r="H1899" s="73"/>
      <c r="I1899" s="73"/>
      <c r="J1899" s="73"/>
      <c r="K1899" s="73"/>
      <c r="L1899" s="73"/>
      <c r="M1899" s="73"/>
      <c r="N1899" s="73"/>
      <c r="O1899" s="73"/>
      <c r="P1899" s="73"/>
      <c r="Q1899" s="73"/>
      <c r="R1899" s="73"/>
      <c r="S1899" s="73"/>
      <c r="T1899" s="73"/>
      <c r="U1899" s="73"/>
      <c r="V1899" s="73"/>
      <c r="W1899" s="73"/>
      <c r="GL1899" s="73"/>
      <c r="GM1899" s="73"/>
      <c r="GN1899" s="73"/>
      <c r="GO1899" s="73"/>
      <c r="GP1899" s="73"/>
      <c r="GQ1899" s="73"/>
      <c r="GR1899" s="73"/>
      <c r="GS1899" s="73"/>
      <c r="GT1899" s="73"/>
      <c r="GU1899" s="73"/>
      <c r="GV1899" s="73"/>
      <c r="GW1899" s="73"/>
      <c r="GX1899" s="73"/>
      <c r="GY1899" s="73"/>
      <c r="GZ1899" s="73"/>
      <c r="HA1899" s="73"/>
      <c r="HB1899" s="73"/>
      <c r="HC1899" s="73"/>
      <c r="HD1899" s="73"/>
      <c r="HE1899" s="73"/>
      <c r="HF1899" s="73"/>
      <c r="HG1899" s="73"/>
      <c r="HH1899" s="73"/>
      <c r="HI1899" s="73"/>
      <c r="HJ1899" s="73"/>
      <c r="HK1899" s="73"/>
      <c r="HL1899" s="73"/>
      <c r="HM1899" s="73"/>
      <c r="HN1899" s="73"/>
      <c r="HO1899" s="73"/>
      <c r="HP1899" s="73"/>
      <c r="HQ1899" s="73"/>
      <c r="HR1899" s="73"/>
      <c r="HS1899" s="73"/>
      <c r="HT1899" s="73"/>
      <c r="HU1899" s="73"/>
      <c r="HV1899" s="73"/>
      <c r="HW1899" s="73"/>
      <c r="HX1899" s="73"/>
      <c r="HY1899" s="73"/>
      <c r="HZ1899" s="73"/>
      <c r="IA1899" s="73"/>
      <c r="IB1899" s="73"/>
      <c r="IC1899" s="73"/>
      <c r="ID1899" s="73"/>
      <c r="IE1899" s="73"/>
      <c r="IF1899" s="73"/>
      <c r="IG1899" s="73"/>
      <c r="IH1899" s="73"/>
      <c r="II1899" s="73"/>
      <c r="IJ1899" s="73"/>
      <c r="IK1899" s="73"/>
      <c r="IL1899" s="73"/>
      <c r="IM1899" s="73"/>
      <c r="IN1899" s="73"/>
      <c r="IO1899" s="73"/>
      <c r="IP1899" s="73"/>
      <c r="IQ1899" s="73"/>
      <c r="IR1899" s="73"/>
      <c r="IS1899" s="73"/>
      <c r="IT1899" s="73"/>
      <c r="IU1899" s="73"/>
      <c r="IV1899" s="73"/>
      <c r="IW1899" s="73"/>
      <c r="IX1899" s="73"/>
      <c r="IY1899" s="73"/>
      <c r="IZ1899" s="73"/>
      <c r="JA1899" s="73"/>
      <c r="JB1899" s="73"/>
      <c r="JC1899" s="73"/>
    </row>
    <row r="1900" spans="2:263" s="72" customFormat="1">
      <c r="B1900" s="73"/>
      <c r="C1900" s="73"/>
      <c r="D1900" s="73"/>
      <c r="E1900" s="73"/>
      <c r="F1900" s="73"/>
      <c r="G1900" s="73"/>
      <c r="H1900" s="73"/>
      <c r="I1900" s="73"/>
      <c r="J1900" s="73"/>
      <c r="K1900" s="73"/>
      <c r="L1900" s="73"/>
      <c r="M1900" s="73"/>
      <c r="N1900" s="73"/>
      <c r="O1900" s="73"/>
      <c r="P1900" s="73"/>
      <c r="Q1900" s="73"/>
      <c r="R1900" s="73"/>
      <c r="S1900" s="73"/>
      <c r="T1900" s="73"/>
      <c r="U1900" s="73"/>
      <c r="V1900" s="73"/>
      <c r="W1900" s="73"/>
      <c r="GL1900" s="73"/>
      <c r="GM1900" s="73"/>
      <c r="GN1900" s="73"/>
      <c r="GO1900" s="73"/>
      <c r="GP1900" s="73"/>
      <c r="GQ1900" s="73"/>
      <c r="GR1900" s="73"/>
      <c r="GS1900" s="73"/>
      <c r="GT1900" s="73"/>
      <c r="GU1900" s="73"/>
      <c r="GV1900" s="73"/>
      <c r="GW1900" s="73"/>
      <c r="GX1900" s="73"/>
      <c r="GY1900" s="73"/>
      <c r="GZ1900" s="73"/>
      <c r="HA1900" s="73"/>
      <c r="HB1900" s="73"/>
      <c r="HC1900" s="73"/>
      <c r="HD1900" s="73"/>
      <c r="HE1900" s="73"/>
      <c r="HF1900" s="73"/>
      <c r="HG1900" s="73"/>
      <c r="HH1900" s="73"/>
      <c r="HI1900" s="73"/>
      <c r="HJ1900" s="73"/>
      <c r="HK1900" s="73"/>
      <c r="HL1900" s="73"/>
      <c r="HM1900" s="73"/>
      <c r="HN1900" s="73"/>
      <c r="HO1900" s="73"/>
      <c r="HP1900" s="73"/>
      <c r="HQ1900" s="73"/>
      <c r="HR1900" s="73"/>
      <c r="HS1900" s="73"/>
      <c r="HT1900" s="73"/>
      <c r="HU1900" s="73"/>
      <c r="HV1900" s="73"/>
      <c r="HW1900" s="73"/>
      <c r="HX1900" s="73"/>
      <c r="HY1900" s="73"/>
      <c r="HZ1900" s="73"/>
      <c r="IA1900" s="73"/>
      <c r="IB1900" s="73"/>
      <c r="IC1900" s="73"/>
      <c r="ID1900" s="73"/>
      <c r="IE1900" s="73"/>
      <c r="IF1900" s="73"/>
      <c r="IG1900" s="73"/>
      <c r="IH1900" s="73"/>
      <c r="II1900" s="73"/>
      <c r="IJ1900" s="73"/>
      <c r="IK1900" s="73"/>
      <c r="IL1900" s="73"/>
      <c r="IM1900" s="73"/>
      <c r="IN1900" s="73"/>
      <c r="IO1900" s="73"/>
      <c r="IP1900" s="73"/>
      <c r="IQ1900" s="73"/>
      <c r="IR1900" s="73"/>
      <c r="IS1900" s="73"/>
      <c r="IT1900" s="73"/>
      <c r="IU1900" s="73"/>
      <c r="IV1900" s="73"/>
      <c r="IW1900" s="73"/>
      <c r="IX1900" s="73"/>
      <c r="IY1900" s="73"/>
      <c r="IZ1900" s="73"/>
      <c r="JA1900" s="73"/>
      <c r="JB1900" s="73"/>
      <c r="JC1900" s="73"/>
    </row>
    <row r="1901" spans="2:263" s="72" customFormat="1">
      <c r="B1901" s="73"/>
      <c r="C1901" s="73"/>
      <c r="D1901" s="73"/>
      <c r="E1901" s="73"/>
      <c r="F1901" s="73"/>
      <c r="G1901" s="73"/>
      <c r="H1901" s="73"/>
      <c r="I1901" s="73"/>
      <c r="J1901" s="73"/>
      <c r="K1901" s="73"/>
      <c r="L1901" s="73"/>
      <c r="M1901" s="73"/>
      <c r="N1901" s="73"/>
      <c r="O1901" s="73"/>
      <c r="P1901" s="73"/>
      <c r="Q1901" s="73"/>
      <c r="R1901" s="73"/>
      <c r="S1901" s="73"/>
      <c r="T1901" s="73"/>
      <c r="U1901" s="73"/>
      <c r="V1901" s="73"/>
      <c r="W1901" s="73"/>
      <c r="GL1901" s="73"/>
      <c r="GM1901" s="73"/>
      <c r="GN1901" s="73"/>
      <c r="GO1901" s="73"/>
      <c r="GP1901" s="73"/>
      <c r="GQ1901" s="73"/>
      <c r="GR1901" s="73"/>
      <c r="GS1901" s="73"/>
      <c r="GT1901" s="73"/>
      <c r="GU1901" s="73"/>
      <c r="GV1901" s="73"/>
      <c r="GW1901" s="73"/>
      <c r="GX1901" s="73"/>
      <c r="GY1901" s="73"/>
      <c r="GZ1901" s="73"/>
      <c r="HA1901" s="73"/>
      <c r="HB1901" s="73"/>
      <c r="HC1901" s="73"/>
      <c r="HD1901" s="73"/>
      <c r="HE1901" s="73"/>
      <c r="HF1901" s="73"/>
      <c r="HG1901" s="73"/>
      <c r="HH1901" s="73"/>
      <c r="HI1901" s="73"/>
      <c r="HJ1901" s="73"/>
      <c r="HK1901" s="73"/>
      <c r="HL1901" s="73"/>
      <c r="HM1901" s="73"/>
      <c r="HN1901" s="73"/>
      <c r="HO1901" s="73"/>
      <c r="HP1901" s="73"/>
      <c r="HQ1901" s="73"/>
      <c r="HR1901" s="73"/>
      <c r="HS1901" s="73"/>
      <c r="HT1901" s="73"/>
      <c r="HU1901" s="73"/>
      <c r="HV1901" s="73"/>
      <c r="HW1901" s="73"/>
      <c r="HX1901" s="73"/>
      <c r="HY1901" s="73"/>
      <c r="HZ1901" s="73"/>
      <c r="IA1901" s="73"/>
      <c r="IB1901" s="73"/>
      <c r="IC1901" s="73"/>
      <c r="ID1901" s="73"/>
      <c r="IE1901" s="73"/>
      <c r="IF1901" s="73"/>
      <c r="IG1901" s="73"/>
      <c r="IH1901" s="73"/>
      <c r="II1901" s="73"/>
      <c r="IJ1901" s="73"/>
      <c r="IK1901" s="73"/>
      <c r="IL1901" s="73"/>
      <c r="IM1901" s="73"/>
      <c r="IN1901" s="73"/>
      <c r="IO1901" s="73"/>
      <c r="IP1901" s="73"/>
      <c r="IQ1901" s="73"/>
      <c r="IR1901" s="73"/>
      <c r="IS1901" s="73"/>
      <c r="IT1901" s="73"/>
      <c r="IU1901" s="73"/>
      <c r="IV1901" s="73"/>
      <c r="IW1901" s="73"/>
      <c r="IX1901" s="73"/>
      <c r="IY1901" s="73"/>
      <c r="IZ1901" s="73"/>
      <c r="JA1901" s="73"/>
      <c r="JB1901" s="73"/>
      <c r="JC1901" s="73"/>
    </row>
    <row r="1902" spans="2:263" s="72" customFormat="1">
      <c r="B1902" s="73"/>
      <c r="C1902" s="73"/>
      <c r="D1902" s="73"/>
      <c r="E1902" s="73"/>
      <c r="F1902" s="73"/>
      <c r="G1902" s="73"/>
      <c r="H1902" s="73"/>
      <c r="I1902" s="73"/>
      <c r="J1902" s="73"/>
      <c r="K1902" s="73"/>
      <c r="L1902" s="73"/>
      <c r="M1902" s="73"/>
      <c r="N1902" s="73"/>
      <c r="O1902" s="73"/>
      <c r="P1902" s="73"/>
      <c r="Q1902" s="73"/>
      <c r="R1902" s="73"/>
      <c r="S1902" s="73"/>
      <c r="T1902" s="73"/>
      <c r="U1902" s="73"/>
      <c r="V1902" s="73"/>
      <c r="W1902" s="73"/>
      <c r="GL1902" s="73"/>
      <c r="GM1902" s="73"/>
      <c r="GN1902" s="73"/>
      <c r="GO1902" s="73"/>
      <c r="GP1902" s="73"/>
      <c r="GQ1902" s="73"/>
      <c r="GR1902" s="73"/>
      <c r="GS1902" s="73"/>
      <c r="GT1902" s="73"/>
      <c r="GU1902" s="73"/>
      <c r="GV1902" s="73"/>
      <c r="GW1902" s="73"/>
      <c r="GX1902" s="73"/>
      <c r="GY1902" s="73"/>
      <c r="GZ1902" s="73"/>
      <c r="HA1902" s="73"/>
      <c r="HB1902" s="73"/>
      <c r="HC1902" s="73"/>
      <c r="HD1902" s="73"/>
      <c r="HE1902" s="73"/>
      <c r="HF1902" s="73"/>
      <c r="HG1902" s="73"/>
      <c r="HH1902" s="73"/>
      <c r="HI1902" s="73"/>
      <c r="HJ1902" s="73"/>
      <c r="HK1902" s="73"/>
      <c r="HL1902" s="73"/>
      <c r="HM1902" s="73"/>
      <c r="HN1902" s="73"/>
      <c r="HO1902" s="73"/>
      <c r="HP1902" s="73"/>
      <c r="HQ1902" s="73"/>
      <c r="HR1902" s="73"/>
      <c r="HS1902" s="73"/>
      <c r="HT1902" s="73"/>
      <c r="HU1902" s="73"/>
      <c r="HV1902" s="73"/>
      <c r="HW1902" s="73"/>
      <c r="HX1902" s="73"/>
      <c r="HY1902" s="73"/>
      <c r="HZ1902" s="73"/>
      <c r="IA1902" s="73"/>
      <c r="IB1902" s="73"/>
      <c r="IC1902" s="73"/>
      <c r="ID1902" s="73"/>
      <c r="IE1902" s="73"/>
      <c r="IF1902" s="73"/>
      <c r="IG1902" s="73"/>
      <c r="IH1902" s="73"/>
      <c r="II1902" s="73"/>
      <c r="IJ1902" s="73"/>
      <c r="IK1902" s="73"/>
      <c r="IL1902" s="73"/>
      <c r="IM1902" s="73"/>
      <c r="IN1902" s="73"/>
      <c r="IO1902" s="73"/>
      <c r="IP1902" s="73"/>
      <c r="IQ1902" s="73"/>
      <c r="IR1902" s="73"/>
      <c r="IS1902" s="73"/>
      <c r="IT1902" s="73"/>
      <c r="IU1902" s="73"/>
      <c r="IV1902" s="73"/>
      <c r="IW1902" s="73"/>
      <c r="IX1902" s="73"/>
      <c r="IY1902" s="73"/>
      <c r="IZ1902" s="73"/>
      <c r="JA1902" s="73"/>
      <c r="JB1902" s="73"/>
      <c r="JC1902" s="73"/>
    </row>
    <row r="1903" spans="2:263" s="72" customFormat="1">
      <c r="B1903" s="73"/>
      <c r="C1903" s="73"/>
      <c r="D1903" s="73"/>
      <c r="E1903" s="73"/>
      <c r="F1903" s="73"/>
      <c r="G1903" s="73"/>
      <c r="H1903" s="73"/>
      <c r="I1903" s="73"/>
      <c r="J1903" s="73"/>
      <c r="K1903" s="73"/>
      <c r="L1903" s="73"/>
      <c r="M1903" s="73"/>
      <c r="N1903" s="73"/>
      <c r="O1903" s="73"/>
      <c r="P1903" s="73"/>
      <c r="Q1903" s="73"/>
      <c r="R1903" s="73"/>
      <c r="S1903" s="73"/>
      <c r="T1903" s="73"/>
      <c r="U1903" s="73"/>
      <c r="V1903" s="73"/>
      <c r="W1903" s="73"/>
      <c r="GL1903" s="73"/>
      <c r="GM1903" s="73"/>
      <c r="GN1903" s="73"/>
      <c r="GO1903" s="73"/>
      <c r="GP1903" s="73"/>
      <c r="GQ1903" s="73"/>
      <c r="GR1903" s="73"/>
      <c r="GS1903" s="73"/>
      <c r="GT1903" s="73"/>
      <c r="GU1903" s="73"/>
      <c r="GV1903" s="73"/>
      <c r="GW1903" s="73"/>
      <c r="GX1903" s="73"/>
      <c r="GY1903" s="73"/>
      <c r="GZ1903" s="73"/>
      <c r="HA1903" s="73"/>
      <c r="HB1903" s="73"/>
      <c r="HC1903" s="73"/>
      <c r="HD1903" s="73"/>
      <c r="HE1903" s="73"/>
      <c r="HF1903" s="73"/>
      <c r="HG1903" s="73"/>
      <c r="HH1903" s="73"/>
      <c r="HI1903" s="73"/>
      <c r="HJ1903" s="73"/>
      <c r="HK1903" s="73"/>
      <c r="HL1903" s="73"/>
      <c r="HM1903" s="73"/>
      <c r="HN1903" s="73"/>
      <c r="HO1903" s="73"/>
      <c r="HP1903" s="73"/>
      <c r="HQ1903" s="73"/>
      <c r="HR1903" s="73"/>
      <c r="HS1903" s="73"/>
      <c r="HT1903" s="73"/>
      <c r="HU1903" s="73"/>
      <c r="HV1903" s="73"/>
      <c r="HW1903" s="73"/>
      <c r="HX1903" s="73"/>
      <c r="HY1903" s="73"/>
      <c r="HZ1903" s="73"/>
      <c r="IA1903" s="73"/>
      <c r="IB1903" s="73"/>
      <c r="IC1903" s="73"/>
      <c r="ID1903" s="73"/>
      <c r="IE1903" s="73"/>
      <c r="IF1903" s="73"/>
      <c r="IG1903" s="73"/>
      <c r="IH1903" s="73"/>
      <c r="II1903" s="73"/>
      <c r="IJ1903" s="73"/>
      <c r="IK1903" s="73"/>
      <c r="IL1903" s="73"/>
      <c r="IM1903" s="73"/>
      <c r="IN1903" s="73"/>
      <c r="IO1903" s="73"/>
      <c r="IP1903" s="73"/>
      <c r="IQ1903" s="73"/>
      <c r="IR1903" s="73"/>
      <c r="IS1903" s="73"/>
      <c r="IT1903" s="73"/>
      <c r="IU1903" s="73"/>
      <c r="IV1903" s="73"/>
      <c r="IW1903" s="73"/>
      <c r="IX1903" s="73"/>
      <c r="IY1903" s="73"/>
      <c r="IZ1903" s="73"/>
      <c r="JA1903" s="73"/>
      <c r="JB1903" s="73"/>
      <c r="JC1903" s="73"/>
    </row>
    <row r="1904" spans="2:263" s="72" customFormat="1">
      <c r="B1904" s="73"/>
      <c r="C1904" s="73"/>
      <c r="D1904" s="73"/>
      <c r="E1904" s="73"/>
      <c r="F1904" s="73"/>
      <c r="G1904" s="73"/>
      <c r="H1904" s="73"/>
      <c r="I1904" s="73"/>
      <c r="J1904" s="73"/>
      <c r="K1904" s="73"/>
      <c r="L1904" s="73"/>
      <c r="M1904" s="73"/>
      <c r="N1904" s="73"/>
      <c r="O1904" s="73"/>
      <c r="P1904" s="73"/>
      <c r="Q1904" s="73"/>
      <c r="R1904" s="73"/>
      <c r="S1904" s="73"/>
      <c r="T1904" s="73"/>
      <c r="U1904" s="73"/>
      <c r="V1904" s="73"/>
      <c r="W1904" s="73"/>
      <c r="GL1904" s="73"/>
      <c r="GM1904" s="73"/>
      <c r="GN1904" s="73"/>
      <c r="GO1904" s="73"/>
      <c r="GP1904" s="73"/>
      <c r="GQ1904" s="73"/>
      <c r="GR1904" s="73"/>
      <c r="GS1904" s="73"/>
      <c r="GT1904" s="73"/>
      <c r="GU1904" s="73"/>
      <c r="GV1904" s="73"/>
      <c r="GW1904" s="73"/>
      <c r="GX1904" s="73"/>
      <c r="GY1904" s="73"/>
      <c r="GZ1904" s="73"/>
      <c r="HA1904" s="73"/>
      <c r="HB1904" s="73"/>
      <c r="HC1904" s="73"/>
      <c r="HD1904" s="73"/>
      <c r="HE1904" s="73"/>
      <c r="HF1904" s="73"/>
      <c r="HG1904" s="73"/>
      <c r="HH1904" s="73"/>
      <c r="HI1904" s="73"/>
      <c r="HJ1904" s="73"/>
      <c r="HK1904" s="73"/>
      <c r="HL1904" s="73"/>
      <c r="HM1904" s="73"/>
      <c r="HN1904" s="73"/>
      <c r="HO1904" s="73"/>
      <c r="HP1904" s="73"/>
      <c r="HQ1904" s="73"/>
      <c r="HR1904" s="73"/>
      <c r="HS1904" s="73"/>
      <c r="HT1904" s="73"/>
      <c r="HU1904" s="73"/>
      <c r="HV1904" s="73"/>
      <c r="HW1904" s="73"/>
      <c r="HX1904" s="73"/>
      <c r="HY1904" s="73"/>
      <c r="HZ1904" s="73"/>
      <c r="IA1904" s="73"/>
      <c r="IB1904" s="73"/>
      <c r="IC1904" s="73"/>
      <c r="ID1904" s="73"/>
      <c r="IE1904" s="73"/>
      <c r="IF1904" s="73"/>
      <c r="IG1904" s="73"/>
      <c r="IH1904" s="73"/>
      <c r="II1904" s="73"/>
      <c r="IJ1904" s="73"/>
      <c r="IK1904" s="73"/>
      <c r="IL1904" s="73"/>
      <c r="IM1904" s="73"/>
      <c r="IN1904" s="73"/>
      <c r="IO1904" s="73"/>
      <c r="IP1904" s="73"/>
      <c r="IQ1904" s="73"/>
      <c r="IR1904" s="73"/>
      <c r="IS1904" s="73"/>
      <c r="IT1904" s="73"/>
      <c r="IU1904" s="73"/>
      <c r="IV1904" s="73"/>
      <c r="IW1904" s="73"/>
      <c r="IX1904" s="73"/>
      <c r="IY1904" s="73"/>
      <c r="IZ1904" s="73"/>
      <c r="JA1904" s="73"/>
      <c r="JB1904" s="73"/>
      <c r="JC1904" s="73"/>
    </row>
    <row r="1905" spans="2:263" s="72" customFormat="1">
      <c r="B1905" s="73"/>
      <c r="C1905" s="73"/>
      <c r="D1905" s="73"/>
      <c r="E1905" s="73"/>
      <c r="F1905" s="73"/>
      <c r="G1905" s="73"/>
      <c r="H1905" s="73"/>
      <c r="I1905" s="73"/>
      <c r="J1905" s="73"/>
      <c r="K1905" s="73"/>
      <c r="L1905" s="73"/>
      <c r="M1905" s="73"/>
      <c r="N1905" s="73"/>
      <c r="O1905" s="73"/>
      <c r="P1905" s="73"/>
      <c r="Q1905" s="73"/>
      <c r="R1905" s="73"/>
      <c r="S1905" s="73"/>
      <c r="T1905" s="73"/>
      <c r="U1905" s="73"/>
      <c r="V1905" s="73"/>
      <c r="W1905" s="73"/>
      <c r="GL1905" s="73"/>
      <c r="GM1905" s="73"/>
      <c r="GN1905" s="73"/>
      <c r="GO1905" s="73"/>
      <c r="GP1905" s="73"/>
      <c r="GQ1905" s="73"/>
      <c r="GR1905" s="73"/>
      <c r="GS1905" s="73"/>
      <c r="GT1905" s="73"/>
      <c r="GU1905" s="73"/>
      <c r="GV1905" s="73"/>
      <c r="GW1905" s="73"/>
      <c r="GX1905" s="73"/>
      <c r="GY1905" s="73"/>
      <c r="GZ1905" s="73"/>
      <c r="HA1905" s="73"/>
      <c r="HB1905" s="73"/>
      <c r="HC1905" s="73"/>
      <c r="HD1905" s="73"/>
      <c r="HE1905" s="73"/>
      <c r="HF1905" s="73"/>
      <c r="HG1905" s="73"/>
      <c r="HH1905" s="73"/>
      <c r="HI1905" s="73"/>
      <c r="HJ1905" s="73"/>
      <c r="HK1905" s="73"/>
      <c r="HL1905" s="73"/>
      <c r="HM1905" s="73"/>
      <c r="HN1905" s="73"/>
      <c r="HO1905" s="73"/>
      <c r="HP1905" s="73"/>
      <c r="HQ1905" s="73"/>
      <c r="HR1905" s="73"/>
      <c r="HS1905" s="73"/>
      <c r="HT1905" s="73"/>
      <c r="HU1905" s="73"/>
      <c r="HV1905" s="73"/>
      <c r="HW1905" s="73"/>
      <c r="HX1905" s="73"/>
      <c r="HY1905" s="73"/>
      <c r="HZ1905" s="73"/>
      <c r="IA1905" s="73"/>
      <c r="IB1905" s="73"/>
      <c r="IC1905" s="73"/>
      <c r="ID1905" s="73"/>
      <c r="IE1905" s="73"/>
      <c r="IF1905" s="73"/>
      <c r="IG1905" s="73"/>
      <c r="IH1905" s="73"/>
      <c r="II1905" s="73"/>
      <c r="IJ1905" s="73"/>
      <c r="IK1905" s="73"/>
      <c r="IL1905" s="73"/>
      <c r="IM1905" s="73"/>
      <c r="IN1905" s="73"/>
      <c r="IO1905" s="73"/>
      <c r="IP1905" s="73"/>
      <c r="IQ1905" s="73"/>
      <c r="IR1905" s="73"/>
      <c r="IS1905" s="73"/>
      <c r="IT1905" s="73"/>
      <c r="IU1905" s="73"/>
      <c r="IV1905" s="73"/>
      <c r="IW1905" s="73"/>
      <c r="IX1905" s="73"/>
      <c r="IY1905" s="73"/>
      <c r="IZ1905" s="73"/>
      <c r="JA1905" s="73"/>
      <c r="JB1905" s="73"/>
      <c r="JC1905" s="73"/>
    </row>
    <row r="1906" spans="2:263" s="72" customFormat="1">
      <c r="B1906" s="73"/>
      <c r="C1906" s="73"/>
      <c r="D1906" s="73"/>
      <c r="E1906" s="73"/>
      <c r="F1906" s="73"/>
      <c r="G1906" s="73"/>
      <c r="H1906" s="73"/>
      <c r="I1906" s="73"/>
      <c r="J1906" s="73"/>
      <c r="K1906" s="73"/>
      <c r="L1906" s="73"/>
      <c r="M1906" s="73"/>
      <c r="N1906" s="73"/>
      <c r="O1906" s="73"/>
      <c r="P1906" s="73"/>
      <c r="Q1906" s="73"/>
      <c r="R1906" s="73"/>
      <c r="S1906" s="73"/>
      <c r="T1906" s="73"/>
      <c r="U1906" s="73"/>
      <c r="V1906" s="73"/>
      <c r="W1906" s="73"/>
      <c r="GL1906" s="73"/>
      <c r="GM1906" s="73"/>
      <c r="GN1906" s="73"/>
      <c r="GO1906" s="73"/>
      <c r="GP1906" s="73"/>
      <c r="GQ1906" s="73"/>
      <c r="GR1906" s="73"/>
      <c r="GS1906" s="73"/>
      <c r="GT1906" s="73"/>
      <c r="GU1906" s="73"/>
      <c r="GV1906" s="73"/>
      <c r="GW1906" s="73"/>
      <c r="GX1906" s="73"/>
      <c r="GY1906" s="73"/>
      <c r="GZ1906" s="73"/>
      <c r="HA1906" s="73"/>
      <c r="HB1906" s="73"/>
      <c r="HC1906" s="73"/>
      <c r="HD1906" s="73"/>
      <c r="HE1906" s="73"/>
      <c r="HF1906" s="73"/>
      <c r="HG1906" s="73"/>
      <c r="HH1906" s="73"/>
      <c r="HI1906" s="73"/>
      <c r="HJ1906" s="73"/>
      <c r="HK1906" s="73"/>
      <c r="HL1906" s="73"/>
      <c r="HM1906" s="73"/>
      <c r="HN1906" s="73"/>
      <c r="HO1906" s="73"/>
      <c r="HP1906" s="73"/>
      <c r="HQ1906" s="73"/>
      <c r="HR1906" s="73"/>
      <c r="HS1906" s="73"/>
      <c r="HT1906" s="73"/>
      <c r="HU1906" s="73"/>
      <c r="HV1906" s="73"/>
      <c r="HW1906" s="73"/>
      <c r="HX1906" s="73"/>
      <c r="HY1906" s="73"/>
      <c r="HZ1906" s="73"/>
      <c r="IA1906" s="73"/>
      <c r="IB1906" s="73"/>
      <c r="IC1906" s="73"/>
      <c r="ID1906" s="73"/>
      <c r="IE1906" s="73"/>
      <c r="IF1906" s="73"/>
      <c r="IG1906" s="73"/>
      <c r="IH1906" s="73"/>
      <c r="II1906" s="73"/>
      <c r="IJ1906" s="73"/>
      <c r="IK1906" s="73"/>
      <c r="IL1906" s="73"/>
      <c r="IM1906" s="73"/>
      <c r="IN1906" s="73"/>
      <c r="IO1906" s="73"/>
      <c r="IP1906" s="73"/>
      <c r="IQ1906" s="73"/>
      <c r="IR1906" s="73"/>
      <c r="IS1906" s="73"/>
      <c r="IT1906" s="73"/>
      <c r="IU1906" s="73"/>
      <c r="IV1906" s="73"/>
      <c r="IW1906" s="73"/>
      <c r="IX1906" s="73"/>
      <c r="IY1906" s="73"/>
      <c r="IZ1906" s="73"/>
      <c r="JA1906" s="73"/>
      <c r="JB1906" s="73"/>
      <c r="JC1906" s="73"/>
    </row>
    <row r="1907" spans="2:263" s="72" customFormat="1">
      <c r="B1907" s="73"/>
      <c r="C1907" s="73"/>
      <c r="D1907" s="73"/>
      <c r="E1907" s="73"/>
      <c r="F1907" s="73"/>
      <c r="G1907" s="73"/>
      <c r="H1907" s="73"/>
      <c r="I1907" s="73"/>
      <c r="J1907" s="73"/>
      <c r="K1907" s="73"/>
      <c r="L1907" s="73"/>
      <c r="M1907" s="73"/>
      <c r="N1907" s="73"/>
      <c r="O1907" s="73"/>
      <c r="P1907" s="73"/>
      <c r="Q1907" s="73"/>
      <c r="R1907" s="73"/>
      <c r="S1907" s="73"/>
      <c r="T1907" s="73"/>
      <c r="U1907" s="73"/>
      <c r="V1907" s="73"/>
      <c r="W1907" s="73"/>
      <c r="GL1907" s="73"/>
      <c r="GM1907" s="73"/>
      <c r="GN1907" s="73"/>
      <c r="GO1907" s="73"/>
      <c r="GP1907" s="73"/>
      <c r="GQ1907" s="73"/>
      <c r="GR1907" s="73"/>
      <c r="GS1907" s="73"/>
      <c r="GT1907" s="73"/>
      <c r="GU1907" s="73"/>
      <c r="GV1907" s="73"/>
      <c r="GW1907" s="73"/>
      <c r="GX1907" s="73"/>
      <c r="GY1907" s="73"/>
      <c r="GZ1907" s="73"/>
      <c r="HA1907" s="73"/>
      <c r="HB1907" s="73"/>
      <c r="HC1907" s="73"/>
      <c r="HD1907" s="73"/>
      <c r="HE1907" s="73"/>
      <c r="HF1907" s="73"/>
      <c r="HG1907" s="73"/>
      <c r="HH1907" s="73"/>
      <c r="HI1907" s="73"/>
      <c r="HJ1907" s="73"/>
      <c r="HK1907" s="73"/>
      <c r="HL1907" s="73"/>
      <c r="HM1907" s="73"/>
      <c r="HN1907" s="73"/>
      <c r="HO1907" s="73"/>
      <c r="HP1907" s="73"/>
      <c r="HQ1907" s="73"/>
      <c r="HR1907" s="73"/>
      <c r="HS1907" s="73"/>
      <c r="HT1907" s="73"/>
      <c r="HU1907" s="73"/>
      <c r="HV1907" s="73"/>
      <c r="HW1907" s="73"/>
      <c r="HX1907" s="73"/>
      <c r="HY1907" s="73"/>
      <c r="HZ1907" s="73"/>
      <c r="IA1907" s="73"/>
      <c r="IB1907" s="73"/>
      <c r="IC1907" s="73"/>
      <c r="ID1907" s="73"/>
      <c r="IE1907" s="73"/>
      <c r="IF1907" s="73"/>
      <c r="IG1907" s="73"/>
      <c r="IH1907" s="73"/>
      <c r="II1907" s="73"/>
      <c r="IJ1907" s="73"/>
      <c r="IK1907" s="73"/>
      <c r="IL1907" s="73"/>
      <c r="IM1907" s="73"/>
      <c r="IN1907" s="73"/>
      <c r="IO1907" s="73"/>
      <c r="IP1907" s="73"/>
      <c r="IQ1907" s="73"/>
      <c r="IR1907" s="73"/>
      <c r="IS1907" s="73"/>
      <c r="IT1907" s="73"/>
      <c r="IU1907" s="73"/>
      <c r="IV1907" s="73"/>
      <c r="IW1907" s="73"/>
      <c r="IX1907" s="73"/>
      <c r="IY1907" s="73"/>
      <c r="IZ1907" s="73"/>
      <c r="JA1907" s="73"/>
      <c r="JB1907" s="73"/>
      <c r="JC1907" s="73"/>
    </row>
    <row r="1908" spans="2:263" s="72" customFormat="1">
      <c r="B1908" s="73"/>
      <c r="C1908" s="73"/>
      <c r="D1908" s="73"/>
      <c r="E1908" s="73"/>
      <c r="F1908" s="73"/>
      <c r="G1908" s="73"/>
      <c r="H1908" s="73"/>
      <c r="I1908" s="73"/>
      <c r="J1908" s="73"/>
      <c r="K1908" s="73"/>
      <c r="L1908" s="73"/>
      <c r="M1908" s="73"/>
      <c r="N1908" s="73"/>
      <c r="O1908" s="73"/>
      <c r="P1908" s="73"/>
      <c r="Q1908" s="73"/>
      <c r="R1908" s="73"/>
      <c r="S1908" s="73"/>
      <c r="T1908" s="73"/>
      <c r="U1908" s="73"/>
      <c r="V1908" s="73"/>
      <c r="W1908" s="73"/>
      <c r="GL1908" s="73"/>
      <c r="GM1908" s="73"/>
      <c r="GN1908" s="73"/>
      <c r="GO1908" s="73"/>
      <c r="GP1908" s="73"/>
      <c r="GQ1908" s="73"/>
      <c r="GR1908" s="73"/>
      <c r="GS1908" s="73"/>
      <c r="GT1908" s="73"/>
      <c r="GU1908" s="73"/>
      <c r="GV1908" s="73"/>
      <c r="GW1908" s="73"/>
      <c r="GX1908" s="73"/>
      <c r="GY1908" s="73"/>
      <c r="GZ1908" s="73"/>
      <c r="HA1908" s="73"/>
      <c r="HB1908" s="73"/>
      <c r="HC1908" s="73"/>
      <c r="HD1908" s="73"/>
      <c r="HE1908" s="73"/>
      <c r="HF1908" s="73"/>
      <c r="HG1908" s="73"/>
      <c r="HH1908" s="73"/>
      <c r="HI1908" s="73"/>
      <c r="HJ1908" s="73"/>
      <c r="HK1908" s="73"/>
      <c r="HL1908" s="73"/>
      <c r="HM1908" s="73"/>
      <c r="HN1908" s="73"/>
      <c r="HO1908" s="73"/>
      <c r="HP1908" s="73"/>
      <c r="HQ1908" s="73"/>
      <c r="HR1908" s="73"/>
      <c r="HS1908" s="73"/>
      <c r="HT1908" s="73"/>
      <c r="HU1908" s="73"/>
      <c r="HV1908" s="73"/>
      <c r="HW1908" s="73"/>
      <c r="HX1908" s="73"/>
      <c r="HY1908" s="73"/>
      <c r="HZ1908" s="73"/>
      <c r="IA1908" s="73"/>
      <c r="IB1908" s="73"/>
      <c r="IC1908" s="73"/>
      <c r="ID1908" s="73"/>
      <c r="IE1908" s="73"/>
      <c r="IF1908" s="73"/>
      <c r="IG1908" s="73"/>
      <c r="IH1908" s="73"/>
      <c r="II1908" s="73"/>
      <c r="IJ1908" s="73"/>
      <c r="IK1908" s="73"/>
      <c r="IL1908" s="73"/>
      <c r="IM1908" s="73"/>
      <c r="IN1908" s="73"/>
      <c r="IO1908" s="73"/>
      <c r="IP1908" s="73"/>
      <c r="IQ1908" s="73"/>
      <c r="IR1908" s="73"/>
      <c r="IS1908" s="73"/>
      <c r="IT1908" s="73"/>
      <c r="IU1908" s="73"/>
      <c r="IV1908" s="73"/>
      <c r="IW1908" s="73"/>
      <c r="IX1908" s="73"/>
      <c r="IY1908" s="73"/>
      <c r="IZ1908" s="73"/>
      <c r="JA1908" s="73"/>
      <c r="JB1908" s="73"/>
      <c r="JC1908" s="73"/>
    </row>
    <row r="1909" spans="2:263" s="72" customFormat="1">
      <c r="B1909" s="73"/>
      <c r="C1909" s="73"/>
      <c r="D1909" s="73"/>
      <c r="E1909" s="73"/>
      <c r="F1909" s="73"/>
      <c r="G1909" s="73"/>
      <c r="H1909" s="73"/>
      <c r="I1909" s="73"/>
      <c r="J1909" s="73"/>
      <c r="K1909" s="73"/>
      <c r="L1909" s="73"/>
      <c r="M1909" s="73"/>
      <c r="N1909" s="73"/>
      <c r="O1909" s="73"/>
      <c r="P1909" s="73"/>
      <c r="Q1909" s="73"/>
      <c r="R1909" s="73"/>
      <c r="S1909" s="73"/>
      <c r="T1909" s="73"/>
      <c r="U1909" s="73"/>
      <c r="V1909" s="73"/>
      <c r="W1909" s="73"/>
      <c r="GL1909" s="73"/>
      <c r="GM1909" s="73"/>
      <c r="GN1909" s="73"/>
      <c r="GO1909" s="73"/>
      <c r="GP1909" s="73"/>
      <c r="GQ1909" s="73"/>
      <c r="GR1909" s="73"/>
      <c r="GS1909" s="73"/>
      <c r="GT1909" s="73"/>
      <c r="GU1909" s="73"/>
      <c r="GV1909" s="73"/>
      <c r="GW1909" s="73"/>
      <c r="GX1909" s="73"/>
      <c r="GY1909" s="73"/>
      <c r="GZ1909" s="73"/>
      <c r="HA1909" s="73"/>
      <c r="HB1909" s="73"/>
      <c r="HC1909" s="73"/>
      <c r="HD1909" s="73"/>
      <c r="HE1909" s="73"/>
      <c r="HF1909" s="73"/>
      <c r="HG1909" s="73"/>
      <c r="HH1909" s="73"/>
      <c r="HI1909" s="73"/>
      <c r="HJ1909" s="73"/>
      <c r="HK1909" s="73"/>
      <c r="HL1909" s="73"/>
      <c r="HM1909" s="73"/>
      <c r="HN1909" s="73"/>
      <c r="HO1909" s="73"/>
      <c r="HP1909" s="73"/>
      <c r="HQ1909" s="73"/>
      <c r="HR1909" s="73"/>
      <c r="HS1909" s="73"/>
      <c r="HT1909" s="73"/>
      <c r="HU1909" s="73"/>
      <c r="HV1909" s="73"/>
      <c r="HW1909" s="73"/>
      <c r="HX1909" s="73"/>
      <c r="HY1909" s="73"/>
      <c r="HZ1909" s="73"/>
      <c r="IA1909" s="73"/>
      <c r="IB1909" s="73"/>
      <c r="IC1909" s="73"/>
      <c r="ID1909" s="73"/>
      <c r="IE1909" s="73"/>
      <c r="IF1909" s="73"/>
      <c r="IG1909" s="73"/>
      <c r="IH1909" s="73"/>
      <c r="II1909" s="73"/>
      <c r="IJ1909" s="73"/>
      <c r="IK1909" s="73"/>
      <c r="IL1909" s="73"/>
      <c r="IM1909" s="73"/>
      <c r="IN1909" s="73"/>
      <c r="IO1909" s="73"/>
      <c r="IP1909" s="73"/>
      <c r="IQ1909" s="73"/>
      <c r="IR1909" s="73"/>
      <c r="IS1909" s="73"/>
      <c r="IT1909" s="73"/>
      <c r="IU1909" s="73"/>
      <c r="IV1909" s="73"/>
      <c r="IW1909" s="73"/>
      <c r="IX1909" s="73"/>
      <c r="IY1909" s="73"/>
      <c r="IZ1909" s="73"/>
      <c r="JA1909" s="73"/>
      <c r="JB1909" s="73"/>
      <c r="JC1909" s="73"/>
    </row>
    <row r="1910" spans="2:263" s="72" customFormat="1">
      <c r="B1910" s="73"/>
      <c r="C1910" s="73"/>
      <c r="D1910" s="73"/>
      <c r="E1910" s="73"/>
      <c r="F1910" s="73"/>
      <c r="G1910" s="73"/>
      <c r="H1910" s="73"/>
      <c r="I1910" s="73"/>
      <c r="J1910" s="73"/>
      <c r="K1910" s="73"/>
      <c r="L1910" s="73"/>
      <c r="M1910" s="73"/>
      <c r="N1910" s="73"/>
      <c r="O1910" s="73"/>
      <c r="P1910" s="73"/>
      <c r="Q1910" s="73"/>
      <c r="R1910" s="73"/>
      <c r="S1910" s="73"/>
      <c r="T1910" s="73"/>
      <c r="U1910" s="73"/>
      <c r="V1910" s="73"/>
      <c r="W1910" s="73"/>
      <c r="GL1910" s="73"/>
      <c r="GM1910" s="73"/>
      <c r="GN1910" s="73"/>
      <c r="GO1910" s="73"/>
      <c r="GP1910" s="73"/>
      <c r="GQ1910" s="73"/>
      <c r="GR1910" s="73"/>
      <c r="GS1910" s="73"/>
      <c r="GT1910" s="73"/>
      <c r="GU1910" s="73"/>
      <c r="GV1910" s="73"/>
      <c r="GW1910" s="73"/>
      <c r="GX1910" s="73"/>
      <c r="GY1910" s="73"/>
      <c r="GZ1910" s="73"/>
      <c r="HA1910" s="73"/>
      <c r="HB1910" s="73"/>
      <c r="HC1910" s="73"/>
      <c r="HD1910" s="73"/>
      <c r="HE1910" s="73"/>
      <c r="HF1910" s="73"/>
      <c r="HG1910" s="73"/>
      <c r="HH1910" s="73"/>
      <c r="HI1910" s="73"/>
      <c r="HJ1910" s="73"/>
      <c r="HK1910" s="73"/>
      <c r="HL1910" s="73"/>
      <c r="HM1910" s="73"/>
      <c r="HN1910" s="73"/>
      <c r="HO1910" s="73"/>
      <c r="HP1910" s="73"/>
      <c r="HQ1910" s="73"/>
      <c r="HR1910" s="73"/>
      <c r="HS1910" s="73"/>
      <c r="HT1910" s="73"/>
      <c r="HU1910" s="73"/>
      <c r="HV1910" s="73"/>
      <c r="HW1910" s="73"/>
      <c r="HX1910" s="73"/>
      <c r="HY1910" s="73"/>
      <c r="HZ1910" s="73"/>
      <c r="IA1910" s="73"/>
      <c r="IB1910" s="73"/>
      <c r="IC1910" s="73"/>
      <c r="ID1910" s="73"/>
      <c r="IE1910" s="73"/>
      <c r="IF1910" s="73"/>
      <c r="IG1910" s="73"/>
      <c r="IH1910" s="73"/>
      <c r="II1910" s="73"/>
      <c r="IJ1910" s="73"/>
      <c r="IK1910" s="73"/>
      <c r="IL1910" s="73"/>
      <c r="IM1910" s="73"/>
      <c r="IN1910" s="73"/>
      <c r="IO1910" s="73"/>
      <c r="IP1910" s="73"/>
      <c r="IQ1910" s="73"/>
      <c r="IR1910" s="73"/>
      <c r="IS1910" s="73"/>
      <c r="IT1910" s="73"/>
      <c r="IU1910" s="73"/>
      <c r="IV1910" s="73"/>
      <c r="IW1910" s="73"/>
      <c r="IX1910" s="73"/>
      <c r="IY1910" s="73"/>
      <c r="IZ1910" s="73"/>
      <c r="JA1910" s="73"/>
      <c r="JB1910" s="73"/>
      <c r="JC1910" s="73"/>
    </row>
    <row r="1911" spans="2:263" s="72" customFormat="1">
      <c r="B1911" s="73"/>
      <c r="C1911" s="73"/>
      <c r="D1911" s="73"/>
      <c r="E1911" s="73"/>
      <c r="F1911" s="73"/>
      <c r="G1911" s="73"/>
      <c r="H1911" s="73"/>
      <c r="I1911" s="73"/>
      <c r="J1911" s="73"/>
      <c r="K1911" s="73"/>
      <c r="L1911" s="73"/>
      <c r="M1911" s="73"/>
      <c r="N1911" s="73"/>
      <c r="O1911" s="73"/>
      <c r="P1911" s="73"/>
      <c r="Q1911" s="73"/>
      <c r="R1911" s="73"/>
      <c r="S1911" s="73"/>
      <c r="T1911" s="73"/>
      <c r="U1911" s="73"/>
      <c r="V1911" s="73"/>
      <c r="W1911" s="73"/>
      <c r="GL1911" s="73"/>
      <c r="GM1911" s="73"/>
      <c r="GN1911" s="73"/>
      <c r="GO1911" s="73"/>
      <c r="GP1911" s="73"/>
      <c r="GQ1911" s="73"/>
      <c r="GR1911" s="73"/>
      <c r="GS1911" s="73"/>
      <c r="GT1911" s="73"/>
      <c r="GU1911" s="73"/>
      <c r="GV1911" s="73"/>
      <c r="GW1911" s="73"/>
      <c r="GX1911" s="73"/>
      <c r="GY1911" s="73"/>
      <c r="GZ1911" s="73"/>
      <c r="HA1911" s="73"/>
      <c r="HB1911" s="73"/>
      <c r="HC1911" s="73"/>
      <c r="HD1911" s="73"/>
      <c r="HE1911" s="73"/>
      <c r="HF1911" s="73"/>
      <c r="HG1911" s="73"/>
      <c r="HH1911" s="73"/>
      <c r="HI1911" s="73"/>
      <c r="HJ1911" s="73"/>
      <c r="HK1911" s="73"/>
      <c r="HL1911" s="73"/>
      <c r="HM1911" s="73"/>
      <c r="HN1911" s="73"/>
      <c r="HO1911" s="73"/>
      <c r="HP1911" s="73"/>
      <c r="HQ1911" s="73"/>
      <c r="HR1911" s="73"/>
      <c r="HS1911" s="73"/>
      <c r="HT1911" s="73"/>
      <c r="HU1911" s="73"/>
      <c r="HV1911" s="73"/>
      <c r="HW1911" s="73"/>
      <c r="HX1911" s="73"/>
      <c r="HY1911" s="73"/>
      <c r="HZ1911" s="73"/>
      <c r="IA1911" s="73"/>
      <c r="IB1911" s="73"/>
      <c r="IC1911" s="73"/>
      <c r="ID1911" s="73"/>
      <c r="IE1911" s="73"/>
      <c r="IF1911" s="73"/>
      <c r="IG1911" s="73"/>
      <c r="IH1911" s="73"/>
      <c r="II1911" s="73"/>
      <c r="IJ1911" s="73"/>
      <c r="IK1911" s="73"/>
      <c r="IL1911" s="73"/>
      <c r="IM1911" s="73"/>
      <c r="IN1911" s="73"/>
      <c r="IO1911" s="73"/>
      <c r="IP1911" s="73"/>
      <c r="IQ1911" s="73"/>
      <c r="IR1911" s="73"/>
      <c r="IS1911" s="73"/>
      <c r="IT1911" s="73"/>
      <c r="IU1911" s="73"/>
      <c r="IV1911" s="73"/>
      <c r="IW1911" s="73"/>
      <c r="IX1911" s="73"/>
      <c r="IY1911" s="73"/>
      <c r="IZ1911" s="73"/>
      <c r="JA1911" s="73"/>
      <c r="JB1911" s="73"/>
      <c r="JC1911" s="73"/>
    </row>
    <row r="1912" spans="2:263" s="72" customFormat="1">
      <c r="B1912" s="73"/>
      <c r="C1912" s="73"/>
      <c r="D1912" s="73"/>
      <c r="E1912" s="73"/>
      <c r="F1912" s="73"/>
      <c r="G1912" s="73"/>
      <c r="H1912" s="73"/>
      <c r="I1912" s="73"/>
      <c r="J1912" s="73"/>
      <c r="K1912" s="73"/>
      <c r="L1912" s="73"/>
      <c r="M1912" s="73"/>
      <c r="N1912" s="73"/>
      <c r="O1912" s="73"/>
      <c r="P1912" s="73"/>
      <c r="Q1912" s="73"/>
      <c r="R1912" s="73"/>
      <c r="S1912" s="73"/>
      <c r="T1912" s="73"/>
      <c r="U1912" s="73"/>
      <c r="V1912" s="73"/>
      <c r="W1912" s="73"/>
      <c r="GL1912" s="73"/>
      <c r="GM1912" s="73"/>
      <c r="GN1912" s="73"/>
      <c r="GO1912" s="73"/>
      <c r="GP1912" s="73"/>
      <c r="GQ1912" s="73"/>
      <c r="GR1912" s="73"/>
      <c r="GS1912" s="73"/>
      <c r="GT1912" s="73"/>
      <c r="GU1912" s="73"/>
      <c r="GV1912" s="73"/>
      <c r="GW1912" s="73"/>
      <c r="GX1912" s="73"/>
      <c r="GY1912" s="73"/>
      <c r="GZ1912" s="73"/>
      <c r="HA1912" s="73"/>
      <c r="HB1912" s="73"/>
      <c r="HC1912" s="73"/>
      <c r="HD1912" s="73"/>
      <c r="HE1912" s="73"/>
      <c r="HF1912" s="73"/>
      <c r="HG1912" s="73"/>
      <c r="HH1912" s="73"/>
      <c r="HI1912" s="73"/>
      <c r="HJ1912" s="73"/>
      <c r="HK1912" s="73"/>
      <c r="HL1912" s="73"/>
      <c r="HM1912" s="73"/>
      <c r="HN1912" s="73"/>
      <c r="HO1912" s="73"/>
      <c r="HP1912" s="73"/>
      <c r="HQ1912" s="73"/>
      <c r="HR1912" s="73"/>
      <c r="HS1912" s="73"/>
      <c r="HT1912" s="73"/>
      <c r="HU1912" s="73"/>
      <c r="HV1912" s="73"/>
      <c r="HW1912" s="73"/>
      <c r="HX1912" s="73"/>
      <c r="HY1912" s="73"/>
      <c r="HZ1912" s="73"/>
      <c r="IA1912" s="73"/>
      <c r="IB1912" s="73"/>
      <c r="IC1912" s="73"/>
      <c r="ID1912" s="73"/>
      <c r="IE1912" s="73"/>
      <c r="IF1912" s="73"/>
      <c r="IG1912" s="73"/>
      <c r="IH1912" s="73"/>
      <c r="II1912" s="73"/>
      <c r="IJ1912" s="73"/>
      <c r="IK1912" s="73"/>
      <c r="IL1912" s="73"/>
      <c r="IM1912" s="73"/>
      <c r="IN1912" s="73"/>
      <c r="IO1912" s="73"/>
      <c r="IP1912" s="73"/>
      <c r="IQ1912" s="73"/>
      <c r="IR1912" s="73"/>
      <c r="IS1912" s="73"/>
      <c r="IT1912" s="73"/>
      <c r="IU1912" s="73"/>
      <c r="IV1912" s="73"/>
      <c r="IW1912" s="73"/>
      <c r="IX1912" s="73"/>
      <c r="IY1912" s="73"/>
      <c r="IZ1912" s="73"/>
      <c r="JA1912" s="73"/>
      <c r="JB1912" s="73"/>
      <c r="JC1912" s="73"/>
    </row>
    <row r="1913" spans="2:263" s="72" customFormat="1">
      <c r="B1913" s="73"/>
      <c r="C1913" s="73"/>
      <c r="D1913" s="73"/>
      <c r="E1913" s="73"/>
      <c r="F1913" s="73"/>
      <c r="G1913" s="73"/>
      <c r="H1913" s="73"/>
      <c r="I1913" s="73"/>
      <c r="J1913" s="73"/>
      <c r="K1913" s="73"/>
      <c r="L1913" s="73"/>
      <c r="M1913" s="73"/>
      <c r="N1913" s="73"/>
      <c r="O1913" s="73"/>
      <c r="P1913" s="73"/>
      <c r="Q1913" s="73"/>
      <c r="R1913" s="73"/>
      <c r="S1913" s="73"/>
      <c r="T1913" s="73"/>
      <c r="U1913" s="73"/>
      <c r="V1913" s="73"/>
      <c r="W1913" s="73"/>
      <c r="GL1913" s="73"/>
      <c r="GM1913" s="73"/>
      <c r="GN1913" s="73"/>
      <c r="GO1913" s="73"/>
      <c r="GP1913" s="73"/>
      <c r="GQ1913" s="73"/>
      <c r="GR1913" s="73"/>
      <c r="GS1913" s="73"/>
      <c r="GT1913" s="73"/>
      <c r="GU1913" s="73"/>
      <c r="GV1913" s="73"/>
      <c r="GW1913" s="73"/>
      <c r="GX1913" s="73"/>
      <c r="GY1913" s="73"/>
      <c r="GZ1913" s="73"/>
      <c r="HA1913" s="73"/>
      <c r="HB1913" s="73"/>
      <c r="HC1913" s="73"/>
      <c r="HD1913" s="73"/>
      <c r="HE1913" s="73"/>
      <c r="HF1913" s="73"/>
      <c r="HG1913" s="73"/>
      <c r="HH1913" s="73"/>
      <c r="HI1913" s="73"/>
      <c r="HJ1913" s="73"/>
      <c r="HK1913" s="73"/>
      <c r="HL1913" s="73"/>
      <c r="HM1913" s="73"/>
      <c r="HN1913" s="73"/>
      <c r="HO1913" s="73"/>
      <c r="HP1913" s="73"/>
      <c r="HQ1913" s="73"/>
      <c r="HR1913" s="73"/>
      <c r="HS1913" s="73"/>
      <c r="HT1913" s="73"/>
      <c r="HU1913" s="73"/>
      <c r="HV1913" s="73"/>
      <c r="HW1913" s="73"/>
      <c r="HX1913" s="73"/>
      <c r="HY1913" s="73"/>
      <c r="HZ1913" s="73"/>
      <c r="IA1913" s="73"/>
      <c r="IB1913" s="73"/>
      <c r="IC1913" s="73"/>
      <c r="ID1913" s="73"/>
      <c r="IE1913" s="73"/>
      <c r="IF1913" s="73"/>
      <c r="IG1913" s="73"/>
      <c r="IH1913" s="73"/>
      <c r="II1913" s="73"/>
      <c r="IJ1913" s="73"/>
      <c r="IK1913" s="73"/>
      <c r="IL1913" s="73"/>
      <c r="IM1913" s="73"/>
      <c r="IN1913" s="73"/>
      <c r="IO1913" s="73"/>
      <c r="IP1913" s="73"/>
      <c r="IQ1913" s="73"/>
      <c r="IR1913" s="73"/>
      <c r="IS1913" s="73"/>
      <c r="IT1913" s="73"/>
      <c r="IU1913" s="73"/>
      <c r="IV1913" s="73"/>
      <c r="IW1913" s="73"/>
      <c r="IX1913" s="73"/>
      <c r="IY1913" s="73"/>
      <c r="IZ1913" s="73"/>
      <c r="JA1913" s="73"/>
      <c r="JB1913" s="73"/>
      <c r="JC1913" s="73"/>
    </row>
    <row r="1914" spans="2:263" s="72" customFormat="1">
      <c r="B1914" s="73"/>
      <c r="C1914" s="73"/>
      <c r="D1914" s="73"/>
      <c r="E1914" s="73"/>
      <c r="F1914" s="73"/>
      <c r="G1914" s="73"/>
      <c r="H1914" s="73"/>
      <c r="I1914" s="73"/>
      <c r="J1914" s="73"/>
      <c r="K1914" s="73"/>
      <c r="L1914" s="73"/>
      <c r="M1914" s="73"/>
      <c r="N1914" s="73"/>
      <c r="O1914" s="73"/>
      <c r="P1914" s="73"/>
      <c r="Q1914" s="73"/>
      <c r="R1914" s="73"/>
      <c r="S1914" s="73"/>
      <c r="T1914" s="73"/>
      <c r="U1914" s="73"/>
      <c r="V1914" s="73"/>
      <c r="W1914" s="73"/>
      <c r="GL1914" s="73"/>
      <c r="GM1914" s="73"/>
      <c r="GN1914" s="73"/>
      <c r="GO1914" s="73"/>
      <c r="GP1914" s="73"/>
      <c r="GQ1914" s="73"/>
      <c r="GR1914" s="73"/>
      <c r="GS1914" s="73"/>
      <c r="GT1914" s="73"/>
      <c r="GU1914" s="73"/>
      <c r="GV1914" s="73"/>
      <c r="GW1914" s="73"/>
      <c r="GX1914" s="73"/>
      <c r="GY1914" s="73"/>
      <c r="GZ1914" s="73"/>
      <c r="HA1914" s="73"/>
      <c r="HB1914" s="73"/>
      <c r="HC1914" s="73"/>
      <c r="HD1914" s="73"/>
      <c r="HE1914" s="73"/>
      <c r="HF1914" s="73"/>
      <c r="HG1914" s="73"/>
      <c r="HH1914" s="73"/>
      <c r="HI1914" s="73"/>
      <c r="HJ1914" s="73"/>
      <c r="HK1914" s="73"/>
      <c r="HL1914" s="73"/>
      <c r="HM1914" s="73"/>
      <c r="HN1914" s="73"/>
      <c r="HO1914" s="73"/>
      <c r="HP1914" s="73"/>
      <c r="HQ1914" s="73"/>
      <c r="HR1914" s="73"/>
      <c r="HS1914" s="73"/>
      <c r="HT1914" s="73"/>
      <c r="HU1914" s="73"/>
      <c r="HV1914" s="73"/>
      <c r="HW1914" s="73"/>
      <c r="HX1914" s="73"/>
      <c r="HY1914" s="73"/>
      <c r="HZ1914" s="73"/>
      <c r="IA1914" s="73"/>
      <c r="IB1914" s="73"/>
      <c r="IC1914" s="73"/>
      <c r="ID1914" s="73"/>
      <c r="IE1914" s="73"/>
      <c r="IF1914" s="73"/>
      <c r="IG1914" s="73"/>
      <c r="IH1914" s="73"/>
      <c r="II1914" s="73"/>
      <c r="IJ1914" s="73"/>
      <c r="IK1914" s="73"/>
      <c r="IL1914" s="73"/>
      <c r="IM1914" s="73"/>
      <c r="IN1914" s="73"/>
      <c r="IO1914" s="73"/>
      <c r="IP1914" s="73"/>
      <c r="IQ1914" s="73"/>
      <c r="IR1914" s="73"/>
      <c r="IS1914" s="73"/>
      <c r="IT1914" s="73"/>
      <c r="IU1914" s="73"/>
      <c r="IV1914" s="73"/>
      <c r="IW1914" s="73"/>
      <c r="IX1914" s="73"/>
      <c r="IY1914" s="73"/>
      <c r="IZ1914" s="73"/>
      <c r="JA1914" s="73"/>
      <c r="JB1914" s="73"/>
      <c r="JC1914" s="73"/>
    </row>
    <row r="1915" spans="2:263" s="72" customFormat="1">
      <c r="B1915" s="73"/>
      <c r="C1915" s="73"/>
      <c r="D1915" s="73"/>
      <c r="E1915" s="73"/>
      <c r="F1915" s="73"/>
      <c r="G1915" s="73"/>
      <c r="H1915" s="73"/>
      <c r="I1915" s="73"/>
      <c r="J1915" s="73"/>
      <c r="K1915" s="73"/>
      <c r="L1915" s="73"/>
      <c r="M1915" s="73"/>
      <c r="N1915" s="73"/>
      <c r="O1915" s="73"/>
      <c r="P1915" s="73"/>
      <c r="Q1915" s="73"/>
      <c r="R1915" s="73"/>
      <c r="S1915" s="73"/>
      <c r="T1915" s="73"/>
      <c r="U1915" s="73"/>
      <c r="V1915" s="73"/>
      <c r="W1915" s="73"/>
      <c r="GL1915" s="73"/>
      <c r="GM1915" s="73"/>
      <c r="GN1915" s="73"/>
      <c r="GO1915" s="73"/>
      <c r="GP1915" s="73"/>
      <c r="GQ1915" s="73"/>
      <c r="GR1915" s="73"/>
      <c r="GS1915" s="73"/>
      <c r="GT1915" s="73"/>
      <c r="GU1915" s="73"/>
      <c r="GV1915" s="73"/>
      <c r="GW1915" s="73"/>
      <c r="GX1915" s="73"/>
      <c r="GY1915" s="73"/>
      <c r="GZ1915" s="73"/>
      <c r="HA1915" s="73"/>
      <c r="HB1915" s="73"/>
      <c r="HC1915" s="73"/>
      <c r="HD1915" s="73"/>
      <c r="HE1915" s="73"/>
      <c r="HF1915" s="73"/>
      <c r="HG1915" s="73"/>
      <c r="HH1915" s="73"/>
      <c r="HI1915" s="73"/>
      <c r="HJ1915" s="73"/>
      <c r="HK1915" s="73"/>
      <c r="HL1915" s="73"/>
      <c r="HM1915" s="73"/>
      <c r="HN1915" s="73"/>
      <c r="HO1915" s="73"/>
      <c r="HP1915" s="73"/>
      <c r="HQ1915" s="73"/>
      <c r="HR1915" s="73"/>
      <c r="HS1915" s="73"/>
      <c r="HT1915" s="73"/>
      <c r="HU1915" s="73"/>
      <c r="HV1915" s="73"/>
      <c r="HW1915" s="73"/>
      <c r="HX1915" s="73"/>
      <c r="HY1915" s="73"/>
      <c r="HZ1915" s="73"/>
      <c r="IA1915" s="73"/>
      <c r="IB1915" s="73"/>
      <c r="IC1915" s="73"/>
      <c r="ID1915" s="73"/>
      <c r="IE1915" s="73"/>
      <c r="IF1915" s="73"/>
      <c r="IG1915" s="73"/>
      <c r="IH1915" s="73"/>
      <c r="II1915" s="73"/>
      <c r="IJ1915" s="73"/>
      <c r="IK1915" s="73"/>
      <c r="IL1915" s="73"/>
      <c r="IM1915" s="73"/>
      <c r="IN1915" s="73"/>
      <c r="IO1915" s="73"/>
      <c r="IP1915" s="73"/>
      <c r="IQ1915" s="73"/>
      <c r="IR1915" s="73"/>
      <c r="IS1915" s="73"/>
      <c r="IT1915" s="73"/>
      <c r="IU1915" s="73"/>
      <c r="IV1915" s="73"/>
      <c r="IW1915" s="73"/>
      <c r="IX1915" s="73"/>
      <c r="IY1915" s="73"/>
      <c r="IZ1915" s="73"/>
      <c r="JA1915" s="73"/>
      <c r="JB1915" s="73"/>
      <c r="JC1915" s="73"/>
    </row>
    <row r="1916" spans="2:263" s="72" customFormat="1">
      <c r="B1916" s="73"/>
      <c r="C1916" s="73"/>
      <c r="D1916" s="73"/>
      <c r="E1916" s="73"/>
      <c r="F1916" s="73"/>
      <c r="G1916" s="73"/>
      <c r="H1916" s="73"/>
      <c r="I1916" s="73"/>
      <c r="J1916" s="73"/>
      <c r="K1916" s="73"/>
      <c r="L1916" s="73"/>
      <c r="M1916" s="73"/>
      <c r="N1916" s="73"/>
      <c r="O1916" s="73"/>
      <c r="P1916" s="73"/>
      <c r="Q1916" s="73"/>
      <c r="R1916" s="73"/>
      <c r="S1916" s="73"/>
      <c r="T1916" s="73"/>
      <c r="U1916" s="73"/>
      <c r="V1916" s="73"/>
      <c r="W1916" s="73"/>
      <c r="GL1916" s="73"/>
      <c r="GM1916" s="73"/>
      <c r="GN1916" s="73"/>
      <c r="GO1916" s="73"/>
      <c r="GP1916" s="73"/>
      <c r="GQ1916" s="73"/>
      <c r="GR1916" s="73"/>
      <c r="GS1916" s="73"/>
      <c r="GT1916" s="73"/>
      <c r="GU1916" s="73"/>
      <c r="GV1916" s="73"/>
      <c r="GW1916" s="73"/>
      <c r="GX1916" s="73"/>
      <c r="GY1916" s="73"/>
      <c r="GZ1916" s="73"/>
      <c r="HA1916" s="73"/>
      <c r="HB1916" s="73"/>
      <c r="HC1916" s="73"/>
      <c r="HD1916" s="73"/>
      <c r="HE1916" s="73"/>
      <c r="HF1916" s="73"/>
      <c r="HG1916" s="73"/>
      <c r="HH1916" s="73"/>
      <c r="HI1916" s="73"/>
      <c r="HJ1916" s="73"/>
      <c r="HK1916" s="73"/>
      <c r="HL1916" s="73"/>
      <c r="HM1916" s="73"/>
      <c r="HN1916" s="73"/>
      <c r="HO1916" s="73"/>
      <c r="HP1916" s="73"/>
      <c r="HQ1916" s="73"/>
      <c r="HR1916" s="73"/>
      <c r="HS1916" s="73"/>
      <c r="HT1916" s="73"/>
      <c r="HU1916" s="73"/>
      <c r="HV1916" s="73"/>
      <c r="HW1916" s="73"/>
      <c r="HX1916" s="73"/>
      <c r="HY1916" s="73"/>
      <c r="HZ1916" s="73"/>
      <c r="IA1916" s="73"/>
      <c r="IB1916" s="73"/>
      <c r="IC1916" s="73"/>
      <c r="ID1916" s="73"/>
      <c r="IE1916" s="73"/>
      <c r="IF1916" s="73"/>
      <c r="IG1916" s="73"/>
      <c r="IH1916" s="73"/>
      <c r="II1916" s="73"/>
      <c r="IJ1916" s="73"/>
      <c r="IK1916" s="73"/>
      <c r="IL1916" s="73"/>
      <c r="IM1916" s="73"/>
      <c r="IN1916" s="73"/>
      <c r="IO1916" s="73"/>
      <c r="IP1916" s="73"/>
      <c r="IQ1916" s="73"/>
      <c r="IR1916" s="73"/>
      <c r="IS1916" s="73"/>
      <c r="IT1916" s="73"/>
      <c r="IU1916" s="73"/>
      <c r="IV1916" s="73"/>
      <c r="IW1916" s="73"/>
      <c r="IX1916" s="73"/>
      <c r="IY1916" s="73"/>
      <c r="IZ1916" s="73"/>
      <c r="JA1916" s="73"/>
      <c r="JB1916" s="73"/>
      <c r="JC1916" s="73"/>
    </row>
    <row r="1917" spans="2:263" s="72" customFormat="1">
      <c r="B1917" s="73"/>
      <c r="C1917" s="73"/>
      <c r="D1917" s="73"/>
      <c r="E1917" s="73"/>
      <c r="F1917" s="73"/>
      <c r="G1917" s="73"/>
      <c r="H1917" s="73"/>
      <c r="I1917" s="73"/>
      <c r="J1917" s="73"/>
      <c r="K1917" s="73"/>
      <c r="L1917" s="73"/>
      <c r="M1917" s="73"/>
      <c r="N1917" s="73"/>
      <c r="O1917" s="73"/>
      <c r="P1917" s="73"/>
      <c r="Q1917" s="73"/>
      <c r="R1917" s="73"/>
      <c r="S1917" s="73"/>
      <c r="T1917" s="73"/>
      <c r="U1917" s="73"/>
      <c r="V1917" s="73"/>
      <c r="W1917" s="73"/>
      <c r="GL1917" s="73"/>
      <c r="GM1917" s="73"/>
      <c r="GN1917" s="73"/>
      <c r="GO1917" s="73"/>
      <c r="GP1917" s="73"/>
      <c r="GQ1917" s="73"/>
      <c r="GR1917" s="73"/>
      <c r="GS1917" s="73"/>
      <c r="GT1917" s="73"/>
      <c r="GU1917" s="73"/>
      <c r="GV1917" s="73"/>
      <c r="GW1917" s="73"/>
      <c r="GX1917" s="73"/>
      <c r="GY1917" s="73"/>
      <c r="GZ1917" s="73"/>
      <c r="HA1917" s="73"/>
      <c r="HB1917" s="73"/>
      <c r="HC1917" s="73"/>
      <c r="HD1917" s="73"/>
      <c r="HE1917" s="73"/>
      <c r="HF1917" s="73"/>
      <c r="HG1917" s="73"/>
      <c r="HH1917" s="73"/>
      <c r="HI1917" s="73"/>
      <c r="HJ1917" s="73"/>
      <c r="HK1917" s="73"/>
      <c r="HL1917" s="73"/>
      <c r="HM1917" s="73"/>
      <c r="HN1917" s="73"/>
      <c r="HO1917" s="73"/>
      <c r="HP1917" s="73"/>
      <c r="HQ1917" s="73"/>
      <c r="HR1917" s="73"/>
      <c r="HS1917" s="73"/>
      <c r="HT1917" s="73"/>
      <c r="HU1917" s="73"/>
      <c r="HV1917" s="73"/>
      <c r="HW1917" s="73"/>
      <c r="HX1917" s="73"/>
      <c r="HY1917" s="73"/>
      <c r="HZ1917" s="73"/>
      <c r="IA1917" s="73"/>
      <c r="IB1917" s="73"/>
      <c r="IC1917" s="73"/>
      <c r="ID1917" s="73"/>
      <c r="IE1917" s="73"/>
      <c r="IF1917" s="73"/>
      <c r="IG1917" s="73"/>
      <c r="IH1917" s="73"/>
      <c r="II1917" s="73"/>
      <c r="IJ1917" s="73"/>
      <c r="IK1917" s="73"/>
      <c r="IL1917" s="73"/>
      <c r="IM1917" s="73"/>
      <c r="IN1917" s="73"/>
      <c r="IO1917" s="73"/>
      <c r="IP1917" s="73"/>
      <c r="IQ1917" s="73"/>
      <c r="IR1917" s="73"/>
      <c r="IS1917" s="73"/>
      <c r="IT1917" s="73"/>
      <c r="IU1917" s="73"/>
      <c r="IV1917" s="73"/>
      <c r="IW1917" s="73"/>
      <c r="IX1917" s="73"/>
      <c r="IY1917" s="73"/>
      <c r="IZ1917" s="73"/>
      <c r="JA1917" s="73"/>
      <c r="JB1917" s="73"/>
      <c r="JC1917" s="73"/>
    </row>
    <row r="1918" spans="2:263" s="72" customFormat="1">
      <c r="B1918" s="73"/>
      <c r="C1918" s="73"/>
      <c r="D1918" s="73"/>
      <c r="E1918" s="73"/>
      <c r="F1918" s="73"/>
      <c r="G1918" s="73"/>
      <c r="H1918" s="73"/>
      <c r="I1918" s="73"/>
      <c r="J1918" s="73"/>
      <c r="K1918" s="73"/>
      <c r="L1918" s="73"/>
      <c r="M1918" s="73"/>
      <c r="N1918" s="73"/>
      <c r="O1918" s="73"/>
      <c r="P1918" s="73"/>
      <c r="Q1918" s="73"/>
      <c r="R1918" s="73"/>
      <c r="S1918" s="73"/>
      <c r="T1918" s="73"/>
      <c r="U1918" s="73"/>
      <c r="V1918" s="73"/>
      <c r="W1918" s="73"/>
      <c r="GL1918" s="73"/>
      <c r="GM1918" s="73"/>
      <c r="GN1918" s="73"/>
      <c r="GO1918" s="73"/>
      <c r="GP1918" s="73"/>
      <c r="GQ1918" s="73"/>
      <c r="GR1918" s="73"/>
      <c r="GS1918" s="73"/>
      <c r="GT1918" s="73"/>
      <c r="GU1918" s="73"/>
      <c r="GV1918" s="73"/>
      <c r="GW1918" s="73"/>
      <c r="GX1918" s="73"/>
      <c r="GY1918" s="73"/>
      <c r="GZ1918" s="73"/>
      <c r="HA1918" s="73"/>
      <c r="HB1918" s="73"/>
      <c r="HC1918" s="73"/>
      <c r="HD1918" s="73"/>
      <c r="HE1918" s="73"/>
      <c r="HF1918" s="73"/>
      <c r="HG1918" s="73"/>
      <c r="HH1918" s="73"/>
      <c r="HI1918" s="73"/>
      <c r="HJ1918" s="73"/>
      <c r="HK1918" s="73"/>
      <c r="HL1918" s="73"/>
      <c r="HM1918" s="73"/>
      <c r="HN1918" s="73"/>
      <c r="HO1918" s="73"/>
      <c r="HP1918" s="73"/>
      <c r="HQ1918" s="73"/>
      <c r="HR1918" s="73"/>
      <c r="HS1918" s="73"/>
      <c r="HT1918" s="73"/>
      <c r="HU1918" s="73"/>
      <c r="HV1918" s="73"/>
      <c r="HW1918" s="73"/>
      <c r="HX1918" s="73"/>
      <c r="HY1918" s="73"/>
      <c r="HZ1918" s="73"/>
      <c r="IA1918" s="73"/>
      <c r="IB1918" s="73"/>
      <c r="IC1918" s="73"/>
      <c r="ID1918" s="73"/>
      <c r="IE1918" s="73"/>
      <c r="IF1918" s="73"/>
      <c r="IG1918" s="73"/>
      <c r="IH1918" s="73"/>
      <c r="II1918" s="73"/>
      <c r="IJ1918" s="73"/>
      <c r="IK1918" s="73"/>
      <c r="IL1918" s="73"/>
      <c r="IM1918" s="73"/>
      <c r="IN1918" s="73"/>
      <c r="IO1918" s="73"/>
      <c r="IP1918" s="73"/>
      <c r="IQ1918" s="73"/>
      <c r="IR1918" s="73"/>
      <c r="IS1918" s="73"/>
      <c r="IT1918" s="73"/>
      <c r="IU1918" s="73"/>
      <c r="IV1918" s="73"/>
      <c r="IW1918" s="73"/>
      <c r="IX1918" s="73"/>
      <c r="IY1918" s="73"/>
      <c r="IZ1918" s="73"/>
      <c r="JA1918" s="73"/>
      <c r="JB1918" s="73"/>
      <c r="JC1918" s="73"/>
    </row>
    <row r="1919" spans="2:263" s="72" customFormat="1">
      <c r="B1919" s="73"/>
      <c r="C1919" s="73"/>
      <c r="D1919" s="73"/>
      <c r="E1919" s="73"/>
      <c r="F1919" s="73"/>
      <c r="G1919" s="73"/>
      <c r="H1919" s="73"/>
      <c r="I1919" s="73"/>
      <c r="J1919" s="73"/>
      <c r="K1919" s="73"/>
      <c r="L1919" s="73"/>
      <c r="M1919" s="73"/>
      <c r="N1919" s="73"/>
      <c r="O1919" s="73"/>
      <c r="P1919" s="73"/>
      <c r="Q1919" s="73"/>
      <c r="R1919" s="73"/>
      <c r="S1919" s="73"/>
      <c r="T1919" s="73"/>
      <c r="U1919" s="73"/>
      <c r="V1919" s="73"/>
      <c r="W1919" s="73"/>
      <c r="GL1919" s="73"/>
      <c r="GM1919" s="73"/>
      <c r="GN1919" s="73"/>
      <c r="GO1919" s="73"/>
      <c r="GP1919" s="73"/>
      <c r="GQ1919" s="73"/>
      <c r="GR1919" s="73"/>
      <c r="GS1919" s="73"/>
      <c r="GT1919" s="73"/>
      <c r="GU1919" s="73"/>
      <c r="GV1919" s="73"/>
      <c r="GW1919" s="73"/>
      <c r="GX1919" s="73"/>
      <c r="GY1919" s="73"/>
      <c r="GZ1919" s="73"/>
      <c r="HA1919" s="73"/>
      <c r="HB1919" s="73"/>
      <c r="HC1919" s="73"/>
      <c r="HD1919" s="73"/>
      <c r="HE1919" s="73"/>
      <c r="HF1919" s="73"/>
      <c r="HG1919" s="73"/>
      <c r="HH1919" s="73"/>
      <c r="HI1919" s="73"/>
      <c r="HJ1919" s="73"/>
      <c r="HK1919" s="73"/>
      <c r="HL1919" s="73"/>
      <c r="HM1919" s="73"/>
      <c r="HN1919" s="73"/>
      <c r="HO1919" s="73"/>
      <c r="HP1919" s="73"/>
      <c r="HQ1919" s="73"/>
      <c r="HR1919" s="73"/>
      <c r="HS1919" s="73"/>
      <c r="HT1919" s="73"/>
      <c r="HU1919" s="73"/>
      <c r="HV1919" s="73"/>
      <c r="HW1919" s="73"/>
      <c r="HX1919" s="73"/>
      <c r="HY1919" s="73"/>
      <c r="HZ1919" s="73"/>
      <c r="IA1919" s="73"/>
      <c r="IB1919" s="73"/>
      <c r="IC1919" s="73"/>
      <c r="ID1919" s="73"/>
      <c r="IE1919" s="73"/>
      <c r="IF1919" s="73"/>
      <c r="IG1919" s="73"/>
      <c r="IH1919" s="73"/>
      <c r="II1919" s="73"/>
      <c r="IJ1919" s="73"/>
      <c r="IK1919" s="73"/>
      <c r="IL1919" s="73"/>
      <c r="IM1919" s="73"/>
      <c r="IN1919" s="73"/>
      <c r="IO1919" s="73"/>
      <c r="IP1919" s="73"/>
      <c r="IQ1919" s="73"/>
      <c r="IR1919" s="73"/>
      <c r="IS1919" s="73"/>
      <c r="IT1919" s="73"/>
      <c r="IU1919" s="73"/>
      <c r="IV1919" s="73"/>
      <c r="IW1919" s="73"/>
      <c r="IX1919" s="73"/>
      <c r="IY1919" s="73"/>
      <c r="IZ1919" s="73"/>
      <c r="JA1919" s="73"/>
      <c r="JB1919" s="73"/>
      <c r="JC1919" s="73"/>
    </row>
    <row r="1920" spans="2:263" s="72" customFormat="1">
      <c r="B1920" s="73"/>
      <c r="C1920" s="73"/>
      <c r="D1920" s="73"/>
      <c r="E1920" s="73"/>
      <c r="F1920" s="73"/>
      <c r="G1920" s="73"/>
      <c r="H1920" s="73"/>
      <c r="I1920" s="73"/>
      <c r="J1920" s="73"/>
      <c r="K1920" s="73"/>
      <c r="L1920" s="73"/>
      <c r="M1920" s="73"/>
      <c r="N1920" s="73"/>
      <c r="O1920" s="73"/>
      <c r="P1920" s="73"/>
      <c r="Q1920" s="73"/>
      <c r="R1920" s="73"/>
      <c r="S1920" s="73"/>
      <c r="T1920" s="73"/>
      <c r="U1920" s="73"/>
      <c r="V1920" s="73"/>
      <c r="W1920" s="73"/>
      <c r="GL1920" s="73"/>
      <c r="GM1920" s="73"/>
      <c r="GN1920" s="73"/>
      <c r="GO1920" s="73"/>
      <c r="GP1920" s="73"/>
      <c r="GQ1920" s="73"/>
      <c r="GR1920" s="73"/>
      <c r="GS1920" s="73"/>
      <c r="GT1920" s="73"/>
      <c r="GU1920" s="73"/>
      <c r="GV1920" s="73"/>
      <c r="GW1920" s="73"/>
      <c r="GX1920" s="73"/>
      <c r="GY1920" s="73"/>
      <c r="GZ1920" s="73"/>
      <c r="HA1920" s="73"/>
      <c r="HB1920" s="73"/>
      <c r="HC1920" s="73"/>
      <c r="HD1920" s="73"/>
      <c r="HE1920" s="73"/>
      <c r="HF1920" s="73"/>
      <c r="HG1920" s="73"/>
      <c r="HH1920" s="73"/>
      <c r="HI1920" s="73"/>
      <c r="HJ1920" s="73"/>
      <c r="HK1920" s="73"/>
      <c r="HL1920" s="73"/>
      <c r="HM1920" s="73"/>
      <c r="HN1920" s="73"/>
      <c r="HO1920" s="73"/>
      <c r="HP1920" s="73"/>
      <c r="HQ1920" s="73"/>
      <c r="HR1920" s="73"/>
      <c r="HS1920" s="73"/>
      <c r="HT1920" s="73"/>
      <c r="HU1920" s="73"/>
      <c r="HV1920" s="73"/>
      <c r="HW1920" s="73"/>
      <c r="HX1920" s="73"/>
      <c r="HY1920" s="73"/>
      <c r="HZ1920" s="73"/>
      <c r="IA1920" s="73"/>
      <c r="IB1920" s="73"/>
      <c r="IC1920" s="73"/>
      <c r="ID1920" s="73"/>
      <c r="IE1920" s="73"/>
      <c r="IF1920" s="73"/>
      <c r="IG1920" s="73"/>
      <c r="IH1920" s="73"/>
      <c r="II1920" s="73"/>
      <c r="IJ1920" s="73"/>
      <c r="IK1920" s="73"/>
      <c r="IL1920" s="73"/>
      <c r="IM1920" s="73"/>
      <c r="IN1920" s="73"/>
      <c r="IO1920" s="73"/>
      <c r="IP1920" s="73"/>
      <c r="IQ1920" s="73"/>
      <c r="IR1920" s="73"/>
      <c r="IS1920" s="73"/>
      <c r="IT1920" s="73"/>
      <c r="IU1920" s="73"/>
      <c r="IV1920" s="73"/>
      <c r="IW1920" s="73"/>
      <c r="IX1920" s="73"/>
      <c r="IY1920" s="73"/>
      <c r="IZ1920" s="73"/>
      <c r="JA1920" s="73"/>
      <c r="JB1920" s="73"/>
      <c r="JC1920" s="73"/>
    </row>
    <row r="1921" spans="2:263" s="72" customFormat="1">
      <c r="B1921" s="73"/>
      <c r="C1921" s="73"/>
      <c r="D1921" s="73"/>
      <c r="E1921" s="73"/>
      <c r="F1921" s="73"/>
      <c r="G1921" s="73"/>
      <c r="H1921" s="73"/>
      <c r="I1921" s="73"/>
      <c r="J1921" s="73"/>
      <c r="K1921" s="73"/>
      <c r="L1921" s="73"/>
      <c r="M1921" s="73"/>
      <c r="N1921" s="73"/>
      <c r="O1921" s="73"/>
      <c r="P1921" s="73"/>
      <c r="Q1921" s="73"/>
      <c r="R1921" s="73"/>
      <c r="S1921" s="73"/>
      <c r="T1921" s="73"/>
      <c r="U1921" s="73"/>
      <c r="V1921" s="73"/>
      <c r="W1921" s="73"/>
      <c r="GL1921" s="73"/>
      <c r="GM1921" s="73"/>
      <c r="GN1921" s="73"/>
      <c r="GO1921" s="73"/>
      <c r="GP1921" s="73"/>
      <c r="GQ1921" s="73"/>
      <c r="GR1921" s="73"/>
      <c r="GS1921" s="73"/>
      <c r="GT1921" s="73"/>
      <c r="GU1921" s="73"/>
      <c r="GV1921" s="73"/>
      <c r="GW1921" s="73"/>
      <c r="GX1921" s="73"/>
      <c r="GY1921" s="73"/>
      <c r="GZ1921" s="73"/>
      <c r="HA1921" s="73"/>
      <c r="HB1921" s="73"/>
      <c r="HC1921" s="73"/>
      <c r="HD1921" s="73"/>
      <c r="HE1921" s="73"/>
      <c r="HF1921" s="73"/>
      <c r="HG1921" s="73"/>
      <c r="HH1921" s="73"/>
      <c r="HI1921" s="73"/>
      <c r="HJ1921" s="73"/>
      <c r="HK1921" s="73"/>
      <c r="HL1921" s="73"/>
      <c r="HM1921" s="73"/>
      <c r="HN1921" s="73"/>
      <c r="HO1921" s="73"/>
      <c r="HP1921" s="73"/>
      <c r="HQ1921" s="73"/>
      <c r="HR1921" s="73"/>
      <c r="HS1921" s="73"/>
      <c r="HT1921" s="73"/>
      <c r="HU1921" s="73"/>
      <c r="HV1921" s="73"/>
      <c r="HW1921" s="73"/>
      <c r="HX1921" s="73"/>
      <c r="HY1921" s="73"/>
      <c r="HZ1921" s="73"/>
      <c r="IA1921" s="73"/>
      <c r="IB1921" s="73"/>
      <c r="IC1921" s="73"/>
      <c r="ID1921" s="73"/>
      <c r="IE1921" s="73"/>
      <c r="IF1921" s="73"/>
      <c r="IG1921" s="73"/>
      <c r="IH1921" s="73"/>
      <c r="II1921" s="73"/>
      <c r="IJ1921" s="73"/>
      <c r="IK1921" s="73"/>
      <c r="IL1921" s="73"/>
      <c r="IM1921" s="73"/>
      <c r="IN1921" s="73"/>
      <c r="IO1921" s="73"/>
      <c r="IP1921" s="73"/>
      <c r="IQ1921" s="73"/>
      <c r="IR1921" s="73"/>
      <c r="IS1921" s="73"/>
      <c r="IT1921" s="73"/>
      <c r="IU1921" s="73"/>
      <c r="IV1921" s="73"/>
      <c r="IW1921" s="73"/>
      <c r="IX1921" s="73"/>
      <c r="IY1921" s="73"/>
      <c r="IZ1921" s="73"/>
      <c r="JA1921" s="73"/>
      <c r="JB1921" s="73"/>
      <c r="JC1921" s="73"/>
    </row>
    <row r="1922" spans="2:263" s="72" customFormat="1">
      <c r="B1922" s="73"/>
      <c r="C1922" s="73"/>
      <c r="D1922" s="73"/>
      <c r="E1922" s="73"/>
      <c r="F1922" s="73"/>
      <c r="G1922" s="73"/>
      <c r="H1922" s="73"/>
      <c r="I1922" s="73"/>
      <c r="J1922" s="73"/>
      <c r="K1922" s="73"/>
      <c r="L1922" s="73"/>
      <c r="M1922" s="73"/>
      <c r="N1922" s="73"/>
      <c r="O1922" s="73"/>
      <c r="P1922" s="73"/>
      <c r="Q1922" s="73"/>
      <c r="R1922" s="73"/>
      <c r="S1922" s="73"/>
      <c r="T1922" s="73"/>
      <c r="U1922" s="73"/>
      <c r="V1922" s="73"/>
      <c r="W1922" s="73"/>
      <c r="GL1922" s="73"/>
      <c r="GM1922" s="73"/>
      <c r="GN1922" s="73"/>
      <c r="GO1922" s="73"/>
      <c r="GP1922" s="73"/>
      <c r="GQ1922" s="73"/>
      <c r="GR1922" s="73"/>
      <c r="GS1922" s="73"/>
      <c r="GT1922" s="73"/>
      <c r="GU1922" s="73"/>
      <c r="GV1922" s="73"/>
      <c r="GW1922" s="73"/>
      <c r="GX1922" s="73"/>
      <c r="GY1922" s="73"/>
      <c r="GZ1922" s="73"/>
      <c r="HA1922" s="73"/>
      <c r="HB1922" s="73"/>
      <c r="HC1922" s="73"/>
      <c r="HD1922" s="73"/>
      <c r="HE1922" s="73"/>
      <c r="HF1922" s="73"/>
      <c r="HG1922" s="73"/>
      <c r="HH1922" s="73"/>
      <c r="HI1922" s="73"/>
      <c r="HJ1922" s="73"/>
      <c r="HK1922" s="73"/>
      <c r="HL1922" s="73"/>
      <c r="HM1922" s="73"/>
      <c r="HN1922" s="73"/>
      <c r="HO1922" s="73"/>
      <c r="HP1922" s="73"/>
      <c r="HQ1922" s="73"/>
      <c r="HR1922" s="73"/>
      <c r="HS1922" s="73"/>
      <c r="HT1922" s="73"/>
      <c r="HU1922" s="73"/>
      <c r="HV1922" s="73"/>
      <c r="HW1922" s="73"/>
      <c r="HX1922" s="73"/>
      <c r="HY1922" s="73"/>
      <c r="HZ1922" s="73"/>
      <c r="IA1922" s="73"/>
      <c r="IB1922" s="73"/>
      <c r="IC1922" s="73"/>
      <c r="ID1922" s="73"/>
      <c r="IE1922" s="73"/>
      <c r="IF1922" s="73"/>
      <c r="IG1922" s="73"/>
      <c r="IH1922" s="73"/>
      <c r="II1922" s="73"/>
      <c r="IJ1922" s="73"/>
      <c r="IK1922" s="73"/>
      <c r="IL1922" s="73"/>
      <c r="IM1922" s="73"/>
      <c r="IN1922" s="73"/>
      <c r="IO1922" s="73"/>
      <c r="IP1922" s="73"/>
      <c r="IQ1922" s="73"/>
      <c r="IR1922" s="73"/>
      <c r="IS1922" s="73"/>
      <c r="IT1922" s="73"/>
      <c r="IU1922" s="73"/>
      <c r="IV1922" s="73"/>
      <c r="IW1922" s="73"/>
      <c r="IX1922" s="73"/>
      <c r="IY1922" s="73"/>
      <c r="IZ1922" s="73"/>
      <c r="JA1922" s="73"/>
      <c r="JB1922" s="73"/>
      <c r="JC1922" s="73"/>
    </row>
    <row r="1923" spans="2:263" s="72" customFormat="1">
      <c r="B1923" s="73"/>
      <c r="C1923" s="73"/>
      <c r="D1923" s="73"/>
      <c r="E1923" s="73"/>
      <c r="F1923" s="73"/>
      <c r="G1923" s="73"/>
      <c r="H1923" s="73"/>
      <c r="I1923" s="73"/>
      <c r="J1923" s="73"/>
      <c r="K1923" s="73"/>
      <c r="L1923" s="73"/>
      <c r="M1923" s="73"/>
      <c r="N1923" s="73"/>
      <c r="O1923" s="73"/>
      <c r="P1923" s="73"/>
      <c r="Q1923" s="73"/>
      <c r="R1923" s="73"/>
      <c r="S1923" s="73"/>
      <c r="T1923" s="73"/>
      <c r="U1923" s="73"/>
      <c r="V1923" s="73"/>
      <c r="W1923" s="73"/>
      <c r="GL1923" s="73"/>
      <c r="GM1923" s="73"/>
      <c r="GN1923" s="73"/>
      <c r="GO1923" s="73"/>
      <c r="GP1923" s="73"/>
      <c r="GQ1923" s="73"/>
      <c r="GR1923" s="73"/>
      <c r="GS1923" s="73"/>
      <c r="GT1923" s="73"/>
      <c r="GU1923" s="73"/>
      <c r="GV1923" s="73"/>
      <c r="GW1923" s="73"/>
      <c r="GX1923" s="73"/>
      <c r="GY1923" s="73"/>
      <c r="GZ1923" s="73"/>
      <c r="HA1923" s="73"/>
      <c r="HB1923" s="73"/>
      <c r="HC1923" s="73"/>
      <c r="HD1923" s="73"/>
      <c r="HE1923" s="73"/>
      <c r="HF1923" s="73"/>
      <c r="HG1923" s="73"/>
      <c r="HH1923" s="73"/>
      <c r="HI1923" s="73"/>
      <c r="HJ1923" s="73"/>
      <c r="HK1923" s="73"/>
      <c r="HL1923" s="73"/>
      <c r="HM1923" s="73"/>
      <c r="HN1923" s="73"/>
      <c r="HO1923" s="73"/>
      <c r="HP1923" s="73"/>
      <c r="HQ1923" s="73"/>
      <c r="HR1923" s="73"/>
      <c r="HS1923" s="73"/>
      <c r="HT1923" s="73"/>
      <c r="HU1923" s="73"/>
      <c r="HV1923" s="73"/>
      <c r="HW1923" s="73"/>
      <c r="HX1923" s="73"/>
      <c r="HY1923" s="73"/>
      <c r="HZ1923" s="73"/>
      <c r="IA1923" s="73"/>
      <c r="IB1923" s="73"/>
      <c r="IC1923" s="73"/>
      <c r="ID1923" s="73"/>
      <c r="IE1923" s="73"/>
      <c r="IF1923" s="73"/>
      <c r="IG1923" s="73"/>
      <c r="IH1923" s="73"/>
      <c r="II1923" s="73"/>
      <c r="IJ1923" s="73"/>
      <c r="IK1923" s="73"/>
      <c r="IL1923" s="73"/>
      <c r="IM1923" s="73"/>
      <c r="IN1923" s="73"/>
      <c r="IO1923" s="73"/>
      <c r="IP1923" s="73"/>
      <c r="IQ1923" s="73"/>
      <c r="IR1923" s="73"/>
      <c r="IS1923" s="73"/>
      <c r="IT1923" s="73"/>
      <c r="IU1923" s="73"/>
      <c r="IV1923" s="73"/>
      <c r="IW1923" s="73"/>
      <c r="IX1923" s="73"/>
      <c r="IY1923" s="73"/>
      <c r="IZ1923" s="73"/>
      <c r="JA1923" s="73"/>
      <c r="JB1923" s="73"/>
      <c r="JC1923" s="73"/>
    </row>
    <row r="1924" spans="2:263" s="72" customFormat="1">
      <c r="B1924" s="73"/>
      <c r="C1924" s="73"/>
      <c r="D1924" s="73"/>
      <c r="E1924" s="73"/>
      <c r="F1924" s="73"/>
      <c r="G1924" s="73"/>
      <c r="H1924" s="73"/>
      <c r="I1924" s="73"/>
      <c r="J1924" s="73"/>
      <c r="K1924" s="73"/>
      <c r="L1924" s="73"/>
      <c r="M1924" s="73"/>
      <c r="N1924" s="73"/>
      <c r="O1924" s="73"/>
      <c r="P1924" s="73"/>
      <c r="Q1924" s="73"/>
      <c r="R1924" s="73"/>
      <c r="S1924" s="73"/>
      <c r="T1924" s="73"/>
      <c r="U1924" s="73"/>
      <c r="V1924" s="73"/>
      <c r="W1924" s="73"/>
      <c r="GL1924" s="73"/>
      <c r="GM1924" s="73"/>
      <c r="GN1924" s="73"/>
      <c r="GO1924" s="73"/>
      <c r="GP1924" s="73"/>
      <c r="GQ1924" s="73"/>
      <c r="GR1924" s="73"/>
      <c r="GS1924" s="73"/>
      <c r="GT1924" s="73"/>
      <c r="GU1924" s="73"/>
      <c r="GV1924" s="73"/>
      <c r="GW1924" s="73"/>
      <c r="GX1924" s="73"/>
      <c r="GY1924" s="73"/>
      <c r="GZ1924" s="73"/>
      <c r="HA1924" s="73"/>
      <c r="HB1924" s="73"/>
      <c r="HC1924" s="73"/>
      <c r="HD1924" s="73"/>
      <c r="HE1924" s="73"/>
      <c r="HF1924" s="73"/>
      <c r="HG1924" s="73"/>
      <c r="HH1924" s="73"/>
      <c r="HI1924" s="73"/>
      <c r="HJ1924" s="73"/>
      <c r="HK1924" s="73"/>
      <c r="HL1924" s="73"/>
      <c r="HM1924" s="73"/>
      <c r="HN1924" s="73"/>
      <c r="HO1924" s="73"/>
      <c r="HP1924" s="73"/>
      <c r="HQ1924" s="73"/>
      <c r="HR1924" s="73"/>
      <c r="HS1924" s="73"/>
      <c r="HT1924" s="73"/>
      <c r="HU1924" s="73"/>
      <c r="HV1924" s="73"/>
      <c r="HW1924" s="73"/>
      <c r="HX1924" s="73"/>
      <c r="HY1924" s="73"/>
      <c r="HZ1924" s="73"/>
      <c r="IA1924" s="73"/>
      <c r="IB1924" s="73"/>
      <c r="IC1924" s="73"/>
      <c r="ID1924" s="73"/>
      <c r="IE1924" s="73"/>
      <c r="IF1924" s="73"/>
      <c r="IG1924" s="73"/>
      <c r="IH1924" s="73"/>
      <c r="II1924" s="73"/>
      <c r="IJ1924" s="73"/>
      <c r="IK1924" s="73"/>
      <c r="IL1924" s="73"/>
      <c r="IM1924" s="73"/>
      <c r="IN1924" s="73"/>
      <c r="IO1924" s="73"/>
      <c r="IP1924" s="73"/>
      <c r="IQ1924" s="73"/>
      <c r="IR1924" s="73"/>
      <c r="IS1924" s="73"/>
      <c r="IT1924" s="73"/>
      <c r="IU1924" s="73"/>
      <c r="IV1924" s="73"/>
      <c r="IW1924" s="73"/>
      <c r="IX1924" s="73"/>
      <c r="IY1924" s="73"/>
      <c r="IZ1924" s="73"/>
      <c r="JA1924" s="73"/>
      <c r="JB1924" s="73"/>
      <c r="JC1924" s="73"/>
    </row>
    <row r="1925" spans="2:263" s="72" customFormat="1">
      <c r="B1925" s="73"/>
      <c r="C1925" s="73"/>
      <c r="D1925" s="73"/>
      <c r="E1925" s="73"/>
      <c r="F1925" s="73"/>
      <c r="G1925" s="73"/>
      <c r="H1925" s="73"/>
      <c r="I1925" s="73"/>
      <c r="J1925" s="73"/>
      <c r="K1925" s="73"/>
      <c r="L1925" s="73"/>
      <c r="M1925" s="73"/>
      <c r="N1925" s="73"/>
      <c r="O1925" s="73"/>
      <c r="P1925" s="73"/>
      <c r="Q1925" s="73"/>
      <c r="R1925" s="73"/>
      <c r="S1925" s="73"/>
      <c r="T1925" s="73"/>
      <c r="U1925" s="73"/>
      <c r="V1925" s="73"/>
      <c r="W1925" s="73"/>
      <c r="GL1925" s="73"/>
      <c r="GM1925" s="73"/>
      <c r="GN1925" s="73"/>
      <c r="GO1925" s="73"/>
      <c r="GP1925" s="73"/>
      <c r="GQ1925" s="73"/>
      <c r="GR1925" s="73"/>
      <c r="GS1925" s="73"/>
      <c r="GT1925" s="73"/>
      <c r="GU1925" s="73"/>
      <c r="GV1925" s="73"/>
      <c r="GW1925" s="73"/>
      <c r="GX1925" s="73"/>
      <c r="GY1925" s="73"/>
      <c r="GZ1925" s="73"/>
      <c r="HA1925" s="73"/>
      <c r="HB1925" s="73"/>
      <c r="HC1925" s="73"/>
      <c r="HD1925" s="73"/>
      <c r="HE1925" s="73"/>
      <c r="HF1925" s="73"/>
      <c r="HG1925" s="73"/>
      <c r="HH1925" s="73"/>
      <c r="HI1925" s="73"/>
      <c r="HJ1925" s="73"/>
      <c r="HK1925" s="73"/>
      <c r="HL1925" s="73"/>
      <c r="HM1925" s="73"/>
      <c r="HN1925" s="73"/>
      <c r="HO1925" s="73"/>
      <c r="HP1925" s="73"/>
      <c r="HQ1925" s="73"/>
      <c r="HR1925" s="73"/>
      <c r="HS1925" s="73"/>
      <c r="HT1925" s="73"/>
      <c r="HU1925" s="73"/>
      <c r="HV1925" s="73"/>
      <c r="HW1925" s="73"/>
      <c r="HX1925" s="73"/>
      <c r="HY1925" s="73"/>
      <c r="HZ1925" s="73"/>
      <c r="IA1925" s="73"/>
      <c r="IB1925" s="73"/>
      <c r="IC1925" s="73"/>
      <c r="ID1925" s="73"/>
      <c r="IE1925" s="73"/>
      <c r="IF1925" s="73"/>
      <c r="IG1925" s="73"/>
      <c r="IH1925" s="73"/>
      <c r="II1925" s="73"/>
      <c r="IJ1925" s="73"/>
      <c r="IK1925" s="73"/>
      <c r="IL1925" s="73"/>
      <c r="IM1925" s="73"/>
      <c r="IN1925" s="73"/>
      <c r="IO1925" s="73"/>
      <c r="IP1925" s="73"/>
      <c r="IQ1925" s="73"/>
      <c r="IR1925" s="73"/>
      <c r="IS1925" s="73"/>
      <c r="IT1925" s="73"/>
      <c r="IU1925" s="73"/>
      <c r="IV1925" s="73"/>
      <c r="IW1925" s="73"/>
      <c r="IX1925" s="73"/>
      <c r="IY1925" s="73"/>
      <c r="IZ1925" s="73"/>
      <c r="JA1925" s="73"/>
      <c r="JB1925" s="73"/>
      <c r="JC1925" s="73"/>
    </row>
    <row r="1926" spans="2:263" s="72" customFormat="1">
      <c r="B1926" s="73"/>
      <c r="C1926" s="73"/>
      <c r="D1926" s="73"/>
      <c r="E1926" s="73"/>
      <c r="F1926" s="73"/>
      <c r="G1926" s="73"/>
      <c r="H1926" s="73"/>
      <c r="I1926" s="73"/>
      <c r="J1926" s="73"/>
      <c r="K1926" s="73"/>
      <c r="L1926" s="73"/>
      <c r="M1926" s="73"/>
      <c r="N1926" s="73"/>
      <c r="O1926" s="73"/>
      <c r="P1926" s="73"/>
      <c r="Q1926" s="73"/>
      <c r="R1926" s="73"/>
      <c r="S1926" s="73"/>
      <c r="T1926" s="73"/>
      <c r="U1926" s="73"/>
      <c r="V1926" s="73"/>
      <c r="W1926" s="73"/>
      <c r="GL1926" s="73"/>
      <c r="GM1926" s="73"/>
      <c r="GN1926" s="73"/>
      <c r="GO1926" s="73"/>
      <c r="GP1926" s="73"/>
      <c r="GQ1926" s="73"/>
      <c r="GR1926" s="73"/>
      <c r="GS1926" s="73"/>
      <c r="GT1926" s="73"/>
      <c r="GU1926" s="73"/>
      <c r="GV1926" s="73"/>
      <c r="GW1926" s="73"/>
      <c r="GX1926" s="73"/>
      <c r="GY1926" s="73"/>
      <c r="GZ1926" s="73"/>
      <c r="HA1926" s="73"/>
      <c r="HB1926" s="73"/>
      <c r="HC1926" s="73"/>
      <c r="HD1926" s="73"/>
      <c r="HE1926" s="73"/>
      <c r="HF1926" s="73"/>
      <c r="HG1926" s="73"/>
      <c r="HH1926" s="73"/>
      <c r="HI1926" s="73"/>
      <c r="HJ1926" s="73"/>
      <c r="HK1926" s="73"/>
      <c r="HL1926" s="73"/>
      <c r="HM1926" s="73"/>
      <c r="HN1926" s="73"/>
      <c r="HO1926" s="73"/>
      <c r="HP1926" s="73"/>
      <c r="HQ1926" s="73"/>
      <c r="HR1926" s="73"/>
      <c r="HS1926" s="73"/>
      <c r="HT1926" s="73"/>
      <c r="HU1926" s="73"/>
      <c r="HV1926" s="73"/>
      <c r="HW1926" s="73"/>
      <c r="HX1926" s="73"/>
      <c r="HY1926" s="73"/>
      <c r="HZ1926" s="73"/>
      <c r="IA1926" s="73"/>
      <c r="IB1926" s="73"/>
      <c r="IC1926" s="73"/>
      <c r="ID1926" s="73"/>
      <c r="IE1926" s="73"/>
      <c r="IF1926" s="73"/>
      <c r="IG1926" s="73"/>
      <c r="IH1926" s="73"/>
      <c r="II1926" s="73"/>
      <c r="IJ1926" s="73"/>
      <c r="IK1926" s="73"/>
      <c r="IL1926" s="73"/>
      <c r="IM1926" s="73"/>
      <c r="IN1926" s="73"/>
      <c r="IO1926" s="73"/>
      <c r="IP1926" s="73"/>
      <c r="IQ1926" s="73"/>
      <c r="IR1926" s="73"/>
      <c r="IS1926" s="73"/>
      <c r="IT1926" s="73"/>
      <c r="IU1926" s="73"/>
      <c r="IV1926" s="73"/>
      <c r="IW1926" s="73"/>
      <c r="IX1926" s="73"/>
      <c r="IY1926" s="73"/>
      <c r="IZ1926" s="73"/>
      <c r="JA1926" s="73"/>
      <c r="JB1926" s="73"/>
      <c r="JC1926" s="73"/>
    </row>
    <row r="1927" spans="2:263" s="72" customFormat="1">
      <c r="B1927" s="73"/>
      <c r="C1927" s="73"/>
      <c r="D1927" s="73"/>
      <c r="E1927" s="73"/>
      <c r="F1927" s="73"/>
      <c r="G1927" s="73"/>
      <c r="H1927" s="73"/>
      <c r="I1927" s="73"/>
      <c r="J1927" s="73"/>
      <c r="K1927" s="73"/>
      <c r="L1927" s="73"/>
      <c r="M1927" s="73"/>
      <c r="N1927" s="73"/>
      <c r="O1927" s="73"/>
      <c r="P1927" s="73"/>
      <c r="Q1927" s="73"/>
      <c r="R1927" s="73"/>
      <c r="S1927" s="73"/>
      <c r="T1927" s="73"/>
      <c r="U1927" s="73"/>
      <c r="V1927" s="73"/>
      <c r="W1927" s="73"/>
      <c r="GL1927" s="73"/>
      <c r="GM1927" s="73"/>
      <c r="GN1927" s="73"/>
      <c r="GO1927" s="73"/>
      <c r="GP1927" s="73"/>
      <c r="GQ1927" s="73"/>
      <c r="GR1927" s="73"/>
      <c r="GS1927" s="73"/>
      <c r="GT1927" s="73"/>
      <c r="GU1927" s="73"/>
      <c r="GV1927" s="73"/>
      <c r="GW1927" s="73"/>
      <c r="GX1927" s="73"/>
      <c r="GY1927" s="73"/>
      <c r="GZ1927" s="73"/>
      <c r="HA1927" s="73"/>
      <c r="HB1927" s="73"/>
      <c r="HC1927" s="73"/>
      <c r="HD1927" s="73"/>
      <c r="HE1927" s="73"/>
      <c r="HF1927" s="73"/>
      <c r="HG1927" s="73"/>
      <c r="HH1927" s="73"/>
      <c r="HI1927" s="73"/>
      <c r="HJ1927" s="73"/>
      <c r="HK1927" s="73"/>
      <c r="HL1927" s="73"/>
      <c r="HM1927" s="73"/>
      <c r="HN1927" s="73"/>
      <c r="HO1927" s="73"/>
      <c r="HP1927" s="73"/>
      <c r="HQ1927" s="73"/>
      <c r="HR1927" s="73"/>
      <c r="HS1927" s="73"/>
      <c r="HT1927" s="73"/>
      <c r="HU1927" s="73"/>
      <c r="HV1927" s="73"/>
      <c r="HW1927" s="73"/>
      <c r="HX1927" s="73"/>
      <c r="HY1927" s="73"/>
      <c r="HZ1927" s="73"/>
      <c r="IA1927" s="73"/>
      <c r="IB1927" s="73"/>
      <c r="IC1927" s="73"/>
      <c r="ID1927" s="73"/>
      <c r="IE1927" s="73"/>
      <c r="IF1927" s="73"/>
      <c r="IG1927" s="73"/>
      <c r="IH1927" s="73"/>
      <c r="II1927" s="73"/>
      <c r="IJ1927" s="73"/>
      <c r="IK1927" s="73"/>
      <c r="IL1927" s="73"/>
      <c r="IM1927" s="73"/>
      <c r="IN1927" s="73"/>
      <c r="IO1927" s="73"/>
      <c r="IP1927" s="73"/>
      <c r="IQ1927" s="73"/>
      <c r="IR1927" s="73"/>
      <c r="IS1927" s="73"/>
      <c r="IT1927" s="73"/>
      <c r="IU1927" s="73"/>
      <c r="IV1927" s="73"/>
      <c r="IW1927" s="73"/>
      <c r="IX1927" s="73"/>
      <c r="IY1927" s="73"/>
      <c r="IZ1927" s="73"/>
      <c r="JA1927" s="73"/>
      <c r="JB1927" s="73"/>
      <c r="JC1927" s="73"/>
    </row>
    <row r="1928" spans="2:263" s="72" customFormat="1">
      <c r="B1928" s="73"/>
      <c r="C1928" s="73"/>
      <c r="D1928" s="73"/>
      <c r="E1928" s="73"/>
      <c r="F1928" s="73"/>
      <c r="G1928" s="73"/>
      <c r="H1928" s="73"/>
      <c r="I1928" s="73"/>
      <c r="J1928" s="73"/>
      <c r="K1928" s="73"/>
      <c r="L1928" s="73"/>
      <c r="M1928" s="73"/>
      <c r="N1928" s="73"/>
      <c r="O1928" s="73"/>
      <c r="P1928" s="73"/>
      <c r="Q1928" s="73"/>
      <c r="R1928" s="73"/>
      <c r="S1928" s="73"/>
      <c r="T1928" s="73"/>
      <c r="U1928" s="73"/>
      <c r="V1928" s="73"/>
      <c r="W1928" s="73"/>
      <c r="GL1928" s="73"/>
      <c r="GM1928" s="73"/>
      <c r="GN1928" s="73"/>
      <c r="GO1928" s="73"/>
      <c r="GP1928" s="73"/>
      <c r="GQ1928" s="73"/>
      <c r="GR1928" s="73"/>
      <c r="GS1928" s="73"/>
      <c r="GT1928" s="73"/>
      <c r="GU1928" s="73"/>
      <c r="GV1928" s="73"/>
      <c r="GW1928" s="73"/>
      <c r="GX1928" s="73"/>
      <c r="GY1928" s="73"/>
      <c r="GZ1928" s="73"/>
      <c r="HA1928" s="73"/>
      <c r="HB1928" s="73"/>
      <c r="HC1928" s="73"/>
      <c r="HD1928" s="73"/>
      <c r="HE1928" s="73"/>
      <c r="HF1928" s="73"/>
      <c r="HG1928" s="73"/>
      <c r="HH1928" s="73"/>
      <c r="HI1928" s="73"/>
      <c r="HJ1928" s="73"/>
      <c r="HK1928" s="73"/>
      <c r="HL1928" s="73"/>
      <c r="HM1928" s="73"/>
      <c r="HN1928" s="73"/>
      <c r="HO1928" s="73"/>
      <c r="HP1928" s="73"/>
      <c r="HQ1928" s="73"/>
      <c r="HR1928" s="73"/>
      <c r="HS1928" s="73"/>
      <c r="HT1928" s="73"/>
      <c r="HU1928" s="73"/>
      <c r="HV1928" s="73"/>
      <c r="HW1928" s="73"/>
      <c r="HX1928" s="73"/>
      <c r="HY1928" s="73"/>
      <c r="HZ1928" s="73"/>
      <c r="IA1928" s="73"/>
      <c r="IB1928" s="73"/>
      <c r="IC1928" s="73"/>
      <c r="ID1928" s="73"/>
      <c r="IE1928" s="73"/>
      <c r="IF1928" s="73"/>
      <c r="IG1928" s="73"/>
      <c r="IH1928" s="73"/>
      <c r="II1928" s="73"/>
      <c r="IJ1928" s="73"/>
      <c r="IK1928" s="73"/>
      <c r="IL1928" s="73"/>
      <c r="IM1928" s="73"/>
      <c r="IN1928" s="73"/>
      <c r="IO1928" s="73"/>
      <c r="IP1928" s="73"/>
      <c r="IQ1928" s="73"/>
      <c r="IR1928" s="73"/>
      <c r="IS1928" s="73"/>
      <c r="IT1928" s="73"/>
      <c r="IU1928" s="73"/>
      <c r="IV1928" s="73"/>
      <c r="IW1928" s="73"/>
      <c r="IX1928" s="73"/>
      <c r="IY1928" s="73"/>
      <c r="IZ1928" s="73"/>
      <c r="JA1928" s="73"/>
      <c r="JB1928" s="73"/>
      <c r="JC1928" s="73"/>
    </row>
    <row r="1929" spans="2:263" s="72" customFormat="1">
      <c r="B1929" s="73"/>
      <c r="C1929" s="73"/>
      <c r="D1929" s="73"/>
      <c r="E1929" s="73"/>
      <c r="F1929" s="73"/>
      <c r="G1929" s="73"/>
      <c r="H1929" s="73"/>
      <c r="I1929" s="73"/>
      <c r="J1929" s="73"/>
      <c r="K1929" s="73"/>
      <c r="L1929" s="73"/>
      <c r="M1929" s="73"/>
      <c r="N1929" s="73"/>
      <c r="O1929" s="73"/>
      <c r="P1929" s="73"/>
      <c r="Q1929" s="73"/>
      <c r="R1929" s="73"/>
      <c r="S1929" s="73"/>
      <c r="T1929" s="73"/>
      <c r="U1929" s="73"/>
      <c r="V1929" s="73"/>
      <c r="W1929" s="73"/>
      <c r="GL1929" s="73"/>
      <c r="GM1929" s="73"/>
      <c r="GN1929" s="73"/>
      <c r="GO1929" s="73"/>
      <c r="GP1929" s="73"/>
      <c r="GQ1929" s="73"/>
      <c r="GR1929" s="73"/>
      <c r="GS1929" s="73"/>
      <c r="GT1929" s="73"/>
      <c r="GU1929" s="73"/>
      <c r="GV1929" s="73"/>
      <c r="GW1929" s="73"/>
      <c r="GX1929" s="73"/>
      <c r="GY1929" s="73"/>
      <c r="GZ1929" s="73"/>
      <c r="HA1929" s="73"/>
      <c r="HB1929" s="73"/>
      <c r="HC1929" s="73"/>
      <c r="HD1929" s="73"/>
      <c r="HE1929" s="73"/>
      <c r="HF1929" s="73"/>
      <c r="HG1929" s="73"/>
      <c r="HH1929" s="73"/>
      <c r="HI1929" s="73"/>
      <c r="HJ1929" s="73"/>
      <c r="HK1929" s="73"/>
      <c r="HL1929" s="73"/>
      <c r="HM1929" s="73"/>
      <c r="HN1929" s="73"/>
      <c r="HO1929" s="73"/>
      <c r="HP1929" s="73"/>
      <c r="HQ1929" s="73"/>
      <c r="HR1929" s="73"/>
      <c r="HS1929" s="73"/>
      <c r="HT1929" s="73"/>
      <c r="HU1929" s="73"/>
      <c r="HV1929" s="73"/>
      <c r="HW1929" s="73"/>
      <c r="HX1929" s="73"/>
      <c r="HY1929" s="73"/>
      <c r="HZ1929" s="73"/>
      <c r="IA1929" s="73"/>
      <c r="IB1929" s="73"/>
      <c r="IC1929" s="73"/>
      <c r="ID1929" s="73"/>
      <c r="IE1929" s="73"/>
      <c r="IF1929" s="73"/>
      <c r="IG1929" s="73"/>
      <c r="IH1929" s="73"/>
      <c r="II1929" s="73"/>
      <c r="IJ1929" s="73"/>
      <c r="IK1929" s="73"/>
      <c r="IL1929" s="73"/>
      <c r="IM1929" s="73"/>
      <c r="IN1929" s="73"/>
      <c r="IO1929" s="73"/>
      <c r="IP1929" s="73"/>
      <c r="IQ1929" s="73"/>
      <c r="IR1929" s="73"/>
      <c r="IS1929" s="73"/>
      <c r="IT1929" s="73"/>
      <c r="IU1929" s="73"/>
      <c r="IV1929" s="73"/>
      <c r="IW1929" s="73"/>
      <c r="IX1929" s="73"/>
      <c r="IY1929" s="73"/>
      <c r="IZ1929" s="73"/>
      <c r="JA1929" s="73"/>
      <c r="JB1929" s="73"/>
      <c r="JC1929" s="73"/>
    </row>
    <row r="1930" spans="2:263" s="72" customFormat="1">
      <c r="B1930" s="73"/>
      <c r="C1930" s="73"/>
      <c r="D1930" s="73"/>
      <c r="E1930" s="73"/>
      <c r="F1930" s="73"/>
      <c r="G1930" s="73"/>
      <c r="H1930" s="73"/>
      <c r="I1930" s="73"/>
      <c r="J1930" s="73"/>
      <c r="K1930" s="73"/>
      <c r="L1930" s="73"/>
      <c r="M1930" s="73"/>
      <c r="N1930" s="73"/>
      <c r="O1930" s="73"/>
      <c r="P1930" s="73"/>
      <c r="Q1930" s="73"/>
      <c r="R1930" s="73"/>
      <c r="S1930" s="73"/>
      <c r="T1930" s="73"/>
      <c r="U1930" s="73"/>
      <c r="V1930" s="73"/>
      <c r="W1930" s="73"/>
      <c r="GL1930" s="73"/>
      <c r="GM1930" s="73"/>
      <c r="GN1930" s="73"/>
      <c r="GO1930" s="73"/>
      <c r="GP1930" s="73"/>
      <c r="GQ1930" s="73"/>
      <c r="GR1930" s="73"/>
      <c r="GS1930" s="73"/>
      <c r="GT1930" s="73"/>
      <c r="GU1930" s="73"/>
      <c r="GV1930" s="73"/>
      <c r="GW1930" s="73"/>
      <c r="GX1930" s="73"/>
      <c r="GY1930" s="73"/>
      <c r="GZ1930" s="73"/>
      <c r="HA1930" s="73"/>
      <c r="HB1930" s="73"/>
      <c r="HC1930" s="73"/>
      <c r="HD1930" s="73"/>
      <c r="HE1930" s="73"/>
      <c r="HF1930" s="73"/>
      <c r="HG1930" s="73"/>
      <c r="HH1930" s="73"/>
      <c r="HI1930" s="73"/>
      <c r="HJ1930" s="73"/>
      <c r="HK1930" s="73"/>
      <c r="HL1930" s="73"/>
      <c r="HM1930" s="73"/>
      <c r="HN1930" s="73"/>
      <c r="HO1930" s="73"/>
      <c r="HP1930" s="73"/>
      <c r="HQ1930" s="73"/>
      <c r="HR1930" s="73"/>
      <c r="HS1930" s="73"/>
      <c r="HT1930" s="73"/>
      <c r="HU1930" s="73"/>
      <c r="HV1930" s="73"/>
      <c r="HW1930" s="73"/>
      <c r="HX1930" s="73"/>
      <c r="HY1930" s="73"/>
      <c r="HZ1930" s="73"/>
      <c r="IA1930" s="73"/>
      <c r="IB1930" s="73"/>
      <c r="IC1930" s="73"/>
      <c r="ID1930" s="73"/>
      <c r="IE1930" s="73"/>
      <c r="IF1930" s="73"/>
      <c r="IG1930" s="73"/>
      <c r="IH1930" s="73"/>
      <c r="II1930" s="73"/>
      <c r="IJ1930" s="73"/>
      <c r="IK1930" s="73"/>
      <c r="IL1930" s="73"/>
      <c r="IM1930" s="73"/>
      <c r="IN1930" s="73"/>
      <c r="IO1930" s="73"/>
      <c r="IP1930" s="73"/>
      <c r="IQ1930" s="73"/>
      <c r="IR1930" s="73"/>
      <c r="IS1930" s="73"/>
      <c r="IT1930" s="73"/>
      <c r="IU1930" s="73"/>
      <c r="IV1930" s="73"/>
      <c r="IW1930" s="73"/>
      <c r="IX1930" s="73"/>
      <c r="IY1930" s="73"/>
      <c r="IZ1930" s="73"/>
      <c r="JA1930" s="73"/>
      <c r="JB1930" s="73"/>
      <c r="JC1930" s="73"/>
    </row>
    <row r="1931" spans="2:263" s="72" customFormat="1">
      <c r="B1931" s="73"/>
      <c r="C1931" s="73"/>
      <c r="D1931" s="73"/>
      <c r="E1931" s="73"/>
      <c r="F1931" s="73"/>
      <c r="G1931" s="73"/>
      <c r="H1931" s="73"/>
      <c r="I1931" s="73"/>
      <c r="J1931" s="73"/>
      <c r="K1931" s="73"/>
      <c r="L1931" s="73"/>
      <c r="M1931" s="73"/>
      <c r="N1931" s="73"/>
      <c r="O1931" s="73"/>
      <c r="P1931" s="73"/>
      <c r="Q1931" s="73"/>
      <c r="R1931" s="73"/>
      <c r="S1931" s="73"/>
      <c r="T1931" s="73"/>
      <c r="U1931" s="73"/>
      <c r="V1931" s="73"/>
      <c r="W1931" s="73"/>
      <c r="GL1931" s="73"/>
      <c r="GM1931" s="73"/>
      <c r="GN1931" s="73"/>
      <c r="GO1931" s="73"/>
      <c r="GP1931" s="73"/>
      <c r="GQ1931" s="73"/>
      <c r="GR1931" s="73"/>
      <c r="GS1931" s="73"/>
      <c r="GT1931" s="73"/>
      <c r="GU1931" s="73"/>
      <c r="GV1931" s="73"/>
      <c r="GW1931" s="73"/>
      <c r="GX1931" s="73"/>
      <c r="GY1931" s="73"/>
      <c r="GZ1931" s="73"/>
      <c r="HA1931" s="73"/>
      <c r="HB1931" s="73"/>
      <c r="HC1931" s="73"/>
      <c r="HD1931" s="73"/>
      <c r="HE1931" s="73"/>
      <c r="HF1931" s="73"/>
      <c r="HG1931" s="73"/>
      <c r="HH1931" s="73"/>
      <c r="HI1931" s="73"/>
      <c r="HJ1931" s="73"/>
      <c r="HK1931" s="73"/>
      <c r="HL1931" s="73"/>
      <c r="HM1931" s="73"/>
      <c r="HN1931" s="73"/>
      <c r="HO1931" s="73"/>
      <c r="HP1931" s="73"/>
      <c r="HQ1931" s="73"/>
      <c r="HR1931" s="73"/>
      <c r="HS1931" s="73"/>
      <c r="HT1931" s="73"/>
      <c r="HU1931" s="73"/>
      <c r="HV1931" s="73"/>
      <c r="HW1931" s="73"/>
      <c r="HX1931" s="73"/>
      <c r="HY1931" s="73"/>
      <c r="HZ1931" s="73"/>
      <c r="IA1931" s="73"/>
      <c r="IB1931" s="73"/>
      <c r="IC1931" s="73"/>
      <c r="ID1931" s="73"/>
      <c r="IE1931" s="73"/>
      <c r="IF1931" s="73"/>
      <c r="IG1931" s="73"/>
      <c r="IH1931" s="73"/>
      <c r="II1931" s="73"/>
      <c r="IJ1931" s="73"/>
      <c r="IK1931" s="73"/>
      <c r="IL1931" s="73"/>
      <c r="IM1931" s="73"/>
      <c r="IN1931" s="73"/>
      <c r="IO1931" s="73"/>
      <c r="IP1931" s="73"/>
      <c r="IQ1931" s="73"/>
      <c r="IR1931" s="73"/>
      <c r="IS1931" s="73"/>
      <c r="IT1931" s="73"/>
      <c r="IU1931" s="73"/>
      <c r="IV1931" s="73"/>
      <c r="IW1931" s="73"/>
      <c r="IX1931" s="73"/>
      <c r="IY1931" s="73"/>
      <c r="IZ1931" s="73"/>
      <c r="JA1931" s="73"/>
      <c r="JB1931" s="73"/>
      <c r="JC1931" s="73"/>
    </row>
    <row r="1932" spans="2:263" s="72" customFormat="1">
      <c r="B1932" s="73"/>
      <c r="C1932" s="73"/>
      <c r="D1932" s="73"/>
      <c r="E1932" s="73"/>
      <c r="F1932" s="73"/>
      <c r="G1932" s="73"/>
      <c r="H1932" s="73"/>
      <c r="I1932" s="73"/>
      <c r="J1932" s="73"/>
      <c r="K1932" s="73"/>
      <c r="L1932" s="73"/>
      <c r="M1932" s="73"/>
      <c r="N1932" s="73"/>
      <c r="O1932" s="73"/>
      <c r="P1932" s="73"/>
      <c r="Q1932" s="73"/>
      <c r="R1932" s="73"/>
      <c r="S1932" s="73"/>
      <c r="T1932" s="73"/>
      <c r="U1932" s="73"/>
      <c r="V1932" s="73"/>
      <c r="W1932" s="73"/>
      <c r="GL1932" s="73"/>
      <c r="GM1932" s="73"/>
      <c r="GN1932" s="73"/>
      <c r="GO1932" s="73"/>
      <c r="GP1932" s="73"/>
      <c r="GQ1932" s="73"/>
      <c r="GR1932" s="73"/>
      <c r="GS1932" s="73"/>
      <c r="GT1932" s="73"/>
      <c r="GU1932" s="73"/>
      <c r="GV1932" s="73"/>
      <c r="GW1932" s="73"/>
      <c r="GX1932" s="73"/>
      <c r="GY1932" s="73"/>
      <c r="GZ1932" s="73"/>
      <c r="HA1932" s="73"/>
      <c r="HB1932" s="73"/>
      <c r="HC1932" s="73"/>
      <c r="HD1932" s="73"/>
      <c r="HE1932" s="73"/>
      <c r="HF1932" s="73"/>
      <c r="HG1932" s="73"/>
      <c r="HH1932" s="73"/>
      <c r="HI1932" s="73"/>
      <c r="HJ1932" s="73"/>
      <c r="HK1932" s="73"/>
      <c r="HL1932" s="73"/>
      <c r="HM1932" s="73"/>
      <c r="HN1932" s="73"/>
      <c r="HO1932" s="73"/>
      <c r="HP1932" s="73"/>
      <c r="HQ1932" s="73"/>
      <c r="HR1932" s="73"/>
      <c r="HS1932" s="73"/>
      <c r="HT1932" s="73"/>
      <c r="HU1932" s="73"/>
      <c r="HV1932" s="73"/>
      <c r="HW1932" s="73"/>
      <c r="HX1932" s="73"/>
      <c r="HY1932" s="73"/>
      <c r="HZ1932" s="73"/>
      <c r="IA1932" s="73"/>
      <c r="IB1932" s="73"/>
      <c r="IC1932" s="73"/>
      <c r="ID1932" s="73"/>
      <c r="IE1932" s="73"/>
      <c r="IF1932" s="73"/>
      <c r="IG1932" s="73"/>
      <c r="IH1932" s="73"/>
      <c r="II1932" s="73"/>
      <c r="IJ1932" s="73"/>
      <c r="IK1932" s="73"/>
      <c r="IL1932" s="73"/>
      <c r="IM1932" s="73"/>
      <c r="IN1932" s="73"/>
      <c r="IO1932" s="73"/>
      <c r="IP1932" s="73"/>
      <c r="IQ1932" s="73"/>
      <c r="IR1932" s="73"/>
      <c r="IS1932" s="73"/>
      <c r="IT1932" s="73"/>
      <c r="IU1932" s="73"/>
      <c r="IV1932" s="73"/>
      <c r="IW1932" s="73"/>
      <c r="IX1932" s="73"/>
      <c r="IY1932" s="73"/>
      <c r="IZ1932" s="73"/>
      <c r="JA1932" s="73"/>
      <c r="JB1932" s="73"/>
      <c r="JC1932" s="73"/>
    </row>
    <row r="1933" spans="2:263" s="72" customFormat="1">
      <c r="B1933" s="73"/>
      <c r="C1933" s="73"/>
      <c r="D1933" s="73"/>
      <c r="E1933" s="73"/>
      <c r="F1933" s="73"/>
      <c r="G1933" s="73"/>
      <c r="H1933" s="73"/>
      <c r="I1933" s="73"/>
      <c r="J1933" s="73"/>
      <c r="K1933" s="73"/>
      <c r="L1933" s="73"/>
      <c r="M1933" s="73"/>
      <c r="N1933" s="73"/>
      <c r="O1933" s="73"/>
      <c r="P1933" s="73"/>
      <c r="Q1933" s="73"/>
      <c r="R1933" s="73"/>
      <c r="S1933" s="73"/>
      <c r="T1933" s="73"/>
      <c r="U1933" s="73"/>
      <c r="V1933" s="73"/>
      <c r="W1933" s="73"/>
      <c r="GL1933" s="73"/>
      <c r="GM1933" s="73"/>
      <c r="GN1933" s="73"/>
      <c r="GO1933" s="73"/>
      <c r="GP1933" s="73"/>
      <c r="GQ1933" s="73"/>
      <c r="GR1933" s="73"/>
      <c r="GS1933" s="73"/>
      <c r="GT1933" s="73"/>
      <c r="GU1933" s="73"/>
      <c r="GV1933" s="73"/>
      <c r="GW1933" s="73"/>
      <c r="GX1933" s="73"/>
      <c r="GY1933" s="73"/>
      <c r="GZ1933" s="73"/>
      <c r="HA1933" s="73"/>
      <c r="HB1933" s="73"/>
      <c r="HC1933" s="73"/>
      <c r="HD1933" s="73"/>
      <c r="HE1933" s="73"/>
      <c r="HF1933" s="73"/>
      <c r="HG1933" s="73"/>
      <c r="HH1933" s="73"/>
      <c r="HI1933" s="73"/>
      <c r="HJ1933" s="73"/>
      <c r="HK1933" s="73"/>
      <c r="HL1933" s="73"/>
      <c r="HM1933" s="73"/>
      <c r="HN1933" s="73"/>
      <c r="HO1933" s="73"/>
      <c r="HP1933" s="73"/>
      <c r="HQ1933" s="73"/>
      <c r="HR1933" s="73"/>
      <c r="HS1933" s="73"/>
      <c r="HT1933" s="73"/>
      <c r="HU1933" s="73"/>
      <c r="HV1933" s="73"/>
      <c r="HW1933" s="73"/>
      <c r="HX1933" s="73"/>
      <c r="HY1933" s="73"/>
      <c r="HZ1933" s="73"/>
      <c r="IA1933" s="73"/>
      <c r="IB1933" s="73"/>
      <c r="IC1933" s="73"/>
      <c r="ID1933" s="73"/>
      <c r="IE1933" s="73"/>
      <c r="IF1933" s="73"/>
      <c r="IG1933" s="73"/>
      <c r="IH1933" s="73"/>
      <c r="II1933" s="73"/>
      <c r="IJ1933" s="73"/>
      <c r="IK1933" s="73"/>
      <c r="IL1933" s="73"/>
      <c r="IM1933" s="73"/>
      <c r="IN1933" s="73"/>
      <c r="IO1933" s="73"/>
      <c r="IP1933" s="73"/>
      <c r="IQ1933" s="73"/>
      <c r="IR1933" s="73"/>
      <c r="IS1933" s="73"/>
      <c r="IT1933" s="73"/>
      <c r="IU1933" s="73"/>
      <c r="IV1933" s="73"/>
      <c r="IW1933" s="73"/>
      <c r="IX1933" s="73"/>
      <c r="IY1933" s="73"/>
      <c r="IZ1933" s="73"/>
      <c r="JA1933" s="73"/>
      <c r="JB1933" s="73"/>
      <c r="JC1933" s="73"/>
    </row>
    <row r="1934" spans="2:263" s="72" customFormat="1">
      <c r="B1934" s="73"/>
      <c r="C1934" s="73"/>
      <c r="D1934" s="73"/>
      <c r="E1934" s="73"/>
      <c r="F1934" s="73"/>
      <c r="G1934" s="73"/>
      <c r="H1934" s="73"/>
      <c r="I1934" s="73"/>
      <c r="J1934" s="73"/>
      <c r="K1934" s="73"/>
      <c r="L1934" s="73"/>
      <c r="M1934" s="73"/>
      <c r="N1934" s="73"/>
      <c r="O1934" s="73"/>
      <c r="P1934" s="73"/>
      <c r="Q1934" s="73"/>
      <c r="R1934" s="73"/>
      <c r="S1934" s="73"/>
      <c r="T1934" s="73"/>
      <c r="U1934" s="73"/>
      <c r="V1934" s="73"/>
      <c r="W1934" s="73"/>
      <c r="GL1934" s="73"/>
      <c r="GM1934" s="73"/>
      <c r="GN1934" s="73"/>
      <c r="GO1934" s="73"/>
      <c r="GP1934" s="73"/>
      <c r="GQ1934" s="73"/>
      <c r="GR1934" s="73"/>
      <c r="GS1934" s="73"/>
      <c r="GT1934" s="73"/>
      <c r="GU1934" s="73"/>
      <c r="GV1934" s="73"/>
      <c r="GW1934" s="73"/>
      <c r="GX1934" s="73"/>
      <c r="GY1934" s="73"/>
      <c r="GZ1934" s="73"/>
      <c r="HA1934" s="73"/>
      <c r="HB1934" s="73"/>
      <c r="HC1934" s="73"/>
      <c r="HD1934" s="73"/>
      <c r="HE1934" s="73"/>
      <c r="HF1934" s="73"/>
      <c r="HG1934" s="73"/>
      <c r="HH1934" s="73"/>
      <c r="HI1934" s="73"/>
      <c r="HJ1934" s="73"/>
      <c r="HK1934" s="73"/>
      <c r="HL1934" s="73"/>
      <c r="HM1934" s="73"/>
      <c r="HN1934" s="73"/>
      <c r="HO1934" s="73"/>
      <c r="HP1934" s="73"/>
      <c r="HQ1934" s="73"/>
      <c r="HR1934" s="73"/>
      <c r="HS1934" s="73"/>
      <c r="HT1934" s="73"/>
      <c r="HU1934" s="73"/>
      <c r="HV1934" s="73"/>
      <c r="HW1934" s="73"/>
      <c r="HX1934" s="73"/>
      <c r="HY1934" s="73"/>
      <c r="HZ1934" s="73"/>
      <c r="IA1934" s="73"/>
      <c r="IB1934" s="73"/>
      <c r="IC1934" s="73"/>
      <c r="ID1934" s="73"/>
      <c r="IE1934" s="73"/>
      <c r="IF1934" s="73"/>
      <c r="IG1934" s="73"/>
      <c r="IH1934" s="73"/>
      <c r="II1934" s="73"/>
      <c r="IJ1934" s="73"/>
      <c r="IK1934" s="73"/>
      <c r="IL1934" s="73"/>
      <c r="IM1934" s="73"/>
      <c r="IN1934" s="73"/>
      <c r="IO1934" s="73"/>
      <c r="IP1934" s="73"/>
      <c r="IQ1934" s="73"/>
      <c r="IR1934" s="73"/>
      <c r="IS1934" s="73"/>
      <c r="IT1934" s="73"/>
      <c r="IU1934" s="73"/>
      <c r="IV1934" s="73"/>
      <c r="IW1934" s="73"/>
      <c r="IX1934" s="73"/>
      <c r="IY1934" s="73"/>
      <c r="IZ1934" s="73"/>
      <c r="JA1934" s="73"/>
      <c r="JB1934" s="73"/>
      <c r="JC1934" s="73"/>
    </row>
    <row r="1935" spans="2:263" s="72" customFormat="1">
      <c r="B1935" s="73"/>
      <c r="C1935" s="73"/>
      <c r="D1935" s="73"/>
      <c r="E1935" s="73"/>
      <c r="F1935" s="73"/>
      <c r="G1935" s="73"/>
      <c r="H1935" s="73"/>
      <c r="I1935" s="73"/>
      <c r="J1935" s="73"/>
      <c r="K1935" s="73"/>
      <c r="L1935" s="73"/>
      <c r="M1935" s="73"/>
      <c r="N1935" s="73"/>
      <c r="O1935" s="73"/>
      <c r="P1935" s="73"/>
      <c r="Q1935" s="73"/>
      <c r="R1935" s="73"/>
      <c r="S1935" s="73"/>
      <c r="T1935" s="73"/>
      <c r="U1935" s="73"/>
      <c r="V1935" s="73"/>
      <c r="W1935" s="73"/>
      <c r="GL1935" s="73"/>
      <c r="GM1935" s="73"/>
      <c r="GN1935" s="73"/>
      <c r="GO1935" s="73"/>
      <c r="GP1935" s="73"/>
      <c r="GQ1935" s="73"/>
      <c r="GR1935" s="73"/>
      <c r="GS1935" s="73"/>
      <c r="GT1935" s="73"/>
      <c r="GU1935" s="73"/>
      <c r="GV1935" s="73"/>
      <c r="GW1935" s="73"/>
      <c r="GX1935" s="73"/>
      <c r="GY1935" s="73"/>
      <c r="GZ1935" s="73"/>
      <c r="HA1935" s="73"/>
      <c r="HB1935" s="73"/>
      <c r="HC1935" s="73"/>
      <c r="HD1935" s="73"/>
      <c r="HE1935" s="73"/>
      <c r="HF1935" s="73"/>
      <c r="HG1935" s="73"/>
      <c r="HH1935" s="73"/>
      <c r="HI1935" s="73"/>
      <c r="HJ1935" s="73"/>
      <c r="HK1935" s="73"/>
      <c r="HL1935" s="73"/>
      <c r="HM1935" s="73"/>
      <c r="HN1935" s="73"/>
      <c r="HO1935" s="73"/>
      <c r="HP1935" s="73"/>
      <c r="HQ1935" s="73"/>
      <c r="HR1935" s="73"/>
      <c r="HS1935" s="73"/>
      <c r="HT1935" s="73"/>
      <c r="HU1935" s="73"/>
      <c r="HV1935" s="73"/>
      <c r="HW1935" s="73"/>
      <c r="HX1935" s="73"/>
      <c r="HY1935" s="73"/>
      <c r="HZ1935" s="73"/>
      <c r="IA1935" s="73"/>
      <c r="IB1935" s="73"/>
      <c r="IC1935" s="73"/>
      <c r="ID1935" s="73"/>
      <c r="IE1935" s="73"/>
      <c r="IF1935" s="73"/>
      <c r="IG1935" s="73"/>
      <c r="IH1935" s="73"/>
      <c r="II1935" s="73"/>
      <c r="IJ1935" s="73"/>
      <c r="IK1935" s="73"/>
      <c r="IL1935" s="73"/>
      <c r="IM1935" s="73"/>
      <c r="IN1935" s="73"/>
      <c r="IO1935" s="73"/>
      <c r="IP1935" s="73"/>
      <c r="IQ1935" s="73"/>
      <c r="IR1935" s="73"/>
      <c r="IS1935" s="73"/>
      <c r="IT1935" s="73"/>
      <c r="IU1935" s="73"/>
      <c r="IV1935" s="73"/>
      <c r="IW1935" s="73"/>
      <c r="IX1935" s="73"/>
      <c r="IY1935" s="73"/>
      <c r="IZ1935" s="73"/>
      <c r="JA1935" s="73"/>
      <c r="JB1935" s="73"/>
      <c r="JC1935" s="73"/>
    </row>
    <row r="1936" spans="2:263" s="72" customFormat="1">
      <c r="B1936" s="73"/>
      <c r="C1936" s="73"/>
      <c r="D1936" s="73"/>
      <c r="E1936" s="73"/>
      <c r="F1936" s="73"/>
      <c r="G1936" s="73"/>
      <c r="H1936" s="73"/>
      <c r="I1936" s="73"/>
      <c r="J1936" s="73"/>
      <c r="K1936" s="73"/>
      <c r="L1936" s="73"/>
      <c r="M1936" s="73"/>
      <c r="N1936" s="73"/>
      <c r="O1936" s="73"/>
      <c r="P1936" s="73"/>
      <c r="Q1936" s="73"/>
      <c r="R1936" s="73"/>
      <c r="S1936" s="73"/>
      <c r="T1936" s="73"/>
      <c r="U1936" s="73"/>
      <c r="V1936" s="73"/>
      <c r="W1936" s="73"/>
      <c r="GL1936" s="73"/>
      <c r="GM1936" s="73"/>
      <c r="GN1936" s="73"/>
      <c r="GO1936" s="73"/>
      <c r="GP1936" s="73"/>
      <c r="GQ1936" s="73"/>
      <c r="GR1936" s="73"/>
      <c r="GS1936" s="73"/>
      <c r="GT1936" s="73"/>
      <c r="GU1936" s="73"/>
      <c r="GV1936" s="73"/>
      <c r="GW1936" s="73"/>
      <c r="GX1936" s="73"/>
      <c r="GY1936" s="73"/>
      <c r="GZ1936" s="73"/>
      <c r="HA1936" s="73"/>
      <c r="HB1936" s="73"/>
      <c r="HC1936" s="73"/>
      <c r="HD1936" s="73"/>
      <c r="HE1936" s="73"/>
      <c r="HF1936" s="73"/>
      <c r="HG1936" s="73"/>
      <c r="HH1936" s="73"/>
      <c r="HI1936" s="73"/>
      <c r="HJ1936" s="73"/>
      <c r="HK1936" s="73"/>
      <c r="HL1936" s="73"/>
      <c r="HM1936" s="73"/>
      <c r="HN1936" s="73"/>
      <c r="HO1936" s="73"/>
      <c r="HP1936" s="73"/>
      <c r="HQ1936" s="73"/>
      <c r="HR1936" s="73"/>
      <c r="HS1936" s="73"/>
      <c r="HT1936" s="73"/>
      <c r="HU1936" s="73"/>
      <c r="HV1936" s="73"/>
      <c r="HW1936" s="73"/>
      <c r="HX1936" s="73"/>
      <c r="HY1936" s="73"/>
      <c r="HZ1936" s="73"/>
      <c r="IA1936" s="73"/>
      <c r="IB1936" s="73"/>
      <c r="IC1936" s="73"/>
      <c r="ID1936" s="73"/>
      <c r="IE1936" s="73"/>
      <c r="IF1936" s="73"/>
      <c r="IG1936" s="73"/>
      <c r="IH1936" s="73"/>
      <c r="II1936" s="73"/>
      <c r="IJ1936" s="73"/>
      <c r="IK1936" s="73"/>
      <c r="IL1936" s="73"/>
      <c r="IM1936" s="73"/>
      <c r="IN1936" s="73"/>
      <c r="IO1936" s="73"/>
      <c r="IP1936" s="73"/>
      <c r="IQ1936" s="73"/>
      <c r="IR1936" s="73"/>
      <c r="IS1936" s="73"/>
      <c r="IT1936" s="73"/>
      <c r="IU1936" s="73"/>
      <c r="IV1936" s="73"/>
      <c r="IW1936" s="73"/>
      <c r="IX1936" s="73"/>
      <c r="IY1936" s="73"/>
      <c r="IZ1936" s="73"/>
      <c r="JA1936" s="73"/>
      <c r="JB1936" s="73"/>
      <c r="JC1936" s="73"/>
    </row>
    <row r="1937" spans="2:263" s="72" customFormat="1">
      <c r="B1937" s="73"/>
      <c r="C1937" s="73"/>
      <c r="D1937" s="73"/>
      <c r="E1937" s="73"/>
      <c r="F1937" s="73"/>
      <c r="G1937" s="73"/>
      <c r="H1937" s="73"/>
      <c r="I1937" s="73"/>
      <c r="J1937" s="73"/>
      <c r="K1937" s="73"/>
      <c r="L1937" s="73"/>
      <c r="M1937" s="73"/>
      <c r="N1937" s="73"/>
      <c r="O1937" s="73"/>
      <c r="P1937" s="73"/>
      <c r="Q1937" s="73"/>
      <c r="R1937" s="73"/>
      <c r="S1937" s="73"/>
      <c r="T1937" s="73"/>
      <c r="U1937" s="73"/>
      <c r="V1937" s="73"/>
      <c r="W1937" s="73"/>
      <c r="GL1937" s="73"/>
      <c r="GM1937" s="73"/>
      <c r="GN1937" s="73"/>
      <c r="GO1937" s="73"/>
      <c r="GP1937" s="73"/>
      <c r="GQ1937" s="73"/>
      <c r="GR1937" s="73"/>
      <c r="GS1937" s="73"/>
      <c r="GT1937" s="73"/>
      <c r="GU1937" s="73"/>
      <c r="GV1937" s="73"/>
      <c r="GW1937" s="73"/>
      <c r="GX1937" s="73"/>
      <c r="GY1937" s="73"/>
      <c r="GZ1937" s="73"/>
      <c r="HA1937" s="73"/>
      <c r="HB1937" s="73"/>
      <c r="HC1937" s="73"/>
      <c r="HD1937" s="73"/>
      <c r="HE1937" s="73"/>
      <c r="HF1937" s="73"/>
      <c r="HG1937" s="73"/>
      <c r="HH1937" s="73"/>
      <c r="HI1937" s="73"/>
      <c r="HJ1937" s="73"/>
      <c r="HK1937" s="73"/>
      <c r="HL1937" s="73"/>
      <c r="HM1937" s="73"/>
      <c r="HN1937" s="73"/>
      <c r="HO1937" s="73"/>
      <c r="HP1937" s="73"/>
      <c r="HQ1937" s="73"/>
      <c r="HR1937" s="73"/>
      <c r="HS1937" s="73"/>
      <c r="HT1937" s="73"/>
      <c r="HU1937" s="73"/>
      <c r="HV1937" s="73"/>
      <c r="HW1937" s="73"/>
      <c r="HX1937" s="73"/>
      <c r="HY1937" s="73"/>
      <c r="HZ1937" s="73"/>
      <c r="IA1937" s="73"/>
      <c r="IB1937" s="73"/>
      <c r="IC1937" s="73"/>
      <c r="ID1937" s="73"/>
      <c r="IE1937" s="73"/>
      <c r="IF1937" s="73"/>
      <c r="IG1937" s="73"/>
      <c r="IH1937" s="73"/>
      <c r="II1937" s="73"/>
      <c r="IJ1937" s="73"/>
      <c r="IK1937" s="73"/>
      <c r="IL1937" s="73"/>
      <c r="IM1937" s="73"/>
      <c r="IN1937" s="73"/>
      <c r="IO1937" s="73"/>
      <c r="IP1937" s="73"/>
      <c r="IQ1937" s="73"/>
      <c r="IR1937" s="73"/>
      <c r="IS1937" s="73"/>
      <c r="IT1937" s="73"/>
      <c r="IU1937" s="73"/>
      <c r="IV1937" s="73"/>
      <c r="IW1937" s="73"/>
      <c r="IX1937" s="73"/>
      <c r="IY1937" s="73"/>
      <c r="IZ1937" s="73"/>
      <c r="JA1937" s="73"/>
      <c r="JB1937" s="73"/>
      <c r="JC1937" s="73"/>
    </row>
    <row r="1938" spans="2:263" s="72" customFormat="1">
      <c r="B1938" s="73"/>
      <c r="C1938" s="73"/>
      <c r="D1938" s="73"/>
      <c r="E1938" s="73"/>
      <c r="F1938" s="73"/>
      <c r="G1938" s="73"/>
      <c r="H1938" s="73"/>
      <c r="I1938" s="73"/>
      <c r="J1938" s="73"/>
      <c r="K1938" s="73"/>
      <c r="L1938" s="73"/>
      <c r="M1938" s="73"/>
      <c r="N1938" s="73"/>
      <c r="O1938" s="73"/>
      <c r="P1938" s="73"/>
      <c r="Q1938" s="73"/>
      <c r="R1938" s="73"/>
      <c r="S1938" s="73"/>
      <c r="T1938" s="73"/>
      <c r="U1938" s="73"/>
      <c r="V1938" s="73"/>
      <c r="W1938" s="73"/>
      <c r="GL1938" s="73"/>
      <c r="GM1938" s="73"/>
      <c r="GN1938" s="73"/>
      <c r="GO1938" s="73"/>
      <c r="GP1938" s="73"/>
      <c r="GQ1938" s="73"/>
      <c r="GR1938" s="73"/>
      <c r="GS1938" s="73"/>
      <c r="GT1938" s="73"/>
      <c r="GU1938" s="73"/>
      <c r="GV1938" s="73"/>
      <c r="GW1938" s="73"/>
      <c r="GX1938" s="73"/>
      <c r="GY1938" s="73"/>
      <c r="GZ1938" s="73"/>
      <c r="HA1938" s="73"/>
      <c r="HB1938" s="73"/>
      <c r="HC1938" s="73"/>
      <c r="HD1938" s="73"/>
      <c r="HE1938" s="73"/>
      <c r="HF1938" s="73"/>
      <c r="HG1938" s="73"/>
      <c r="HH1938" s="73"/>
      <c r="HI1938" s="73"/>
      <c r="HJ1938" s="73"/>
      <c r="HK1938" s="73"/>
      <c r="HL1938" s="73"/>
      <c r="HM1938" s="73"/>
      <c r="HN1938" s="73"/>
      <c r="HO1938" s="73"/>
      <c r="HP1938" s="73"/>
      <c r="HQ1938" s="73"/>
      <c r="HR1938" s="73"/>
      <c r="HS1938" s="73"/>
      <c r="HT1938" s="73"/>
      <c r="HU1938" s="73"/>
      <c r="HV1938" s="73"/>
      <c r="HW1938" s="73"/>
      <c r="HX1938" s="73"/>
      <c r="HY1938" s="73"/>
      <c r="HZ1938" s="73"/>
      <c r="IA1938" s="73"/>
      <c r="IB1938" s="73"/>
      <c r="IC1938" s="73"/>
      <c r="ID1938" s="73"/>
      <c r="IE1938" s="73"/>
      <c r="IF1938" s="73"/>
      <c r="IG1938" s="73"/>
      <c r="IH1938" s="73"/>
      <c r="II1938" s="73"/>
      <c r="IJ1938" s="73"/>
      <c r="IK1938" s="73"/>
      <c r="IL1938" s="73"/>
      <c r="IM1938" s="73"/>
      <c r="IN1938" s="73"/>
      <c r="IO1938" s="73"/>
      <c r="IP1938" s="73"/>
      <c r="IQ1938" s="73"/>
      <c r="IR1938" s="73"/>
      <c r="IS1938" s="73"/>
      <c r="IT1938" s="73"/>
      <c r="IU1938" s="73"/>
      <c r="IV1938" s="73"/>
      <c r="IW1938" s="73"/>
      <c r="IX1938" s="73"/>
      <c r="IY1938" s="73"/>
      <c r="IZ1938" s="73"/>
      <c r="JA1938" s="73"/>
      <c r="JB1938" s="73"/>
      <c r="JC1938" s="73"/>
    </row>
    <row r="1939" spans="2:263" s="72" customFormat="1">
      <c r="B1939" s="73"/>
      <c r="C1939" s="73"/>
      <c r="D1939" s="73"/>
      <c r="E1939" s="73"/>
      <c r="F1939" s="73"/>
      <c r="G1939" s="73"/>
      <c r="H1939" s="73"/>
      <c r="I1939" s="73"/>
      <c r="J1939" s="73"/>
      <c r="K1939" s="73"/>
      <c r="L1939" s="73"/>
      <c r="M1939" s="73"/>
      <c r="N1939" s="73"/>
      <c r="O1939" s="73"/>
      <c r="P1939" s="73"/>
      <c r="Q1939" s="73"/>
      <c r="R1939" s="73"/>
      <c r="S1939" s="73"/>
      <c r="T1939" s="73"/>
      <c r="U1939" s="73"/>
      <c r="V1939" s="73"/>
      <c r="W1939" s="73"/>
      <c r="GL1939" s="73"/>
      <c r="GM1939" s="73"/>
      <c r="GN1939" s="73"/>
      <c r="GO1939" s="73"/>
      <c r="GP1939" s="73"/>
      <c r="GQ1939" s="73"/>
      <c r="GR1939" s="73"/>
      <c r="GS1939" s="73"/>
      <c r="GT1939" s="73"/>
      <c r="GU1939" s="73"/>
      <c r="GV1939" s="73"/>
      <c r="GW1939" s="73"/>
      <c r="GX1939" s="73"/>
      <c r="GY1939" s="73"/>
      <c r="GZ1939" s="73"/>
      <c r="HA1939" s="73"/>
      <c r="HB1939" s="73"/>
      <c r="HC1939" s="73"/>
      <c r="HD1939" s="73"/>
      <c r="HE1939" s="73"/>
      <c r="HF1939" s="73"/>
      <c r="HG1939" s="73"/>
      <c r="HH1939" s="73"/>
      <c r="HI1939" s="73"/>
      <c r="HJ1939" s="73"/>
      <c r="HK1939" s="73"/>
      <c r="HL1939" s="73"/>
      <c r="HM1939" s="73"/>
      <c r="HN1939" s="73"/>
      <c r="HO1939" s="73"/>
      <c r="HP1939" s="73"/>
      <c r="HQ1939" s="73"/>
      <c r="HR1939" s="73"/>
      <c r="HS1939" s="73"/>
      <c r="HT1939" s="73"/>
      <c r="HU1939" s="73"/>
      <c r="HV1939" s="73"/>
      <c r="HW1939" s="73"/>
      <c r="HX1939" s="73"/>
      <c r="HY1939" s="73"/>
      <c r="HZ1939" s="73"/>
      <c r="IA1939" s="73"/>
      <c r="IB1939" s="73"/>
      <c r="IC1939" s="73"/>
      <c r="ID1939" s="73"/>
      <c r="IE1939" s="73"/>
      <c r="IF1939" s="73"/>
      <c r="IG1939" s="73"/>
      <c r="IH1939" s="73"/>
      <c r="II1939" s="73"/>
      <c r="IJ1939" s="73"/>
      <c r="IK1939" s="73"/>
      <c r="IL1939" s="73"/>
      <c r="IM1939" s="73"/>
      <c r="IN1939" s="73"/>
      <c r="IO1939" s="73"/>
      <c r="IP1939" s="73"/>
      <c r="IQ1939" s="73"/>
      <c r="IR1939" s="73"/>
      <c r="IS1939" s="73"/>
      <c r="IT1939" s="73"/>
      <c r="IU1939" s="73"/>
      <c r="IV1939" s="73"/>
      <c r="IW1939" s="73"/>
      <c r="IX1939" s="73"/>
      <c r="IY1939" s="73"/>
      <c r="IZ1939" s="73"/>
      <c r="JA1939" s="73"/>
      <c r="JB1939" s="73"/>
      <c r="JC1939" s="73"/>
    </row>
    <row r="1940" spans="2:263" s="72" customFormat="1">
      <c r="B1940" s="73"/>
      <c r="C1940" s="73"/>
      <c r="D1940" s="73"/>
      <c r="E1940" s="73"/>
      <c r="F1940" s="73"/>
      <c r="G1940" s="73"/>
      <c r="H1940" s="73"/>
      <c r="I1940" s="73"/>
      <c r="J1940" s="73"/>
      <c r="K1940" s="73"/>
      <c r="L1940" s="73"/>
      <c r="M1940" s="73"/>
      <c r="N1940" s="73"/>
      <c r="O1940" s="73"/>
      <c r="P1940" s="73"/>
      <c r="Q1940" s="73"/>
      <c r="R1940" s="73"/>
      <c r="S1940" s="73"/>
      <c r="T1940" s="73"/>
      <c r="U1940" s="73"/>
      <c r="V1940" s="73"/>
      <c r="W1940" s="73"/>
      <c r="GL1940" s="73"/>
      <c r="GM1940" s="73"/>
      <c r="GN1940" s="73"/>
      <c r="GO1940" s="73"/>
      <c r="GP1940" s="73"/>
      <c r="GQ1940" s="73"/>
      <c r="GR1940" s="73"/>
      <c r="GS1940" s="73"/>
      <c r="GT1940" s="73"/>
      <c r="GU1940" s="73"/>
      <c r="GV1940" s="73"/>
      <c r="GW1940" s="73"/>
      <c r="GX1940" s="73"/>
      <c r="GY1940" s="73"/>
      <c r="GZ1940" s="73"/>
      <c r="HA1940" s="73"/>
      <c r="HB1940" s="73"/>
      <c r="HC1940" s="73"/>
      <c r="HD1940" s="73"/>
      <c r="HE1940" s="73"/>
      <c r="HF1940" s="73"/>
      <c r="HG1940" s="73"/>
      <c r="HH1940" s="73"/>
      <c r="HI1940" s="73"/>
      <c r="HJ1940" s="73"/>
      <c r="HK1940" s="73"/>
      <c r="HL1940" s="73"/>
      <c r="HM1940" s="73"/>
      <c r="HN1940" s="73"/>
      <c r="HO1940" s="73"/>
      <c r="HP1940" s="73"/>
      <c r="HQ1940" s="73"/>
      <c r="HR1940" s="73"/>
      <c r="HS1940" s="73"/>
      <c r="HT1940" s="73"/>
      <c r="HU1940" s="73"/>
      <c r="HV1940" s="73"/>
      <c r="HW1940" s="73"/>
      <c r="HX1940" s="73"/>
      <c r="HY1940" s="73"/>
      <c r="HZ1940" s="73"/>
      <c r="IA1940" s="73"/>
      <c r="IB1940" s="73"/>
      <c r="IC1940" s="73"/>
      <c r="ID1940" s="73"/>
      <c r="IE1940" s="73"/>
      <c r="IF1940" s="73"/>
      <c r="IG1940" s="73"/>
      <c r="IH1940" s="73"/>
      <c r="II1940" s="73"/>
      <c r="IJ1940" s="73"/>
      <c r="IK1940" s="73"/>
      <c r="IL1940" s="73"/>
      <c r="IM1940" s="73"/>
      <c r="IN1940" s="73"/>
      <c r="IO1940" s="73"/>
      <c r="IP1940" s="73"/>
      <c r="IQ1940" s="73"/>
      <c r="IR1940" s="73"/>
      <c r="IS1940" s="73"/>
      <c r="IT1940" s="73"/>
      <c r="IU1940" s="73"/>
      <c r="IV1940" s="73"/>
      <c r="IW1940" s="73"/>
      <c r="IX1940" s="73"/>
      <c r="IY1940" s="73"/>
      <c r="IZ1940" s="73"/>
      <c r="JA1940" s="73"/>
      <c r="JB1940" s="73"/>
      <c r="JC1940" s="73"/>
    </row>
    <row r="1941" spans="2:263" s="72" customFormat="1">
      <c r="B1941" s="73"/>
      <c r="C1941" s="73"/>
      <c r="D1941" s="73"/>
      <c r="E1941" s="73"/>
      <c r="F1941" s="73"/>
      <c r="G1941" s="73"/>
      <c r="H1941" s="73"/>
      <c r="I1941" s="73"/>
      <c r="J1941" s="73"/>
      <c r="K1941" s="73"/>
      <c r="L1941" s="73"/>
      <c r="M1941" s="73"/>
      <c r="N1941" s="73"/>
      <c r="O1941" s="73"/>
      <c r="P1941" s="73"/>
      <c r="Q1941" s="73"/>
      <c r="R1941" s="73"/>
      <c r="S1941" s="73"/>
      <c r="T1941" s="73"/>
      <c r="U1941" s="73"/>
      <c r="V1941" s="73"/>
      <c r="W1941" s="73"/>
      <c r="GL1941" s="73"/>
      <c r="GM1941" s="73"/>
      <c r="GN1941" s="73"/>
      <c r="GO1941" s="73"/>
      <c r="GP1941" s="73"/>
      <c r="GQ1941" s="73"/>
      <c r="GR1941" s="73"/>
      <c r="GS1941" s="73"/>
      <c r="GT1941" s="73"/>
      <c r="GU1941" s="73"/>
      <c r="GV1941" s="73"/>
      <c r="GW1941" s="73"/>
      <c r="GX1941" s="73"/>
      <c r="GY1941" s="73"/>
      <c r="GZ1941" s="73"/>
      <c r="HA1941" s="73"/>
      <c r="HB1941" s="73"/>
      <c r="HC1941" s="73"/>
      <c r="HD1941" s="73"/>
      <c r="HE1941" s="73"/>
      <c r="HF1941" s="73"/>
      <c r="HG1941" s="73"/>
      <c r="HH1941" s="73"/>
      <c r="HI1941" s="73"/>
      <c r="HJ1941" s="73"/>
      <c r="HK1941" s="73"/>
      <c r="HL1941" s="73"/>
      <c r="HM1941" s="73"/>
      <c r="HN1941" s="73"/>
      <c r="HO1941" s="73"/>
      <c r="HP1941" s="73"/>
      <c r="HQ1941" s="73"/>
      <c r="HR1941" s="73"/>
      <c r="HS1941" s="73"/>
      <c r="HT1941" s="73"/>
      <c r="HU1941" s="73"/>
      <c r="HV1941" s="73"/>
      <c r="HW1941" s="73"/>
      <c r="HX1941" s="73"/>
      <c r="HY1941" s="73"/>
      <c r="HZ1941" s="73"/>
      <c r="IA1941" s="73"/>
      <c r="IB1941" s="73"/>
      <c r="IC1941" s="73"/>
      <c r="ID1941" s="73"/>
      <c r="IE1941" s="73"/>
      <c r="IF1941" s="73"/>
      <c r="IG1941" s="73"/>
      <c r="IH1941" s="73"/>
      <c r="II1941" s="73"/>
      <c r="IJ1941" s="73"/>
      <c r="IK1941" s="73"/>
      <c r="IL1941" s="73"/>
      <c r="IM1941" s="73"/>
      <c r="IN1941" s="73"/>
      <c r="IO1941" s="73"/>
      <c r="IP1941" s="73"/>
      <c r="IQ1941" s="73"/>
      <c r="IR1941" s="73"/>
      <c r="IS1941" s="73"/>
      <c r="IT1941" s="73"/>
      <c r="IU1941" s="73"/>
      <c r="IV1941" s="73"/>
      <c r="IW1941" s="73"/>
      <c r="IX1941" s="73"/>
      <c r="IY1941" s="73"/>
      <c r="IZ1941" s="73"/>
      <c r="JA1941" s="73"/>
      <c r="JB1941" s="73"/>
      <c r="JC1941" s="73"/>
    </row>
    <row r="1942" spans="2:263" s="72" customFormat="1">
      <c r="B1942" s="73"/>
      <c r="C1942" s="73"/>
      <c r="D1942" s="73"/>
      <c r="E1942" s="73"/>
      <c r="F1942" s="73"/>
      <c r="G1942" s="73"/>
      <c r="H1942" s="73"/>
      <c r="I1942" s="73"/>
      <c r="J1942" s="73"/>
      <c r="K1942" s="73"/>
      <c r="L1942" s="73"/>
      <c r="M1942" s="73"/>
      <c r="N1942" s="73"/>
      <c r="O1942" s="73"/>
      <c r="P1942" s="73"/>
      <c r="Q1942" s="73"/>
      <c r="R1942" s="73"/>
      <c r="S1942" s="73"/>
      <c r="T1942" s="73"/>
      <c r="U1942" s="73"/>
      <c r="V1942" s="73"/>
      <c r="W1942" s="73"/>
      <c r="GL1942" s="73"/>
      <c r="GM1942" s="73"/>
      <c r="GN1942" s="73"/>
      <c r="GO1942" s="73"/>
      <c r="GP1942" s="73"/>
      <c r="GQ1942" s="73"/>
      <c r="GR1942" s="73"/>
      <c r="GS1942" s="73"/>
      <c r="GT1942" s="73"/>
      <c r="GU1942" s="73"/>
      <c r="GV1942" s="73"/>
      <c r="GW1942" s="73"/>
      <c r="GX1942" s="73"/>
      <c r="GY1942" s="73"/>
      <c r="GZ1942" s="73"/>
      <c r="HA1942" s="73"/>
      <c r="HB1942" s="73"/>
      <c r="HC1942" s="73"/>
      <c r="HD1942" s="73"/>
      <c r="HE1942" s="73"/>
      <c r="HF1942" s="73"/>
      <c r="HG1942" s="73"/>
      <c r="HH1942" s="73"/>
      <c r="HI1942" s="73"/>
      <c r="HJ1942" s="73"/>
      <c r="HK1942" s="73"/>
      <c r="HL1942" s="73"/>
      <c r="HM1942" s="73"/>
      <c r="HN1942" s="73"/>
      <c r="HO1942" s="73"/>
      <c r="HP1942" s="73"/>
      <c r="HQ1942" s="73"/>
      <c r="HR1942" s="73"/>
      <c r="HS1942" s="73"/>
      <c r="HT1942" s="73"/>
      <c r="HU1942" s="73"/>
      <c r="HV1942" s="73"/>
      <c r="HW1942" s="73"/>
      <c r="HX1942" s="73"/>
      <c r="HY1942" s="73"/>
      <c r="HZ1942" s="73"/>
      <c r="IA1942" s="73"/>
      <c r="IB1942" s="73"/>
      <c r="IC1942" s="73"/>
      <c r="ID1942" s="73"/>
      <c r="IE1942" s="73"/>
      <c r="IF1942" s="73"/>
      <c r="IG1942" s="73"/>
      <c r="IH1942" s="73"/>
      <c r="II1942" s="73"/>
      <c r="IJ1942" s="73"/>
      <c r="IK1942" s="73"/>
      <c r="IL1942" s="73"/>
      <c r="IM1942" s="73"/>
      <c r="IN1942" s="73"/>
      <c r="IO1942" s="73"/>
      <c r="IP1942" s="73"/>
      <c r="IQ1942" s="73"/>
      <c r="IR1942" s="73"/>
      <c r="IS1942" s="73"/>
      <c r="IT1942" s="73"/>
      <c r="IU1942" s="73"/>
      <c r="IV1942" s="73"/>
      <c r="IW1942" s="73"/>
      <c r="IX1942" s="73"/>
      <c r="IY1942" s="73"/>
      <c r="IZ1942" s="73"/>
      <c r="JA1942" s="73"/>
      <c r="JB1942" s="73"/>
      <c r="JC1942" s="73"/>
    </row>
    <row r="1943" spans="2:263" s="72" customFormat="1">
      <c r="B1943" s="73"/>
      <c r="C1943" s="73"/>
      <c r="D1943" s="73"/>
      <c r="E1943" s="73"/>
      <c r="F1943" s="73"/>
      <c r="G1943" s="73"/>
      <c r="H1943" s="73"/>
      <c r="I1943" s="73"/>
      <c r="J1943" s="73"/>
      <c r="K1943" s="73"/>
      <c r="L1943" s="73"/>
      <c r="M1943" s="73"/>
      <c r="N1943" s="73"/>
      <c r="O1943" s="73"/>
      <c r="P1943" s="73"/>
      <c r="Q1943" s="73"/>
      <c r="R1943" s="73"/>
      <c r="S1943" s="73"/>
      <c r="T1943" s="73"/>
      <c r="U1943" s="73"/>
      <c r="V1943" s="73"/>
      <c r="W1943" s="73"/>
      <c r="GL1943" s="73"/>
      <c r="GM1943" s="73"/>
      <c r="GN1943" s="73"/>
      <c r="GO1943" s="73"/>
      <c r="GP1943" s="73"/>
      <c r="GQ1943" s="73"/>
      <c r="GR1943" s="73"/>
      <c r="GS1943" s="73"/>
      <c r="GT1943" s="73"/>
      <c r="GU1943" s="73"/>
      <c r="GV1943" s="73"/>
      <c r="GW1943" s="73"/>
      <c r="GX1943" s="73"/>
      <c r="GY1943" s="73"/>
      <c r="GZ1943" s="73"/>
      <c r="HA1943" s="73"/>
      <c r="HB1943" s="73"/>
      <c r="HC1943" s="73"/>
      <c r="HD1943" s="73"/>
      <c r="HE1943" s="73"/>
      <c r="HF1943" s="73"/>
      <c r="HG1943" s="73"/>
      <c r="HH1943" s="73"/>
      <c r="HI1943" s="73"/>
      <c r="HJ1943" s="73"/>
      <c r="HK1943" s="73"/>
      <c r="HL1943" s="73"/>
      <c r="HM1943" s="73"/>
      <c r="HN1943" s="73"/>
      <c r="HO1943" s="73"/>
      <c r="HP1943" s="73"/>
      <c r="HQ1943" s="73"/>
      <c r="HR1943" s="73"/>
      <c r="HS1943" s="73"/>
      <c r="HT1943" s="73"/>
      <c r="HU1943" s="73"/>
      <c r="HV1943" s="73"/>
      <c r="HW1943" s="73"/>
      <c r="HX1943" s="73"/>
      <c r="HY1943" s="73"/>
      <c r="HZ1943" s="73"/>
      <c r="IA1943" s="73"/>
      <c r="IB1943" s="73"/>
      <c r="IC1943" s="73"/>
      <c r="ID1943" s="73"/>
      <c r="IE1943" s="73"/>
      <c r="IF1943" s="73"/>
      <c r="IG1943" s="73"/>
      <c r="IH1943" s="73"/>
      <c r="II1943" s="73"/>
      <c r="IJ1943" s="73"/>
      <c r="IK1943" s="73"/>
      <c r="IL1943" s="73"/>
      <c r="IM1943" s="73"/>
      <c r="IN1943" s="73"/>
      <c r="IO1943" s="73"/>
      <c r="IP1943" s="73"/>
      <c r="IQ1943" s="73"/>
      <c r="IR1943" s="73"/>
      <c r="IS1943" s="73"/>
      <c r="IT1943" s="73"/>
      <c r="IU1943" s="73"/>
      <c r="IV1943" s="73"/>
      <c r="IW1943" s="73"/>
      <c r="IX1943" s="73"/>
      <c r="IY1943" s="73"/>
      <c r="IZ1943" s="73"/>
      <c r="JA1943" s="73"/>
      <c r="JB1943" s="73"/>
      <c r="JC1943" s="73"/>
    </row>
    <row r="1944" spans="2:263" s="72" customFormat="1">
      <c r="B1944" s="73"/>
      <c r="C1944" s="73"/>
      <c r="D1944" s="73"/>
      <c r="E1944" s="73"/>
      <c r="F1944" s="73"/>
      <c r="G1944" s="73"/>
      <c r="H1944" s="73"/>
      <c r="I1944" s="73"/>
      <c r="J1944" s="73"/>
      <c r="K1944" s="73"/>
      <c r="L1944" s="73"/>
      <c r="M1944" s="73"/>
      <c r="N1944" s="73"/>
      <c r="O1944" s="73"/>
      <c r="P1944" s="73"/>
      <c r="Q1944" s="73"/>
      <c r="R1944" s="73"/>
      <c r="S1944" s="73"/>
      <c r="T1944" s="73"/>
      <c r="U1944" s="73"/>
      <c r="V1944" s="73"/>
      <c r="W1944" s="73"/>
      <c r="GL1944" s="73"/>
      <c r="GM1944" s="73"/>
      <c r="GN1944" s="73"/>
      <c r="GO1944" s="73"/>
      <c r="GP1944" s="73"/>
      <c r="GQ1944" s="73"/>
      <c r="GR1944" s="73"/>
      <c r="GS1944" s="73"/>
      <c r="GT1944" s="73"/>
      <c r="GU1944" s="73"/>
      <c r="GV1944" s="73"/>
      <c r="GW1944" s="73"/>
      <c r="GX1944" s="73"/>
      <c r="GY1944" s="73"/>
      <c r="GZ1944" s="73"/>
      <c r="HA1944" s="73"/>
      <c r="HB1944" s="73"/>
      <c r="HC1944" s="73"/>
      <c r="HD1944" s="73"/>
      <c r="HE1944" s="73"/>
      <c r="HF1944" s="73"/>
      <c r="HG1944" s="73"/>
      <c r="HH1944" s="73"/>
      <c r="HI1944" s="73"/>
      <c r="HJ1944" s="73"/>
      <c r="HK1944" s="73"/>
      <c r="HL1944" s="73"/>
      <c r="HM1944" s="73"/>
      <c r="HN1944" s="73"/>
      <c r="HO1944" s="73"/>
      <c r="HP1944" s="73"/>
      <c r="HQ1944" s="73"/>
      <c r="HR1944" s="73"/>
      <c r="HS1944" s="73"/>
      <c r="HT1944" s="73"/>
      <c r="HU1944" s="73"/>
      <c r="HV1944" s="73"/>
      <c r="HW1944" s="73"/>
      <c r="HX1944" s="73"/>
      <c r="HY1944" s="73"/>
      <c r="HZ1944" s="73"/>
      <c r="IA1944" s="73"/>
      <c r="IB1944" s="73"/>
      <c r="IC1944" s="73"/>
      <c r="ID1944" s="73"/>
      <c r="IE1944" s="73"/>
      <c r="IF1944" s="73"/>
      <c r="IG1944" s="73"/>
      <c r="IH1944" s="73"/>
      <c r="II1944" s="73"/>
      <c r="IJ1944" s="73"/>
      <c r="IK1944" s="73"/>
      <c r="IL1944" s="73"/>
      <c r="IM1944" s="73"/>
      <c r="IN1944" s="73"/>
      <c r="IO1944" s="73"/>
      <c r="IP1944" s="73"/>
      <c r="IQ1944" s="73"/>
      <c r="IR1944" s="73"/>
      <c r="IS1944" s="73"/>
      <c r="IT1944" s="73"/>
      <c r="IU1944" s="73"/>
      <c r="IV1944" s="73"/>
      <c r="IW1944" s="73"/>
      <c r="IX1944" s="73"/>
      <c r="IY1944" s="73"/>
      <c r="IZ1944" s="73"/>
      <c r="JA1944" s="73"/>
      <c r="JB1944" s="73"/>
      <c r="JC1944" s="73"/>
    </row>
    <row r="1945" spans="2:263" s="72" customFormat="1">
      <c r="B1945" s="73"/>
      <c r="C1945" s="73"/>
      <c r="D1945" s="73"/>
      <c r="E1945" s="73"/>
      <c r="F1945" s="73"/>
      <c r="G1945" s="73"/>
      <c r="H1945" s="73"/>
      <c r="I1945" s="73"/>
      <c r="J1945" s="73"/>
      <c r="K1945" s="73"/>
      <c r="L1945" s="73"/>
      <c r="M1945" s="73"/>
      <c r="N1945" s="73"/>
      <c r="O1945" s="73"/>
      <c r="P1945" s="73"/>
      <c r="Q1945" s="73"/>
      <c r="R1945" s="73"/>
      <c r="S1945" s="73"/>
      <c r="T1945" s="73"/>
      <c r="U1945" s="73"/>
      <c r="V1945" s="73"/>
      <c r="W1945" s="73"/>
      <c r="GL1945" s="73"/>
      <c r="GM1945" s="73"/>
      <c r="GN1945" s="73"/>
      <c r="GO1945" s="73"/>
      <c r="GP1945" s="73"/>
      <c r="GQ1945" s="73"/>
      <c r="GR1945" s="73"/>
      <c r="GS1945" s="73"/>
      <c r="GT1945" s="73"/>
      <c r="GU1945" s="73"/>
      <c r="GV1945" s="73"/>
      <c r="GW1945" s="73"/>
      <c r="GX1945" s="73"/>
      <c r="GY1945" s="73"/>
      <c r="GZ1945" s="73"/>
      <c r="HA1945" s="73"/>
      <c r="HB1945" s="73"/>
      <c r="HC1945" s="73"/>
      <c r="HD1945" s="73"/>
      <c r="HE1945" s="73"/>
      <c r="HF1945" s="73"/>
      <c r="HG1945" s="73"/>
      <c r="HH1945" s="73"/>
      <c r="HI1945" s="73"/>
      <c r="HJ1945" s="73"/>
      <c r="HK1945" s="73"/>
      <c r="HL1945" s="73"/>
      <c r="HM1945" s="73"/>
      <c r="HN1945" s="73"/>
      <c r="HO1945" s="73"/>
      <c r="HP1945" s="73"/>
      <c r="HQ1945" s="73"/>
      <c r="HR1945" s="73"/>
      <c r="HS1945" s="73"/>
      <c r="HT1945" s="73"/>
      <c r="HU1945" s="73"/>
      <c r="HV1945" s="73"/>
      <c r="HW1945" s="73"/>
      <c r="HX1945" s="73"/>
      <c r="HY1945" s="73"/>
      <c r="HZ1945" s="73"/>
      <c r="IA1945" s="73"/>
      <c r="IB1945" s="73"/>
      <c r="IC1945" s="73"/>
      <c r="ID1945" s="73"/>
      <c r="IE1945" s="73"/>
      <c r="IF1945" s="73"/>
      <c r="IG1945" s="73"/>
      <c r="IH1945" s="73"/>
      <c r="II1945" s="73"/>
      <c r="IJ1945" s="73"/>
      <c r="IK1945" s="73"/>
      <c r="IL1945" s="73"/>
      <c r="IM1945" s="73"/>
      <c r="IN1945" s="73"/>
      <c r="IO1945" s="73"/>
      <c r="IP1945" s="73"/>
      <c r="IQ1945" s="73"/>
      <c r="IR1945" s="73"/>
      <c r="IS1945" s="73"/>
      <c r="IT1945" s="73"/>
      <c r="IU1945" s="73"/>
      <c r="IV1945" s="73"/>
      <c r="IW1945" s="73"/>
      <c r="IX1945" s="73"/>
      <c r="IY1945" s="73"/>
      <c r="IZ1945" s="73"/>
      <c r="JA1945" s="73"/>
      <c r="JB1945" s="73"/>
      <c r="JC1945" s="73"/>
    </row>
    <row r="1946" spans="2:263" s="72" customFormat="1">
      <c r="B1946" s="73"/>
      <c r="C1946" s="73"/>
      <c r="D1946" s="73"/>
      <c r="E1946" s="73"/>
      <c r="F1946" s="73"/>
      <c r="G1946" s="73"/>
      <c r="H1946" s="73"/>
      <c r="I1946" s="73"/>
      <c r="J1946" s="73"/>
      <c r="K1946" s="73"/>
      <c r="L1946" s="73"/>
      <c r="M1946" s="73"/>
      <c r="N1946" s="73"/>
      <c r="O1946" s="73"/>
      <c r="P1946" s="73"/>
      <c r="Q1946" s="73"/>
      <c r="R1946" s="73"/>
      <c r="S1946" s="73"/>
      <c r="T1946" s="73"/>
      <c r="U1946" s="73"/>
      <c r="V1946" s="73"/>
      <c r="W1946" s="73"/>
      <c r="GL1946" s="73"/>
      <c r="GM1946" s="73"/>
      <c r="GN1946" s="73"/>
      <c r="GO1946" s="73"/>
      <c r="GP1946" s="73"/>
      <c r="GQ1946" s="73"/>
      <c r="GR1946" s="73"/>
      <c r="GS1946" s="73"/>
      <c r="GT1946" s="73"/>
      <c r="GU1946" s="73"/>
      <c r="GV1946" s="73"/>
      <c r="GW1946" s="73"/>
      <c r="GX1946" s="73"/>
      <c r="GY1946" s="73"/>
      <c r="GZ1946" s="73"/>
      <c r="HA1946" s="73"/>
      <c r="HB1946" s="73"/>
      <c r="HC1946" s="73"/>
      <c r="HD1946" s="73"/>
      <c r="HE1946" s="73"/>
      <c r="HF1946" s="73"/>
      <c r="HG1946" s="73"/>
      <c r="HH1946" s="73"/>
      <c r="HI1946" s="73"/>
      <c r="HJ1946" s="73"/>
      <c r="HK1946" s="73"/>
      <c r="HL1946" s="73"/>
      <c r="HM1946" s="73"/>
      <c r="HN1946" s="73"/>
      <c r="HO1946" s="73"/>
      <c r="HP1946" s="73"/>
      <c r="HQ1946" s="73"/>
      <c r="HR1946" s="73"/>
      <c r="HS1946" s="73"/>
      <c r="HT1946" s="73"/>
      <c r="HU1946" s="73"/>
      <c r="HV1946" s="73"/>
      <c r="HW1946" s="73"/>
      <c r="HX1946" s="73"/>
      <c r="HY1946" s="73"/>
      <c r="HZ1946" s="73"/>
      <c r="IA1946" s="73"/>
      <c r="IB1946" s="73"/>
      <c r="IC1946" s="73"/>
      <c r="ID1946" s="73"/>
      <c r="IE1946" s="73"/>
      <c r="IF1946" s="73"/>
      <c r="IG1946" s="73"/>
      <c r="IH1946" s="73"/>
      <c r="II1946" s="73"/>
      <c r="IJ1946" s="73"/>
      <c r="IK1946" s="73"/>
      <c r="IL1946" s="73"/>
      <c r="IM1946" s="73"/>
      <c r="IN1946" s="73"/>
      <c r="IO1946" s="73"/>
      <c r="IP1946" s="73"/>
      <c r="IQ1946" s="73"/>
      <c r="IR1946" s="73"/>
      <c r="IS1946" s="73"/>
      <c r="IT1946" s="73"/>
      <c r="IU1946" s="73"/>
      <c r="IV1946" s="73"/>
      <c r="IW1946" s="73"/>
      <c r="IX1946" s="73"/>
      <c r="IY1946" s="73"/>
      <c r="IZ1946" s="73"/>
      <c r="JA1946" s="73"/>
      <c r="JB1946" s="73"/>
      <c r="JC1946" s="73"/>
    </row>
    <row r="1947" spans="2:263" s="72" customFormat="1">
      <c r="B1947" s="73"/>
      <c r="C1947" s="73"/>
      <c r="D1947" s="73"/>
      <c r="E1947" s="73"/>
      <c r="F1947" s="73"/>
      <c r="G1947" s="73"/>
      <c r="H1947" s="73"/>
      <c r="I1947" s="73"/>
      <c r="J1947" s="73"/>
      <c r="K1947" s="73"/>
      <c r="L1947" s="73"/>
      <c r="M1947" s="73"/>
      <c r="N1947" s="73"/>
      <c r="O1947" s="73"/>
      <c r="P1947" s="73"/>
      <c r="Q1947" s="73"/>
      <c r="R1947" s="73"/>
      <c r="S1947" s="73"/>
      <c r="T1947" s="73"/>
      <c r="U1947" s="73"/>
      <c r="V1947" s="73"/>
      <c r="W1947" s="73"/>
      <c r="GL1947" s="73"/>
      <c r="GM1947" s="73"/>
      <c r="GN1947" s="73"/>
      <c r="GO1947" s="73"/>
      <c r="GP1947" s="73"/>
      <c r="GQ1947" s="73"/>
      <c r="GR1947" s="73"/>
      <c r="GS1947" s="73"/>
      <c r="GT1947" s="73"/>
      <c r="GU1947" s="73"/>
      <c r="GV1947" s="73"/>
      <c r="GW1947" s="73"/>
      <c r="GX1947" s="73"/>
      <c r="GY1947" s="73"/>
      <c r="GZ1947" s="73"/>
      <c r="HA1947" s="73"/>
      <c r="HB1947" s="73"/>
      <c r="HC1947" s="73"/>
      <c r="HD1947" s="73"/>
      <c r="HE1947" s="73"/>
      <c r="HF1947" s="73"/>
      <c r="HG1947" s="73"/>
      <c r="HH1947" s="73"/>
      <c r="HI1947" s="73"/>
      <c r="HJ1947" s="73"/>
      <c r="HK1947" s="73"/>
      <c r="HL1947" s="73"/>
      <c r="HM1947" s="73"/>
      <c r="HN1947" s="73"/>
      <c r="HO1947" s="73"/>
      <c r="HP1947" s="73"/>
      <c r="HQ1947" s="73"/>
      <c r="HR1947" s="73"/>
      <c r="HS1947" s="73"/>
      <c r="HT1947" s="73"/>
      <c r="HU1947" s="73"/>
      <c r="HV1947" s="73"/>
      <c r="HW1947" s="73"/>
      <c r="HX1947" s="73"/>
      <c r="HY1947" s="73"/>
      <c r="HZ1947" s="73"/>
      <c r="IA1947" s="73"/>
      <c r="IB1947" s="73"/>
      <c r="IC1947" s="73"/>
      <c r="ID1947" s="73"/>
      <c r="IE1947" s="73"/>
      <c r="IF1947" s="73"/>
      <c r="IG1947" s="73"/>
      <c r="IH1947" s="73"/>
      <c r="II1947" s="73"/>
      <c r="IJ1947" s="73"/>
      <c r="IK1947" s="73"/>
      <c r="IL1947" s="73"/>
      <c r="IM1947" s="73"/>
      <c r="IN1947" s="73"/>
      <c r="IO1947" s="73"/>
      <c r="IP1947" s="73"/>
      <c r="IQ1947" s="73"/>
      <c r="IR1947" s="73"/>
      <c r="IS1947" s="73"/>
      <c r="IT1947" s="73"/>
      <c r="IU1947" s="73"/>
      <c r="IV1947" s="73"/>
      <c r="IW1947" s="73"/>
      <c r="IX1947" s="73"/>
      <c r="IY1947" s="73"/>
      <c r="IZ1947" s="73"/>
      <c r="JA1947" s="73"/>
      <c r="JB1947" s="73"/>
      <c r="JC1947" s="73"/>
    </row>
    <row r="1948" spans="2:263" s="72" customFormat="1">
      <c r="B1948" s="73"/>
      <c r="C1948" s="73"/>
      <c r="D1948" s="73"/>
      <c r="E1948" s="73"/>
      <c r="F1948" s="73"/>
      <c r="G1948" s="73"/>
      <c r="H1948" s="73"/>
      <c r="I1948" s="73"/>
      <c r="J1948" s="73"/>
      <c r="K1948" s="73"/>
      <c r="L1948" s="73"/>
      <c r="M1948" s="73"/>
      <c r="N1948" s="73"/>
      <c r="O1948" s="73"/>
      <c r="P1948" s="73"/>
      <c r="Q1948" s="73"/>
      <c r="R1948" s="73"/>
      <c r="S1948" s="73"/>
      <c r="T1948" s="73"/>
      <c r="U1948" s="73"/>
      <c r="V1948" s="73"/>
      <c r="W1948" s="73"/>
      <c r="GL1948" s="73"/>
      <c r="GM1948" s="73"/>
      <c r="GN1948" s="73"/>
      <c r="GO1948" s="73"/>
      <c r="GP1948" s="73"/>
      <c r="GQ1948" s="73"/>
      <c r="GR1948" s="73"/>
      <c r="GS1948" s="73"/>
      <c r="GT1948" s="73"/>
      <c r="GU1948" s="73"/>
      <c r="GV1948" s="73"/>
      <c r="GW1948" s="73"/>
      <c r="GX1948" s="73"/>
      <c r="GY1948" s="73"/>
      <c r="GZ1948" s="73"/>
      <c r="HA1948" s="73"/>
      <c r="HB1948" s="73"/>
      <c r="HC1948" s="73"/>
      <c r="HD1948" s="73"/>
      <c r="HE1948" s="73"/>
      <c r="HF1948" s="73"/>
      <c r="HG1948" s="73"/>
      <c r="HH1948" s="73"/>
      <c r="HI1948" s="73"/>
      <c r="HJ1948" s="73"/>
      <c r="HK1948" s="73"/>
      <c r="HL1948" s="73"/>
      <c r="HM1948" s="73"/>
      <c r="HN1948" s="73"/>
      <c r="HO1948" s="73"/>
      <c r="HP1948" s="73"/>
      <c r="HQ1948" s="73"/>
      <c r="HR1948" s="73"/>
      <c r="HS1948" s="73"/>
      <c r="HT1948" s="73"/>
      <c r="HU1948" s="73"/>
      <c r="HV1948" s="73"/>
      <c r="HW1948" s="73"/>
      <c r="HX1948" s="73"/>
      <c r="HY1948" s="73"/>
      <c r="HZ1948" s="73"/>
      <c r="IA1948" s="73"/>
      <c r="IB1948" s="73"/>
      <c r="IC1948" s="73"/>
      <c r="ID1948" s="73"/>
      <c r="IE1948" s="73"/>
      <c r="IF1948" s="73"/>
      <c r="IG1948" s="73"/>
      <c r="IH1948" s="73"/>
      <c r="II1948" s="73"/>
      <c r="IJ1948" s="73"/>
      <c r="IK1948" s="73"/>
      <c r="IL1948" s="73"/>
      <c r="IM1948" s="73"/>
      <c r="IN1948" s="73"/>
      <c r="IO1948" s="73"/>
      <c r="IP1948" s="73"/>
      <c r="IQ1948" s="73"/>
      <c r="IR1948" s="73"/>
      <c r="IS1948" s="73"/>
      <c r="IT1948" s="73"/>
      <c r="IU1948" s="73"/>
      <c r="IV1948" s="73"/>
      <c r="IW1948" s="73"/>
      <c r="IX1948" s="73"/>
      <c r="IY1948" s="73"/>
      <c r="IZ1948" s="73"/>
      <c r="JA1948" s="73"/>
      <c r="JB1948" s="73"/>
      <c r="JC1948" s="73"/>
    </row>
    <row r="1949" spans="2:263" s="72" customFormat="1">
      <c r="B1949" s="73"/>
      <c r="C1949" s="73"/>
      <c r="D1949" s="73"/>
      <c r="E1949" s="73"/>
      <c r="F1949" s="73"/>
      <c r="G1949" s="73"/>
      <c r="H1949" s="73"/>
      <c r="I1949" s="73"/>
      <c r="J1949" s="73"/>
      <c r="K1949" s="73"/>
      <c r="L1949" s="73"/>
      <c r="M1949" s="73"/>
      <c r="N1949" s="73"/>
      <c r="O1949" s="73"/>
      <c r="P1949" s="73"/>
      <c r="Q1949" s="73"/>
      <c r="R1949" s="73"/>
      <c r="S1949" s="73"/>
      <c r="T1949" s="73"/>
      <c r="U1949" s="73"/>
      <c r="V1949" s="73"/>
      <c r="W1949" s="73"/>
      <c r="GL1949" s="73"/>
      <c r="GM1949" s="73"/>
      <c r="GN1949" s="73"/>
      <c r="GO1949" s="73"/>
      <c r="GP1949" s="73"/>
      <c r="GQ1949" s="73"/>
      <c r="GR1949" s="73"/>
      <c r="GS1949" s="73"/>
      <c r="GT1949" s="73"/>
      <c r="GU1949" s="73"/>
      <c r="GV1949" s="73"/>
      <c r="GW1949" s="73"/>
      <c r="GX1949" s="73"/>
      <c r="GY1949" s="73"/>
      <c r="GZ1949" s="73"/>
      <c r="HA1949" s="73"/>
      <c r="HB1949" s="73"/>
      <c r="HC1949" s="73"/>
      <c r="HD1949" s="73"/>
      <c r="HE1949" s="73"/>
      <c r="HF1949" s="73"/>
      <c r="HG1949" s="73"/>
      <c r="HH1949" s="73"/>
      <c r="HI1949" s="73"/>
      <c r="HJ1949" s="73"/>
      <c r="HK1949" s="73"/>
      <c r="HL1949" s="73"/>
      <c r="HM1949" s="73"/>
      <c r="HN1949" s="73"/>
      <c r="HO1949" s="73"/>
      <c r="HP1949" s="73"/>
      <c r="HQ1949" s="73"/>
      <c r="HR1949" s="73"/>
      <c r="HS1949" s="73"/>
      <c r="HT1949" s="73"/>
      <c r="HU1949" s="73"/>
      <c r="HV1949" s="73"/>
      <c r="HW1949" s="73"/>
      <c r="HX1949" s="73"/>
      <c r="HY1949" s="73"/>
      <c r="HZ1949" s="73"/>
      <c r="IA1949" s="73"/>
      <c r="IB1949" s="73"/>
      <c r="IC1949" s="73"/>
      <c r="ID1949" s="73"/>
      <c r="IE1949" s="73"/>
      <c r="IF1949" s="73"/>
      <c r="IG1949" s="73"/>
      <c r="IH1949" s="73"/>
      <c r="II1949" s="73"/>
      <c r="IJ1949" s="73"/>
      <c r="IK1949" s="73"/>
      <c r="IL1949" s="73"/>
      <c r="IM1949" s="73"/>
      <c r="IN1949" s="73"/>
      <c r="IO1949" s="73"/>
      <c r="IP1949" s="73"/>
      <c r="IQ1949" s="73"/>
      <c r="IR1949" s="73"/>
      <c r="IS1949" s="73"/>
      <c r="IT1949" s="73"/>
      <c r="IU1949" s="73"/>
      <c r="IV1949" s="73"/>
      <c r="IW1949" s="73"/>
      <c r="IX1949" s="73"/>
      <c r="IY1949" s="73"/>
      <c r="IZ1949" s="73"/>
      <c r="JA1949" s="73"/>
      <c r="JB1949" s="73"/>
      <c r="JC1949" s="73"/>
    </row>
    <row r="1950" spans="2:263" s="72" customFormat="1">
      <c r="B1950" s="73"/>
      <c r="C1950" s="73"/>
      <c r="D1950" s="73"/>
      <c r="E1950" s="73"/>
      <c r="F1950" s="73"/>
      <c r="G1950" s="73"/>
      <c r="H1950" s="73"/>
      <c r="I1950" s="73"/>
      <c r="J1950" s="73"/>
      <c r="K1950" s="73"/>
      <c r="L1950" s="73"/>
      <c r="M1950" s="73"/>
      <c r="N1950" s="73"/>
      <c r="O1950" s="73"/>
      <c r="P1950" s="73"/>
      <c r="Q1950" s="73"/>
      <c r="R1950" s="73"/>
      <c r="S1950" s="73"/>
      <c r="T1950" s="73"/>
      <c r="U1950" s="73"/>
      <c r="V1950" s="73"/>
      <c r="W1950" s="73"/>
      <c r="GL1950" s="73"/>
      <c r="GM1950" s="73"/>
      <c r="GN1950" s="73"/>
      <c r="GO1950" s="73"/>
      <c r="GP1950" s="73"/>
      <c r="GQ1950" s="73"/>
      <c r="GR1950" s="73"/>
      <c r="GS1950" s="73"/>
      <c r="GT1950" s="73"/>
      <c r="GU1950" s="73"/>
      <c r="GV1950" s="73"/>
      <c r="GW1950" s="73"/>
      <c r="GX1950" s="73"/>
      <c r="GY1950" s="73"/>
      <c r="GZ1950" s="73"/>
      <c r="HA1950" s="73"/>
      <c r="HB1950" s="73"/>
      <c r="HC1950" s="73"/>
      <c r="HD1950" s="73"/>
      <c r="HE1950" s="73"/>
      <c r="HF1950" s="73"/>
      <c r="HG1950" s="73"/>
      <c r="HH1950" s="73"/>
      <c r="HI1950" s="73"/>
      <c r="HJ1950" s="73"/>
      <c r="HK1950" s="73"/>
      <c r="HL1950" s="73"/>
      <c r="HM1950" s="73"/>
      <c r="HN1950" s="73"/>
      <c r="HO1950" s="73"/>
      <c r="HP1950" s="73"/>
      <c r="HQ1950" s="73"/>
      <c r="HR1950" s="73"/>
      <c r="HS1950" s="73"/>
      <c r="HT1950" s="73"/>
      <c r="HU1950" s="73"/>
      <c r="HV1950" s="73"/>
      <c r="HW1950" s="73"/>
      <c r="HX1950" s="73"/>
      <c r="HY1950" s="73"/>
      <c r="HZ1950" s="73"/>
      <c r="IA1950" s="73"/>
      <c r="IB1950" s="73"/>
      <c r="IC1950" s="73"/>
      <c r="ID1950" s="73"/>
      <c r="IE1950" s="73"/>
      <c r="IF1950" s="73"/>
      <c r="IG1950" s="73"/>
      <c r="IH1950" s="73"/>
      <c r="II1950" s="73"/>
      <c r="IJ1950" s="73"/>
      <c r="IK1950" s="73"/>
      <c r="IL1950" s="73"/>
      <c r="IM1950" s="73"/>
      <c r="IN1950" s="73"/>
      <c r="IO1950" s="73"/>
      <c r="IP1950" s="73"/>
      <c r="IQ1950" s="73"/>
      <c r="IR1950" s="73"/>
      <c r="IS1950" s="73"/>
      <c r="IT1950" s="73"/>
      <c r="IU1950" s="73"/>
      <c r="IV1950" s="73"/>
      <c r="IW1950" s="73"/>
      <c r="IX1950" s="73"/>
      <c r="IY1950" s="73"/>
      <c r="IZ1950" s="73"/>
      <c r="JA1950" s="73"/>
      <c r="JB1950" s="73"/>
      <c r="JC1950" s="73"/>
    </row>
    <row r="1951" spans="2:263" s="72" customFormat="1">
      <c r="B1951" s="73"/>
      <c r="C1951" s="73"/>
      <c r="D1951" s="73"/>
      <c r="E1951" s="73"/>
      <c r="F1951" s="73"/>
      <c r="G1951" s="73"/>
      <c r="H1951" s="73"/>
      <c r="I1951" s="73"/>
      <c r="J1951" s="73"/>
      <c r="K1951" s="73"/>
      <c r="L1951" s="73"/>
      <c r="M1951" s="73"/>
      <c r="N1951" s="73"/>
      <c r="O1951" s="73"/>
      <c r="P1951" s="73"/>
      <c r="Q1951" s="73"/>
      <c r="R1951" s="73"/>
      <c r="S1951" s="73"/>
      <c r="T1951" s="73"/>
      <c r="U1951" s="73"/>
      <c r="V1951" s="73"/>
      <c r="W1951" s="73"/>
      <c r="GL1951" s="73"/>
      <c r="GM1951" s="73"/>
      <c r="GN1951" s="73"/>
      <c r="GO1951" s="73"/>
      <c r="GP1951" s="73"/>
      <c r="GQ1951" s="73"/>
      <c r="GR1951" s="73"/>
      <c r="GS1951" s="73"/>
      <c r="GT1951" s="73"/>
      <c r="GU1951" s="73"/>
      <c r="GV1951" s="73"/>
      <c r="GW1951" s="73"/>
      <c r="GX1951" s="73"/>
      <c r="GY1951" s="73"/>
      <c r="GZ1951" s="73"/>
      <c r="HA1951" s="73"/>
      <c r="HB1951" s="73"/>
      <c r="HC1951" s="73"/>
      <c r="HD1951" s="73"/>
      <c r="HE1951" s="73"/>
      <c r="HF1951" s="73"/>
      <c r="HG1951" s="73"/>
      <c r="HH1951" s="73"/>
      <c r="HI1951" s="73"/>
      <c r="HJ1951" s="73"/>
      <c r="HK1951" s="73"/>
      <c r="HL1951" s="73"/>
      <c r="HM1951" s="73"/>
      <c r="HN1951" s="73"/>
      <c r="HO1951" s="73"/>
      <c r="HP1951" s="73"/>
      <c r="HQ1951" s="73"/>
      <c r="HR1951" s="73"/>
      <c r="HS1951" s="73"/>
      <c r="HT1951" s="73"/>
      <c r="HU1951" s="73"/>
      <c r="HV1951" s="73"/>
      <c r="HW1951" s="73"/>
      <c r="HX1951" s="73"/>
      <c r="HY1951" s="73"/>
      <c r="HZ1951" s="73"/>
      <c r="IA1951" s="73"/>
      <c r="IB1951" s="73"/>
      <c r="IC1951" s="73"/>
      <c r="ID1951" s="73"/>
      <c r="IE1951" s="73"/>
      <c r="IF1951" s="73"/>
      <c r="IG1951" s="73"/>
      <c r="IH1951" s="73"/>
      <c r="II1951" s="73"/>
      <c r="IJ1951" s="73"/>
      <c r="IK1951" s="73"/>
      <c r="IL1951" s="73"/>
      <c r="IM1951" s="73"/>
      <c r="IN1951" s="73"/>
      <c r="IO1951" s="73"/>
      <c r="IP1951" s="73"/>
      <c r="IQ1951" s="73"/>
      <c r="IR1951" s="73"/>
      <c r="IS1951" s="73"/>
      <c r="IT1951" s="73"/>
      <c r="IU1951" s="73"/>
      <c r="IV1951" s="73"/>
      <c r="IW1951" s="73"/>
      <c r="IX1951" s="73"/>
      <c r="IY1951" s="73"/>
      <c r="IZ1951" s="73"/>
      <c r="JA1951" s="73"/>
      <c r="JB1951" s="73"/>
      <c r="JC1951" s="73"/>
    </row>
    <row r="1952" spans="2:263" s="72" customFormat="1">
      <c r="B1952" s="73"/>
      <c r="C1952" s="73"/>
      <c r="D1952" s="73"/>
      <c r="E1952" s="73"/>
      <c r="F1952" s="73"/>
      <c r="G1952" s="73"/>
      <c r="H1952" s="73"/>
      <c r="I1952" s="73"/>
      <c r="J1952" s="73"/>
      <c r="K1952" s="73"/>
      <c r="L1952" s="73"/>
      <c r="M1952" s="73"/>
      <c r="N1952" s="73"/>
      <c r="O1952" s="73"/>
      <c r="P1952" s="73"/>
      <c r="Q1952" s="73"/>
      <c r="R1952" s="73"/>
      <c r="S1952" s="73"/>
      <c r="T1952" s="73"/>
      <c r="U1952" s="73"/>
      <c r="V1952" s="73"/>
      <c r="W1952" s="73"/>
      <c r="GL1952" s="73"/>
      <c r="GM1952" s="73"/>
      <c r="GN1952" s="73"/>
      <c r="GO1952" s="73"/>
      <c r="GP1952" s="73"/>
      <c r="GQ1952" s="73"/>
      <c r="GR1952" s="73"/>
      <c r="GS1952" s="73"/>
      <c r="GT1952" s="73"/>
      <c r="GU1952" s="73"/>
      <c r="GV1952" s="73"/>
      <c r="GW1952" s="73"/>
      <c r="GX1952" s="73"/>
      <c r="GY1952" s="73"/>
      <c r="GZ1952" s="73"/>
      <c r="HA1952" s="73"/>
      <c r="HB1952" s="73"/>
      <c r="HC1952" s="73"/>
      <c r="HD1952" s="73"/>
      <c r="HE1952" s="73"/>
      <c r="HF1952" s="73"/>
      <c r="HG1952" s="73"/>
      <c r="HH1952" s="73"/>
      <c r="HI1952" s="73"/>
      <c r="HJ1952" s="73"/>
      <c r="HK1952" s="73"/>
      <c r="HL1952" s="73"/>
      <c r="HM1952" s="73"/>
      <c r="HN1952" s="73"/>
      <c r="HO1952" s="73"/>
      <c r="HP1952" s="73"/>
      <c r="HQ1952" s="73"/>
      <c r="HR1952" s="73"/>
      <c r="HS1952" s="73"/>
      <c r="HT1952" s="73"/>
      <c r="HU1952" s="73"/>
      <c r="HV1952" s="73"/>
      <c r="HW1952" s="73"/>
      <c r="HX1952" s="73"/>
      <c r="HY1952" s="73"/>
      <c r="HZ1952" s="73"/>
      <c r="IA1952" s="73"/>
      <c r="IB1952" s="73"/>
      <c r="IC1952" s="73"/>
      <c r="ID1952" s="73"/>
      <c r="IE1952" s="73"/>
      <c r="IF1952" s="73"/>
      <c r="IG1952" s="73"/>
      <c r="IH1952" s="73"/>
      <c r="II1952" s="73"/>
      <c r="IJ1952" s="73"/>
      <c r="IK1952" s="73"/>
      <c r="IL1952" s="73"/>
      <c r="IM1952" s="73"/>
      <c r="IN1952" s="73"/>
      <c r="IO1952" s="73"/>
      <c r="IP1952" s="73"/>
      <c r="IQ1952" s="73"/>
      <c r="IR1952" s="73"/>
      <c r="IS1952" s="73"/>
      <c r="IT1952" s="73"/>
      <c r="IU1952" s="73"/>
      <c r="IV1952" s="73"/>
      <c r="IW1952" s="73"/>
      <c r="IX1952" s="73"/>
      <c r="IY1952" s="73"/>
      <c r="IZ1952" s="73"/>
      <c r="JA1952" s="73"/>
      <c r="JB1952" s="73"/>
      <c r="JC1952" s="73"/>
    </row>
    <row r="1953" spans="2:263" s="72" customFormat="1">
      <c r="B1953" s="73"/>
      <c r="C1953" s="73"/>
      <c r="D1953" s="73"/>
      <c r="E1953" s="73"/>
      <c r="F1953" s="73"/>
      <c r="G1953" s="73"/>
      <c r="H1953" s="73"/>
      <c r="I1953" s="73"/>
      <c r="J1953" s="73"/>
      <c r="K1953" s="73"/>
      <c r="L1953" s="73"/>
      <c r="M1953" s="73"/>
      <c r="N1953" s="73"/>
      <c r="O1953" s="73"/>
      <c r="P1953" s="73"/>
      <c r="Q1953" s="73"/>
      <c r="R1953" s="73"/>
      <c r="S1953" s="73"/>
      <c r="T1953" s="73"/>
      <c r="U1953" s="73"/>
      <c r="V1953" s="73"/>
      <c r="W1953" s="73"/>
      <c r="GL1953" s="73"/>
      <c r="GM1953" s="73"/>
      <c r="GN1953" s="73"/>
      <c r="GO1953" s="73"/>
      <c r="GP1953" s="73"/>
      <c r="GQ1953" s="73"/>
      <c r="GR1953" s="73"/>
      <c r="GS1953" s="73"/>
      <c r="GT1953" s="73"/>
      <c r="GU1953" s="73"/>
      <c r="GV1953" s="73"/>
      <c r="GW1953" s="73"/>
      <c r="GX1953" s="73"/>
      <c r="GY1953" s="73"/>
      <c r="GZ1953" s="73"/>
      <c r="HA1953" s="73"/>
      <c r="HB1953" s="73"/>
      <c r="HC1953" s="73"/>
      <c r="HD1953" s="73"/>
      <c r="HE1953" s="73"/>
      <c r="HF1953" s="73"/>
      <c r="HG1953" s="73"/>
      <c r="HH1953" s="73"/>
      <c r="HI1953" s="73"/>
      <c r="HJ1953" s="73"/>
      <c r="HK1953" s="73"/>
      <c r="HL1953" s="73"/>
      <c r="HM1953" s="73"/>
      <c r="HN1953" s="73"/>
      <c r="HO1953" s="73"/>
      <c r="HP1953" s="73"/>
      <c r="HQ1953" s="73"/>
      <c r="HR1953" s="73"/>
      <c r="HS1953" s="73"/>
      <c r="HT1953" s="73"/>
      <c r="HU1953" s="73"/>
      <c r="HV1953" s="73"/>
      <c r="HW1953" s="73"/>
      <c r="HX1953" s="73"/>
      <c r="HY1953" s="73"/>
      <c r="HZ1953" s="73"/>
      <c r="IA1953" s="73"/>
      <c r="IB1953" s="73"/>
      <c r="IC1953" s="73"/>
      <c r="ID1953" s="73"/>
      <c r="IE1953" s="73"/>
      <c r="IF1953" s="73"/>
      <c r="IG1953" s="73"/>
      <c r="IH1953" s="73"/>
      <c r="II1953" s="73"/>
      <c r="IJ1953" s="73"/>
      <c r="IK1953" s="73"/>
      <c r="IL1953" s="73"/>
      <c r="IM1953" s="73"/>
      <c r="IN1953" s="73"/>
      <c r="IO1953" s="73"/>
      <c r="IP1953" s="73"/>
      <c r="IQ1953" s="73"/>
      <c r="IR1953" s="73"/>
      <c r="IS1953" s="73"/>
      <c r="IT1953" s="73"/>
      <c r="IU1953" s="73"/>
      <c r="IV1953" s="73"/>
      <c r="IW1953" s="73"/>
      <c r="IX1953" s="73"/>
      <c r="IY1953" s="73"/>
      <c r="IZ1953" s="73"/>
      <c r="JA1953" s="73"/>
      <c r="JB1953" s="73"/>
      <c r="JC1953" s="73"/>
    </row>
    <row r="1954" spans="2:263" s="72" customFormat="1">
      <c r="B1954" s="73"/>
      <c r="C1954" s="73"/>
      <c r="D1954" s="73"/>
      <c r="E1954" s="73"/>
      <c r="F1954" s="73"/>
      <c r="G1954" s="73"/>
      <c r="H1954" s="73"/>
      <c r="I1954" s="73"/>
      <c r="J1954" s="73"/>
      <c r="K1954" s="73"/>
      <c r="L1954" s="73"/>
      <c r="M1954" s="73"/>
      <c r="N1954" s="73"/>
      <c r="O1954" s="73"/>
      <c r="P1954" s="73"/>
      <c r="Q1954" s="73"/>
      <c r="R1954" s="73"/>
      <c r="S1954" s="73"/>
      <c r="T1954" s="73"/>
      <c r="U1954" s="73"/>
      <c r="V1954" s="73"/>
      <c r="W1954" s="73"/>
      <c r="GL1954" s="73"/>
      <c r="GM1954" s="73"/>
      <c r="GN1954" s="73"/>
      <c r="GO1954" s="73"/>
      <c r="GP1954" s="73"/>
      <c r="GQ1954" s="73"/>
      <c r="GR1954" s="73"/>
      <c r="GS1954" s="73"/>
      <c r="GT1954" s="73"/>
      <c r="GU1954" s="73"/>
      <c r="GV1954" s="73"/>
      <c r="GW1954" s="73"/>
      <c r="GX1954" s="73"/>
      <c r="GY1954" s="73"/>
      <c r="GZ1954" s="73"/>
      <c r="HA1954" s="73"/>
      <c r="HB1954" s="73"/>
      <c r="HC1954" s="73"/>
      <c r="HD1954" s="73"/>
      <c r="HE1954" s="73"/>
      <c r="HF1954" s="73"/>
      <c r="HG1954" s="73"/>
      <c r="HH1954" s="73"/>
      <c r="HI1954" s="73"/>
      <c r="HJ1954" s="73"/>
      <c r="HK1954" s="73"/>
      <c r="HL1954" s="73"/>
      <c r="HM1954" s="73"/>
      <c r="HN1954" s="73"/>
      <c r="HO1954" s="73"/>
      <c r="HP1954" s="73"/>
      <c r="HQ1954" s="73"/>
      <c r="HR1954" s="73"/>
      <c r="HS1954" s="73"/>
      <c r="HT1954" s="73"/>
      <c r="HU1954" s="73"/>
      <c r="HV1954" s="73"/>
      <c r="HW1954" s="73"/>
      <c r="HX1954" s="73"/>
      <c r="HY1954" s="73"/>
      <c r="HZ1954" s="73"/>
      <c r="IA1954" s="73"/>
      <c r="IB1954" s="73"/>
      <c r="IC1954" s="73"/>
      <c r="ID1954" s="73"/>
      <c r="IE1954" s="73"/>
      <c r="IF1954" s="73"/>
      <c r="IG1954" s="73"/>
      <c r="IH1954" s="73"/>
      <c r="II1954" s="73"/>
      <c r="IJ1954" s="73"/>
      <c r="IK1954" s="73"/>
      <c r="IL1954" s="73"/>
      <c r="IM1954" s="73"/>
      <c r="IN1954" s="73"/>
      <c r="IO1954" s="73"/>
      <c r="IP1954" s="73"/>
      <c r="IQ1954" s="73"/>
      <c r="IR1954" s="73"/>
      <c r="IS1954" s="73"/>
      <c r="IT1954" s="73"/>
      <c r="IU1954" s="73"/>
      <c r="IV1954" s="73"/>
      <c r="IW1954" s="73"/>
      <c r="IX1954" s="73"/>
      <c r="IY1954" s="73"/>
      <c r="IZ1954" s="73"/>
      <c r="JA1954" s="73"/>
      <c r="JB1954" s="73"/>
      <c r="JC1954" s="73"/>
    </row>
    <row r="1955" spans="2:263" s="72" customFormat="1">
      <c r="B1955" s="73"/>
      <c r="C1955" s="73"/>
      <c r="D1955" s="73"/>
      <c r="E1955" s="73"/>
      <c r="F1955" s="73"/>
      <c r="G1955" s="73"/>
      <c r="H1955" s="73"/>
      <c r="I1955" s="73"/>
      <c r="J1955" s="73"/>
      <c r="K1955" s="73"/>
      <c r="L1955" s="73"/>
      <c r="M1955" s="73"/>
      <c r="N1955" s="73"/>
      <c r="O1955" s="73"/>
      <c r="P1955" s="73"/>
      <c r="Q1955" s="73"/>
      <c r="R1955" s="73"/>
      <c r="S1955" s="73"/>
      <c r="T1955" s="73"/>
      <c r="U1955" s="73"/>
      <c r="V1955" s="73"/>
      <c r="W1955" s="73"/>
      <c r="GL1955" s="73"/>
      <c r="GM1955" s="73"/>
      <c r="GN1955" s="73"/>
      <c r="GO1955" s="73"/>
      <c r="GP1955" s="73"/>
      <c r="GQ1955" s="73"/>
      <c r="GR1955" s="73"/>
      <c r="GS1955" s="73"/>
      <c r="GT1955" s="73"/>
      <c r="GU1955" s="73"/>
      <c r="GV1955" s="73"/>
      <c r="GW1955" s="73"/>
      <c r="GX1955" s="73"/>
      <c r="GY1955" s="73"/>
      <c r="GZ1955" s="73"/>
      <c r="HA1955" s="73"/>
      <c r="HB1955" s="73"/>
      <c r="HC1955" s="73"/>
      <c r="HD1955" s="73"/>
      <c r="HE1955" s="73"/>
      <c r="HF1955" s="73"/>
      <c r="HG1955" s="73"/>
      <c r="HH1955" s="73"/>
      <c r="HI1955" s="73"/>
      <c r="HJ1955" s="73"/>
      <c r="HK1955" s="73"/>
      <c r="HL1955" s="73"/>
      <c r="HM1955" s="73"/>
      <c r="HN1955" s="73"/>
      <c r="HO1955" s="73"/>
      <c r="HP1955" s="73"/>
      <c r="HQ1955" s="73"/>
      <c r="HR1955" s="73"/>
      <c r="HS1955" s="73"/>
      <c r="HT1955" s="73"/>
      <c r="HU1955" s="73"/>
      <c r="HV1955" s="73"/>
      <c r="HW1955" s="73"/>
      <c r="HX1955" s="73"/>
      <c r="HY1955" s="73"/>
      <c r="HZ1955" s="73"/>
      <c r="IA1955" s="73"/>
      <c r="IB1955" s="73"/>
      <c r="IC1955" s="73"/>
      <c r="ID1955" s="73"/>
      <c r="IE1955" s="73"/>
      <c r="IF1955" s="73"/>
      <c r="IG1955" s="73"/>
      <c r="IH1955" s="73"/>
      <c r="II1955" s="73"/>
      <c r="IJ1955" s="73"/>
      <c r="IK1955" s="73"/>
      <c r="IL1955" s="73"/>
      <c r="IM1955" s="73"/>
      <c r="IN1955" s="73"/>
      <c r="IO1955" s="73"/>
      <c r="IP1955" s="73"/>
      <c r="IQ1955" s="73"/>
      <c r="IR1955" s="73"/>
      <c r="IS1955" s="73"/>
      <c r="IT1955" s="73"/>
      <c r="IU1955" s="73"/>
      <c r="IV1955" s="73"/>
      <c r="IW1955" s="73"/>
      <c r="IX1955" s="73"/>
      <c r="IY1955" s="73"/>
      <c r="IZ1955" s="73"/>
      <c r="JA1955" s="73"/>
      <c r="JB1955" s="73"/>
      <c r="JC1955" s="73"/>
    </row>
    <row r="1956" spans="2:263" s="72" customFormat="1">
      <c r="B1956" s="73"/>
      <c r="C1956" s="73"/>
      <c r="D1956" s="73"/>
      <c r="E1956" s="73"/>
      <c r="F1956" s="73"/>
      <c r="G1956" s="73"/>
      <c r="H1956" s="73"/>
      <c r="I1956" s="73"/>
      <c r="J1956" s="73"/>
      <c r="K1956" s="73"/>
      <c r="L1956" s="73"/>
      <c r="M1956" s="73"/>
      <c r="N1956" s="73"/>
      <c r="O1956" s="73"/>
      <c r="P1956" s="73"/>
      <c r="Q1956" s="73"/>
      <c r="R1956" s="73"/>
      <c r="S1956" s="73"/>
      <c r="T1956" s="73"/>
      <c r="U1956" s="73"/>
      <c r="V1956" s="73"/>
      <c r="W1956" s="73"/>
      <c r="GL1956" s="73"/>
      <c r="GM1956" s="73"/>
      <c r="GN1956" s="73"/>
      <c r="GO1956" s="73"/>
      <c r="GP1956" s="73"/>
      <c r="GQ1956" s="73"/>
      <c r="GR1956" s="73"/>
      <c r="GS1956" s="73"/>
      <c r="GT1956" s="73"/>
      <c r="GU1956" s="73"/>
      <c r="GV1956" s="73"/>
      <c r="GW1956" s="73"/>
      <c r="GX1956" s="73"/>
      <c r="GY1956" s="73"/>
      <c r="GZ1956" s="73"/>
      <c r="HA1956" s="73"/>
      <c r="HB1956" s="73"/>
      <c r="HC1956" s="73"/>
      <c r="HD1956" s="73"/>
      <c r="HE1956" s="73"/>
      <c r="HF1956" s="73"/>
      <c r="HG1956" s="73"/>
      <c r="HH1956" s="73"/>
      <c r="HI1956" s="73"/>
      <c r="HJ1956" s="73"/>
      <c r="HK1956" s="73"/>
      <c r="HL1956" s="73"/>
      <c r="HM1956" s="73"/>
      <c r="HN1956" s="73"/>
      <c r="HO1956" s="73"/>
      <c r="HP1956" s="73"/>
      <c r="HQ1956" s="73"/>
      <c r="HR1956" s="73"/>
      <c r="HS1956" s="73"/>
      <c r="HT1956" s="73"/>
      <c r="HU1956" s="73"/>
      <c r="HV1956" s="73"/>
      <c r="HW1956" s="73"/>
      <c r="HX1956" s="73"/>
      <c r="HY1956" s="73"/>
      <c r="HZ1956" s="73"/>
      <c r="IA1956" s="73"/>
      <c r="IB1956" s="73"/>
      <c r="IC1956" s="73"/>
      <c r="ID1956" s="73"/>
      <c r="IE1956" s="73"/>
      <c r="IF1956" s="73"/>
      <c r="IG1956" s="73"/>
      <c r="IH1956" s="73"/>
      <c r="II1956" s="73"/>
      <c r="IJ1956" s="73"/>
      <c r="IK1956" s="73"/>
      <c r="IL1956" s="73"/>
      <c r="IM1956" s="73"/>
      <c r="IN1956" s="73"/>
      <c r="IO1956" s="73"/>
      <c r="IP1956" s="73"/>
      <c r="IQ1956" s="73"/>
      <c r="IR1956" s="73"/>
      <c r="IS1956" s="73"/>
      <c r="IT1956" s="73"/>
      <c r="IU1956" s="73"/>
      <c r="IV1956" s="73"/>
      <c r="IW1956" s="73"/>
      <c r="IX1956" s="73"/>
      <c r="IY1956" s="73"/>
      <c r="IZ1956" s="73"/>
      <c r="JA1956" s="73"/>
      <c r="JB1956" s="73"/>
      <c r="JC1956" s="73"/>
    </row>
    <row r="1957" spans="2:263" s="72" customFormat="1">
      <c r="B1957" s="73"/>
      <c r="C1957" s="73"/>
      <c r="D1957" s="73"/>
      <c r="E1957" s="73"/>
      <c r="F1957" s="73"/>
      <c r="G1957" s="73"/>
      <c r="H1957" s="73"/>
      <c r="I1957" s="73"/>
      <c r="J1957" s="73"/>
      <c r="K1957" s="73"/>
      <c r="L1957" s="73"/>
      <c r="M1957" s="73"/>
      <c r="N1957" s="73"/>
      <c r="O1957" s="73"/>
      <c r="P1957" s="73"/>
      <c r="Q1957" s="73"/>
      <c r="R1957" s="73"/>
      <c r="S1957" s="73"/>
      <c r="T1957" s="73"/>
      <c r="U1957" s="73"/>
      <c r="V1957" s="73"/>
      <c r="W1957" s="73"/>
      <c r="GL1957" s="73"/>
      <c r="GM1957" s="73"/>
      <c r="GN1957" s="73"/>
      <c r="GO1957" s="73"/>
      <c r="GP1957" s="73"/>
      <c r="GQ1957" s="73"/>
      <c r="GR1957" s="73"/>
      <c r="GS1957" s="73"/>
      <c r="GT1957" s="73"/>
      <c r="GU1957" s="73"/>
      <c r="GV1957" s="73"/>
      <c r="GW1957" s="73"/>
      <c r="GX1957" s="73"/>
      <c r="GY1957" s="73"/>
      <c r="GZ1957" s="73"/>
      <c r="HA1957" s="73"/>
      <c r="HB1957" s="73"/>
      <c r="HC1957" s="73"/>
      <c r="HD1957" s="73"/>
      <c r="HE1957" s="73"/>
      <c r="HF1957" s="73"/>
      <c r="HG1957" s="73"/>
      <c r="HH1957" s="73"/>
      <c r="HI1957" s="73"/>
      <c r="HJ1957" s="73"/>
      <c r="HK1957" s="73"/>
      <c r="HL1957" s="73"/>
      <c r="HM1957" s="73"/>
      <c r="HN1957" s="73"/>
      <c r="HO1957" s="73"/>
      <c r="HP1957" s="73"/>
      <c r="HQ1957" s="73"/>
      <c r="HR1957" s="73"/>
      <c r="HS1957" s="73"/>
      <c r="HT1957" s="73"/>
      <c r="HU1957" s="73"/>
      <c r="HV1957" s="73"/>
      <c r="HW1957" s="73"/>
      <c r="HX1957" s="73"/>
      <c r="HY1957" s="73"/>
      <c r="HZ1957" s="73"/>
      <c r="IA1957" s="73"/>
      <c r="IB1957" s="73"/>
      <c r="IC1957" s="73"/>
      <c r="ID1957" s="73"/>
      <c r="IE1957" s="73"/>
      <c r="IF1957" s="73"/>
      <c r="IG1957" s="73"/>
      <c r="IH1957" s="73"/>
      <c r="II1957" s="73"/>
      <c r="IJ1957" s="73"/>
      <c r="IK1957" s="73"/>
      <c r="IL1957" s="73"/>
      <c r="IM1957" s="73"/>
      <c r="IN1957" s="73"/>
      <c r="IO1957" s="73"/>
      <c r="IP1957" s="73"/>
      <c r="IQ1957" s="73"/>
      <c r="IR1957" s="73"/>
      <c r="IS1957" s="73"/>
      <c r="IT1957" s="73"/>
      <c r="IU1957" s="73"/>
      <c r="IV1957" s="73"/>
      <c r="IW1957" s="73"/>
      <c r="IX1957" s="73"/>
      <c r="IY1957" s="73"/>
      <c r="IZ1957" s="73"/>
      <c r="JA1957" s="73"/>
      <c r="JB1957" s="73"/>
      <c r="JC1957" s="73"/>
    </row>
    <row r="1958" spans="2:263" s="72" customFormat="1">
      <c r="B1958" s="73"/>
      <c r="C1958" s="73"/>
      <c r="D1958" s="73"/>
      <c r="E1958" s="73"/>
      <c r="F1958" s="73"/>
      <c r="G1958" s="73"/>
      <c r="H1958" s="73"/>
      <c r="I1958" s="73"/>
      <c r="J1958" s="73"/>
      <c r="K1958" s="73"/>
      <c r="L1958" s="73"/>
      <c r="M1958" s="73"/>
      <c r="N1958" s="73"/>
      <c r="O1958" s="73"/>
      <c r="P1958" s="73"/>
      <c r="Q1958" s="73"/>
      <c r="R1958" s="73"/>
      <c r="S1958" s="73"/>
      <c r="T1958" s="73"/>
      <c r="U1958" s="73"/>
      <c r="V1958" s="73"/>
      <c r="W1958" s="73"/>
      <c r="GL1958" s="73"/>
      <c r="GM1958" s="73"/>
      <c r="GN1958" s="73"/>
      <c r="GO1958" s="73"/>
      <c r="GP1958" s="73"/>
      <c r="GQ1958" s="73"/>
      <c r="GR1958" s="73"/>
      <c r="GS1958" s="73"/>
      <c r="GT1958" s="73"/>
      <c r="GU1958" s="73"/>
      <c r="GV1958" s="73"/>
      <c r="GW1958" s="73"/>
      <c r="GX1958" s="73"/>
      <c r="GY1958" s="73"/>
      <c r="GZ1958" s="73"/>
      <c r="HA1958" s="73"/>
      <c r="HB1958" s="73"/>
      <c r="HC1958" s="73"/>
      <c r="HD1958" s="73"/>
      <c r="HE1958" s="73"/>
      <c r="HF1958" s="73"/>
      <c r="HG1958" s="73"/>
      <c r="HH1958" s="73"/>
      <c r="HI1958" s="73"/>
      <c r="HJ1958" s="73"/>
      <c r="HK1958" s="73"/>
      <c r="HL1958" s="73"/>
      <c r="HM1958" s="73"/>
      <c r="HN1958" s="73"/>
      <c r="HO1958" s="73"/>
      <c r="HP1958" s="73"/>
      <c r="HQ1958" s="73"/>
      <c r="HR1958" s="73"/>
      <c r="HS1958" s="73"/>
      <c r="HT1958" s="73"/>
      <c r="HU1958" s="73"/>
      <c r="HV1958" s="73"/>
      <c r="HW1958" s="73"/>
      <c r="HX1958" s="73"/>
      <c r="HY1958" s="73"/>
      <c r="HZ1958" s="73"/>
      <c r="IA1958" s="73"/>
      <c r="IB1958" s="73"/>
      <c r="IC1958" s="73"/>
      <c r="ID1958" s="73"/>
      <c r="IE1958" s="73"/>
      <c r="IF1958" s="73"/>
      <c r="IG1958" s="73"/>
      <c r="IH1958" s="73"/>
      <c r="II1958" s="73"/>
      <c r="IJ1958" s="73"/>
      <c r="IK1958" s="73"/>
      <c r="IL1958" s="73"/>
      <c r="IM1958" s="73"/>
      <c r="IN1958" s="73"/>
      <c r="IO1958" s="73"/>
      <c r="IP1958" s="73"/>
      <c r="IQ1958" s="73"/>
      <c r="IR1958" s="73"/>
      <c r="IS1958" s="73"/>
      <c r="IT1958" s="73"/>
      <c r="IU1958" s="73"/>
      <c r="IV1958" s="73"/>
      <c r="IW1958" s="73"/>
      <c r="IX1958" s="73"/>
      <c r="IY1958" s="73"/>
      <c r="IZ1958" s="73"/>
      <c r="JA1958" s="73"/>
      <c r="JB1958" s="73"/>
      <c r="JC1958" s="73"/>
    </row>
    <row r="1959" spans="2:263" s="72" customFormat="1">
      <c r="B1959" s="73"/>
      <c r="C1959" s="73"/>
      <c r="D1959" s="73"/>
      <c r="E1959" s="73"/>
      <c r="F1959" s="73"/>
      <c r="G1959" s="73"/>
      <c r="H1959" s="73"/>
      <c r="I1959" s="73"/>
      <c r="J1959" s="73"/>
      <c r="K1959" s="73"/>
      <c r="L1959" s="73"/>
      <c r="M1959" s="73"/>
      <c r="N1959" s="73"/>
      <c r="O1959" s="73"/>
      <c r="P1959" s="73"/>
      <c r="Q1959" s="73"/>
      <c r="R1959" s="73"/>
      <c r="S1959" s="73"/>
      <c r="T1959" s="73"/>
      <c r="U1959" s="73"/>
      <c r="V1959" s="73"/>
      <c r="W1959" s="73"/>
      <c r="GL1959" s="73"/>
      <c r="GM1959" s="73"/>
      <c r="GN1959" s="73"/>
      <c r="GO1959" s="73"/>
      <c r="GP1959" s="73"/>
      <c r="GQ1959" s="73"/>
      <c r="GR1959" s="73"/>
      <c r="GS1959" s="73"/>
      <c r="GT1959" s="73"/>
      <c r="GU1959" s="73"/>
      <c r="GV1959" s="73"/>
      <c r="GW1959" s="73"/>
      <c r="GX1959" s="73"/>
      <c r="GY1959" s="73"/>
      <c r="GZ1959" s="73"/>
      <c r="HA1959" s="73"/>
      <c r="HB1959" s="73"/>
      <c r="HC1959" s="73"/>
      <c r="HD1959" s="73"/>
      <c r="HE1959" s="73"/>
      <c r="HF1959" s="73"/>
      <c r="HG1959" s="73"/>
      <c r="HH1959" s="73"/>
      <c r="HI1959" s="73"/>
      <c r="HJ1959" s="73"/>
      <c r="HK1959" s="73"/>
      <c r="HL1959" s="73"/>
      <c r="HM1959" s="73"/>
      <c r="HN1959" s="73"/>
      <c r="HO1959" s="73"/>
      <c r="HP1959" s="73"/>
      <c r="HQ1959" s="73"/>
      <c r="HR1959" s="73"/>
      <c r="HS1959" s="73"/>
      <c r="HT1959" s="73"/>
      <c r="HU1959" s="73"/>
      <c r="HV1959" s="73"/>
      <c r="HW1959" s="73"/>
      <c r="HX1959" s="73"/>
      <c r="HY1959" s="73"/>
      <c r="HZ1959" s="73"/>
      <c r="IA1959" s="73"/>
      <c r="IB1959" s="73"/>
      <c r="IC1959" s="73"/>
      <c r="ID1959" s="73"/>
      <c r="IE1959" s="73"/>
      <c r="IF1959" s="73"/>
      <c r="IG1959" s="73"/>
      <c r="IH1959" s="73"/>
      <c r="II1959" s="73"/>
      <c r="IJ1959" s="73"/>
      <c r="IK1959" s="73"/>
      <c r="IL1959" s="73"/>
      <c r="IM1959" s="73"/>
      <c r="IN1959" s="73"/>
      <c r="IO1959" s="73"/>
      <c r="IP1959" s="73"/>
      <c r="IQ1959" s="73"/>
      <c r="IR1959" s="73"/>
      <c r="IS1959" s="73"/>
      <c r="IT1959" s="73"/>
      <c r="IU1959" s="73"/>
      <c r="IV1959" s="73"/>
      <c r="IW1959" s="73"/>
      <c r="IX1959" s="73"/>
      <c r="IY1959" s="73"/>
      <c r="IZ1959" s="73"/>
      <c r="JA1959" s="73"/>
      <c r="JB1959" s="73"/>
      <c r="JC1959" s="73"/>
    </row>
    <row r="1960" spans="2:263" s="72" customFormat="1">
      <c r="B1960" s="73"/>
      <c r="C1960" s="73"/>
      <c r="D1960" s="73"/>
      <c r="E1960" s="73"/>
      <c r="F1960" s="73"/>
      <c r="G1960" s="73"/>
      <c r="H1960" s="73"/>
      <c r="I1960" s="73"/>
      <c r="J1960" s="73"/>
      <c r="K1960" s="73"/>
      <c r="L1960" s="73"/>
      <c r="M1960" s="73"/>
      <c r="N1960" s="73"/>
      <c r="O1960" s="73"/>
      <c r="P1960" s="73"/>
      <c r="Q1960" s="73"/>
      <c r="R1960" s="73"/>
      <c r="S1960" s="73"/>
      <c r="T1960" s="73"/>
      <c r="U1960" s="73"/>
      <c r="V1960" s="73"/>
      <c r="W1960" s="73"/>
      <c r="GL1960" s="73"/>
      <c r="GM1960" s="73"/>
      <c r="GN1960" s="73"/>
      <c r="GO1960" s="73"/>
      <c r="GP1960" s="73"/>
      <c r="GQ1960" s="73"/>
      <c r="GR1960" s="73"/>
      <c r="GS1960" s="73"/>
      <c r="GT1960" s="73"/>
      <c r="GU1960" s="73"/>
      <c r="GV1960" s="73"/>
      <c r="GW1960" s="73"/>
      <c r="GX1960" s="73"/>
      <c r="GY1960" s="73"/>
      <c r="GZ1960" s="73"/>
      <c r="HA1960" s="73"/>
      <c r="HB1960" s="73"/>
      <c r="HC1960" s="73"/>
      <c r="HD1960" s="73"/>
      <c r="HE1960" s="73"/>
      <c r="HF1960" s="73"/>
      <c r="HG1960" s="73"/>
      <c r="HH1960" s="73"/>
      <c r="HI1960" s="73"/>
      <c r="HJ1960" s="73"/>
      <c r="HK1960" s="73"/>
      <c r="HL1960" s="73"/>
      <c r="HM1960" s="73"/>
      <c r="HN1960" s="73"/>
      <c r="HO1960" s="73"/>
      <c r="HP1960" s="73"/>
      <c r="HQ1960" s="73"/>
      <c r="HR1960" s="73"/>
      <c r="HS1960" s="73"/>
      <c r="HT1960" s="73"/>
      <c r="HU1960" s="73"/>
      <c r="HV1960" s="73"/>
      <c r="HW1960" s="73"/>
      <c r="HX1960" s="73"/>
      <c r="HY1960" s="73"/>
      <c r="HZ1960" s="73"/>
      <c r="IA1960" s="73"/>
      <c r="IB1960" s="73"/>
      <c r="IC1960" s="73"/>
      <c r="ID1960" s="73"/>
      <c r="IE1960" s="73"/>
      <c r="IF1960" s="73"/>
      <c r="IG1960" s="73"/>
      <c r="IH1960" s="73"/>
      <c r="II1960" s="73"/>
      <c r="IJ1960" s="73"/>
      <c r="IK1960" s="73"/>
      <c r="IL1960" s="73"/>
      <c r="IM1960" s="73"/>
      <c r="IN1960" s="73"/>
      <c r="IO1960" s="73"/>
      <c r="IP1960" s="73"/>
      <c r="IQ1960" s="73"/>
      <c r="IR1960" s="73"/>
      <c r="IS1960" s="73"/>
      <c r="IT1960" s="73"/>
      <c r="IU1960" s="73"/>
      <c r="IV1960" s="73"/>
      <c r="IW1960" s="73"/>
      <c r="IX1960" s="73"/>
      <c r="IY1960" s="73"/>
      <c r="IZ1960" s="73"/>
      <c r="JA1960" s="73"/>
      <c r="JB1960" s="73"/>
      <c r="JC1960" s="73"/>
    </row>
    <row r="1961" spans="2:263" s="72" customFormat="1">
      <c r="B1961" s="73"/>
      <c r="C1961" s="73"/>
      <c r="D1961" s="73"/>
      <c r="E1961" s="73"/>
      <c r="F1961" s="73"/>
      <c r="G1961" s="73"/>
      <c r="H1961" s="73"/>
      <c r="I1961" s="73"/>
      <c r="J1961" s="73"/>
      <c r="K1961" s="73"/>
      <c r="L1961" s="73"/>
      <c r="M1961" s="73"/>
      <c r="N1961" s="73"/>
      <c r="O1961" s="73"/>
      <c r="P1961" s="73"/>
      <c r="Q1961" s="73"/>
      <c r="R1961" s="73"/>
      <c r="S1961" s="73"/>
      <c r="T1961" s="73"/>
      <c r="U1961" s="73"/>
      <c r="V1961" s="73"/>
      <c r="W1961" s="73"/>
      <c r="GL1961" s="73"/>
      <c r="GM1961" s="73"/>
      <c r="GN1961" s="73"/>
      <c r="GO1961" s="73"/>
      <c r="GP1961" s="73"/>
      <c r="GQ1961" s="73"/>
      <c r="GR1961" s="73"/>
      <c r="GS1961" s="73"/>
      <c r="GT1961" s="73"/>
      <c r="GU1961" s="73"/>
      <c r="GV1961" s="73"/>
      <c r="GW1961" s="73"/>
      <c r="GX1961" s="73"/>
      <c r="GY1961" s="73"/>
      <c r="GZ1961" s="73"/>
      <c r="HA1961" s="73"/>
      <c r="HB1961" s="73"/>
      <c r="HC1961" s="73"/>
      <c r="HD1961" s="73"/>
      <c r="HE1961" s="73"/>
      <c r="HF1961" s="73"/>
      <c r="HG1961" s="73"/>
      <c r="HH1961" s="73"/>
      <c r="HI1961" s="73"/>
      <c r="HJ1961" s="73"/>
      <c r="HK1961" s="73"/>
      <c r="HL1961" s="73"/>
      <c r="HM1961" s="73"/>
      <c r="HN1961" s="73"/>
      <c r="HO1961" s="73"/>
      <c r="HP1961" s="73"/>
      <c r="HQ1961" s="73"/>
      <c r="HR1961" s="73"/>
      <c r="HS1961" s="73"/>
      <c r="HT1961" s="73"/>
      <c r="HU1961" s="73"/>
      <c r="HV1961" s="73"/>
      <c r="HW1961" s="73"/>
      <c r="HX1961" s="73"/>
      <c r="HY1961" s="73"/>
      <c r="HZ1961" s="73"/>
      <c r="IA1961" s="73"/>
      <c r="IB1961" s="73"/>
      <c r="IC1961" s="73"/>
      <c r="ID1961" s="73"/>
      <c r="IE1961" s="73"/>
      <c r="IF1961" s="73"/>
      <c r="IG1961" s="73"/>
      <c r="IH1961" s="73"/>
      <c r="II1961" s="73"/>
      <c r="IJ1961" s="73"/>
      <c r="IK1961" s="73"/>
      <c r="IL1961" s="73"/>
      <c r="IM1961" s="73"/>
      <c r="IN1961" s="73"/>
      <c r="IO1961" s="73"/>
      <c r="IP1961" s="73"/>
      <c r="IQ1961" s="73"/>
      <c r="IR1961" s="73"/>
      <c r="IS1961" s="73"/>
      <c r="IT1961" s="73"/>
      <c r="IU1961" s="73"/>
      <c r="IV1961" s="73"/>
      <c r="IW1961" s="73"/>
      <c r="IX1961" s="73"/>
      <c r="IY1961" s="73"/>
      <c r="IZ1961" s="73"/>
      <c r="JA1961" s="73"/>
      <c r="JB1961" s="73"/>
      <c r="JC1961" s="73"/>
    </row>
    <row r="1962" spans="2:263" s="72" customFormat="1">
      <c r="B1962" s="73"/>
      <c r="C1962" s="73"/>
      <c r="D1962" s="73"/>
      <c r="E1962" s="73"/>
      <c r="F1962" s="73"/>
      <c r="G1962" s="73"/>
      <c r="H1962" s="73"/>
      <c r="I1962" s="73"/>
      <c r="J1962" s="73"/>
      <c r="K1962" s="73"/>
      <c r="L1962" s="73"/>
      <c r="M1962" s="73"/>
      <c r="N1962" s="73"/>
      <c r="O1962" s="73"/>
      <c r="P1962" s="73"/>
      <c r="Q1962" s="73"/>
      <c r="R1962" s="73"/>
      <c r="S1962" s="73"/>
      <c r="T1962" s="73"/>
      <c r="U1962" s="73"/>
      <c r="V1962" s="73"/>
      <c r="W1962" s="73"/>
      <c r="GL1962" s="73"/>
      <c r="GM1962" s="73"/>
      <c r="GN1962" s="73"/>
      <c r="GO1962" s="73"/>
      <c r="GP1962" s="73"/>
      <c r="GQ1962" s="73"/>
      <c r="GR1962" s="73"/>
      <c r="GS1962" s="73"/>
      <c r="GT1962" s="73"/>
      <c r="GU1962" s="73"/>
      <c r="GV1962" s="73"/>
      <c r="GW1962" s="73"/>
      <c r="GX1962" s="73"/>
      <c r="GY1962" s="73"/>
      <c r="GZ1962" s="73"/>
      <c r="HA1962" s="73"/>
      <c r="HB1962" s="73"/>
      <c r="HC1962" s="73"/>
      <c r="HD1962" s="73"/>
      <c r="HE1962" s="73"/>
      <c r="HF1962" s="73"/>
      <c r="HG1962" s="73"/>
      <c r="HH1962" s="73"/>
      <c r="HI1962" s="73"/>
      <c r="HJ1962" s="73"/>
      <c r="HK1962" s="73"/>
      <c r="HL1962" s="73"/>
      <c r="HM1962" s="73"/>
      <c r="HN1962" s="73"/>
      <c r="HO1962" s="73"/>
      <c r="HP1962" s="73"/>
      <c r="HQ1962" s="73"/>
      <c r="HR1962" s="73"/>
      <c r="HS1962" s="73"/>
      <c r="HT1962" s="73"/>
      <c r="HU1962" s="73"/>
      <c r="HV1962" s="73"/>
      <c r="HW1962" s="73"/>
      <c r="HX1962" s="73"/>
      <c r="HY1962" s="73"/>
      <c r="HZ1962" s="73"/>
      <c r="IA1962" s="73"/>
      <c r="IB1962" s="73"/>
      <c r="IC1962" s="73"/>
      <c r="ID1962" s="73"/>
      <c r="IE1962" s="73"/>
      <c r="IF1962" s="73"/>
      <c r="IG1962" s="73"/>
      <c r="IH1962" s="73"/>
      <c r="II1962" s="73"/>
      <c r="IJ1962" s="73"/>
      <c r="IK1962" s="73"/>
      <c r="IL1962" s="73"/>
      <c r="IM1962" s="73"/>
      <c r="IN1962" s="73"/>
      <c r="IO1962" s="73"/>
      <c r="IP1962" s="73"/>
      <c r="IQ1962" s="73"/>
      <c r="IR1962" s="73"/>
      <c r="IS1962" s="73"/>
      <c r="IT1962" s="73"/>
      <c r="IU1962" s="73"/>
      <c r="IV1962" s="73"/>
      <c r="IW1962" s="73"/>
      <c r="IX1962" s="73"/>
      <c r="IY1962" s="73"/>
      <c r="IZ1962" s="73"/>
      <c r="JA1962" s="73"/>
      <c r="JB1962" s="73"/>
      <c r="JC1962" s="73"/>
    </row>
    <row r="1963" spans="2:263" s="72" customFormat="1">
      <c r="B1963" s="73"/>
      <c r="C1963" s="73"/>
      <c r="D1963" s="73"/>
      <c r="E1963" s="73"/>
      <c r="F1963" s="73"/>
      <c r="G1963" s="73"/>
      <c r="H1963" s="73"/>
      <c r="I1963" s="73"/>
      <c r="J1963" s="73"/>
      <c r="K1963" s="73"/>
      <c r="L1963" s="73"/>
      <c r="M1963" s="73"/>
      <c r="N1963" s="73"/>
      <c r="O1963" s="73"/>
      <c r="P1963" s="73"/>
      <c r="Q1963" s="73"/>
      <c r="R1963" s="73"/>
      <c r="S1963" s="73"/>
      <c r="T1963" s="73"/>
      <c r="U1963" s="73"/>
      <c r="V1963" s="73"/>
      <c r="W1963" s="73"/>
      <c r="GL1963" s="73"/>
      <c r="GM1963" s="73"/>
      <c r="GN1963" s="73"/>
      <c r="GO1963" s="73"/>
      <c r="GP1963" s="73"/>
      <c r="GQ1963" s="73"/>
      <c r="GR1963" s="73"/>
      <c r="GS1963" s="73"/>
      <c r="GT1963" s="73"/>
      <c r="GU1963" s="73"/>
      <c r="GV1963" s="73"/>
      <c r="GW1963" s="73"/>
      <c r="GX1963" s="73"/>
      <c r="GY1963" s="73"/>
      <c r="GZ1963" s="73"/>
      <c r="HA1963" s="73"/>
      <c r="HB1963" s="73"/>
      <c r="HC1963" s="73"/>
      <c r="HD1963" s="73"/>
      <c r="HE1963" s="73"/>
      <c r="HF1963" s="73"/>
      <c r="HG1963" s="73"/>
      <c r="HH1963" s="73"/>
      <c r="HI1963" s="73"/>
      <c r="HJ1963" s="73"/>
      <c r="HK1963" s="73"/>
      <c r="HL1963" s="73"/>
      <c r="HM1963" s="73"/>
      <c r="HN1963" s="73"/>
      <c r="HO1963" s="73"/>
      <c r="HP1963" s="73"/>
      <c r="HQ1963" s="73"/>
      <c r="HR1963" s="73"/>
      <c r="HS1963" s="73"/>
      <c r="HT1963" s="73"/>
      <c r="HU1963" s="73"/>
      <c r="HV1963" s="73"/>
      <c r="HW1963" s="73"/>
      <c r="HX1963" s="73"/>
      <c r="HY1963" s="73"/>
      <c r="HZ1963" s="73"/>
      <c r="IA1963" s="73"/>
      <c r="IB1963" s="73"/>
      <c r="IC1963" s="73"/>
      <c r="ID1963" s="73"/>
      <c r="IE1963" s="73"/>
      <c r="IF1963" s="73"/>
      <c r="IG1963" s="73"/>
      <c r="IH1963" s="73"/>
      <c r="II1963" s="73"/>
      <c r="IJ1963" s="73"/>
      <c r="IK1963" s="73"/>
      <c r="IL1963" s="73"/>
      <c r="IM1963" s="73"/>
      <c r="IN1963" s="73"/>
      <c r="IO1963" s="73"/>
      <c r="IP1963" s="73"/>
      <c r="IQ1963" s="73"/>
      <c r="IR1963" s="73"/>
      <c r="IS1963" s="73"/>
      <c r="IT1963" s="73"/>
      <c r="IU1963" s="73"/>
      <c r="IV1963" s="73"/>
      <c r="IW1963" s="73"/>
      <c r="IX1963" s="73"/>
      <c r="IY1963" s="73"/>
      <c r="IZ1963" s="73"/>
      <c r="JA1963" s="73"/>
      <c r="JB1963" s="73"/>
      <c r="JC1963" s="73"/>
    </row>
    <row r="1964" spans="2:263" s="72" customFormat="1">
      <c r="B1964" s="73"/>
      <c r="C1964" s="73"/>
      <c r="D1964" s="73"/>
      <c r="E1964" s="73"/>
      <c r="F1964" s="73"/>
      <c r="G1964" s="73"/>
      <c r="H1964" s="73"/>
      <c r="I1964" s="73"/>
      <c r="J1964" s="73"/>
      <c r="K1964" s="73"/>
      <c r="L1964" s="73"/>
      <c r="M1964" s="73"/>
      <c r="N1964" s="73"/>
      <c r="O1964" s="73"/>
      <c r="P1964" s="73"/>
      <c r="Q1964" s="73"/>
      <c r="R1964" s="73"/>
      <c r="S1964" s="73"/>
      <c r="T1964" s="73"/>
      <c r="U1964" s="73"/>
      <c r="V1964" s="73"/>
      <c r="W1964" s="73"/>
      <c r="GL1964" s="73"/>
      <c r="GM1964" s="73"/>
      <c r="GN1964" s="73"/>
      <c r="GO1964" s="73"/>
      <c r="GP1964" s="73"/>
      <c r="GQ1964" s="73"/>
      <c r="GR1964" s="73"/>
      <c r="GS1964" s="73"/>
      <c r="GT1964" s="73"/>
      <c r="GU1964" s="73"/>
      <c r="GV1964" s="73"/>
      <c r="GW1964" s="73"/>
      <c r="GX1964" s="73"/>
      <c r="GY1964" s="73"/>
      <c r="GZ1964" s="73"/>
      <c r="HA1964" s="73"/>
      <c r="HB1964" s="73"/>
      <c r="HC1964" s="73"/>
      <c r="HD1964" s="73"/>
      <c r="HE1964" s="73"/>
      <c r="HF1964" s="73"/>
      <c r="HG1964" s="73"/>
      <c r="HH1964" s="73"/>
      <c r="HI1964" s="73"/>
      <c r="HJ1964" s="73"/>
      <c r="HK1964" s="73"/>
      <c r="HL1964" s="73"/>
      <c r="HM1964" s="73"/>
      <c r="HN1964" s="73"/>
      <c r="HO1964" s="73"/>
      <c r="HP1964" s="73"/>
      <c r="HQ1964" s="73"/>
      <c r="HR1964" s="73"/>
      <c r="HS1964" s="73"/>
      <c r="HT1964" s="73"/>
      <c r="HU1964" s="73"/>
      <c r="HV1964" s="73"/>
      <c r="HW1964" s="73"/>
      <c r="HX1964" s="73"/>
      <c r="HY1964" s="73"/>
      <c r="HZ1964" s="73"/>
      <c r="IA1964" s="73"/>
      <c r="IB1964" s="73"/>
      <c r="IC1964" s="73"/>
      <c r="ID1964" s="73"/>
      <c r="IE1964" s="73"/>
      <c r="IF1964" s="73"/>
      <c r="IG1964" s="73"/>
      <c r="IH1964" s="73"/>
      <c r="II1964" s="73"/>
      <c r="IJ1964" s="73"/>
      <c r="IK1964" s="73"/>
      <c r="IL1964" s="73"/>
      <c r="IM1964" s="73"/>
      <c r="IN1964" s="73"/>
      <c r="IO1964" s="73"/>
      <c r="IP1964" s="73"/>
      <c r="IQ1964" s="73"/>
      <c r="IR1964" s="73"/>
      <c r="IS1964" s="73"/>
      <c r="IT1964" s="73"/>
      <c r="IU1964" s="73"/>
      <c r="IV1964" s="73"/>
      <c r="IW1964" s="73"/>
      <c r="IX1964" s="73"/>
      <c r="IY1964" s="73"/>
      <c r="IZ1964" s="73"/>
      <c r="JA1964" s="73"/>
      <c r="JB1964" s="73"/>
      <c r="JC1964" s="73"/>
    </row>
    <row r="1965" spans="2:263" s="72" customFormat="1">
      <c r="B1965" s="73"/>
      <c r="C1965" s="73"/>
      <c r="D1965" s="73"/>
      <c r="E1965" s="73"/>
      <c r="F1965" s="73"/>
      <c r="G1965" s="73"/>
      <c r="H1965" s="73"/>
      <c r="I1965" s="73"/>
      <c r="J1965" s="73"/>
      <c r="K1965" s="73"/>
      <c r="L1965" s="73"/>
      <c r="M1965" s="73"/>
      <c r="N1965" s="73"/>
      <c r="O1965" s="73"/>
      <c r="P1965" s="73"/>
      <c r="Q1965" s="73"/>
      <c r="R1965" s="73"/>
      <c r="S1965" s="73"/>
      <c r="T1965" s="73"/>
      <c r="U1965" s="73"/>
      <c r="V1965" s="73"/>
      <c r="W1965" s="73"/>
      <c r="GL1965" s="73"/>
      <c r="GM1965" s="73"/>
      <c r="GN1965" s="73"/>
      <c r="GO1965" s="73"/>
      <c r="GP1965" s="73"/>
      <c r="GQ1965" s="73"/>
      <c r="GR1965" s="73"/>
      <c r="GS1965" s="73"/>
      <c r="GT1965" s="73"/>
      <c r="GU1965" s="73"/>
      <c r="GV1965" s="73"/>
      <c r="GW1965" s="73"/>
      <c r="GX1965" s="73"/>
      <c r="GY1965" s="73"/>
      <c r="GZ1965" s="73"/>
      <c r="HA1965" s="73"/>
      <c r="HB1965" s="73"/>
      <c r="HC1965" s="73"/>
      <c r="HD1965" s="73"/>
      <c r="HE1965" s="73"/>
      <c r="HF1965" s="73"/>
      <c r="HG1965" s="73"/>
      <c r="HH1965" s="73"/>
      <c r="HI1965" s="73"/>
      <c r="HJ1965" s="73"/>
      <c r="HK1965" s="73"/>
      <c r="HL1965" s="73"/>
      <c r="HM1965" s="73"/>
      <c r="HN1965" s="73"/>
      <c r="HO1965" s="73"/>
      <c r="HP1965" s="73"/>
      <c r="HQ1965" s="73"/>
      <c r="HR1965" s="73"/>
      <c r="HS1965" s="73"/>
      <c r="HT1965" s="73"/>
      <c r="HU1965" s="73"/>
      <c r="HV1965" s="73"/>
      <c r="HW1965" s="73"/>
      <c r="HX1965" s="73"/>
      <c r="HY1965" s="73"/>
      <c r="HZ1965" s="73"/>
      <c r="IA1965" s="73"/>
      <c r="IB1965" s="73"/>
      <c r="IC1965" s="73"/>
      <c r="ID1965" s="73"/>
      <c r="IE1965" s="73"/>
      <c r="IF1965" s="73"/>
      <c r="IG1965" s="73"/>
      <c r="IH1965" s="73"/>
      <c r="II1965" s="73"/>
      <c r="IJ1965" s="73"/>
      <c r="IK1965" s="73"/>
      <c r="IL1965" s="73"/>
      <c r="IM1965" s="73"/>
      <c r="IN1965" s="73"/>
      <c r="IO1965" s="73"/>
      <c r="IP1965" s="73"/>
      <c r="IQ1965" s="73"/>
      <c r="IR1965" s="73"/>
      <c r="IS1965" s="73"/>
      <c r="IT1965" s="73"/>
      <c r="IU1965" s="73"/>
      <c r="IV1965" s="73"/>
      <c r="IW1965" s="73"/>
      <c r="IX1965" s="73"/>
      <c r="IY1965" s="73"/>
      <c r="IZ1965" s="73"/>
      <c r="JA1965" s="73"/>
      <c r="JB1965" s="73"/>
      <c r="JC1965" s="73"/>
    </row>
    <row r="1966" spans="2:263" s="72" customFormat="1">
      <c r="B1966" s="73"/>
      <c r="C1966" s="73"/>
      <c r="D1966" s="73"/>
      <c r="E1966" s="73"/>
      <c r="F1966" s="73"/>
      <c r="G1966" s="73"/>
      <c r="H1966" s="73"/>
      <c r="I1966" s="73"/>
      <c r="J1966" s="73"/>
      <c r="K1966" s="73"/>
      <c r="L1966" s="73"/>
      <c r="M1966" s="73"/>
      <c r="N1966" s="73"/>
      <c r="O1966" s="73"/>
      <c r="P1966" s="73"/>
      <c r="Q1966" s="73"/>
      <c r="R1966" s="73"/>
      <c r="S1966" s="73"/>
      <c r="T1966" s="73"/>
      <c r="U1966" s="73"/>
      <c r="V1966" s="73"/>
      <c r="W1966" s="73"/>
      <c r="GL1966" s="73"/>
      <c r="GM1966" s="73"/>
      <c r="GN1966" s="73"/>
      <c r="GO1966" s="73"/>
      <c r="GP1966" s="73"/>
      <c r="GQ1966" s="73"/>
      <c r="GR1966" s="73"/>
      <c r="GS1966" s="73"/>
      <c r="GT1966" s="73"/>
      <c r="GU1966" s="73"/>
      <c r="GV1966" s="73"/>
      <c r="GW1966" s="73"/>
      <c r="GX1966" s="73"/>
      <c r="GY1966" s="73"/>
      <c r="GZ1966" s="73"/>
      <c r="HA1966" s="73"/>
      <c r="HB1966" s="73"/>
      <c r="HC1966" s="73"/>
      <c r="HD1966" s="73"/>
      <c r="HE1966" s="73"/>
      <c r="HF1966" s="73"/>
      <c r="HG1966" s="73"/>
      <c r="HH1966" s="73"/>
      <c r="HI1966" s="73"/>
      <c r="HJ1966" s="73"/>
      <c r="HK1966" s="73"/>
      <c r="HL1966" s="73"/>
      <c r="HM1966" s="73"/>
      <c r="HN1966" s="73"/>
      <c r="HO1966" s="73"/>
      <c r="HP1966" s="73"/>
      <c r="HQ1966" s="73"/>
      <c r="HR1966" s="73"/>
      <c r="HS1966" s="73"/>
      <c r="HT1966" s="73"/>
      <c r="HU1966" s="73"/>
      <c r="HV1966" s="73"/>
      <c r="HW1966" s="73"/>
      <c r="HX1966" s="73"/>
      <c r="HY1966" s="73"/>
      <c r="HZ1966" s="73"/>
      <c r="IA1966" s="73"/>
      <c r="IB1966" s="73"/>
      <c r="IC1966" s="73"/>
      <c r="ID1966" s="73"/>
      <c r="IE1966" s="73"/>
      <c r="IF1966" s="73"/>
      <c r="IG1966" s="73"/>
      <c r="IH1966" s="73"/>
      <c r="II1966" s="73"/>
      <c r="IJ1966" s="73"/>
      <c r="IK1966" s="73"/>
      <c r="IL1966" s="73"/>
      <c r="IM1966" s="73"/>
      <c r="IN1966" s="73"/>
      <c r="IO1966" s="73"/>
      <c r="IP1966" s="73"/>
      <c r="IQ1966" s="73"/>
      <c r="IR1966" s="73"/>
      <c r="IS1966" s="73"/>
      <c r="IT1966" s="73"/>
      <c r="IU1966" s="73"/>
      <c r="IV1966" s="73"/>
      <c r="IW1966" s="73"/>
      <c r="IX1966" s="73"/>
      <c r="IY1966" s="73"/>
      <c r="IZ1966" s="73"/>
      <c r="JA1966" s="73"/>
      <c r="JB1966" s="73"/>
      <c r="JC1966" s="73"/>
    </row>
    <row r="1967" spans="2:263" s="72" customFormat="1">
      <c r="B1967" s="73"/>
      <c r="C1967" s="73"/>
      <c r="D1967" s="73"/>
      <c r="E1967" s="73"/>
      <c r="F1967" s="73"/>
      <c r="G1967" s="73"/>
      <c r="H1967" s="73"/>
      <c r="I1967" s="73"/>
      <c r="J1967" s="73"/>
      <c r="K1967" s="73"/>
      <c r="L1967" s="73"/>
      <c r="M1967" s="73"/>
      <c r="N1967" s="73"/>
      <c r="O1967" s="73"/>
      <c r="P1967" s="73"/>
      <c r="Q1967" s="73"/>
      <c r="R1967" s="73"/>
      <c r="S1967" s="73"/>
      <c r="T1967" s="73"/>
      <c r="U1967" s="73"/>
      <c r="V1967" s="73"/>
      <c r="W1967" s="73"/>
      <c r="GL1967" s="73"/>
      <c r="GM1967" s="73"/>
      <c r="GN1967" s="73"/>
      <c r="GO1967" s="73"/>
      <c r="GP1967" s="73"/>
      <c r="GQ1967" s="73"/>
      <c r="GR1967" s="73"/>
      <c r="GS1967" s="73"/>
      <c r="GT1967" s="73"/>
      <c r="GU1967" s="73"/>
      <c r="GV1967" s="73"/>
      <c r="GW1967" s="73"/>
      <c r="GX1967" s="73"/>
      <c r="GY1967" s="73"/>
      <c r="GZ1967" s="73"/>
      <c r="HA1967" s="73"/>
      <c r="HB1967" s="73"/>
      <c r="HC1967" s="73"/>
      <c r="HD1967" s="73"/>
      <c r="HE1967" s="73"/>
      <c r="HF1967" s="73"/>
      <c r="HG1967" s="73"/>
      <c r="HH1967" s="73"/>
      <c r="HI1967" s="73"/>
      <c r="HJ1967" s="73"/>
      <c r="HK1967" s="73"/>
      <c r="HL1967" s="73"/>
      <c r="HM1967" s="73"/>
      <c r="HN1967" s="73"/>
      <c r="HO1967" s="73"/>
      <c r="HP1967" s="73"/>
      <c r="HQ1967" s="73"/>
      <c r="HR1967" s="73"/>
      <c r="HS1967" s="73"/>
      <c r="HT1967" s="73"/>
      <c r="HU1967" s="73"/>
      <c r="HV1967" s="73"/>
      <c r="HW1967" s="73"/>
      <c r="HX1967" s="73"/>
      <c r="HY1967" s="73"/>
      <c r="HZ1967" s="73"/>
      <c r="IA1967" s="73"/>
      <c r="IB1967" s="73"/>
      <c r="IC1967" s="73"/>
      <c r="ID1967" s="73"/>
      <c r="IE1967" s="73"/>
      <c r="IF1967" s="73"/>
      <c r="IG1967" s="73"/>
      <c r="IH1967" s="73"/>
      <c r="II1967" s="73"/>
      <c r="IJ1967" s="73"/>
      <c r="IK1967" s="73"/>
      <c r="IL1967" s="73"/>
      <c r="IM1967" s="73"/>
      <c r="IN1967" s="73"/>
      <c r="IO1967" s="73"/>
      <c r="IP1967" s="73"/>
      <c r="IQ1967" s="73"/>
      <c r="IR1967" s="73"/>
      <c r="IS1967" s="73"/>
      <c r="IT1967" s="73"/>
      <c r="IU1967" s="73"/>
      <c r="IV1967" s="73"/>
      <c r="IW1967" s="73"/>
      <c r="IX1967" s="73"/>
      <c r="IY1967" s="73"/>
      <c r="IZ1967" s="73"/>
      <c r="JA1967" s="73"/>
      <c r="JB1967" s="73"/>
      <c r="JC1967" s="73"/>
    </row>
    <row r="1968" spans="2:263" s="72" customFormat="1">
      <c r="B1968" s="73"/>
      <c r="C1968" s="73"/>
      <c r="D1968" s="73"/>
      <c r="E1968" s="73"/>
      <c r="F1968" s="73"/>
      <c r="G1968" s="73"/>
      <c r="H1968" s="73"/>
      <c r="I1968" s="73"/>
      <c r="J1968" s="73"/>
      <c r="K1968" s="73"/>
      <c r="L1968" s="73"/>
      <c r="M1968" s="73"/>
      <c r="N1968" s="73"/>
      <c r="O1968" s="73"/>
      <c r="P1968" s="73"/>
      <c r="Q1968" s="73"/>
      <c r="R1968" s="73"/>
      <c r="S1968" s="73"/>
      <c r="T1968" s="73"/>
      <c r="U1968" s="73"/>
      <c r="V1968" s="73"/>
      <c r="W1968" s="73"/>
      <c r="GL1968" s="73"/>
      <c r="GM1968" s="73"/>
      <c r="GN1968" s="73"/>
      <c r="GO1968" s="73"/>
      <c r="GP1968" s="73"/>
      <c r="GQ1968" s="73"/>
      <c r="GR1968" s="73"/>
      <c r="GS1968" s="73"/>
      <c r="GT1968" s="73"/>
      <c r="GU1968" s="73"/>
      <c r="GV1968" s="73"/>
      <c r="GW1968" s="73"/>
      <c r="GX1968" s="73"/>
      <c r="GY1968" s="73"/>
      <c r="GZ1968" s="73"/>
      <c r="HA1968" s="73"/>
      <c r="HB1968" s="73"/>
      <c r="HC1968" s="73"/>
      <c r="HD1968" s="73"/>
      <c r="HE1968" s="73"/>
      <c r="HF1968" s="73"/>
      <c r="HG1968" s="73"/>
      <c r="HH1968" s="73"/>
      <c r="HI1968" s="73"/>
      <c r="HJ1968" s="73"/>
      <c r="HK1968" s="73"/>
      <c r="HL1968" s="73"/>
      <c r="HM1968" s="73"/>
      <c r="HN1968" s="73"/>
      <c r="HO1968" s="73"/>
      <c r="HP1968" s="73"/>
      <c r="HQ1968" s="73"/>
      <c r="HR1968" s="73"/>
      <c r="HS1968" s="73"/>
      <c r="HT1968" s="73"/>
      <c r="HU1968" s="73"/>
      <c r="HV1968" s="73"/>
      <c r="HW1968" s="73"/>
      <c r="HX1968" s="73"/>
      <c r="HY1968" s="73"/>
      <c r="HZ1968" s="73"/>
      <c r="IA1968" s="73"/>
      <c r="IB1968" s="73"/>
      <c r="IC1968" s="73"/>
      <c r="ID1968" s="73"/>
      <c r="IE1968" s="73"/>
      <c r="IF1968" s="73"/>
      <c r="IG1968" s="73"/>
      <c r="IH1968" s="73"/>
      <c r="II1968" s="73"/>
      <c r="IJ1968" s="73"/>
      <c r="IK1968" s="73"/>
      <c r="IL1968" s="73"/>
      <c r="IM1968" s="73"/>
      <c r="IN1968" s="73"/>
      <c r="IO1968" s="73"/>
      <c r="IP1968" s="73"/>
      <c r="IQ1968" s="73"/>
      <c r="IR1968" s="73"/>
      <c r="IS1968" s="73"/>
      <c r="IT1968" s="73"/>
      <c r="IU1968" s="73"/>
      <c r="IV1968" s="73"/>
      <c r="IW1968" s="73"/>
      <c r="IX1968" s="73"/>
      <c r="IY1968" s="73"/>
      <c r="IZ1968" s="73"/>
      <c r="JA1968" s="73"/>
      <c r="JB1968" s="73"/>
      <c r="JC1968" s="73"/>
    </row>
    <row r="1969" spans="2:263" s="72" customFormat="1">
      <c r="B1969" s="73"/>
      <c r="C1969" s="73"/>
      <c r="D1969" s="73"/>
      <c r="E1969" s="73"/>
      <c r="F1969" s="73"/>
      <c r="G1969" s="73"/>
      <c r="H1969" s="73"/>
      <c r="I1969" s="73"/>
      <c r="J1969" s="73"/>
      <c r="K1969" s="73"/>
      <c r="L1969" s="73"/>
      <c r="M1969" s="73"/>
      <c r="N1969" s="73"/>
      <c r="O1969" s="73"/>
      <c r="P1969" s="73"/>
      <c r="Q1969" s="73"/>
      <c r="R1969" s="73"/>
      <c r="S1969" s="73"/>
      <c r="T1969" s="73"/>
      <c r="U1969" s="73"/>
      <c r="V1969" s="73"/>
      <c r="W1969" s="73"/>
      <c r="GL1969" s="73"/>
      <c r="GM1969" s="73"/>
      <c r="GN1969" s="73"/>
      <c r="GO1969" s="73"/>
      <c r="GP1969" s="73"/>
      <c r="GQ1969" s="73"/>
      <c r="GR1969" s="73"/>
      <c r="GS1969" s="73"/>
      <c r="GT1969" s="73"/>
      <c r="GU1969" s="73"/>
      <c r="GV1969" s="73"/>
      <c r="GW1969" s="73"/>
      <c r="GX1969" s="73"/>
      <c r="GY1969" s="73"/>
      <c r="GZ1969" s="73"/>
      <c r="HA1969" s="73"/>
      <c r="HB1969" s="73"/>
      <c r="HC1969" s="73"/>
      <c r="HD1969" s="73"/>
      <c r="HE1969" s="73"/>
      <c r="HF1969" s="73"/>
      <c r="HG1969" s="73"/>
      <c r="HH1969" s="73"/>
      <c r="HI1969" s="73"/>
      <c r="HJ1969" s="73"/>
      <c r="HK1969" s="73"/>
      <c r="HL1969" s="73"/>
      <c r="HM1969" s="73"/>
      <c r="HN1969" s="73"/>
      <c r="HO1969" s="73"/>
      <c r="HP1969" s="73"/>
      <c r="HQ1969" s="73"/>
      <c r="HR1969" s="73"/>
      <c r="HS1969" s="73"/>
      <c r="HT1969" s="73"/>
      <c r="HU1969" s="73"/>
      <c r="HV1969" s="73"/>
      <c r="HW1969" s="73"/>
      <c r="HX1969" s="73"/>
      <c r="HY1969" s="73"/>
      <c r="HZ1969" s="73"/>
      <c r="IA1969" s="73"/>
      <c r="IB1969" s="73"/>
      <c r="IC1969" s="73"/>
      <c r="ID1969" s="73"/>
      <c r="IE1969" s="73"/>
      <c r="IF1969" s="73"/>
      <c r="IG1969" s="73"/>
      <c r="IH1969" s="73"/>
      <c r="II1969" s="73"/>
      <c r="IJ1969" s="73"/>
      <c r="IK1969" s="73"/>
      <c r="IL1969" s="73"/>
      <c r="IM1969" s="73"/>
      <c r="IN1969" s="73"/>
      <c r="IO1969" s="73"/>
      <c r="IP1969" s="73"/>
      <c r="IQ1969" s="73"/>
      <c r="IR1969" s="73"/>
      <c r="IS1969" s="73"/>
      <c r="IT1969" s="73"/>
      <c r="IU1969" s="73"/>
      <c r="IV1969" s="73"/>
      <c r="IW1969" s="73"/>
      <c r="IX1969" s="73"/>
      <c r="IY1969" s="73"/>
      <c r="IZ1969" s="73"/>
      <c r="JA1969" s="73"/>
      <c r="JB1969" s="73"/>
      <c r="JC1969" s="73"/>
    </row>
    <row r="1970" spans="2:263" s="72" customFormat="1">
      <c r="B1970" s="73"/>
      <c r="C1970" s="73"/>
      <c r="D1970" s="73"/>
      <c r="E1970" s="73"/>
      <c r="F1970" s="73"/>
      <c r="G1970" s="73"/>
      <c r="H1970" s="73"/>
      <c r="I1970" s="73"/>
      <c r="J1970" s="73"/>
      <c r="K1970" s="73"/>
      <c r="L1970" s="73"/>
      <c r="M1970" s="73"/>
      <c r="N1970" s="73"/>
      <c r="O1970" s="73"/>
      <c r="P1970" s="73"/>
      <c r="Q1970" s="73"/>
      <c r="R1970" s="73"/>
      <c r="S1970" s="73"/>
      <c r="T1970" s="73"/>
      <c r="U1970" s="73"/>
      <c r="V1970" s="73"/>
      <c r="W1970" s="73"/>
      <c r="GL1970" s="73"/>
      <c r="GM1970" s="73"/>
      <c r="GN1970" s="73"/>
      <c r="GO1970" s="73"/>
      <c r="GP1970" s="73"/>
      <c r="GQ1970" s="73"/>
      <c r="GR1970" s="73"/>
      <c r="GS1970" s="73"/>
      <c r="GT1970" s="73"/>
      <c r="GU1970" s="73"/>
      <c r="GV1970" s="73"/>
      <c r="GW1970" s="73"/>
      <c r="GX1970" s="73"/>
      <c r="GY1970" s="73"/>
      <c r="GZ1970" s="73"/>
      <c r="HA1970" s="73"/>
      <c r="HB1970" s="73"/>
      <c r="HC1970" s="73"/>
      <c r="HD1970" s="73"/>
      <c r="HE1970" s="73"/>
      <c r="HF1970" s="73"/>
      <c r="HG1970" s="73"/>
      <c r="HH1970" s="73"/>
      <c r="HI1970" s="73"/>
      <c r="HJ1970" s="73"/>
      <c r="HK1970" s="73"/>
      <c r="HL1970" s="73"/>
      <c r="HM1970" s="73"/>
      <c r="HN1970" s="73"/>
      <c r="HO1970" s="73"/>
      <c r="HP1970" s="73"/>
      <c r="HQ1970" s="73"/>
      <c r="HR1970" s="73"/>
      <c r="HS1970" s="73"/>
      <c r="HT1970" s="73"/>
      <c r="HU1970" s="73"/>
      <c r="HV1970" s="73"/>
      <c r="HW1970" s="73"/>
      <c r="HX1970" s="73"/>
      <c r="HY1970" s="73"/>
      <c r="HZ1970" s="73"/>
      <c r="IA1970" s="73"/>
      <c r="IB1970" s="73"/>
      <c r="IC1970" s="73"/>
      <c r="ID1970" s="73"/>
      <c r="IE1970" s="73"/>
      <c r="IF1970" s="73"/>
      <c r="IG1970" s="73"/>
      <c r="IH1970" s="73"/>
      <c r="II1970" s="73"/>
      <c r="IJ1970" s="73"/>
      <c r="IK1970" s="73"/>
      <c r="IL1970" s="73"/>
      <c r="IM1970" s="73"/>
      <c r="IN1970" s="73"/>
      <c r="IO1970" s="73"/>
      <c r="IP1970" s="73"/>
      <c r="IQ1970" s="73"/>
      <c r="IR1970" s="73"/>
      <c r="IS1970" s="73"/>
      <c r="IT1970" s="73"/>
      <c r="IU1970" s="73"/>
      <c r="IV1970" s="73"/>
      <c r="IW1970" s="73"/>
      <c r="IX1970" s="73"/>
      <c r="IY1970" s="73"/>
      <c r="IZ1970" s="73"/>
      <c r="JA1970" s="73"/>
      <c r="JB1970" s="73"/>
      <c r="JC1970" s="73"/>
    </row>
    <row r="1971" spans="2:263" s="72" customFormat="1">
      <c r="B1971" s="73"/>
      <c r="C1971" s="73"/>
      <c r="D1971" s="73"/>
      <c r="E1971" s="73"/>
      <c r="F1971" s="73"/>
      <c r="G1971" s="73"/>
      <c r="H1971" s="73"/>
      <c r="I1971" s="73"/>
      <c r="J1971" s="73"/>
      <c r="K1971" s="73"/>
      <c r="L1971" s="73"/>
      <c r="M1971" s="73"/>
      <c r="N1971" s="73"/>
      <c r="O1971" s="73"/>
      <c r="P1971" s="73"/>
      <c r="Q1971" s="73"/>
      <c r="R1971" s="73"/>
      <c r="S1971" s="73"/>
      <c r="T1971" s="73"/>
      <c r="U1971" s="73"/>
      <c r="V1971" s="73"/>
      <c r="W1971" s="73"/>
      <c r="GL1971" s="73"/>
      <c r="GM1971" s="73"/>
      <c r="GN1971" s="73"/>
      <c r="GO1971" s="73"/>
      <c r="GP1971" s="73"/>
      <c r="GQ1971" s="73"/>
      <c r="GR1971" s="73"/>
      <c r="GS1971" s="73"/>
      <c r="GT1971" s="73"/>
      <c r="GU1971" s="73"/>
      <c r="GV1971" s="73"/>
      <c r="GW1971" s="73"/>
      <c r="GX1971" s="73"/>
      <c r="GY1971" s="73"/>
      <c r="GZ1971" s="73"/>
      <c r="HA1971" s="73"/>
      <c r="HB1971" s="73"/>
      <c r="HC1971" s="73"/>
      <c r="HD1971" s="73"/>
      <c r="HE1971" s="73"/>
      <c r="HF1971" s="73"/>
      <c r="HG1971" s="73"/>
      <c r="HH1971" s="73"/>
      <c r="HI1971" s="73"/>
      <c r="HJ1971" s="73"/>
      <c r="HK1971" s="73"/>
      <c r="HL1971" s="73"/>
      <c r="HM1971" s="73"/>
      <c r="HN1971" s="73"/>
      <c r="HO1971" s="73"/>
      <c r="HP1971" s="73"/>
      <c r="HQ1971" s="73"/>
      <c r="HR1971" s="73"/>
      <c r="HS1971" s="73"/>
      <c r="HT1971" s="73"/>
      <c r="HU1971" s="73"/>
      <c r="HV1971" s="73"/>
      <c r="HW1971" s="73"/>
      <c r="HX1971" s="73"/>
      <c r="HY1971" s="73"/>
      <c r="HZ1971" s="73"/>
      <c r="IA1971" s="73"/>
      <c r="IB1971" s="73"/>
      <c r="IC1971" s="73"/>
      <c r="ID1971" s="73"/>
      <c r="IE1971" s="73"/>
      <c r="IF1971" s="73"/>
      <c r="IG1971" s="73"/>
      <c r="IH1971" s="73"/>
      <c r="II1971" s="73"/>
      <c r="IJ1971" s="73"/>
      <c r="IK1971" s="73"/>
      <c r="IL1971" s="73"/>
      <c r="IM1971" s="73"/>
      <c r="IN1971" s="73"/>
      <c r="IO1971" s="73"/>
      <c r="IP1971" s="73"/>
      <c r="IQ1971" s="73"/>
      <c r="IR1971" s="73"/>
      <c r="IS1971" s="73"/>
      <c r="IT1971" s="73"/>
      <c r="IU1971" s="73"/>
      <c r="IV1971" s="73"/>
      <c r="IW1971" s="73"/>
      <c r="IX1971" s="73"/>
      <c r="IY1971" s="73"/>
      <c r="IZ1971" s="73"/>
      <c r="JA1971" s="73"/>
      <c r="JB1971" s="73"/>
      <c r="JC1971" s="73"/>
    </row>
    <row r="1972" spans="2:263" s="72" customFormat="1">
      <c r="B1972" s="73"/>
      <c r="C1972" s="73"/>
      <c r="D1972" s="73"/>
      <c r="E1972" s="73"/>
      <c r="F1972" s="73"/>
      <c r="G1972" s="73"/>
      <c r="H1972" s="73"/>
      <c r="I1972" s="73"/>
      <c r="J1972" s="73"/>
      <c r="K1972" s="73"/>
      <c r="L1972" s="73"/>
      <c r="M1972" s="73"/>
      <c r="N1972" s="73"/>
      <c r="O1972" s="73"/>
      <c r="P1972" s="73"/>
      <c r="Q1972" s="73"/>
      <c r="R1972" s="73"/>
      <c r="S1972" s="73"/>
      <c r="T1972" s="73"/>
      <c r="U1972" s="73"/>
      <c r="V1972" s="73"/>
      <c r="W1972" s="73"/>
      <c r="GL1972" s="73"/>
      <c r="GM1972" s="73"/>
      <c r="GN1972" s="73"/>
      <c r="GO1972" s="73"/>
      <c r="GP1972" s="73"/>
      <c r="GQ1972" s="73"/>
      <c r="GR1972" s="73"/>
      <c r="GS1972" s="73"/>
      <c r="GT1972" s="73"/>
      <c r="GU1972" s="73"/>
      <c r="GV1972" s="73"/>
      <c r="GW1972" s="73"/>
      <c r="GX1972" s="73"/>
      <c r="GY1972" s="73"/>
      <c r="GZ1972" s="73"/>
      <c r="HA1972" s="73"/>
      <c r="HB1972" s="73"/>
      <c r="HC1972" s="73"/>
      <c r="HD1972" s="73"/>
      <c r="HE1972" s="73"/>
      <c r="HF1972" s="73"/>
      <c r="HG1972" s="73"/>
      <c r="HH1972" s="73"/>
      <c r="HI1972" s="73"/>
      <c r="HJ1972" s="73"/>
      <c r="HK1972" s="73"/>
      <c r="HL1972" s="73"/>
      <c r="HM1972" s="73"/>
      <c r="HN1972" s="73"/>
      <c r="HO1972" s="73"/>
      <c r="HP1972" s="73"/>
      <c r="HQ1972" s="73"/>
      <c r="HR1972" s="73"/>
      <c r="HS1972" s="73"/>
      <c r="HT1972" s="73"/>
      <c r="HU1972" s="73"/>
      <c r="HV1972" s="73"/>
      <c r="HW1972" s="73"/>
      <c r="HX1972" s="73"/>
      <c r="HY1972" s="73"/>
      <c r="HZ1972" s="73"/>
      <c r="IA1972" s="73"/>
      <c r="IB1972" s="73"/>
      <c r="IC1972" s="73"/>
      <c r="ID1972" s="73"/>
      <c r="IE1972" s="73"/>
      <c r="IF1972" s="73"/>
      <c r="IG1972" s="73"/>
      <c r="IH1972" s="73"/>
      <c r="II1972" s="73"/>
      <c r="IJ1972" s="73"/>
      <c r="IK1972" s="73"/>
      <c r="IL1972" s="73"/>
      <c r="IM1972" s="73"/>
      <c r="IN1972" s="73"/>
      <c r="IO1972" s="73"/>
      <c r="IP1972" s="73"/>
      <c r="IQ1972" s="73"/>
      <c r="IR1972" s="73"/>
      <c r="IS1972" s="73"/>
      <c r="IT1972" s="73"/>
      <c r="IU1972" s="73"/>
      <c r="IV1972" s="73"/>
      <c r="IW1972" s="73"/>
      <c r="IX1972" s="73"/>
      <c r="IY1972" s="73"/>
      <c r="IZ1972" s="73"/>
      <c r="JA1972" s="73"/>
      <c r="JB1972" s="73"/>
      <c r="JC1972" s="73"/>
    </row>
    <row r="1973" spans="2:263" s="72" customFormat="1">
      <c r="B1973" s="73"/>
      <c r="C1973" s="73"/>
      <c r="D1973" s="73"/>
      <c r="E1973" s="73"/>
      <c r="F1973" s="73"/>
      <c r="G1973" s="73"/>
      <c r="H1973" s="73"/>
      <c r="I1973" s="73"/>
      <c r="J1973" s="73"/>
      <c r="K1973" s="73"/>
      <c r="L1973" s="73"/>
      <c r="M1973" s="73"/>
      <c r="N1973" s="73"/>
      <c r="O1973" s="73"/>
      <c r="P1973" s="73"/>
      <c r="Q1973" s="73"/>
      <c r="R1973" s="73"/>
      <c r="S1973" s="73"/>
      <c r="T1973" s="73"/>
      <c r="U1973" s="73"/>
      <c r="V1973" s="73"/>
      <c r="W1973" s="73"/>
      <c r="GL1973" s="73"/>
      <c r="GM1973" s="73"/>
      <c r="GN1973" s="73"/>
      <c r="GO1973" s="73"/>
      <c r="GP1973" s="73"/>
      <c r="GQ1973" s="73"/>
      <c r="GR1973" s="73"/>
      <c r="GS1973" s="73"/>
      <c r="GT1973" s="73"/>
      <c r="GU1973" s="73"/>
      <c r="GV1973" s="73"/>
      <c r="GW1973" s="73"/>
      <c r="GX1973" s="73"/>
      <c r="GY1973" s="73"/>
      <c r="GZ1973" s="73"/>
      <c r="HA1973" s="73"/>
      <c r="HB1973" s="73"/>
      <c r="HC1973" s="73"/>
      <c r="HD1973" s="73"/>
      <c r="HE1973" s="73"/>
      <c r="HF1973" s="73"/>
      <c r="HG1973" s="73"/>
      <c r="HH1973" s="73"/>
      <c r="HI1973" s="73"/>
      <c r="HJ1973" s="73"/>
      <c r="HK1973" s="73"/>
      <c r="HL1973" s="73"/>
      <c r="HM1973" s="73"/>
      <c r="HN1973" s="73"/>
      <c r="HO1973" s="73"/>
      <c r="HP1973" s="73"/>
      <c r="HQ1973" s="73"/>
      <c r="HR1973" s="73"/>
      <c r="HS1973" s="73"/>
      <c r="HT1973" s="73"/>
      <c r="HU1973" s="73"/>
      <c r="HV1973" s="73"/>
      <c r="HW1973" s="73"/>
      <c r="HX1973" s="73"/>
      <c r="HY1973" s="73"/>
      <c r="HZ1973" s="73"/>
      <c r="IA1973" s="73"/>
      <c r="IB1973" s="73"/>
      <c r="IC1973" s="73"/>
      <c r="ID1973" s="73"/>
      <c r="IE1973" s="73"/>
      <c r="IF1973" s="73"/>
      <c r="IG1973" s="73"/>
      <c r="IH1973" s="73"/>
      <c r="II1973" s="73"/>
      <c r="IJ1973" s="73"/>
      <c r="IK1973" s="73"/>
      <c r="IL1973" s="73"/>
      <c r="IM1973" s="73"/>
      <c r="IN1973" s="73"/>
      <c r="IO1973" s="73"/>
      <c r="IP1973" s="73"/>
      <c r="IQ1973" s="73"/>
      <c r="IR1973" s="73"/>
      <c r="IS1973" s="73"/>
      <c r="IT1973" s="73"/>
      <c r="IU1973" s="73"/>
      <c r="IV1973" s="73"/>
      <c r="IW1973" s="73"/>
      <c r="IX1973" s="73"/>
      <c r="IY1973" s="73"/>
      <c r="IZ1973" s="73"/>
      <c r="JA1973" s="73"/>
      <c r="JB1973" s="73"/>
      <c r="JC1973" s="73"/>
    </row>
    <row r="1974" spans="2:263" s="72" customFormat="1">
      <c r="B1974" s="73"/>
      <c r="C1974" s="73"/>
      <c r="D1974" s="73"/>
      <c r="E1974" s="73"/>
      <c r="F1974" s="73"/>
      <c r="G1974" s="73"/>
      <c r="H1974" s="73"/>
      <c r="I1974" s="73"/>
      <c r="J1974" s="73"/>
      <c r="K1974" s="73"/>
      <c r="L1974" s="73"/>
      <c r="M1974" s="73"/>
      <c r="N1974" s="73"/>
      <c r="O1974" s="73"/>
      <c r="P1974" s="73"/>
      <c r="Q1974" s="73"/>
      <c r="R1974" s="73"/>
      <c r="S1974" s="73"/>
      <c r="T1974" s="73"/>
      <c r="U1974" s="73"/>
      <c r="V1974" s="73"/>
      <c r="W1974" s="73"/>
      <c r="GL1974" s="73"/>
      <c r="GM1974" s="73"/>
      <c r="GN1974" s="73"/>
      <c r="GO1974" s="73"/>
      <c r="GP1974" s="73"/>
      <c r="GQ1974" s="73"/>
      <c r="GR1974" s="73"/>
      <c r="GS1974" s="73"/>
      <c r="GT1974" s="73"/>
      <c r="GU1974" s="73"/>
      <c r="GV1974" s="73"/>
      <c r="GW1974" s="73"/>
      <c r="GX1974" s="73"/>
      <c r="GY1974" s="73"/>
      <c r="GZ1974" s="73"/>
      <c r="HA1974" s="73"/>
      <c r="HB1974" s="73"/>
      <c r="HC1974" s="73"/>
      <c r="HD1974" s="73"/>
      <c r="HE1974" s="73"/>
      <c r="HF1974" s="73"/>
      <c r="HG1974" s="73"/>
      <c r="HH1974" s="73"/>
      <c r="HI1974" s="73"/>
      <c r="HJ1974" s="73"/>
      <c r="HK1974" s="73"/>
      <c r="HL1974" s="73"/>
      <c r="HM1974" s="73"/>
      <c r="HN1974" s="73"/>
      <c r="HO1974" s="73"/>
      <c r="HP1974" s="73"/>
      <c r="HQ1974" s="73"/>
      <c r="HR1974" s="73"/>
      <c r="HS1974" s="73"/>
      <c r="HT1974" s="73"/>
      <c r="HU1974" s="73"/>
      <c r="HV1974" s="73"/>
      <c r="HW1974" s="73"/>
      <c r="HX1974" s="73"/>
      <c r="HY1974" s="73"/>
      <c r="HZ1974" s="73"/>
      <c r="IA1974" s="73"/>
      <c r="IB1974" s="73"/>
      <c r="IC1974" s="73"/>
      <c r="ID1974" s="73"/>
      <c r="IE1974" s="73"/>
      <c r="IF1974" s="73"/>
      <c r="IG1974" s="73"/>
      <c r="IH1974" s="73"/>
      <c r="II1974" s="73"/>
      <c r="IJ1974" s="73"/>
      <c r="IK1974" s="73"/>
      <c r="IL1974" s="73"/>
      <c r="IM1974" s="73"/>
      <c r="IN1974" s="73"/>
      <c r="IO1974" s="73"/>
      <c r="IP1974" s="73"/>
      <c r="IQ1974" s="73"/>
      <c r="IR1974" s="73"/>
      <c r="IS1974" s="73"/>
      <c r="IT1974" s="73"/>
      <c r="IU1974" s="73"/>
      <c r="IV1974" s="73"/>
      <c r="IW1974" s="73"/>
      <c r="IX1974" s="73"/>
      <c r="IY1974" s="73"/>
      <c r="IZ1974" s="73"/>
      <c r="JA1974" s="73"/>
      <c r="JB1974" s="73"/>
      <c r="JC1974" s="73"/>
    </row>
    <row r="1975" spans="2:263" s="72" customFormat="1">
      <c r="B1975" s="73"/>
      <c r="C1975" s="73"/>
      <c r="D1975" s="73"/>
      <c r="E1975" s="73"/>
      <c r="F1975" s="73"/>
      <c r="G1975" s="73"/>
      <c r="H1975" s="73"/>
      <c r="I1975" s="73"/>
      <c r="J1975" s="73"/>
      <c r="K1975" s="73"/>
      <c r="L1975" s="73"/>
      <c r="M1975" s="73"/>
      <c r="N1975" s="73"/>
      <c r="O1975" s="73"/>
      <c r="P1975" s="73"/>
      <c r="Q1975" s="73"/>
      <c r="R1975" s="73"/>
      <c r="S1975" s="73"/>
      <c r="T1975" s="73"/>
      <c r="U1975" s="73"/>
      <c r="V1975" s="73"/>
      <c r="W1975" s="73"/>
      <c r="GL1975" s="73"/>
      <c r="GM1975" s="73"/>
      <c r="GN1975" s="73"/>
      <c r="GO1975" s="73"/>
      <c r="GP1975" s="73"/>
      <c r="GQ1975" s="73"/>
      <c r="GR1975" s="73"/>
      <c r="GS1975" s="73"/>
      <c r="GT1975" s="73"/>
      <c r="GU1975" s="73"/>
      <c r="GV1975" s="73"/>
      <c r="GW1975" s="73"/>
      <c r="GX1975" s="73"/>
      <c r="GY1975" s="73"/>
      <c r="GZ1975" s="73"/>
      <c r="HA1975" s="73"/>
      <c r="HB1975" s="73"/>
      <c r="HC1975" s="73"/>
      <c r="HD1975" s="73"/>
      <c r="HE1975" s="73"/>
      <c r="HF1975" s="73"/>
      <c r="HG1975" s="73"/>
      <c r="HH1975" s="73"/>
      <c r="HI1975" s="73"/>
      <c r="HJ1975" s="73"/>
      <c r="HK1975" s="73"/>
      <c r="HL1975" s="73"/>
      <c r="HM1975" s="73"/>
      <c r="HN1975" s="73"/>
      <c r="HO1975" s="73"/>
      <c r="HP1975" s="73"/>
      <c r="HQ1975" s="73"/>
      <c r="HR1975" s="73"/>
      <c r="HS1975" s="73"/>
      <c r="HT1975" s="73"/>
      <c r="HU1975" s="73"/>
      <c r="HV1975" s="73"/>
      <c r="HW1975" s="73"/>
      <c r="HX1975" s="73"/>
      <c r="HY1975" s="73"/>
      <c r="HZ1975" s="73"/>
      <c r="IA1975" s="73"/>
      <c r="IB1975" s="73"/>
      <c r="IC1975" s="73"/>
      <c r="ID1975" s="73"/>
      <c r="IE1975" s="73"/>
      <c r="IF1975" s="73"/>
      <c r="IG1975" s="73"/>
      <c r="IH1975" s="73"/>
      <c r="II1975" s="73"/>
      <c r="IJ1975" s="73"/>
      <c r="IK1975" s="73"/>
      <c r="IL1975" s="73"/>
      <c r="IM1975" s="73"/>
      <c r="IN1975" s="73"/>
      <c r="IO1975" s="73"/>
      <c r="IP1975" s="73"/>
      <c r="IQ1975" s="73"/>
      <c r="IR1975" s="73"/>
      <c r="IS1975" s="73"/>
      <c r="IT1975" s="73"/>
      <c r="IU1975" s="73"/>
      <c r="IV1975" s="73"/>
      <c r="IW1975" s="73"/>
      <c r="IX1975" s="73"/>
      <c r="IY1975" s="73"/>
      <c r="IZ1975" s="73"/>
      <c r="JA1975" s="73"/>
      <c r="JB1975" s="73"/>
      <c r="JC1975" s="73"/>
    </row>
    <row r="1976" spans="2:263" s="72" customFormat="1">
      <c r="B1976" s="73"/>
      <c r="C1976" s="73"/>
      <c r="D1976" s="73"/>
      <c r="E1976" s="73"/>
      <c r="F1976" s="73"/>
      <c r="G1976" s="73"/>
      <c r="H1976" s="73"/>
      <c r="I1976" s="73"/>
      <c r="J1976" s="73"/>
      <c r="K1976" s="73"/>
      <c r="L1976" s="73"/>
      <c r="M1976" s="73"/>
      <c r="N1976" s="73"/>
      <c r="O1976" s="73"/>
      <c r="P1976" s="73"/>
      <c r="Q1976" s="73"/>
      <c r="R1976" s="73"/>
      <c r="S1976" s="73"/>
      <c r="T1976" s="73"/>
      <c r="U1976" s="73"/>
      <c r="V1976" s="73"/>
      <c r="W1976" s="73"/>
      <c r="GL1976" s="73"/>
      <c r="GM1976" s="73"/>
      <c r="GN1976" s="73"/>
      <c r="GO1976" s="73"/>
      <c r="GP1976" s="73"/>
      <c r="GQ1976" s="73"/>
      <c r="GR1976" s="73"/>
      <c r="GS1976" s="73"/>
      <c r="GT1976" s="73"/>
      <c r="GU1976" s="73"/>
      <c r="GV1976" s="73"/>
      <c r="GW1976" s="73"/>
      <c r="GX1976" s="73"/>
      <c r="GY1976" s="73"/>
      <c r="GZ1976" s="73"/>
      <c r="HA1976" s="73"/>
      <c r="HB1976" s="73"/>
      <c r="HC1976" s="73"/>
      <c r="HD1976" s="73"/>
      <c r="HE1976" s="73"/>
      <c r="HF1976" s="73"/>
      <c r="HG1976" s="73"/>
      <c r="HH1976" s="73"/>
      <c r="HI1976" s="73"/>
      <c r="HJ1976" s="73"/>
      <c r="HK1976" s="73"/>
      <c r="HL1976" s="73"/>
      <c r="HM1976" s="73"/>
      <c r="HN1976" s="73"/>
      <c r="HO1976" s="73"/>
      <c r="HP1976" s="73"/>
      <c r="HQ1976" s="73"/>
      <c r="HR1976" s="73"/>
      <c r="HS1976" s="73"/>
      <c r="HT1976" s="73"/>
      <c r="HU1976" s="73"/>
      <c r="HV1976" s="73"/>
      <c r="HW1976" s="73"/>
      <c r="HX1976" s="73"/>
      <c r="HY1976" s="73"/>
      <c r="HZ1976" s="73"/>
      <c r="IA1976" s="73"/>
      <c r="IB1976" s="73"/>
      <c r="IC1976" s="73"/>
      <c r="ID1976" s="73"/>
      <c r="IE1976" s="73"/>
      <c r="IF1976" s="73"/>
      <c r="IG1976" s="73"/>
      <c r="IH1976" s="73"/>
      <c r="II1976" s="73"/>
      <c r="IJ1976" s="73"/>
      <c r="IK1976" s="73"/>
      <c r="IL1976" s="73"/>
      <c r="IM1976" s="73"/>
      <c r="IN1976" s="73"/>
      <c r="IO1976" s="73"/>
      <c r="IP1976" s="73"/>
      <c r="IQ1976" s="73"/>
      <c r="IR1976" s="73"/>
      <c r="IS1976" s="73"/>
      <c r="IT1976" s="73"/>
      <c r="IU1976" s="73"/>
      <c r="IV1976" s="73"/>
      <c r="IW1976" s="73"/>
      <c r="IX1976" s="73"/>
      <c r="IY1976" s="73"/>
      <c r="IZ1976" s="73"/>
      <c r="JA1976" s="73"/>
      <c r="JB1976" s="73"/>
      <c r="JC1976" s="73"/>
    </row>
    <row r="1977" spans="2:263" s="72" customFormat="1">
      <c r="B1977" s="73"/>
      <c r="C1977" s="73"/>
      <c r="D1977" s="73"/>
      <c r="E1977" s="73"/>
      <c r="F1977" s="73"/>
      <c r="G1977" s="73"/>
      <c r="H1977" s="73"/>
      <c r="I1977" s="73"/>
      <c r="J1977" s="73"/>
      <c r="K1977" s="73"/>
      <c r="L1977" s="73"/>
      <c r="M1977" s="73"/>
      <c r="N1977" s="73"/>
      <c r="O1977" s="73"/>
      <c r="P1977" s="73"/>
      <c r="Q1977" s="73"/>
      <c r="R1977" s="73"/>
      <c r="S1977" s="73"/>
      <c r="T1977" s="73"/>
      <c r="U1977" s="73"/>
      <c r="V1977" s="73"/>
      <c r="W1977" s="73"/>
      <c r="GL1977" s="73"/>
      <c r="GM1977" s="73"/>
      <c r="GN1977" s="73"/>
      <c r="GO1977" s="73"/>
      <c r="GP1977" s="73"/>
      <c r="GQ1977" s="73"/>
      <c r="GR1977" s="73"/>
      <c r="GS1977" s="73"/>
      <c r="GT1977" s="73"/>
      <c r="GU1977" s="73"/>
      <c r="GV1977" s="73"/>
      <c r="GW1977" s="73"/>
      <c r="GX1977" s="73"/>
      <c r="GY1977" s="73"/>
      <c r="GZ1977" s="73"/>
      <c r="HA1977" s="73"/>
      <c r="HB1977" s="73"/>
      <c r="HC1977" s="73"/>
      <c r="HD1977" s="73"/>
      <c r="HE1977" s="73"/>
      <c r="HF1977" s="73"/>
      <c r="HG1977" s="73"/>
      <c r="HH1977" s="73"/>
      <c r="HI1977" s="73"/>
      <c r="HJ1977" s="73"/>
      <c r="HK1977" s="73"/>
      <c r="HL1977" s="73"/>
      <c r="HM1977" s="73"/>
      <c r="HN1977" s="73"/>
      <c r="HO1977" s="73"/>
      <c r="HP1977" s="73"/>
      <c r="HQ1977" s="73"/>
      <c r="HR1977" s="73"/>
      <c r="HS1977" s="73"/>
      <c r="HT1977" s="73"/>
      <c r="HU1977" s="73"/>
      <c r="HV1977" s="73"/>
      <c r="HW1977" s="73"/>
      <c r="HX1977" s="73"/>
      <c r="HY1977" s="73"/>
      <c r="HZ1977" s="73"/>
      <c r="IA1977" s="73"/>
      <c r="IB1977" s="73"/>
      <c r="IC1977" s="73"/>
      <c r="ID1977" s="73"/>
      <c r="IE1977" s="73"/>
      <c r="IF1977" s="73"/>
      <c r="IG1977" s="73"/>
      <c r="IH1977" s="73"/>
      <c r="II1977" s="73"/>
      <c r="IJ1977" s="73"/>
      <c r="IK1977" s="73"/>
      <c r="IL1977" s="73"/>
      <c r="IM1977" s="73"/>
      <c r="IN1977" s="73"/>
      <c r="IO1977" s="73"/>
      <c r="IP1977" s="73"/>
      <c r="IQ1977" s="73"/>
      <c r="IR1977" s="73"/>
      <c r="IS1977" s="73"/>
      <c r="IT1977" s="73"/>
      <c r="IU1977" s="73"/>
      <c r="IV1977" s="73"/>
      <c r="IW1977" s="73"/>
      <c r="IX1977" s="73"/>
      <c r="IY1977" s="73"/>
      <c r="IZ1977" s="73"/>
      <c r="JA1977" s="73"/>
      <c r="JB1977" s="73"/>
      <c r="JC1977" s="73"/>
    </row>
    <row r="1978" spans="2:263" s="72" customFormat="1">
      <c r="B1978" s="73"/>
      <c r="C1978" s="73"/>
      <c r="D1978" s="73"/>
      <c r="E1978" s="73"/>
      <c r="F1978" s="73"/>
      <c r="G1978" s="73"/>
      <c r="H1978" s="73"/>
      <c r="I1978" s="73"/>
      <c r="J1978" s="73"/>
      <c r="K1978" s="73"/>
      <c r="L1978" s="73"/>
      <c r="M1978" s="73"/>
      <c r="N1978" s="73"/>
      <c r="O1978" s="73"/>
      <c r="P1978" s="73"/>
      <c r="Q1978" s="73"/>
      <c r="R1978" s="73"/>
      <c r="S1978" s="73"/>
      <c r="T1978" s="73"/>
      <c r="U1978" s="73"/>
      <c r="V1978" s="73"/>
      <c r="W1978" s="73"/>
      <c r="GL1978" s="73"/>
      <c r="GM1978" s="73"/>
      <c r="GN1978" s="73"/>
      <c r="GO1978" s="73"/>
      <c r="GP1978" s="73"/>
      <c r="GQ1978" s="73"/>
      <c r="GR1978" s="73"/>
      <c r="GS1978" s="73"/>
      <c r="GT1978" s="73"/>
      <c r="GU1978" s="73"/>
      <c r="GV1978" s="73"/>
      <c r="GW1978" s="73"/>
      <c r="GX1978" s="73"/>
      <c r="GY1978" s="73"/>
      <c r="GZ1978" s="73"/>
      <c r="HA1978" s="73"/>
      <c r="HB1978" s="73"/>
      <c r="HC1978" s="73"/>
      <c r="HD1978" s="73"/>
      <c r="HE1978" s="73"/>
      <c r="HF1978" s="73"/>
      <c r="HG1978" s="73"/>
      <c r="HH1978" s="73"/>
      <c r="HI1978" s="73"/>
      <c r="HJ1978" s="73"/>
      <c r="HK1978" s="73"/>
      <c r="HL1978" s="73"/>
      <c r="HM1978" s="73"/>
      <c r="HN1978" s="73"/>
      <c r="HO1978" s="73"/>
      <c r="HP1978" s="73"/>
      <c r="HQ1978" s="73"/>
      <c r="HR1978" s="73"/>
      <c r="HS1978" s="73"/>
      <c r="HT1978" s="73"/>
      <c r="HU1978" s="73"/>
      <c r="HV1978" s="73"/>
      <c r="HW1978" s="73"/>
      <c r="HX1978" s="73"/>
      <c r="HY1978" s="73"/>
      <c r="HZ1978" s="73"/>
      <c r="IA1978" s="73"/>
      <c r="IB1978" s="73"/>
      <c r="IC1978" s="73"/>
      <c r="ID1978" s="73"/>
      <c r="IE1978" s="73"/>
      <c r="IF1978" s="73"/>
      <c r="IG1978" s="73"/>
      <c r="IH1978" s="73"/>
      <c r="II1978" s="73"/>
      <c r="IJ1978" s="73"/>
      <c r="IK1978" s="73"/>
      <c r="IL1978" s="73"/>
      <c r="IM1978" s="73"/>
      <c r="IN1978" s="73"/>
      <c r="IO1978" s="73"/>
      <c r="IP1978" s="73"/>
      <c r="IQ1978" s="73"/>
      <c r="IR1978" s="73"/>
      <c r="IS1978" s="73"/>
      <c r="IT1978" s="73"/>
      <c r="IU1978" s="73"/>
      <c r="IV1978" s="73"/>
      <c r="IW1978" s="73"/>
      <c r="IX1978" s="73"/>
      <c r="IY1978" s="73"/>
      <c r="IZ1978" s="73"/>
      <c r="JA1978" s="73"/>
      <c r="JB1978" s="73"/>
      <c r="JC1978" s="73"/>
    </row>
    <row r="1979" spans="2:263" s="72" customFormat="1">
      <c r="B1979" s="73"/>
      <c r="C1979" s="73"/>
      <c r="D1979" s="73"/>
      <c r="E1979" s="73"/>
      <c r="F1979" s="73"/>
      <c r="G1979" s="73"/>
      <c r="H1979" s="73"/>
      <c r="I1979" s="73"/>
      <c r="J1979" s="73"/>
      <c r="K1979" s="73"/>
      <c r="L1979" s="73"/>
      <c r="M1979" s="73"/>
      <c r="N1979" s="73"/>
      <c r="O1979" s="73"/>
      <c r="P1979" s="73"/>
      <c r="Q1979" s="73"/>
      <c r="R1979" s="73"/>
      <c r="S1979" s="73"/>
      <c r="T1979" s="73"/>
      <c r="U1979" s="73"/>
      <c r="V1979" s="73"/>
      <c r="W1979" s="73"/>
      <c r="GL1979" s="73"/>
      <c r="GM1979" s="73"/>
      <c r="GN1979" s="73"/>
      <c r="GO1979" s="73"/>
      <c r="GP1979" s="73"/>
      <c r="GQ1979" s="73"/>
      <c r="GR1979" s="73"/>
      <c r="GS1979" s="73"/>
      <c r="GT1979" s="73"/>
      <c r="GU1979" s="73"/>
      <c r="GV1979" s="73"/>
      <c r="GW1979" s="73"/>
      <c r="GX1979" s="73"/>
      <c r="GY1979" s="73"/>
      <c r="GZ1979" s="73"/>
      <c r="HA1979" s="73"/>
      <c r="HB1979" s="73"/>
      <c r="HC1979" s="73"/>
      <c r="HD1979" s="73"/>
      <c r="HE1979" s="73"/>
      <c r="HF1979" s="73"/>
      <c r="HG1979" s="73"/>
      <c r="HH1979" s="73"/>
      <c r="HI1979" s="73"/>
      <c r="HJ1979" s="73"/>
      <c r="HK1979" s="73"/>
      <c r="HL1979" s="73"/>
      <c r="HM1979" s="73"/>
      <c r="HN1979" s="73"/>
      <c r="HO1979" s="73"/>
      <c r="HP1979" s="73"/>
      <c r="HQ1979" s="73"/>
      <c r="HR1979" s="73"/>
      <c r="HS1979" s="73"/>
      <c r="HT1979" s="73"/>
      <c r="HU1979" s="73"/>
      <c r="HV1979" s="73"/>
      <c r="HW1979" s="73"/>
      <c r="HX1979" s="73"/>
      <c r="HY1979" s="73"/>
      <c r="HZ1979" s="73"/>
      <c r="IA1979" s="73"/>
      <c r="IB1979" s="73"/>
      <c r="IC1979" s="73"/>
      <c r="ID1979" s="73"/>
      <c r="IE1979" s="73"/>
      <c r="IF1979" s="73"/>
      <c r="IG1979" s="73"/>
      <c r="IH1979" s="73"/>
      <c r="II1979" s="73"/>
      <c r="IJ1979" s="73"/>
      <c r="IK1979" s="73"/>
      <c r="IL1979" s="73"/>
      <c r="IM1979" s="73"/>
      <c r="IN1979" s="73"/>
      <c r="IO1979" s="73"/>
      <c r="IP1979" s="73"/>
      <c r="IQ1979" s="73"/>
      <c r="IR1979" s="73"/>
      <c r="IS1979" s="73"/>
      <c r="IT1979" s="73"/>
      <c r="IU1979" s="73"/>
      <c r="IV1979" s="73"/>
      <c r="IW1979" s="73"/>
      <c r="IX1979" s="73"/>
      <c r="IY1979" s="73"/>
      <c r="IZ1979" s="73"/>
      <c r="JA1979" s="73"/>
      <c r="JB1979" s="73"/>
      <c r="JC1979" s="73"/>
    </row>
    <row r="1980" spans="2:263" s="72" customFormat="1">
      <c r="B1980" s="73"/>
      <c r="C1980" s="73"/>
      <c r="D1980" s="73"/>
      <c r="E1980" s="73"/>
      <c r="F1980" s="73"/>
      <c r="G1980" s="73"/>
      <c r="H1980" s="73"/>
      <c r="I1980" s="73"/>
      <c r="J1980" s="73"/>
      <c r="K1980" s="73"/>
      <c r="L1980" s="73"/>
      <c r="M1980" s="73"/>
      <c r="N1980" s="73"/>
      <c r="O1980" s="73"/>
      <c r="P1980" s="73"/>
      <c r="Q1980" s="73"/>
      <c r="R1980" s="73"/>
      <c r="S1980" s="73"/>
      <c r="T1980" s="73"/>
      <c r="U1980" s="73"/>
      <c r="V1980" s="73"/>
      <c r="W1980" s="73"/>
      <c r="GL1980" s="73"/>
      <c r="GM1980" s="73"/>
      <c r="GN1980" s="73"/>
      <c r="GO1980" s="73"/>
      <c r="GP1980" s="73"/>
      <c r="GQ1980" s="73"/>
      <c r="GR1980" s="73"/>
      <c r="GS1980" s="73"/>
      <c r="GT1980" s="73"/>
      <c r="GU1980" s="73"/>
      <c r="GV1980" s="73"/>
      <c r="GW1980" s="73"/>
      <c r="GX1980" s="73"/>
      <c r="GY1980" s="73"/>
      <c r="GZ1980" s="73"/>
      <c r="HA1980" s="73"/>
      <c r="HB1980" s="73"/>
      <c r="HC1980" s="73"/>
      <c r="HD1980" s="73"/>
      <c r="HE1980" s="73"/>
      <c r="HF1980" s="73"/>
      <c r="HG1980" s="73"/>
      <c r="HH1980" s="73"/>
      <c r="HI1980" s="73"/>
      <c r="HJ1980" s="73"/>
      <c r="HK1980" s="73"/>
      <c r="HL1980" s="73"/>
      <c r="HM1980" s="73"/>
      <c r="HN1980" s="73"/>
      <c r="HO1980" s="73"/>
      <c r="HP1980" s="73"/>
      <c r="HQ1980" s="73"/>
      <c r="HR1980" s="73"/>
      <c r="HS1980" s="73"/>
      <c r="HT1980" s="73"/>
      <c r="HU1980" s="73"/>
      <c r="HV1980" s="73"/>
      <c r="HW1980" s="73"/>
      <c r="HX1980" s="73"/>
      <c r="HY1980" s="73"/>
      <c r="HZ1980" s="73"/>
      <c r="IA1980" s="73"/>
      <c r="IB1980" s="73"/>
      <c r="IC1980" s="73"/>
      <c r="ID1980" s="73"/>
      <c r="IE1980" s="73"/>
      <c r="IF1980" s="73"/>
      <c r="IG1980" s="73"/>
      <c r="IH1980" s="73"/>
      <c r="II1980" s="73"/>
      <c r="IJ1980" s="73"/>
      <c r="IK1980" s="73"/>
      <c r="IL1980" s="73"/>
      <c r="IM1980" s="73"/>
      <c r="IN1980" s="73"/>
      <c r="IO1980" s="73"/>
      <c r="IP1980" s="73"/>
      <c r="IQ1980" s="73"/>
      <c r="IR1980" s="73"/>
      <c r="IS1980" s="73"/>
      <c r="IT1980" s="73"/>
      <c r="IU1980" s="73"/>
      <c r="IV1980" s="73"/>
      <c r="IW1980" s="73"/>
      <c r="IX1980" s="73"/>
      <c r="IY1980" s="73"/>
      <c r="IZ1980" s="73"/>
      <c r="JA1980" s="73"/>
      <c r="JB1980" s="73"/>
      <c r="JC1980" s="73"/>
    </row>
    <row r="1981" spans="2:263" s="72" customFormat="1">
      <c r="B1981" s="73"/>
      <c r="C1981" s="73"/>
      <c r="D1981" s="73"/>
      <c r="E1981" s="73"/>
      <c r="F1981" s="73"/>
      <c r="G1981" s="73"/>
      <c r="H1981" s="73"/>
      <c r="I1981" s="73"/>
      <c r="J1981" s="73"/>
      <c r="K1981" s="73"/>
      <c r="L1981" s="73"/>
      <c r="M1981" s="73"/>
      <c r="N1981" s="73"/>
      <c r="O1981" s="73"/>
      <c r="P1981" s="73"/>
      <c r="Q1981" s="73"/>
      <c r="R1981" s="73"/>
      <c r="S1981" s="73"/>
      <c r="T1981" s="73"/>
      <c r="U1981" s="73"/>
      <c r="V1981" s="73"/>
      <c r="W1981" s="73"/>
      <c r="GL1981" s="73"/>
      <c r="GM1981" s="73"/>
      <c r="GN1981" s="73"/>
      <c r="GO1981" s="73"/>
      <c r="GP1981" s="73"/>
      <c r="GQ1981" s="73"/>
      <c r="GR1981" s="73"/>
      <c r="GS1981" s="73"/>
      <c r="GT1981" s="73"/>
      <c r="GU1981" s="73"/>
      <c r="GV1981" s="73"/>
      <c r="GW1981" s="73"/>
      <c r="GX1981" s="73"/>
      <c r="GY1981" s="73"/>
      <c r="GZ1981" s="73"/>
      <c r="HA1981" s="73"/>
      <c r="HB1981" s="73"/>
      <c r="HC1981" s="73"/>
      <c r="HD1981" s="73"/>
      <c r="HE1981" s="73"/>
      <c r="HF1981" s="73"/>
      <c r="HG1981" s="73"/>
      <c r="HH1981" s="73"/>
      <c r="HI1981" s="73"/>
      <c r="HJ1981" s="73"/>
      <c r="HK1981" s="73"/>
      <c r="HL1981" s="73"/>
      <c r="HM1981" s="73"/>
      <c r="HN1981" s="73"/>
      <c r="HO1981" s="73"/>
      <c r="HP1981" s="73"/>
      <c r="HQ1981" s="73"/>
      <c r="HR1981" s="73"/>
      <c r="HS1981" s="73"/>
      <c r="HT1981" s="73"/>
      <c r="HU1981" s="73"/>
      <c r="HV1981" s="73"/>
      <c r="HW1981" s="73"/>
      <c r="HX1981" s="73"/>
      <c r="HY1981" s="73"/>
      <c r="HZ1981" s="73"/>
      <c r="IA1981" s="73"/>
      <c r="IB1981" s="73"/>
      <c r="IC1981" s="73"/>
      <c r="ID1981" s="73"/>
      <c r="IE1981" s="73"/>
      <c r="IF1981" s="73"/>
      <c r="IG1981" s="73"/>
      <c r="IH1981" s="73"/>
      <c r="II1981" s="73"/>
      <c r="IJ1981" s="73"/>
      <c r="IK1981" s="73"/>
      <c r="IL1981" s="73"/>
      <c r="IM1981" s="73"/>
      <c r="IN1981" s="73"/>
      <c r="IO1981" s="73"/>
      <c r="IP1981" s="73"/>
      <c r="IQ1981" s="73"/>
      <c r="IR1981" s="73"/>
      <c r="IS1981" s="73"/>
      <c r="IT1981" s="73"/>
      <c r="IU1981" s="73"/>
      <c r="IV1981" s="73"/>
      <c r="IW1981" s="73"/>
      <c r="IX1981" s="73"/>
      <c r="IY1981" s="73"/>
      <c r="IZ1981" s="73"/>
      <c r="JA1981" s="73"/>
      <c r="JB1981" s="73"/>
      <c r="JC1981" s="73"/>
    </row>
    <row r="1982" spans="2:263" s="72" customFormat="1">
      <c r="B1982" s="73"/>
      <c r="C1982" s="73"/>
      <c r="D1982" s="73"/>
      <c r="E1982" s="73"/>
      <c r="F1982" s="73"/>
      <c r="G1982" s="73"/>
      <c r="H1982" s="73"/>
      <c r="I1982" s="73"/>
      <c r="J1982" s="73"/>
      <c r="K1982" s="73"/>
      <c r="L1982" s="73"/>
      <c r="M1982" s="73"/>
      <c r="N1982" s="73"/>
      <c r="O1982" s="73"/>
      <c r="P1982" s="73"/>
      <c r="Q1982" s="73"/>
      <c r="R1982" s="73"/>
      <c r="S1982" s="73"/>
      <c r="T1982" s="73"/>
      <c r="U1982" s="73"/>
      <c r="V1982" s="73"/>
      <c r="W1982" s="73"/>
      <c r="GL1982" s="73"/>
      <c r="GM1982" s="73"/>
      <c r="GN1982" s="73"/>
      <c r="GO1982" s="73"/>
      <c r="GP1982" s="73"/>
      <c r="GQ1982" s="73"/>
      <c r="GR1982" s="73"/>
      <c r="GS1982" s="73"/>
      <c r="GT1982" s="73"/>
      <c r="GU1982" s="73"/>
      <c r="GV1982" s="73"/>
      <c r="GW1982" s="73"/>
      <c r="GX1982" s="73"/>
      <c r="GY1982" s="73"/>
      <c r="GZ1982" s="73"/>
      <c r="HA1982" s="73"/>
      <c r="HB1982" s="73"/>
      <c r="HC1982" s="73"/>
      <c r="HD1982" s="73"/>
      <c r="HE1982" s="73"/>
      <c r="HF1982" s="73"/>
      <c r="HG1982" s="73"/>
      <c r="HH1982" s="73"/>
      <c r="HI1982" s="73"/>
      <c r="HJ1982" s="73"/>
      <c r="HK1982" s="73"/>
      <c r="HL1982" s="73"/>
      <c r="HM1982" s="73"/>
      <c r="HN1982" s="73"/>
      <c r="HO1982" s="73"/>
      <c r="HP1982" s="73"/>
      <c r="HQ1982" s="73"/>
      <c r="HR1982" s="73"/>
      <c r="HS1982" s="73"/>
      <c r="HT1982" s="73"/>
      <c r="HU1982" s="73"/>
      <c r="HV1982" s="73"/>
      <c r="HW1982" s="73"/>
      <c r="HX1982" s="73"/>
      <c r="HY1982" s="73"/>
      <c r="HZ1982" s="73"/>
      <c r="IA1982" s="73"/>
      <c r="IB1982" s="73"/>
      <c r="IC1982" s="73"/>
      <c r="ID1982" s="73"/>
      <c r="IE1982" s="73"/>
      <c r="IF1982" s="73"/>
      <c r="IG1982" s="73"/>
      <c r="IH1982" s="73"/>
      <c r="II1982" s="73"/>
      <c r="IJ1982" s="73"/>
      <c r="IK1982" s="73"/>
      <c r="IL1982" s="73"/>
      <c r="IM1982" s="73"/>
      <c r="IN1982" s="73"/>
      <c r="IO1982" s="73"/>
      <c r="IP1982" s="73"/>
      <c r="IQ1982" s="73"/>
      <c r="IR1982" s="73"/>
      <c r="IS1982" s="73"/>
      <c r="IT1982" s="73"/>
      <c r="IU1982" s="73"/>
      <c r="IV1982" s="73"/>
      <c r="IW1982" s="73"/>
      <c r="IX1982" s="73"/>
      <c r="IY1982" s="73"/>
      <c r="IZ1982" s="73"/>
      <c r="JA1982" s="73"/>
      <c r="JB1982" s="73"/>
      <c r="JC1982" s="73"/>
    </row>
    <row r="1983" spans="2:263" s="72" customFormat="1">
      <c r="B1983" s="73"/>
      <c r="C1983" s="73"/>
      <c r="D1983" s="73"/>
      <c r="E1983" s="73"/>
      <c r="F1983" s="73"/>
      <c r="G1983" s="73"/>
      <c r="H1983" s="73"/>
      <c r="I1983" s="73"/>
      <c r="J1983" s="73"/>
      <c r="K1983" s="73"/>
      <c r="L1983" s="73"/>
      <c r="M1983" s="73"/>
      <c r="N1983" s="73"/>
      <c r="O1983" s="73"/>
      <c r="P1983" s="73"/>
      <c r="Q1983" s="73"/>
      <c r="R1983" s="73"/>
      <c r="S1983" s="73"/>
      <c r="T1983" s="73"/>
      <c r="U1983" s="73"/>
      <c r="V1983" s="73"/>
      <c r="W1983" s="73"/>
      <c r="GL1983" s="73"/>
      <c r="GM1983" s="73"/>
      <c r="GN1983" s="73"/>
      <c r="GO1983" s="73"/>
      <c r="GP1983" s="73"/>
      <c r="GQ1983" s="73"/>
      <c r="GR1983" s="73"/>
      <c r="GS1983" s="73"/>
      <c r="GT1983" s="73"/>
      <c r="GU1983" s="73"/>
      <c r="GV1983" s="73"/>
      <c r="GW1983" s="73"/>
      <c r="GX1983" s="73"/>
      <c r="GY1983" s="73"/>
      <c r="GZ1983" s="73"/>
      <c r="HA1983" s="73"/>
      <c r="HB1983" s="73"/>
      <c r="HC1983" s="73"/>
      <c r="HD1983" s="73"/>
      <c r="HE1983" s="73"/>
      <c r="HF1983" s="73"/>
      <c r="HG1983" s="73"/>
      <c r="HH1983" s="73"/>
      <c r="HI1983" s="73"/>
      <c r="HJ1983" s="73"/>
      <c r="HK1983" s="73"/>
      <c r="HL1983" s="73"/>
      <c r="HM1983" s="73"/>
      <c r="HN1983" s="73"/>
      <c r="HO1983" s="73"/>
      <c r="HP1983" s="73"/>
      <c r="HQ1983" s="73"/>
      <c r="HR1983" s="73"/>
      <c r="HS1983" s="73"/>
      <c r="HT1983" s="73"/>
      <c r="HU1983" s="73"/>
      <c r="HV1983" s="73"/>
      <c r="HW1983" s="73"/>
      <c r="HX1983" s="73"/>
      <c r="HY1983" s="73"/>
      <c r="HZ1983" s="73"/>
      <c r="IA1983" s="73"/>
      <c r="IB1983" s="73"/>
      <c r="IC1983" s="73"/>
      <c r="ID1983" s="73"/>
      <c r="IE1983" s="73"/>
      <c r="IF1983" s="73"/>
      <c r="IG1983" s="73"/>
      <c r="IH1983" s="73"/>
      <c r="II1983" s="73"/>
      <c r="IJ1983" s="73"/>
      <c r="IK1983" s="73"/>
      <c r="IL1983" s="73"/>
      <c r="IM1983" s="73"/>
      <c r="IN1983" s="73"/>
      <c r="IO1983" s="73"/>
      <c r="IP1983" s="73"/>
      <c r="IQ1983" s="73"/>
      <c r="IR1983" s="73"/>
      <c r="IS1983" s="73"/>
      <c r="IT1983" s="73"/>
      <c r="IU1983" s="73"/>
      <c r="IV1983" s="73"/>
      <c r="IW1983" s="73"/>
      <c r="IX1983" s="73"/>
      <c r="IY1983" s="73"/>
      <c r="IZ1983" s="73"/>
      <c r="JA1983" s="73"/>
      <c r="JB1983" s="73"/>
      <c r="JC1983" s="73"/>
    </row>
    <row r="1984" spans="2:263" s="72" customFormat="1">
      <c r="B1984" s="73"/>
      <c r="C1984" s="73"/>
      <c r="D1984" s="73"/>
      <c r="E1984" s="73"/>
      <c r="F1984" s="73"/>
      <c r="G1984" s="73"/>
      <c r="H1984" s="73"/>
      <c r="I1984" s="73"/>
      <c r="J1984" s="73"/>
      <c r="K1984" s="73"/>
      <c r="L1984" s="73"/>
      <c r="M1984" s="73"/>
      <c r="N1984" s="73"/>
      <c r="O1984" s="73"/>
      <c r="P1984" s="73"/>
      <c r="Q1984" s="73"/>
      <c r="R1984" s="73"/>
      <c r="S1984" s="73"/>
      <c r="T1984" s="73"/>
      <c r="U1984" s="73"/>
      <c r="V1984" s="73"/>
      <c r="W1984" s="73"/>
      <c r="GL1984" s="73"/>
      <c r="GM1984" s="73"/>
      <c r="GN1984" s="73"/>
      <c r="GO1984" s="73"/>
      <c r="GP1984" s="73"/>
      <c r="GQ1984" s="73"/>
      <c r="GR1984" s="73"/>
      <c r="GS1984" s="73"/>
      <c r="GT1984" s="73"/>
      <c r="GU1984" s="73"/>
      <c r="GV1984" s="73"/>
      <c r="GW1984" s="73"/>
      <c r="GX1984" s="73"/>
      <c r="GY1984" s="73"/>
      <c r="GZ1984" s="73"/>
      <c r="HA1984" s="73"/>
      <c r="HB1984" s="73"/>
      <c r="HC1984" s="73"/>
      <c r="HD1984" s="73"/>
      <c r="HE1984" s="73"/>
      <c r="HF1984" s="73"/>
      <c r="HG1984" s="73"/>
      <c r="HH1984" s="73"/>
      <c r="HI1984" s="73"/>
      <c r="HJ1984" s="73"/>
      <c r="HK1984" s="73"/>
      <c r="HL1984" s="73"/>
      <c r="HM1984" s="73"/>
      <c r="HN1984" s="73"/>
      <c r="HO1984" s="73"/>
      <c r="HP1984" s="73"/>
      <c r="HQ1984" s="73"/>
      <c r="HR1984" s="73"/>
      <c r="HS1984" s="73"/>
      <c r="HT1984" s="73"/>
      <c r="HU1984" s="73"/>
      <c r="HV1984" s="73"/>
      <c r="HW1984" s="73"/>
      <c r="HX1984" s="73"/>
      <c r="HY1984" s="73"/>
      <c r="HZ1984" s="73"/>
      <c r="IA1984" s="73"/>
      <c r="IB1984" s="73"/>
      <c r="IC1984" s="73"/>
      <c r="ID1984" s="73"/>
      <c r="IE1984" s="73"/>
      <c r="IF1984" s="73"/>
      <c r="IG1984" s="73"/>
      <c r="IH1984" s="73"/>
      <c r="II1984" s="73"/>
      <c r="IJ1984" s="73"/>
      <c r="IK1984" s="73"/>
      <c r="IL1984" s="73"/>
      <c r="IM1984" s="73"/>
      <c r="IN1984" s="73"/>
      <c r="IO1984" s="73"/>
      <c r="IP1984" s="73"/>
      <c r="IQ1984" s="73"/>
      <c r="IR1984" s="73"/>
      <c r="IS1984" s="73"/>
      <c r="IT1984" s="73"/>
      <c r="IU1984" s="73"/>
      <c r="IV1984" s="73"/>
      <c r="IW1984" s="73"/>
      <c r="IX1984" s="73"/>
      <c r="IY1984" s="73"/>
      <c r="IZ1984" s="73"/>
      <c r="JA1984" s="73"/>
      <c r="JB1984" s="73"/>
      <c r="JC1984" s="73"/>
    </row>
    <row r="1985" spans="2:263" s="72" customFormat="1">
      <c r="B1985" s="73"/>
      <c r="C1985" s="73"/>
      <c r="D1985" s="73"/>
      <c r="E1985" s="73"/>
      <c r="F1985" s="73"/>
      <c r="G1985" s="73"/>
      <c r="H1985" s="73"/>
      <c r="I1985" s="73"/>
      <c r="J1985" s="73"/>
      <c r="K1985" s="73"/>
      <c r="L1985" s="73"/>
      <c r="M1985" s="73"/>
      <c r="N1985" s="73"/>
      <c r="O1985" s="73"/>
      <c r="P1985" s="73"/>
      <c r="Q1985" s="73"/>
      <c r="R1985" s="73"/>
      <c r="S1985" s="73"/>
      <c r="T1985" s="73"/>
      <c r="U1985" s="73"/>
      <c r="V1985" s="73"/>
      <c r="W1985" s="73"/>
      <c r="GL1985" s="73"/>
      <c r="GM1985" s="73"/>
      <c r="GN1985" s="73"/>
      <c r="GO1985" s="73"/>
      <c r="GP1985" s="73"/>
      <c r="GQ1985" s="73"/>
      <c r="GR1985" s="73"/>
      <c r="GS1985" s="73"/>
      <c r="GT1985" s="73"/>
      <c r="GU1985" s="73"/>
      <c r="GV1985" s="73"/>
      <c r="GW1985" s="73"/>
      <c r="GX1985" s="73"/>
      <c r="GY1985" s="73"/>
      <c r="GZ1985" s="73"/>
      <c r="HA1985" s="73"/>
      <c r="HB1985" s="73"/>
      <c r="HC1985" s="73"/>
      <c r="HD1985" s="73"/>
      <c r="HE1985" s="73"/>
      <c r="HF1985" s="73"/>
      <c r="HG1985" s="73"/>
      <c r="HH1985" s="73"/>
      <c r="HI1985" s="73"/>
      <c r="HJ1985" s="73"/>
      <c r="HK1985" s="73"/>
      <c r="HL1985" s="73"/>
      <c r="HM1985" s="73"/>
      <c r="HN1985" s="73"/>
      <c r="HO1985" s="73"/>
      <c r="HP1985" s="73"/>
      <c r="HQ1985" s="73"/>
      <c r="HR1985" s="73"/>
      <c r="HS1985" s="73"/>
      <c r="HT1985" s="73"/>
      <c r="HU1985" s="73"/>
      <c r="HV1985" s="73"/>
      <c r="HW1985" s="73"/>
      <c r="HX1985" s="73"/>
      <c r="HY1985" s="73"/>
      <c r="HZ1985" s="73"/>
      <c r="IA1985" s="73"/>
      <c r="IB1985" s="73"/>
      <c r="IC1985" s="73"/>
      <c r="ID1985" s="73"/>
      <c r="IE1985" s="73"/>
      <c r="IF1985" s="73"/>
      <c r="IG1985" s="73"/>
      <c r="IH1985" s="73"/>
      <c r="II1985" s="73"/>
      <c r="IJ1985" s="73"/>
      <c r="IK1985" s="73"/>
      <c r="IL1985" s="73"/>
      <c r="IM1985" s="73"/>
      <c r="IN1985" s="73"/>
      <c r="IO1985" s="73"/>
      <c r="IP1985" s="73"/>
      <c r="IQ1985" s="73"/>
      <c r="IR1985" s="73"/>
      <c r="IS1985" s="73"/>
      <c r="IT1985" s="73"/>
      <c r="IU1985" s="73"/>
      <c r="IV1985" s="73"/>
      <c r="IW1985" s="73"/>
      <c r="IX1985" s="73"/>
      <c r="IY1985" s="73"/>
      <c r="IZ1985" s="73"/>
      <c r="JA1985" s="73"/>
      <c r="JB1985" s="73"/>
      <c r="JC1985" s="73"/>
    </row>
    <row r="1986" spans="2:263" s="72" customFormat="1">
      <c r="B1986" s="73"/>
      <c r="C1986" s="73"/>
      <c r="D1986" s="73"/>
      <c r="E1986" s="73"/>
      <c r="F1986" s="73"/>
      <c r="G1986" s="73"/>
      <c r="H1986" s="73"/>
      <c r="I1986" s="73"/>
      <c r="J1986" s="73"/>
      <c r="K1986" s="73"/>
      <c r="L1986" s="73"/>
      <c r="M1986" s="73"/>
      <c r="N1986" s="73"/>
      <c r="O1986" s="73"/>
      <c r="P1986" s="73"/>
      <c r="Q1986" s="73"/>
      <c r="R1986" s="73"/>
      <c r="S1986" s="73"/>
      <c r="T1986" s="73"/>
      <c r="U1986" s="73"/>
      <c r="V1986" s="73"/>
      <c r="W1986" s="73"/>
      <c r="GL1986" s="73"/>
      <c r="GM1986" s="73"/>
      <c r="GN1986" s="73"/>
      <c r="GO1986" s="73"/>
      <c r="GP1986" s="73"/>
      <c r="GQ1986" s="73"/>
      <c r="GR1986" s="73"/>
      <c r="GS1986" s="73"/>
      <c r="GT1986" s="73"/>
      <c r="GU1986" s="73"/>
      <c r="GV1986" s="73"/>
      <c r="GW1986" s="73"/>
      <c r="GX1986" s="73"/>
      <c r="GY1986" s="73"/>
      <c r="GZ1986" s="73"/>
      <c r="HA1986" s="73"/>
      <c r="HB1986" s="73"/>
      <c r="HC1986" s="73"/>
      <c r="HD1986" s="73"/>
      <c r="HE1986" s="73"/>
      <c r="HF1986" s="73"/>
      <c r="HG1986" s="73"/>
      <c r="HH1986" s="73"/>
      <c r="HI1986" s="73"/>
      <c r="HJ1986" s="73"/>
      <c r="HK1986" s="73"/>
      <c r="HL1986" s="73"/>
      <c r="HM1986" s="73"/>
      <c r="HN1986" s="73"/>
      <c r="HO1986" s="73"/>
      <c r="HP1986" s="73"/>
      <c r="HQ1986" s="73"/>
      <c r="HR1986" s="73"/>
      <c r="HS1986" s="73"/>
      <c r="HT1986" s="73"/>
      <c r="HU1986" s="73"/>
      <c r="HV1986" s="73"/>
      <c r="HW1986" s="73"/>
      <c r="HX1986" s="73"/>
      <c r="HY1986" s="73"/>
      <c r="HZ1986" s="73"/>
      <c r="IA1986" s="73"/>
      <c r="IB1986" s="73"/>
      <c r="IC1986" s="73"/>
      <c r="ID1986" s="73"/>
      <c r="IE1986" s="73"/>
      <c r="IF1986" s="73"/>
      <c r="IG1986" s="73"/>
      <c r="IH1986" s="73"/>
      <c r="II1986" s="73"/>
      <c r="IJ1986" s="73"/>
      <c r="IK1986" s="73"/>
      <c r="IL1986" s="73"/>
      <c r="IM1986" s="73"/>
      <c r="IN1986" s="73"/>
      <c r="IO1986" s="73"/>
      <c r="IP1986" s="73"/>
      <c r="IQ1986" s="73"/>
      <c r="IR1986" s="73"/>
      <c r="IS1986" s="73"/>
      <c r="IT1986" s="73"/>
      <c r="IU1986" s="73"/>
      <c r="IV1986" s="73"/>
      <c r="IW1986" s="73"/>
      <c r="IX1986" s="73"/>
      <c r="IY1986" s="73"/>
      <c r="IZ1986" s="73"/>
      <c r="JA1986" s="73"/>
      <c r="JB1986" s="73"/>
      <c r="JC1986" s="73"/>
    </row>
    <row r="1987" spans="2:263" s="72" customFormat="1">
      <c r="B1987" s="73"/>
      <c r="C1987" s="73"/>
      <c r="D1987" s="73"/>
      <c r="E1987" s="73"/>
      <c r="F1987" s="73"/>
      <c r="G1987" s="73"/>
      <c r="H1987" s="73"/>
      <c r="I1987" s="73"/>
      <c r="J1987" s="73"/>
      <c r="K1987" s="73"/>
      <c r="L1987" s="73"/>
      <c r="M1987" s="73"/>
      <c r="N1987" s="73"/>
      <c r="O1987" s="73"/>
      <c r="P1987" s="73"/>
      <c r="Q1987" s="73"/>
      <c r="R1987" s="73"/>
      <c r="S1987" s="73"/>
      <c r="T1987" s="73"/>
      <c r="U1987" s="73"/>
      <c r="V1987" s="73"/>
      <c r="W1987" s="73"/>
      <c r="GL1987" s="73"/>
      <c r="GM1987" s="73"/>
      <c r="GN1987" s="73"/>
      <c r="GO1987" s="73"/>
      <c r="GP1987" s="73"/>
      <c r="GQ1987" s="73"/>
      <c r="GR1987" s="73"/>
      <c r="GS1987" s="73"/>
      <c r="GT1987" s="73"/>
      <c r="GU1987" s="73"/>
      <c r="GV1987" s="73"/>
      <c r="GW1987" s="73"/>
      <c r="GX1987" s="73"/>
      <c r="GY1987" s="73"/>
      <c r="GZ1987" s="73"/>
      <c r="HA1987" s="73"/>
      <c r="HB1987" s="73"/>
      <c r="HC1987" s="73"/>
      <c r="HD1987" s="73"/>
      <c r="HE1987" s="73"/>
      <c r="HF1987" s="73"/>
      <c r="HG1987" s="73"/>
      <c r="HH1987" s="73"/>
      <c r="HI1987" s="73"/>
      <c r="HJ1987" s="73"/>
      <c r="HK1987" s="73"/>
      <c r="HL1987" s="73"/>
      <c r="HM1987" s="73"/>
      <c r="HN1987" s="73"/>
      <c r="HO1987" s="73"/>
      <c r="HP1987" s="73"/>
      <c r="HQ1987" s="73"/>
      <c r="HR1987" s="73"/>
      <c r="HS1987" s="73"/>
      <c r="HT1987" s="73"/>
      <c r="HU1987" s="73"/>
      <c r="HV1987" s="73"/>
      <c r="HW1987" s="73"/>
      <c r="HX1987" s="73"/>
      <c r="HY1987" s="73"/>
      <c r="HZ1987" s="73"/>
      <c r="IA1987" s="73"/>
      <c r="IB1987" s="73"/>
      <c r="IC1987" s="73"/>
      <c r="ID1987" s="73"/>
      <c r="IE1987" s="73"/>
      <c r="IF1987" s="73"/>
      <c r="IG1987" s="73"/>
      <c r="IH1987" s="73"/>
      <c r="II1987" s="73"/>
      <c r="IJ1987" s="73"/>
      <c r="IK1987" s="73"/>
      <c r="IL1987" s="73"/>
      <c r="IM1987" s="73"/>
      <c r="IN1987" s="73"/>
      <c r="IO1987" s="73"/>
      <c r="IP1987" s="73"/>
      <c r="IQ1987" s="73"/>
      <c r="IR1987" s="73"/>
      <c r="IS1987" s="73"/>
      <c r="IT1987" s="73"/>
      <c r="IU1987" s="73"/>
      <c r="IV1987" s="73"/>
      <c r="IW1987" s="73"/>
      <c r="IX1987" s="73"/>
      <c r="IY1987" s="73"/>
      <c r="IZ1987" s="73"/>
      <c r="JA1987" s="73"/>
      <c r="JB1987" s="73"/>
      <c r="JC1987" s="73"/>
    </row>
    <row r="1988" spans="2:263" s="72" customFormat="1">
      <c r="B1988" s="73"/>
      <c r="C1988" s="73"/>
      <c r="D1988" s="73"/>
      <c r="E1988" s="73"/>
      <c r="F1988" s="73"/>
      <c r="G1988" s="73"/>
      <c r="H1988" s="73"/>
      <c r="I1988" s="73"/>
      <c r="J1988" s="73"/>
      <c r="K1988" s="73"/>
      <c r="L1988" s="73"/>
      <c r="M1988" s="73"/>
      <c r="N1988" s="73"/>
      <c r="O1988" s="73"/>
      <c r="P1988" s="73"/>
      <c r="Q1988" s="73"/>
      <c r="R1988" s="73"/>
      <c r="S1988" s="73"/>
      <c r="T1988" s="73"/>
      <c r="U1988" s="73"/>
      <c r="V1988" s="73"/>
      <c r="W1988" s="73"/>
      <c r="GL1988" s="73"/>
      <c r="GM1988" s="73"/>
      <c r="GN1988" s="73"/>
      <c r="GO1988" s="73"/>
      <c r="GP1988" s="73"/>
      <c r="GQ1988" s="73"/>
      <c r="GR1988" s="73"/>
      <c r="GS1988" s="73"/>
      <c r="GT1988" s="73"/>
      <c r="GU1988" s="73"/>
      <c r="GV1988" s="73"/>
      <c r="GW1988" s="73"/>
      <c r="GX1988" s="73"/>
      <c r="GY1988" s="73"/>
      <c r="GZ1988" s="73"/>
      <c r="HA1988" s="73"/>
      <c r="HB1988" s="73"/>
      <c r="HC1988" s="73"/>
      <c r="HD1988" s="73"/>
      <c r="HE1988" s="73"/>
      <c r="HF1988" s="73"/>
      <c r="HG1988" s="73"/>
      <c r="HH1988" s="73"/>
      <c r="HI1988" s="73"/>
      <c r="HJ1988" s="73"/>
      <c r="HK1988" s="73"/>
      <c r="HL1988" s="73"/>
      <c r="HM1988" s="73"/>
      <c r="HN1988" s="73"/>
      <c r="HO1988" s="73"/>
      <c r="HP1988" s="73"/>
      <c r="HQ1988" s="73"/>
      <c r="HR1988" s="73"/>
      <c r="HS1988" s="73"/>
      <c r="HT1988" s="73"/>
      <c r="HU1988" s="73"/>
      <c r="HV1988" s="73"/>
      <c r="HW1988" s="73"/>
      <c r="HX1988" s="73"/>
      <c r="HY1988" s="73"/>
      <c r="HZ1988" s="73"/>
      <c r="IA1988" s="73"/>
      <c r="IB1988" s="73"/>
      <c r="IC1988" s="73"/>
      <c r="ID1988" s="73"/>
      <c r="IE1988" s="73"/>
      <c r="IF1988" s="73"/>
      <c r="IG1988" s="73"/>
      <c r="IH1988" s="73"/>
      <c r="II1988" s="73"/>
      <c r="IJ1988" s="73"/>
      <c r="IK1988" s="73"/>
      <c r="IL1988" s="73"/>
      <c r="IM1988" s="73"/>
      <c r="IN1988" s="73"/>
      <c r="IO1988" s="73"/>
      <c r="IP1988" s="73"/>
      <c r="IQ1988" s="73"/>
      <c r="IR1988" s="73"/>
      <c r="IS1988" s="73"/>
      <c r="IT1988" s="73"/>
      <c r="IU1988" s="73"/>
      <c r="IV1988" s="73"/>
      <c r="IW1988" s="73"/>
      <c r="IX1988" s="73"/>
      <c r="IY1988" s="73"/>
      <c r="IZ1988" s="73"/>
      <c r="JA1988" s="73"/>
      <c r="JB1988" s="73"/>
      <c r="JC1988" s="73"/>
    </row>
    <row r="1989" spans="2:263" s="72" customFormat="1">
      <c r="B1989" s="73"/>
      <c r="C1989" s="73"/>
      <c r="D1989" s="73"/>
      <c r="E1989" s="73"/>
      <c r="F1989" s="73"/>
      <c r="G1989" s="73"/>
      <c r="H1989" s="73"/>
      <c r="I1989" s="73"/>
      <c r="J1989" s="73"/>
      <c r="K1989" s="73"/>
      <c r="L1989" s="73"/>
      <c r="M1989" s="73"/>
      <c r="N1989" s="73"/>
      <c r="O1989" s="73"/>
      <c r="P1989" s="73"/>
      <c r="Q1989" s="73"/>
      <c r="R1989" s="73"/>
      <c r="S1989" s="73"/>
      <c r="T1989" s="73"/>
      <c r="U1989" s="73"/>
      <c r="V1989" s="73"/>
      <c r="W1989" s="73"/>
      <c r="GL1989" s="73"/>
      <c r="GM1989" s="73"/>
      <c r="GN1989" s="73"/>
      <c r="GO1989" s="73"/>
      <c r="GP1989" s="73"/>
      <c r="GQ1989" s="73"/>
      <c r="GR1989" s="73"/>
      <c r="GS1989" s="73"/>
      <c r="GT1989" s="73"/>
      <c r="GU1989" s="73"/>
      <c r="GV1989" s="73"/>
      <c r="GW1989" s="73"/>
      <c r="GX1989" s="73"/>
      <c r="GY1989" s="73"/>
      <c r="GZ1989" s="73"/>
      <c r="HA1989" s="73"/>
      <c r="HB1989" s="73"/>
      <c r="HC1989" s="73"/>
      <c r="HD1989" s="73"/>
      <c r="HE1989" s="73"/>
      <c r="HF1989" s="73"/>
      <c r="HG1989" s="73"/>
      <c r="HH1989" s="73"/>
      <c r="HI1989" s="73"/>
      <c r="HJ1989" s="73"/>
      <c r="HK1989" s="73"/>
      <c r="HL1989" s="73"/>
      <c r="HM1989" s="73"/>
      <c r="HN1989" s="73"/>
      <c r="HO1989" s="73"/>
      <c r="HP1989" s="73"/>
      <c r="HQ1989" s="73"/>
      <c r="HR1989" s="73"/>
      <c r="HS1989" s="73"/>
      <c r="HT1989" s="73"/>
      <c r="HU1989" s="73"/>
      <c r="HV1989" s="73"/>
      <c r="HW1989" s="73"/>
      <c r="HX1989" s="73"/>
      <c r="HY1989" s="73"/>
      <c r="HZ1989" s="73"/>
      <c r="IA1989" s="73"/>
      <c r="IB1989" s="73"/>
      <c r="IC1989" s="73"/>
      <c r="ID1989" s="73"/>
      <c r="IE1989" s="73"/>
      <c r="IF1989" s="73"/>
      <c r="IG1989" s="73"/>
      <c r="IH1989" s="73"/>
      <c r="II1989" s="73"/>
      <c r="IJ1989" s="73"/>
      <c r="IK1989" s="73"/>
      <c r="IL1989" s="73"/>
      <c r="IM1989" s="73"/>
      <c r="IN1989" s="73"/>
      <c r="IO1989" s="73"/>
      <c r="IP1989" s="73"/>
      <c r="IQ1989" s="73"/>
      <c r="IR1989" s="73"/>
      <c r="IS1989" s="73"/>
      <c r="IT1989" s="73"/>
      <c r="IU1989" s="73"/>
      <c r="IV1989" s="73"/>
      <c r="IW1989" s="73"/>
      <c r="IX1989" s="73"/>
      <c r="IY1989" s="73"/>
      <c r="IZ1989" s="73"/>
      <c r="JA1989" s="73"/>
      <c r="JB1989" s="73"/>
      <c r="JC1989" s="73"/>
    </row>
    <row r="1990" spans="2:263" s="72" customFormat="1">
      <c r="B1990" s="73"/>
      <c r="C1990" s="73"/>
      <c r="D1990" s="73"/>
      <c r="E1990" s="73"/>
      <c r="F1990" s="73"/>
      <c r="G1990" s="73"/>
      <c r="H1990" s="73"/>
      <c r="I1990" s="73"/>
      <c r="J1990" s="73"/>
      <c r="K1990" s="73"/>
      <c r="L1990" s="73"/>
      <c r="M1990" s="73"/>
      <c r="N1990" s="73"/>
      <c r="O1990" s="73"/>
      <c r="P1990" s="73"/>
      <c r="Q1990" s="73"/>
      <c r="R1990" s="73"/>
      <c r="S1990" s="73"/>
      <c r="T1990" s="73"/>
      <c r="U1990" s="73"/>
      <c r="V1990" s="73"/>
      <c r="W1990" s="73"/>
      <c r="GL1990" s="73"/>
      <c r="GM1990" s="73"/>
      <c r="GN1990" s="73"/>
      <c r="GO1990" s="73"/>
      <c r="GP1990" s="73"/>
      <c r="GQ1990" s="73"/>
      <c r="GR1990" s="73"/>
      <c r="GS1990" s="73"/>
      <c r="GT1990" s="73"/>
      <c r="GU1990" s="73"/>
      <c r="GV1990" s="73"/>
      <c r="GW1990" s="73"/>
      <c r="GX1990" s="73"/>
      <c r="GY1990" s="73"/>
      <c r="GZ1990" s="73"/>
      <c r="HA1990" s="73"/>
      <c r="HB1990" s="73"/>
      <c r="HC1990" s="73"/>
      <c r="HD1990" s="73"/>
      <c r="HE1990" s="73"/>
      <c r="HF1990" s="73"/>
      <c r="HG1990" s="73"/>
      <c r="HH1990" s="73"/>
      <c r="HI1990" s="73"/>
      <c r="HJ1990" s="73"/>
      <c r="HK1990" s="73"/>
      <c r="HL1990" s="73"/>
      <c r="HM1990" s="73"/>
      <c r="HN1990" s="73"/>
      <c r="HO1990" s="73"/>
      <c r="HP1990" s="73"/>
      <c r="HQ1990" s="73"/>
      <c r="HR1990" s="73"/>
      <c r="HS1990" s="73"/>
      <c r="HT1990" s="73"/>
      <c r="HU1990" s="73"/>
      <c r="HV1990" s="73"/>
      <c r="HW1990" s="73"/>
      <c r="HX1990" s="73"/>
      <c r="HY1990" s="73"/>
      <c r="HZ1990" s="73"/>
      <c r="IA1990" s="73"/>
      <c r="IB1990" s="73"/>
      <c r="IC1990" s="73"/>
      <c r="ID1990" s="73"/>
      <c r="IE1990" s="73"/>
      <c r="IF1990" s="73"/>
      <c r="IG1990" s="73"/>
      <c r="IH1990" s="73"/>
      <c r="II1990" s="73"/>
      <c r="IJ1990" s="73"/>
      <c r="IK1990" s="73"/>
      <c r="IL1990" s="73"/>
      <c r="IM1990" s="73"/>
      <c r="IN1990" s="73"/>
      <c r="IO1990" s="73"/>
      <c r="IP1990" s="73"/>
      <c r="IQ1990" s="73"/>
      <c r="IR1990" s="73"/>
      <c r="IS1990" s="73"/>
      <c r="IT1990" s="73"/>
      <c r="IU1990" s="73"/>
      <c r="IV1990" s="73"/>
      <c r="IW1990" s="73"/>
      <c r="IX1990" s="73"/>
      <c r="IY1990" s="73"/>
      <c r="IZ1990" s="73"/>
      <c r="JA1990" s="73"/>
      <c r="JB1990" s="73"/>
      <c r="JC1990" s="73"/>
    </row>
    <row r="1991" spans="2:263" s="72" customFormat="1">
      <c r="B1991" s="73"/>
      <c r="C1991" s="73"/>
      <c r="D1991" s="73"/>
      <c r="E1991" s="73"/>
      <c r="F1991" s="73"/>
      <c r="G1991" s="73"/>
      <c r="H1991" s="73"/>
      <c r="I1991" s="73"/>
      <c r="J1991" s="73"/>
      <c r="K1991" s="73"/>
      <c r="L1991" s="73"/>
      <c r="M1991" s="73"/>
      <c r="N1991" s="73"/>
      <c r="O1991" s="73"/>
      <c r="P1991" s="73"/>
      <c r="Q1991" s="73"/>
      <c r="R1991" s="73"/>
      <c r="S1991" s="73"/>
      <c r="T1991" s="73"/>
      <c r="U1991" s="73"/>
      <c r="V1991" s="73"/>
      <c r="W1991" s="73"/>
      <c r="GL1991" s="73"/>
      <c r="GM1991" s="73"/>
      <c r="GN1991" s="73"/>
      <c r="GO1991" s="73"/>
      <c r="GP1991" s="73"/>
      <c r="GQ1991" s="73"/>
      <c r="GR1991" s="73"/>
      <c r="GS1991" s="73"/>
      <c r="GT1991" s="73"/>
      <c r="GU1991" s="73"/>
      <c r="GV1991" s="73"/>
      <c r="GW1991" s="73"/>
      <c r="GX1991" s="73"/>
      <c r="GY1991" s="73"/>
      <c r="GZ1991" s="73"/>
      <c r="HA1991" s="73"/>
      <c r="HB1991" s="73"/>
      <c r="HC1991" s="73"/>
      <c r="HD1991" s="73"/>
      <c r="HE1991" s="73"/>
      <c r="HF1991" s="73"/>
      <c r="HG1991" s="73"/>
      <c r="HH1991" s="73"/>
      <c r="HI1991" s="73"/>
      <c r="HJ1991" s="73"/>
      <c r="HK1991" s="73"/>
      <c r="HL1991" s="73"/>
      <c r="HM1991" s="73"/>
      <c r="HN1991" s="73"/>
      <c r="HO1991" s="73"/>
      <c r="HP1991" s="73"/>
      <c r="HQ1991" s="73"/>
      <c r="HR1991" s="73"/>
      <c r="HS1991" s="73"/>
      <c r="HT1991" s="73"/>
      <c r="HU1991" s="73"/>
      <c r="HV1991" s="73"/>
      <c r="HW1991" s="73"/>
      <c r="HX1991" s="73"/>
      <c r="HY1991" s="73"/>
      <c r="HZ1991" s="73"/>
      <c r="IA1991" s="73"/>
      <c r="IB1991" s="73"/>
      <c r="IC1991" s="73"/>
      <c r="ID1991" s="73"/>
      <c r="IE1991" s="73"/>
      <c r="IF1991" s="73"/>
      <c r="IG1991" s="73"/>
      <c r="IH1991" s="73"/>
      <c r="II1991" s="73"/>
      <c r="IJ1991" s="73"/>
      <c r="IK1991" s="73"/>
      <c r="IL1991" s="73"/>
      <c r="IM1991" s="73"/>
      <c r="IN1991" s="73"/>
      <c r="IO1991" s="73"/>
      <c r="IP1991" s="73"/>
      <c r="IQ1991" s="73"/>
      <c r="IR1991" s="73"/>
      <c r="IS1991" s="73"/>
      <c r="IT1991" s="73"/>
      <c r="IU1991" s="73"/>
      <c r="IV1991" s="73"/>
      <c r="IW1991" s="73"/>
      <c r="IX1991" s="73"/>
      <c r="IY1991" s="73"/>
      <c r="IZ1991" s="73"/>
      <c r="JA1991" s="73"/>
      <c r="JB1991" s="73"/>
      <c r="JC1991" s="73"/>
    </row>
    <row r="1992" spans="2:263" s="72" customFormat="1">
      <c r="B1992" s="73"/>
      <c r="C1992" s="73"/>
      <c r="D1992" s="73"/>
      <c r="E1992" s="73"/>
      <c r="F1992" s="73"/>
      <c r="G1992" s="73"/>
      <c r="H1992" s="73"/>
      <c r="I1992" s="73"/>
      <c r="J1992" s="73"/>
      <c r="K1992" s="73"/>
      <c r="L1992" s="73"/>
      <c r="M1992" s="73"/>
      <c r="N1992" s="73"/>
      <c r="O1992" s="73"/>
      <c r="P1992" s="73"/>
      <c r="Q1992" s="73"/>
      <c r="R1992" s="73"/>
      <c r="S1992" s="73"/>
      <c r="T1992" s="73"/>
      <c r="U1992" s="73"/>
      <c r="V1992" s="73"/>
      <c r="W1992" s="73"/>
      <c r="GL1992" s="73"/>
      <c r="GM1992" s="73"/>
      <c r="GN1992" s="73"/>
      <c r="GO1992" s="73"/>
      <c r="GP1992" s="73"/>
      <c r="GQ1992" s="73"/>
      <c r="GR1992" s="73"/>
      <c r="GS1992" s="73"/>
      <c r="GT1992" s="73"/>
      <c r="GU1992" s="73"/>
      <c r="GV1992" s="73"/>
      <c r="GW1992" s="73"/>
      <c r="GX1992" s="73"/>
      <c r="GY1992" s="73"/>
      <c r="GZ1992" s="73"/>
      <c r="HA1992" s="73"/>
      <c r="HB1992" s="73"/>
      <c r="HC1992" s="73"/>
      <c r="HD1992" s="73"/>
      <c r="HE1992" s="73"/>
      <c r="HF1992" s="73"/>
      <c r="HG1992" s="73"/>
      <c r="HH1992" s="73"/>
      <c r="HI1992" s="73"/>
      <c r="HJ1992" s="73"/>
      <c r="HK1992" s="73"/>
      <c r="HL1992" s="73"/>
      <c r="HM1992" s="73"/>
      <c r="HN1992" s="73"/>
      <c r="HO1992" s="73"/>
      <c r="HP1992" s="73"/>
      <c r="HQ1992" s="73"/>
      <c r="HR1992" s="73"/>
      <c r="HS1992" s="73"/>
      <c r="HT1992" s="73"/>
      <c r="HU1992" s="73"/>
      <c r="HV1992" s="73"/>
      <c r="HW1992" s="73"/>
      <c r="HX1992" s="73"/>
      <c r="HY1992" s="73"/>
      <c r="HZ1992" s="73"/>
      <c r="IA1992" s="73"/>
      <c r="IB1992" s="73"/>
      <c r="IC1992" s="73"/>
      <c r="ID1992" s="73"/>
      <c r="IE1992" s="73"/>
      <c r="IF1992" s="73"/>
      <c r="IG1992" s="73"/>
      <c r="IH1992" s="73"/>
      <c r="II1992" s="73"/>
      <c r="IJ1992" s="73"/>
      <c r="IK1992" s="73"/>
      <c r="IL1992" s="73"/>
      <c r="IM1992" s="73"/>
      <c r="IN1992" s="73"/>
      <c r="IO1992" s="73"/>
      <c r="IP1992" s="73"/>
      <c r="IQ1992" s="73"/>
      <c r="IR1992" s="73"/>
      <c r="IS1992" s="73"/>
      <c r="IT1992" s="73"/>
      <c r="IU1992" s="73"/>
      <c r="IV1992" s="73"/>
      <c r="IW1992" s="73"/>
      <c r="IX1992" s="73"/>
      <c r="IY1992" s="73"/>
      <c r="IZ1992" s="73"/>
      <c r="JA1992" s="73"/>
      <c r="JB1992" s="73"/>
      <c r="JC1992" s="73"/>
    </row>
    <row r="1993" spans="2:263" s="72" customFormat="1">
      <c r="B1993" s="73"/>
      <c r="C1993" s="73"/>
      <c r="D1993" s="73"/>
      <c r="E1993" s="73"/>
      <c r="F1993" s="73"/>
      <c r="G1993" s="73"/>
      <c r="H1993" s="73"/>
      <c r="I1993" s="73"/>
      <c r="J1993" s="73"/>
      <c r="K1993" s="73"/>
      <c r="L1993" s="73"/>
      <c r="M1993" s="73"/>
      <c r="N1993" s="73"/>
      <c r="O1993" s="73"/>
      <c r="P1993" s="73"/>
      <c r="Q1993" s="73"/>
      <c r="R1993" s="73"/>
      <c r="S1993" s="73"/>
      <c r="T1993" s="73"/>
      <c r="U1993" s="73"/>
      <c r="V1993" s="73"/>
      <c r="W1993" s="73"/>
      <c r="GL1993" s="73"/>
      <c r="GM1993" s="73"/>
      <c r="GN1993" s="73"/>
      <c r="GO1993" s="73"/>
      <c r="GP1993" s="73"/>
      <c r="GQ1993" s="73"/>
      <c r="GR1993" s="73"/>
      <c r="GS1993" s="73"/>
      <c r="GT1993" s="73"/>
      <c r="GU1993" s="73"/>
      <c r="GV1993" s="73"/>
      <c r="GW1993" s="73"/>
      <c r="GX1993" s="73"/>
      <c r="GY1993" s="73"/>
      <c r="GZ1993" s="73"/>
      <c r="HA1993" s="73"/>
      <c r="HB1993" s="73"/>
      <c r="HC1993" s="73"/>
      <c r="HD1993" s="73"/>
      <c r="HE1993" s="73"/>
      <c r="HF1993" s="73"/>
      <c r="HG1993" s="73"/>
      <c r="HH1993" s="73"/>
      <c r="HI1993" s="73"/>
      <c r="HJ1993" s="73"/>
      <c r="HK1993" s="73"/>
      <c r="HL1993" s="73"/>
      <c r="HM1993" s="73"/>
      <c r="HN1993" s="73"/>
      <c r="HO1993" s="73"/>
      <c r="HP1993" s="73"/>
      <c r="HQ1993" s="73"/>
      <c r="HR1993" s="73"/>
      <c r="HS1993" s="73"/>
      <c r="HT1993" s="73"/>
      <c r="HU1993" s="73"/>
      <c r="HV1993" s="73"/>
      <c r="HW1993" s="73"/>
      <c r="HX1993" s="73"/>
      <c r="HY1993" s="73"/>
      <c r="HZ1993" s="73"/>
      <c r="IA1993" s="73"/>
      <c r="IB1993" s="73"/>
      <c r="IC1993" s="73"/>
      <c r="ID1993" s="73"/>
      <c r="IE1993" s="73"/>
      <c r="IF1993" s="73"/>
      <c r="IG1993" s="73"/>
      <c r="IH1993" s="73"/>
      <c r="II1993" s="73"/>
      <c r="IJ1993" s="73"/>
      <c r="IK1993" s="73"/>
      <c r="IL1993" s="73"/>
      <c r="IM1993" s="73"/>
      <c r="IN1993" s="73"/>
      <c r="IO1993" s="73"/>
      <c r="IP1993" s="73"/>
      <c r="IQ1993" s="73"/>
      <c r="IR1993" s="73"/>
      <c r="IS1993" s="73"/>
      <c r="IT1993" s="73"/>
      <c r="IU1993" s="73"/>
      <c r="IV1993" s="73"/>
      <c r="IW1993" s="73"/>
      <c r="IX1993" s="73"/>
      <c r="IY1993" s="73"/>
      <c r="IZ1993" s="73"/>
      <c r="JA1993" s="73"/>
      <c r="JB1993" s="73"/>
      <c r="JC1993" s="73"/>
    </row>
    <row r="1994" spans="2:263" s="72" customFormat="1">
      <c r="B1994" s="73"/>
      <c r="C1994" s="73"/>
      <c r="D1994" s="73"/>
      <c r="E1994" s="73"/>
      <c r="F1994" s="73"/>
      <c r="G1994" s="73"/>
      <c r="H1994" s="73"/>
      <c r="I1994" s="73"/>
      <c r="J1994" s="73"/>
      <c r="K1994" s="73"/>
      <c r="L1994" s="73"/>
      <c r="M1994" s="73"/>
      <c r="N1994" s="73"/>
      <c r="O1994" s="73"/>
      <c r="P1994" s="73"/>
      <c r="Q1994" s="73"/>
      <c r="R1994" s="73"/>
      <c r="S1994" s="73"/>
      <c r="T1994" s="73"/>
      <c r="U1994" s="73"/>
      <c r="V1994" s="73"/>
      <c r="W1994" s="73"/>
      <c r="GL1994" s="73"/>
      <c r="GM1994" s="73"/>
      <c r="GN1994" s="73"/>
      <c r="GO1994" s="73"/>
      <c r="GP1994" s="73"/>
      <c r="GQ1994" s="73"/>
      <c r="GR1994" s="73"/>
      <c r="GS1994" s="73"/>
      <c r="GT1994" s="73"/>
      <c r="GU1994" s="73"/>
      <c r="GV1994" s="73"/>
      <c r="GW1994" s="73"/>
      <c r="GX1994" s="73"/>
      <c r="GY1994" s="73"/>
      <c r="GZ1994" s="73"/>
      <c r="HA1994" s="73"/>
      <c r="HB1994" s="73"/>
      <c r="HC1994" s="73"/>
      <c r="HD1994" s="73"/>
      <c r="HE1994" s="73"/>
      <c r="HF1994" s="73"/>
      <c r="HG1994" s="73"/>
      <c r="HH1994" s="73"/>
      <c r="HI1994" s="73"/>
      <c r="HJ1994" s="73"/>
      <c r="HK1994" s="73"/>
      <c r="HL1994" s="73"/>
      <c r="HM1994" s="73"/>
      <c r="HN1994" s="73"/>
      <c r="HO1994" s="73"/>
      <c r="HP1994" s="73"/>
      <c r="HQ1994" s="73"/>
      <c r="HR1994" s="73"/>
      <c r="HS1994" s="73"/>
      <c r="HT1994" s="73"/>
      <c r="HU1994" s="73"/>
      <c r="HV1994" s="73"/>
      <c r="HW1994" s="73"/>
      <c r="HX1994" s="73"/>
      <c r="HY1994" s="73"/>
      <c r="HZ1994" s="73"/>
      <c r="IA1994" s="73"/>
      <c r="IB1994" s="73"/>
      <c r="IC1994" s="73"/>
      <c r="ID1994" s="73"/>
      <c r="IE1994" s="73"/>
      <c r="IF1994" s="73"/>
      <c r="IG1994" s="73"/>
      <c r="IH1994" s="73"/>
      <c r="II1994" s="73"/>
      <c r="IJ1994" s="73"/>
      <c r="IK1994" s="73"/>
      <c r="IL1994" s="73"/>
      <c r="IM1994" s="73"/>
      <c r="IN1994" s="73"/>
      <c r="IO1994" s="73"/>
      <c r="IP1994" s="73"/>
      <c r="IQ1994" s="73"/>
      <c r="IR1994" s="73"/>
      <c r="IS1994" s="73"/>
      <c r="IT1994" s="73"/>
      <c r="IU1994" s="73"/>
      <c r="IV1994" s="73"/>
      <c r="IW1994" s="73"/>
      <c r="IX1994" s="73"/>
      <c r="IY1994" s="73"/>
      <c r="IZ1994" s="73"/>
      <c r="JA1994" s="73"/>
      <c r="JB1994" s="73"/>
      <c r="JC1994" s="73"/>
    </row>
    <row r="1995" spans="2:263" s="72" customFormat="1">
      <c r="B1995" s="73"/>
      <c r="C1995" s="73"/>
      <c r="D1995" s="73"/>
      <c r="E1995" s="73"/>
      <c r="F1995" s="73"/>
      <c r="G1995" s="73"/>
      <c r="H1995" s="73"/>
      <c r="I1995" s="73"/>
      <c r="J1995" s="73"/>
      <c r="K1995" s="73"/>
      <c r="L1995" s="73"/>
      <c r="M1995" s="73"/>
      <c r="N1995" s="73"/>
      <c r="O1995" s="73"/>
      <c r="P1995" s="73"/>
      <c r="Q1995" s="73"/>
      <c r="R1995" s="73"/>
      <c r="S1995" s="73"/>
      <c r="T1995" s="73"/>
      <c r="U1995" s="73"/>
      <c r="V1995" s="73"/>
      <c r="W1995" s="73"/>
      <c r="GL1995" s="73"/>
      <c r="GM1995" s="73"/>
      <c r="GN1995" s="73"/>
      <c r="GO1995" s="73"/>
      <c r="GP1995" s="73"/>
      <c r="GQ1995" s="73"/>
      <c r="GR1995" s="73"/>
      <c r="GS1995" s="73"/>
      <c r="GT1995" s="73"/>
      <c r="GU1995" s="73"/>
      <c r="GV1995" s="73"/>
      <c r="GW1995" s="73"/>
      <c r="GX1995" s="73"/>
      <c r="GY1995" s="73"/>
      <c r="GZ1995" s="73"/>
      <c r="HA1995" s="73"/>
      <c r="HB1995" s="73"/>
      <c r="HC1995" s="73"/>
      <c r="HD1995" s="73"/>
      <c r="HE1995" s="73"/>
      <c r="HF1995" s="73"/>
      <c r="HG1995" s="73"/>
      <c r="HH1995" s="73"/>
      <c r="HI1995" s="73"/>
      <c r="HJ1995" s="73"/>
      <c r="HK1995" s="73"/>
      <c r="HL1995" s="73"/>
      <c r="HM1995" s="73"/>
      <c r="HN1995" s="73"/>
      <c r="HO1995" s="73"/>
      <c r="HP1995" s="73"/>
      <c r="HQ1995" s="73"/>
      <c r="HR1995" s="73"/>
      <c r="HS1995" s="73"/>
      <c r="HT1995" s="73"/>
      <c r="HU1995" s="73"/>
      <c r="HV1995" s="73"/>
      <c r="HW1995" s="73"/>
      <c r="HX1995" s="73"/>
      <c r="HY1995" s="73"/>
      <c r="HZ1995" s="73"/>
      <c r="IA1995" s="73"/>
      <c r="IB1995" s="73"/>
      <c r="IC1995" s="73"/>
      <c r="ID1995" s="73"/>
      <c r="IE1995" s="73"/>
      <c r="IF1995" s="73"/>
      <c r="IG1995" s="73"/>
      <c r="IH1995" s="73"/>
      <c r="II1995" s="73"/>
      <c r="IJ1995" s="73"/>
      <c r="IK1995" s="73"/>
      <c r="IL1995" s="73"/>
      <c r="IM1995" s="73"/>
      <c r="IN1995" s="73"/>
      <c r="IO1995" s="73"/>
      <c r="IP1995" s="73"/>
      <c r="IQ1995" s="73"/>
      <c r="IR1995" s="73"/>
      <c r="IS1995" s="73"/>
      <c r="IT1995" s="73"/>
      <c r="IU1995" s="73"/>
      <c r="IV1995" s="73"/>
      <c r="IW1995" s="73"/>
      <c r="IX1995" s="73"/>
      <c r="IY1995" s="73"/>
      <c r="IZ1995" s="73"/>
      <c r="JA1995" s="73"/>
      <c r="JB1995" s="73"/>
      <c r="JC1995" s="73"/>
    </row>
    <row r="1996" spans="2:263" s="72" customFormat="1">
      <c r="B1996" s="73"/>
      <c r="C1996" s="73"/>
      <c r="D1996" s="73"/>
      <c r="E1996" s="73"/>
      <c r="F1996" s="73"/>
      <c r="G1996" s="73"/>
      <c r="H1996" s="73"/>
      <c r="I1996" s="73"/>
      <c r="J1996" s="73"/>
      <c r="K1996" s="73"/>
      <c r="L1996" s="73"/>
      <c r="M1996" s="73"/>
      <c r="N1996" s="73"/>
      <c r="O1996" s="73"/>
      <c r="P1996" s="73"/>
      <c r="Q1996" s="73"/>
      <c r="R1996" s="73"/>
      <c r="S1996" s="73"/>
      <c r="T1996" s="73"/>
      <c r="U1996" s="73"/>
      <c r="V1996" s="73"/>
      <c r="W1996" s="73"/>
      <c r="GL1996" s="73"/>
      <c r="GM1996" s="73"/>
      <c r="GN1996" s="73"/>
      <c r="GO1996" s="73"/>
      <c r="GP1996" s="73"/>
      <c r="GQ1996" s="73"/>
      <c r="GR1996" s="73"/>
      <c r="GS1996" s="73"/>
      <c r="GT1996" s="73"/>
      <c r="GU1996" s="73"/>
      <c r="GV1996" s="73"/>
      <c r="GW1996" s="73"/>
      <c r="GX1996" s="73"/>
      <c r="GY1996" s="73"/>
      <c r="GZ1996" s="73"/>
      <c r="HA1996" s="73"/>
      <c r="HB1996" s="73"/>
      <c r="HC1996" s="73"/>
      <c r="HD1996" s="73"/>
      <c r="HE1996" s="73"/>
      <c r="HF1996" s="73"/>
      <c r="HG1996" s="73"/>
      <c r="HH1996" s="73"/>
      <c r="HI1996" s="73"/>
      <c r="HJ1996" s="73"/>
      <c r="HK1996" s="73"/>
      <c r="HL1996" s="73"/>
      <c r="HM1996" s="73"/>
      <c r="HN1996" s="73"/>
      <c r="HO1996" s="73"/>
      <c r="HP1996" s="73"/>
      <c r="HQ1996" s="73"/>
      <c r="HR1996" s="73"/>
      <c r="HS1996" s="73"/>
      <c r="HT1996" s="73"/>
      <c r="HU1996" s="73"/>
      <c r="HV1996" s="73"/>
      <c r="HW1996" s="73"/>
      <c r="HX1996" s="73"/>
      <c r="HY1996" s="73"/>
      <c r="HZ1996" s="73"/>
      <c r="IA1996" s="73"/>
      <c r="IB1996" s="73"/>
      <c r="IC1996" s="73"/>
      <c r="ID1996" s="73"/>
      <c r="IE1996" s="73"/>
      <c r="IF1996" s="73"/>
      <c r="IG1996" s="73"/>
      <c r="IH1996" s="73"/>
      <c r="II1996" s="73"/>
      <c r="IJ1996" s="73"/>
      <c r="IK1996" s="73"/>
      <c r="IL1996" s="73"/>
      <c r="IM1996" s="73"/>
      <c r="IN1996" s="73"/>
      <c r="IO1996" s="73"/>
      <c r="IP1996" s="73"/>
      <c r="IQ1996" s="73"/>
      <c r="IR1996" s="73"/>
      <c r="IS1996" s="73"/>
      <c r="IT1996" s="73"/>
      <c r="IU1996" s="73"/>
      <c r="IV1996" s="73"/>
      <c r="IW1996" s="73"/>
      <c r="IX1996" s="73"/>
      <c r="IY1996" s="73"/>
      <c r="IZ1996" s="73"/>
      <c r="JA1996" s="73"/>
      <c r="JB1996" s="73"/>
      <c r="JC1996" s="73"/>
    </row>
    <row r="1997" spans="2:263" s="72" customFormat="1">
      <c r="B1997" s="73"/>
      <c r="C1997" s="73"/>
      <c r="D1997" s="73"/>
      <c r="E1997" s="73"/>
      <c r="F1997" s="73"/>
      <c r="G1997" s="73"/>
      <c r="H1997" s="73"/>
      <c r="I1997" s="73"/>
      <c r="J1997" s="73"/>
      <c r="K1997" s="73"/>
      <c r="L1997" s="73"/>
      <c r="M1997" s="73"/>
      <c r="N1997" s="73"/>
      <c r="O1997" s="73"/>
      <c r="P1997" s="73"/>
      <c r="Q1997" s="73"/>
      <c r="R1997" s="73"/>
      <c r="S1997" s="73"/>
      <c r="T1997" s="73"/>
      <c r="U1997" s="73"/>
      <c r="V1997" s="73"/>
      <c r="W1997" s="73"/>
      <c r="GL1997" s="73"/>
      <c r="GM1997" s="73"/>
      <c r="GN1997" s="73"/>
      <c r="GO1997" s="73"/>
      <c r="GP1997" s="73"/>
      <c r="GQ1997" s="73"/>
      <c r="GR1997" s="73"/>
      <c r="GS1997" s="73"/>
      <c r="GT1997" s="73"/>
      <c r="GU1997" s="73"/>
      <c r="GV1997" s="73"/>
      <c r="GW1997" s="73"/>
      <c r="GX1997" s="73"/>
      <c r="GY1997" s="73"/>
      <c r="GZ1997" s="73"/>
      <c r="HA1997" s="73"/>
      <c r="HB1997" s="73"/>
      <c r="HC1997" s="73"/>
      <c r="HD1997" s="73"/>
      <c r="HE1997" s="73"/>
      <c r="HF1997" s="73"/>
      <c r="HG1997" s="73"/>
      <c r="HH1997" s="73"/>
      <c r="HI1997" s="73"/>
      <c r="HJ1997" s="73"/>
      <c r="HK1997" s="73"/>
      <c r="HL1997" s="73"/>
      <c r="HM1997" s="73"/>
      <c r="HN1997" s="73"/>
      <c r="HO1997" s="73"/>
      <c r="HP1997" s="73"/>
      <c r="HQ1997" s="73"/>
      <c r="HR1997" s="73"/>
      <c r="HS1997" s="73"/>
      <c r="HT1997" s="73"/>
      <c r="HU1997" s="73"/>
      <c r="HV1997" s="73"/>
      <c r="HW1997" s="73"/>
      <c r="HX1997" s="73"/>
      <c r="HY1997" s="73"/>
      <c r="HZ1997" s="73"/>
      <c r="IA1997" s="73"/>
      <c r="IB1997" s="73"/>
      <c r="IC1997" s="73"/>
      <c r="ID1997" s="73"/>
      <c r="IE1997" s="73"/>
      <c r="IF1997" s="73"/>
      <c r="IG1997" s="73"/>
      <c r="IH1997" s="73"/>
      <c r="II1997" s="73"/>
      <c r="IJ1997" s="73"/>
      <c r="IK1997" s="73"/>
      <c r="IL1997" s="73"/>
      <c r="IM1997" s="73"/>
      <c r="IN1997" s="73"/>
      <c r="IO1997" s="73"/>
      <c r="IP1997" s="73"/>
      <c r="IQ1997" s="73"/>
      <c r="IR1997" s="73"/>
      <c r="IS1997" s="73"/>
      <c r="IT1997" s="73"/>
      <c r="IU1997" s="73"/>
      <c r="IV1997" s="73"/>
      <c r="IW1997" s="73"/>
      <c r="IX1997" s="73"/>
      <c r="IY1997" s="73"/>
      <c r="IZ1997" s="73"/>
      <c r="JA1997" s="73"/>
      <c r="JB1997" s="73"/>
      <c r="JC1997" s="73"/>
    </row>
    <row r="1998" spans="2:263" s="72" customFormat="1">
      <c r="B1998" s="73"/>
      <c r="C1998" s="73"/>
      <c r="D1998" s="73"/>
      <c r="E1998" s="73"/>
      <c r="F1998" s="73"/>
      <c r="G1998" s="73"/>
      <c r="H1998" s="73"/>
      <c r="I1998" s="73"/>
      <c r="J1998" s="73"/>
      <c r="K1998" s="73"/>
      <c r="L1998" s="73"/>
      <c r="M1998" s="73"/>
      <c r="N1998" s="73"/>
      <c r="O1998" s="73"/>
      <c r="P1998" s="73"/>
      <c r="Q1998" s="73"/>
      <c r="R1998" s="73"/>
      <c r="S1998" s="73"/>
      <c r="T1998" s="73"/>
      <c r="U1998" s="73"/>
      <c r="V1998" s="73"/>
      <c r="W1998" s="73"/>
      <c r="GL1998" s="73"/>
      <c r="GM1998" s="73"/>
      <c r="GN1998" s="73"/>
      <c r="GO1998" s="73"/>
      <c r="GP1998" s="73"/>
      <c r="GQ1998" s="73"/>
      <c r="GR1998" s="73"/>
      <c r="GS1998" s="73"/>
      <c r="GT1998" s="73"/>
      <c r="GU1998" s="73"/>
      <c r="GV1998" s="73"/>
      <c r="GW1998" s="73"/>
      <c r="GX1998" s="73"/>
      <c r="GY1998" s="73"/>
      <c r="GZ1998" s="73"/>
      <c r="HA1998" s="73"/>
      <c r="HB1998" s="73"/>
      <c r="HC1998" s="73"/>
      <c r="HD1998" s="73"/>
      <c r="HE1998" s="73"/>
      <c r="HF1998" s="73"/>
      <c r="HG1998" s="73"/>
      <c r="HH1998" s="73"/>
      <c r="HI1998" s="73"/>
      <c r="HJ1998" s="73"/>
      <c r="HK1998" s="73"/>
      <c r="HL1998" s="73"/>
      <c r="HM1998" s="73"/>
      <c r="HN1998" s="73"/>
      <c r="HO1998" s="73"/>
      <c r="HP1998" s="73"/>
      <c r="HQ1998" s="73"/>
      <c r="HR1998" s="73"/>
      <c r="HS1998" s="73"/>
      <c r="HT1998" s="73"/>
      <c r="HU1998" s="73"/>
      <c r="HV1998" s="73"/>
      <c r="HW1998" s="73"/>
      <c r="HX1998" s="73"/>
      <c r="HY1998" s="73"/>
      <c r="HZ1998" s="73"/>
      <c r="IA1998" s="73"/>
      <c r="IB1998" s="73"/>
      <c r="IC1998" s="73"/>
      <c r="ID1998" s="73"/>
      <c r="IE1998" s="73"/>
      <c r="IF1998" s="73"/>
      <c r="IG1998" s="73"/>
      <c r="IH1998" s="73"/>
      <c r="II1998" s="73"/>
      <c r="IJ1998" s="73"/>
      <c r="IK1998" s="73"/>
      <c r="IL1998" s="73"/>
      <c r="IM1998" s="73"/>
      <c r="IN1998" s="73"/>
      <c r="IO1998" s="73"/>
      <c r="IP1998" s="73"/>
      <c r="IQ1998" s="73"/>
      <c r="IR1998" s="73"/>
      <c r="IS1998" s="73"/>
      <c r="IT1998" s="73"/>
      <c r="IU1998" s="73"/>
      <c r="IV1998" s="73"/>
      <c r="IW1998" s="73"/>
      <c r="IX1998" s="73"/>
      <c r="IY1998" s="73"/>
      <c r="IZ1998" s="73"/>
      <c r="JA1998" s="73"/>
      <c r="JB1998" s="73"/>
      <c r="JC1998" s="73"/>
    </row>
    <row r="1999" spans="2:263" s="72" customFormat="1">
      <c r="B1999" s="73"/>
      <c r="C1999" s="73"/>
      <c r="D1999" s="73"/>
      <c r="E1999" s="73"/>
      <c r="F1999" s="73"/>
      <c r="G1999" s="73"/>
      <c r="H1999" s="73"/>
      <c r="I1999" s="73"/>
      <c r="J1999" s="73"/>
      <c r="K1999" s="73"/>
      <c r="L1999" s="73"/>
      <c r="M1999" s="73"/>
      <c r="N1999" s="73"/>
      <c r="O1999" s="73"/>
      <c r="P1999" s="73"/>
      <c r="Q1999" s="73"/>
      <c r="R1999" s="73"/>
      <c r="S1999" s="73"/>
      <c r="T1999" s="73"/>
      <c r="U1999" s="73"/>
      <c r="V1999" s="73"/>
      <c r="W1999" s="73"/>
      <c r="GL1999" s="73"/>
      <c r="GM1999" s="73"/>
      <c r="GN1999" s="73"/>
      <c r="GO1999" s="73"/>
      <c r="GP1999" s="73"/>
      <c r="GQ1999" s="73"/>
      <c r="GR1999" s="73"/>
      <c r="GS1999" s="73"/>
      <c r="GT1999" s="73"/>
      <c r="GU1999" s="73"/>
      <c r="GV1999" s="73"/>
      <c r="GW1999" s="73"/>
      <c r="GX1999" s="73"/>
      <c r="GY1999" s="73"/>
      <c r="GZ1999" s="73"/>
      <c r="HA1999" s="73"/>
      <c r="HB1999" s="73"/>
      <c r="HC1999" s="73"/>
      <c r="HD1999" s="73"/>
      <c r="HE1999" s="73"/>
      <c r="HF1999" s="73"/>
      <c r="HG1999" s="73"/>
      <c r="HH1999" s="73"/>
      <c r="HI1999" s="73"/>
      <c r="HJ1999" s="73"/>
      <c r="HK1999" s="73"/>
      <c r="HL1999" s="73"/>
      <c r="HM1999" s="73"/>
      <c r="HN1999" s="73"/>
      <c r="HO1999" s="73"/>
      <c r="HP1999" s="73"/>
      <c r="HQ1999" s="73"/>
      <c r="HR1999" s="73"/>
      <c r="HS1999" s="73"/>
      <c r="HT1999" s="73"/>
      <c r="HU1999" s="73"/>
      <c r="HV1999" s="73"/>
      <c r="HW1999" s="73"/>
      <c r="HX1999" s="73"/>
      <c r="HY1999" s="73"/>
      <c r="HZ1999" s="73"/>
      <c r="IA1999" s="73"/>
      <c r="IB1999" s="73"/>
      <c r="IC1999" s="73"/>
      <c r="ID1999" s="73"/>
      <c r="IE1999" s="73"/>
      <c r="IF1999" s="73"/>
      <c r="IG1999" s="73"/>
      <c r="IH1999" s="73"/>
      <c r="II1999" s="73"/>
      <c r="IJ1999" s="73"/>
      <c r="IK1999" s="73"/>
      <c r="IL1999" s="73"/>
      <c r="IM1999" s="73"/>
      <c r="IN1999" s="73"/>
      <c r="IO1999" s="73"/>
      <c r="IP1999" s="73"/>
      <c r="IQ1999" s="73"/>
      <c r="IR1999" s="73"/>
      <c r="IS1999" s="73"/>
      <c r="IT1999" s="73"/>
      <c r="IU1999" s="73"/>
      <c r="IV1999" s="73"/>
      <c r="IW1999" s="73"/>
      <c r="IX1999" s="73"/>
      <c r="IY1999" s="73"/>
      <c r="IZ1999" s="73"/>
      <c r="JA1999" s="73"/>
      <c r="JB1999" s="73"/>
      <c r="JC1999" s="73"/>
    </row>
    <row r="2000" spans="2:263" s="72" customFormat="1">
      <c r="B2000" s="73"/>
      <c r="C2000" s="73"/>
      <c r="D2000" s="73"/>
      <c r="E2000" s="73"/>
      <c r="F2000" s="73"/>
      <c r="G2000" s="73"/>
      <c r="H2000" s="73"/>
      <c r="I2000" s="73"/>
      <c r="J2000" s="73"/>
      <c r="K2000" s="73"/>
      <c r="L2000" s="73"/>
      <c r="M2000" s="73"/>
      <c r="N2000" s="73"/>
      <c r="O2000" s="73"/>
      <c r="P2000" s="73"/>
      <c r="Q2000" s="73"/>
      <c r="R2000" s="73"/>
      <c r="S2000" s="73"/>
      <c r="T2000" s="73"/>
      <c r="U2000" s="73"/>
      <c r="V2000" s="73"/>
      <c r="W2000" s="73"/>
      <c r="GL2000" s="73"/>
      <c r="GM2000" s="73"/>
      <c r="GN2000" s="73"/>
      <c r="GO2000" s="73"/>
      <c r="GP2000" s="73"/>
      <c r="GQ2000" s="73"/>
      <c r="GR2000" s="73"/>
      <c r="GS2000" s="73"/>
      <c r="GT2000" s="73"/>
      <c r="GU2000" s="73"/>
      <c r="GV2000" s="73"/>
      <c r="GW2000" s="73"/>
      <c r="GX2000" s="73"/>
      <c r="GY2000" s="73"/>
      <c r="GZ2000" s="73"/>
      <c r="HA2000" s="73"/>
      <c r="HB2000" s="73"/>
      <c r="HC2000" s="73"/>
      <c r="HD2000" s="73"/>
      <c r="HE2000" s="73"/>
      <c r="HF2000" s="73"/>
      <c r="HG2000" s="73"/>
      <c r="HH2000" s="73"/>
      <c r="HI2000" s="73"/>
      <c r="HJ2000" s="73"/>
      <c r="HK2000" s="73"/>
      <c r="HL2000" s="73"/>
      <c r="HM2000" s="73"/>
      <c r="HN2000" s="73"/>
      <c r="HO2000" s="73"/>
      <c r="HP2000" s="73"/>
      <c r="HQ2000" s="73"/>
      <c r="HR2000" s="73"/>
      <c r="HS2000" s="73"/>
      <c r="HT2000" s="73"/>
      <c r="HU2000" s="73"/>
      <c r="HV2000" s="73"/>
      <c r="HW2000" s="73"/>
      <c r="HX2000" s="73"/>
      <c r="HY2000" s="73"/>
      <c r="HZ2000" s="73"/>
      <c r="IA2000" s="73"/>
      <c r="IB2000" s="73"/>
      <c r="IC2000" s="73"/>
      <c r="ID2000" s="73"/>
      <c r="IE2000" s="73"/>
      <c r="IF2000" s="73"/>
      <c r="IG2000" s="73"/>
      <c r="IH2000" s="73"/>
      <c r="II2000" s="73"/>
      <c r="IJ2000" s="73"/>
      <c r="IK2000" s="73"/>
      <c r="IL2000" s="73"/>
      <c r="IM2000" s="73"/>
      <c r="IN2000" s="73"/>
      <c r="IO2000" s="73"/>
      <c r="IP2000" s="73"/>
      <c r="IQ2000" s="73"/>
      <c r="IR2000" s="73"/>
      <c r="IS2000" s="73"/>
      <c r="IT2000" s="73"/>
      <c r="IU2000" s="73"/>
      <c r="IV2000" s="73"/>
      <c r="IW2000" s="73"/>
      <c r="IX2000" s="73"/>
      <c r="IY2000" s="73"/>
      <c r="IZ2000" s="73"/>
      <c r="JA2000" s="73"/>
      <c r="JB2000" s="73"/>
      <c r="JC2000" s="73"/>
    </row>
    <row r="2001" spans="2:263" s="72" customFormat="1">
      <c r="B2001" s="73"/>
      <c r="C2001" s="73"/>
      <c r="D2001" s="73"/>
      <c r="E2001" s="73"/>
      <c r="F2001" s="73"/>
      <c r="G2001" s="73"/>
      <c r="H2001" s="73"/>
      <c r="I2001" s="73"/>
      <c r="J2001" s="73"/>
      <c r="K2001" s="73"/>
      <c r="L2001" s="73"/>
      <c r="M2001" s="73"/>
      <c r="N2001" s="73"/>
      <c r="O2001" s="73"/>
      <c r="P2001" s="73"/>
      <c r="Q2001" s="73"/>
      <c r="R2001" s="73"/>
      <c r="S2001" s="73"/>
      <c r="T2001" s="73"/>
      <c r="U2001" s="73"/>
      <c r="V2001" s="73"/>
      <c r="W2001" s="73"/>
      <c r="GL2001" s="73"/>
      <c r="GM2001" s="73"/>
      <c r="GN2001" s="73"/>
      <c r="GO2001" s="73"/>
      <c r="GP2001" s="73"/>
      <c r="GQ2001" s="73"/>
      <c r="GR2001" s="73"/>
      <c r="GS2001" s="73"/>
      <c r="GT2001" s="73"/>
      <c r="GU2001" s="73"/>
      <c r="GV2001" s="73"/>
      <c r="GW2001" s="73"/>
      <c r="GX2001" s="73"/>
      <c r="GY2001" s="73"/>
      <c r="GZ2001" s="73"/>
      <c r="HA2001" s="73"/>
      <c r="HB2001" s="73"/>
      <c r="HC2001" s="73"/>
      <c r="HD2001" s="73"/>
      <c r="HE2001" s="73"/>
      <c r="HF2001" s="73"/>
      <c r="HG2001" s="73"/>
      <c r="HH2001" s="73"/>
      <c r="HI2001" s="73"/>
      <c r="HJ2001" s="73"/>
      <c r="HK2001" s="73"/>
      <c r="HL2001" s="73"/>
      <c r="HM2001" s="73"/>
      <c r="HN2001" s="73"/>
      <c r="HO2001" s="73"/>
      <c r="HP2001" s="73"/>
      <c r="HQ2001" s="73"/>
      <c r="HR2001" s="73"/>
      <c r="HS2001" s="73"/>
      <c r="HT2001" s="73"/>
      <c r="HU2001" s="73"/>
      <c r="HV2001" s="73"/>
      <c r="HW2001" s="73"/>
      <c r="HX2001" s="73"/>
      <c r="HY2001" s="73"/>
      <c r="HZ2001" s="73"/>
      <c r="IA2001" s="73"/>
      <c r="IB2001" s="73"/>
      <c r="IC2001" s="73"/>
      <c r="ID2001" s="73"/>
      <c r="IE2001" s="73"/>
      <c r="IF2001" s="73"/>
      <c r="IG2001" s="73"/>
      <c r="IH2001" s="73"/>
      <c r="II2001" s="73"/>
      <c r="IJ2001" s="73"/>
      <c r="IK2001" s="73"/>
      <c r="IL2001" s="73"/>
      <c r="IM2001" s="73"/>
      <c r="IN2001" s="73"/>
      <c r="IO2001" s="73"/>
      <c r="IP2001" s="73"/>
      <c r="IQ2001" s="73"/>
      <c r="IR2001" s="73"/>
      <c r="IS2001" s="73"/>
      <c r="IT2001" s="73"/>
      <c r="IU2001" s="73"/>
      <c r="IV2001" s="73"/>
      <c r="IW2001" s="73"/>
      <c r="IX2001" s="73"/>
      <c r="IY2001" s="73"/>
      <c r="IZ2001" s="73"/>
      <c r="JA2001" s="73"/>
      <c r="JB2001" s="73"/>
      <c r="JC2001" s="73"/>
    </row>
    <row r="2002" spans="2:263" s="72" customFormat="1">
      <c r="B2002" s="73"/>
      <c r="C2002" s="73"/>
      <c r="D2002" s="73"/>
      <c r="E2002" s="73"/>
      <c r="F2002" s="73"/>
      <c r="G2002" s="73"/>
      <c r="H2002" s="73"/>
      <c r="I2002" s="73"/>
      <c r="J2002" s="73"/>
      <c r="K2002" s="73"/>
      <c r="L2002" s="73"/>
      <c r="M2002" s="73"/>
      <c r="N2002" s="73"/>
      <c r="O2002" s="73"/>
      <c r="P2002" s="73"/>
      <c r="Q2002" s="73"/>
      <c r="R2002" s="73"/>
      <c r="S2002" s="73"/>
      <c r="T2002" s="73"/>
      <c r="U2002" s="73"/>
      <c r="V2002" s="73"/>
      <c r="W2002" s="73"/>
      <c r="GL2002" s="73"/>
      <c r="GM2002" s="73"/>
      <c r="GN2002" s="73"/>
      <c r="GO2002" s="73"/>
      <c r="GP2002" s="73"/>
      <c r="GQ2002" s="73"/>
      <c r="GR2002" s="73"/>
      <c r="GS2002" s="73"/>
      <c r="GT2002" s="73"/>
      <c r="GU2002" s="73"/>
      <c r="GV2002" s="73"/>
      <c r="GW2002" s="73"/>
      <c r="GX2002" s="73"/>
      <c r="GY2002" s="73"/>
      <c r="GZ2002" s="73"/>
      <c r="HA2002" s="73"/>
      <c r="HB2002" s="73"/>
      <c r="HC2002" s="73"/>
      <c r="HD2002" s="73"/>
      <c r="HE2002" s="73"/>
      <c r="HF2002" s="73"/>
      <c r="HG2002" s="73"/>
      <c r="HH2002" s="73"/>
      <c r="HI2002" s="73"/>
      <c r="HJ2002" s="73"/>
      <c r="HK2002" s="73"/>
      <c r="HL2002" s="73"/>
      <c r="HM2002" s="73"/>
      <c r="HN2002" s="73"/>
      <c r="HO2002" s="73"/>
      <c r="HP2002" s="73"/>
      <c r="HQ2002" s="73"/>
      <c r="HR2002" s="73"/>
      <c r="HS2002" s="73"/>
      <c r="HT2002" s="73"/>
      <c r="HU2002" s="73"/>
      <c r="HV2002" s="73"/>
      <c r="HW2002" s="73"/>
      <c r="HX2002" s="73"/>
      <c r="HY2002" s="73"/>
      <c r="HZ2002" s="73"/>
      <c r="IA2002" s="73"/>
      <c r="IB2002" s="73"/>
      <c r="IC2002" s="73"/>
      <c r="ID2002" s="73"/>
      <c r="IE2002" s="73"/>
      <c r="IF2002" s="73"/>
      <c r="IG2002" s="73"/>
      <c r="IH2002" s="73"/>
      <c r="II2002" s="73"/>
      <c r="IJ2002" s="73"/>
      <c r="IK2002" s="73"/>
      <c r="IL2002" s="73"/>
      <c r="IM2002" s="73"/>
      <c r="IN2002" s="73"/>
      <c r="IO2002" s="73"/>
      <c r="IP2002" s="73"/>
      <c r="IQ2002" s="73"/>
      <c r="IR2002" s="73"/>
      <c r="IS2002" s="73"/>
      <c r="IT2002" s="73"/>
      <c r="IU2002" s="73"/>
      <c r="IV2002" s="73"/>
      <c r="IW2002" s="73"/>
      <c r="IX2002" s="73"/>
      <c r="IY2002" s="73"/>
      <c r="IZ2002" s="73"/>
      <c r="JA2002" s="73"/>
      <c r="JB2002" s="73"/>
      <c r="JC2002" s="73"/>
    </row>
    <row r="2003" spans="2:263" s="72" customFormat="1">
      <c r="B2003" s="73"/>
      <c r="C2003" s="73"/>
      <c r="D2003" s="73"/>
      <c r="E2003" s="73"/>
      <c r="F2003" s="73"/>
      <c r="G2003" s="73"/>
      <c r="H2003" s="73"/>
      <c r="I2003" s="73"/>
      <c r="J2003" s="73"/>
      <c r="K2003" s="73"/>
      <c r="L2003" s="73"/>
      <c r="M2003" s="73"/>
      <c r="N2003" s="73"/>
      <c r="O2003" s="73"/>
      <c r="P2003" s="73"/>
      <c r="Q2003" s="73"/>
      <c r="R2003" s="73"/>
      <c r="S2003" s="73"/>
      <c r="T2003" s="73"/>
      <c r="U2003" s="73"/>
      <c r="V2003" s="73"/>
      <c r="W2003" s="73"/>
      <c r="GL2003" s="73"/>
      <c r="GM2003" s="73"/>
      <c r="GN2003" s="73"/>
      <c r="GO2003" s="73"/>
      <c r="GP2003" s="73"/>
      <c r="GQ2003" s="73"/>
      <c r="GR2003" s="73"/>
      <c r="GS2003" s="73"/>
      <c r="GT2003" s="73"/>
      <c r="GU2003" s="73"/>
      <c r="GV2003" s="73"/>
      <c r="GW2003" s="73"/>
      <c r="GX2003" s="73"/>
      <c r="GY2003" s="73"/>
      <c r="GZ2003" s="73"/>
      <c r="HA2003" s="73"/>
      <c r="HB2003" s="73"/>
      <c r="HC2003" s="73"/>
      <c r="HD2003" s="73"/>
      <c r="HE2003" s="73"/>
      <c r="HF2003" s="73"/>
      <c r="HG2003" s="73"/>
      <c r="HH2003" s="73"/>
      <c r="HI2003" s="73"/>
      <c r="HJ2003" s="73"/>
      <c r="HK2003" s="73"/>
      <c r="HL2003" s="73"/>
      <c r="HM2003" s="73"/>
      <c r="HN2003" s="73"/>
      <c r="HO2003" s="73"/>
      <c r="HP2003" s="73"/>
      <c r="HQ2003" s="73"/>
      <c r="HR2003" s="73"/>
      <c r="HS2003" s="73"/>
      <c r="HT2003" s="73"/>
      <c r="HU2003" s="73"/>
      <c r="HV2003" s="73"/>
      <c r="HW2003" s="73"/>
      <c r="HX2003" s="73"/>
      <c r="HY2003" s="73"/>
      <c r="HZ2003" s="73"/>
      <c r="IA2003" s="73"/>
      <c r="IB2003" s="73"/>
      <c r="IC2003" s="73"/>
      <c r="ID2003" s="73"/>
      <c r="IE2003" s="73"/>
      <c r="IF2003" s="73"/>
      <c r="IG2003" s="73"/>
      <c r="IH2003" s="73"/>
      <c r="II2003" s="73"/>
      <c r="IJ2003" s="73"/>
      <c r="IK2003" s="73"/>
      <c r="IL2003" s="73"/>
      <c r="IM2003" s="73"/>
      <c r="IN2003" s="73"/>
      <c r="IO2003" s="73"/>
      <c r="IP2003" s="73"/>
      <c r="IQ2003" s="73"/>
      <c r="IR2003" s="73"/>
      <c r="IS2003" s="73"/>
      <c r="IT2003" s="73"/>
      <c r="IU2003" s="73"/>
      <c r="IV2003" s="73"/>
      <c r="IW2003" s="73"/>
      <c r="IX2003" s="73"/>
      <c r="IY2003" s="73"/>
      <c r="IZ2003" s="73"/>
      <c r="JA2003" s="73"/>
      <c r="JB2003" s="73"/>
      <c r="JC2003" s="73"/>
    </row>
    <row r="2004" spans="2:263" s="72" customFormat="1">
      <c r="B2004" s="73"/>
      <c r="C2004" s="73"/>
      <c r="D2004" s="73"/>
      <c r="E2004" s="73"/>
      <c r="F2004" s="73"/>
      <c r="G2004" s="73"/>
      <c r="H2004" s="73"/>
      <c r="I2004" s="73"/>
      <c r="J2004" s="73"/>
      <c r="K2004" s="73"/>
      <c r="L2004" s="73"/>
      <c r="M2004" s="73"/>
      <c r="N2004" s="73"/>
      <c r="O2004" s="73"/>
      <c r="P2004" s="73"/>
      <c r="Q2004" s="73"/>
      <c r="R2004" s="73"/>
      <c r="S2004" s="73"/>
      <c r="T2004" s="73"/>
      <c r="U2004" s="73"/>
      <c r="V2004" s="73"/>
      <c r="W2004" s="73"/>
      <c r="GL2004" s="73"/>
      <c r="GM2004" s="73"/>
      <c r="GN2004" s="73"/>
      <c r="GO2004" s="73"/>
      <c r="GP2004" s="73"/>
      <c r="GQ2004" s="73"/>
      <c r="GR2004" s="73"/>
      <c r="GS2004" s="73"/>
      <c r="GT2004" s="73"/>
      <c r="GU2004" s="73"/>
      <c r="GV2004" s="73"/>
      <c r="GW2004" s="73"/>
      <c r="GX2004" s="73"/>
      <c r="GY2004" s="73"/>
      <c r="GZ2004" s="73"/>
      <c r="HA2004" s="73"/>
      <c r="HB2004" s="73"/>
      <c r="HC2004" s="73"/>
      <c r="HD2004" s="73"/>
      <c r="HE2004" s="73"/>
      <c r="HF2004" s="73"/>
      <c r="HG2004" s="73"/>
      <c r="HH2004" s="73"/>
      <c r="HI2004" s="73"/>
      <c r="HJ2004" s="73"/>
      <c r="HK2004" s="73"/>
      <c r="HL2004" s="73"/>
      <c r="HM2004" s="73"/>
      <c r="HN2004" s="73"/>
      <c r="HO2004" s="73"/>
      <c r="HP2004" s="73"/>
      <c r="HQ2004" s="73"/>
      <c r="HR2004" s="73"/>
      <c r="HS2004" s="73"/>
      <c r="HT2004" s="73"/>
      <c r="HU2004" s="73"/>
      <c r="HV2004" s="73"/>
      <c r="HW2004" s="73"/>
      <c r="HX2004" s="73"/>
      <c r="HY2004" s="73"/>
      <c r="HZ2004" s="73"/>
      <c r="IA2004" s="73"/>
      <c r="IB2004" s="73"/>
      <c r="IC2004" s="73"/>
      <c r="ID2004" s="73"/>
      <c r="IE2004" s="73"/>
      <c r="IF2004" s="73"/>
      <c r="IG2004" s="73"/>
      <c r="IH2004" s="73"/>
      <c r="II2004" s="73"/>
      <c r="IJ2004" s="73"/>
      <c r="IK2004" s="73"/>
      <c r="IL2004" s="73"/>
      <c r="IM2004" s="73"/>
      <c r="IN2004" s="73"/>
      <c r="IO2004" s="73"/>
      <c r="IP2004" s="73"/>
      <c r="IQ2004" s="73"/>
      <c r="IR2004" s="73"/>
      <c r="IS2004" s="73"/>
      <c r="IT2004" s="73"/>
      <c r="IU2004" s="73"/>
      <c r="IV2004" s="73"/>
      <c r="IW2004" s="73"/>
      <c r="IX2004" s="73"/>
      <c r="IY2004" s="73"/>
      <c r="IZ2004" s="73"/>
      <c r="JA2004" s="73"/>
      <c r="JB2004" s="73"/>
      <c r="JC2004" s="73"/>
    </row>
    <row r="2005" spans="2:263" s="72" customFormat="1">
      <c r="B2005" s="73"/>
      <c r="C2005" s="73"/>
      <c r="D2005" s="73"/>
      <c r="E2005" s="73"/>
      <c r="F2005" s="73"/>
      <c r="G2005" s="73"/>
      <c r="H2005" s="73"/>
      <c r="I2005" s="73"/>
      <c r="J2005" s="73"/>
      <c r="K2005" s="73"/>
      <c r="L2005" s="73"/>
      <c r="M2005" s="73"/>
      <c r="N2005" s="73"/>
      <c r="O2005" s="73"/>
      <c r="P2005" s="73"/>
      <c r="Q2005" s="73"/>
      <c r="R2005" s="73"/>
      <c r="S2005" s="73"/>
      <c r="T2005" s="73"/>
      <c r="U2005" s="73"/>
      <c r="V2005" s="73"/>
      <c r="W2005" s="73"/>
      <c r="GL2005" s="73"/>
      <c r="GM2005" s="73"/>
      <c r="GN2005" s="73"/>
      <c r="GO2005" s="73"/>
      <c r="GP2005" s="73"/>
      <c r="GQ2005" s="73"/>
      <c r="GR2005" s="73"/>
      <c r="GS2005" s="73"/>
      <c r="GT2005" s="73"/>
      <c r="GU2005" s="73"/>
      <c r="GV2005" s="73"/>
      <c r="GW2005" s="73"/>
      <c r="GX2005" s="73"/>
      <c r="GY2005" s="73"/>
      <c r="GZ2005" s="73"/>
      <c r="HA2005" s="73"/>
      <c r="HB2005" s="73"/>
      <c r="HC2005" s="73"/>
      <c r="HD2005" s="73"/>
      <c r="HE2005" s="73"/>
      <c r="HF2005" s="73"/>
      <c r="HG2005" s="73"/>
      <c r="HH2005" s="73"/>
      <c r="HI2005" s="73"/>
      <c r="HJ2005" s="73"/>
      <c r="HK2005" s="73"/>
      <c r="HL2005" s="73"/>
      <c r="HM2005" s="73"/>
      <c r="HN2005" s="73"/>
      <c r="HO2005" s="73"/>
      <c r="HP2005" s="73"/>
      <c r="HQ2005" s="73"/>
      <c r="HR2005" s="73"/>
      <c r="HS2005" s="73"/>
      <c r="HT2005" s="73"/>
      <c r="HU2005" s="73"/>
      <c r="HV2005" s="73"/>
      <c r="HW2005" s="73"/>
      <c r="HX2005" s="73"/>
      <c r="HY2005" s="73"/>
      <c r="HZ2005" s="73"/>
      <c r="IA2005" s="73"/>
      <c r="IB2005" s="73"/>
      <c r="IC2005" s="73"/>
      <c r="ID2005" s="73"/>
      <c r="IE2005" s="73"/>
      <c r="IF2005" s="73"/>
      <c r="IG2005" s="73"/>
      <c r="IH2005" s="73"/>
      <c r="II2005" s="73"/>
      <c r="IJ2005" s="73"/>
      <c r="IK2005" s="73"/>
      <c r="IL2005" s="73"/>
      <c r="IM2005" s="73"/>
      <c r="IN2005" s="73"/>
      <c r="IO2005" s="73"/>
      <c r="IP2005" s="73"/>
      <c r="IQ2005" s="73"/>
      <c r="IR2005" s="73"/>
      <c r="IS2005" s="73"/>
      <c r="IT2005" s="73"/>
      <c r="IU2005" s="73"/>
      <c r="IV2005" s="73"/>
      <c r="IW2005" s="73"/>
      <c r="IX2005" s="73"/>
      <c r="IY2005" s="73"/>
      <c r="IZ2005" s="73"/>
      <c r="JA2005" s="73"/>
      <c r="JB2005" s="73"/>
      <c r="JC2005" s="73"/>
    </row>
    <row r="2006" spans="2:263" s="72" customFormat="1">
      <c r="B2006" s="73"/>
      <c r="C2006" s="73"/>
      <c r="D2006" s="73"/>
      <c r="E2006" s="73"/>
      <c r="F2006" s="73"/>
      <c r="G2006" s="73"/>
      <c r="H2006" s="73"/>
      <c r="I2006" s="73"/>
      <c r="J2006" s="73"/>
      <c r="K2006" s="73"/>
      <c r="L2006" s="73"/>
      <c r="M2006" s="73"/>
      <c r="N2006" s="73"/>
      <c r="O2006" s="73"/>
      <c r="P2006" s="73"/>
      <c r="Q2006" s="73"/>
      <c r="R2006" s="73"/>
      <c r="S2006" s="73"/>
      <c r="T2006" s="73"/>
      <c r="U2006" s="73"/>
      <c r="V2006" s="73"/>
      <c r="W2006" s="73"/>
      <c r="GL2006" s="73"/>
      <c r="GM2006" s="73"/>
      <c r="GN2006" s="73"/>
      <c r="GO2006" s="73"/>
      <c r="GP2006" s="73"/>
      <c r="GQ2006" s="73"/>
      <c r="GR2006" s="73"/>
      <c r="GS2006" s="73"/>
      <c r="GT2006" s="73"/>
      <c r="GU2006" s="73"/>
      <c r="GV2006" s="73"/>
      <c r="GW2006" s="73"/>
      <c r="GX2006" s="73"/>
      <c r="GY2006" s="73"/>
      <c r="GZ2006" s="73"/>
      <c r="HA2006" s="73"/>
      <c r="HB2006" s="73"/>
      <c r="HC2006" s="73"/>
      <c r="HD2006" s="73"/>
      <c r="HE2006" s="73"/>
      <c r="HF2006" s="73"/>
      <c r="HG2006" s="73"/>
      <c r="HH2006" s="73"/>
      <c r="HI2006" s="73"/>
      <c r="HJ2006" s="73"/>
      <c r="HK2006" s="73"/>
      <c r="HL2006" s="73"/>
      <c r="HM2006" s="73"/>
      <c r="HN2006" s="73"/>
      <c r="HO2006" s="73"/>
      <c r="HP2006" s="73"/>
      <c r="HQ2006" s="73"/>
      <c r="HR2006" s="73"/>
      <c r="HS2006" s="73"/>
      <c r="HT2006" s="73"/>
      <c r="HU2006" s="73"/>
      <c r="HV2006" s="73"/>
      <c r="HW2006" s="73"/>
      <c r="HX2006" s="73"/>
      <c r="HY2006" s="73"/>
      <c r="HZ2006" s="73"/>
      <c r="IA2006" s="73"/>
      <c r="IB2006" s="73"/>
      <c r="IC2006" s="73"/>
      <c r="ID2006" s="73"/>
      <c r="IE2006" s="73"/>
      <c r="IF2006" s="73"/>
      <c r="IG2006" s="73"/>
      <c r="IH2006" s="73"/>
      <c r="II2006" s="73"/>
      <c r="IJ2006" s="73"/>
      <c r="IK2006" s="73"/>
      <c r="IL2006" s="73"/>
      <c r="IM2006" s="73"/>
      <c r="IN2006" s="73"/>
      <c r="IO2006" s="73"/>
      <c r="IP2006" s="73"/>
      <c r="IQ2006" s="73"/>
      <c r="IR2006" s="73"/>
      <c r="IS2006" s="73"/>
      <c r="IT2006" s="73"/>
      <c r="IU2006" s="73"/>
      <c r="IV2006" s="73"/>
      <c r="IW2006" s="73"/>
      <c r="IX2006" s="73"/>
      <c r="IY2006" s="73"/>
      <c r="IZ2006" s="73"/>
      <c r="JA2006" s="73"/>
      <c r="JB2006" s="73"/>
      <c r="JC2006" s="73"/>
    </row>
    <row r="2007" spans="2:263" s="72" customFormat="1">
      <c r="B2007" s="73"/>
      <c r="C2007" s="73"/>
      <c r="D2007" s="73"/>
      <c r="E2007" s="73"/>
      <c r="F2007" s="73"/>
      <c r="G2007" s="73"/>
      <c r="H2007" s="73"/>
      <c r="I2007" s="73"/>
      <c r="J2007" s="73"/>
      <c r="K2007" s="73"/>
      <c r="L2007" s="73"/>
      <c r="M2007" s="73"/>
      <c r="N2007" s="73"/>
      <c r="O2007" s="73"/>
      <c r="P2007" s="73"/>
      <c r="Q2007" s="73"/>
      <c r="R2007" s="73"/>
      <c r="S2007" s="73"/>
      <c r="T2007" s="73"/>
      <c r="U2007" s="73"/>
      <c r="V2007" s="73"/>
      <c r="W2007" s="73"/>
      <c r="GL2007" s="73"/>
      <c r="GM2007" s="73"/>
      <c r="GN2007" s="73"/>
      <c r="GO2007" s="73"/>
      <c r="GP2007" s="73"/>
      <c r="GQ2007" s="73"/>
      <c r="GR2007" s="73"/>
      <c r="GS2007" s="73"/>
      <c r="GT2007" s="73"/>
      <c r="GU2007" s="73"/>
      <c r="GV2007" s="73"/>
      <c r="GW2007" s="73"/>
      <c r="GX2007" s="73"/>
      <c r="GY2007" s="73"/>
      <c r="GZ2007" s="73"/>
      <c r="HA2007" s="73"/>
      <c r="HB2007" s="73"/>
      <c r="HC2007" s="73"/>
      <c r="HD2007" s="73"/>
      <c r="HE2007" s="73"/>
      <c r="HF2007" s="73"/>
      <c r="HG2007" s="73"/>
      <c r="HH2007" s="73"/>
      <c r="HI2007" s="73"/>
      <c r="HJ2007" s="73"/>
      <c r="HK2007" s="73"/>
      <c r="HL2007" s="73"/>
      <c r="HM2007" s="73"/>
      <c r="HN2007" s="73"/>
      <c r="HO2007" s="73"/>
      <c r="HP2007" s="73"/>
      <c r="HQ2007" s="73"/>
      <c r="HR2007" s="73"/>
      <c r="HS2007" s="73"/>
      <c r="HT2007" s="73"/>
      <c r="HU2007" s="73"/>
      <c r="HV2007" s="73"/>
      <c r="HW2007" s="73"/>
      <c r="HX2007" s="73"/>
      <c r="HY2007" s="73"/>
      <c r="HZ2007" s="73"/>
      <c r="IA2007" s="73"/>
      <c r="IB2007" s="73"/>
      <c r="IC2007" s="73"/>
      <c r="ID2007" s="73"/>
      <c r="IE2007" s="73"/>
      <c r="IF2007" s="73"/>
      <c r="IG2007" s="73"/>
      <c r="IH2007" s="73"/>
      <c r="II2007" s="73"/>
      <c r="IJ2007" s="73"/>
      <c r="IK2007" s="73"/>
      <c r="IL2007" s="73"/>
      <c r="IM2007" s="73"/>
      <c r="IN2007" s="73"/>
      <c r="IO2007" s="73"/>
      <c r="IP2007" s="73"/>
      <c r="IQ2007" s="73"/>
      <c r="IR2007" s="73"/>
      <c r="IS2007" s="73"/>
      <c r="IT2007" s="73"/>
      <c r="IU2007" s="73"/>
      <c r="IV2007" s="73"/>
      <c r="IW2007" s="73"/>
      <c r="IX2007" s="73"/>
      <c r="IY2007" s="73"/>
      <c r="IZ2007" s="73"/>
      <c r="JA2007" s="73"/>
      <c r="JB2007" s="73"/>
      <c r="JC2007" s="73"/>
    </row>
    <row r="2008" spans="2:263" s="72" customFormat="1">
      <c r="B2008" s="73"/>
      <c r="C2008" s="73"/>
      <c r="D2008" s="73"/>
      <c r="E2008" s="73"/>
      <c r="F2008" s="73"/>
      <c r="G2008" s="73"/>
      <c r="H2008" s="73"/>
      <c r="I2008" s="73"/>
      <c r="J2008" s="73"/>
      <c r="K2008" s="73"/>
      <c r="L2008" s="73"/>
      <c r="M2008" s="73"/>
      <c r="N2008" s="73"/>
      <c r="O2008" s="73"/>
      <c r="P2008" s="73"/>
      <c r="Q2008" s="73"/>
      <c r="R2008" s="73"/>
      <c r="S2008" s="73"/>
      <c r="T2008" s="73"/>
      <c r="U2008" s="73"/>
      <c r="V2008" s="73"/>
      <c r="W2008" s="73"/>
      <c r="GL2008" s="73"/>
      <c r="GM2008" s="73"/>
      <c r="GN2008" s="73"/>
      <c r="GO2008" s="73"/>
      <c r="GP2008" s="73"/>
      <c r="GQ2008" s="73"/>
      <c r="GR2008" s="73"/>
      <c r="GS2008" s="73"/>
      <c r="GT2008" s="73"/>
      <c r="GU2008" s="73"/>
      <c r="GV2008" s="73"/>
      <c r="GW2008" s="73"/>
      <c r="GX2008" s="73"/>
      <c r="GY2008" s="73"/>
      <c r="GZ2008" s="73"/>
      <c r="HA2008" s="73"/>
      <c r="HB2008" s="73"/>
      <c r="HC2008" s="73"/>
      <c r="HD2008" s="73"/>
      <c r="HE2008" s="73"/>
      <c r="HF2008" s="73"/>
      <c r="HG2008" s="73"/>
      <c r="HH2008" s="73"/>
      <c r="HI2008" s="73"/>
      <c r="HJ2008" s="73"/>
      <c r="HK2008" s="73"/>
      <c r="HL2008" s="73"/>
      <c r="HM2008" s="73"/>
      <c r="HN2008" s="73"/>
      <c r="HO2008" s="73"/>
      <c r="HP2008" s="73"/>
      <c r="HQ2008" s="73"/>
      <c r="HR2008" s="73"/>
      <c r="HS2008" s="73"/>
      <c r="HT2008" s="73"/>
      <c r="HU2008" s="73"/>
      <c r="HV2008" s="73"/>
      <c r="HW2008" s="73"/>
      <c r="HX2008" s="73"/>
      <c r="HY2008" s="73"/>
      <c r="HZ2008" s="73"/>
      <c r="IA2008" s="73"/>
      <c r="IB2008" s="73"/>
      <c r="IC2008" s="73"/>
      <c r="ID2008" s="73"/>
      <c r="IE2008" s="73"/>
      <c r="IF2008" s="73"/>
      <c r="IG2008" s="73"/>
      <c r="IH2008" s="73"/>
      <c r="II2008" s="73"/>
      <c r="IJ2008" s="73"/>
      <c r="IK2008" s="73"/>
      <c r="IL2008" s="73"/>
      <c r="IM2008" s="73"/>
      <c r="IN2008" s="73"/>
      <c r="IO2008" s="73"/>
      <c r="IP2008" s="73"/>
      <c r="IQ2008" s="73"/>
      <c r="IR2008" s="73"/>
      <c r="IS2008" s="73"/>
      <c r="IT2008" s="73"/>
      <c r="IU2008" s="73"/>
      <c r="IV2008" s="73"/>
      <c r="IW2008" s="73"/>
      <c r="IX2008" s="73"/>
      <c r="IY2008" s="73"/>
      <c r="IZ2008" s="73"/>
      <c r="JA2008" s="73"/>
      <c r="JB2008" s="73"/>
      <c r="JC2008" s="73"/>
    </row>
    <row r="2009" spans="2:263" s="72" customFormat="1">
      <c r="B2009" s="73"/>
      <c r="C2009" s="73"/>
      <c r="D2009" s="73"/>
      <c r="E2009" s="73"/>
      <c r="F2009" s="73"/>
      <c r="G2009" s="73"/>
      <c r="H2009" s="73"/>
      <c r="I2009" s="73"/>
      <c r="J2009" s="73"/>
      <c r="K2009" s="73"/>
      <c r="L2009" s="73"/>
      <c r="M2009" s="73"/>
      <c r="N2009" s="73"/>
      <c r="O2009" s="73"/>
      <c r="P2009" s="73"/>
      <c r="Q2009" s="73"/>
      <c r="R2009" s="73"/>
      <c r="S2009" s="73"/>
      <c r="T2009" s="73"/>
      <c r="U2009" s="73"/>
      <c r="V2009" s="73"/>
      <c r="W2009" s="73"/>
      <c r="GL2009" s="73"/>
      <c r="GM2009" s="73"/>
      <c r="GN2009" s="73"/>
      <c r="GO2009" s="73"/>
      <c r="GP2009" s="73"/>
      <c r="GQ2009" s="73"/>
      <c r="GR2009" s="73"/>
      <c r="GS2009" s="73"/>
      <c r="GT2009" s="73"/>
      <c r="GU2009" s="73"/>
      <c r="GV2009" s="73"/>
      <c r="GW2009" s="73"/>
      <c r="GX2009" s="73"/>
      <c r="GY2009" s="73"/>
      <c r="GZ2009" s="73"/>
      <c r="HA2009" s="73"/>
      <c r="HB2009" s="73"/>
      <c r="HC2009" s="73"/>
      <c r="HD2009" s="73"/>
      <c r="HE2009" s="73"/>
      <c r="HF2009" s="73"/>
      <c r="HG2009" s="73"/>
      <c r="HH2009" s="73"/>
      <c r="HI2009" s="73"/>
      <c r="HJ2009" s="73"/>
      <c r="HK2009" s="73"/>
      <c r="HL2009" s="73"/>
      <c r="HM2009" s="73"/>
      <c r="HN2009" s="73"/>
      <c r="HO2009" s="73"/>
      <c r="HP2009" s="73"/>
      <c r="HQ2009" s="73"/>
      <c r="HR2009" s="73"/>
      <c r="HS2009" s="73"/>
      <c r="HT2009" s="73"/>
      <c r="HU2009" s="73"/>
      <c r="HV2009" s="73"/>
      <c r="HW2009" s="73"/>
      <c r="HX2009" s="73"/>
      <c r="HY2009" s="73"/>
      <c r="HZ2009" s="73"/>
      <c r="IA2009" s="73"/>
      <c r="IB2009" s="73"/>
      <c r="IC2009" s="73"/>
      <c r="ID2009" s="73"/>
      <c r="IE2009" s="73"/>
      <c r="IF2009" s="73"/>
      <c r="IG2009" s="73"/>
      <c r="IH2009" s="73"/>
      <c r="II2009" s="73"/>
      <c r="IJ2009" s="73"/>
      <c r="IK2009" s="73"/>
      <c r="IL2009" s="73"/>
      <c r="IM2009" s="73"/>
      <c r="IN2009" s="73"/>
      <c r="IO2009" s="73"/>
      <c r="IP2009" s="73"/>
      <c r="IQ2009" s="73"/>
      <c r="IR2009" s="73"/>
      <c r="IS2009" s="73"/>
      <c r="IT2009" s="73"/>
      <c r="IU2009" s="73"/>
      <c r="IV2009" s="73"/>
      <c r="IW2009" s="73"/>
      <c r="IX2009" s="73"/>
      <c r="IY2009" s="73"/>
      <c r="IZ2009" s="73"/>
      <c r="JA2009" s="73"/>
      <c r="JB2009" s="73"/>
      <c r="JC2009" s="73"/>
    </row>
    <row r="2010" spans="2:263" s="72" customFormat="1">
      <c r="B2010" s="73"/>
      <c r="C2010" s="73"/>
      <c r="D2010" s="73"/>
      <c r="E2010" s="73"/>
      <c r="F2010" s="73"/>
      <c r="G2010" s="73"/>
      <c r="H2010" s="73"/>
      <c r="I2010" s="73"/>
      <c r="J2010" s="73"/>
      <c r="K2010" s="73"/>
      <c r="L2010" s="73"/>
      <c r="M2010" s="73"/>
      <c r="N2010" s="73"/>
      <c r="O2010" s="73"/>
      <c r="P2010" s="73"/>
      <c r="Q2010" s="73"/>
      <c r="R2010" s="73"/>
      <c r="S2010" s="73"/>
      <c r="T2010" s="73"/>
      <c r="U2010" s="73"/>
      <c r="V2010" s="73"/>
      <c r="W2010" s="73"/>
      <c r="GL2010" s="73"/>
      <c r="GM2010" s="73"/>
      <c r="GN2010" s="73"/>
      <c r="GO2010" s="73"/>
      <c r="GP2010" s="73"/>
      <c r="GQ2010" s="73"/>
      <c r="GR2010" s="73"/>
      <c r="GS2010" s="73"/>
      <c r="GT2010" s="73"/>
      <c r="GU2010" s="73"/>
      <c r="GV2010" s="73"/>
      <c r="GW2010" s="73"/>
      <c r="GX2010" s="73"/>
      <c r="GY2010" s="73"/>
      <c r="GZ2010" s="73"/>
      <c r="HA2010" s="73"/>
      <c r="HB2010" s="73"/>
      <c r="HC2010" s="73"/>
      <c r="HD2010" s="73"/>
      <c r="HE2010" s="73"/>
      <c r="HF2010" s="73"/>
      <c r="HG2010" s="73"/>
      <c r="HH2010" s="73"/>
      <c r="HI2010" s="73"/>
      <c r="HJ2010" s="73"/>
      <c r="HK2010" s="73"/>
      <c r="HL2010" s="73"/>
      <c r="HM2010" s="73"/>
      <c r="HN2010" s="73"/>
      <c r="HO2010" s="73"/>
      <c r="HP2010" s="73"/>
      <c r="HQ2010" s="73"/>
      <c r="HR2010" s="73"/>
      <c r="HS2010" s="73"/>
      <c r="HT2010" s="73"/>
      <c r="HU2010" s="73"/>
      <c r="HV2010" s="73"/>
      <c r="HW2010" s="73"/>
      <c r="HX2010" s="73"/>
      <c r="HY2010" s="73"/>
      <c r="HZ2010" s="73"/>
      <c r="IA2010" s="73"/>
      <c r="IB2010" s="73"/>
      <c r="IC2010" s="73"/>
      <c r="ID2010" s="73"/>
      <c r="IE2010" s="73"/>
      <c r="IF2010" s="73"/>
      <c r="IG2010" s="73"/>
      <c r="IH2010" s="73"/>
      <c r="II2010" s="73"/>
      <c r="IJ2010" s="73"/>
      <c r="IK2010" s="73"/>
      <c r="IL2010" s="73"/>
      <c r="IM2010" s="73"/>
      <c r="IN2010" s="73"/>
      <c r="IO2010" s="73"/>
      <c r="IP2010" s="73"/>
      <c r="IQ2010" s="73"/>
      <c r="IR2010" s="73"/>
      <c r="IS2010" s="73"/>
      <c r="IT2010" s="73"/>
      <c r="IU2010" s="73"/>
      <c r="IV2010" s="73"/>
      <c r="IW2010" s="73"/>
      <c r="IX2010" s="73"/>
      <c r="IY2010" s="73"/>
      <c r="IZ2010" s="73"/>
      <c r="JA2010" s="73"/>
      <c r="JB2010" s="73"/>
      <c r="JC2010" s="73"/>
    </row>
    <row r="2011" spans="2:263" s="72" customFormat="1">
      <c r="B2011" s="73"/>
      <c r="C2011" s="73"/>
      <c r="D2011" s="73"/>
      <c r="E2011" s="73"/>
      <c r="F2011" s="73"/>
      <c r="G2011" s="73"/>
      <c r="H2011" s="73"/>
      <c r="I2011" s="73"/>
      <c r="J2011" s="73"/>
      <c r="K2011" s="73"/>
      <c r="L2011" s="73"/>
      <c r="M2011" s="73"/>
      <c r="N2011" s="73"/>
      <c r="O2011" s="73"/>
      <c r="P2011" s="73"/>
      <c r="Q2011" s="73"/>
      <c r="R2011" s="73"/>
      <c r="S2011" s="73"/>
      <c r="T2011" s="73"/>
      <c r="U2011" s="73"/>
      <c r="V2011" s="73"/>
      <c r="W2011" s="73"/>
      <c r="GL2011" s="73"/>
      <c r="GM2011" s="73"/>
      <c r="GN2011" s="73"/>
      <c r="GO2011" s="73"/>
      <c r="GP2011" s="73"/>
      <c r="GQ2011" s="73"/>
      <c r="GR2011" s="73"/>
      <c r="GS2011" s="73"/>
      <c r="GT2011" s="73"/>
      <c r="GU2011" s="73"/>
      <c r="GV2011" s="73"/>
      <c r="GW2011" s="73"/>
      <c r="GX2011" s="73"/>
      <c r="GY2011" s="73"/>
      <c r="GZ2011" s="73"/>
      <c r="HA2011" s="73"/>
      <c r="HB2011" s="73"/>
      <c r="HC2011" s="73"/>
      <c r="HD2011" s="73"/>
      <c r="HE2011" s="73"/>
      <c r="HF2011" s="73"/>
      <c r="HG2011" s="73"/>
      <c r="HH2011" s="73"/>
      <c r="HI2011" s="73"/>
      <c r="HJ2011" s="73"/>
      <c r="HK2011" s="73"/>
      <c r="HL2011" s="73"/>
      <c r="HM2011" s="73"/>
      <c r="HN2011" s="73"/>
      <c r="HO2011" s="73"/>
      <c r="HP2011" s="73"/>
      <c r="HQ2011" s="73"/>
      <c r="HR2011" s="73"/>
      <c r="HS2011" s="73"/>
      <c r="HT2011" s="73"/>
      <c r="HU2011" s="73"/>
      <c r="HV2011" s="73"/>
      <c r="HW2011" s="73"/>
      <c r="HX2011" s="73"/>
      <c r="HY2011" s="73"/>
      <c r="HZ2011" s="73"/>
      <c r="IA2011" s="73"/>
      <c r="IB2011" s="73"/>
      <c r="IC2011" s="73"/>
      <c r="ID2011" s="73"/>
      <c r="IE2011" s="73"/>
      <c r="IF2011" s="73"/>
      <c r="IG2011" s="73"/>
      <c r="IH2011" s="73"/>
      <c r="II2011" s="73"/>
      <c r="IJ2011" s="73"/>
      <c r="IK2011" s="73"/>
      <c r="IL2011" s="73"/>
      <c r="IM2011" s="73"/>
      <c r="IN2011" s="73"/>
      <c r="IO2011" s="73"/>
      <c r="IP2011" s="73"/>
      <c r="IQ2011" s="73"/>
      <c r="IR2011" s="73"/>
      <c r="IS2011" s="73"/>
      <c r="IT2011" s="73"/>
      <c r="IU2011" s="73"/>
      <c r="IV2011" s="73"/>
      <c r="IW2011" s="73"/>
      <c r="IX2011" s="73"/>
      <c r="IY2011" s="73"/>
      <c r="IZ2011" s="73"/>
      <c r="JA2011" s="73"/>
      <c r="JB2011" s="73"/>
      <c r="JC2011" s="73"/>
    </row>
    <row r="2012" spans="2:263" s="72" customFormat="1">
      <c r="B2012" s="73"/>
      <c r="C2012" s="73"/>
      <c r="D2012" s="73"/>
      <c r="E2012" s="73"/>
      <c r="F2012" s="73"/>
      <c r="G2012" s="73"/>
      <c r="H2012" s="73"/>
      <c r="I2012" s="73"/>
      <c r="J2012" s="73"/>
      <c r="K2012" s="73"/>
      <c r="L2012" s="73"/>
      <c r="M2012" s="73"/>
      <c r="N2012" s="73"/>
      <c r="O2012" s="73"/>
      <c r="P2012" s="73"/>
      <c r="Q2012" s="73"/>
      <c r="R2012" s="73"/>
      <c r="S2012" s="73"/>
      <c r="T2012" s="73"/>
      <c r="U2012" s="73"/>
      <c r="V2012" s="73"/>
      <c r="W2012" s="73"/>
      <c r="GL2012" s="73"/>
      <c r="GM2012" s="73"/>
      <c r="GN2012" s="73"/>
      <c r="GO2012" s="73"/>
      <c r="GP2012" s="73"/>
      <c r="GQ2012" s="73"/>
      <c r="GR2012" s="73"/>
      <c r="GS2012" s="73"/>
      <c r="GT2012" s="73"/>
      <c r="GU2012" s="73"/>
      <c r="GV2012" s="73"/>
      <c r="GW2012" s="73"/>
      <c r="GX2012" s="73"/>
      <c r="GY2012" s="73"/>
      <c r="GZ2012" s="73"/>
      <c r="HA2012" s="73"/>
      <c r="HB2012" s="73"/>
      <c r="HC2012" s="73"/>
      <c r="HD2012" s="73"/>
      <c r="HE2012" s="73"/>
      <c r="HF2012" s="73"/>
      <c r="HG2012" s="73"/>
      <c r="HH2012" s="73"/>
      <c r="HI2012" s="73"/>
      <c r="HJ2012" s="73"/>
      <c r="HK2012" s="73"/>
      <c r="HL2012" s="73"/>
      <c r="HM2012" s="73"/>
      <c r="HN2012" s="73"/>
      <c r="HO2012" s="73"/>
      <c r="HP2012" s="73"/>
      <c r="HQ2012" s="73"/>
      <c r="HR2012" s="73"/>
      <c r="HS2012" s="73"/>
      <c r="HT2012" s="73"/>
      <c r="HU2012" s="73"/>
      <c r="HV2012" s="73"/>
      <c r="HW2012" s="73"/>
      <c r="HX2012" s="73"/>
      <c r="HY2012" s="73"/>
      <c r="HZ2012" s="73"/>
      <c r="IA2012" s="73"/>
      <c r="IB2012" s="73"/>
      <c r="IC2012" s="73"/>
      <c r="ID2012" s="73"/>
      <c r="IE2012" s="73"/>
      <c r="IF2012" s="73"/>
      <c r="IG2012" s="73"/>
      <c r="IH2012" s="73"/>
      <c r="II2012" s="73"/>
      <c r="IJ2012" s="73"/>
      <c r="IK2012" s="73"/>
      <c r="IL2012" s="73"/>
      <c r="IM2012" s="73"/>
      <c r="IN2012" s="73"/>
      <c r="IO2012" s="73"/>
      <c r="IP2012" s="73"/>
      <c r="IQ2012" s="73"/>
      <c r="IR2012" s="73"/>
      <c r="IS2012" s="73"/>
      <c r="IT2012" s="73"/>
      <c r="IU2012" s="73"/>
      <c r="IV2012" s="73"/>
      <c r="IW2012" s="73"/>
      <c r="IX2012" s="73"/>
      <c r="IY2012" s="73"/>
      <c r="IZ2012" s="73"/>
      <c r="JA2012" s="73"/>
      <c r="JB2012" s="73"/>
      <c r="JC2012" s="73"/>
    </row>
    <row r="2013" spans="2:263" s="72" customFormat="1">
      <c r="B2013" s="73"/>
      <c r="C2013" s="73"/>
      <c r="D2013" s="73"/>
      <c r="E2013" s="73"/>
      <c r="F2013" s="73"/>
      <c r="G2013" s="73"/>
      <c r="H2013" s="73"/>
      <c r="I2013" s="73"/>
      <c r="J2013" s="73"/>
      <c r="K2013" s="73"/>
      <c r="L2013" s="73"/>
      <c r="M2013" s="73"/>
      <c r="N2013" s="73"/>
      <c r="O2013" s="73"/>
      <c r="P2013" s="73"/>
      <c r="Q2013" s="73"/>
      <c r="R2013" s="73"/>
      <c r="S2013" s="73"/>
      <c r="T2013" s="73"/>
      <c r="U2013" s="73"/>
      <c r="V2013" s="73"/>
      <c r="W2013" s="73"/>
      <c r="GL2013" s="73"/>
      <c r="GM2013" s="73"/>
      <c r="GN2013" s="73"/>
      <c r="GO2013" s="73"/>
      <c r="GP2013" s="73"/>
      <c r="GQ2013" s="73"/>
      <c r="GR2013" s="73"/>
      <c r="GS2013" s="73"/>
      <c r="GT2013" s="73"/>
      <c r="GU2013" s="73"/>
      <c r="GV2013" s="73"/>
      <c r="GW2013" s="73"/>
      <c r="GX2013" s="73"/>
      <c r="GY2013" s="73"/>
      <c r="GZ2013" s="73"/>
      <c r="HA2013" s="73"/>
      <c r="HB2013" s="73"/>
      <c r="HC2013" s="73"/>
      <c r="HD2013" s="73"/>
      <c r="HE2013" s="73"/>
      <c r="HF2013" s="73"/>
      <c r="HG2013" s="73"/>
      <c r="HH2013" s="73"/>
      <c r="HI2013" s="73"/>
      <c r="HJ2013" s="73"/>
      <c r="HK2013" s="73"/>
      <c r="HL2013" s="73"/>
      <c r="HM2013" s="73"/>
      <c r="HN2013" s="73"/>
      <c r="HO2013" s="73"/>
      <c r="HP2013" s="73"/>
      <c r="HQ2013" s="73"/>
      <c r="HR2013" s="73"/>
      <c r="HS2013" s="73"/>
      <c r="HT2013" s="73"/>
      <c r="HU2013" s="73"/>
      <c r="HV2013" s="73"/>
      <c r="HW2013" s="73"/>
      <c r="HX2013" s="73"/>
      <c r="HY2013" s="73"/>
      <c r="HZ2013" s="73"/>
      <c r="IA2013" s="73"/>
      <c r="IB2013" s="73"/>
      <c r="IC2013" s="73"/>
      <c r="ID2013" s="73"/>
      <c r="IE2013" s="73"/>
      <c r="IF2013" s="73"/>
      <c r="IG2013" s="73"/>
      <c r="IH2013" s="73"/>
      <c r="II2013" s="73"/>
      <c r="IJ2013" s="73"/>
      <c r="IK2013" s="73"/>
      <c r="IL2013" s="73"/>
      <c r="IM2013" s="73"/>
      <c r="IN2013" s="73"/>
      <c r="IO2013" s="73"/>
      <c r="IP2013" s="73"/>
      <c r="IQ2013" s="73"/>
      <c r="IR2013" s="73"/>
      <c r="IS2013" s="73"/>
      <c r="IT2013" s="73"/>
      <c r="IU2013" s="73"/>
      <c r="IV2013" s="73"/>
      <c r="IW2013" s="73"/>
      <c r="IX2013" s="73"/>
      <c r="IY2013" s="73"/>
      <c r="IZ2013" s="73"/>
      <c r="JA2013" s="73"/>
      <c r="JB2013" s="73"/>
      <c r="JC2013" s="73"/>
    </row>
    <row r="2014" spans="2:263" s="72" customFormat="1">
      <c r="B2014" s="73"/>
      <c r="C2014" s="73"/>
      <c r="D2014" s="73"/>
      <c r="E2014" s="73"/>
      <c r="F2014" s="73"/>
      <c r="G2014" s="73"/>
      <c r="H2014" s="73"/>
      <c r="I2014" s="73"/>
      <c r="J2014" s="73"/>
      <c r="K2014" s="73"/>
      <c r="L2014" s="73"/>
      <c r="M2014" s="73"/>
      <c r="N2014" s="73"/>
      <c r="O2014" s="73"/>
      <c r="P2014" s="73"/>
      <c r="Q2014" s="73"/>
      <c r="R2014" s="73"/>
      <c r="S2014" s="73"/>
      <c r="T2014" s="73"/>
      <c r="U2014" s="73"/>
      <c r="V2014" s="73"/>
      <c r="W2014" s="73"/>
      <c r="GL2014" s="73"/>
      <c r="GM2014" s="73"/>
      <c r="GN2014" s="73"/>
      <c r="GO2014" s="73"/>
      <c r="GP2014" s="73"/>
      <c r="GQ2014" s="73"/>
      <c r="GR2014" s="73"/>
      <c r="GS2014" s="73"/>
      <c r="GT2014" s="73"/>
      <c r="GU2014" s="73"/>
      <c r="GV2014" s="73"/>
      <c r="GW2014" s="73"/>
      <c r="GX2014" s="73"/>
      <c r="GY2014" s="73"/>
      <c r="GZ2014" s="73"/>
      <c r="HA2014" s="73"/>
      <c r="HB2014" s="73"/>
      <c r="HC2014" s="73"/>
      <c r="HD2014" s="73"/>
      <c r="HE2014" s="73"/>
      <c r="HF2014" s="73"/>
      <c r="HG2014" s="73"/>
      <c r="HH2014" s="73"/>
      <c r="HI2014" s="73"/>
      <c r="HJ2014" s="73"/>
      <c r="HK2014" s="73"/>
      <c r="HL2014" s="73"/>
      <c r="HM2014" s="73"/>
      <c r="HN2014" s="73"/>
      <c r="HO2014" s="73"/>
      <c r="HP2014" s="73"/>
      <c r="HQ2014" s="73"/>
      <c r="HR2014" s="73"/>
      <c r="HS2014" s="73"/>
      <c r="HT2014" s="73"/>
      <c r="HU2014" s="73"/>
      <c r="HV2014" s="73"/>
      <c r="HW2014" s="73"/>
      <c r="HX2014" s="73"/>
      <c r="HY2014" s="73"/>
      <c r="HZ2014" s="73"/>
      <c r="IA2014" s="73"/>
      <c r="IB2014" s="73"/>
      <c r="IC2014" s="73"/>
      <c r="ID2014" s="73"/>
      <c r="IE2014" s="73"/>
      <c r="IF2014" s="73"/>
      <c r="IG2014" s="73"/>
      <c r="IH2014" s="73"/>
      <c r="II2014" s="73"/>
      <c r="IJ2014" s="73"/>
      <c r="IK2014" s="73"/>
      <c r="IL2014" s="73"/>
      <c r="IM2014" s="73"/>
      <c r="IN2014" s="73"/>
      <c r="IO2014" s="73"/>
      <c r="IP2014" s="73"/>
      <c r="IQ2014" s="73"/>
      <c r="IR2014" s="73"/>
      <c r="IS2014" s="73"/>
      <c r="IT2014" s="73"/>
      <c r="IU2014" s="73"/>
      <c r="IV2014" s="73"/>
      <c r="IW2014" s="73"/>
      <c r="IX2014" s="73"/>
      <c r="IY2014" s="73"/>
      <c r="IZ2014" s="73"/>
      <c r="JA2014" s="73"/>
      <c r="JB2014" s="73"/>
      <c r="JC2014" s="73"/>
    </row>
    <row r="2015" spans="2:263" s="72" customFormat="1">
      <c r="B2015" s="73"/>
      <c r="C2015" s="73"/>
      <c r="D2015" s="73"/>
      <c r="E2015" s="73"/>
      <c r="F2015" s="73"/>
      <c r="G2015" s="73"/>
      <c r="H2015" s="73"/>
      <c r="I2015" s="73"/>
      <c r="J2015" s="73"/>
      <c r="K2015" s="73"/>
      <c r="L2015" s="73"/>
      <c r="M2015" s="73"/>
      <c r="N2015" s="73"/>
      <c r="O2015" s="73"/>
      <c r="P2015" s="73"/>
      <c r="Q2015" s="73"/>
      <c r="R2015" s="73"/>
      <c r="S2015" s="73"/>
      <c r="T2015" s="73"/>
      <c r="U2015" s="73"/>
      <c r="V2015" s="73"/>
      <c r="W2015" s="73"/>
      <c r="GL2015" s="73"/>
      <c r="GM2015" s="73"/>
      <c r="GN2015" s="73"/>
      <c r="GO2015" s="73"/>
      <c r="GP2015" s="73"/>
      <c r="GQ2015" s="73"/>
      <c r="GR2015" s="73"/>
      <c r="GS2015" s="73"/>
      <c r="GT2015" s="73"/>
      <c r="GU2015" s="73"/>
      <c r="GV2015" s="73"/>
      <c r="GW2015" s="73"/>
      <c r="GX2015" s="73"/>
      <c r="GY2015" s="73"/>
      <c r="GZ2015" s="73"/>
      <c r="HA2015" s="73"/>
      <c r="HB2015" s="73"/>
      <c r="HC2015" s="73"/>
      <c r="HD2015" s="73"/>
      <c r="HE2015" s="73"/>
      <c r="HF2015" s="73"/>
      <c r="HG2015" s="73"/>
      <c r="HH2015" s="73"/>
      <c r="HI2015" s="73"/>
      <c r="HJ2015" s="73"/>
      <c r="HK2015" s="73"/>
      <c r="HL2015" s="73"/>
      <c r="HM2015" s="73"/>
      <c r="HN2015" s="73"/>
      <c r="HO2015" s="73"/>
      <c r="HP2015" s="73"/>
      <c r="HQ2015" s="73"/>
      <c r="HR2015" s="73"/>
      <c r="HS2015" s="73"/>
      <c r="HT2015" s="73"/>
      <c r="HU2015" s="73"/>
      <c r="HV2015" s="73"/>
      <c r="HW2015" s="73"/>
      <c r="HX2015" s="73"/>
      <c r="HY2015" s="73"/>
      <c r="HZ2015" s="73"/>
      <c r="IA2015" s="73"/>
      <c r="IB2015" s="73"/>
      <c r="IC2015" s="73"/>
      <c r="ID2015" s="73"/>
      <c r="IE2015" s="73"/>
      <c r="IF2015" s="73"/>
      <c r="IG2015" s="73"/>
      <c r="IH2015" s="73"/>
      <c r="II2015" s="73"/>
      <c r="IJ2015" s="73"/>
      <c r="IK2015" s="73"/>
      <c r="IL2015" s="73"/>
      <c r="IM2015" s="73"/>
      <c r="IN2015" s="73"/>
      <c r="IO2015" s="73"/>
      <c r="IP2015" s="73"/>
      <c r="IQ2015" s="73"/>
      <c r="IR2015" s="73"/>
      <c r="IS2015" s="73"/>
      <c r="IT2015" s="73"/>
      <c r="IU2015" s="73"/>
      <c r="IV2015" s="73"/>
      <c r="IW2015" s="73"/>
      <c r="IX2015" s="73"/>
      <c r="IY2015" s="73"/>
      <c r="IZ2015" s="73"/>
      <c r="JA2015" s="73"/>
      <c r="JB2015" s="73"/>
      <c r="JC2015" s="73"/>
    </row>
    <row r="2016" spans="2:263" s="72" customFormat="1">
      <c r="B2016" s="73"/>
      <c r="C2016" s="73"/>
      <c r="D2016" s="73"/>
      <c r="E2016" s="73"/>
      <c r="F2016" s="73"/>
      <c r="G2016" s="73"/>
      <c r="H2016" s="73"/>
      <c r="I2016" s="73"/>
      <c r="J2016" s="73"/>
      <c r="K2016" s="73"/>
      <c r="L2016" s="73"/>
      <c r="M2016" s="73"/>
      <c r="N2016" s="73"/>
      <c r="O2016" s="73"/>
      <c r="P2016" s="73"/>
      <c r="Q2016" s="73"/>
      <c r="R2016" s="73"/>
      <c r="S2016" s="73"/>
      <c r="T2016" s="73"/>
      <c r="U2016" s="73"/>
      <c r="V2016" s="73"/>
      <c r="W2016" s="73"/>
      <c r="GL2016" s="73"/>
      <c r="GM2016" s="73"/>
      <c r="GN2016" s="73"/>
      <c r="GO2016" s="73"/>
      <c r="GP2016" s="73"/>
      <c r="GQ2016" s="73"/>
      <c r="GR2016" s="73"/>
      <c r="GS2016" s="73"/>
      <c r="GT2016" s="73"/>
      <c r="GU2016" s="73"/>
      <c r="GV2016" s="73"/>
      <c r="GW2016" s="73"/>
      <c r="GX2016" s="73"/>
      <c r="GY2016" s="73"/>
      <c r="GZ2016" s="73"/>
      <c r="HA2016" s="73"/>
      <c r="HB2016" s="73"/>
      <c r="HC2016" s="73"/>
      <c r="HD2016" s="73"/>
      <c r="HE2016" s="73"/>
      <c r="HF2016" s="73"/>
      <c r="HG2016" s="73"/>
      <c r="HH2016" s="73"/>
      <c r="HI2016" s="73"/>
      <c r="HJ2016" s="73"/>
      <c r="HK2016" s="73"/>
      <c r="HL2016" s="73"/>
      <c r="HM2016" s="73"/>
      <c r="HN2016" s="73"/>
      <c r="HO2016" s="73"/>
      <c r="HP2016" s="73"/>
      <c r="HQ2016" s="73"/>
      <c r="HR2016" s="73"/>
      <c r="HS2016" s="73"/>
      <c r="HT2016" s="73"/>
      <c r="HU2016" s="73"/>
      <c r="HV2016" s="73"/>
      <c r="HW2016" s="73"/>
      <c r="HX2016" s="73"/>
      <c r="HY2016" s="73"/>
      <c r="HZ2016" s="73"/>
      <c r="IA2016" s="73"/>
      <c r="IB2016" s="73"/>
      <c r="IC2016" s="73"/>
      <c r="ID2016" s="73"/>
      <c r="IE2016" s="73"/>
      <c r="IF2016" s="73"/>
      <c r="IG2016" s="73"/>
      <c r="IH2016" s="73"/>
      <c r="II2016" s="73"/>
      <c r="IJ2016" s="73"/>
      <c r="IK2016" s="73"/>
      <c r="IL2016" s="73"/>
      <c r="IM2016" s="73"/>
      <c r="IN2016" s="73"/>
      <c r="IO2016" s="73"/>
      <c r="IP2016" s="73"/>
      <c r="IQ2016" s="73"/>
      <c r="IR2016" s="73"/>
      <c r="IS2016" s="73"/>
      <c r="IT2016" s="73"/>
      <c r="IU2016" s="73"/>
      <c r="IV2016" s="73"/>
      <c r="IW2016" s="73"/>
      <c r="IX2016" s="73"/>
      <c r="IY2016" s="73"/>
      <c r="IZ2016" s="73"/>
      <c r="JA2016" s="73"/>
      <c r="JB2016" s="73"/>
      <c r="JC2016" s="73"/>
    </row>
    <row r="2017" spans="2:263" s="72" customFormat="1">
      <c r="B2017" s="73"/>
      <c r="C2017" s="73"/>
      <c r="D2017" s="73"/>
      <c r="E2017" s="73"/>
      <c r="F2017" s="73"/>
      <c r="G2017" s="73"/>
      <c r="H2017" s="73"/>
      <c r="I2017" s="73"/>
      <c r="J2017" s="73"/>
      <c r="K2017" s="73"/>
      <c r="L2017" s="73"/>
      <c r="M2017" s="73"/>
      <c r="N2017" s="73"/>
      <c r="O2017" s="73"/>
      <c r="P2017" s="73"/>
      <c r="Q2017" s="73"/>
      <c r="R2017" s="73"/>
      <c r="S2017" s="73"/>
      <c r="T2017" s="73"/>
      <c r="U2017" s="73"/>
      <c r="V2017" s="73"/>
      <c r="W2017" s="73"/>
      <c r="GL2017" s="73"/>
      <c r="GM2017" s="73"/>
      <c r="GN2017" s="73"/>
      <c r="GO2017" s="73"/>
      <c r="GP2017" s="73"/>
      <c r="GQ2017" s="73"/>
      <c r="GR2017" s="73"/>
      <c r="GS2017" s="73"/>
      <c r="GT2017" s="73"/>
      <c r="GU2017" s="73"/>
      <c r="GV2017" s="73"/>
      <c r="GW2017" s="73"/>
      <c r="GX2017" s="73"/>
      <c r="GY2017" s="73"/>
      <c r="GZ2017" s="73"/>
      <c r="HA2017" s="73"/>
      <c r="HB2017" s="73"/>
      <c r="HC2017" s="73"/>
      <c r="HD2017" s="73"/>
      <c r="HE2017" s="73"/>
      <c r="HF2017" s="73"/>
      <c r="HG2017" s="73"/>
      <c r="HH2017" s="73"/>
      <c r="HI2017" s="73"/>
      <c r="HJ2017" s="73"/>
      <c r="HK2017" s="73"/>
      <c r="HL2017" s="73"/>
      <c r="HM2017" s="73"/>
      <c r="HN2017" s="73"/>
      <c r="HO2017" s="73"/>
      <c r="HP2017" s="73"/>
      <c r="HQ2017" s="73"/>
      <c r="HR2017" s="73"/>
      <c r="HS2017" s="73"/>
      <c r="HT2017" s="73"/>
      <c r="HU2017" s="73"/>
      <c r="HV2017" s="73"/>
      <c r="HW2017" s="73"/>
      <c r="HX2017" s="73"/>
      <c r="HY2017" s="73"/>
      <c r="HZ2017" s="73"/>
      <c r="IA2017" s="73"/>
      <c r="IB2017" s="73"/>
      <c r="IC2017" s="73"/>
      <c r="ID2017" s="73"/>
      <c r="IE2017" s="73"/>
      <c r="IF2017" s="73"/>
      <c r="IG2017" s="73"/>
      <c r="IH2017" s="73"/>
      <c r="II2017" s="73"/>
      <c r="IJ2017" s="73"/>
      <c r="IK2017" s="73"/>
      <c r="IL2017" s="73"/>
      <c r="IM2017" s="73"/>
      <c r="IN2017" s="73"/>
      <c r="IO2017" s="73"/>
      <c r="IP2017" s="73"/>
      <c r="IQ2017" s="73"/>
      <c r="IR2017" s="73"/>
      <c r="IS2017" s="73"/>
      <c r="IT2017" s="73"/>
      <c r="IU2017" s="73"/>
      <c r="IV2017" s="73"/>
      <c r="IW2017" s="73"/>
      <c r="IX2017" s="73"/>
      <c r="IY2017" s="73"/>
      <c r="IZ2017" s="73"/>
      <c r="JA2017" s="73"/>
      <c r="JB2017" s="73"/>
      <c r="JC2017" s="73"/>
    </row>
    <row r="2018" spans="2:263" s="72" customFormat="1">
      <c r="B2018" s="73"/>
      <c r="C2018" s="73"/>
      <c r="D2018" s="73"/>
      <c r="E2018" s="73"/>
      <c r="F2018" s="73"/>
      <c r="G2018" s="73"/>
      <c r="H2018" s="73"/>
      <c r="I2018" s="73"/>
      <c r="J2018" s="73"/>
      <c r="K2018" s="73"/>
      <c r="L2018" s="73"/>
      <c r="M2018" s="73"/>
      <c r="N2018" s="73"/>
      <c r="O2018" s="73"/>
      <c r="P2018" s="73"/>
      <c r="Q2018" s="73"/>
      <c r="R2018" s="73"/>
      <c r="S2018" s="73"/>
      <c r="T2018" s="73"/>
      <c r="U2018" s="73"/>
      <c r="V2018" s="73"/>
      <c r="W2018" s="73"/>
      <c r="GL2018" s="73"/>
      <c r="GM2018" s="73"/>
      <c r="GN2018" s="73"/>
      <c r="GO2018" s="73"/>
      <c r="GP2018" s="73"/>
      <c r="GQ2018" s="73"/>
      <c r="GR2018" s="73"/>
      <c r="GS2018" s="73"/>
      <c r="GT2018" s="73"/>
      <c r="GU2018" s="73"/>
      <c r="GV2018" s="73"/>
      <c r="GW2018" s="73"/>
      <c r="GX2018" s="73"/>
      <c r="GY2018" s="73"/>
      <c r="GZ2018" s="73"/>
      <c r="HA2018" s="73"/>
      <c r="HB2018" s="73"/>
      <c r="HC2018" s="73"/>
      <c r="HD2018" s="73"/>
      <c r="HE2018" s="73"/>
      <c r="HF2018" s="73"/>
      <c r="HG2018" s="73"/>
      <c r="HH2018" s="73"/>
      <c r="HI2018" s="73"/>
      <c r="HJ2018" s="73"/>
      <c r="HK2018" s="73"/>
      <c r="HL2018" s="73"/>
      <c r="HM2018" s="73"/>
      <c r="HN2018" s="73"/>
      <c r="HO2018" s="73"/>
      <c r="HP2018" s="73"/>
      <c r="HQ2018" s="73"/>
      <c r="HR2018" s="73"/>
      <c r="HS2018" s="73"/>
      <c r="HT2018" s="73"/>
      <c r="HU2018" s="73"/>
      <c r="HV2018" s="73"/>
      <c r="HW2018" s="73"/>
      <c r="HX2018" s="73"/>
      <c r="HY2018" s="73"/>
      <c r="HZ2018" s="73"/>
      <c r="IA2018" s="73"/>
      <c r="IB2018" s="73"/>
      <c r="IC2018" s="73"/>
      <c r="ID2018" s="73"/>
      <c r="IE2018" s="73"/>
      <c r="IF2018" s="73"/>
      <c r="IG2018" s="73"/>
      <c r="IH2018" s="73"/>
      <c r="II2018" s="73"/>
      <c r="IJ2018" s="73"/>
      <c r="IK2018" s="73"/>
      <c r="IL2018" s="73"/>
      <c r="IM2018" s="73"/>
      <c r="IN2018" s="73"/>
      <c r="IO2018" s="73"/>
      <c r="IP2018" s="73"/>
      <c r="IQ2018" s="73"/>
      <c r="IR2018" s="73"/>
      <c r="IS2018" s="73"/>
      <c r="IT2018" s="73"/>
      <c r="IU2018" s="73"/>
      <c r="IV2018" s="73"/>
      <c r="IW2018" s="73"/>
      <c r="IX2018" s="73"/>
      <c r="IY2018" s="73"/>
      <c r="IZ2018" s="73"/>
      <c r="JA2018" s="73"/>
      <c r="JB2018" s="73"/>
      <c r="JC2018" s="73"/>
    </row>
    <row r="2019" spans="2:263" s="72" customFormat="1">
      <c r="B2019" s="73"/>
      <c r="C2019" s="73"/>
      <c r="D2019" s="73"/>
      <c r="E2019" s="73"/>
      <c r="F2019" s="73"/>
      <c r="G2019" s="73"/>
      <c r="H2019" s="73"/>
      <c r="I2019" s="73"/>
      <c r="J2019" s="73"/>
      <c r="K2019" s="73"/>
      <c r="L2019" s="73"/>
      <c r="M2019" s="73"/>
      <c r="N2019" s="73"/>
      <c r="O2019" s="73"/>
      <c r="P2019" s="73"/>
      <c r="Q2019" s="73"/>
      <c r="R2019" s="73"/>
      <c r="S2019" s="73"/>
      <c r="T2019" s="73"/>
      <c r="U2019" s="73"/>
      <c r="V2019" s="73"/>
      <c r="W2019" s="73"/>
      <c r="GL2019" s="73"/>
      <c r="GM2019" s="73"/>
      <c r="GN2019" s="73"/>
      <c r="GO2019" s="73"/>
      <c r="GP2019" s="73"/>
      <c r="GQ2019" s="73"/>
      <c r="GR2019" s="73"/>
      <c r="GS2019" s="73"/>
      <c r="GT2019" s="73"/>
      <c r="GU2019" s="73"/>
      <c r="GV2019" s="73"/>
      <c r="GW2019" s="73"/>
      <c r="GX2019" s="73"/>
      <c r="GY2019" s="73"/>
      <c r="GZ2019" s="73"/>
      <c r="HA2019" s="73"/>
      <c r="HB2019" s="73"/>
      <c r="HC2019" s="73"/>
      <c r="HD2019" s="73"/>
      <c r="HE2019" s="73"/>
      <c r="HF2019" s="73"/>
      <c r="HG2019" s="73"/>
      <c r="HH2019" s="73"/>
      <c r="HI2019" s="73"/>
      <c r="HJ2019" s="73"/>
      <c r="HK2019" s="73"/>
      <c r="HL2019" s="73"/>
      <c r="HM2019" s="73"/>
      <c r="HN2019" s="73"/>
      <c r="HO2019" s="73"/>
      <c r="HP2019" s="73"/>
      <c r="HQ2019" s="73"/>
      <c r="HR2019" s="73"/>
      <c r="HS2019" s="73"/>
      <c r="HT2019" s="73"/>
      <c r="HU2019" s="73"/>
      <c r="HV2019" s="73"/>
      <c r="HW2019" s="73"/>
      <c r="HX2019" s="73"/>
      <c r="HY2019" s="73"/>
      <c r="HZ2019" s="73"/>
      <c r="IA2019" s="73"/>
      <c r="IB2019" s="73"/>
      <c r="IC2019" s="73"/>
      <c r="ID2019" s="73"/>
      <c r="IE2019" s="73"/>
      <c r="IF2019" s="73"/>
      <c r="IG2019" s="73"/>
      <c r="IH2019" s="73"/>
      <c r="II2019" s="73"/>
      <c r="IJ2019" s="73"/>
      <c r="IK2019" s="73"/>
      <c r="IL2019" s="73"/>
      <c r="IM2019" s="73"/>
      <c r="IN2019" s="73"/>
      <c r="IO2019" s="73"/>
      <c r="IP2019" s="73"/>
      <c r="IQ2019" s="73"/>
      <c r="IR2019" s="73"/>
      <c r="IS2019" s="73"/>
      <c r="IT2019" s="73"/>
      <c r="IU2019" s="73"/>
      <c r="IV2019" s="73"/>
      <c r="IW2019" s="73"/>
      <c r="IX2019" s="73"/>
      <c r="IY2019" s="73"/>
      <c r="IZ2019" s="73"/>
      <c r="JA2019" s="73"/>
      <c r="JB2019" s="73"/>
      <c r="JC2019" s="73"/>
    </row>
    <row r="2020" spans="2:263" s="72" customFormat="1">
      <c r="B2020" s="73"/>
      <c r="C2020" s="73"/>
      <c r="D2020" s="73"/>
      <c r="E2020" s="73"/>
      <c r="F2020" s="73"/>
      <c r="G2020" s="73"/>
      <c r="H2020" s="73"/>
      <c r="I2020" s="73"/>
      <c r="J2020" s="73"/>
      <c r="K2020" s="73"/>
      <c r="L2020" s="73"/>
      <c r="M2020" s="73"/>
      <c r="N2020" s="73"/>
      <c r="O2020" s="73"/>
      <c r="P2020" s="73"/>
      <c r="Q2020" s="73"/>
      <c r="R2020" s="73"/>
      <c r="S2020" s="73"/>
      <c r="T2020" s="73"/>
      <c r="U2020" s="73"/>
      <c r="V2020" s="73"/>
      <c r="W2020" s="73"/>
      <c r="GL2020" s="73"/>
      <c r="GM2020" s="73"/>
      <c r="GN2020" s="73"/>
      <c r="GO2020" s="73"/>
      <c r="GP2020" s="73"/>
      <c r="GQ2020" s="73"/>
      <c r="GR2020" s="73"/>
      <c r="GS2020" s="73"/>
      <c r="GT2020" s="73"/>
      <c r="GU2020" s="73"/>
      <c r="GV2020" s="73"/>
      <c r="GW2020" s="73"/>
      <c r="GX2020" s="73"/>
      <c r="GY2020" s="73"/>
      <c r="GZ2020" s="73"/>
      <c r="HA2020" s="73"/>
      <c r="HB2020" s="73"/>
      <c r="HC2020" s="73"/>
      <c r="HD2020" s="73"/>
      <c r="HE2020" s="73"/>
      <c r="HF2020" s="73"/>
      <c r="HG2020" s="73"/>
      <c r="HH2020" s="73"/>
      <c r="HI2020" s="73"/>
      <c r="HJ2020" s="73"/>
      <c r="HK2020" s="73"/>
      <c r="HL2020" s="73"/>
      <c r="HM2020" s="73"/>
      <c r="HN2020" s="73"/>
      <c r="HO2020" s="73"/>
      <c r="HP2020" s="73"/>
      <c r="HQ2020" s="73"/>
      <c r="HR2020" s="73"/>
      <c r="HS2020" s="73"/>
      <c r="HT2020" s="73"/>
      <c r="HU2020" s="73"/>
      <c r="HV2020" s="73"/>
      <c r="HW2020" s="73"/>
      <c r="HX2020" s="73"/>
      <c r="HY2020" s="73"/>
      <c r="HZ2020" s="73"/>
      <c r="IA2020" s="73"/>
      <c r="IB2020" s="73"/>
      <c r="IC2020" s="73"/>
      <c r="ID2020" s="73"/>
      <c r="IE2020" s="73"/>
      <c r="IF2020" s="73"/>
      <c r="IG2020" s="73"/>
      <c r="IH2020" s="73"/>
      <c r="II2020" s="73"/>
      <c r="IJ2020" s="73"/>
      <c r="IK2020" s="73"/>
      <c r="IL2020" s="73"/>
      <c r="IM2020" s="73"/>
      <c r="IN2020" s="73"/>
      <c r="IO2020" s="73"/>
      <c r="IP2020" s="73"/>
      <c r="IQ2020" s="73"/>
      <c r="IR2020" s="73"/>
      <c r="IS2020" s="73"/>
      <c r="IT2020" s="73"/>
      <c r="IU2020" s="73"/>
      <c r="IV2020" s="73"/>
      <c r="IW2020" s="73"/>
      <c r="IX2020" s="73"/>
      <c r="IY2020" s="73"/>
      <c r="IZ2020" s="73"/>
      <c r="JA2020" s="73"/>
      <c r="JB2020" s="73"/>
      <c r="JC2020" s="73"/>
    </row>
    <row r="2021" spans="2:263" s="72" customFormat="1">
      <c r="B2021" s="73"/>
      <c r="C2021" s="73"/>
      <c r="D2021" s="73"/>
      <c r="E2021" s="73"/>
      <c r="F2021" s="73"/>
      <c r="G2021" s="73"/>
      <c r="H2021" s="73"/>
      <c r="I2021" s="73"/>
      <c r="J2021" s="73"/>
      <c r="K2021" s="73"/>
      <c r="L2021" s="73"/>
      <c r="M2021" s="73"/>
      <c r="N2021" s="73"/>
      <c r="O2021" s="73"/>
      <c r="P2021" s="73"/>
      <c r="Q2021" s="73"/>
      <c r="R2021" s="73"/>
      <c r="S2021" s="73"/>
      <c r="T2021" s="73"/>
      <c r="U2021" s="73"/>
      <c r="V2021" s="73"/>
      <c r="W2021" s="73"/>
      <c r="GL2021" s="73"/>
      <c r="GM2021" s="73"/>
      <c r="GN2021" s="73"/>
      <c r="GO2021" s="73"/>
      <c r="GP2021" s="73"/>
      <c r="GQ2021" s="73"/>
      <c r="GR2021" s="73"/>
      <c r="GS2021" s="73"/>
      <c r="GT2021" s="73"/>
      <c r="GU2021" s="73"/>
      <c r="GV2021" s="73"/>
      <c r="GW2021" s="73"/>
      <c r="GX2021" s="73"/>
      <c r="GY2021" s="73"/>
      <c r="GZ2021" s="73"/>
      <c r="HA2021" s="73"/>
      <c r="HB2021" s="73"/>
      <c r="HC2021" s="73"/>
      <c r="HD2021" s="73"/>
      <c r="HE2021" s="73"/>
      <c r="HF2021" s="73"/>
      <c r="HG2021" s="73"/>
      <c r="HH2021" s="73"/>
      <c r="HI2021" s="73"/>
      <c r="HJ2021" s="73"/>
      <c r="HK2021" s="73"/>
      <c r="HL2021" s="73"/>
      <c r="HM2021" s="73"/>
      <c r="HN2021" s="73"/>
      <c r="HO2021" s="73"/>
      <c r="HP2021" s="73"/>
      <c r="HQ2021" s="73"/>
      <c r="HR2021" s="73"/>
      <c r="HS2021" s="73"/>
      <c r="HT2021" s="73"/>
      <c r="HU2021" s="73"/>
      <c r="HV2021" s="73"/>
      <c r="HW2021" s="73"/>
      <c r="HX2021" s="73"/>
      <c r="HY2021" s="73"/>
      <c r="HZ2021" s="73"/>
      <c r="IA2021" s="73"/>
      <c r="IB2021" s="73"/>
      <c r="IC2021" s="73"/>
      <c r="ID2021" s="73"/>
      <c r="IE2021" s="73"/>
      <c r="IF2021" s="73"/>
      <c r="IG2021" s="73"/>
      <c r="IH2021" s="73"/>
      <c r="II2021" s="73"/>
      <c r="IJ2021" s="73"/>
      <c r="IK2021" s="73"/>
      <c r="IL2021" s="73"/>
      <c r="IM2021" s="73"/>
      <c r="IN2021" s="73"/>
      <c r="IO2021" s="73"/>
      <c r="IP2021" s="73"/>
      <c r="IQ2021" s="73"/>
      <c r="IR2021" s="73"/>
      <c r="IS2021" s="73"/>
      <c r="IT2021" s="73"/>
      <c r="IU2021" s="73"/>
      <c r="IV2021" s="73"/>
      <c r="IW2021" s="73"/>
      <c r="IX2021" s="73"/>
      <c r="IY2021" s="73"/>
      <c r="IZ2021" s="73"/>
      <c r="JA2021" s="73"/>
      <c r="JB2021" s="73"/>
      <c r="JC2021" s="73"/>
    </row>
    <row r="2022" spans="2:263" s="72" customFormat="1">
      <c r="B2022" s="73"/>
      <c r="C2022" s="73"/>
      <c r="D2022" s="73"/>
      <c r="E2022" s="73"/>
      <c r="F2022" s="73"/>
      <c r="G2022" s="73"/>
      <c r="H2022" s="73"/>
      <c r="I2022" s="73"/>
      <c r="J2022" s="73"/>
      <c r="K2022" s="73"/>
      <c r="L2022" s="73"/>
      <c r="M2022" s="73"/>
      <c r="N2022" s="73"/>
      <c r="O2022" s="73"/>
      <c r="P2022" s="73"/>
      <c r="Q2022" s="73"/>
      <c r="R2022" s="73"/>
      <c r="S2022" s="73"/>
      <c r="T2022" s="73"/>
      <c r="U2022" s="73"/>
      <c r="V2022" s="73"/>
      <c r="W2022" s="73"/>
      <c r="GL2022" s="73"/>
      <c r="GM2022" s="73"/>
      <c r="GN2022" s="73"/>
      <c r="GO2022" s="73"/>
      <c r="GP2022" s="73"/>
      <c r="GQ2022" s="73"/>
      <c r="GR2022" s="73"/>
      <c r="GS2022" s="73"/>
      <c r="GT2022" s="73"/>
      <c r="GU2022" s="73"/>
      <c r="GV2022" s="73"/>
      <c r="GW2022" s="73"/>
      <c r="GX2022" s="73"/>
      <c r="GY2022" s="73"/>
      <c r="GZ2022" s="73"/>
      <c r="HA2022" s="73"/>
      <c r="HB2022" s="73"/>
      <c r="HC2022" s="73"/>
      <c r="HD2022" s="73"/>
      <c r="HE2022" s="73"/>
      <c r="HF2022" s="73"/>
      <c r="HG2022" s="73"/>
      <c r="HH2022" s="73"/>
      <c r="HI2022" s="73"/>
      <c r="HJ2022" s="73"/>
      <c r="HK2022" s="73"/>
      <c r="HL2022" s="73"/>
      <c r="HM2022" s="73"/>
      <c r="HN2022" s="73"/>
      <c r="HO2022" s="73"/>
      <c r="HP2022" s="73"/>
      <c r="HQ2022" s="73"/>
      <c r="HR2022" s="73"/>
      <c r="HS2022" s="73"/>
      <c r="HT2022" s="73"/>
      <c r="HU2022" s="73"/>
      <c r="HV2022" s="73"/>
      <c r="HW2022" s="73"/>
      <c r="HX2022" s="73"/>
      <c r="HY2022" s="73"/>
      <c r="HZ2022" s="73"/>
      <c r="IA2022" s="73"/>
      <c r="IB2022" s="73"/>
      <c r="IC2022" s="73"/>
      <c r="ID2022" s="73"/>
      <c r="IE2022" s="73"/>
      <c r="IF2022" s="73"/>
      <c r="IG2022" s="73"/>
      <c r="IH2022" s="73"/>
      <c r="II2022" s="73"/>
      <c r="IJ2022" s="73"/>
      <c r="IK2022" s="73"/>
      <c r="IL2022" s="73"/>
      <c r="IM2022" s="73"/>
      <c r="IN2022" s="73"/>
      <c r="IO2022" s="73"/>
      <c r="IP2022" s="73"/>
      <c r="IQ2022" s="73"/>
      <c r="IR2022" s="73"/>
      <c r="IS2022" s="73"/>
      <c r="IT2022" s="73"/>
      <c r="IU2022" s="73"/>
      <c r="IV2022" s="73"/>
      <c r="IW2022" s="73"/>
      <c r="IX2022" s="73"/>
      <c r="IY2022" s="73"/>
      <c r="IZ2022" s="73"/>
      <c r="JA2022" s="73"/>
      <c r="JB2022" s="73"/>
      <c r="JC2022" s="73"/>
    </row>
    <row r="2023" spans="2:263" s="72" customFormat="1">
      <c r="B2023" s="73"/>
      <c r="C2023" s="73"/>
      <c r="D2023" s="73"/>
      <c r="E2023" s="73"/>
      <c r="F2023" s="73"/>
      <c r="G2023" s="73"/>
      <c r="H2023" s="73"/>
      <c r="I2023" s="73"/>
      <c r="J2023" s="73"/>
      <c r="K2023" s="73"/>
      <c r="L2023" s="73"/>
      <c r="M2023" s="73"/>
      <c r="N2023" s="73"/>
      <c r="O2023" s="73"/>
      <c r="P2023" s="73"/>
      <c r="Q2023" s="73"/>
      <c r="R2023" s="73"/>
      <c r="S2023" s="73"/>
      <c r="T2023" s="73"/>
      <c r="U2023" s="73"/>
      <c r="V2023" s="73"/>
      <c r="W2023" s="73"/>
      <c r="GL2023" s="73"/>
      <c r="GM2023" s="73"/>
      <c r="GN2023" s="73"/>
      <c r="GO2023" s="73"/>
      <c r="GP2023" s="73"/>
      <c r="GQ2023" s="73"/>
      <c r="GR2023" s="73"/>
      <c r="GS2023" s="73"/>
      <c r="GT2023" s="73"/>
      <c r="GU2023" s="73"/>
      <c r="GV2023" s="73"/>
      <c r="GW2023" s="73"/>
      <c r="GX2023" s="73"/>
      <c r="GY2023" s="73"/>
      <c r="GZ2023" s="73"/>
      <c r="HA2023" s="73"/>
      <c r="HB2023" s="73"/>
      <c r="HC2023" s="73"/>
      <c r="HD2023" s="73"/>
      <c r="HE2023" s="73"/>
      <c r="HF2023" s="73"/>
      <c r="HG2023" s="73"/>
      <c r="HH2023" s="73"/>
      <c r="HI2023" s="73"/>
      <c r="HJ2023" s="73"/>
      <c r="HK2023" s="73"/>
      <c r="HL2023" s="73"/>
      <c r="HM2023" s="73"/>
      <c r="HN2023" s="73"/>
      <c r="HO2023" s="73"/>
      <c r="HP2023" s="73"/>
      <c r="HQ2023" s="73"/>
      <c r="HR2023" s="73"/>
      <c r="HS2023" s="73"/>
      <c r="HT2023" s="73"/>
      <c r="HU2023" s="73"/>
      <c r="HV2023" s="73"/>
      <c r="HW2023" s="73"/>
      <c r="HX2023" s="73"/>
      <c r="HY2023" s="73"/>
      <c r="HZ2023" s="73"/>
      <c r="IA2023" s="73"/>
      <c r="IB2023" s="73"/>
      <c r="IC2023" s="73"/>
      <c r="ID2023" s="73"/>
      <c r="IE2023" s="73"/>
      <c r="IF2023" s="73"/>
      <c r="IG2023" s="73"/>
      <c r="IH2023" s="73"/>
      <c r="II2023" s="73"/>
      <c r="IJ2023" s="73"/>
      <c r="IK2023" s="73"/>
      <c r="IL2023" s="73"/>
      <c r="IM2023" s="73"/>
      <c r="IN2023" s="73"/>
      <c r="IO2023" s="73"/>
      <c r="IP2023" s="73"/>
      <c r="IQ2023" s="73"/>
      <c r="IR2023" s="73"/>
      <c r="IS2023" s="73"/>
      <c r="IT2023" s="73"/>
      <c r="IU2023" s="73"/>
      <c r="IV2023" s="73"/>
      <c r="IW2023" s="73"/>
      <c r="IX2023" s="73"/>
      <c r="IY2023" s="73"/>
      <c r="IZ2023" s="73"/>
      <c r="JA2023" s="73"/>
      <c r="JB2023" s="73"/>
      <c r="JC2023" s="73"/>
    </row>
    <row r="2024" spans="2:263" s="72" customFormat="1">
      <c r="B2024" s="73"/>
      <c r="C2024" s="73"/>
      <c r="D2024" s="73"/>
      <c r="E2024" s="73"/>
      <c r="F2024" s="73"/>
      <c r="G2024" s="73"/>
      <c r="H2024" s="73"/>
      <c r="I2024" s="73"/>
      <c r="J2024" s="73"/>
      <c r="K2024" s="73"/>
      <c r="L2024" s="73"/>
      <c r="M2024" s="73"/>
      <c r="N2024" s="73"/>
      <c r="O2024" s="73"/>
      <c r="P2024" s="73"/>
      <c r="Q2024" s="73"/>
      <c r="R2024" s="73"/>
      <c r="S2024" s="73"/>
      <c r="T2024" s="73"/>
      <c r="U2024" s="73"/>
      <c r="V2024" s="73"/>
      <c r="W2024" s="73"/>
      <c r="GL2024" s="73"/>
      <c r="GM2024" s="73"/>
      <c r="GN2024" s="73"/>
      <c r="GO2024" s="73"/>
      <c r="GP2024" s="73"/>
      <c r="GQ2024" s="73"/>
      <c r="GR2024" s="73"/>
      <c r="GS2024" s="73"/>
      <c r="GT2024" s="73"/>
      <c r="GU2024" s="73"/>
      <c r="GV2024" s="73"/>
      <c r="GW2024" s="73"/>
      <c r="GX2024" s="73"/>
      <c r="GY2024" s="73"/>
      <c r="GZ2024" s="73"/>
      <c r="HA2024" s="73"/>
      <c r="HB2024" s="73"/>
      <c r="HC2024" s="73"/>
      <c r="HD2024" s="73"/>
      <c r="HE2024" s="73"/>
      <c r="HF2024" s="73"/>
      <c r="HG2024" s="73"/>
      <c r="HH2024" s="73"/>
      <c r="HI2024" s="73"/>
      <c r="HJ2024" s="73"/>
      <c r="HK2024" s="73"/>
      <c r="HL2024" s="73"/>
      <c r="HM2024" s="73"/>
      <c r="HN2024" s="73"/>
      <c r="HO2024" s="73"/>
      <c r="HP2024" s="73"/>
      <c r="HQ2024" s="73"/>
      <c r="HR2024" s="73"/>
      <c r="HS2024" s="73"/>
      <c r="HT2024" s="73"/>
      <c r="HU2024" s="73"/>
      <c r="HV2024" s="73"/>
      <c r="HW2024" s="73"/>
      <c r="HX2024" s="73"/>
      <c r="HY2024" s="73"/>
      <c r="HZ2024" s="73"/>
      <c r="IA2024" s="73"/>
      <c r="IB2024" s="73"/>
      <c r="IC2024" s="73"/>
      <c r="ID2024" s="73"/>
      <c r="IE2024" s="73"/>
      <c r="IF2024" s="73"/>
      <c r="IG2024" s="73"/>
      <c r="IH2024" s="73"/>
      <c r="II2024" s="73"/>
      <c r="IJ2024" s="73"/>
      <c r="IK2024" s="73"/>
      <c r="IL2024" s="73"/>
      <c r="IM2024" s="73"/>
      <c r="IN2024" s="73"/>
      <c r="IO2024" s="73"/>
      <c r="IP2024" s="73"/>
      <c r="IQ2024" s="73"/>
      <c r="IR2024" s="73"/>
      <c r="IS2024" s="73"/>
      <c r="IT2024" s="73"/>
      <c r="IU2024" s="73"/>
      <c r="IV2024" s="73"/>
      <c r="IW2024" s="73"/>
      <c r="IX2024" s="73"/>
      <c r="IY2024" s="73"/>
      <c r="IZ2024" s="73"/>
      <c r="JA2024" s="73"/>
      <c r="JB2024" s="73"/>
      <c r="JC2024" s="73"/>
    </row>
    <row r="2025" spans="2:263" s="72" customFormat="1">
      <c r="B2025" s="73"/>
      <c r="C2025" s="73"/>
      <c r="D2025" s="73"/>
      <c r="E2025" s="73"/>
      <c r="F2025" s="73"/>
      <c r="G2025" s="73"/>
      <c r="H2025" s="73"/>
      <c r="I2025" s="73"/>
      <c r="J2025" s="73"/>
      <c r="K2025" s="73"/>
      <c r="L2025" s="73"/>
      <c r="M2025" s="73"/>
      <c r="N2025" s="73"/>
      <c r="O2025" s="73"/>
      <c r="P2025" s="73"/>
      <c r="Q2025" s="73"/>
      <c r="R2025" s="73"/>
      <c r="S2025" s="73"/>
      <c r="T2025" s="73"/>
      <c r="U2025" s="73"/>
      <c r="V2025" s="73"/>
      <c r="W2025" s="73"/>
      <c r="GL2025" s="73"/>
      <c r="GM2025" s="73"/>
      <c r="GN2025" s="73"/>
      <c r="GO2025" s="73"/>
      <c r="GP2025" s="73"/>
      <c r="GQ2025" s="73"/>
      <c r="GR2025" s="73"/>
      <c r="GS2025" s="73"/>
      <c r="GT2025" s="73"/>
      <c r="GU2025" s="73"/>
      <c r="GV2025" s="73"/>
      <c r="GW2025" s="73"/>
      <c r="GX2025" s="73"/>
      <c r="GY2025" s="73"/>
      <c r="GZ2025" s="73"/>
      <c r="HA2025" s="73"/>
      <c r="HB2025" s="73"/>
      <c r="HC2025" s="73"/>
      <c r="HD2025" s="73"/>
      <c r="HE2025" s="73"/>
      <c r="HF2025" s="73"/>
      <c r="HG2025" s="73"/>
      <c r="HH2025" s="73"/>
      <c r="HI2025" s="73"/>
      <c r="HJ2025" s="73"/>
      <c r="HK2025" s="73"/>
      <c r="HL2025" s="73"/>
      <c r="HM2025" s="73"/>
      <c r="HN2025" s="73"/>
      <c r="HO2025" s="73"/>
      <c r="HP2025" s="73"/>
      <c r="HQ2025" s="73"/>
      <c r="HR2025" s="73"/>
      <c r="HS2025" s="73"/>
      <c r="HT2025" s="73"/>
      <c r="HU2025" s="73"/>
      <c r="HV2025" s="73"/>
      <c r="HW2025" s="73"/>
      <c r="HX2025" s="73"/>
      <c r="HY2025" s="73"/>
      <c r="HZ2025" s="73"/>
      <c r="IA2025" s="73"/>
      <c r="IB2025" s="73"/>
      <c r="IC2025" s="73"/>
      <c r="ID2025" s="73"/>
      <c r="IE2025" s="73"/>
      <c r="IF2025" s="73"/>
      <c r="IG2025" s="73"/>
      <c r="IH2025" s="73"/>
      <c r="II2025" s="73"/>
      <c r="IJ2025" s="73"/>
      <c r="IK2025" s="73"/>
      <c r="IL2025" s="73"/>
      <c r="IM2025" s="73"/>
      <c r="IN2025" s="73"/>
      <c r="IO2025" s="73"/>
      <c r="IP2025" s="73"/>
      <c r="IQ2025" s="73"/>
      <c r="IR2025" s="73"/>
      <c r="IS2025" s="73"/>
      <c r="IT2025" s="73"/>
      <c r="IU2025" s="73"/>
      <c r="IV2025" s="73"/>
      <c r="IW2025" s="73"/>
      <c r="IX2025" s="73"/>
      <c r="IY2025" s="73"/>
      <c r="IZ2025" s="73"/>
      <c r="JA2025" s="73"/>
      <c r="JB2025" s="73"/>
      <c r="JC2025" s="73"/>
    </row>
    <row r="2026" spans="2:263" s="72" customFormat="1">
      <c r="B2026" s="73"/>
      <c r="C2026" s="73"/>
      <c r="D2026" s="73"/>
      <c r="E2026" s="73"/>
      <c r="F2026" s="73"/>
      <c r="G2026" s="73"/>
      <c r="H2026" s="73"/>
      <c r="I2026" s="73"/>
      <c r="J2026" s="73"/>
      <c r="K2026" s="73"/>
      <c r="L2026" s="73"/>
      <c r="M2026" s="73"/>
      <c r="N2026" s="73"/>
      <c r="O2026" s="73"/>
      <c r="P2026" s="73"/>
      <c r="Q2026" s="73"/>
      <c r="R2026" s="73"/>
      <c r="S2026" s="73"/>
      <c r="T2026" s="73"/>
      <c r="U2026" s="73"/>
      <c r="V2026" s="73"/>
      <c r="W2026" s="73"/>
      <c r="GL2026" s="73"/>
      <c r="GM2026" s="73"/>
      <c r="GN2026" s="73"/>
      <c r="GO2026" s="73"/>
      <c r="GP2026" s="73"/>
      <c r="GQ2026" s="73"/>
      <c r="GR2026" s="73"/>
      <c r="GS2026" s="73"/>
      <c r="GT2026" s="73"/>
      <c r="GU2026" s="73"/>
      <c r="GV2026" s="73"/>
      <c r="GW2026" s="73"/>
      <c r="GX2026" s="73"/>
      <c r="GY2026" s="73"/>
      <c r="GZ2026" s="73"/>
      <c r="HA2026" s="73"/>
      <c r="HB2026" s="73"/>
      <c r="HC2026" s="73"/>
      <c r="HD2026" s="73"/>
      <c r="HE2026" s="73"/>
      <c r="HF2026" s="73"/>
      <c r="HG2026" s="73"/>
      <c r="HH2026" s="73"/>
      <c r="HI2026" s="73"/>
      <c r="HJ2026" s="73"/>
      <c r="HK2026" s="73"/>
      <c r="HL2026" s="73"/>
      <c r="HM2026" s="73"/>
      <c r="HN2026" s="73"/>
      <c r="HO2026" s="73"/>
      <c r="HP2026" s="73"/>
      <c r="HQ2026" s="73"/>
      <c r="HR2026" s="73"/>
      <c r="HS2026" s="73"/>
      <c r="HT2026" s="73"/>
      <c r="HU2026" s="73"/>
      <c r="HV2026" s="73"/>
      <c r="HW2026" s="73"/>
      <c r="HX2026" s="73"/>
      <c r="HY2026" s="73"/>
      <c r="HZ2026" s="73"/>
      <c r="IA2026" s="73"/>
      <c r="IB2026" s="73"/>
      <c r="IC2026" s="73"/>
      <c r="ID2026" s="73"/>
      <c r="IE2026" s="73"/>
      <c r="IF2026" s="73"/>
      <c r="IG2026" s="73"/>
      <c r="IH2026" s="73"/>
      <c r="II2026" s="73"/>
      <c r="IJ2026" s="73"/>
      <c r="IK2026" s="73"/>
      <c r="IL2026" s="73"/>
      <c r="IM2026" s="73"/>
      <c r="IN2026" s="73"/>
      <c r="IO2026" s="73"/>
      <c r="IP2026" s="73"/>
      <c r="IQ2026" s="73"/>
      <c r="IR2026" s="73"/>
      <c r="IS2026" s="73"/>
      <c r="IT2026" s="73"/>
      <c r="IU2026" s="73"/>
      <c r="IV2026" s="73"/>
      <c r="IW2026" s="73"/>
      <c r="IX2026" s="73"/>
      <c r="IY2026" s="73"/>
      <c r="IZ2026" s="73"/>
      <c r="JA2026" s="73"/>
      <c r="JB2026" s="73"/>
      <c r="JC2026" s="73"/>
    </row>
    <row r="2027" spans="2:263" s="72" customFormat="1">
      <c r="B2027" s="73"/>
      <c r="C2027" s="73"/>
      <c r="D2027" s="73"/>
      <c r="E2027" s="73"/>
      <c r="F2027" s="73"/>
      <c r="G2027" s="73"/>
      <c r="H2027" s="73"/>
      <c r="I2027" s="73"/>
      <c r="J2027" s="73"/>
      <c r="K2027" s="73"/>
      <c r="L2027" s="73"/>
      <c r="M2027" s="73"/>
      <c r="N2027" s="73"/>
      <c r="O2027" s="73"/>
      <c r="P2027" s="73"/>
      <c r="Q2027" s="73"/>
      <c r="R2027" s="73"/>
      <c r="S2027" s="73"/>
      <c r="T2027" s="73"/>
      <c r="U2027" s="73"/>
      <c r="V2027" s="73"/>
      <c r="W2027" s="73"/>
      <c r="GL2027" s="73"/>
      <c r="GM2027" s="73"/>
      <c r="GN2027" s="73"/>
      <c r="GO2027" s="73"/>
      <c r="GP2027" s="73"/>
      <c r="GQ2027" s="73"/>
      <c r="GR2027" s="73"/>
      <c r="GS2027" s="73"/>
      <c r="GT2027" s="73"/>
      <c r="GU2027" s="73"/>
      <c r="GV2027" s="73"/>
      <c r="GW2027" s="73"/>
      <c r="GX2027" s="73"/>
      <c r="GY2027" s="73"/>
      <c r="GZ2027" s="73"/>
      <c r="HA2027" s="73"/>
      <c r="HB2027" s="73"/>
      <c r="HC2027" s="73"/>
      <c r="HD2027" s="73"/>
      <c r="HE2027" s="73"/>
      <c r="HF2027" s="73"/>
      <c r="HG2027" s="73"/>
      <c r="HH2027" s="73"/>
      <c r="HI2027" s="73"/>
      <c r="HJ2027" s="73"/>
      <c r="HK2027" s="73"/>
      <c r="HL2027" s="73"/>
      <c r="HM2027" s="73"/>
      <c r="HN2027" s="73"/>
      <c r="HO2027" s="73"/>
      <c r="HP2027" s="73"/>
      <c r="HQ2027" s="73"/>
      <c r="HR2027" s="73"/>
      <c r="HS2027" s="73"/>
      <c r="HT2027" s="73"/>
      <c r="HU2027" s="73"/>
      <c r="HV2027" s="73"/>
      <c r="HW2027" s="73"/>
      <c r="HX2027" s="73"/>
      <c r="HY2027" s="73"/>
      <c r="HZ2027" s="73"/>
      <c r="IA2027" s="73"/>
      <c r="IB2027" s="73"/>
      <c r="IC2027" s="73"/>
      <c r="ID2027" s="73"/>
      <c r="IE2027" s="73"/>
      <c r="IF2027" s="73"/>
      <c r="IG2027" s="73"/>
      <c r="IH2027" s="73"/>
      <c r="II2027" s="73"/>
      <c r="IJ2027" s="73"/>
      <c r="IK2027" s="73"/>
      <c r="IL2027" s="73"/>
      <c r="IM2027" s="73"/>
      <c r="IN2027" s="73"/>
      <c r="IO2027" s="73"/>
      <c r="IP2027" s="73"/>
      <c r="IQ2027" s="73"/>
      <c r="IR2027" s="73"/>
      <c r="IS2027" s="73"/>
      <c r="IT2027" s="73"/>
      <c r="IU2027" s="73"/>
      <c r="IV2027" s="73"/>
      <c r="IW2027" s="73"/>
      <c r="IX2027" s="73"/>
      <c r="IY2027" s="73"/>
      <c r="IZ2027" s="73"/>
      <c r="JA2027" s="73"/>
      <c r="JB2027" s="73"/>
      <c r="JC2027" s="73"/>
    </row>
    <row r="2028" spans="2:263" s="72" customFormat="1">
      <c r="B2028" s="73"/>
      <c r="C2028" s="73"/>
      <c r="D2028" s="73"/>
      <c r="E2028" s="73"/>
      <c r="F2028" s="73"/>
      <c r="G2028" s="73"/>
      <c r="H2028" s="73"/>
      <c r="I2028" s="73"/>
      <c r="J2028" s="73"/>
      <c r="K2028" s="73"/>
      <c r="L2028" s="73"/>
      <c r="M2028" s="73"/>
      <c r="N2028" s="73"/>
      <c r="O2028" s="73"/>
      <c r="P2028" s="73"/>
      <c r="Q2028" s="73"/>
      <c r="R2028" s="73"/>
      <c r="S2028" s="73"/>
      <c r="T2028" s="73"/>
      <c r="U2028" s="73"/>
      <c r="V2028" s="73"/>
      <c r="W2028" s="73"/>
      <c r="GL2028" s="73"/>
      <c r="GM2028" s="73"/>
      <c r="GN2028" s="73"/>
      <c r="GO2028" s="73"/>
      <c r="GP2028" s="73"/>
      <c r="GQ2028" s="73"/>
      <c r="GR2028" s="73"/>
      <c r="GS2028" s="73"/>
      <c r="GT2028" s="73"/>
      <c r="GU2028" s="73"/>
      <c r="GV2028" s="73"/>
      <c r="GW2028" s="73"/>
      <c r="GX2028" s="73"/>
      <c r="GY2028" s="73"/>
      <c r="GZ2028" s="73"/>
      <c r="HA2028" s="73"/>
      <c r="HB2028" s="73"/>
      <c r="HC2028" s="73"/>
      <c r="HD2028" s="73"/>
      <c r="HE2028" s="73"/>
      <c r="HF2028" s="73"/>
      <c r="HG2028" s="73"/>
      <c r="HH2028" s="73"/>
      <c r="HI2028" s="73"/>
      <c r="HJ2028" s="73"/>
      <c r="HK2028" s="73"/>
      <c r="HL2028" s="73"/>
      <c r="HM2028" s="73"/>
      <c r="HN2028" s="73"/>
      <c r="HO2028" s="73"/>
      <c r="HP2028" s="73"/>
      <c r="HQ2028" s="73"/>
      <c r="HR2028" s="73"/>
      <c r="HS2028" s="73"/>
      <c r="HT2028" s="73"/>
      <c r="HU2028" s="73"/>
      <c r="HV2028" s="73"/>
      <c r="HW2028" s="73"/>
      <c r="HX2028" s="73"/>
      <c r="HY2028" s="73"/>
      <c r="HZ2028" s="73"/>
      <c r="IA2028" s="73"/>
      <c r="IB2028" s="73"/>
      <c r="IC2028" s="73"/>
      <c r="ID2028" s="73"/>
      <c r="IE2028" s="73"/>
      <c r="IF2028" s="73"/>
      <c r="IG2028" s="73"/>
      <c r="IH2028" s="73"/>
      <c r="II2028" s="73"/>
      <c r="IJ2028" s="73"/>
      <c r="IK2028" s="73"/>
      <c r="IL2028" s="73"/>
      <c r="IM2028" s="73"/>
      <c r="IN2028" s="73"/>
      <c r="IO2028" s="73"/>
      <c r="IP2028" s="73"/>
      <c r="IQ2028" s="73"/>
      <c r="IR2028" s="73"/>
      <c r="IS2028" s="73"/>
      <c r="IT2028" s="73"/>
      <c r="IU2028" s="73"/>
      <c r="IV2028" s="73"/>
      <c r="IW2028" s="73"/>
      <c r="IX2028" s="73"/>
      <c r="IY2028" s="73"/>
      <c r="IZ2028" s="73"/>
      <c r="JA2028" s="73"/>
      <c r="JB2028" s="73"/>
      <c r="JC2028" s="73"/>
    </row>
    <row r="2029" spans="2:263" s="72" customFormat="1">
      <c r="B2029" s="73"/>
      <c r="C2029" s="73"/>
      <c r="D2029" s="73"/>
      <c r="E2029" s="73"/>
      <c r="F2029" s="73"/>
      <c r="G2029" s="73"/>
      <c r="H2029" s="73"/>
      <c r="I2029" s="73"/>
      <c r="J2029" s="73"/>
      <c r="K2029" s="73"/>
      <c r="L2029" s="73"/>
      <c r="M2029" s="73"/>
      <c r="N2029" s="73"/>
      <c r="O2029" s="73"/>
      <c r="P2029" s="73"/>
      <c r="Q2029" s="73"/>
      <c r="R2029" s="73"/>
      <c r="S2029" s="73"/>
      <c r="T2029" s="73"/>
      <c r="U2029" s="73"/>
      <c r="V2029" s="73"/>
      <c r="W2029" s="73"/>
      <c r="GL2029" s="73"/>
      <c r="GM2029" s="73"/>
      <c r="GN2029" s="73"/>
      <c r="GO2029" s="73"/>
      <c r="GP2029" s="73"/>
      <c r="GQ2029" s="73"/>
      <c r="GR2029" s="73"/>
      <c r="GS2029" s="73"/>
      <c r="GT2029" s="73"/>
      <c r="GU2029" s="73"/>
      <c r="GV2029" s="73"/>
      <c r="GW2029" s="73"/>
      <c r="GX2029" s="73"/>
      <c r="GY2029" s="73"/>
      <c r="GZ2029" s="73"/>
      <c r="HA2029" s="73"/>
      <c r="HB2029" s="73"/>
      <c r="HC2029" s="73"/>
      <c r="HD2029" s="73"/>
      <c r="HE2029" s="73"/>
      <c r="HF2029" s="73"/>
      <c r="HG2029" s="73"/>
      <c r="HH2029" s="73"/>
      <c r="HI2029" s="73"/>
      <c r="HJ2029" s="73"/>
      <c r="HK2029" s="73"/>
      <c r="HL2029" s="73"/>
      <c r="HM2029" s="73"/>
      <c r="HN2029" s="73"/>
      <c r="HO2029" s="73"/>
      <c r="HP2029" s="73"/>
      <c r="HQ2029" s="73"/>
      <c r="HR2029" s="73"/>
      <c r="HS2029" s="73"/>
      <c r="HT2029" s="73"/>
      <c r="HU2029" s="73"/>
      <c r="HV2029" s="73"/>
      <c r="HW2029" s="73"/>
      <c r="HX2029" s="73"/>
      <c r="HY2029" s="73"/>
      <c r="HZ2029" s="73"/>
      <c r="IA2029" s="73"/>
      <c r="IB2029" s="73"/>
      <c r="IC2029" s="73"/>
      <c r="ID2029" s="73"/>
      <c r="IE2029" s="73"/>
      <c r="IF2029" s="73"/>
      <c r="IG2029" s="73"/>
      <c r="IH2029" s="73"/>
      <c r="II2029" s="73"/>
      <c r="IJ2029" s="73"/>
      <c r="IK2029" s="73"/>
      <c r="IL2029" s="73"/>
      <c r="IM2029" s="73"/>
      <c r="IN2029" s="73"/>
      <c r="IO2029" s="73"/>
      <c r="IP2029" s="73"/>
      <c r="IQ2029" s="73"/>
      <c r="IR2029" s="73"/>
      <c r="IS2029" s="73"/>
      <c r="IT2029" s="73"/>
      <c r="IU2029" s="73"/>
      <c r="IV2029" s="73"/>
      <c r="IW2029" s="73"/>
      <c r="IX2029" s="73"/>
      <c r="IY2029" s="73"/>
      <c r="IZ2029" s="73"/>
      <c r="JA2029" s="73"/>
      <c r="JB2029" s="73"/>
      <c r="JC2029" s="73"/>
    </row>
    <row r="2030" spans="2:263" s="72" customFormat="1">
      <c r="B2030" s="73"/>
      <c r="C2030" s="73"/>
      <c r="D2030" s="73"/>
      <c r="E2030" s="73"/>
      <c r="F2030" s="73"/>
      <c r="G2030" s="73"/>
      <c r="H2030" s="73"/>
      <c r="I2030" s="73"/>
      <c r="J2030" s="73"/>
      <c r="K2030" s="73"/>
      <c r="L2030" s="73"/>
      <c r="M2030" s="73"/>
      <c r="N2030" s="73"/>
      <c r="O2030" s="73"/>
      <c r="P2030" s="73"/>
      <c r="Q2030" s="73"/>
      <c r="R2030" s="73"/>
      <c r="S2030" s="73"/>
      <c r="T2030" s="73"/>
      <c r="U2030" s="73"/>
      <c r="V2030" s="73"/>
      <c r="W2030" s="73"/>
      <c r="GL2030" s="73"/>
      <c r="GM2030" s="73"/>
      <c r="GN2030" s="73"/>
      <c r="GO2030" s="73"/>
      <c r="GP2030" s="73"/>
      <c r="GQ2030" s="73"/>
      <c r="GR2030" s="73"/>
      <c r="GS2030" s="73"/>
      <c r="GT2030" s="73"/>
      <c r="GU2030" s="73"/>
      <c r="GV2030" s="73"/>
      <c r="GW2030" s="73"/>
      <c r="GX2030" s="73"/>
      <c r="GY2030" s="73"/>
      <c r="GZ2030" s="73"/>
      <c r="HA2030" s="73"/>
      <c r="HB2030" s="73"/>
      <c r="HC2030" s="73"/>
      <c r="HD2030" s="73"/>
      <c r="HE2030" s="73"/>
      <c r="HF2030" s="73"/>
      <c r="HG2030" s="73"/>
      <c r="HH2030" s="73"/>
      <c r="HI2030" s="73"/>
      <c r="HJ2030" s="73"/>
      <c r="HK2030" s="73"/>
      <c r="HL2030" s="73"/>
      <c r="HM2030" s="73"/>
      <c r="HN2030" s="73"/>
      <c r="HO2030" s="73"/>
      <c r="HP2030" s="73"/>
      <c r="HQ2030" s="73"/>
      <c r="HR2030" s="73"/>
      <c r="HS2030" s="73"/>
      <c r="HT2030" s="73"/>
      <c r="HU2030" s="73"/>
      <c r="HV2030" s="73"/>
      <c r="HW2030" s="73"/>
      <c r="HX2030" s="73"/>
      <c r="HY2030" s="73"/>
      <c r="HZ2030" s="73"/>
      <c r="IA2030" s="73"/>
      <c r="IB2030" s="73"/>
      <c r="IC2030" s="73"/>
      <c r="ID2030" s="73"/>
      <c r="IE2030" s="73"/>
      <c r="IF2030" s="73"/>
      <c r="IG2030" s="73"/>
      <c r="IH2030" s="73"/>
      <c r="II2030" s="73"/>
      <c r="IJ2030" s="73"/>
      <c r="IK2030" s="73"/>
      <c r="IL2030" s="73"/>
      <c r="IM2030" s="73"/>
      <c r="IN2030" s="73"/>
      <c r="IO2030" s="73"/>
      <c r="IP2030" s="73"/>
      <c r="IQ2030" s="73"/>
      <c r="IR2030" s="73"/>
      <c r="IS2030" s="73"/>
      <c r="IT2030" s="73"/>
      <c r="IU2030" s="73"/>
      <c r="IV2030" s="73"/>
      <c r="IW2030" s="73"/>
      <c r="IX2030" s="73"/>
      <c r="IY2030" s="73"/>
      <c r="IZ2030" s="73"/>
      <c r="JA2030" s="73"/>
      <c r="JB2030" s="73"/>
      <c r="JC2030" s="73"/>
    </row>
    <row r="2031" spans="2:263" s="72" customFormat="1">
      <c r="B2031" s="73"/>
      <c r="C2031" s="73"/>
      <c r="D2031" s="73"/>
      <c r="E2031" s="73"/>
      <c r="F2031" s="73"/>
      <c r="G2031" s="73"/>
      <c r="H2031" s="73"/>
      <c r="I2031" s="73"/>
      <c r="J2031" s="73"/>
      <c r="K2031" s="73"/>
      <c r="L2031" s="73"/>
      <c r="M2031" s="73"/>
      <c r="N2031" s="73"/>
      <c r="O2031" s="73"/>
      <c r="P2031" s="73"/>
      <c r="Q2031" s="73"/>
      <c r="R2031" s="73"/>
      <c r="S2031" s="73"/>
      <c r="T2031" s="73"/>
      <c r="U2031" s="73"/>
      <c r="V2031" s="73"/>
      <c r="W2031" s="73"/>
      <c r="GL2031" s="73"/>
      <c r="GM2031" s="73"/>
      <c r="GN2031" s="73"/>
      <c r="GO2031" s="73"/>
      <c r="GP2031" s="73"/>
      <c r="GQ2031" s="73"/>
      <c r="GR2031" s="73"/>
      <c r="GS2031" s="73"/>
      <c r="GT2031" s="73"/>
      <c r="GU2031" s="73"/>
      <c r="GV2031" s="73"/>
      <c r="GW2031" s="73"/>
      <c r="GX2031" s="73"/>
      <c r="GY2031" s="73"/>
      <c r="GZ2031" s="73"/>
      <c r="HA2031" s="73"/>
      <c r="HB2031" s="73"/>
      <c r="HC2031" s="73"/>
      <c r="HD2031" s="73"/>
      <c r="HE2031" s="73"/>
      <c r="HF2031" s="73"/>
      <c r="HG2031" s="73"/>
      <c r="HH2031" s="73"/>
      <c r="HI2031" s="73"/>
      <c r="HJ2031" s="73"/>
      <c r="HK2031" s="73"/>
      <c r="HL2031" s="73"/>
      <c r="HM2031" s="73"/>
      <c r="HN2031" s="73"/>
      <c r="HO2031" s="73"/>
      <c r="HP2031" s="73"/>
      <c r="HQ2031" s="73"/>
      <c r="HR2031" s="73"/>
      <c r="HS2031" s="73"/>
      <c r="HT2031" s="73"/>
      <c r="HU2031" s="73"/>
      <c r="HV2031" s="73"/>
      <c r="HW2031" s="73"/>
      <c r="HX2031" s="73"/>
      <c r="HY2031" s="73"/>
      <c r="HZ2031" s="73"/>
      <c r="IA2031" s="73"/>
      <c r="IB2031" s="73"/>
      <c r="IC2031" s="73"/>
      <c r="ID2031" s="73"/>
      <c r="IE2031" s="73"/>
      <c r="IF2031" s="73"/>
      <c r="IG2031" s="73"/>
      <c r="IH2031" s="73"/>
      <c r="II2031" s="73"/>
      <c r="IJ2031" s="73"/>
      <c r="IK2031" s="73"/>
      <c r="IL2031" s="73"/>
      <c r="IM2031" s="73"/>
      <c r="IN2031" s="73"/>
      <c r="IO2031" s="73"/>
      <c r="IP2031" s="73"/>
      <c r="IQ2031" s="73"/>
      <c r="IR2031" s="73"/>
      <c r="IS2031" s="73"/>
      <c r="IT2031" s="73"/>
      <c r="IU2031" s="73"/>
      <c r="IV2031" s="73"/>
      <c r="IW2031" s="73"/>
      <c r="IX2031" s="73"/>
      <c r="IY2031" s="73"/>
      <c r="IZ2031" s="73"/>
      <c r="JA2031" s="73"/>
      <c r="JB2031" s="73"/>
      <c r="JC2031" s="73"/>
    </row>
    <row r="2032" spans="2:263" s="72" customFormat="1">
      <c r="B2032" s="73"/>
      <c r="C2032" s="73"/>
      <c r="D2032" s="73"/>
      <c r="E2032" s="73"/>
      <c r="F2032" s="73"/>
      <c r="G2032" s="73"/>
      <c r="H2032" s="73"/>
      <c r="I2032" s="73"/>
      <c r="J2032" s="73"/>
      <c r="K2032" s="73"/>
      <c r="L2032" s="73"/>
      <c r="M2032" s="73"/>
      <c r="N2032" s="73"/>
      <c r="O2032" s="73"/>
      <c r="P2032" s="73"/>
      <c r="Q2032" s="73"/>
      <c r="R2032" s="73"/>
      <c r="S2032" s="73"/>
      <c r="T2032" s="73"/>
      <c r="U2032" s="73"/>
      <c r="V2032" s="73"/>
      <c r="W2032" s="73"/>
      <c r="GL2032" s="73"/>
      <c r="GM2032" s="73"/>
      <c r="GN2032" s="73"/>
      <c r="GO2032" s="73"/>
      <c r="GP2032" s="73"/>
      <c r="GQ2032" s="73"/>
      <c r="GR2032" s="73"/>
      <c r="GS2032" s="73"/>
      <c r="GT2032" s="73"/>
      <c r="GU2032" s="73"/>
      <c r="GV2032" s="73"/>
      <c r="GW2032" s="73"/>
      <c r="GX2032" s="73"/>
      <c r="GY2032" s="73"/>
      <c r="GZ2032" s="73"/>
      <c r="HA2032" s="73"/>
      <c r="HB2032" s="73"/>
      <c r="HC2032" s="73"/>
      <c r="HD2032" s="73"/>
      <c r="HE2032" s="73"/>
      <c r="HF2032" s="73"/>
      <c r="HG2032" s="73"/>
      <c r="HH2032" s="73"/>
      <c r="HI2032" s="73"/>
      <c r="HJ2032" s="73"/>
      <c r="HK2032" s="73"/>
      <c r="HL2032" s="73"/>
      <c r="HM2032" s="73"/>
      <c r="HN2032" s="73"/>
      <c r="HO2032" s="73"/>
      <c r="HP2032" s="73"/>
      <c r="HQ2032" s="73"/>
      <c r="HR2032" s="73"/>
      <c r="HS2032" s="73"/>
      <c r="HT2032" s="73"/>
      <c r="HU2032" s="73"/>
      <c r="HV2032" s="73"/>
      <c r="HW2032" s="73"/>
      <c r="HX2032" s="73"/>
      <c r="HY2032" s="73"/>
      <c r="HZ2032" s="73"/>
      <c r="IA2032" s="73"/>
      <c r="IB2032" s="73"/>
      <c r="IC2032" s="73"/>
      <c r="ID2032" s="73"/>
      <c r="IE2032" s="73"/>
      <c r="IF2032" s="73"/>
      <c r="IG2032" s="73"/>
      <c r="IH2032" s="73"/>
      <c r="II2032" s="73"/>
      <c r="IJ2032" s="73"/>
      <c r="IK2032" s="73"/>
      <c r="IL2032" s="73"/>
      <c r="IM2032" s="73"/>
      <c r="IN2032" s="73"/>
      <c r="IO2032" s="73"/>
      <c r="IP2032" s="73"/>
      <c r="IQ2032" s="73"/>
      <c r="IR2032" s="73"/>
      <c r="IS2032" s="73"/>
      <c r="IT2032" s="73"/>
      <c r="IU2032" s="73"/>
      <c r="IV2032" s="73"/>
      <c r="IW2032" s="73"/>
      <c r="IX2032" s="73"/>
      <c r="IY2032" s="73"/>
      <c r="IZ2032" s="73"/>
      <c r="JA2032" s="73"/>
      <c r="JB2032" s="73"/>
      <c r="JC2032" s="73"/>
    </row>
    <row r="2033" spans="2:263" s="72" customFormat="1">
      <c r="B2033" s="73"/>
      <c r="C2033" s="73"/>
      <c r="D2033" s="73"/>
      <c r="E2033" s="73"/>
      <c r="F2033" s="73"/>
      <c r="G2033" s="73"/>
      <c r="H2033" s="73"/>
      <c r="I2033" s="73"/>
      <c r="J2033" s="73"/>
      <c r="K2033" s="73"/>
      <c r="L2033" s="73"/>
      <c r="M2033" s="73"/>
      <c r="N2033" s="73"/>
      <c r="O2033" s="73"/>
      <c r="P2033" s="73"/>
      <c r="Q2033" s="73"/>
      <c r="R2033" s="73"/>
      <c r="S2033" s="73"/>
      <c r="T2033" s="73"/>
      <c r="U2033" s="73"/>
      <c r="V2033" s="73"/>
      <c r="W2033" s="73"/>
      <c r="GL2033" s="73"/>
      <c r="GM2033" s="73"/>
      <c r="GN2033" s="73"/>
      <c r="GO2033" s="73"/>
      <c r="GP2033" s="73"/>
      <c r="GQ2033" s="73"/>
      <c r="GR2033" s="73"/>
      <c r="GS2033" s="73"/>
      <c r="GT2033" s="73"/>
      <c r="GU2033" s="73"/>
      <c r="GV2033" s="73"/>
      <c r="GW2033" s="73"/>
      <c r="GX2033" s="73"/>
      <c r="GY2033" s="73"/>
      <c r="GZ2033" s="73"/>
      <c r="HA2033" s="73"/>
      <c r="HB2033" s="73"/>
      <c r="HC2033" s="73"/>
      <c r="HD2033" s="73"/>
      <c r="HE2033" s="73"/>
      <c r="HF2033" s="73"/>
      <c r="HG2033" s="73"/>
      <c r="HH2033" s="73"/>
      <c r="HI2033" s="73"/>
      <c r="HJ2033" s="73"/>
      <c r="HK2033" s="73"/>
      <c r="HL2033" s="73"/>
      <c r="HM2033" s="73"/>
      <c r="HN2033" s="73"/>
      <c r="HO2033" s="73"/>
      <c r="HP2033" s="73"/>
      <c r="HQ2033" s="73"/>
      <c r="HR2033" s="73"/>
      <c r="HS2033" s="73"/>
      <c r="HT2033" s="73"/>
      <c r="HU2033" s="73"/>
      <c r="HV2033" s="73"/>
      <c r="HW2033" s="73"/>
      <c r="HX2033" s="73"/>
      <c r="HY2033" s="73"/>
      <c r="HZ2033" s="73"/>
      <c r="IA2033" s="73"/>
      <c r="IB2033" s="73"/>
      <c r="IC2033" s="73"/>
      <c r="ID2033" s="73"/>
      <c r="IE2033" s="73"/>
      <c r="IF2033" s="73"/>
      <c r="IG2033" s="73"/>
      <c r="IH2033" s="73"/>
      <c r="II2033" s="73"/>
      <c r="IJ2033" s="73"/>
      <c r="IK2033" s="73"/>
      <c r="IL2033" s="73"/>
      <c r="IM2033" s="73"/>
      <c r="IN2033" s="73"/>
      <c r="IO2033" s="73"/>
      <c r="IP2033" s="73"/>
      <c r="IQ2033" s="73"/>
      <c r="IR2033" s="73"/>
      <c r="IS2033" s="73"/>
      <c r="IT2033" s="73"/>
      <c r="IU2033" s="73"/>
      <c r="IV2033" s="73"/>
      <c r="IW2033" s="73"/>
      <c r="IX2033" s="73"/>
      <c r="IY2033" s="73"/>
      <c r="IZ2033" s="73"/>
      <c r="JA2033" s="73"/>
      <c r="JB2033" s="73"/>
      <c r="JC2033" s="73"/>
    </row>
    <row r="2034" spans="2:263" s="72" customFormat="1">
      <c r="B2034" s="73"/>
      <c r="C2034" s="73"/>
      <c r="D2034" s="73"/>
      <c r="E2034" s="73"/>
      <c r="F2034" s="73"/>
      <c r="G2034" s="73"/>
      <c r="H2034" s="73"/>
      <c r="I2034" s="73"/>
      <c r="J2034" s="73"/>
      <c r="K2034" s="73"/>
      <c r="L2034" s="73"/>
      <c r="M2034" s="73"/>
      <c r="N2034" s="73"/>
      <c r="O2034" s="73"/>
      <c r="P2034" s="73"/>
      <c r="Q2034" s="73"/>
      <c r="R2034" s="73"/>
      <c r="S2034" s="73"/>
      <c r="T2034" s="73"/>
      <c r="U2034" s="73"/>
      <c r="V2034" s="73"/>
      <c r="W2034" s="73"/>
      <c r="GL2034" s="73"/>
      <c r="GM2034" s="73"/>
      <c r="GN2034" s="73"/>
      <c r="GO2034" s="73"/>
      <c r="GP2034" s="73"/>
      <c r="GQ2034" s="73"/>
      <c r="GR2034" s="73"/>
      <c r="GS2034" s="73"/>
      <c r="GT2034" s="73"/>
      <c r="GU2034" s="73"/>
      <c r="GV2034" s="73"/>
      <c r="GW2034" s="73"/>
      <c r="GX2034" s="73"/>
      <c r="GY2034" s="73"/>
      <c r="GZ2034" s="73"/>
      <c r="HA2034" s="73"/>
      <c r="HB2034" s="73"/>
      <c r="HC2034" s="73"/>
      <c r="HD2034" s="73"/>
      <c r="HE2034" s="73"/>
      <c r="HF2034" s="73"/>
      <c r="HG2034" s="73"/>
      <c r="HH2034" s="73"/>
      <c r="HI2034" s="73"/>
      <c r="HJ2034" s="73"/>
      <c r="HK2034" s="73"/>
      <c r="HL2034" s="73"/>
      <c r="HM2034" s="73"/>
      <c r="HN2034" s="73"/>
      <c r="HO2034" s="73"/>
      <c r="HP2034" s="73"/>
      <c r="HQ2034" s="73"/>
      <c r="HR2034" s="73"/>
      <c r="HS2034" s="73"/>
      <c r="HT2034" s="73"/>
      <c r="HU2034" s="73"/>
      <c r="HV2034" s="73"/>
      <c r="HW2034" s="73"/>
      <c r="HX2034" s="73"/>
      <c r="HY2034" s="73"/>
      <c r="HZ2034" s="73"/>
      <c r="IA2034" s="73"/>
      <c r="IB2034" s="73"/>
      <c r="IC2034" s="73"/>
      <c r="ID2034" s="73"/>
      <c r="IE2034" s="73"/>
      <c r="IF2034" s="73"/>
      <c r="IG2034" s="73"/>
      <c r="IH2034" s="73"/>
      <c r="II2034" s="73"/>
      <c r="IJ2034" s="73"/>
      <c r="IK2034" s="73"/>
      <c r="IL2034" s="73"/>
      <c r="IM2034" s="73"/>
      <c r="IN2034" s="73"/>
      <c r="IO2034" s="73"/>
      <c r="IP2034" s="73"/>
      <c r="IQ2034" s="73"/>
      <c r="IR2034" s="73"/>
      <c r="IS2034" s="73"/>
      <c r="IT2034" s="73"/>
      <c r="IU2034" s="73"/>
      <c r="IV2034" s="73"/>
      <c r="IW2034" s="73"/>
      <c r="IX2034" s="73"/>
      <c r="IY2034" s="73"/>
      <c r="IZ2034" s="73"/>
      <c r="JA2034" s="73"/>
      <c r="JB2034" s="73"/>
      <c r="JC2034" s="73"/>
    </row>
    <row r="2035" spans="2:263" s="72" customFormat="1">
      <c r="B2035" s="73"/>
      <c r="C2035" s="73"/>
      <c r="D2035" s="73"/>
      <c r="E2035" s="73"/>
      <c r="F2035" s="73"/>
      <c r="G2035" s="73"/>
      <c r="H2035" s="73"/>
      <c r="I2035" s="73"/>
      <c r="J2035" s="73"/>
      <c r="K2035" s="73"/>
      <c r="L2035" s="73"/>
      <c r="M2035" s="73"/>
      <c r="N2035" s="73"/>
      <c r="O2035" s="73"/>
      <c r="P2035" s="73"/>
      <c r="Q2035" s="73"/>
      <c r="R2035" s="73"/>
      <c r="S2035" s="73"/>
      <c r="T2035" s="73"/>
      <c r="U2035" s="73"/>
      <c r="V2035" s="73"/>
      <c r="W2035" s="73"/>
      <c r="GL2035" s="73"/>
      <c r="GM2035" s="73"/>
      <c r="GN2035" s="73"/>
      <c r="GO2035" s="73"/>
      <c r="GP2035" s="73"/>
      <c r="GQ2035" s="73"/>
      <c r="GR2035" s="73"/>
      <c r="GS2035" s="73"/>
      <c r="GT2035" s="73"/>
      <c r="GU2035" s="73"/>
      <c r="GV2035" s="73"/>
      <c r="GW2035" s="73"/>
      <c r="GX2035" s="73"/>
      <c r="GY2035" s="73"/>
      <c r="GZ2035" s="73"/>
      <c r="HA2035" s="73"/>
      <c r="HB2035" s="73"/>
      <c r="HC2035" s="73"/>
      <c r="HD2035" s="73"/>
      <c r="HE2035" s="73"/>
      <c r="HF2035" s="73"/>
      <c r="HG2035" s="73"/>
      <c r="HH2035" s="73"/>
      <c r="HI2035" s="73"/>
      <c r="HJ2035" s="73"/>
      <c r="HK2035" s="73"/>
      <c r="HL2035" s="73"/>
      <c r="HM2035" s="73"/>
      <c r="HN2035" s="73"/>
      <c r="HO2035" s="73"/>
      <c r="HP2035" s="73"/>
      <c r="HQ2035" s="73"/>
      <c r="HR2035" s="73"/>
      <c r="HS2035" s="73"/>
      <c r="HT2035" s="73"/>
      <c r="HU2035" s="73"/>
      <c r="HV2035" s="73"/>
      <c r="HW2035" s="73"/>
      <c r="HX2035" s="73"/>
      <c r="HY2035" s="73"/>
      <c r="HZ2035" s="73"/>
      <c r="IA2035" s="73"/>
      <c r="IB2035" s="73"/>
      <c r="IC2035" s="73"/>
      <c r="ID2035" s="73"/>
      <c r="IE2035" s="73"/>
      <c r="IF2035" s="73"/>
      <c r="IG2035" s="73"/>
      <c r="IH2035" s="73"/>
      <c r="II2035" s="73"/>
      <c r="IJ2035" s="73"/>
      <c r="IK2035" s="73"/>
      <c r="IL2035" s="73"/>
      <c r="IM2035" s="73"/>
      <c r="IN2035" s="73"/>
      <c r="IO2035" s="73"/>
      <c r="IP2035" s="73"/>
      <c r="IQ2035" s="73"/>
      <c r="IR2035" s="73"/>
      <c r="IS2035" s="73"/>
      <c r="IT2035" s="73"/>
      <c r="IU2035" s="73"/>
      <c r="IV2035" s="73"/>
      <c r="IW2035" s="73"/>
      <c r="IX2035" s="73"/>
      <c r="IY2035" s="73"/>
      <c r="IZ2035" s="73"/>
      <c r="JA2035" s="73"/>
      <c r="JB2035" s="73"/>
      <c r="JC2035" s="73"/>
    </row>
    <row r="2036" spans="2:263" s="72" customFormat="1">
      <c r="B2036" s="73"/>
      <c r="C2036" s="73"/>
      <c r="D2036" s="73"/>
      <c r="E2036" s="73"/>
      <c r="F2036" s="73"/>
      <c r="G2036" s="73"/>
      <c r="H2036" s="73"/>
      <c r="I2036" s="73"/>
      <c r="J2036" s="73"/>
      <c r="K2036" s="73"/>
      <c r="L2036" s="73"/>
      <c r="M2036" s="73"/>
      <c r="N2036" s="73"/>
      <c r="O2036" s="73"/>
      <c r="P2036" s="73"/>
      <c r="Q2036" s="73"/>
      <c r="R2036" s="73"/>
      <c r="S2036" s="73"/>
      <c r="T2036" s="73"/>
      <c r="U2036" s="73"/>
      <c r="V2036" s="73"/>
      <c r="W2036" s="73"/>
      <c r="GL2036" s="73"/>
      <c r="GM2036" s="73"/>
      <c r="GN2036" s="73"/>
      <c r="GO2036" s="73"/>
      <c r="GP2036" s="73"/>
      <c r="GQ2036" s="73"/>
      <c r="GR2036" s="73"/>
      <c r="GS2036" s="73"/>
      <c r="GT2036" s="73"/>
      <c r="GU2036" s="73"/>
      <c r="GV2036" s="73"/>
      <c r="GW2036" s="73"/>
      <c r="GX2036" s="73"/>
      <c r="GY2036" s="73"/>
      <c r="GZ2036" s="73"/>
      <c r="HA2036" s="73"/>
      <c r="HB2036" s="73"/>
      <c r="HC2036" s="73"/>
      <c r="HD2036" s="73"/>
      <c r="HE2036" s="73"/>
      <c r="HF2036" s="73"/>
      <c r="HG2036" s="73"/>
      <c r="HH2036" s="73"/>
      <c r="HI2036" s="73"/>
      <c r="HJ2036" s="73"/>
      <c r="HK2036" s="73"/>
      <c r="HL2036" s="73"/>
      <c r="HM2036" s="73"/>
      <c r="HN2036" s="73"/>
      <c r="HO2036" s="73"/>
      <c r="HP2036" s="73"/>
      <c r="HQ2036" s="73"/>
      <c r="HR2036" s="73"/>
      <c r="HS2036" s="73"/>
      <c r="HT2036" s="73"/>
      <c r="HU2036" s="73"/>
      <c r="HV2036" s="73"/>
      <c r="HW2036" s="73"/>
      <c r="HX2036" s="73"/>
      <c r="HY2036" s="73"/>
      <c r="HZ2036" s="73"/>
      <c r="IA2036" s="73"/>
      <c r="IB2036" s="73"/>
      <c r="IC2036" s="73"/>
      <c r="ID2036" s="73"/>
      <c r="IE2036" s="73"/>
      <c r="IF2036" s="73"/>
      <c r="IG2036" s="73"/>
      <c r="IH2036" s="73"/>
      <c r="II2036" s="73"/>
      <c r="IJ2036" s="73"/>
      <c r="IK2036" s="73"/>
      <c r="IL2036" s="73"/>
      <c r="IM2036" s="73"/>
      <c r="IN2036" s="73"/>
      <c r="IO2036" s="73"/>
      <c r="IP2036" s="73"/>
      <c r="IQ2036" s="73"/>
      <c r="IR2036" s="73"/>
      <c r="IS2036" s="73"/>
      <c r="IT2036" s="73"/>
      <c r="IU2036" s="73"/>
      <c r="IV2036" s="73"/>
      <c r="IW2036" s="73"/>
      <c r="IX2036" s="73"/>
      <c r="IY2036" s="73"/>
      <c r="IZ2036" s="73"/>
      <c r="JA2036" s="73"/>
      <c r="JB2036" s="73"/>
      <c r="JC2036" s="73"/>
    </row>
    <row r="2037" spans="2:263" s="72" customFormat="1">
      <c r="B2037" s="73"/>
      <c r="C2037" s="73"/>
      <c r="D2037" s="73"/>
      <c r="E2037" s="73"/>
      <c r="F2037" s="73"/>
      <c r="G2037" s="73"/>
      <c r="H2037" s="73"/>
      <c r="I2037" s="73"/>
      <c r="J2037" s="73"/>
      <c r="K2037" s="73"/>
      <c r="L2037" s="73"/>
      <c r="M2037" s="73"/>
      <c r="N2037" s="73"/>
      <c r="O2037" s="73"/>
      <c r="P2037" s="73"/>
      <c r="Q2037" s="73"/>
      <c r="R2037" s="73"/>
      <c r="S2037" s="73"/>
      <c r="T2037" s="73"/>
      <c r="U2037" s="73"/>
      <c r="V2037" s="73"/>
      <c r="W2037" s="73"/>
      <c r="GL2037" s="73"/>
      <c r="GM2037" s="73"/>
      <c r="GN2037" s="73"/>
      <c r="GO2037" s="73"/>
      <c r="GP2037" s="73"/>
      <c r="GQ2037" s="73"/>
      <c r="GR2037" s="73"/>
      <c r="GS2037" s="73"/>
      <c r="GT2037" s="73"/>
      <c r="GU2037" s="73"/>
      <c r="GV2037" s="73"/>
      <c r="GW2037" s="73"/>
      <c r="GX2037" s="73"/>
      <c r="GY2037" s="73"/>
      <c r="GZ2037" s="73"/>
      <c r="HA2037" s="73"/>
      <c r="HB2037" s="73"/>
      <c r="HC2037" s="73"/>
      <c r="HD2037" s="73"/>
      <c r="HE2037" s="73"/>
      <c r="HF2037" s="73"/>
      <c r="HG2037" s="73"/>
      <c r="HH2037" s="73"/>
      <c r="HI2037" s="73"/>
      <c r="HJ2037" s="73"/>
      <c r="HK2037" s="73"/>
      <c r="HL2037" s="73"/>
      <c r="HM2037" s="73"/>
      <c r="HN2037" s="73"/>
      <c r="HO2037" s="73"/>
      <c r="HP2037" s="73"/>
      <c r="HQ2037" s="73"/>
      <c r="HR2037" s="73"/>
      <c r="HS2037" s="73"/>
      <c r="HT2037" s="73"/>
      <c r="HU2037" s="73"/>
      <c r="HV2037" s="73"/>
      <c r="HW2037" s="73"/>
      <c r="HX2037" s="73"/>
      <c r="HY2037" s="73"/>
      <c r="HZ2037" s="73"/>
      <c r="IA2037" s="73"/>
      <c r="IB2037" s="73"/>
      <c r="IC2037" s="73"/>
      <c r="ID2037" s="73"/>
      <c r="IE2037" s="73"/>
      <c r="IF2037" s="73"/>
      <c r="IG2037" s="73"/>
      <c r="IH2037" s="73"/>
      <c r="II2037" s="73"/>
      <c r="IJ2037" s="73"/>
      <c r="IK2037" s="73"/>
      <c r="IL2037" s="73"/>
      <c r="IM2037" s="73"/>
      <c r="IN2037" s="73"/>
      <c r="IO2037" s="73"/>
      <c r="IP2037" s="73"/>
      <c r="IQ2037" s="73"/>
      <c r="IR2037" s="73"/>
      <c r="IS2037" s="73"/>
      <c r="IT2037" s="73"/>
      <c r="IU2037" s="73"/>
      <c r="IV2037" s="73"/>
      <c r="IW2037" s="73"/>
      <c r="IX2037" s="73"/>
      <c r="IY2037" s="73"/>
      <c r="IZ2037" s="73"/>
      <c r="JA2037" s="73"/>
      <c r="JB2037" s="73"/>
      <c r="JC2037" s="73"/>
    </row>
    <row r="2038" spans="2:263" s="72" customFormat="1">
      <c r="B2038" s="73"/>
      <c r="C2038" s="73"/>
      <c r="D2038" s="73"/>
      <c r="E2038" s="73"/>
      <c r="F2038" s="73"/>
      <c r="G2038" s="73"/>
      <c r="H2038" s="73"/>
      <c r="I2038" s="73"/>
      <c r="J2038" s="73"/>
      <c r="K2038" s="73"/>
      <c r="L2038" s="73"/>
      <c r="M2038" s="73"/>
      <c r="N2038" s="73"/>
      <c r="O2038" s="73"/>
      <c r="P2038" s="73"/>
      <c r="Q2038" s="73"/>
      <c r="R2038" s="73"/>
      <c r="S2038" s="73"/>
      <c r="T2038" s="73"/>
      <c r="U2038" s="73"/>
      <c r="V2038" s="73"/>
      <c r="W2038" s="73"/>
      <c r="GL2038" s="73"/>
      <c r="GM2038" s="73"/>
      <c r="GN2038" s="73"/>
      <c r="GO2038" s="73"/>
      <c r="GP2038" s="73"/>
      <c r="GQ2038" s="73"/>
      <c r="GR2038" s="73"/>
      <c r="GS2038" s="73"/>
      <c r="GT2038" s="73"/>
      <c r="GU2038" s="73"/>
      <c r="GV2038" s="73"/>
      <c r="GW2038" s="73"/>
      <c r="GX2038" s="73"/>
      <c r="GY2038" s="73"/>
      <c r="GZ2038" s="73"/>
      <c r="HA2038" s="73"/>
      <c r="HB2038" s="73"/>
      <c r="HC2038" s="73"/>
      <c r="HD2038" s="73"/>
      <c r="HE2038" s="73"/>
      <c r="HF2038" s="73"/>
      <c r="HG2038" s="73"/>
      <c r="HH2038" s="73"/>
      <c r="HI2038" s="73"/>
      <c r="HJ2038" s="73"/>
      <c r="HK2038" s="73"/>
      <c r="HL2038" s="73"/>
      <c r="HM2038" s="73"/>
      <c r="HN2038" s="73"/>
      <c r="HO2038" s="73"/>
      <c r="HP2038" s="73"/>
      <c r="HQ2038" s="73"/>
      <c r="HR2038" s="73"/>
      <c r="HS2038" s="73"/>
      <c r="HT2038" s="73"/>
      <c r="HU2038" s="73"/>
      <c r="HV2038" s="73"/>
      <c r="HW2038" s="73"/>
      <c r="HX2038" s="73"/>
      <c r="HY2038" s="73"/>
      <c r="HZ2038" s="73"/>
      <c r="IA2038" s="73"/>
      <c r="IB2038" s="73"/>
      <c r="IC2038" s="73"/>
      <c r="ID2038" s="73"/>
      <c r="IE2038" s="73"/>
      <c r="IF2038" s="73"/>
      <c r="IG2038" s="73"/>
      <c r="IH2038" s="73"/>
      <c r="II2038" s="73"/>
      <c r="IJ2038" s="73"/>
      <c r="IK2038" s="73"/>
      <c r="IL2038" s="73"/>
      <c r="IM2038" s="73"/>
      <c r="IN2038" s="73"/>
      <c r="IO2038" s="73"/>
      <c r="IP2038" s="73"/>
      <c r="IQ2038" s="73"/>
      <c r="IR2038" s="73"/>
      <c r="IS2038" s="73"/>
      <c r="IT2038" s="73"/>
      <c r="IU2038" s="73"/>
      <c r="IV2038" s="73"/>
      <c r="IW2038" s="73"/>
      <c r="IX2038" s="73"/>
      <c r="IY2038" s="73"/>
      <c r="IZ2038" s="73"/>
      <c r="JA2038" s="73"/>
      <c r="JB2038" s="73"/>
      <c r="JC2038" s="73"/>
    </row>
    <row r="2039" spans="2:263" s="72" customFormat="1">
      <c r="B2039" s="73"/>
      <c r="C2039" s="73"/>
      <c r="D2039" s="73"/>
      <c r="E2039" s="73"/>
      <c r="F2039" s="73"/>
      <c r="G2039" s="73"/>
      <c r="H2039" s="73"/>
      <c r="I2039" s="73"/>
      <c r="J2039" s="73"/>
      <c r="K2039" s="73"/>
      <c r="L2039" s="73"/>
      <c r="M2039" s="73"/>
      <c r="N2039" s="73"/>
      <c r="O2039" s="73"/>
      <c r="P2039" s="73"/>
      <c r="Q2039" s="73"/>
      <c r="R2039" s="73"/>
      <c r="S2039" s="73"/>
      <c r="T2039" s="73"/>
      <c r="U2039" s="73"/>
      <c r="V2039" s="73"/>
      <c r="W2039" s="73"/>
      <c r="GL2039" s="73"/>
      <c r="GM2039" s="73"/>
      <c r="GN2039" s="73"/>
      <c r="GO2039" s="73"/>
      <c r="GP2039" s="73"/>
      <c r="GQ2039" s="73"/>
      <c r="GR2039" s="73"/>
      <c r="GS2039" s="73"/>
      <c r="GT2039" s="73"/>
      <c r="GU2039" s="73"/>
      <c r="GV2039" s="73"/>
      <c r="GW2039" s="73"/>
      <c r="GX2039" s="73"/>
      <c r="GY2039" s="73"/>
      <c r="GZ2039" s="73"/>
      <c r="HA2039" s="73"/>
      <c r="HB2039" s="73"/>
      <c r="HC2039" s="73"/>
      <c r="HD2039" s="73"/>
      <c r="HE2039" s="73"/>
      <c r="HF2039" s="73"/>
      <c r="HG2039" s="73"/>
      <c r="HH2039" s="73"/>
      <c r="HI2039" s="73"/>
      <c r="HJ2039" s="73"/>
      <c r="HK2039" s="73"/>
      <c r="HL2039" s="73"/>
      <c r="HM2039" s="73"/>
      <c r="HN2039" s="73"/>
      <c r="HO2039" s="73"/>
      <c r="HP2039" s="73"/>
      <c r="HQ2039" s="73"/>
      <c r="HR2039" s="73"/>
      <c r="HS2039" s="73"/>
      <c r="HT2039" s="73"/>
      <c r="HU2039" s="73"/>
      <c r="HV2039" s="73"/>
      <c r="HW2039" s="73"/>
      <c r="HX2039" s="73"/>
      <c r="HY2039" s="73"/>
      <c r="HZ2039" s="73"/>
      <c r="IA2039" s="73"/>
      <c r="IB2039" s="73"/>
      <c r="IC2039" s="73"/>
      <c r="ID2039" s="73"/>
      <c r="IE2039" s="73"/>
      <c r="IF2039" s="73"/>
      <c r="IG2039" s="73"/>
      <c r="IH2039" s="73"/>
      <c r="II2039" s="73"/>
      <c r="IJ2039" s="73"/>
      <c r="IK2039" s="73"/>
      <c r="IL2039" s="73"/>
      <c r="IM2039" s="73"/>
      <c r="IN2039" s="73"/>
      <c r="IO2039" s="73"/>
      <c r="IP2039" s="73"/>
      <c r="IQ2039" s="73"/>
      <c r="IR2039" s="73"/>
      <c r="IS2039" s="73"/>
      <c r="IT2039" s="73"/>
      <c r="IU2039" s="73"/>
      <c r="IV2039" s="73"/>
      <c r="IW2039" s="73"/>
      <c r="IX2039" s="73"/>
      <c r="IY2039" s="73"/>
      <c r="IZ2039" s="73"/>
      <c r="JA2039" s="73"/>
      <c r="JB2039" s="73"/>
      <c r="JC2039" s="73"/>
    </row>
    <row r="2040" spans="2:263" s="72" customFormat="1">
      <c r="B2040" s="73"/>
      <c r="C2040" s="73"/>
      <c r="D2040" s="73"/>
      <c r="E2040" s="73"/>
      <c r="F2040" s="73"/>
      <c r="G2040" s="73"/>
      <c r="H2040" s="73"/>
      <c r="I2040" s="73"/>
      <c r="J2040" s="73"/>
      <c r="K2040" s="73"/>
      <c r="L2040" s="73"/>
      <c r="M2040" s="73"/>
      <c r="N2040" s="73"/>
      <c r="O2040" s="73"/>
      <c r="P2040" s="73"/>
      <c r="Q2040" s="73"/>
      <c r="R2040" s="73"/>
      <c r="S2040" s="73"/>
      <c r="T2040" s="73"/>
      <c r="U2040" s="73"/>
      <c r="V2040" s="73"/>
      <c r="W2040" s="73"/>
      <c r="GL2040" s="73"/>
      <c r="GM2040" s="73"/>
      <c r="GN2040" s="73"/>
      <c r="GO2040" s="73"/>
      <c r="GP2040" s="73"/>
      <c r="GQ2040" s="73"/>
      <c r="GR2040" s="73"/>
      <c r="GS2040" s="73"/>
      <c r="GT2040" s="73"/>
      <c r="GU2040" s="73"/>
      <c r="GV2040" s="73"/>
      <c r="GW2040" s="73"/>
      <c r="GX2040" s="73"/>
      <c r="GY2040" s="73"/>
      <c r="GZ2040" s="73"/>
      <c r="HA2040" s="73"/>
      <c r="HB2040" s="73"/>
      <c r="HC2040" s="73"/>
      <c r="HD2040" s="73"/>
      <c r="HE2040" s="73"/>
      <c r="HF2040" s="73"/>
      <c r="HG2040" s="73"/>
      <c r="HH2040" s="73"/>
      <c r="HI2040" s="73"/>
      <c r="HJ2040" s="73"/>
      <c r="HK2040" s="73"/>
      <c r="HL2040" s="73"/>
      <c r="HM2040" s="73"/>
      <c r="HN2040" s="73"/>
      <c r="HO2040" s="73"/>
      <c r="HP2040" s="73"/>
      <c r="HQ2040" s="73"/>
      <c r="HR2040" s="73"/>
      <c r="HS2040" s="73"/>
      <c r="HT2040" s="73"/>
      <c r="HU2040" s="73"/>
      <c r="HV2040" s="73"/>
      <c r="HW2040" s="73"/>
      <c r="HX2040" s="73"/>
      <c r="HY2040" s="73"/>
      <c r="HZ2040" s="73"/>
      <c r="IA2040" s="73"/>
      <c r="IB2040" s="73"/>
      <c r="IC2040" s="73"/>
      <c r="ID2040" s="73"/>
      <c r="IE2040" s="73"/>
      <c r="IF2040" s="73"/>
      <c r="IG2040" s="73"/>
      <c r="IH2040" s="73"/>
      <c r="II2040" s="73"/>
      <c r="IJ2040" s="73"/>
      <c r="IK2040" s="73"/>
      <c r="IL2040" s="73"/>
      <c r="IM2040" s="73"/>
      <c r="IN2040" s="73"/>
      <c r="IO2040" s="73"/>
      <c r="IP2040" s="73"/>
      <c r="IQ2040" s="73"/>
      <c r="IR2040" s="73"/>
      <c r="IS2040" s="73"/>
      <c r="IT2040" s="73"/>
      <c r="IU2040" s="73"/>
      <c r="IV2040" s="73"/>
      <c r="IW2040" s="73"/>
      <c r="IX2040" s="73"/>
      <c r="IY2040" s="73"/>
      <c r="IZ2040" s="73"/>
      <c r="JA2040" s="73"/>
      <c r="JB2040" s="73"/>
      <c r="JC2040" s="73"/>
    </row>
    <row r="2041" spans="2:263" s="72" customFormat="1">
      <c r="B2041" s="73"/>
      <c r="C2041" s="73"/>
      <c r="D2041" s="73"/>
      <c r="E2041" s="73"/>
      <c r="F2041" s="73"/>
      <c r="G2041" s="73"/>
      <c r="H2041" s="73"/>
      <c r="I2041" s="73"/>
      <c r="J2041" s="73"/>
      <c r="K2041" s="73"/>
      <c r="L2041" s="73"/>
      <c r="M2041" s="73"/>
      <c r="N2041" s="73"/>
      <c r="O2041" s="73"/>
      <c r="P2041" s="73"/>
      <c r="Q2041" s="73"/>
      <c r="R2041" s="73"/>
      <c r="S2041" s="73"/>
      <c r="T2041" s="73"/>
      <c r="U2041" s="73"/>
      <c r="V2041" s="73"/>
      <c r="W2041" s="73"/>
      <c r="GL2041" s="73"/>
      <c r="GM2041" s="73"/>
      <c r="GN2041" s="73"/>
      <c r="GO2041" s="73"/>
      <c r="GP2041" s="73"/>
      <c r="GQ2041" s="73"/>
      <c r="GR2041" s="73"/>
      <c r="GS2041" s="73"/>
      <c r="GT2041" s="73"/>
      <c r="GU2041" s="73"/>
      <c r="GV2041" s="73"/>
      <c r="GW2041" s="73"/>
      <c r="GX2041" s="73"/>
      <c r="GY2041" s="73"/>
      <c r="GZ2041" s="73"/>
      <c r="HA2041" s="73"/>
      <c r="HB2041" s="73"/>
      <c r="HC2041" s="73"/>
      <c r="HD2041" s="73"/>
      <c r="HE2041" s="73"/>
      <c r="HF2041" s="73"/>
      <c r="HG2041" s="73"/>
      <c r="HH2041" s="73"/>
      <c r="HI2041" s="73"/>
      <c r="HJ2041" s="73"/>
      <c r="HK2041" s="73"/>
      <c r="HL2041" s="73"/>
      <c r="HM2041" s="73"/>
      <c r="HN2041" s="73"/>
      <c r="HO2041" s="73"/>
      <c r="HP2041" s="73"/>
      <c r="HQ2041" s="73"/>
      <c r="HR2041" s="73"/>
      <c r="HS2041" s="73"/>
      <c r="HT2041" s="73"/>
      <c r="HU2041" s="73"/>
      <c r="HV2041" s="73"/>
      <c r="HW2041" s="73"/>
      <c r="HX2041" s="73"/>
      <c r="HY2041" s="73"/>
      <c r="HZ2041" s="73"/>
      <c r="IA2041" s="73"/>
      <c r="IB2041" s="73"/>
      <c r="IC2041" s="73"/>
      <c r="ID2041" s="73"/>
      <c r="IE2041" s="73"/>
      <c r="IF2041" s="73"/>
      <c r="IG2041" s="73"/>
      <c r="IH2041" s="73"/>
      <c r="II2041" s="73"/>
      <c r="IJ2041" s="73"/>
      <c r="IK2041" s="73"/>
      <c r="IL2041" s="73"/>
      <c r="IM2041" s="73"/>
      <c r="IN2041" s="73"/>
      <c r="IO2041" s="73"/>
      <c r="IP2041" s="73"/>
      <c r="IQ2041" s="73"/>
      <c r="IR2041" s="73"/>
      <c r="IS2041" s="73"/>
      <c r="IT2041" s="73"/>
      <c r="IU2041" s="73"/>
      <c r="IV2041" s="73"/>
      <c r="IW2041" s="73"/>
      <c r="IX2041" s="73"/>
      <c r="IY2041" s="73"/>
      <c r="IZ2041" s="73"/>
      <c r="JA2041" s="73"/>
      <c r="JB2041" s="73"/>
      <c r="JC2041" s="73"/>
    </row>
    <row r="2042" spans="2:263" s="72" customFormat="1">
      <c r="B2042" s="73"/>
      <c r="C2042" s="73"/>
      <c r="D2042" s="73"/>
      <c r="E2042" s="73"/>
      <c r="F2042" s="73"/>
      <c r="G2042" s="73"/>
      <c r="H2042" s="73"/>
      <c r="I2042" s="73"/>
      <c r="J2042" s="73"/>
      <c r="K2042" s="73"/>
      <c r="L2042" s="73"/>
      <c r="M2042" s="73"/>
      <c r="N2042" s="73"/>
      <c r="O2042" s="73"/>
      <c r="P2042" s="73"/>
      <c r="Q2042" s="73"/>
      <c r="R2042" s="73"/>
      <c r="S2042" s="73"/>
      <c r="T2042" s="73"/>
      <c r="U2042" s="73"/>
      <c r="V2042" s="73"/>
      <c r="W2042" s="73"/>
      <c r="GL2042" s="73"/>
      <c r="GM2042" s="73"/>
      <c r="GN2042" s="73"/>
      <c r="GO2042" s="73"/>
      <c r="GP2042" s="73"/>
      <c r="GQ2042" s="73"/>
      <c r="GR2042" s="73"/>
      <c r="GS2042" s="73"/>
      <c r="GT2042" s="73"/>
      <c r="GU2042" s="73"/>
      <c r="GV2042" s="73"/>
      <c r="GW2042" s="73"/>
      <c r="GX2042" s="73"/>
      <c r="GY2042" s="73"/>
      <c r="GZ2042" s="73"/>
      <c r="HA2042" s="73"/>
      <c r="HB2042" s="73"/>
      <c r="HC2042" s="73"/>
      <c r="HD2042" s="73"/>
      <c r="HE2042" s="73"/>
      <c r="HF2042" s="73"/>
      <c r="HG2042" s="73"/>
      <c r="HH2042" s="73"/>
      <c r="HI2042" s="73"/>
      <c r="HJ2042" s="73"/>
      <c r="HK2042" s="73"/>
      <c r="HL2042" s="73"/>
      <c r="HM2042" s="73"/>
      <c r="HN2042" s="73"/>
      <c r="HO2042" s="73"/>
      <c r="HP2042" s="73"/>
      <c r="HQ2042" s="73"/>
      <c r="HR2042" s="73"/>
      <c r="HS2042" s="73"/>
      <c r="HT2042" s="73"/>
      <c r="HU2042" s="73"/>
      <c r="HV2042" s="73"/>
      <c r="HW2042" s="73"/>
      <c r="HX2042" s="73"/>
      <c r="HY2042" s="73"/>
      <c r="HZ2042" s="73"/>
      <c r="IA2042" s="73"/>
      <c r="IB2042" s="73"/>
      <c r="IC2042" s="73"/>
      <c r="ID2042" s="73"/>
      <c r="IE2042" s="73"/>
      <c r="IF2042" s="73"/>
      <c r="IG2042" s="73"/>
      <c r="IH2042" s="73"/>
      <c r="II2042" s="73"/>
      <c r="IJ2042" s="73"/>
      <c r="IK2042" s="73"/>
      <c r="IL2042" s="73"/>
      <c r="IM2042" s="73"/>
      <c r="IN2042" s="73"/>
      <c r="IO2042" s="73"/>
      <c r="IP2042" s="73"/>
      <c r="IQ2042" s="73"/>
      <c r="IR2042" s="73"/>
      <c r="IS2042" s="73"/>
      <c r="IT2042" s="73"/>
      <c r="IU2042" s="73"/>
      <c r="IV2042" s="73"/>
      <c r="IW2042" s="73"/>
      <c r="IX2042" s="73"/>
      <c r="IY2042" s="73"/>
      <c r="IZ2042" s="73"/>
      <c r="JA2042" s="73"/>
      <c r="JB2042" s="73"/>
      <c r="JC2042" s="73"/>
    </row>
    <row r="2043" spans="2:263" s="72" customFormat="1">
      <c r="B2043" s="73"/>
      <c r="C2043" s="73"/>
      <c r="D2043" s="73"/>
      <c r="E2043" s="73"/>
      <c r="F2043" s="73"/>
      <c r="G2043" s="73"/>
      <c r="H2043" s="73"/>
      <c r="I2043" s="73"/>
      <c r="J2043" s="73"/>
      <c r="K2043" s="73"/>
      <c r="L2043" s="73"/>
      <c r="M2043" s="73"/>
      <c r="N2043" s="73"/>
      <c r="O2043" s="73"/>
      <c r="P2043" s="73"/>
      <c r="Q2043" s="73"/>
      <c r="R2043" s="73"/>
      <c r="S2043" s="73"/>
      <c r="T2043" s="73"/>
      <c r="U2043" s="73"/>
      <c r="V2043" s="73"/>
      <c r="W2043" s="73"/>
      <c r="GL2043" s="73"/>
      <c r="GM2043" s="73"/>
      <c r="GN2043" s="73"/>
      <c r="GO2043" s="73"/>
      <c r="GP2043" s="73"/>
      <c r="GQ2043" s="73"/>
      <c r="GR2043" s="73"/>
      <c r="GS2043" s="73"/>
      <c r="GT2043" s="73"/>
      <c r="GU2043" s="73"/>
      <c r="GV2043" s="73"/>
      <c r="GW2043" s="73"/>
      <c r="GX2043" s="73"/>
      <c r="GY2043" s="73"/>
      <c r="GZ2043" s="73"/>
      <c r="HA2043" s="73"/>
      <c r="HB2043" s="73"/>
      <c r="HC2043" s="73"/>
      <c r="HD2043" s="73"/>
      <c r="HE2043" s="73"/>
      <c r="HF2043" s="73"/>
      <c r="HG2043" s="73"/>
      <c r="HH2043" s="73"/>
      <c r="HI2043" s="73"/>
      <c r="HJ2043" s="73"/>
      <c r="HK2043" s="73"/>
      <c r="HL2043" s="73"/>
      <c r="HM2043" s="73"/>
      <c r="HN2043" s="73"/>
      <c r="HO2043" s="73"/>
      <c r="HP2043" s="73"/>
      <c r="HQ2043" s="73"/>
      <c r="HR2043" s="73"/>
      <c r="HS2043" s="73"/>
      <c r="HT2043" s="73"/>
      <c r="HU2043" s="73"/>
      <c r="HV2043" s="73"/>
      <c r="HW2043" s="73"/>
      <c r="HX2043" s="73"/>
      <c r="HY2043" s="73"/>
      <c r="HZ2043" s="73"/>
      <c r="IA2043" s="73"/>
      <c r="IB2043" s="73"/>
      <c r="IC2043" s="73"/>
      <c r="ID2043" s="73"/>
      <c r="IE2043" s="73"/>
      <c r="IF2043" s="73"/>
      <c r="IG2043" s="73"/>
      <c r="IH2043" s="73"/>
      <c r="II2043" s="73"/>
      <c r="IJ2043" s="73"/>
      <c r="IK2043" s="73"/>
      <c r="IL2043" s="73"/>
      <c r="IM2043" s="73"/>
      <c r="IN2043" s="73"/>
      <c r="IO2043" s="73"/>
      <c r="IP2043" s="73"/>
      <c r="IQ2043" s="73"/>
      <c r="IR2043" s="73"/>
      <c r="IS2043" s="73"/>
      <c r="IT2043" s="73"/>
      <c r="IU2043" s="73"/>
      <c r="IV2043" s="73"/>
      <c r="IW2043" s="73"/>
      <c r="IX2043" s="73"/>
      <c r="IY2043" s="73"/>
      <c r="IZ2043" s="73"/>
      <c r="JA2043" s="73"/>
      <c r="JB2043" s="73"/>
      <c r="JC2043" s="73"/>
    </row>
    <row r="2044" spans="2:263" s="72" customFormat="1">
      <c r="B2044" s="73"/>
      <c r="C2044" s="73"/>
      <c r="D2044" s="73"/>
      <c r="E2044" s="73"/>
      <c r="F2044" s="73"/>
      <c r="G2044" s="73"/>
      <c r="H2044" s="73"/>
      <c r="I2044" s="73"/>
      <c r="J2044" s="73"/>
      <c r="K2044" s="73"/>
      <c r="L2044" s="73"/>
      <c r="M2044" s="73"/>
      <c r="N2044" s="73"/>
      <c r="O2044" s="73"/>
      <c r="P2044" s="73"/>
      <c r="Q2044" s="73"/>
      <c r="R2044" s="73"/>
      <c r="S2044" s="73"/>
      <c r="T2044" s="73"/>
      <c r="U2044" s="73"/>
      <c r="V2044" s="73"/>
      <c r="W2044" s="73"/>
      <c r="GL2044" s="73"/>
      <c r="GM2044" s="73"/>
      <c r="GN2044" s="73"/>
      <c r="GO2044" s="73"/>
      <c r="GP2044" s="73"/>
      <c r="GQ2044" s="73"/>
      <c r="GR2044" s="73"/>
      <c r="GS2044" s="73"/>
      <c r="GT2044" s="73"/>
      <c r="GU2044" s="73"/>
      <c r="GV2044" s="73"/>
      <c r="GW2044" s="73"/>
      <c r="GX2044" s="73"/>
      <c r="GY2044" s="73"/>
      <c r="GZ2044" s="73"/>
      <c r="HA2044" s="73"/>
      <c r="HB2044" s="73"/>
      <c r="HC2044" s="73"/>
      <c r="HD2044" s="73"/>
      <c r="HE2044" s="73"/>
      <c r="HF2044" s="73"/>
      <c r="HG2044" s="73"/>
      <c r="HH2044" s="73"/>
      <c r="HI2044" s="73"/>
      <c r="HJ2044" s="73"/>
      <c r="HK2044" s="73"/>
      <c r="HL2044" s="73"/>
      <c r="HM2044" s="73"/>
      <c r="HN2044" s="73"/>
      <c r="HO2044" s="73"/>
      <c r="HP2044" s="73"/>
      <c r="HQ2044" s="73"/>
      <c r="HR2044" s="73"/>
      <c r="HS2044" s="73"/>
      <c r="HT2044" s="73"/>
      <c r="HU2044" s="73"/>
      <c r="HV2044" s="73"/>
      <c r="HW2044" s="73"/>
      <c r="HX2044" s="73"/>
      <c r="HY2044" s="73"/>
      <c r="HZ2044" s="73"/>
      <c r="IA2044" s="73"/>
      <c r="IB2044" s="73"/>
      <c r="IC2044" s="73"/>
      <c r="ID2044" s="73"/>
      <c r="IE2044" s="73"/>
      <c r="IF2044" s="73"/>
      <c r="IG2044" s="73"/>
      <c r="IH2044" s="73"/>
      <c r="II2044" s="73"/>
      <c r="IJ2044" s="73"/>
      <c r="IK2044" s="73"/>
      <c r="IL2044" s="73"/>
      <c r="IM2044" s="73"/>
      <c r="IN2044" s="73"/>
      <c r="IO2044" s="73"/>
      <c r="IP2044" s="73"/>
      <c r="IQ2044" s="73"/>
      <c r="IR2044" s="73"/>
      <c r="IS2044" s="73"/>
      <c r="IT2044" s="73"/>
      <c r="IU2044" s="73"/>
      <c r="IV2044" s="73"/>
      <c r="IW2044" s="73"/>
      <c r="IX2044" s="73"/>
      <c r="IY2044" s="73"/>
      <c r="IZ2044" s="73"/>
      <c r="JA2044" s="73"/>
      <c r="JB2044" s="73"/>
      <c r="JC2044" s="73"/>
    </row>
    <row r="2045" spans="2:263" s="72" customFormat="1">
      <c r="B2045" s="73"/>
      <c r="C2045" s="73"/>
      <c r="D2045" s="73"/>
      <c r="E2045" s="73"/>
      <c r="F2045" s="73"/>
      <c r="G2045" s="73"/>
      <c r="H2045" s="73"/>
      <c r="I2045" s="73"/>
      <c r="J2045" s="73"/>
      <c r="K2045" s="73"/>
      <c r="L2045" s="73"/>
      <c r="M2045" s="73"/>
      <c r="N2045" s="73"/>
      <c r="O2045" s="73"/>
      <c r="P2045" s="73"/>
      <c r="Q2045" s="73"/>
      <c r="R2045" s="73"/>
      <c r="S2045" s="73"/>
      <c r="T2045" s="73"/>
      <c r="U2045" s="73"/>
      <c r="V2045" s="73"/>
      <c r="W2045" s="73"/>
      <c r="GL2045" s="73"/>
      <c r="GM2045" s="73"/>
      <c r="GN2045" s="73"/>
      <c r="GO2045" s="73"/>
      <c r="GP2045" s="73"/>
      <c r="GQ2045" s="73"/>
      <c r="GR2045" s="73"/>
      <c r="GS2045" s="73"/>
      <c r="GT2045" s="73"/>
      <c r="GU2045" s="73"/>
      <c r="GV2045" s="73"/>
      <c r="GW2045" s="73"/>
      <c r="GX2045" s="73"/>
      <c r="GY2045" s="73"/>
      <c r="GZ2045" s="73"/>
      <c r="HA2045" s="73"/>
      <c r="HB2045" s="73"/>
      <c r="HC2045" s="73"/>
      <c r="HD2045" s="73"/>
      <c r="HE2045" s="73"/>
      <c r="HF2045" s="73"/>
      <c r="HG2045" s="73"/>
      <c r="HH2045" s="73"/>
      <c r="HI2045" s="73"/>
      <c r="HJ2045" s="73"/>
      <c r="HK2045" s="73"/>
      <c r="HL2045" s="73"/>
      <c r="HM2045" s="73"/>
      <c r="HN2045" s="73"/>
      <c r="HO2045" s="73"/>
      <c r="HP2045" s="73"/>
      <c r="HQ2045" s="73"/>
      <c r="HR2045" s="73"/>
      <c r="HS2045" s="73"/>
      <c r="HT2045" s="73"/>
      <c r="HU2045" s="73"/>
      <c r="HV2045" s="73"/>
      <c r="HW2045" s="73"/>
      <c r="HX2045" s="73"/>
      <c r="HY2045" s="73"/>
      <c r="HZ2045" s="73"/>
      <c r="IA2045" s="73"/>
      <c r="IB2045" s="73"/>
      <c r="IC2045" s="73"/>
      <c r="ID2045" s="73"/>
      <c r="IE2045" s="73"/>
      <c r="IF2045" s="73"/>
      <c r="IG2045" s="73"/>
      <c r="IH2045" s="73"/>
      <c r="II2045" s="73"/>
      <c r="IJ2045" s="73"/>
      <c r="IK2045" s="73"/>
      <c r="IL2045" s="73"/>
      <c r="IM2045" s="73"/>
      <c r="IN2045" s="73"/>
      <c r="IO2045" s="73"/>
      <c r="IP2045" s="73"/>
      <c r="IQ2045" s="73"/>
      <c r="IR2045" s="73"/>
      <c r="IS2045" s="73"/>
      <c r="IT2045" s="73"/>
      <c r="IU2045" s="73"/>
      <c r="IV2045" s="73"/>
      <c r="IW2045" s="73"/>
      <c r="IX2045" s="73"/>
      <c r="IY2045" s="73"/>
      <c r="IZ2045" s="73"/>
      <c r="JA2045" s="73"/>
      <c r="JB2045" s="73"/>
      <c r="JC2045" s="73"/>
    </row>
    <row r="2046" spans="2:263" s="72" customFormat="1">
      <c r="B2046" s="73"/>
      <c r="C2046" s="73"/>
      <c r="D2046" s="73"/>
      <c r="E2046" s="73"/>
      <c r="F2046" s="73"/>
      <c r="G2046" s="73"/>
      <c r="H2046" s="73"/>
      <c r="I2046" s="73"/>
      <c r="J2046" s="73"/>
      <c r="K2046" s="73"/>
      <c r="L2046" s="73"/>
      <c r="M2046" s="73"/>
      <c r="N2046" s="73"/>
      <c r="O2046" s="73"/>
      <c r="P2046" s="73"/>
      <c r="Q2046" s="73"/>
      <c r="R2046" s="73"/>
      <c r="S2046" s="73"/>
      <c r="T2046" s="73"/>
      <c r="U2046" s="73"/>
      <c r="V2046" s="73"/>
      <c r="W2046" s="73"/>
      <c r="GL2046" s="73"/>
      <c r="GM2046" s="73"/>
      <c r="GN2046" s="73"/>
      <c r="GO2046" s="73"/>
      <c r="GP2046" s="73"/>
      <c r="GQ2046" s="73"/>
      <c r="GR2046" s="73"/>
      <c r="GS2046" s="73"/>
      <c r="GT2046" s="73"/>
      <c r="GU2046" s="73"/>
      <c r="GV2046" s="73"/>
      <c r="GW2046" s="73"/>
      <c r="GX2046" s="73"/>
      <c r="GY2046" s="73"/>
      <c r="GZ2046" s="73"/>
      <c r="HA2046" s="73"/>
      <c r="HB2046" s="73"/>
      <c r="HC2046" s="73"/>
      <c r="HD2046" s="73"/>
      <c r="HE2046" s="73"/>
      <c r="HF2046" s="73"/>
      <c r="HG2046" s="73"/>
      <c r="HH2046" s="73"/>
      <c r="HI2046" s="73"/>
      <c r="HJ2046" s="73"/>
      <c r="HK2046" s="73"/>
      <c r="HL2046" s="73"/>
      <c r="HM2046" s="73"/>
      <c r="HN2046" s="73"/>
      <c r="HO2046" s="73"/>
      <c r="HP2046" s="73"/>
      <c r="HQ2046" s="73"/>
      <c r="HR2046" s="73"/>
      <c r="HS2046" s="73"/>
      <c r="HT2046" s="73"/>
      <c r="HU2046" s="73"/>
      <c r="HV2046" s="73"/>
      <c r="HW2046" s="73"/>
      <c r="HX2046" s="73"/>
      <c r="HY2046" s="73"/>
      <c r="HZ2046" s="73"/>
      <c r="IA2046" s="73"/>
      <c r="IB2046" s="73"/>
      <c r="IC2046" s="73"/>
      <c r="ID2046" s="73"/>
      <c r="IE2046" s="73"/>
      <c r="IF2046" s="73"/>
      <c r="IG2046" s="73"/>
      <c r="IH2046" s="73"/>
      <c r="II2046" s="73"/>
      <c r="IJ2046" s="73"/>
      <c r="IK2046" s="73"/>
      <c r="IL2046" s="73"/>
      <c r="IM2046" s="73"/>
      <c r="IN2046" s="73"/>
      <c r="IO2046" s="73"/>
      <c r="IP2046" s="73"/>
      <c r="IQ2046" s="73"/>
      <c r="IR2046" s="73"/>
      <c r="IS2046" s="73"/>
      <c r="IT2046" s="73"/>
      <c r="IU2046" s="73"/>
      <c r="IV2046" s="73"/>
      <c r="IW2046" s="73"/>
      <c r="IX2046" s="73"/>
      <c r="IY2046" s="73"/>
      <c r="IZ2046" s="73"/>
      <c r="JA2046" s="73"/>
      <c r="JB2046" s="73"/>
      <c r="JC2046" s="73"/>
    </row>
    <row r="2047" spans="2:263" s="72" customFormat="1">
      <c r="B2047" s="73"/>
      <c r="C2047" s="73"/>
      <c r="D2047" s="73"/>
      <c r="E2047" s="73"/>
      <c r="F2047" s="73"/>
      <c r="G2047" s="73"/>
      <c r="H2047" s="73"/>
      <c r="I2047" s="73"/>
      <c r="J2047" s="73"/>
      <c r="K2047" s="73"/>
      <c r="L2047" s="73"/>
      <c r="M2047" s="73"/>
      <c r="N2047" s="73"/>
      <c r="O2047" s="73"/>
      <c r="P2047" s="73"/>
      <c r="Q2047" s="73"/>
      <c r="R2047" s="73"/>
      <c r="S2047" s="73"/>
      <c r="T2047" s="73"/>
      <c r="U2047" s="73"/>
      <c r="V2047" s="73"/>
      <c r="W2047" s="73"/>
      <c r="GL2047" s="73"/>
      <c r="GM2047" s="73"/>
      <c r="GN2047" s="73"/>
      <c r="GO2047" s="73"/>
      <c r="GP2047" s="73"/>
      <c r="GQ2047" s="73"/>
      <c r="GR2047" s="73"/>
      <c r="GS2047" s="73"/>
      <c r="GT2047" s="73"/>
      <c r="GU2047" s="73"/>
      <c r="GV2047" s="73"/>
      <c r="GW2047" s="73"/>
      <c r="GX2047" s="73"/>
      <c r="GY2047" s="73"/>
      <c r="GZ2047" s="73"/>
      <c r="HA2047" s="73"/>
      <c r="HB2047" s="73"/>
      <c r="HC2047" s="73"/>
      <c r="HD2047" s="73"/>
      <c r="HE2047" s="73"/>
      <c r="HF2047" s="73"/>
      <c r="HG2047" s="73"/>
      <c r="HH2047" s="73"/>
      <c r="HI2047" s="73"/>
      <c r="HJ2047" s="73"/>
      <c r="HK2047" s="73"/>
      <c r="HL2047" s="73"/>
      <c r="HM2047" s="73"/>
      <c r="HN2047" s="73"/>
      <c r="HO2047" s="73"/>
      <c r="HP2047" s="73"/>
      <c r="HQ2047" s="73"/>
      <c r="HR2047" s="73"/>
      <c r="HS2047" s="73"/>
      <c r="HT2047" s="73"/>
      <c r="HU2047" s="73"/>
      <c r="HV2047" s="73"/>
      <c r="HW2047" s="73"/>
      <c r="HX2047" s="73"/>
      <c r="HY2047" s="73"/>
      <c r="HZ2047" s="73"/>
      <c r="IA2047" s="73"/>
      <c r="IB2047" s="73"/>
      <c r="IC2047" s="73"/>
      <c r="ID2047" s="73"/>
      <c r="IE2047" s="73"/>
      <c r="IF2047" s="73"/>
      <c r="IG2047" s="73"/>
      <c r="IH2047" s="73"/>
      <c r="II2047" s="73"/>
      <c r="IJ2047" s="73"/>
      <c r="IK2047" s="73"/>
      <c r="IL2047" s="73"/>
      <c r="IM2047" s="73"/>
      <c r="IN2047" s="73"/>
      <c r="IO2047" s="73"/>
      <c r="IP2047" s="73"/>
      <c r="IQ2047" s="73"/>
      <c r="IR2047" s="73"/>
      <c r="IS2047" s="73"/>
      <c r="IT2047" s="73"/>
      <c r="IU2047" s="73"/>
      <c r="IV2047" s="73"/>
      <c r="IW2047" s="73"/>
      <c r="IX2047" s="73"/>
      <c r="IY2047" s="73"/>
      <c r="IZ2047" s="73"/>
      <c r="JA2047" s="73"/>
      <c r="JB2047" s="73"/>
      <c r="JC2047" s="73"/>
    </row>
    <row r="2048" spans="2:263" s="72" customFormat="1">
      <c r="B2048" s="73"/>
      <c r="C2048" s="73"/>
      <c r="D2048" s="73"/>
      <c r="E2048" s="73"/>
      <c r="F2048" s="73"/>
      <c r="G2048" s="73"/>
      <c r="H2048" s="73"/>
      <c r="I2048" s="73"/>
      <c r="J2048" s="73"/>
      <c r="K2048" s="73"/>
      <c r="L2048" s="73"/>
      <c r="M2048" s="73"/>
      <c r="N2048" s="73"/>
      <c r="O2048" s="73"/>
      <c r="P2048" s="73"/>
      <c r="Q2048" s="73"/>
      <c r="R2048" s="73"/>
      <c r="S2048" s="73"/>
      <c r="T2048" s="73"/>
      <c r="U2048" s="73"/>
      <c r="V2048" s="73"/>
      <c r="W2048" s="73"/>
      <c r="GL2048" s="73"/>
      <c r="GM2048" s="73"/>
      <c r="GN2048" s="73"/>
      <c r="GO2048" s="73"/>
      <c r="GP2048" s="73"/>
      <c r="GQ2048" s="73"/>
      <c r="GR2048" s="73"/>
      <c r="GS2048" s="73"/>
      <c r="GT2048" s="73"/>
      <c r="GU2048" s="73"/>
      <c r="GV2048" s="73"/>
      <c r="GW2048" s="73"/>
      <c r="GX2048" s="73"/>
      <c r="GY2048" s="73"/>
      <c r="GZ2048" s="73"/>
      <c r="HA2048" s="73"/>
      <c r="HB2048" s="73"/>
      <c r="HC2048" s="73"/>
      <c r="HD2048" s="73"/>
      <c r="HE2048" s="73"/>
      <c r="HF2048" s="73"/>
      <c r="HG2048" s="73"/>
      <c r="HH2048" s="73"/>
      <c r="HI2048" s="73"/>
      <c r="HJ2048" s="73"/>
      <c r="HK2048" s="73"/>
      <c r="HL2048" s="73"/>
      <c r="HM2048" s="73"/>
      <c r="HN2048" s="73"/>
      <c r="HO2048" s="73"/>
      <c r="HP2048" s="73"/>
      <c r="HQ2048" s="73"/>
      <c r="HR2048" s="73"/>
      <c r="HS2048" s="73"/>
      <c r="HT2048" s="73"/>
      <c r="HU2048" s="73"/>
      <c r="HV2048" s="73"/>
      <c r="HW2048" s="73"/>
      <c r="HX2048" s="73"/>
      <c r="HY2048" s="73"/>
      <c r="HZ2048" s="73"/>
      <c r="IA2048" s="73"/>
      <c r="IB2048" s="73"/>
      <c r="IC2048" s="73"/>
      <c r="ID2048" s="73"/>
      <c r="IE2048" s="73"/>
      <c r="IF2048" s="73"/>
      <c r="IG2048" s="73"/>
      <c r="IH2048" s="73"/>
      <c r="II2048" s="73"/>
      <c r="IJ2048" s="73"/>
      <c r="IK2048" s="73"/>
      <c r="IL2048" s="73"/>
      <c r="IM2048" s="73"/>
      <c r="IN2048" s="73"/>
      <c r="IO2048" s="73"/>
      <c r="IP2048" s="73"/>
      <c r="IQ2048" s="73"/>
      <c r="IR2048" s="73"/>
      <c r="IS2048" s="73"/>
      <c r="IT2048" s="73"/>
      <c r="IU2048" s="73"/>
      <c r="IV2048" s="73"/>
      <c r="IW2048" s="73"/>
      <c r="IX2048" s="73"/>
      <c r="IY2048" s="73"/>
      <c r="IZ2048" s="73"/>
      <c r="JA2048" s="73"/>
      <c r="JB2048" s="73"/>
      <c r="JC2048" s="73"/>
    </row>
    <row r="2049" spans="2:263" s="72" customFormat="1">
      <c r="B2049" s="73"/>
      <c r="C2049" s="73"/>
      <c r="D2049" s="73"/>
      <c r="E2049" s="73"/>
      <c r="F2049" s="73"/>
      <c r="G2049" s="73"/>
      <c r="H2049" s="73"/>
      <c r="I2049" s="73"/>
      <c r="J2049" s="73"/>
      <c r="K2049" s="73"/>
      <c r="L2049" s="73"/>
      <c r="M2049" s="73"/>
      <c r="N2049" s="73"/>
      <c r="O2049" s="73"/>
      <c r="P2049" s="73"/>
      <c r="Q2049" s="73"/>
      <c r="R2049" s="73"/>
      <c r="S2049" s="73"/>
      <c r="T2049" s="73"/>
      <c r="U2049" s="73"/>
      <c r="V2049" s="73"/>
      <c r="W2049" s="73"/>
      <c r="GL2049" s="73"/>
      <c r="GM2049" s="73"/>
      <c r="GN2049" s="73"/>
      <c r="GO2049" s="73"/>
      <c r="GP2049" s="73"/>
      <c r="GQ2049" s="73"/>
      <c r="GR2049" s="73"/>
      <c r="GS2049" s="73"/>
      <c r="GT2049" s="73"/>
      <c r="GU2049" s="73"/>
      <c r="GV2049" s="73"/>
      <c r="GW2049" s="73"/>
      <c r="GX2049" s="73"/>
      <c r="GY2049" s="73"/>
      <c r="GZ2049" s="73"/>
      <c r="HA2049" s="73"/>
      <c r="HB2049" s="73"/>
      <c r="HC2049" s="73"/>
      <c r="HD2049" s="73"/>
      <c r="HE2049" s="73"/>
      <c r="HF2049" s="73"/>
      <c r="HG2049" s="73"/>
      <c r="HH2049" s="73"/>
      <c r="HI2049" s="73"/>
      <c r="HJ2049" s="73"/>
      <c r="HK2049" s="73"/>
      <c r="HL2049" s="73"/>
      <c r="HM2049" s="73"/>
      <c r="HN2049" s="73"/>
      <c r="HO2049" s="73"/>
      <c r="HP2049" s="73"/>
      <c r="HQ2049" s="73"/>
      <c r="HR2049" s="73"/>
      <c r="HS2049" s="73"/>
      <c r="HT2049" s="73"/>
      <c r="HU2049" s="73"/>
      <c r="HV2049" s="73"/>
      <c r="HW2049" s="73"/>
      <c r="HX2049" s="73"/>
      <c r="HY2049" s="73"/>
      <c r="HZ2049" s="73"/>
      <c r="IA2049" s="73"/>
      <c r="IB2049" s="73"/>
      <c r="IC2049" s="73"/>
      <c r="ID2049" s="73"/>
      <c r="IE2049" s="73"/>
      <c r="IF2049" s="73"/>
      <c r="IG2049" s="73"/>
      <c r="IH2049" s="73"/>
      <c r="II2049" s="73"/>
      <c r="IJ2049" s="73"/>
      <c r="IK2049" s="73"/>
      <c r="IL2049" s="73"/>
      <c r="IM2049" s="73"/>
      <c r="IN2049" s="73"/>
      <c r="IO2049" s="73"/>
      <c r="IP2049" s="73"/>
      <c r="IQ2049" s="73"/>
      <c r="IR2049" s="73"/>
      <c r="IS2049" s="73"/>
      <c r="IT2049" s="73"/>
      <c r="IU2049" s="73"/>
      <c r="IV2049" s="73"/>
      <c r="IW2049" s="73"/>
      <c r="IX2049" s="73"/>
      <c r="IY2049" s="73"/>
      <c r="IZ2049" s="73"/>
      <c r="JA2049" s="73"/>
      <c r="JB2049" s="73"/>
      <c r="JC2049" s="73"/>
    </row>
    <row r="2050" spans="2:263" s="72" customFormat="1">
      <c r="B2050" s="73"/>
      <c r="C2050" s="73"/>
      <c r="D2050" s="73"/>
      <c r="E2050" s="73"/>
      <c r="F2050" s="73"/>
      <c r="G2050" s="73"/>
      <c r="H2050" s="73"/>
      <c r="I2050" s="73"/>
      <c r="J2050" s="73"/>
      <c r="K2050" s="73"/>
      <c r="L2050" s="73"/>
      <c r="M2050" s="73"/>
      <c r="N2050" s="73"/>
      <c r="O2050" s="73"/>
      <c r="P2050" s="73"/>
      <c r="Q2050" s="73"/>
      <c r="R2050" s="73"/>
      <c r="S2050" s="73"/>
      <c r="T2050" s="73"/>
      <c r="U2050" s="73"/>
      <c r="V2050" s="73"/>
      <c r="W2050" s="73"/>
      <c r="GL2050" s="73"/>
      <c r="GM2050" s="73"/>
      <c r="GN2050" s="73"/>
      <c r="GO2050" s="73"/>
      <c r="GP2050" s="73"/>
      <c r="GQ2050" s="73"/>
      <c r="GR2050" s="73"/>
      <c r="GS2050" s="73"/>
      <c r="GT2050" s="73"/>
      <c r="GU2050" s="73"/>
      <c r="GV2050" s="73"/>
      <c r="GW2050" s="73"/>
      <c r="GX2050" s="73"/>
      <c r="GY2050" s="73"/>
      <c r="GZ2050" s="73"/>
      <c r="HA2050" s="73"/>
      <c r="HB2050" s="73"/>
      <c r="HC2050" s="73"/>
      <c r="HD2050" s="73"/>
      <c r="HE2050" s="73"/>
      <c r="HF2050" s="73"/>
      <c r="HG2050" s="73"/>
      <c r="HH2050" s="73"/>
      <c r="HI2050" s="73"/>
      <c r="HJ2050" s="73"/>
      <c r="HK2050" s="73"/>
      <c r="HL2050" s="73"/>
      <c r="HM2050" s="73"/>
      <c r="HN2050" s="73"/>
      <c r="HO2050" s="73"/>
      <c r="HP2050" s="73"/>
      <c r="HQ2050" s="73"/>
      <c r="HR2050" s="73"/>
      <c r="HS2050" s="73"/>
      <c r="HT2050" s="73"/>
      <c r="HU2050" s="73"/>
      <c r="HV2050" s="73"/>
      <c r="HW2050" s="73"/>
      <c r="HX2050" s="73"/>
      <c r="HY2050" s="73"/>
      <c r="HZ2050" s="73"/>
      <c r="IA2050" s="73"/>
      <c r="IB2050" s="73"/>
      <c r="IC2050" s="73"/>
      <c r="ID2050" s="73"/>
      <c r="IE2050" s="73"/>
      <c r="IF2050" s="73"/>
      <c r="IG2050" s="73"/>
      <c r="IH2050" s="73"/>
      <c r="II2050" s="73"/>
      <c r="IJ2050" s="73"/>
      <c r="IK2050" s="73"/>
      <c r="IL2050" s="73"/>
      <c r="IM2050" s="73"/>
      <c r="IN2050" s="73"/>
      <c r="IO2050" s="73"/>
      <c r="IP2050" s="73"/>
      <c r="IQ2050" s="73"/>
      <c r="IR2050" s="73"/>
      <c r="IS2050" s="73"/>
      <c r="IT2050" s="73"/>
      <c r="IU2050" s="73"/>
      <c r="IV2050" s="73"/>
      <c r="IW2050" s="73"/>
      <c r="IX2050" s="73"/>
      <c r="IY2050" s="73"/>
      <c r="IZ2050" s="73"/>
      <c r="JA2050" s="73"/>
      <c r="JB2050" s="73"/>
      <c r="JC2050" s="73"/>
    </row>
    <row r="2051" spans="2:263" s="72" customFormat="1">
      <c r="B2051" s="73"/>
      <c r="C2051" s="73"/>
      <c r="D2051" s="73"/>
      <c r="E2051" s="73"/>
      <c r="F2051" s="73"/>
      <c r="G2051" s="73"/>
      <c r="H2051" s="73"/>
      <c r="I2051" s="73"/>
      <c r="J2051" s="73"/>
      <c r="K2051" s="73"/>
      <c r="L2051" s="73"/>
      <c r="M2051" s="73"/>
      <c r="N2051" s="73"/>
      <c r="O2051" s="73"/>
      <c r="P2051" s="73"/>
      <c r="Q2051" s="73"/>
      <c r="R2051" s="73"/>
      <c r="S2051" s="73"/>
      <c r="T2051" s="73"/>
      <c r="U2051" s="73"/>
      <c r="V2051" s="73"/>
      <c r="W2051" s="73"/>
      <c r="GL2051" s="73"/>
      <c r="GM2051" s="73"/>
      <c r="GN2051" s="73"/>
      <c r="GO2051" s="73"/>
      <c r="GP2051" s="73"/>
      <c r="GQ2051" s="73"/>
      <c r="GR2051" s="73"/>
      <c r="GS2051" s="73"/>
      <c r="GT2051" s="73"/>
      <c r="GU2051" s="73"/>
      <c r="GV2051" s="73"/>
      <c r="GW2051" s="73"/>
      <c r="GX2051" s="73"/>
      <c r="GY2051" s="73"/>
      <c r="GZ2051" s="73"/>
      <c r="HA2051" s="73"/>
      <c r="HB2051" s="73"/>
      <c r="HC2051" s="73"/>
      <c r="HD2051" s="73"/>
      <c r="HE2051" s="73"/>
      <c r="HF2051" s="73"/>
      <c r="HG2051" s="73"/>
      <c r="HH2051" s="73"/>
      <c r="HI2051" s="73"/>
      <c r="HJ2051" s="73"/>
      <c r="HK2051" s="73"/>
      <c r="HL2051" s="73"/>
      <c r="HM2051" s="73"/>
      <c r="HN2051" s="73"/>
      <c r="HO2051" s="73"/>
      <c r="HP2051" s="73"/>
      <c r="HQ2051" s="73"/>
      <c r="HR2051" s="73"/>
      <c r="HS2051" s="73"/>
      <c r="HT2051" s="73"/>
      <c r="HU2051" s="73"/>
      <c r="HV2051" s="73"/>
      <c r="HW2051" s="73"/>
      <c r="HX2051" s="73"/>
      <c r="HY2051" s="73"/>
      <c r="HZ2051" s="73"/>
      <c r="IA2051" s="73"/>
      <c r="IB2051" s="73"/>
      <c r="IC2051" s="73"/>
      <c r="ID2051" s="73"/>
      <c r="IE2051" s="73"/>
      <c r="IF2051" s="73"/>
      <c r="IG2051" s="73"/>
      <c r="IH2051" s="73"/>
      <c r="II2051" s="73"/>
      <c r="IJ2051" s="73"/>
      <c r="IK2051" s="73"/>
      <c r="IL2051" s="73"/>
      <c r="IM2051" s="73"/>
      <c r="IN2051" s="73"/>
      <c r="IO2051" s="73"/>
      <c r="IP2051" s="73"/>
      <c r="IQ2051" s="73"/>
      <c r="IR2051" s="73"/>
      <c r="IS2051" s="73"/>
      <c r="IT2051" s="73"/>
      <c r="IU2051" s="73"/>
      <c r="IV2051" s="73"/>
      <c r="IW2051" s="73"/>
      <c r="IX2051" s="73"/>
      <c r="IY2051" s="73"/>
      <c r="IZ2051" s="73"/>
      <c r="JA2051" s="73"/>
      <c r="JB2051" s="73"/>
      <c r="JC2051" s="73"/>
    </row>
    <row r="2052" spans="2:263" s="72" customFormat="1">
      <c r="B2052" s="73"/>
      <c r="C2052" s="73"/>
      <c r="D2052" s="73"/>
      <c r="E2052" s="73"/>
      <c r="F2052" s="73"/>
      <c r="G2052" s="73"/>
      <c r="H2052" s="73"/>
      <c r="I2052" s="73"/>
      <c r="J2052" s="73"/>
      <c r="K2052" s="73"/>
      <c r="L2052" s="73"/>
      <c r="M2052" s="73"/>
      <c r="N2052" s="73"/>
      <c r="O2052" s="73"/>
      <c r="P2052" s="73"/>
      <c r="Q2052" s="73"/>
      <c r="R2052" s="73"/>
      <c r="S2052" s="73"/>
      <c r="T2052" s="73"/>
      <c r="U2052" s="73"/>
      <c r="V2052" s="73"/>
      <c r="W2052" s="73"/>
      <c r="GL2052" s="73"/>
      <c r="GM2052" s="73"/>
      <c r="GN2052" s="73"/>
      <c r="GO2052" s="73"/>
      <c r="GP2052" s="73"/>
      <c r="GQ2052" s="73"/>
      <c r="GR2052" s="73"/>
      <c r="GS2052" s="73"/>
      <c r="GT2052" s="73"/>
      <c r="GU2052" s="73"/>
      <c r="GV2052" s="73"/>
      <c r="GW2052" s="73"/>
      <c r="GX2052" s="73"/>
      <c r="GY2052" s="73"/>
      <c r="GZ2052" s="73"/>
      <c r="HA2052" s="73"/>
      <c r="HB2052" s="73"/>
      <c r="HC2052" s="73"/>
      <c r="HD2052" s="73"/>
      <c r="HE2052" s="73"/>
      <c r="HF2052" s="73"/>
      <c r="HG2052" s="73"/>
      <c r="HH2052" s="73"/>
      <c r="HI2052" s="73"/>
      <c r="HJ2052" s="73"/>
      <c r="HK2052" s="73"/>
      <c r="HL2052" s="73"/>
      <c r="HM2052" s="73"/>
      <c r="HN2052" s="73"/>
      <c r="HO2052" s="73"/>
      <c r="HP2052" s="73"/>
      <c r="HQ2052" s="73"/>
      <c r="HR2052" s="73"/>
      <c r="HS2052" s="73"/>
      <c r="HT2052" s="73"/>
      <c r="HU2052" s="73"/>
      <c r="HV2052" s="73"/>
      <c r="HW2052" s="73"/>
      <c r="HX2052" s="73"/>
      <c r="HY2052" s="73"/>
      <c r="HZ2052" s="73"/>
      <c r="IA2052" s="73"/>
      <c r="IB2052" s="73"/>
      <c r="IC2052" s="73"/>
      <c r="ID2052" s="73"/>
      <c r="IE2052" s="73"/>
      <c r="IF2052" s="73"/>
      <c r="IG2052" s="73"/>
      <c r="IH2052" s="73"/>
      <c r="II2052" s="73"/>
      <c r="IJ2052" s="73"/>
      <c r="IK2052" s="73"/>
      <c r="IL2052" s="73"/>
      <c r="IM2052" s="73"/>
      <c r="IN2052" s="73"/>
      <c r="IO2052" s="73"/>
      <c r="IP2052" s="73"/>
      <c r="IQ2052" s="73"/>
      <c r="IR2052" s="73"/>
      <c r="IS2052" s="73"/>
      <c r="IT2052" s="73"/>
      <c r="IU2052" s="73"/>
      <c r="IV2052" s="73"/>
      <c r="IW2052" s="73"/>
      <c r="IX2052" s="73"/>
      <c r="IY2052" s="73"/>
      <c r="IZ2052" s="73"/>
      <c r="JA2052" s="73"/>
      <c r="JB2052" s="73"/>
      <c r="JC2052" s="73"/>
    </row>
    <row r="2053" spans="2:263" s="72" customFormat="1">
      <c r="B2053" s="73"/>
      <c r="C2053" s="73"/>
      <c r="D2053" s="73"/>
      <c r="E2053" s="73"/>
      <c r="F2053" s="73"/>
      <c r="G2053" s="73"/>
      <c r="H2053" s="73"/>
      <c r="I2053" s="73"/>
      <c r="J2053" s="73"/>
      <c r="K2053" s="73"/>
      <c r="L2053" s="73"/>
      <c r="M2053" s="73"/>
      <c r="N2053" s="73"/>
      <c r="O2053" s="73"/>
      <c r="P2053" s="73"/>
      <c r="Q2053" s="73"/>
      <c r="R2053" s="73"/>
      <c r="S2053" s="73"/>
      <c r="T2053" s="73"/>
      <c r="U2053" s="73"/>
      <c r="V2053" s="73"/>
      <c r="W2053" s="73"/>
      <c r="GL2053" s="73"/>
      <c r="GM2053" s="73"/>
      <c r="GN2053" s="73"/>
      <c r="GO2053" s="73"/>
      <c r="GP2053" s="73"/>
      <c r="GQ2053" s="73"/>
      <c r="GR2053" s="73"/>
      <c r="GS2053" s="73"/>
      <c r="GT2053" s="73"/>
      <c r="GU2053" s="73"/>
      <c r="GV2053" s="73"/>
      <c r="GW2053" s="73"/>
      <c r="GX2053" s="73"/>
      <c r="GY2053" s="73"/>
      <c r="GZ2053" s="73"/>
      <c r="HA2053" s="73"/>
      <c r="HB2053" s="73"/>
      <c r="HC2053" s="73"/>
      <c r="HD2053" s="73"/>
      <c r="HE2053" s="73"/>
      <c r="HF2053" s="73"/>
      <c r="HG2053" s="73"/>
      <c r="HH2053" s="73"/>
      <c r="HI2053" s="73"/>
      <c r="HJ2053" s="73"/>
      <c r="HK2053" s="73"/>
      <c r="HL2053" s="73"/>
      <c r="HM2053" s="73"/>
      <c r="HN2053" s="73"/>
      <c r="HO2053" s="73"/>
      <c r="HP2053" s="73"/>
      <c r="HQ2053" s="73"/>
      <c r="HR2053" s="73"/>
      <c r="HS2053" s="73"/>
      <c r="HT2053" s="73"/>
      <c r="HU2053" s="73"/>
      <c r="HV2053" s="73"/>
      <c r="HW2053" s="73"/>
      <c r="HX2053" s="73"/>
      <c r="HY2053" s="73"/>
      <c r="HZ2053" s="73"/>
      <c r="IA2053" s="73"/>
      <c r="IB2053" s="73"/>
      <c r="IC2053" s="73"/>
      <c r="ID2053" s="73"/>
      <c r="IE2053" s="73"/>
      <c r="IF2053" s="73"/>
      <c r="IG2053" s="73"/>
      <c r="IH2053" s="73"/>
      <c r="II2053" s="73"/>
      <c r="IJ2053" s="73"/>
      <c r="IK2053" s="73"/>
      <c r="IL2053" s="73"/>
      <c r="IM2053" s="73"/>
      <c r="IN2053" s="73"/>
      <c r="IO2053" s="73"/>
      <c r="IP2053" s="73"/>
      <c r="IQ2053" s="73"/>
      <c r="IR2053" s="73"/>
      <c r="IS2053" s="73"/>
      <c r="IT2053" s="73"/>
      <c r="IU2053" s="73"/>
      <c r="IV2053" s="73"/>
      <c r="IW2053" s="73"/>
      <c r="IX2053" s="73"/>
      <c r="IY2053" s="73"/>
      <c r="IZ2053" s="73"/>
      <c r="JA2053" s="73"/>
      <c r="JB2053" s="73"/>
      <c r="JC2053" s="73"/>
    </row>
    <row r="2054" spans="2:263" s="72" customFormat="1">
      <c r="B2054" s="73"/>
      <c r="C2054" s="73"/>
      <c r="D2054" s="73"/>
      <c r="E2054" s="73"/>
      <c r="F2054" s="73"/>
      <c r="G2054" s="73"/>
      <c r="H2054" s="73"/>
      <c r="I2054" s="73"/>
      <c r="J2054" s="73"/>
      <c r="K2054" s="73"/>
      <c r="L2054" s="73"/>
      <c r="M2054" s="73"/>
      <c r="N2054" s="73"/>
      <c r="O2054" s="73"/>
      <c r="P2054" s="73"/>
      <c r="Q2054" s="73"/>
      <c r="R2054" s="73"/>
      <c r="S2054" s="73"/>
      <c r="T2054" s="73"/>
      <c r="U2054" s="73"/>
      <c r="V2054" s="73"/>
      <c r="W2054" s="73"/>
      <c r="GL2054" s="73"/>
      <c r="GM2054" s="73"/>
      <c r="GN2054" s="73"/>
      <c r="GO2054" s="73"/>
      <c r="GP2054" s="73"/>
      <c r="GQ2054" s="73"/>
      <c r="GR2054" s="73"/>
      <c r="GS2054" s="73"/>
      <c r="GT2054" s="73"/>
      <c r="GU2054" s="73"/>
      <c r="GV2054" s="73"/>
      <c r="GW2054" s="73"/>
      <c r="GX2054" s="73"/>
      <c r="GY2054" s="73"/>
      <c r="GZ2054" s="73"/>
      <c r="HA2054" s="73"/>
      <c r="HB2054" s="73"/>
      <c r="HC2054" s="73"/>
      <c r="HD2054" s="73"/>
      <c r="HE2054" s="73"/>
      <c r="HF2054" s="73"/>
      <c r="HG2054" s="73"/>
      <c r="HH2054" s="73"/>
      <c r="HI2054" s="73"/>
      <c r="HJ2054" s="73"/>
      <c r="HK2054" s="73"/>
      <c r="HL2054" s="73"/>
      <c r="HM2054" s="73"/>
      <c r="HN2054" s="73"/>
      <c r="HO2054" s="73"/>
      <c r="HP2054" s="73"/>
      <c r="HQ2054" s="73"/>
      <c r="HR2054" s="73"/>
      <c r="HS2054" s="73"/>
      <c r="HT2054" s="73"/>
      <c r="HU2054" s="73"/>
      <c r="HV2054" s="73"/>
      <c r="HW2054" s="73"/>
      <c r="HX2054" s="73"/>
      <c r="HY2054" s="73"/>
      <c r="HZ2054" s="73"/>
      <c r="IA2054" s="73"/>
      <c r="IB2054" s="73"/>
      <c r="IC2054" s="73"/>
      <c r="ID2054" s="73"/>
      <c r="IE2054" s="73"/>
      <c r="IF2054" s="73"/>
      <c r="IG2054" s="73"/>
      <c r="IH2054" s="73"/>
      <c r="II2054" s="73"/>
      <c r="IJ2054" s="73"/>
      <c r="IK2054" s="73"/>
      <c r="IL2054" s="73"/>
      <c r="IM2054" s="73"/>
      <c r="IN2054" s="73"/>
      <c r="IO2054" s="73"/>
      <c r="IP2054" s="73"/>
      <c r="IQ2054" s="73"/>
      <c r="IR2054" s="73"/>
      <c r="IS2054" s="73"/>
      <c r="IT2054" s="73"/>
      <c r="IU2054" s="73"/>
      <c r="IV2054" s="73"/>
      <c r="IW2054" s="73"/>
      <c r="IX2054" s="73"/>
      <c r="IY2054" s="73"/>
      <c r="IZ2054" s="73"/>
      <c r="JA2054" s="73"/>
      <c r="JB2054" s="73"/>
      <c r="JC2054" s="73"/>
    </row>
    <row r="2055" spans="2:263" s="72" customFormat="1">
      <c r="B2055" s="73"/>
      <c r="C2055" s="73"/>
      <c r="D2055" s="73"/>
      <c r="E2055" s="73"/>
      <c r="F2055" s="73"/>
      <c r="G2055" s="73"/>
      <c r="H2055" s="73"/>
      <c r="I2055" s="73"/>
      <c r="J2055" s="73"/>
      <c r="K2055" s="73"/>
      <c r="L2055" s="73"/>
      <c r="M2055" s="73"/>
      <c r="N2055" s="73"/>
      <c r="O2055" s="73"/>
      <c r="P2055" s="73"/>
      <c r="Q2055" s="73"/>
      <c r="R2055" s="73"/>
      <c r="S2055" s="73"/>
      <c r="T2055" s="73"/>
      <c r="U2055" s="73"/>
      <c r="V2055" s="73"/>
      <c r="W2055" s="73"/>
      <c r="GL2055" s="73"/>
      <c r="GM2055" s="73"/>
      <c r="GN2055" s="73"/>
      <c r="GO2055" s="73"/>
      <c r="GP2055" s="73"/>
      <c r="GQ2055" s="73"/>
      <c r="GR2055" s="73"/>
      <c r="GS2055" s="73"/>
      <c r="GT2055" s="73"/>
      <c r="GU2055" s="73"/>
      <c r="GV2055" s="73"/>
      <c r="GW2055" s="73"/>
      <c r="GX2055" s="73"/>
      <c r="GY2055" s="73"/>
      <c r="GZ2055" s="73"/>
      <c r="HA2055" s="73"/>
      <c r="HB2055" s="73"/>
      <c r="HC2055" s="73"/>
      <c r="HD2055" s="73"/>
      <c r="HE2055" s="73"/>
      <c r="HF2055" s="73"/>
      <c r="HG2055" s="73"/>
      <c r="HH2055" s="73"/>
      <c r="HI2055" s="73"/>
      <c r="HJ2055" s="73"/>
      <c r="HK2055" s="73"/>
      <c r="HL2055" s="73"/>
      <c r="HM2055" s="73"/>
      <c r="HN2055" s="73"/>
      <c r="HO2055" s="73"/>
      <c r="HP2055" s="73"/>
      <c r="HQ2055" s="73"/>
      <c r="HR2055" s="73"/>
      <c r="HS2055" s="73"/>
      <c r="HT2055" s="73"/>
      <c r="HU2055" s="73"/>
      <c r="HV2055" s="73"/>
      <c r="HW2055" s="73"/>
      <c r="HX2055" s="73"/>
      <c r="HY2055" s="73"/>
      <c r="HZ2055" s="73"/>
      <c r="IA2055" s="73"/>
      <c r="IB2055" s="73"/>
      <c r="IC2055" s="73"/>
      <c r="ID2055" s="73"/>
      <c r="IE2055" s="73"/>
      <c r="IF2055" s="73"/>
      <c r="IG2055" s="73"/>
      <c r="IH2055" s="73"/>
      <c r="II2055" s="73"/>
      <c r="IJ2055" s="73"/>
      <c r="IK2055" s="73"/>
      <c r="IL2055" s="73"/>
      <c r="IM2055" s="73"/>
      <c r="IN2055" s="73"/>
      <c r="IO2055" s="73"/>
      <c r="IP2055" s="73"/>
      <c r="IQ2055" s="73"/>
      <c r="IR2055" s="73"/>
      <c r="IS2055" s="73"/>
      <c r="IT2055" s="73"/>
      <c r="IU2055" s="73"/>
      <c r="IV2055" s="73"/>
      <c r="IW2055" s="73"/>
      <c r="IX2055" s="73"/>
      <c r="IY2055" s="73"/>
      <c r="IZ2055" s="73"/>
      <c r="JA2055" s="73"/>
      <c r="JB2055" s="73"/>
      <c r="JC2055" s="73"/>
    </row>
    <row r="2056" spans="2:263" s="72" customFormat="1">
      <c r="B2056" s="73"/>
      <c r="C2056" s="73"/>
      <c r="D2056" s="73"/>
      <c r="E2056" s="73"/>
      <c r="F2056" s="73"/>
      <c r="G2056" s="73"/>
      <c r="H2056" s="73"/>
      <c r="I2056" s="73"/>
      <c r="J2056" s="73"/>
      <c r="K2056" s="73"/>
      <c r="L2056" s="73"/>
      <c r="M2056" s="73"/>
      <c r="N2056" s="73"/>
      <c r="O2056" s="73"/>
      <c r="P2056" s="73"/>
      <c r="Q2056" s="73"/>
      <c r="R2056" s="73"/>
      <c r="S2056" s="73"/>
      <c r="T2056" s="73"/>
      <c r="U2056" s="73"/>
      <c r="V2056" s="73"/>
      <c r="W2056" s="73"/>
      <c r="GL2056" s="73"/>
      <c r="GM2056" s="73"/>
      <c r="GN2056" s="73"/>
      <c r="GO2056" s="73"/>
      <c r="GP2056" s="73"/>
      <c r="GQ2056" s="73"/>
      <c r="GR2056" s="73"/>
      <c r="GS2056" s="73"/>
      <c r="GT2056" s="73"/>
      <c r="GU2056" s="73"/>
      <c r="GV2056" s="73"/>
      <c r="GW2056" s="73"/>
      <c r="GX2056" s="73"/>
      <c r="GY2056" s="73"/>
      <c r="GZ2056" s="73"/>
      <c r="HA2056" s="73"/>
      <c r="HB2056" s="73"/>
      <c r="HC2056" s="73"/>
      <c r="HD2056" s="73"/>
      <c r="HE2056" s="73"/>
      <c r="HF2056" s="73"/>
      <c r="HG2056" s="73"/>
      <c r="HH2056" s="73"/>
      <c r="HI2056" s="73"/>
      <c r="HJ2056" s="73"/>
      <c r="HK2056" s="73"/>
      <c r="HL2056" s="73"/>
      <c r="HM2056" s="73"/>
      <c r="HN2056" s="73"/>
      <c r="HO2056" s="73"/>
      <c r="HP2056" s="73"/>
      <c r="HQ2056" s="73"/>
      <c r="HR2056" s="73"/>
      <c r="HS2056" s="73"/>
      <c r="HT2056" s="73"/>
      <c r="HU2056" s="73"/>
      <c r="HV2056" s="73"/>
      <c r="HW2056" s="73"/>
      <c r="HX2056" s="73"/>
      <c r="HY2056" s="73"/>
      <c r="HZ2056" s="73"/>
      <c r="IA2056" s="73"/>
      <c r="IB2056" s="73"/>
      <c r="IC2056" s="73"/>
      <c r="ID2056" s="73"/>
      <c r="IE2056" s="73"/>
      <c r="IF2056" s="73"/>
      <c r="IG2056" s="73"/>
      <c r="IH2056" s="73"/>
      <c r="II2056" s="73"/>
      <c r="IJ2056" s="73"/>
      <c r="IK2056" s="73"/>
      <c r="IL2056" s="73"/>
      <c r="IM2056" s="73"/>
      <c r="IN2056" s="73"/>
      <c r="IO2056" s="73"/>
      <c r="IP2056" s="73"/>
      <c r="IQ2056" s="73"/>
      <c r="IR2056" s="73"/>
      <c r="IS2056" s="73"/>
      <c r="IT2056" s="73"/>
      <c r="IU2056" s="73"/>
      <c r="IV2056" s="73"/>
      <c r="IW2056" s="73"/>
      <c r="IX2056" s="73"/>
      <c r="IY2056" s="73"/>
      <c r="IZ2056" s="73"/>
      <c r="JA2056" s="73"/>
      <c r="JB2056" s="73"/>
      <c r="JC2056" s="73"/>
    </row>
    <row r="2057" spans="2:263" s="72" customFormat="1">
      <c r="B2057" s="73"/>
      <c r="C2057" s="73"/>
      <c r="D2057" s="73"/>
      <c r="E2057" s="73"/>
      <c r="F2057" s="73"/>
      <c r="G2057" s="73"/>
      <c r="H2057" s="73"/>
      <c r="I2057" s="73"/>
      <c r="J2057" s="73"/>
      <c r="K2057" s="73"/>
      <c r="L2057" s="73"/>
      <c r="M2057" s="73"/>
      <c r="N2057" s="73"/>
      <c r="O2057" s="73"/>
      <c r="P2057" s="73"/>
      <c r="Q2057" s="73"/>
      <c r="R2057" s="73"/>
      <c r="S2057" s="73"/>
      <c r="T2057" s="73"/>
      <c r="U2057" s="73"/>
      <c r="V2057" s="73"/>
      <c r="W2057" s="73"/>
      <c r="GL2057" s="73"/>
      <c r="GM2057" s="73"/>
      <c r="GN2057" s="73"/>
      <c r="GO2057" s="73"/>
      <c r="GP2057" s="73"/>
      <c r="GQ2057" s="73"/>
      <c r="GR2057" s="73"/>
      <c r="GS2057" s="73"/>
      <c r="GT2057" s="73"/>
      <c r="GU2057" s="73"/>
      <c r="GV2057" s="73"/>
      <c r="GW2057" s="73"/>
      <c r="GX2057" s="73"/>
      <c r="GY2057" s="73"/>
      <c r="GZ2057" s="73"/>
      <c r="HA2057" s="73"/>
      <c r="HB2057" s="73"/>
      <c r="HC2057" s="73"/>
      <c r="HD2057" s="73"/>
      <c r="HE2057" s="73"/>
      <c r="HF2057" s="73"/>
      <c r="HG2057" s="73"/>
      <c r="HH2057" s="73"/>
      <c r="HI2057" s="73"/>
      <c r="HJ2057" s="73"/>
      <c r="HK2057" s="73"/>
      <c r="HL2057" s="73"/>
      <c r="HM2057" s="73"/>
      <c r="HN2057" s="73"/>
      <c r="HO2057" s="73"/>
      <c r="HP2057" s="73"/>
      <c r="HQ2057" s="73"/>
      <c r="HR2057" s="73"/>
      <c r="HS2057" s="73"/>
      <c r="HT2057" s="73"/>
      <c r="HU2057" s="73"/>
      <c r="HV2057" s="73"/>
      <c r="HW2057" s="73"/>
      <c r="HX2057" s="73"/>
      <c r="HY2057" s="73"/>
      <c r="HZ2057" s="73"/>
      <c r="IA2057" s="73"/>
      <c r="IB2057" s="73"/>
      <c r="IC2057" s="73"/>
      <c r="ID2057" s="73"/>
      <c r="IE2057" s="73"/>
      <c r="IF2057" s="73"/>
      <c r="IG2057" s="73"/>
      <c r="IH2057" s="73"/>
      <c r="II2057" s="73"/>
      <c r="IJ2057" s="73"/>
      <c r="IK2057" s="73"/>
      <c r="IL2057" s="73"/>
      <c r="IM2057" s="73"/>
      <c r="IN2057" s="73"/>
      <c r="IO2057" s="73"/>
      <c r="IP2057" s="73"/>
      <c r="IQ2057" s="73"/>
      <c r="IR2057" s="73"/>
      <c r="IS2057" s="73"/>
      <c r="IT2057" s="73"/>
      <c r="IU2057" s="73"/>
      <c r="IV2057" s="73"/>
      <c r="IW2057" s="73"/>
      <c r="IX2057" s="73"/>
      <c r="IY2057" s="73"/>
      <c r="IZ2057" s="73"/>
      <c r="JA2057" s="73"/>
      <c r="JB2057" s="73"/>
      <c r="JC2057" s="73"/>
    </row>
    <row r="2058" spans="2:263" s="72" customFormat="1">
      <c r="B2058" s="73"/>
      <c r="C2058" s="73"/>
      <c r="D2058" s="73"/>
      <c r="E2058" s="73"/>
      <c r="F2058" s="73"/>
      <c r="G2058" s="73"/>
      <c r="H2058" s="73"/>
      <c r="I2058" s="73"/>
      <c r="J2058" s="73"/>
      <c r="K2058" s="73"/>
      <c r="L2058" s="73"/>
      <c r="M2058" s="73"/>
      <c r="N2058" s="73"/>
      <c r="O2058" s="73"/>
      <c r="P2058" s="73"/>
      <c r="Q2058" s="73"/>
      <c r="R2058" s="73"/>
      <c r="S2058" s="73"/>
      <c r="T2058" s="73"/>
      <c r="U2058" s="73"/>
      <c r="V2058" s="73"/>
      <c r="W2058" s="73"/>
      <c r="GL2058" s="73"/>
      <c r="GM2058" s="73"/>
      <c r="GN2058" s="73"/>
      <c r="GO2058" s="73"/>
      <c r="GP2058" s="73"/>
      <c r="GQ2058" s="73"/>
      <c r="GR2058" s="73"/>
      <c r="GS2058" s="73"/>
      <c r="GT2058" s="73"/>
      <c r="GU2058" s="73"/>
      <c r="GV2058" s="73"/>
      <c r="GW2058" s="73"/>
      <c r="GX2058" s="73"/>
      <c r="GY2058" s="73"/>
      <c r="GZ2058" s="73"/>
      <c r="HA2058" s="73"/>
      <c r="HB2058" s="73"/>
      <c r="HC2058" s="73"/>
      <c r="HD2058" s="73"/>
      <c r="HE2058" s="73"/>
      <c r="HF2058" s="73"/>
      <c r="HG2058" s="73"/>
      <c r="HH2058" s="73"/>
      <c r="HI2058" s="73"/>
      <c r="HJ2058" s="73"/>
      <c r="HK2058" s="73"/>
      <c r="HL2058" s="73"/>
      <c r="HM2058" s="73"/>
      <c r="HN2058" s="73"/>
      <c r="HO2058" s="73"/>
      <c r="HP2058" s="73"/>
      <c r="HQ2058" s="73"/>
      <c r="HR2058" s="73"/>
      <c r="HS2058" s="73"/>
      <c r="HT2058" s="73"/>
      <c r="HU2058" s="73"/>
      <c r="HV2058" s="73"/>
      <c r="HW2058" s="73"/>
      <c r="HX2058" s="73"/>
      <c r="HY2058" s="73"/>
      <c r="HZ2058" s="73"/>
      <c r="IA2058" s="73"/>
      <c r="IB2058" s="73"/>
      <c r="IC2058" s="73"/>
      <c r="ID2058" s="73"/>
      <c r="IE2058" s="73"/>
      <c r="IF2058" s="73"/>
      <c r="IG2058" s="73"/>
      <c r="IH2058" s="73"/>
      <c r="II2058" s="73"/>
      <c r="IJ2058" s="73"/>
      <c r="IK2058" s="73"/>
      <c r="IL2058" s="73"/>
      <c r="IM2058" s="73"/>
      <c r="IN2058" s="73"/>
      <c r="IO2058" s="73"/>
      <c r="IP2058" s="73"/>
      <c r="IQ2058" s="73"/>
      <c r="IR2058" s="73"/>
      <c r="IS2058" s="73"/>
      <c r="IT2058" s="73"/>
      <c r="IU2058" s="73"/>
      <c r="IV2058" s="73"/>
      <c r="IW2058" s="73"/>
      <c r="IX2058" s="73"/>
      <c r="IY2058" s="73"/>
      <c r="IZ2058" s="73"/>
      <c r="JA2058" s="73"/>
      <c r="JB2058" s="73"/>
      <c r="JC2058" s="73"/>
    </row>
    <row r="2059" spans="2:263" s="72" customFormat="1">
      <c r="B2059" s="73"/>
      <c r="C2059" s="73"/>
      <c r="D2059" s="73"/>
      <c r="E2059" s="73"/>
      <c r="F2059" s="73"/>
      <c r="G2059" s="73"/>
      <c r="H2059" s="73"/>
      <c r="I2059" s="73"/>
      <c r="J2059" s="73"/>
      <c r="K2059" s="73"/>
      <c r="L2059" s="73"/>
      <c r="M2059" s="73"/>
      <c r="N2059" s="73"/>
      <c r="O2059" s="73"/>
      <c r="P2059" s="73"/>
      <c r="Q2059" s="73"/>
      <c r="R2059" s="73"/>
      <c r="S2059" s="73"/>
      <c r="T2059" s="73"/>
      <c r="U2059" s="73"/>
      <c r="V2059" s="73"/>
      <c r="W2059" s="73"/>
      <c r="GL2059" s="73"/>
      <c r="GM2059" s="73"/>
      <c r="GN2059" s="73"/>
      <c r="GO2059" s="73"/>
      <c r="GP2059" s="73"/>
      <c r="GQ2059" s="73"/>
      <c r="GR2059" s="73"/>
      <c r="GS2059" s="73"/>
      <c r="GT2059" s="73"/>
      <c r="GU2059" s="73"/>
      <c r="GV2059" s="73"/>
      <c r="GW2059" s="73"/>
      <c r="GX2059" s="73"/>
      <c r="GY2059" s="73"/>
      <c r="GZ2059" s="73"/>
      <c r="HA2059" s="73"/>
      <c r="HB2059" s="73"/>
      <c r="HC2059" s="73"/>
      <c r="HD2059" s="73"/>
      <c r="HE2059" s="73"/>
      <c r="HF2059" s="73"/>
      <c r="HG2059" s="73"/>
      <c r="HH2059" s="73"/>
      <c r="HI2059" s="73"/>
      <c r="HJ2059" s="73"/>
      <c r="HK2059" s="73"/>
      <c r="HL2059" s="73"/>
      <c r="HM2059" s="73"/>
      <c r="HN2059" s="73"/>
      <c r="HO2059" s="73"/>
      <c r="HP2059" s="73"/>
      <c r="HQ2059" s="73"/>
      <c r="HR2059" s="73"/>
      <c r="HS2059" s="73"/>
      <c r="HT2059" s="73"/>
      <c r="HU2059" s="73"/>
      <c r="HV2059" s="73"/>
      <c r="HW2059" s="73"/>
      <c r="HX2059" s="73"/>
      <c r="HY2059" s="73"/>
      <c r="HZ2059" s="73"/>
      <c r="IA2059" s="73"/>
      <c r="IB2059" s="73"/>
      <c r="IC2059" s="73"/>
      <c r="ID2059" s="73"/>
      <c r="IE2059" s="73"/>
      <c r="IF2059" s="73"/>
      <c r="IG2059" s="73"/>
      <c r="IH2059" s="73"/>
      <c r="II2059" s="73"/>
      <c r="IJ2059" s="73"/>
      <c r="IK2059" s="73"/>
      <c r="IL2059" s="73"/>
      <c r="IM2059" s="73"/>
      <c r="IN2059" s="73"/>
      <c r="IO2059" s="73"/>
      <c r="IP2059" s="73"/>
      <c r="IQ2059" s="73"/>
      <c r="IR2059" s="73"/>
      <c r="IS2059" s="73"/>
      <c r="IT2059" s="73"/>
      <c r="IU2059" s="73"/>
      <c r="IV2059" s="73"/>
      <c r="IW2059" s="73"/>
      <c r="IX2059" s="73"/>
      <c r="IY2059" s="73"/>
      <c r="IZ2059" s="73"/>
      <c r="JA2059" s="73"/>
      <c r="JB2059" s="73"/>
      <c r="JC2059" s="73"/>
    </row>
    <row r="2060" spans="2:263" s="72" customFormat="1">
      <c r="B2060" s="73"/>
      <c r="C2060" s="73"/>
      <c r="D2060" s="73"/>
      <c r="E2060" s="73"/>
      <c r="F2060" s="73"/>
      <c r="G2060" s="73"/>
      <c r="H2060" s="73"/>
      <c r="I2060" s="73"/>
      <c r="J2060" s="73"/>
      <c r="K2060" s="73"/>
      <c r="L2060" s="73"/>
      <c r="M2060" s="73"/>
      <c r="N2060" s="73"/>
      <c r="O2060" s="73"/>
      <c r="P2060" s="73"/>
      <c r="Q2060" s="73"/>
      <c r="R2060" s="73"/>
      <c r="S2060" s="73"/>
      <c r="T2060" s="73"/>
      <c r="U2060" s="73"/>
      <c r="V2060" s="73"/>
      <c r="W2060" s="73"/>
      <c r="GL2060" s="73"/>
      <c r="GM2060" s="73"/>
      <c r="GN2060" s="73"/>
      <c r="GO2060" s="73"/>
      <c r="GP2060" s="73"/>
      <c r="GQ2060" s="73"/>
      <c r="GR2060" s="73"/>
      <c r="GS2060" s="73"/>
      <c r="GT2060" s="73"/>
      <c r="GU2060" s="73"/>
      <c r="GV2060" s="73"/>
      <c r="GW2060" s="73"/>
      <c r="GX2060" s="73"/>
      <c r="GY2060" s="73"/>
      <c r="GZ2060" s="73"/>
      <c r="HA2060" s="73"/>
      <c r="HB2060" s="73"/>
      <c r="HC2060" s="73"/>
      <c r="HD2060" s="73"/>
      <c r="HE2060" s="73"/>
      <c r="HF2060" s="73"/>
      <c r="HG2060" s="73"/>
      <c r="HH2060" s="73"/>
      <c r="HI2060" s="73"/>
      <c r="HJ2060" s="73"/>
      <c r="HK2060" s="73"/>
      <c r="HL2060" s="73"/>
      <c r="HM2060" s="73"/>
      <c r="HN2060" s="73"/>
      <c r="HO2060" s="73"/>
      <c r="HP2060" s="73"/>
      <c r="HQ2060" s="73"/>
      <c r="HR2060" s="73"/>
      <c r="HS2060" s="73"/>
      <c r="HT2060" s="73"/>
      <c r="HU2060" s="73"/>
      <c r="HV2060" s="73"/>
      <c r="HW2060" s="73"/>
      <c r="HX2060" s="73"/>
      <c r="HY2060" s="73"/>
      <c r="HZ2060" s="73"/>
      <c r="IA2060" s="73"/>
      <c r="IB2060" s="73"/>
      <c r="IC2060" s="73"/>
      <c r="ID2060" s="73"/>
      <c r="IE2060" s="73"/>
      <c r="IF2060" s="73"/>
      <c r="IG2060" s="73"/>
      <c r="IH2060" s="73"/>
      <c r="II2060" s="73"/>
      <c r="IJ2060" s="73"/>
      <c r="IK2060" s="73"/>
      <c r="IL2060" s="73"/>
      <c r="IM2060" s="73"/>
      <c r="IN2060" s="73"/>
      <c r="IO2060" s="73"/>
      <c r="IP2060" s="73"/>
      <c r="IQ2060" s="73"/>
      <c r="IR2060" s="73"/>
      <c r="IS2060" s="73"/>
      <c r="IT2060" s="73"/>
      <c r="IU2060" s="73"/>
      <c r="IV2060" s="73"/>
      <c r="IW2060" s="73"/>
      <c r="IX2060" s="73"/>
      <c r="IY2060" s="73"/>
      <c r="IZ2060" s="73"/>
      <c r="JA2060" s="73"/>
      <c r="JB2060" s="73"/>
      <c r="JC2060" s="73"/>
    </row>
    <row r="2061" spans="2:263" s="72" customFormat="1">
      <c r="B2061" s="73"/>
      <c r="C2061" s="73"/>
      <c r="D2061" s="73"/>
      <c r="E2061" s="73"/>
      <c r="F2061" s="73"/>
      <c r="G2061" s="73"/>
      <c r="H2061" s="73"/>
      <c r="I2061" s="73"/>
      <c r="J2061" s="73"/>
      <c r="K2061" s="73"/>
      <c r="L2061" s="73"/>
      <c r="M2061" s="73"/>
      <c r="N2061" s="73"/>
      <c r="O2061" s="73"/>
      <c r="P2061" s="73"/>
      <c r="Q2061" s="73"/>
      <c r="R2061" s="73"/>
      <c r="S2061" s="73"/>
      <c r="T2061" s="73"/>
      <c r="U2061" s="73"/>
      <c r="V2061" s="73"/>
      <c r="W2061" s="73"/>
      <c r="GL2061" s="73"/>
      <c r="GM2061" s="73"/>
      <c r="GN2061" s="73"/>
      <c r="GO2061" s="73"/>
      <c r="GP2061" s="73"/>
      <c r="GQ2061" s="73"/>
      <c r="GR2061" s="73"/>
      <c r="GS2061" s="73"/>
      <c r="GT2061" s="73"/>
      <c r="GU2061" s="73"/>
      <c r="GV2061" s="73"/>
      <c r="GW2061" s="73"/>
      <c r="GX2061" s="73"/>
      <c r="GY2061" s="73"/>
      <c r="GZ2061" s="73"/>
      <c r="HA2061" s="73"/>
      <c r="HB2061" s="73"/>
      <c r="HC2061" s="73"/>
      <c r="HD2061" s="73"/>
      <c r="HE2061" s="73"/>
      <c r="HF2061" s="73"/>
      <c r="HG2061" s="73"/>
      <c r="HH2061" s="73"/>
      <c r="HI2061" s="73"/>
      <c r="HJ2061" s="73"/>
      <c r="HK2061" s="73"/>
      <c r="HL2061" s="73"/>
      <c r="HM2061" s="73"/>
      <c r="HN2061" s="73"/>
      <c r="HO2061" s="73"/>
      <c r="HP2061" s="73"/>
      <c r="HQ2061" s="73"/>
      <c r="HR2061" s="73"/>
      <c r="HS2061" s="73"/>
      <c r="HT2061" s="73"/>
      <c r="HU2061" s="73"/>
      <c r="HV2061" s="73"/>
      <c r="HW2061" s="73"/>
      <c r="HX2061" s="73"/>
      <c r="HY2061" s="73"/>
      <c r="HZ2061" s="73"/>
      <c r="IA2061" s="73"/>
      <c r="IB2061" s="73"/>
      <c r="IC2061" s="73"/>
      <c r="ID2061" s="73"/>
      <c r="IE2061" s="73"/>
      <c r="IF2061" s="73"/>
      <c r="IG2061" s="73"/>
      <c r="IH2061" s="73"/>
      <c r="II2061" s="73"/>
      <c r="IJ2061" s="73"/>
      <c r="IK2061" s="73"/>
      <c r="IL2061" s="73"/>
      <c r="IM2061" s="73"/>
      <c r="IN2061" s="73"/>
      <c r="IO2061" s="73"/>
      <c r="IP2061" s="73"/>
      <c r="IQ2061" s="73"/>
      <c r="IR2061" s="73"/>
      <c r="IS2061" s="73"/>
      <c r="IT2061" s="73"/>
      <c r="IU2061" s="73"/>
      <c r="IV2061" s="73"/>
      <c r="IW2061" s="73"/>
      <c r="IX2061" s="73"/>
      <c r="IY2061" s="73"/>
      <c r="IZ2061" s="73"/>
      <c r="JA2061" s="73"/>
      <c r="JB2061" s="73"/>
      <c r="JC2061" s="73"/>
    </row>
    <row r="2062" spans="2:263" s="72" customFormat="1">
      <c r="B2062" s="73"/>
      <c r="C2062" s="73"/>
      <c r="D2062" s="73"/>
      <c r="E2062" s="73"/>
      <c r="F2062" s="73"/>
      <c r="G2062" s="73"/>
      <c r="H2062" s="73"/>
      <c r="I2062" s="73"/>
      <c r="J2062" s="73"/>
      <c r="K2062" s="73"/>
      <c r="L2062" s="73"/>
      <c r="M2062" s="73"/>
      <c r="N2062" s="73"/>
      <c r="O2062" s="73"/>
      <c r="P2062" s="73"/>
      <c r="Q2062" s="73"/>
      <c r="R2062" s="73"/>
      <c r="S2062" s="73"/>
      <c r="T2062" s="73"/>
      <c r="U2062" s="73"/>
      <c r="V2062" s="73"/>
      <c r="W2062" s="73"/>
      <c r="GL2062" s="73"/>
      <c r="GM2062" s="73"/>
      <c r="GN2062" s="73"/>
      <c r="GO2062" s="73"/>
      <c r="GP2062" s="73"/>
      <c r="GQ2062" s="73"/>
      <c r="GR2062" s="73"/>
      <c r="GS2062" s="73"/>
      <c r="GT2062" s="73"/>
      <c r="GU2062" s="73"/>
      <c r="GV2062" s="73"/>
      <c r="GW2062" s="73"/>
      <c r="GX2062" s="73"/>
      <c r="GY2062" s="73"/>
      <c r="GZ2062" s="73"/>
      <c r="HA2062" s="73"/>
      <c r="HB2062" s="73"/>
      <c r="HC2062" s="73"/>
      <c r="HD2062" s="73"/>
      <c r="HE2062" s="73"/>
      <c r="HF2062" s="73"/>
      <c r="HG2062" s="73"/>
      <c r="HH2062" s="73"/>
      <c r="HI2062" s="73"/>
      <c r="HJ2062" s="73"/>
      <c r="HK2062" s="73"/>
      <c r="HL2062" s="73"/>
      <c r="HM2062" s="73"/>
      <c r="HN2062" s="73"/>
      <c r="HO2062" s="73"/>
      <c r="HP2062" s="73"/>
      <c r="HQ2062" s="73"/>
      <c r="HR2062" s="73"/>
      <c r="HS2062" s="73"/>
      <c r="HT2062" s="73"/>
      <c r="HU2062" s="73"/>
      <c r="HV2062" s="73"/>
      <c r="HW2062" s="73"/>
      <c r="HX2062" s="73"/>
      <c r="HY2062" s="73"/>
      <c r="HZ2062" s="73"/>
      <c r="IA2062" s="73"/>
      <c r="IB2062" s="73"/>
      <c r="IC2062" s="73"/>
      <c r="ID2062" s="73"/>
      <c r="IE2062" s="73"/>
      <c r="IF2062" s="73"/>
      <c r="IG2062" s="73"/>
      <c r="IH2062" s="73"/>
      <c r="II2062" s="73"/>
      <c r="IJ2062" s="73"/>
      <c r="IK2062" s="73"/>
      <c r="IL2062" s="73"/>
      <c r="IM2062" s="73"/>
      <c r="IN2062" s="73"/>
      <c r="IO2062" s="73"/>
      <c r="IP2062" s="73"/>
      <c r="IQ2062" s="73"/>
      <c r="IR2062" s="73"/>
      <c r="IS2062" s="73"/>
      <c r="IT2062" s="73"/>
      <c r="IU2062" s="73"/>
      <c r="IV2062" s="73"/>
      <c r="IW2062" s="73"/>
      <c r="IX2062" s="73"/>
      <c r="IY2062" s="73"/>
      <c r="IZ2062" s="73"/>
      <c r="JA2062" s="73"/>
      <c r="JB2062" s="73"/>
      <c r="JC2062" s="73"/>
    </row>
    <row r="2063" spans="2:263" s="72" customFormat="1">
      <c r="B2063" s="73"/>
      <c r="C2063" s="73"/>
      <c r="D2063" s="73"/>
      <c r="E2063" s="73"/>
      <c r="F2063" s="73"/>
      <c r="G2063" s="73"/>
      <c r="H2063" s="73"/>
      <c r="I2063" s="73"/>
      <c r="J2063" s="73"/>
      <c r="K2063" s="73"/>
      <c r="L2063" s="73"/>
      <c r="M2063" s="73"/>
      <c r="N2063" s="73"/>
      <c r="O2063" s="73"/>
      <c r="P2063" s="73"/>
      <c r="Q2063" s="73"/>
      <c r="R2063" s="73"/>
      <c r="S2063" s="73"/>
      <c r="T2063" s="73"/>
      <c r="U2063" s="73"/>
      <c r="V2063" s="73"/>
      <c r="W2063" s="73"/>
      <c r="GL2063" s="73"/>
      <c r="GM2063" s="73"/>
      <c r="GN2063" s="73"/>
      <c r="GO2063" s="73"/>
      <c r="GP2063" s="73"/>
      <c r="GQ2063" s="73"/>
      <c r="GR2063" s="73"/>
      <c r="GS2063" s="73"/>
      <c r="GT2063" s="73"/>
      <c r="GU2063" s="73"/>
      <c r="GV2063" s="73"/>
      <c r="GW2063" s="73"/>
      <c r="GX2063" s="73"/>
      <c r="GY2063" s="73"/>
      <c r="GZ2063" s="73"/>
      <c r="HA2063" s="73"/>
      <c r="HB2063" s="73"/>
      <c r="HC2063" s="73"/>
      <c r="HD2063" s="73"/>
      <c r="HE2063" s="73"/>
      <c r="HF2063" s="73"/>
      <c r="HG2063" s="73"/>
      <c r="HH2063" s="73"/>
      <c r="HI2063" s="73"/>
      <c r="HJ2063" s="73"/>
      <c r="HK2063" s="73"/>
      <c r="HL2063" s="73"/>
      <c r="HM2063" s="73"/>
      <c r="HN2063" s="73"/>
      <c r="HO2063" s="73"/>
      <c r="HP2063" s="73"/>
      <c r="HQ2063" s="73"/>
      <c r="HR2063" s="73"/>
      <c r="HS2063" s="73"/>
      <c r="HT2063" s="73"/>
      <c r="HU2063" s="73"/>
      <c r="HV2063" s="73"/>
      <c r="HW2063" s="73"/>
      <c r="HX2063" s="73"/>
      <c r="HY2063" s="73"/>
      <c r="HZ2063" s="73"/>
      <c r="IA2063" s="73"/>
      <c r="IB2063" s="73"/>
      <c r="IC2063" s="73"/>
      <c r="ID2063" s="73"/>
      <c r="IE2063" s="73"/>
      <c r="IF2063" s="73"/>
      <c r="IG2063" s="73"/>
      <c r="IH2063" s="73"/>
      <c r="II2063" s="73"/>
      <c r="IJ2063" s="73"/>
      <c r="IK2063" s="73"/>
      <c r="IL2063" s="73"/>
      <c r="IM2063" s="73"/>
      <c r="IN2063" s="73"/>
      <c r="IO2063" s="73"/>
      <c r="IP2063" s="73"/>
      <c r="IQ2063" s="73"/>
      <c r="IR2063" s="73"/>
      <c r="IS2063" s="73"/>
      <c r="IT2063" s="73"/>
      <c r="IU2063" s="73"/>
      <c r="IV2063" s="73"/>
      <c r="IW2063" s="73"/>
      <c r="IX2063" s="73"/>
      <c r="IY2063" s="73"/>
      <c r="IZ2063" s="73"/>
      <c r="JA2063" s="73"/>
      <c r="JB2063" s="73"/>
      <c r="JC2063" s="73"/>
    </row>
    <row r="2064" spans="2:263" s="72" customFormat="1">
      <c r="B2064" s="73"/>
      <c r="C2064" s="73"/>
      <c r="D2064" s="73"/>
      <c r="E2064" s="73"/>
      <c r="F2064" s="73"/>
      <c r="G2064" s="73"/>
      <c r="H2064" s="73"/>
      <c r="I2064" s="73"/>
      <c r="J2064" s="73"/>
      <c r="K2064" s="73"/>
      <c r="L2064" s="73"/>
      <c r="M2064" s="73"/>
      <c r="N2064" s="73"/>
      <c r="O2064" s="73"/>
      <c r="P2064" s="73"/>
      <c r="Q2064" s="73"/>
      <c r="R2064" s="73"/>
      <c r="S2064" s="73"/>
      <c r="T2064" s="73"/>
      <c r="U2064" s="73"/>
      <c r="V2064" s="73"/>
      <c r="W2064" s="73"/>
      <c r="GL2064" s="73"/>
      <c r="GM2064" s="73"/>
      <c r="GN2064" s="73"/>
      <c r="GO2064" s="73"/>
      <c r="GP2064" s="73"/>
      <c r="GQ2064" s="73"/>
      <c r="GR2064" s="73"/>
      <c r="GS2064" s="73"/>
      <c r="GT2064" s="73"/>
      <c r="GU2064" s="73"/>
      <c r="GV2064" s="73"/>
      <c r="GW2064" s="73"/>
      <c r="GX2064" s="73"/>
      <c r="GY2064" s="73"/>
      <c r="GZ2064" s="73"/>
      <c r="HA2064" s="73"/>
      <c r="HB2064" s="73"/>
      <c r="HC2064" s="73"/>
      <c r="HD2064" s="73"/>
      <c r="HE2064" s="73"/>
      <c r="HF2064" s="73"/>
      <c r="HG2064" s="73"/>
      <c r="HH2064" s="73"/>
      <c r="HI2064" s="73"/>
      <c r="HJ2064" s="73"/>
      <c r="HK2064" s="73"/>
      <c r="HL2064" s="73"/>
      <c r="HM2064" s="73"/>
      <c r="HN2064" s="73"/>
      <c r="HO2064" s="73"/>
      <c r="HP2064" s="73"/>
      <c r="HQ2064" s="73"/>
      <c r="HR2064" s="73"/>
      <c r="HS2064" s="73"/>
      <c r="HT2064" s="73"/>
      <c r="HU2064" s="73"/>
      <c r="HV2064" s="73"/>
      <c r="HW2064" s="73"/>
      <c r="HX2064" s="73"/>
      <c r="HY2064" s="73"/>
      <c r="HZ2064" s="73"/>
      <c r="IA2064" s="73"/>
      <c r="IB2064" s="73"/>
      <c r="IC2064" s="73"/>
      <c r="ID2064" s="73"/>
      <c r="IE2064" s="73"/>
      <c r="IF2064" s="73"/>
      <c r="IG2064" s="73"/>
      <c r="IH2064" s="73"/>
      <c r="II2064" s="73"/>
      <c r="IJ2064" s="73"/>
      <c r="IK2064" s="73"/>
      <c r="IL2064" s="73"/>
      <c r="IM2064" s="73"/>
      <c r="IN2064" s="73"/>
      <c r="IO2064" s="73"/>
      <c r="IP2064" s="73"/>
      <c r="IQ2064" s="73"/>
      <c r="IR2064" s="73"/>
      <c r="IS2064" s="73"/>
      <c r="IT2064" s="73"/>
      <c r="IU2064" s="73"/>
      <c r="IV2064" s="73"/>
      <c r="IW2064" s="73"/>
      <c r="IX2064" s="73"/>
      <c r="IY2064" s="73"/>
      <c r="IZ2064" s="73"/>
      <c r="JA2064" s="73"/>
      <c r="JB2064" s="73"/>
      <c r="JC2064" s="73"/>
    </row>
    <row r="2065" spans="2:263" s="72" customFormat="1">
      <c r="B2065" s="73"/>
      <c r="C2065" s="73"/>
      <c r="D2065" s="73"/>
      <c r="E2065" s="73"/>
      <c r="F2065" s="73"/>
      <c r="G2065" s="73"/>
      <c r="H2065" s="73"/>
      <c r="I2065" s="73"/>
      <c r="J2065" s="73"/>
      <c r="K2065" s="73"/>
      <c r="L2065" s="73"/>
      <c r="M2065" s="73"/>
      <c r="N2065" s="73"/>
      <c r="O2065" s="73"/>
      <c r="P2065" s="73"/>
      <c r="Q2065" s="73"/>
      <c r="R2065" s="73"/>
      <c r="S2065" s="73"/>
      <c r="T2065" s="73"/>
      <c r="U2065" s="73"/>
      <c r="V2065" s="73"/>
      <c r="W2065" s="73"/>
      <c r="GL2065" s="73"/>
      <c r="GM2065" s="73"/>
      <c r="GN2065" s="73"/>
      <c r="GO2065" s="73"/>
      <c r="GP2065" s="73"/>
      <c r="GQ2065" s="73"/>
      <c r="GR2065" s="73"/>
      <c r="GS2065" s="73"/>
      <c r="GT2065" s="73"/>
      <c r="GU2065" s="73"/>
      <c r="GV2065" s="73"/>
      <c r="GW2065" s="73"/>
      <c r="GX2065" s="73"/>
      <c r="GY2065" s="73"/>
      <c r="GZ2065" s="73"/>
      <c r="HA2065" s="73"/>
      <c r="HB2065" s="73"/>
      <c r="HC2065" s="73"/>
      <c r="HD2065" s="73"/>
      <c r="HE2065" s="73"/>
      <c r="HF2065" s="73"/>
      <c r="HG2065" s="73"/>
      <c r="HH2065" s="73"/>
      <c r="HI2065" s="73"/>
      <c r="HJ2065" s="73"/>
      <c r="HK2065" s="73"/>
      <c r="HL2065" s="73"/>
      <c r="HM2065" s="73"/>
      <c r="HN2065" s="73"/>
      <c r="HO2065" s="73"/>
      <c r="HP2065" s="73"/>
      <c r="HQ2065" s="73"/>
      <c r="HR2065" s="73"/>
      <c r="HS2065" s="73"/>
      <c r="HT2065" s="73"/>
      <c r="HU2065" s="73"/>
      <c r="HV2065" s="73"/>
      <c r="HW2065" s="73"/>
      <c r="HX2065" s="73"/>
      <c r="HY2065" s="73"/>
      <c r="HZ2065" s="73"/>
      <c r="IA2065" s="73"/>
      <c r="IB2065" s="73"/>
      <c r="IC2065" s="73"/>
      <c r="ID2065" s="73"/>
      <c r="IE2065" s="73"/>
      <c r="IF2065" s="73"/>
      <c r="IG2065" s="73"/>
      <c r="IH2065" s="73"/>
      <c r="II2065" s="73"/>
      <c r="IJ2065" s="73"/>
      <c r="IK2065" s="73"/>
      <c r="IL2065" s="73"/>
      <c r="IM2065" s="73"/>
      <c r="IN2065" s="73"/>
      <c r="IO2065" s="73"/>
      <c r="IP2065" s="73"/>
      <c r="IQ2065" s="73"/>
      <c r="IR2065" s="73"/>
      <c r="IS2065" s="73"/>
      <c r="IT2065" s="73"/>
      <c r="IU2065" s="73"/>
      <c r="IV2065" s="73"/>
      <c r="IW2065" s="73"/>
      <c r="IX2065" s="73"/>
      <c r="IY2065" s="73"/>
      <c r="IZ2065" s="73"/>
      <c r="JA2065" s="73"/>
      <c r="JB2065" s="73"/>
      <c r="JC2065" s="73"/>
    </row>
    <row r="2066" spans="2:263" s="72" customFormat="1">
      <c r="B2066" s="73"/>
      <c r="C2066" s="73"/>
      <c r="D2066" s="73"/>
      <c r="E2066" s="73"/>
      <c r="F2066" s="73"/>
      <c r="G2066" s="73"/>
      <c r="H2066" s="73"/>
      <c r="I2066" s="73"/>
      <c r="J2066" s="73"/>
      <c r="K2066" s="73"/>
      <c r="L2066" s="73"/>
      <c r="M2066" s="73"/>
      <c r="N2066" s="73"/>
      <c r="O2066" s="73"/>
      <c r="P2066" s="73"/>
      <c r="Q2066" s="73"/>
      <c r="R2066" s="73"/>
      <c r="S2066" s="73"/>
      <c r="T2066" s="73"/>
      <c r="U2066" s="73"/>
      <c r="V2066" s="73"/>
      <c r="W2066" s="73"/>
      <c r="GL2066" s="73"/>
      <c r="GM2066" s="73"/>
      <c r="GN2066" s="73"/>
      <c r="GO2066" s="73"/>
      <c r="GP2066" s="73"/>
      <c r="GQ2066" s="73"/>
      <c r="GR2066" s="73"/>
      <c r="GS2066" s="73"/>
      <c r="GT2066" s="73"/>
      <c r="GU2066" s="73"/>
      <c r="GV2066" s="73"/>
      <c r="GW2066" s="73"/>
      <c r="GX2066" s="73"/>
      <c r="GY2066" s="73"/>
      <c r="GZ2066" s="73"/>
      <c r="HA2066" s="73"/>
      <c r="HB2066" s="73"/>
      <c r="HC2066" s="73"/>
      <c r="HD2066" s="73"/>
      <c r="HE2066" s="73"/>
      <c r="HF2066" s="73"/>
      <c r="HG2066" s="73"/>
      <c r="HH2066" s="73"/>
      <c r="HI2066" s="73"/>
      <c r="HJ2066" s="73"/>
      <c r="HK2066" s="73"/>
      <c r="HL2066" s="73"/>
      <c r="HM2066" s="73"/>
      <c r="HN2066" s="73"/>
      <c r="HO2066" s="73"/>
      <c r="HP2066" s="73"/>
      <c r="HQ2066" s="73"/>
      <c r="HR2066" s="73"/>
      <c r="HS2066" s="73"/>
      <c r="HT2066" s="73"/>
      <c r="HU2066" s="73"/>
      <c r="HV2066" s="73"/>
      <c r="HW2066" s="73"/>
      <c r="HX2066" s="73"/>
      <c r="HY2066" s="73"/>
      <c r="HZ2066" s="73"/>
      <c r="IA2066" s="73"/>
      <c r="IB2066" s="73"/>
      <c r="IC2066" s="73"/>
      <c r="ID2066" s="73"/>
      <c r="IE2066" s="73"/>
      <c r="IF2066" s="73"/>
      <c r="IG2066" s="73"/>
      <c r="IH2066" s="73"/>
      <c r="II2066" s="73"/>
      <c r="IJ2066" s="73"/>
      <c r="IK2066" s="73"/>
      <c r="IL2066" s="73"/>
      <c r="IM2066" s="73"/>
      <c r="IN2066" s="73"/>
      <c r="IO2066" s="73"/>
      <c r="IP2066" s="73"/>
      <c r="IQ2066" s="73"/>
      <c r="IR2066" s="73"/>
      <c r="IS2066" s="73"/>
      <c r="IT2066" s="73"/>
      <c r="IU2066" s="73"/>
      <c r="IV2066" s="73"/>
      <c r="IW2066" s="73"/>
      <c r="IX2066" s="73"/>
      <c r="IY2066" s="73"/>
      <c r="IZ2066" s="73"/>
      <c r="JA2066" s="73"/>
      <c r="JB2066" s="73"/>
      <c r="JC2066" s="73"/>
    </row>
    <row r="2067" spans="2:263" s="72" customFormat="1">
      <c r="B2067" s="73"/>
      <c r="C2067" s="73"/>
      <c r="D2067" s="73"/>
      <c r="E2067" s="73"/>
      <c r="F2067" s="73"/>
      <c r="G2067" s="73"/>
      <c r="H2067" s="73"/>
      <c r="I2067" s="73"/>
      <c r="J2067" s="73"/>
      <c r="K2067" s="73"/>
      <c r="L2067" s="73"/>
      <c r="M2067" s="73"/>
      <c r="N2067" s="73"/>
      <c r="O2067" s="73"/>
      <c r="P2067" s="73"/>
      <c r="Q2067" s="73"/>
      <c r="R2067" s="73"/>
      <c r="S2067" s="73"/>
      <c r="T2067" s="73"/>
      <c r="U2067" s="73"/>
      <c r="V2067" s="73"/>
      <c r="W2067" s="73"/>
      <c r="GL2067" s="73"/>
      <c r="GM2067" s="73"/>
      <c r="GN2067" s="73"/>
      <c r="GO2067" s="73"/>
      <c r="GP2067" s="73"/>
      <c r="GQ2067" s="73"/>
      <c r="GR2067" s="73"/>
      <c r="GS2067" s="73"/>
      <c r="GT2067" s="73"/>
      <c r="GU2067" s="73"/>
      <c r="GV2067" s="73"/>
      <c r="GW2067" s="73"/>
      <c r="GX2067" s="73"/>
      <c r="GY2067" s="73"/>
      <c r="GZ2067" s="73"/>
      <c r="HA2067" s="73"/>
      <c r="HB2067" s="73"/>
      <c r="HC2067" s="73"/>
      <c r="HD2067" s="73"/>
      <c r="HE2067" s="73"/>
      <c r="HF2067" s="73"/>
      <c r="HG2067" s="73"/>
      <c r="HH2067" s="73"/>
      <c r="HI2067" s="73"/>
      <c r="HJ2067" s="73"/>
      <c r="HK2067" s="73"/>
      <c r="HL2067" s="73"/>
      <c r="HM2067" s="73"/>
      <c r="HN2067" s="73"/>
      <c r="HO2067" s="73"/>
      <c r="HP2067" s="73"/>
      <c r="HQ2067" s="73"/>
      <c r="HR2067" s="73"/>
      <c r="HS2067" s="73"/>
      <c r="HT2067" s="73"/>
      <c r="HU2067" s="73"/>
      <c r="HV2067" s="73"/>
      <c r="HW2067" s="73"/>
      <c r="HX2067" s="73"/>
      <c r="HY2067" s="73"/>
      <c r="HZ2067" s="73"/>
      <c r="IA2067" s="73"/>
      <c r="IB2067" s="73"/>
      <c r="IC2067" s="73"/>
      <c r="ID2067" s="73"/>
      <c r="IE2067" s="73"/>
      <c r="IF2067" s="73"/>
      <c r="IG2067" s="73"/>
      <c r="IH2067" s="73"/>
      <c r="II2067" s="73"/>
      <c r="IJ2067" s="73"/>
      <c r="IK2067" s="73"/>
      <c r="IL2067" s="73"/>
      <c r="IM2067" s="73"/>
      <c r="IN2067" s="73"/>
      <c r="IO2067" s="73"/>
      <c r="IP2067" s="73"/>
      <c r="IQ2067" s="73"/>
      <c r="IR2067" s="73"/>
      <c r="IS2067" s="73"/>
      <c r="IT2067" s="73"/>
      <c r="IU2067" s="73"/>
      <c r="IV2067" s="73"/>
      <c r="IW2067" s="73"/>
      <c r="IX2067" s="73"/>
      <c r="IY2067" s="73"/>
      <c r="IZ2067" s="73"/>
      <c r="JA2067" s="73"/>
      <c r="JB2067" s="73"/>
      <c r="JC2067" s="73"/>
    </row>
    <row r="2068" spans="2:263" s="72" customFormat="1">
      <c r="B2068" s="73"/>
      <c r="C2068" s="73"/>
      <c r="D2068" s="73"/>
      <c r="E2068" s="73"/>
      <c r="F2068" s="73"/>
      <c r="G2068" s="73"/>
      <c r="H2068" s="73"/>
      <c r="I2068" s="73"/>
      <c r="J2068" s="73"/>
      <c r="K2068" s="73"/>
      <c r="L2068" s="73"/>
      <c r="M2068" s="73"/>
      <c r="N2068" s="73"/>
      <c r="O2068" s="73"/>
      <c r="P2068" s="73"/>
      <c r="Q2068" s="73"/>
      <c r="R2068" s="73"/>
      <c r="S2068" s="73"/>
      <c r="T2068" s="73"/>
      <c r="U2068" s="73"/>
      <c r="V2068" s="73"/>
      <c r="W2068" s="73"/>
      <c r="GL2068" s="73"/>
      <c r="GM2068" s="73"/>
      <c r="GN2068" s="73"/>
      <c r="GO2068" s="73"/>
      <c r="GP2068" s="73"/>
      <c r="GQ2068" s="73"/>
      <c r="GR2068" s="73"/>
      <c r="GS2068" s="73"/>
      <c r="GT2068" s="73"/>
      <c r="GU2068" s="73"/>
      <c r="GV2068" s="73"/>
      <c r="GW2068" s="73"/>
      <c r="GX2068" s="73"/>
      <c r="GY2068" s="73"/>
      <c r="GZ2068" s="73"/>
      <c r="HA2068" s="73"/>
      <c r="HB2068" s="73"/>
      <c r="HC2068" s="73"/>
      <c r="HD2068" s="73"/>
      <c r="HE2068" s="73"/>
      <c r="HF2068" s="73"/>
      <c r="HG2068" s="73"/>
      <c r="HH2068" s="73"/>
      <c r="HI2068" s="73"/>
      <c r="HJ2068" s="73"/>
      <c r="HK2068" s="73"/>
      <c r="HL2068" s="73"/>
      <c r="HM2068" s="73"/>
      <c r="HN2068" s="73"/>
      <c r="HO2068" s="73"/>
      <c r="HP2068" s="73"/>
      <c r="HQ2068" s="73"/>
      <c r="HR2068" s="73"/>
      <c r="HS2068" s="73"/>
      <c r="HT2068" s="73"/>
      <c r="HU2068" s="73"/>
      <c r="HV2068" s="73"/>
      <c r="HW2068" s="73"/>
      <c r="HX2068" s="73"/>
      <c r="HY2068" s="73"/>
      <c r="HZ2068" s="73"/>
      <c r="IA2068" s="73"/>
      <c r="IB2068" s="73"/>
      <c r="IC2068" s="73"/>
      <c r="ID2068" s="73"/>
      <c r="IE2068" s="73"/>
      <c r="IF2068" s="73"/>
      <c r="IG2068" s="73"/>
      <c r="IH2068" s="73"/>
      <c r="II2068" s="73"/>
      <c r="IJ2068" s="73"/>
      <c r="IK2068" s="73"/>
      <c r="IL2068" s="73"/>
      <c r="IM2068" s="73"/>
      <c r="IN2068" s="73"/>
      <c r="IO2068" s="73"/>
      <c r="IP2068" s="73"/>
      <c r="IQ2068" s="73"/>
      <c r="IR2068" s="73"/>
      <c r="IS2068" s="73"/>
      <c r="IT2068" s="73"/>
      <c r="IU2068" s="73"/>
      <c r="IV2068" s="73"/>
      <c r="IW2068" s="73"/>
      <c r="IX2068" s="73"/>
      <c r="IY2068" s="73"/>
      <c r="IZ2068" s="73"/>
      <c r="JA2068" s="73"/>
      <c r="JB2068" s="73"/>
      <c r="JC2068" s="73"/>
    </row>
    <row r="2069" spans="2:263" s="72" customFormat="1">
      <c r="B2069" s="73"/>
      <c r="C2069" s="73"/>
      <c r="D2069" s="73"/>
      <c r="E2069" s="73"/>
      <c r="F2069" s="73"/>
      <c r="G2069" s="73"/>
      <c r="H2069" s="73"/>
      <c r="I2069" s="73"/>
      <c r="J2069" s="73"/>
      <c r="K2069" s="73"/>
      <c r="L2069" s="73"/>
      <c r="M2069" s="73"/>
      <c r="N2069" s="73"/>
      <c r="O2069" s="73"/>
      <c r="P2069" s="73"/>
      <c r="Q2069" s="73"/>
      <c r="R2069" s="73"/>
      <c r="S2069" s="73"/>
      <c r="T2069" s="73"/>
      <c r="U2069" s="73"/>
      <c r="V2069" s="73"/>
      <c r="W2069" s="73"/>
      <c r="GL2069" s="73"/>
      <c r="GM2069" s="73"/>
      <c r="GN2069" s="73"/>
      <c r="GO2069" s="73"/>
      <c r="GP2069" s="73"/>
      <c r="GQ2069" s="73"/>
      <c r="GR2069" s="73"/>
      <c r="GS2069" s="73"/>
      <c r="GT2069" s="73"/>
      <c r="GU2069" s="73"/>
      <c r="GV2069" s="73"/>
      <c r="GW2069" s="73"/>
      <c r="GX2069" s="73"/>
      <c r="GY2069" s="73"/>
      <c r="GZ2069" s="73"/>
      <c r="HA2069" s="73"/>
      <c r="HB2069" s="73"/>
      <c r="HC2069" s="73"/>
      <c r="HD2069" s="73"/>
      <c r="HE2069" s="73"/>
      <c r="HF2069" s="73"/>
      <c r="HG2069" s="73"/>
      <c r="HH2069" s="73"/>
      <c r="HI2069" s="73"/>
      <c r="HJ2069" s="73"/>
      <c r="HK2069" s="73"/>
      <c r="HL2069" s="73"/>
      <c r="HM2069" s="73"/>
      <c r="HN2069" s="73"/>
      <c r="HO2069" s="73"/>
      <c r="HP2069" s="73"/>
      <c r="HQ2069" s="73"/>
      <c r="HR2069" s="73"/>
      <c r="HS2069" s="73"/>
      <c r="HT2069" s="73"/>
      <c r="HU2069" s="73"/>
      <c r="HV2069" s="73"/>
      <c r="HW2069" s="73"/>
      <c r="HX2069" s="73"/>
      <c r="HY2069" s="73"/>
      <c r="HZ2069" s="73"/>
      <c r="IA2069" s="73"/>
      <c r="IB2069" s="73"/>
      <c r="IC2069" s="73"/>
      <c r="ID2069" s="73"/>
      <c r="IE2069" s="73"/>
      <c r="IF2069" s="73"/>
      <c r="IG2069" s="73"/>
      <c r="IH2069" s="73"/>
      <c r="II2069" s="73"/>
      <c r="IJ2069" s="73"/>
      <c r="IK2069" s="73"/>
      <c r="IL2069" s="73"/>
      <c r="IM2069" s="73"/>
      <c r="IN2069" s="73"/>
      <c r="IO2069" s="73"/>
      <c r="IP2069" s="73"/>
      <c r="IQ2069" s="73"/>
      <c r="IR2069" s="73"/>
      <c r="IS2069" s="73"/>
      <c r="IT2069" s="73"/>
      <c r="IU2069" s="73"/>
      <c r="IV2069" s="73"/>
      <c r="IW2069" s="73"/>
      <c r="IX2069" s="73"/>
      <c r="IY2069" s="73"/>
      <c r="IZ2069" s="73"/>
      <c r="JA2069" s="73"/>
      <c r="JB2069" s="73"/>
      <c r="JC2069" s="73"/>
    </row>
    <row r="2070" spans="2:263" s="72" customFormat="1">
      <c r="B2070" s="73"/>
      <c r="C2070" s="73"/>
      <c r="D2070" s="73"/>
      <c r="E2070" s="73"/>
      <c r="F2070" s="73"/>
      <c r="G2070" s="73"/>
      <c r="H2070" s="73"/>
      <c r="I2070" s="73"/>
      <c r="J2070" s="73"/>
      <c r="K2070" s="73"/>
      <c r="L2070" s="73"/>
      <c r="M2070" s="73"/>
      <c r="N2070" s="73"/>
      <c r="O2070" s="73"/>
      <c r="P2070" s="73"/>
      <c r="Q2070" s="73"/>
      <c r="R2070" s="73"/>
      <c r="S2070" s="73"/>
      <c r="T2070" s="73"/>
      <c r="U2070" s="73"/>
      <c r="V2070" s="73"/>
      <c r="W2070" s="73"/>
      <c r="GL2070" s="73"/>
      <c r="GM2070" s="73"/>
      <c r="GN2070" s="73"/>
      <c r="GO2070" s="73"/>
      <c r="GP2070" s="73"/>
      <c r="GQ2070" s="73"/>
      <c r="GR2070" s="73"/>
      <c r="GS2070" s="73"/>
      <c r="GT2070" s="73"/>
      <c r="GU2070" s="73"/>
      <c r="GV2070" s="73"/>
      <c r="GW2070" s="73"/>
      <c r="GX2070" s="73"/>
      <c r="GY2070" s="73"/>
      <c r="GZ2070" s="73"/>
      <c r="HA2070" s="73"/>
      <c r="HB2070" s="73"/>
      <c r="HC2070" s="73"/>
      <c r="HD2070" s="73"/>
      <c r="HE2070" s="73"/>
      <c r="HF2070" s="73"/>
      <c r="HG2070" s="73"/>
      <c r="HH2070" s="73"/>
      <c r="HI2070" s="73"/>
      <c r="HJ2070" s="73"/>
      <c r="HK2070" s="73"/>
      <c r="HL2070" s="73"/>
      <c r="HM2070" s="73"/>
      <c r="HN2070" s="73"/>
      <c r="HO2070" s="73"/>
      <c r="HP2070" s="73"/>
      <c r="HQ2070" s="73"/>
      <c r="HR2070" s="73"/>
      <c r="HS2070" s="73"/>
      <c r="HT2070" s="73"/>
      <c r="HU2070" s="73"/>
      <c r="HV2070" s="73"/>
      <c r="HW2070" s="73"/>
      <c r="HX2070" s="73"/>
      <c r="HY2070" s="73"/>
      <c r="HZ2070" s="73"/>
      <c r="IA2070" s="73"/>
      <c r="IB2070" s="73"/>
      <c r="IC2070" s="73"/>
      <c r="ID2070" s="73"/>
      <c r="IE2070" s="73"/>
      <c r="IF2070" s="73"/>
      <c r="IG2070" s="73"/>
      <c r="IH2070" s="73"/>
      <c r="II2070" s="73"/>
      <c r="IJ2070" s="73"/>
      <c r="IK2070" s="73"/>
      <c r="IL2070" s="73"/>
      <c r="IM2070" s="73"/>
      <c r="IN2070" s="73"/>
      <c r="IO2070" s="73"/>
      <c r="IP2070" s="73"/>
      <c r="IQ2070" s="73"/>
      <c r="IR2070" s="73"/>
      <c r="IS2070" s="73"/>
      <c r="IT2070" s="73"/>
      <c r="IU2070" s="73"/>
      <c r="IV2070" s="73"/>
      <c r="IW2070" s="73"/>
      <c r="IX2070" s="73"/>
      <c r="IY2070" s="73"/>
      <c r="IZ2070" s="73"/>
      <c r="JA2070" s="73"/>
      <c r="JB2070" s="73"/>
      <c r="JC2070" s="73"/>
    </row>
    <row r="2071" spans="2:263" s="72" customFormat="1">
      <c r="B2071" s="73"/>
      <c r="C2071" s="73"/>
      <c r="D2071" s="73"/>
      <c r="E2071" s="73"/>
      <c r="F2071" s="73"/>
      <c r="G2071" s="73"/>
      <c r="H2071" s="73"/>
      <c r="I2071" s="73"/>
      <c r="J2071" s="73"/>
      <c r="K2071" s="73"/>
      <c r="L2071" s="73"/>
      <c r="M2071" s="73"/>
      <c r="N2071" s="73"/>
      <c r="O2071" s="73"/>
      <c r="P2071" s="73"/>
      <c r="Q2071" s="73"/>
      <c r="R2071" s="73"/>
      <c r="S2071" s="73"/>
      <c r="T2071" s="73"/>
      <c r="U2071" s="73"/>
      <c r="V2071" s="73"/>
      <c r="W2071" s="73"/>
      <c r="GL2071" s="73"/>
      <c r="GM2071" s="73"/>
      <c r="GN2071" s="73"/>
      <c r="GO2071" s="73"/>
      <c r="GP2071" s="73"/>
      <c r="GQ2071" s="73"/>
      <c r="GR2071" s="73"/>
      <c r="GS2071" s="73"/>
      <c r="GT2071" s="73"/>
      <c r="GU2071" s="73"/>
      <c r="GV2071" s="73"/>
      <c r="GW2071" s="73"/>
      <c r="GX2071" s="73"/>
      <c r="GY2071" s="73"/>
      <c r="GZ2071" s="73"/>
      <c r="HA2071" s="73"/>
      <c r="HB2071" s="73"/>
      <c r="HC2071" s="73"/>
      <c r="HD2071" s="73"/>
      <c r="HE2071" s="73"/>
      <c r="HF2071" s="73"/>
      <c r="HG2071" s="73"/>
      <c r="HH2071" s="73"/>
      <c r="HI2071" s="73"/>
      <c r="HJ2071" s="73"/>
      <c r="HK2071" s="73"/>
      <c r="HL2071" s="73"/>
      <c r="HM2071" s="73"/>
      <c r="HN2071" s="73"/>
      <c r="HO2071" s="73"/>
      <c r="HP2071" s="73"/>
      <c r="HQ2071" s="73"/>
      <c r="HR2071" s="73"/>
      <c r="HS2071" s="73"/>
      <c r="HT2071" s="73"/>
      <c r="HU2071" s="73"/>
      <c r="HV2071" s="73"/>
      <c r="HW2071" s="73"/>
      <c r="HX2071" s="73"/>
      <c r="HY2071" s="73"/>
      <c r="HZ2071" s="73"/>
      <c r="IA2071" s="73"/>
      <c r="IB2071" s="73"/>
      <c r="IC2071" s="73"/>
      <c r="ID2071" s="73"/>
      <c r="IE2071" s="73"/>
      <c r="IF2071" s="73"/>
      <c r="IG2071" s="73"/>
      <c r="IH2071" s="73"/>
      <c r="II2071" s="73"/>
      <c r="IJ2071" s="73"/>
      <c r="IK2071" s="73"/>
      <c r="IL2071" s="73"/>
      <c r="IM2071" s="73"/>
      <c r="IN2071" s="73"/>
      <c r="IO2071" s="73"/>
      <c r="IP2071" s="73"/>
      <c r="IQ2071" s="73"/>
      <c r="IR2071" s="73"/>
      <c r="IS2071" s="73"/>
      <c r="IT2071" s="73"/>
      <c r="IU2071" s="73"/>
      <c r="IV2071" s="73"/>
      <c r="IW2071" s="73"/>
      <c r="IX2071" s="73"/>
      <c r="IY2071" s="73"/>
      <c r="IZ2071" s="73"/>
      <c r="JA2071" s="73"/>
      <c r="JB2071" s="73"/>
      <c r="JC2071" s="73"/>
    </row>
    <row r="2072" spans="2:263" s="72" customFormat="1">
      <c r="B2072" s="73"/>
      <c r="C2072" s="73"/>
      <c r="D2072" s="73"/>
      <c r="E2072" s="73"/>
      <c r="F2072" s="73"/>
      <c r="G2072" s="73"/>
      <c r="H2072" s="73"/>
      <c r="I2072" s="73"/>
      <c r="J2072" s="73"/>
      <c r="K2072" s="73"/>
      <c r="L2072" s="73"/>
      <c r="M2072" s="73"/>
      <c r="N2072" s="73"/>
      <c r="O2072" s="73"/>
      <c r="P2072" s="73"/>
      <c r="Q2072" s="73"/>
      <c r="R2072" s="73"/>
      <c r="S2072" s="73"/>
      <c r="T2072" s="73"/>
      <c r="U2072" s="73"/>
      <c r="V2072" s="73"/>
      <c r="W2072" s="73"/>
      <c r="GL2072" s="73"/>
      <c r="GM2072" s="73"/>
      <c r="GN2072" s="73"/>
      <c r="GO2072" s="73"/>
      <c r="GP2072" s="73"/>
      <c r="GQ2072" s="73"/>
      <c r="GR2072" s="73"/>
      <c r="GS2072" s="73"/>
      <c r="GT2072" s="73"/>
      <c r="GU2072" s="73"/>
      <c r="GV2072" s="73"/>
      <c r="GW2072" s="73"/>
      <c r="GX2072" s="73"/>
      <c r="GY2072" s="73"/>
      <c r="GZ2072" s="73"/>
      <c r="HA2072" s="73"/>
      <c r="HB2072" s="73"/>
      <c r="HC2072" s="73"/>
      <c r="HD2072" s="73"/>
      <c r="HE2072" s="73"/>
      <c r="HF2072" s="73"/>
      <c r="HG2072" s="73"/>
      <c r="HH2072" s="73"/>
      <c r="HI2072" s="73"/>
      <c r="HJ2072" s="73"/>
      <c r="HK2072" s="73"/>
      <c r="HL2072" s="73"/>
      <c r="HM2072" s="73"/>
      <c r="HN2072" s="73"/>
      <c r="HO2072" s="73"/>
      <c r="HP2072" s="73"/>
      <c r="HQ2072" s="73"/>
      <c r="HR2072" s="73"/>
      <c r="HS2072" s="73"/>
      <c r="HT2072" s="73"/>
      <c r="HU2072" s="73"/>
      <c r="HV2072" s="73"/>
      <c r="HW2072" s="73"/>
      <c r="HX2072" s="73"/>
      <c r="HY2072" s="73"/>
      <c r="HZ2072" s="73"/>
      <c r="IA2072" s="73"/>
      <c r="IB2072" s="73"/>
      <c r="IC2072" s="73"/>
      <c r="ID2072" s="73"/>
      <c r="IE2072" s="73"/>
      <c r="IF2072" s="73"/>
      <c r="IG2072" s="73"/>
      <c r="IH2072" s="73"/>
      <c r="II2072" s="73"/>
      <c r="IJ2072" s="73"/>
      <c r="IK2072" s="73"/>
      <c r="IL2072" s="73"/>
      <c r="IM2072" s="73"/>
      <c r="IN2072" s="73"/>
      <c r="IO2072" s="73"/>
      <c r="IP2072" s="73"/>
      <c r="IQ2072" s="73"/>
      <c r="IR2072" s="73"/>
      <c r="IS2072" s="73"/>
      <c r="IT2072" s="73"/>
      <c r="IU2072" s="73"/>
      <c r="IV2072" s="73"/>
      <c r="IW2072" s="73"/>
      <c r="IX2072" s="73"/>
      <c r="IY2072" s="73"/>
      <c r="IZ2072" s="73"/>
      <c r="JA2072" s="73"/>
      <c r="JB2072" s="73"/>
      <c r="JC2072" s="73"/>
    </row>
    <row r="2073" spans="2:263" s="72" customFormat="1">
      <c r="B2073" s="73"/>
      <c r="C2073" s="73"/>
      <c r="D2073" s="73"/>
      <c r="E2073" s="73"/>
      <c r="F2073" s="73"/>
      <c r="G2073" s="73"/>
      <c r="H2073" s="73"/>
      <c r="I2073" s="73"/>
      <c r="J2073" s="73"/>
      <c r="K2073" s="73"/>
      <c r="L2073" s="73"/>
      <c r="M2073" s="73"/>
      <c r="N2073" s="73"/>
      <c r="O2073" s="73"/>
      <c r="P2073" s="73"/>
      <c r="Q2073" s="73"/>
      <c r="R2073" s="73"/>
      <c r="S2073" s="73"/>
      <c r="T2073" s="73"/>
      <c r="U2073" s="73"/>
      <c r="V2073" s="73"/>
      <c r="W2073" s="73"/>
      <c r="GL2073" s="73"/>
      <c r="GM2073" s="73"/>
      <c r="GN2073" s="73"/>
      <c r="GO2073" s="73"/>
      <c r="GP2073" s="73"/>
      <c r="GQ2073" s="73"/>
      <c r="GR2073" s="73"/>
      <c r="GS2073" s="73"/>
      <c r="GT2073" s="73"/>
      <c r="GU2073" s="73"/>
      <c r="GV2073" s="73"/>
      <c r="GW2073" s="73"/>
      <c r="GX2073" s="73"/>
      <c r="GY2073" s="73"/>
      <c r="GZ2073" s="73"/>
      <c r="HA2073" s="73"/>
      <c r="HB2073" s="73"/>
      <c r="HC2073" s="73"/>
      <c r="HD2073" s="73"/>
      <c r="HE2073" s="73"/>
      <c r="HF2073" s="73"/>
      <c r="HG2073" s="73"/>
      <c r="HH2073" s="73"/>
      <c r="HI2073" s="73"/>
      <c r="HJ2073" s="73"/>
      <c r="HK2073" s="73"/>
      <c r="HL2073" s="73"/>
      <c r="HM2073" s="73"/>
      <c r="HN2073" s="73"/>
      <c r="HO2073" s="73"/>
      <c r="HP2073" s="73"/>
      <c r="HQ2073" s="73"/>
      <c r="HR2073" s="73"/>
      <c r="HS2073" s="73"/>
      <c r="HT2073" s="73"/>
      <c r="HU2073" s="73"/>
      <c r="HV2073" s="73"/>
      <c r="HW2073" s="73"/>
      <c r="HX2073" s="73"/>
      <c r="HY2073" s="73"/>
      <c r="HZ2073" s="73"/>
      <c r="IA2073" s="73"/>
      <c r="IB2073" s="73"/>
      <c r="IC2073" s="73"/>
      <c r="ID2073" s="73"/>
      <c r="IE2073" s="73"/>
      <c r="IF2073" s="73"/>
      <c r="IG2073" s="73"/>
      <c r="IH2073" s="73"/>
      <c r="II2073" s="73"/>
      <c r="IJ2073" s="73"/>
      <c r="IK2073" s="73"/>
      <c r="IL2073" s="73"/>
      <c r="IM2073" s="73"/>
      <c r="IN2073" s="73"/>
      <c r="IO2073" s="73"/>
      <c r="IP2073" s="73"/>
      <c r="IQ2073" s="73"/>
      <c r="IR2073" s="73"/>
      <c r="IS2073" s="73"/>
      <c r="IT2073" s="73"/>
      <c r="IU2073" s="73"/>
      <c r="IV2073" s="73"/>
      <c r="IW2073" s="73"/>
      <c r="IX2073" s="73"/>
      <c r="IY2073" s="73"/>
      <c r="IZ2073" s="73"/>
      <c r="JA2073" s="73"/>
      <c r="JB2073" s="73"/>
      <c r="JC2073" s="73"/>
    </row>
    <row r="2074" spans="2:263" s="72" customFormat="1">
      <c r="B2074" s="73"/>
      <c r="C2074" s="73"/>
      <c r="D2074" s="73"/>
      <c r="E2074" s="73"/>
      <c r="F2074" s="73"/>
      <c r="G2074" s="73"/>
      <c r="H2074" s="73"/>
      <c r="I2074" s="73"/>
      <c r="J2074" s="73"/>
      <c r="K2074" s="73"/>
      <c r="L2074" s="73"/>
      <c r="M2074" s="73"/>
      <c r="N2074" s="73"/>
      <c r="O2074" s="73"/>
      <c r="P2074" s="73"/>
      <c r="Q2074" s="73"/>
      <c r="R2074" s="73"/>
      <c r="S2074" s="73"/>
      <c r="T2074" s="73"/>
      <c r="U2074" s="73"/>
      <c r="V2074" s="73"/>
      <c r="W2074" s="73"/>
      <c r="GL2074" s="73"/>
      <c r="GM2074" s="73"/>
      <c r="GN2074" s="73"/>
      <c r="GO2074" s="73"/>
      <c r="GP2074" s="73"/>
      <c r="GQ2074" s="73"/>
      <c r="GR2074" s="73"/>
      <c r="GS2074" s="73"/>
      <c r="GT2074" s="73"/>
      <c r="GU2074" s="73"/>
      <c r="GV2074" s="73"/>
      <c r="GW2074" s="73"/>
      <c r="GX2074" s="73"/>
      <c r="GY2074" s="73"/>
      <c r="GZ2074" s="73"/>
      <c r="HA2074" s="73"/>
      <c r="HB2074" s="73"/>
      <c r="HC2074" s="73"/>
      <c r="HD2074" s="73"/>
      <c r="HE2074" s="73"/>
      <c r="HF2074" s="73"/>
      <c r="HG2074" s="73"/>
      <c r="HH2074" s="73"/>
      <c r="HI2074" s="73"/>
      <c r="HJ2074" s="73"/>
      <c r="HK2074" s="73"/>
      <c r="HL2074" s="73"/>
      <c r="HM2074" s="73"/>
      <c r="HN2074" s="73"/>
      <c r="HO2074" s="73"/>
      <c r="HP2074" s="73"/>
      <c r="HQ2074" s="73"/>
      <c r="HR2074" s="73"/>
      <c r="HS2074" s="73"/>
      <c r="HT2074" s="73"/>
      <c r="HU2074" s="73"/>
      <c r="HV2074" s="73"/>
      <c r="HW2074" s="73"/>
      <c r="HX2074" s="73"/>
      <c r="HY2074" s="73"/>
      <c r="HZ2074" s="73"/>
      <c r="IA2074" s="73"/>
      <c r="IB2074" s="73"/>
      <c r="IC2074" s="73"/>
      <c r="ID2074" s="73"/>
      <c r="IE2074" s="73"/>
      <c r="IF2074" s="73"/>
      <c r="IG2074" s="73"/>
      <c r="IH2074" s="73"/>
      <c r="II2074" s="73"/>
      <c r="IJ2074" s="73"/>
      <c r="IK2074" s="73"/>
      <c r="IL2074" s="73"/>
      <c r="IM2074" s="73"/>
      <c r="IN2074" s="73"/>
      <c r="IO2074" s="73"/>
      <c r="IP2074" s="73"/>
      <c r="IQ2074" s="73"/>
      <c r="IR2074" s="73"/>
      <c r="IS2074" s="73"/>
      <c r="IT2074" s="73"/>
      <c r="IU2074" s="73"/>
      <c r="IV2074" s="73"/>
      <c r="IW2074" s="73"/>
      <c r="IX2074" s="73"/>
      <c r="IY2074" s="73"/>
      <c r="IZ2074" s="73"/>
      <c r="JA2074" s="73"/>
      <c r="JB2074" s="73"/>
      <c r="JC2074" s="73"/>
    </row>
    <row r="2075" spans="2:263" s="72" customFormat="1">
      <c r="B2075" s="73"/>
      <c r="C2075" s="73"/>
      <c r="D2075" s="73"/>
      <c r="E2075" s="73"/>
      <c r="F2075" s="73"/>
      <c r="G2075" s="73"/>
      <c r="H2075" s="73"/>
      <c r="I2075" s="73"/>
      <c r="J2075" s="73"/>
      <c r="K2075" s="73"/>
      <c r="L2075" s="73"/>
      <c r="M2075" s="73"/>
      <c r="N2075" s="73"/>
      <c r="O2075" s="73"/>
      <c r="P2075" s="73"/>
      <c r="Q2075" s="73"/>
      <c r="R2075" s="73"/>
      <c r="S2075" s="73"/>
      <c r="T2075" s="73"/>
      <c r="U2075" s="73"/>
      <c r="V2075" s="73"/>
      <c r="W2075" s="73"/>
      <c r="GL2075" s="73"/>
      <c r="GM2075" s="73"/>
      <c r="GN2075" s="73"/>
      <c r="GO2075" s="73"/>
      <c r="GP2075" s="73"/>
      <c r="GQ2075" s="73"/>
      <c r="GR2075" s="73"/>
      <c r="GS2075" s="73"/>
      <c r="GT2075" s="73"/>
      <c r="GU2075" s="73"/>
      <c r="GV2075" s="73"/>
      <c r="GW2075" s="73"/>
      <c r="GX2075" s="73"/>
      <c r="GY2075" s="73"/>
      <c r="GZ2075" s="73"/>
      <c r="HA2075" s="73"/>
      <c r="HB2075" s="73"/>
      <c r="HC2075" s="73"/>
      <c r="HD2075" s="73"/>
      <c r="HE2075" s="73"/>
      <c r="HF2075" s="73"/>
      <c r="HG2075" s="73"/>
      <c r="HH2075" s="73"/>
      <c r="HI2075" s="73"/>
      <c r="HJ2075" s="73"/>
      <c r="HK2075" s="73"/>
      <c r="HL2075" s="73"/>
      <c r="HM2075" s="73"/>
      <c r="HN2075" s="73"/>
      <c r="HO2075" s="73"/>
      <c r="HP2075" s="73"/>
      <c r="HQ2075" s="73"/>
      <c r="HR2075" s="73"/>
      <c r="HS2075" s="73"/>
      <c r="HT2075" s="73"/>
      <c r="HU2075" s="73"/>
      <c r="HV2075" s="73"/>
      <c r="HW2075" s="73"/>
      <c r="HX2075" s="73"/>
      <c r="HY2075" s="73"/>
      <c r="HZ2075" s="73"/>
      <c r="IA2075" s="73"/>
      <c r="IB2075" s="73"/>
      <c r="IC2075" s="73"/>
      <c r="ID2075" s="73"/>
      <c r="IE2075" s="73"/>
      <c r="IF2075" s="73"/>
      <c r="IG2075" s="73"/>
      <c r="IH2075" s="73"/>
      <c r="II2075" s="73"/>
      <c r="IJ2075" s="73"/>
      <c r="IK2075" s="73"/>
      <c r="IL2075" s="73"/>
      <c r="IM2075" s="73"/>
      <c r="IN2075" s="73"/>
      <c r="IO2075" s="73"/>
      <c r="IP2075" s="73"/>
      <c r="IQ2075" s="73"/>
      <c r="IR2075" s="73"/>
      <c r="IS2075" s="73"/>
      <c r="IT2075" s="73"/>
      <c r="IU2075" s="73"/>
      <c r="IV2075" s="73"/>
      <c r="IW2075" s="73"/>
      <c r="IX2075" s="73"/>
      <c r="IY2075" s="73"/>
      <c r="IZ2075" s="73"/>
      <c r="JA2075" s="73"/>
      <c r="JB2075" s="73"/>
      <c r="JC2075" s="73"/>
    </row>
    <row r="2076" spans="2:263" s="72" customFormat="1">
      <c r="B2076" s="73"/>
      <c r="C2076" s="73"/>
      <c r="D2076" s="73"/>
      <c r="E2076" s="73"/>
      <c r="F2076" s="73"/>
      <c r="G2076" s="73"/>
      <c r="H2076" s="73"/>
      <c r="I2076" s="73"/>
      <c r="J2076" s="73"/>
      <c r="K2076" s="73"/>
      <c r="L2076" s="73"/>
      <c r="M2076" s="73"/>
      <c r="N2076" s="73"/>
      <c r="O2076" s="73"/>
      <c r="P2076" s="73"/>
      <c r="Q2076" s="73"/>
      <c r="R2076" s="73"/>
      <c r="S2076" s="73"/>
      <c r="T2076" s="73"/>
      <c r="U2076" s="73"/>
      <c r="V2076" s="73"/>
      <c r="W2076" s="73"/>
      <c r="GL2076" s="73"/>
      <c r="GM2076" s="73"/>
      <c r="GN2076" s="73"/>
      <c r="GO2076" s="73"/>
      <c r="GP2076" s="73"/>
      <c r="GQ2076" s="73"/>
      <c r="GR2076" s="73"/>
      <c r="GS2076" s="73"/>
      <c r="GT2076" s="73"/>
      <c r="GU2076" s="73"/>
      <c r="GV2076" s="73"/>
      <c r="GW2076" s="73"/>
      <c r="GX2076" s="73"/>
      <c r="GY2076" s="73"/>
      <c r="GZ2076" s="73"/>
      <c r="HA2076" s="73"/>
      <c r="HB2076" s="73"/>
      <c r="HC2076" s="73"/>
      <c r="HD2076" s="73"/>
      <c r="HE2076" s="73"/>
      <c r="HF2076" s="73"/>
      <c r="HG2076" s="73"/>
      <c r="HH2076" s="73"/>
      <c r="HI2076" s="73"/>
      <c r="HJ2076" s="73"/>
      <c r="HK2076" s="73"/>
      <c r="HL2076" s="73"/>
      <c r="HM2076" s="73"/>
      <c r="HN2076" s="73"/>
      <c r="HO2076" s="73"/>
      <c r="HP2076" s="73"/>
      <c r="HQ2076" s="73"/>
      <c r="HR2076" s="73"/>
      <c r="HS2076" s="73"/>
      <c r="HT2076" s="73"/>
      <c r="HU2076" s="73"/>
      <c r="HV2076" s="73"/>
      <c r="HW2076" s="73"/>
      <c r="HX2076" s="73"/>
      <c r="HY2076" s="73"/>
      <c r="HZ2076" s="73"/>
      <c r="IA2076" s="73"/>
      <c r="IB2076" s="73"/>
      <c r="IC2076" s="73"/>
      <c r="ID2076" s="73"/>
      <c r="IE2076" s="73"/>
      <c r="IF2076" s="73"/>
      <c r="IG2076" s="73"/>
      <c r="IH2076" s="73"/>
      <c r="II2076" s="73"/>
      <c r="IJ2076" s="73"/>
      <c r="IK2076" s="73"/>
      <c r="IL2076" s="73"/>
      <c r="IM2076" s="73"/>
      <c r="IN2076" s="73"/>
      <c r="IO2076" s="73"/>
      <c r="IP2076" s="73"/>
      <c r="IQ2076" s="73"/>
      <c r="IR2076" s="73"/>
      <c r="IS2076" s="73"/>
      <c r="IT2076" s="73"/>
      <c r="IU2076" s="73"/>
      <c r="IV2076" s="73"/>
      <c r="IW2076" s="73"/>
      <c r="IX2076" s="73"/>
      <c r="IY2076" s="73"/>
      <c r="IZ2076" s="73"/>
      <c r="JA2076" s="73"/>
      <c r="JB2076" s="73"/>
      <c r="JC2076" s="73"/>
    </row>
    <row r="2077" spans="2:263" s="72" customFormat="1">
      <c r="B2077" s="73"/>
      <c r="C2077" s="73"/>
      <c r="D2077" s="73"/>
      <c r="E2077" s="73"/>
      <c r="F2077" s="73"/>
      <c r="G2077" s="73"/>
      <c r="H2077" s="73"/>
      <c r="I2077" s="73"/>
      <c r="J2077" s="73"/>
      <c r="K2077" s="73"/>
      <c r="L2077" s="73"/>
      <c r="M2077" s="73"/>
      <c r="N2077" s="73"/>
      <c r="O2077" s="73"/>
      <c r="P2077" s="73"/>
      <c r="Q2077" s="73"/>
      <c r="R2077" s="73"/>
      <c r="S2077" s="73"/>
      <c r="T2077" s="73"/>
      <c r="U2077" s="73"/>
      <c r="V2077" s="73"/>
      <c r="W2077" s="73"/>
      <c r="GL2077" s="73"/>
      <c r="GM2077" s="73"/>
      <c r="GN2077" s="73"/>
      <c r="GO2077" s="73"/>
      <c r="GP2077" s="73"/>
      <c r="GQ2077" s="73"/>
      <c r="GR2077" s="73"/>
      <c r="GS2077" s="73"/>
      <c r="GT2077" s="73"/>
      <c r="GU2077" s="73"/>
      <c r="GV2077" s="73"/>
      <c r="GW2077" s="73"/>
      <c r="GX2077" s="73"/>
      <c r="GY2077" s="73"/>
      <c r="GZ2077" s="73"/>
      <c r="HA2077" s="73"/>
      <c r="HB2077" s="73"/>
      <c r="HC2077" s="73"/>
      <c r="HD2077" s="73"/>
      <c r="HE2077" s="73"/>
      <c r="HF2077" s="73"/>
      <c r="HG2077" s="73"/>
      <c r="HH2077" s="73"/>
      <c r="HI2077" s="73"/>
      <c r="HJ2077" s="73"/>
      <c r="HK2077" s="73"/>
      <c r="HL2077" s="73"/>
      <c r="HM2077" s="73"/>
      <c r="HN2077" s="73"/>
      <c r="HO2077" s="73"/>
      <c r="HP2077" s="73"/>
      <c r="HQ2077" s="73"/>
      <c r="HR2077" s="73"/>
      <c r="HS2077" s="73"/>
      <c r="HT2077" s="73"/>
      <c r="HU2077" s="73"/>
      <c r="HV2077" s="73"/>
      <c r="HW2077" s="73"/>
      <c r="HX2077" s="73"/>
      <c r="HY2077" s="73"/>
      <c r="HZ2077" s="73"/>
      <c r="IA2077" s="73"/>
      <c r="IB2077" s="73"/>
      <c r="IC2077" s="73"/>
      <c r="ID2077" s="73"/>
      <c r="IE2077" s="73"/>
      <c r="IF2077" s="73"/>
      <c r="IG2077" s="73"/>
      <c r="IH2077" s="73"/>
      <c r="II2077" s="73"/>
      <c r="IJ2077" s="73"/>
      <c r="IK2077" s="73"/>
      <c r="IL2077" s="73"/>
      <c r="IM2077" s="73"/>
      <c r="IN2077" s="73"/>
      <c r="IO2077" s="73"/>
      <c r="IP2077" s="73"/>
      <c r="IQ2077" s="73"/>
      <c r="IR2077" s="73"/>
      <c r="IS2077" s="73"/>
      <c r="IT2077" s="73"/>
      <c r="IU2077" s="73"/>
      <c r="IV2077" s="73"/>
      <c r="IW2077" s="73"/>
      <c r="IX2077" s="73"/>
      <c r="IY2077" s="73"/>
      <c r="IZ2077" s="73"/>
      <c r="JA2077" s="73"/>
      <c r="JB2077" s="73"/>
      <c r="JC2077" s="73"/>
    </row>
    <row r="2078" spans="2:263" s="72" customFormat="1">
      <c r="B2078" s="73"/>
      <c r="C2078" s="73"/>
      <c r="D2078" s="73"/>
      <c r="E2078" s="73"/>
      <c r="F2078" s="73"/>
      <c r="G2078" s="73"/>
      <c r="H2078" s="73"/>
      <c r="I2078" s="73"/>
      <c r="J2078" s="73"/>
      <c r="K2078" s="73"/>
      <c r="L2078" s="73"/>
      <c r="M2078" s="73"/>
      <c r="N2078" s="73"/>
      <c r="O2078" s="73"/>
      <c r="P2078" s="73"/>
      <c r="Q2078" s="73"/>
      <c r="R2078" s="73"/>
      <c r="S2078" s="73"/>
      <c r="T2078" s="73"/>
      <c r="U2078" s="73"/>
      <c r="V2078" s="73"/>
      <c r="W2078" s="73"/>
      <c r="GL2078" s="73"/>
      <c r="GM2078" s="73"/>
      <c r="GN2078" s="73"/>
      <c r="GO2078" s="73"/>
      <c r="GP2078" s="73"/>
      <c r="GQ2078" s="73"/>
      <c r="GR2078" s="73"/>
      <c r="GS2078" s="73"/>
      <c r="GT2078" s="73"/>
      <c r="GU2078" s="73"/>
      <c r="GV2078" s="73"/>
      <c r="GW2078" s="73"/>
      <c r="GX2078" s="73"/>
      <c r="GY2078" s="73"/>
      <c r="GZ2078" s="73"/>
      <c r="HA2078" s="73"/>
      <c r="HB2078" s="73"/>
      <c r="HC2078" s="73"/>
      <c r="HD2078" s="73"/>
      <c r="HE2078" s="73"/>
      <c r="HF2078" s="73"/>
      <c r="HG2078" s="73"/>
      <c r="HH2078" s="73"/>
      <c r="HI2078" s="73"/>
      <c r="HJ2078" s="73"/>
      <c r="HK2078" s="73"/>
      <c r="HL2078" s="73"/>
      <c r="HM2078" s="73"/>
      <c r="HN2078" s="73"/>
      <c r="HO2078" s="73"/>
      <c r="HP2078" s="73"/>
      <c r="HQ2078" s="73"/>
      <c r="HR2078" s="73"/>
      <c r="HS2078" s="73"/>
      <c r="HT2078" s="73"/>
      <c r="HU2078" s="73"/>
      <c r="HV2078" s="73"/>
      <c r="HW2078" s="73"/>
      <c r="HX2078" s="73"/>
      <c r="HY2078" s="73"/>
      <c r="HZ2078" s="73"/>
      <c r="IA2078" s="73"/>
      <c r="IB2078" s="73"/>
      <c r="IC2078" s="73"/>
      <c r="ID2078" s="73"/>
      <c r="IE2078" s="73"/>
      <c r="IF2078" s="73"/>
      <c r="IG2078" s="73"/>
      <c r="IH2078" s="73"/>
      <c r="II2078" s="73"/>
      <c r="IJ2078" s="73"/>
      <c r="IK2078" s="73"/>
      <c r="IL2078" s="73"/>
      <c r="IM2078" s="73"/>
      <c r="IN2078" s="73"/>
      <c r="IO2078" s="73"/>
      <c r="IP2078" s="73"/>
      <c r="IQ2078" s="73"/>
      <c r="IR2078" s="73"/>
      <c r="IS2078" s="73"/>
      <c r="IT2078" s="73"/>
      <c r="IU2078" s="73"/>
      <c r="IV2078" s="73"/>
      <c r="IW2078" s="73"/>
      <c r="IX2078" s="73"/>
      <c r="IY2078" s="73"/>
      <c r="IZ2078" s="73"/>
      <c r="JA2078" s="73"/>
      <c r="JB2078" s="73"/>
      <c r="JC2078" s="73"/>
    </row>
    <row r="2079" spans="2:263" s="72" customFormat="1">
      <c r="B2079" s="73"/>
      <c r="C2079" s="73"/>
      <c r="D2079" s="73"/>
      <c r="E2079" s="73"/>
      <c r="F2079" s="73"/>
      <c r="G2079" s="73"/>
      <c r="H2079" s="73"/>
      <c r="I2079" s="73"/>
      <c r="J2079" s="73"/>
      <c r="K2079" s="73"/>
      <c r="L2079" s="73"/>
      <c r="M2079" s="73"/>
      <c r="N2079" s="73"/>
      <c r="O2079" s="73"/>
      <c r="P2079" s="73"/>
      <c r="Q2079" s="73"/>
      <c r="R2079" s="73"/>
      <c r="S2079" s="73"/>
      <c r="T2079" s="73"/>
      <c r="U2079" s="73"/>
      <c r="V2079" s="73"/>
      <c r="W2079" s="73"/>
      <c r="GL2079" s="73"/>
      <c r="GM2079" s="73"/>
      <c r="GN2079" s="73"/>
      <c r="GO2079" s="73"/>
      <c r="GP2079" s="73"/>
      <c r="GQ2079" s="73"/>
      <c r="GR2079" s="73"/>
      <c r="GS2079" s="73"/>
      <c r="GT2079" s="73"/>
      <c r="GU2079" s="73"/>
      <c r="GV2079" s="73"/>
      <c r="GW2079" s="73"/>
      <c r="GX2079" s="73"/>
      <c r="GY2079" s="73"/>
      <c r="GZ2079" s="73"/>
      <c r="HA2079" s="73"/>
      <c r="HB2079" s="73"/>
      <c r="HC2079" s="73"/>
      <c r="HD2079" s="73"/>
      <c r="HE2079" s="73"/>
      <c r="HF2079" s="73"/>
      <c r="HG2079" s="73"/>
      <c r="HH2079" s="73"/>
      <c r="HI2079" s="73"/>
      <c r="HJ2079" s="73"/>
      <c r="HK2079" s="73"/>
      <c r="HL2079" s="73"/>
      <c r="HM2079" s="73"/>
      <c r="HN2079" s="73"/>
      <c r="HO2079" s="73"/>
      <c r="HP2079" s="73"/>
      <c r="HQ2079" s="73"/>
      <c r="HR2079" s="73"/>
      <c r="HS2079" s="73"/>
      <c r="HT2079" s="73"/>
      <c r="HU2079" s="73"/>
      <c r="HV2079" s="73"/>
      <c r="HW2079" s="73"/>
      <c r="HX2079" s="73"/>
      <c r="HY2079" s="73"/>
      <c r="HZ2079" s="73"/>
      <c r="IA2079" s="73"/>
      <c r="IB2079" s="73"/>
      <c r="IC2079" s="73"/>
      <c r="ID2079" s="73"/>
      <c r="IE2079" s="73"/>
      <c r="IF2079" s="73"/>
      <c r="IG2079" s="73"/>
      <c r="IH2079" s="73"/>
      <c r="II2079" s="73"/>
      <c r="IJ2079" s="73"/>
      <c r="IK2079" s="73"/>
      <c r="IL2079" s="73"/>
      <c r="IM2079" s="73"/>
      <c r="IN2079" s="73"/>
      <c r="IO2079" s="73"/>
      <c r="IP2079" s="73"/>
      <c r="IQ2079" s="73"/>
      <c r="IR2079" s="73"/>
      <c r="IS2079" s="73"/>
      <c r="IT2079" s="73"/>
      <c r="IU2079" s="73"/>
      <c r="IV2079" s="73"/>
      <c r="IW2079" s="73"/>
      <c r="IX2079" s="73"/>
      <c r="IY2079" s="73"/>
      <c r="IZ2079" s="73"/>
      <c r="JA2079" s="73"/>
      <c r="JB2079" s="73"/>
      <c r="JC2079" s="73"/>
    </row>
    <row r="2080" spans="2:263" s="72" customFormat="1">
      <c r="B2080" s="73"/>
      <c r="C2080" s="73"/>
      <c r="D2080" s="73"/>
      <c r="E2080" s="73"/>
      <c r="F2080" s="73"/>
      <c r="G2080" s="73"/>
      <c r="H2080" s="73"/>
      <c r="I2080" s="73"/>
      <c r="J2080" s="73"/>
      <c r="K2080" s="73"/>
      <c r="L2080" s="73"/>
      <c r="M2080" s="73"/>
      <c r="N2080" s="73"/>
      <c r="O2080" s="73"/>
      <c r="P2080" s="73"/>
      <c r="Q2080" s="73"/>
      <c r="R2080" s="73"/>
      <c r="S2080" s="73"/>
      <c r="T2080" s="73"/>
      <c r="U2080" s="73"/>
      <c r="V2080" s="73"/>
      <c r="W2080" s="73"/>
      <c r="GL2080" s="73"/>
      <c r="GM2080" s="73"/>
      <c r="GN2080" s="73"/>
      <c r="GO2080" s="73"/>
      <c r="GP2080" s="73"/>
      <c r="GQ2080" s="73"/>
      <c r="GR2080" s="73"/>
      <c r="GS2080" s="73"/>
      <c r="GT2080" s="73"/>
      <c r="GU2080" s="73"/>
      <c r="GV2080" s="73"/>
      <c r="GW2080" s="73"/>
      <c r="GX2080" s="73"/>
      <c r="GY2080" s="73"/>
      <c r="GZ2080" s="73"/>
      <c r="HA2080" s="73"/>
      <c r="HB2080" s="73"/>
      <c r="HC2080" s="73"/>
      <c r="HD2080" s="73"/>
      <c r="HE2080" s="73"/>
      <c r="HF2080" s="73"/>
      <c r="HG2080" s="73"/>
      <c r="HH2080" s="73"/>
      <c r="HI2080" s="73"/>
      <c r="HJ2080" s="73"/>
      <c r="HK2080" s="73"/>
      <c r="HL2080" s="73"/>
      <c r="HM2080" s="73"/>
      <c r="HN2080" s="73"/>
      <c r="HO2080" s="73"/>
      <c r="HP2080" s="73"/>
      <c r="HQ2080" s="73"/>
      <c r="HR2080" s="73"/>
      <c r="HS2080" s="73"/>
      <c r="HT2080" s="73"/>
      <c r="HU2080" s="73"/>
      <c r="HV2080" s="73"/>
      <c r="HW2080" s="73"/>
      <c r="HX2080" s="73"/>
      <c r="HY2080" s="73"/>
      <c r="HZ2080" s="73"/>
      <c r="IA2080" s="73"/>
      <c r="IB2080" s="73"/>
      <c r="IC2080" s="73"/>
      <c r="ID2080" s="73"/>
      <c r="IE2080" s="73"/>
      <c r="IF2080" s="73"/>
      <c r="IG2080" s="73"/>
      <c r="IH2080" s="73"/>
      <c r="II2080" s="73"/>
      <c r="IJ2080" s="73"/>
      <c r="IK2080" s="73"/>
      <c r="IL2080" s="73"/>
      <c r="IM2080" s="73"/>
      <c r="IN2080" s="73"/>
      <c r="IO2080" s="73"/>
      <c r="IP2080" s="73"/>
      <c r="IQ2080" s="73"/>
      <c r="IR2080" s="73"/>
      <c r="IS2080" s="73"/>
      <c r="IT2080" s="73"/>
      <c r="IU2080" s="73"/>
      <c r="IV2080" s="73"/>
      <c r="IW2080" s="73"/>
      <c r="IX2080" s="73"/>
      <c r="IY2080" s="73"/>
      <c r="IZ2080" s="73"/>
      <c r="JA2080" s="73"/>
      <c r="JB2080" s="73"/>
      <c r="JC2080" s="73"/>
    </row>
    <row r="2081" spans="2:263" s="72" customFormat="1">
      <c r="B2081" s="73"/>
      <c r="C2081" s="73"/>
      <c r="D2081" s="73"/>
      <c r="E2081" s="73"/>
      <c r="F2081" s="73"/>
      <c r="G2081" s="73"/>
      <c r="H2081" s="73"/>
      <c r="I2081" s="73"/>
      <c r="J2081" s="73"/>
      <c r="K2081" s="73"/>
      <c r="L2081" s="73"/>
      <c r="M2081" s="73"/>
      <c r="N2081" s="73"/>
      <c r="O2081" s="73"/>
      <c r="P2081" s="73"/>
      <c r="Q2081" s="73"/>
      <c r="R2081" s="73"/>
      <c r="S2081" s="73"/>
      <c r="T2081" s="73"/>
      <c r="U2081" s="73"/>
      <c r="V2081" s="73"/>
      <c r="W2081" s="73"/>
      <c r="GL2081" s="73"/>
      <c r="GM2081" s="73"/>
      <c r="GN2081" s="73"/>
      <c r="GO2081" s="73"/>
      <c r="GP2081" s="73"/>
      <c r="GQ2081" s="73"/>
      <c r="GR2081" s="73"/>
      <c r="GS2081" s="73"/>
      <c r="GT2081" s="73"/>
      <c r="GU2081" s="73"/>
      <c r="GV2081" s="73"/>
      <c r="GW2081" s="73"/>
      <c r="GX2081" s="73"/>
      <c r="GY2081" s="73"/>
      <c r="GZ2081" s="73"/>
      <c r="HA2081" s="73"/>
      <c r="HB2081" s="73"/>
      <c r="HC2081" s="73"/>
      <c r="HD2081" s="73"/>
      <c r="HE2081" s="73"/>
      <c r="HF2081" s="73"/>
      <c r="HG2081" s="73"/>
      <c r="HH2081" s="73"/>
      <c r="HI2081" s="73"/>
      <c r="HJ2081" s="73"/>
      <c r="HK2081" s="73"/>
      <c r="HL2081" s="73"/>
      <c r="HM2081" s="73"/>
      <c r="HN2081" s="73"/>
      <c r="HO2081" s="73"/>
      <c r="HP2081" s="73"/>
      <c r="HQ2081" s="73"/>
      <c r="HR2081" s="73"/>
      <c r="HS2081" s="73"/>
      <c r="HT2081" s="73"/>
      <c r="HU2081" s="73"/>
      <c r="HV2081" s="73"/>
      <c r="HW2081" s="73"/>
      <c r="HX2081" s="73"/>
      <c r="HY2081" s="73"/>
      <c r="HZ2081" s="73"/>
      <c r="IA2081" s="73"/>
      <c r="IB2081" s="73"/>
      <c r="IC2081" s="73"/>
      <c r="ID2081" s="73"/>
      <c r="IE2081" s="73"/>
      <c r="IF2081" s="73"/>
      <c r="IG2081" s="73"/>
      <c r="IH2081" s="73"/>
      <c r="II2081" s="73"/>
      <c r="IJ2081" s="73"/>
      <c r="IK2081" s="73"/>
      <c r="IL2081" s="73"/>
      <c r="IM2081" s="73"/>
      <c r="IN2081" s="73"/>
      <c r="IO2081" s="73"/>
      <c r="IP2081" s="73"/>
      <c r="IQ2081" s="73"/>
      <c r="IR2081" s="73"/>
      <c r="IS2081" s="73"/>
      <c r="IT2081" s="73"/>
      <c r="IU2081" s="73"/>
      <c r="IV2081" s="73"/>
      <c r="IW2081" s="73"/>
      <c r="IX2081" s="73"/>
      <c r="IY2081" s="73"/>
      <c r="IZ2081" s="73"/>
      <c r="JA2081" s="73"/>
      <c r="JB2081" s="73"/>
      <c r="JC2081" s="73"/>
    </row>
    <row r="2082" spans="2:263" s="72" customFormat="1">
      <c r="B2082" s="73"/>
      <c r="C2082" s="73"/>
      <c r="D2082" s="73"/>
      <c r="E2082" s="73"/>
      <c r="F2082" s="73"/>
      <c r="G2082" s="73"/>
      <c r="H2082" s="73"/>
      <c r="I2082" s="73"/>
      <c r="J2082" s="73"/>
      <c r="K2082" s="73"/>
      <c r="L2082" s="73"/>
      <c r="M2082" s="73"/>
      <c r="N2082" s="73"/>
      <c r="O2082" s="73"/>
      <c r="P2082" s="73"/>
      <c r="Q2082" s="73"/>
      <c r="R2082" s="73"/>
      <c r="S2082" s="73"/>
      <c r="T2082" s="73"/>
      <c r="U2082" s="73"/>
      <c r="V2082" s="73"/>
      <c r="W2082" s="73"/>
      <c r="GL2082" s="73"/>
      <c r="GM2082" s="73"/>
      <c r="GN2082" s="73"/>
      <c r="GO2082" s="73"/>
      <c r="GP2082" s="73"/>
      <c r="GQ2082" s="73"/>
      <c r="GR2082" s="73"/>
      <c r="GS2082" s="73"/>
      <c r="GT2082" s="73"/>
      <c r="GU2082" s="73"/>
      <c r="GV2082" s="73"/>
      <c r="GW2082" s="73"/>
      <c r="GX2082" s="73"/>
      <c r="GY2082" s="73"/>
      <c r="GZ2082" s="73"/>
      <c r="HA2082" s="73"/>
      <c r="HB2082" s="73"/>
      <c r="HC2082" s="73"/>
      <c r="HD2082" s="73"/>
      <c r="HE2082" s="73"/>
      <c r="HF2082" s="73"/>
      <c r="HG2082" s="73"/>
      <c r="HH2082" s="73"/>
      <c r="HI2082" s="73"/>
      <c r="HJ2082" s="73"/>
      <c r="HK2082" s="73"/>
      <c r="HL2082" s="73"/>
      <c r="HM2082" s="73"/>
      <c r="HN2082" s="73"/>
      <c r="HO2082" s="73"/>
      <c r="HP2082" s="73"/>
      <c r="HQ2082" s="73"/>
      <c r="HR2082" s="73"/>
      <c r="HS2082" s="73"/>
      <c r="HT2082" s="73"/>
      <c r="HU2082" s="73"/>
      <c r="HV2082" s="73"/>
      <c r="HW2082" s="73"/>
      <c r="HX2082" s="73"/>
      <c r="HY2082" s="73"/>
      <c r="HZ2082" s="73"/>
      <c r="IA2082" s="73"/>
      <c r="IB2082" s="73"/>
      <c r="IC2082" s="73"/>
      <c r="ID2082" s="73"/>
      <c r="IE2082" s="73"/>
      <c r="IF2082" s="73"/>
      <c r="IG2082" s="73"/>
      <c r="IH2082" s="73"/>
      <c r="II2082" s="73"/>
      <c r="IJ2082" s="73"/>
      <c r="IK2082" s="73"/>
      <c r="IL2082" s="73"/>
      <c r="IM2082" s="73"/>
      <c r="IN2082" s="73"/>
      <c r="IO2082" s="73"/>
      <c r="IP2082" s="73"/>
      <c r="IQ2082" s="73"/>
      <c r="IR2082" s="73"/>
      <c r="IS2082" s="73"/>
      <c r="IT2082" s="73"/>
      <c r="IU2082" s="73"/>
      <c r="IV2082" s="73"/>
      <c r="IW2082" s="73"/>
      <c r="IX2082" s="73"/>
      <c r="IY2082" s="73"/>
      <c r="IZ2082" s="73"/>
      <c r="JA2082" s="73"/>
      <c r="JB2082" s="73"/>
      <c r="JC2082" s="73"/>
    </row>
    <row r="2083" spans="2:263" s="72" customFormat="1">
      <c r="B2083" s="73"/>
      <c r="C2083" s="73"/>
      <c r="D2083" s="73"/>
      <c r="E2083" s="73"/>
      <c r="F2083" s="73"/>
      <c r="G2083" s="73"/>
      <c r="H2083" s="73"/>
      <c r="I2083" s="73"/>
      <c r="J2083" s="73"/>
      <c r="K2083" s="73"/>
      <c r="L2083" s="73"/>
      <c r="M2083" s="73"/>
      <c r="N2083" s="73"/>
      <c r="O2083" s="73"/>
      <c r="P2083" s="73"/>
      <c r="Q2083" s="73"/>
      <c r="R2083" s="73"/>
      <c r="S2083" s="73"/>
      <c r="T2083" s="73"/>
      <c r="U2083" s="73"/>
      <c r="V2083" s="73"/>
      <c r="W2083" s="73"/>
      <c r="GL2083" s="73"/>
      <c r="GM2083" s="73"/>
      <c r="GN2083" s="73"/>
      <c r="GO2083" s="73"/>
      <c r="GP2083" s="73"/>
      <c r="GQ2083" s="73"/>
      <c r="GR2083" s="73"/>
      <c r="GS2083" s="73"/>
      <c r="GT2083" s="73"/>
      <c r="GU2083" s="73"/>
      <c r="GV2083" s="73"/>
      <c r="GW2083" s="73"/>
      <c r="GX2083" s="73"/>
      <c r="GY2083" s="73"/>
      <c r="GZ2083" s="73"/>
      <c r="HA2083" s="73"/>
      <c r="HB2083" s="73"/>
      <c r="HC2083" s="73"/>
      <c r="HD2083" s="73"/>
      <c r="HE2083" s="73"/>
      <c r="HF2083" s="73"/>
      <c r="HG2083" s="73"/>
      <c r="HH2083" s="73"/>
      <c r="HI2083" s="73"/>
      <c r="HJ2083" s="73"/>
      <c r="HK2083" s="73"/>
      <c r="HL2083" s="73"/>
      <c r="HM2083" s="73"/>
      <c r="HN2083" s="73"/>
      <c r="HO2083" s="73"/>
      <c r="HP2083" s="73"/>
      <c r="HQ2083" s="73"/>
      <c r="HR2083" s="73"/>
      <c r="HS2083" s="73"/>
      <c r="HT2083" s="73"/>
      <c r="HU2083" s="73"/>
      <c r="HV2083" s="73"/>
      <c r="HW2083" s="73"/>
      <c r="HX2083" s="73"/>
      <c r="HY2083" s="73"/>
      <c r="HZ2083" s="73"/>
      <c r="IA2083" s="73"/>
      <c r="IB2083" s="73"/>
      <c r="IC2083" s="73"/>
      <c r="ID2083" s="73"/>
      <c r="IE2083" s="73"/>
      <c r="IF2083" s="73"/>
      <c r="IG2083" s="73"/>
      <c r="IH2083" s="73"/>
      <c r="II2083" s="73"/>
      <c r="IJ2083" s="73"/>
      <c r="IK2083" s="73"/>
      <c r="IL2083" s="73"/>
      <c r="IM2083" s="73"/>
      <c r="IN2083" s="73"/>
      <c r="IO2083" s="73"/>
      <c r="IP2083" s="73"/>
      <c r="IQ2083" s="73"/>
      <c r="IR2083" s="73"/>
      <c r="IS2083" s="73"/>
      <c r="IT2083" s="73"/>
      <c r="IU2083" s="73"/>
      <c r="IV2083" s="73"/>
      <c r="IW2083" s="73"/>
      <c r="IX2083" s="73"/>
      <c r="IY2083" s="73"/>
      <c r="IZ2083" s="73"/>
      <c r="JA2083" s="73"/>
      <c r="JB2083" s="73"/>
      <c r="JC2083" s="73"/>
    </row>
    <row r="2084" spans="2:263" s="72" customFormat="1">
      <c r="B2084" s="73"/>
      <c r="C2084" s="73"/>
      <c r="D2084" s="73"/>
      <c r="E2084" s="73"/>
      <c r="F2084" s="73"/>
      <c r="G2084" s="73"/>
      <c r="H2084" s="73"/>
      <c r="I2084" s="73"/>
      <c r="J2084" s="73"/>
      <c r="K2084" s="73"/>
      <c r="L2084" s="73"/>
      <c r="M2084" s="73"/>
      <c r="N2084" s="73"/>
      <c r="O2084" s="73"/>
      <c r="P2084" s="73"/>
      <c r="Q2084" s="73"/>
      <c r="R2084" s="73"/>
      <c r="S2084" s="73"/>
      <c r="T2084" s="73"/>
      <c r="U2084" s="73"/>
      <c r="V2084" s="73"/>
      <c r="W2084" s="73"/>
      <c r="GL2084" s="73"/>
      <c r="GM2084" s="73"/>
      <c r="GN2084" s="73"/>
      <c r="GO2084" s="73"/>
      <c r="GP2084" s="73"/>
      <c r="GQ2084" s="73"/>
      <c r="GR2084" s="73"/>
      <c r="GS2084" s="73"/>
      <c r="GT2084" s="73"/>
      <c r="GU2084" s="73"/>
      <c r="GV2084" s="73"/>
      <c r="GW2084" s="73"/>
      <c r="GX2084" s="73"/>
      <c r="GY2084" s="73"/>
      <c r="GZ2084" s="73"/>
      <c r="HA2084" s="73"/>
      <c r="HB2084" s="73"/>
      <c r="HC2084" s="73"/>
      <c r="HD2084" s="73"/>
      <c r="HE2084" s="73"/>
      <c r="HF2084" s="73"/>
      <c r="HG2084" s="73"/>
      <c r="HH2084" s="73"/>
      <c r="HI2084" s="73"/>
      <c r="HJ2084" s="73"/>
      <c r="HK2084" s="73"/>
      <c r="HL2084" s="73"/>
      <c r="HM2084" s="73"/>
      <c r="HN2084" s="73"/>
      <c r="HO2084" s="73"/>
      <c r="HP2084" s="73"/>
      <c r="HQ2084" s="73"/>
      <c r="HR2084" s="73"/>
      <c r="HS2084" s="73"/>
      <c r="HT2084" s="73"/>
      <c r="HU2084" s="73"/>
      <c r="HV2084" s="73"/>
      <c r="HW2084" s="73"/>
      <c r="HX2084" s="73"/>
      <c r="HY2084" s="73"/>
      <c r="HZ2084" s="73"/>
      <c r="IA2084" s="73"/>
      <c r="IB2084" s="73"/>
      <c r="IC2084" s="73"/>
      <c r="ID2084" s="73"/>
      <c r="IE2084" s="73"/>
      <c r="IF2084" s="73"/>
      <c r="IG2084" s="73"/>
      <c r="IH2084" s="73"/>
      <c r="II2084" s="73"/>
      <c r="IJ2084" s="73"/>
      <c r="IK2084" s="73"/>
      <c r="IL2084" s="73"/>
      <c r="IM2084" s="73"/>
      <c r="IN2084" s="73"/>
      <c r="IO2084" s="73"/>
      <c r="IP2084" s="73"/>
      <c r="IQ2084" s="73"/>
      <c r="IR2084" s="73"/>
      <c r="IS2084" s="73"/>
      <c r="IT2084" s="73"/>
      <c r="IU2084" s="73"/>
      <c r="IV2084" s="73"/>
      <c r="IW2084" s="73"/>
      <c r="IX2084" s="73"/>
      <c r="IY2084" s="73"/>
      <c r="IZ2084" s="73"/>
      <c r="JA2084" s="73"/>
      <c r="JB2084" s="73"/>
      <c r="JC2084" s="73"/>
    </row>
    <row r="2085" spans="2:263" s="72" customFormat="1">
      <c r="B2085" s="73"/>
      <c r="C2085" s="73"/>
      <c r="D2085" s="73"/>
      <c r="E2085" s="73"/>
      <c r="F2085" s="73"/>
      <c r="G2085" s="73"/>
      <c r="H2085" s="73"/>
      <c r="I2085" s="73"/>
      <c r="J2085" s="73"/>
      <c r="K2085" s="73"/>
      <c r="L2085" s="73"/>
      <c r="M2085" s="73"/>
      <c r="N2085" s="73"/>
      <c r="O2085" s="73"/>
      <c r="P2085" s="73"/>
      <c r="Q2085" s="73"/>
      <c r="R2085" s="73"/>
      <c r="S2085" s="73"/>
      <c r="T2085" s="73"/>
      <c r="U2085" s="73"/>
      <c r="V2085" s="73"/>
      <c r="W2085" s="73"/>
      <c r="GL2085" s="73"/>
      <c r="GM2085" s="73"/>
      <c r="GN2085" s="73"/>
      <c r="GO2085" s="73"/>
      <c r="GP2085" s="73"/>
      <c r="GQ2085" s="73"/>
      <c r="GR2085" s="73"/>
      <c r="GS2085" s="73"/>
      <c r="GT2085" s="73"/>
      <c r="GU2085" s="73"/>
      <c r="GV2085" s="73"/>
      <c r="GW2085" s="73"/>
      <c r="GX2085" s="73"/>
      <c r="GY2085" s="73"/>
      <c r="GZ2085" s="73"/>
      <c r="HA2085" s="73"/>
      <c r="HB2085" s="73"/>
      <c r="HC2085" s="73"/>
      <c r="HD2085" s="73"/>
      <c r="HE2085" s="73"/>
      <c r="HF2085" s="73"/>
      <c r="HG2085" s="73"/>
      <c r="HH2085" s="73"/>
      <c r="HI2085" s="73"/>
      <c r="HJ2085" s="73"/>
      <c r="HK2085" s="73"/>
      <c r="HL2085" s="73"/>
      <c r="HM2085" s="73"/>
      <c r="HN2085" s="73"/>
      <c r="HO2085" s="73"/>
      <c r="HP2085" s="73"/>
      <c r="HQ2085" s="73"/>
      <c r="HR2085" s="73"/>
      <c r="HS2085" s="73"/>
      <c r="HT2085" s="73"/>
      <c r="HU2085" s="73"/>
      <c r="HV2085" s="73"/>
      <c r="HW2085" s="73"/>
      <c r="HX2085" s="73"/>
      <c r="HY2085" s="73"/>
      <c r="HZ2085" s="73"/>
      <c r="IA2085" s="73"/>
      <c r="IB2085" s="73"/>
      <c r="IC2085" s="73"/>
      <c r="ID2085" s="73"/>
      <c r="IE2085" s="73"/>
      <c r="IF2085" s="73"/>
      <c r="IG2085" s="73"/>
      <c r="IH2085" s="73"/>
      <c r="II2085" s="73"/>
      <c r="IJ2085" s="73"/>
      <c r="IK2085" s="73"/>
      <c r="IL2085" s="73"/>
      <c r="IM2085" s="73"/>
      <c r="IN2085" s="73"/>
      <c r="IO2085" s="73"/>
      <c r="IP2085" s="73"/>
      <c r="IQ2085" s="73"/>
      <c r="IR2085" s="73"/>
      <c r="IS2085" s="73"/>
      <c r="IT2085" s="73"/>
      <c r="IU2085" s="73"/>
      <c r="IV2085" s="73"/>
      <c r="IW2085" s="73"/>
      <c r="IX2085" s="73"/>
      <c r="IY2085" s="73"/>
      <c r="IZ2085" s="73"/>
      <c r="JA2085" s="73"/>
      <c r="JB2085" s="73"/>
      <c r="JC2085" s="73"/>
    </row>
    <row r="2086" spans="2:263" s="72" customFormat="1">
      <c r="B2086" s="73"/>
      <c r="C2086" s="73"/>
      <c r="D2086" s="73"/>
      <c r="E2086" s="73"/>
      <c r="F2086" s="73"/>
      <c r="G2086" s="73"/>
      <c r="H2086" s="73"/>
      <c r="I2086" s="73"/>
      <c r="J2086" s="73"/>
      <c r="K2086" s="73"/>
      <c r="L2086" s="73"/>
      <c r="M2086" s="73"/>
      <c r="N2086" s="73"/>
      <c r="O2086" s="73"/>
      <c r="P2086" s="73"/>
      <c r="Q2086" s="73"/>
      <c r="R2086" s="73"/>
      <c r="S2086" s="73"/>
      <c r="T2086" s="73"/>
      <c r="U2086" s="73"/>
      <c r="V2086" s="73"/>
      <c r="W2086" s="73"/>
      <c r="GL2086" s="73"/>
      <c r="GM2086" s="73"/>
      <c r="GN2086" s="73"/>
      <c r="GO2086" s="73"/>
      <c r="GP2086" s="73"/>
      <c r="GQ2086" s="73"/>
      <c r="GR2086" s="73"/>
      <c r="GS2086" s="73"/>
      <c r="GT2086" s="73"/>
      <c r="GU2086" s="73"/>
      <c r="GV2086" s="73"/>
      <c r="GW2086" s="73"/>
      <c r="GX2086" s="73"/>
      <c r="GY2086" s="73"/>
      <c r="GZ2086" s="73"/>
      <c r="HA2086" s="73"/>
      <c r="HB2086" s="73"/>
      <c r="HC2086" s="73"/>
      <c r="HD2086" s="73"/>
      <c r="HE2086" s="73"/>
      <c r="HF2086" s="73"/>
      <c r="HG2086" s="73"/>
      <c r="HH2086" s="73"/>
      <c r="HI2086" s="73"/>
      <c r="HJ2086" s="73"/>
      <c r="HK2086" s="73"/>
      <c r="HL2086" s="73"/>
      <c r="HM2086" s="73"/>
      <c r="HN2086" s="73"/>
      <c r="HO2086" s="73"/>
      <c r="HP2086" s="73"/>
      <c r="HQ2086" s="73"/>
      <c r="HR2086" s="73"/>
      <c r="HS2086" s="73"/>
      <c r="HT2086" s="73"/>
      <c r="HU2086" s="73"/>
      <c r="HV2086" s="73"/>
      <c r="HW2086" s="73"/>
      <c r="HX2086" s="73"/>
      <c r="HY2086" s="73"/>
      <c r="HZ2086" s="73"/>
      <c r="IA2086" s="73"/>
      <c r="IB2086" s="73"/>
      <c r="IC2086" s="73"/>
      <c r="ID2086" s="73"/>
      <c r="IE2086" s="73"/>
      <c r="IF2086" s="73"/>
      <c r="IG2086" s="73"/>
      <c r="IH2086" s="73"/>
      <c r="II2086" s="73"/>
      <c r="IJ2086" s="73"/>
      <c r="IK2086" s="73"/>
      <c r="IL2086" s="73"/>
      <c r="IM2086" s="73"/>
      <c r="IN2086" s="73"/>
      <c r="IO2086" s="73"/>
      <c r="IP2086" s="73"/>
      <c r="IQ2086" s="73"/>
      <c r="IR2086" s="73"/>
      <c r="IS2086" s="73"/>
      <c r="IT2086" s="73"/>
      <c r="IU2086" s="73"/>
      <c r="IV2086" s="73"/>
      <c r="IW2086" s="73"/>
      <c r="IX2086" s="73"/>
      <c r="IY2086" s="73"/>
      <c r="IZ2086" s="73"/>
      <c r="JA2086" s="73"/>
      <c r="JB2086" s="73"/>
      <c r="JC2086" s="73"/>
    </row>
    <row r="2087" spans="2:263" s="72" customFormat="1">
      <c r="B2087" s="73"/>
      <c r="C2087" s="73"/>
      <c r="D2087" s="73"/>
      <c r="E2087" s="73"/>
      <c r="F2087" s="73"/>
      <c r="G2087" s="73"/>
      <c r="H2087" s="73"/>
      <c r="I2087" s="73"/>
      <c r="J2087" s="73"/>
      <c r="K2087" s="73"/>
      <c r="L2087" s="73"/>
      <c r="M2087" s="73"/>
      <c r="N2087" s="73"/>
      <c r="O2087" s="73"/>
      <c r="P2087" s="73"/>
      <c r="Q2087" s="73"/>
      <c r="R2087" s="73"/>
      <c r="S2087" s="73"/>
      <c r="T2087" s="73"/>
      <c r="U2087" s="73"/>
      <c r="V2087" s="73"/>
      <c r="W2087" s="73"/>
      <c r="GL2087" s="73"/>
      <c r="GM2087" s="73"/>
      <c r="GN2087" s="73"/>
      <c r="GO2087" s="73"/>
      <c r="GP2087" s="73"/>
      <c r="GQ2087" s="73"/>
      <c r="GR2087" s="73"/>
      <c r="GS2087" s="73"/>
      <c r="GT2087" s="73"/>
      <c r="GU2087" s="73"/>
      <c r="GV2087" s="73"/>
      <c r="GW2087" s="73"/>
      <c r="GX2087" s="73"/>
      <c r="GY2087" s="73"/>
      <c r="GZ2087" s="73"/>
      <c r="HA2087" s="73"/>
      <c r="HB2087" s="73"/>
      <c r="HC2087" s="73"/>
      <c r="HD2087" s="73"/>
      <c r="HE2087" s="73"/>
      <c r="HF2087" s="73"/>
      <c r="HG2087" s="73"/>
      <c r="HH2087" s="73"/>
      <c r="HI2087" s="73"/>
      <c r="HJ2087" s="73"/>
      <c r="HK2087" s="73"/>
      <c r="HL2087" s="73"/>
      <c r="HM2087" s="73"/>
      <c r="HN2087" s="73"/>
      <c r="HO2087" s="73"/>
      <c r="HP2087" s="73"/>
      <c r="HQ2087" s="73"/>
      <c r="HR2087" s="73"/>
      <c r="HS2087" s="73"/>
      <c r="HT2087" s="73"/>
      <c r="HU2087" s="73"/>
      <c r="HV2087" s="73"/>
      <c r="HW2087" s="73"/>
      <c r="HX2087" s="73"/>
      <c r="HY2087" s="73"/>
      <c r="HZ2087" s="73"/>
      <c r="IA2087" s="73"/>
      <c r="IB2087" s="73"/>
      <c r="IC2087" s="73"/>
      <c r="ID2087" s="73"/>
      <c r="IE2087" s="73"/>
      <c r="IF2087" s="73"/>
      <c r="IG2087" s="73"/>
      <c r="IH2087" s="73"/>
      <c r="II2087" s="73"/>
      <c r="IJ2087" s="73"/>
      <c r="IK2087" s="73"/>
      <c r="IL2087" s="73"/>
      <c r="IM2087" s="73"/>
      <c r="IN2087" s="73"/>
      <c r="IO2087" s="73"/>
      <c r="IP2087" s="73"/>
      <c r="IQ2087" s="73"/>
      <c r="IR2087" s="73"/>
      <c r="IS2087" s="73"/>
      <c r="IT2087" s="73"/>
      <c r="IU2087" s="73"/>
      <c r="IV2087" s="73"/>
      <c r="IW2087" s="73"/>
      <c r="IX2087" s="73"/>
      <c r="IY2087" s="73"/>
      <c r="IZ2087" s="73"/>
      <c r="JA2087" s="73"/>
      <c r="JB2087" s="73"/>
      <c r="JC2087" s="73"/>
    </row>
    <row r="2088" spans="2:263" s="72" customFormat="1">
      <c r="B2088" s="73"/>
      <c r="C2088" s="73"/>
      <c r="D2088" s="73"/>
      <c r="E2088" s="73"/>
      <c r="F2088" s="73"/>
      <c r="G2088" s="73"/>
      <c r="H2088" s="73"/>
      <c r="I2088" s="73"/>
      <c r="J2088" s="73"/>
      <c r="K2088" s="73"/>
      <c r="L2088" s="73"/>
      <c r="M2088" s="73"/>
      <c r="N2088" s="73"/>
      <c r="O2088" s="73"/>
      <c r="P2088" s="73"/>
      <c r="Q2088" s="73"/>
      <c r="R2088" s="73"/>
      <c r="S2088" s="73"/>
      <c r="T2088" s="73"/>
      <c r="U2088" s="73"/>
      <c r="V2088" s="73"/>
      <c r="W2088" s="73"/>
      <c r="GL2088" s="73"/>
      <c r="GM2088" s="73"/>
      <c r="GN2088" s="73"/>
      <c r="GO2088" s="73"/>
      <c r="GP2088" s="73"/>
      <c r="GQ2088" s="73"/>
      <c r="GR2088" s="73"/>
      <c r="GS2088" s="73"/>
      <c r="GT2088" s="73"/>
      <c r="GU2088" s="73"/>
      <c r="GV2088" s="73"/>
      <c r="GW2088" s="73"/>
      <c r="GX2088" s="73"/>
      <c r="GY2088" s="73"/>
      <c r="GZ2088" s="73"/>
      <c r="HA2088" s="73"/>
      <c r="HB2088" s="73"/>
      <c r="HC2088" s="73"/>
      <c r="HD2088" s="73"/>
      <c r="HE2088" s="73"/>
      <c r="HF2088" s="73"/>
      <c r="HG2088" s="73"/>
      <c r="HH2088" s="73"/>
      <c r="HI2088" s="73"/>
      <c r="HJ2088" s="73"/>
      <c r="HK2088" s="73"/>
      <c r="HL2088" s="73"/>
      <c r="HM2088" s="73"/>
      <c r="HN2088" s="73"/>
      <c r="HO2088" s="73"/>
      <c r="HP2088" s="73"/>
      <c r="HQ2088" s="73"/>
      <c r="HR2088" s="73"/>
      <c r="HS2088" s="73"/>
      <c r="HT2088" s="73"/>
      <c r="HU2088" s="73"/>
      <c r="HV2088" s="73"/>
      <c r="HW2088" s="73"/>
      <c r="HX2088" s="73"/>
      <c r="HY2088" s="73"/>
      <c r="HZ2088" s="73"/>
      <c r="IA2088" s="73"/>
      <c r="IB2088" s="73"/>
      <c r="IC2088" s="73"/>
      <c r="ID2088" s="73"/>
      <c r="IE2088" s="73"/>
      <c r="IF2088" s="73"/>
      <c r="IG2088" s="73"/>
      <c r="IH2088" s="73"/>
      <c r="II2088" s="73"/>
      <c r="IJ2088" s="73"/>
      <c r="IK2088" s="73"/>
      <c r="IL2088" s="73"/>
      <c r="IM2088" s="73"/>
      <c r="IN2088" s="73"/>
      <c r="IO2088" s="73"/>
      <c r="IP2088" s="73"/>
      <c r="IQ2088" s="73"/>
      <c r="IR2088" s="73"/>
      <c r="IS2088" s="73"/>
      <c r="IT2088" s="73"/>
      <c r="IU2088" s="73"/>
      <c r="IV2088" s="73"/>
      <c r="IW2088" s="73"/>
      <c r="IX2088" s="73"/>
      <c r="IY2088" s="73"/>
      <c r="IZ2088" s="73"/>
      <c r="JA2088" s="73"/>
      <c r="JB2088" s="73"/>
      <c r="JC2088" s="73"/>
    </row>
    <row r="2089" spans="2:263" s="72" customFormat="1">
      <c r="B2089" s="73"/>
      <c r="C2089" s="73"/>
      <c r="D2089" s="73"/>
      <c r="E2089" s="73"/>
      <c r="F2089" s="73"/>
      <c r="G2089" s="73"/>
      <c r="H2089" s="73"/>
      <c r="I2089" s="73"/>
      <c r="J2089" s="73"/>
      <c r="K2089" s="73"/>
      <c r="L2089" s="73"/>
      <c r="M2089" s="73"/>
      <c r="N2089" s="73"/>
      <c r="O2089" s="73"/>
      <c r="P2089" s="73"/>
      <c r="Q2089" s="73"/>
      <c r="R2089" s="73"/>
      <c r="S2089" s="73"/>
      <c r="T2089" s="73"/>
      <c r="U2089" s="73"/>
      <c r="V2089" s="73"/>
      <c r="W2089" s="73"/>
      <c r="GL2089" s="73"/>
      <c r="GM2089" s="73"/>
      <c r="GN2089" s="73"/>
      <c r="GO2089" s="73"/>
      <c r="GP2089" s="73"/>
      <c r="GQ2089" s="73"/>
      <c r="GR2089" s="73"/>
      <c r="GS2089" s="73"/>
      <c r="GT2089" s="73"/>
      <c r="GU2089" s="73"/>
      <c r="GV2089" s="73"/>
      <c r="GW2089" s="73"/>
      <c r="GX2089" s="73"/>
      <c r="GY2089" s="73"/>
      <c r="GZ2089" s="73"/>
      <c r="HA2089" s="73"/>
      <c r="HB2089" s="73"/>
      <c r="HC2089" s="73"/>
      <c r="HD2089" s="73"/>
      <c r="HE2089" s="73"/>
      <c r="HF2089" s="73"/>
      <c r="HG2089" s="73"/>
      <c r="HH2089" s="73"/>
      <c r="HI2089" s="73"/>
      <c r="HJ2089" s="73"/>
      <c r="HK2089" s="73"/>
      <c r="HL2089" s="73"/>
      <c r="HM2089" s="73"/>
      <c r="HN2089" s="73"/>
      <c r="HO2089" s="73"/>
      <c r="HP2089" s="73"/>
      <c r="HQ2089" s="73"/>
      <c r="HR2089" s="73"/>
      <c r="HS2089" s="73"/>
      <c r="HT2089" s="73"/>
      <c r="HU2089" s="73"/>
      <c r="HV2089" s="73"/>
      <c r="HW2089" s="73"/>
      <c r="HX2089" s="73"/>
      <c r="HY2089" s="73"/>
      <c r="HZ2089" s="73"/>
      <c r="IA2089" s="73"/>
      <c r="IB2089" s="73"/>
      <c r="IC2089" s="73"/>
      <c r="ID2089" s="73"/>
      <c r="IE2089" s="73"/>
      <c r="IF2089" s="73"/>
      <c r="IG2089" s="73"/>
      <c r="IH2089" s="73"/>
      <c r="II2089" s="73"/>
      <c r="IJ2089" s="73"/>
      <c r="IK2089" s="73"/>
      <c r="IL2089" s="73"/>
      <c r="IM2089" s="73"/>
      <c r="IN2089" s="73"/>
      <c r="IO2089" s="73"/>
      <c r="IP2089" s="73"/>
      <c r="IQ2089" s="73"/>
      <c r="IR2089" s="73"/>
      <c r="IS2089" s="73"/>
      <c r="IT2089" s="73"/>
      <c r="IU2089" s="73"/>
      <c r="IV2089" s="73"/>
      <c r="IW2089" s="73"/>
      <c r="IX2089" s="73"/>
      <c r="IY2089" s="73"/>
      <c r="IZ2089" s="73"/>
      <c r="JA2089" s="73"/>
      <c r="JB2089" s="73"/>
      <c r="JC2089" s="73"/>
    </row>
    <row r="2090" spans="2:263" s="72" customFormat="1">
      <c r="B2090" s="73"/>
      <c r="C2090" s="73"/>
      <c r="D2090" s="73"/>
      <c r="E2090" s="73"/>
      <c r="F2090" s="73"/>
      <c r="G2090" s="73"/>
      <c r="H2090" s="73"/>
      <c r="I2090" s="73"/>
      <c r="J2090" s="73"/>
      <c r="K2090" s="73"/>
      <c r="L2090" s="73"/>
      <c r="M2090" s="73"/>
      <c r="N2090" s="73"/>
      <c r="O2090" s="73"/>
      <c r="P2090" s="73"/>
      <c r="Q2090" s="73"/>
      <c r="R2090" s="73"/>
      <c r="S2090" s="73"/>
      <c r="T2090" s="73"/>
      <c r="U2090" s="73"/>
      <c r="V2090" s="73"/>
      <c r="W2090" s="73"/>
      <c r="GL2090" s="73"/>
      <c r="GM2090" s="73"/>
      <c r="GN2090" s="73"/>
      <c r="GO2090" s="73"/>
      <c r="GP2090" s="73"/>
      <c r="GQ2090" s="73"/>
      <c r="GR2090" s="73"/>
      <c r="GS2090" s="73"/>
      <c r="GT2090" s="73"/>
      <c r="GU2090" s="73"/>
      <c r="GV2090" s="73"/>
      <c r="GW2090" s="73"/>
      <c r="GX2090" s="73"/>
      <c r="GY2090" s="73"/>
      <c r="GZ2090" s="73"/>
      <c r="HA2090" s="73"/>
      <c r="HB2090" s="73"/>
      <c r="HC2090" s="73"/>
      <c r="HD2090" s="73"/>
      <c r="HE2090" s="73"/>
      <c r="HF2090" s="73"/>
      <c r="HG2090" s="73"/>
      <c r="HH2090" s="73"/>
      <c r="HI2090" s="73"/>
      <c r="HJ2090" s="73"/>
      <c r="HK2090" s="73"/>
      <c r="HL2090" s="73"/>
      <c r="HM2090" s="73"/>
      <c r="HN2090" s="73"/>
      <c r="HO2090" s="73"/>
      <c r="HP2090" s="73"/>
      <c r="HQ2090" s="73"/>
      <c r="HR2090" s="73"/>
      <c r="HS2090" s="73"/>
      <c r="HT2090" s="73"/>
      <c r="HU2090" s="73"/>
      <c r="HV2090" s="73"/>
      <c r="HW2090" s="73"/>
      <c r="HX2090" s="73"/>
      <c r="HY2090" s="73"/>
      <c r="HZ2090" s="73"/>
      <c r="IA2090" s="73"/>
      <c r="IB2090" s="73"/>
      <c r="IC2090" s="73"/>
      <c r="ID2090" s="73"/>
      <c r="IE2090" s="73"/>
      <c r="IF2090" s="73"/>
      <c r="IG2090" s="73"/>
      <c r="IH2090" s="73"/>
      <c r="II2090" s="73"/>
      <c r="IJ2090" s="73"/>
      <c r="IK2090" s="73"/>
      <c r="IL2090" s="73"/>
      <c r="IM2090" s="73"/>
      <c r="IN2090" s="73"/>
      <c r="IO2090" s="73"/>
      <c r="IP2090" s="73"/>
      <c r="IQ2090" s="73"/>
      <c r="IR2090" s="73"/>
      <c r="IS2090" s="73"/>
      <c r="IT2090" s="73"/>
      <c r="IU2090" s="73"/>
      <c r="IV2090" s="73"/>
      <c r="IW2090" s="73"/>
      <c r="IX2090" s="73"/>
      <c r="IY2090" s="73"/>
      <c r="IZ2090" s="73"/>
      <c r="JA2090" s="73"/>
      <c r="JB2090" s="73"/>
      <c r="JC2090" s="73"/>
    </row>
    <row r="2091" spans="2:263" s="72" customFormat="1">
      <c r="B2091" s="73"/>
      <c r="C2091" s="73"/>
      <c r="D2091" s="73"/>
      <c r="E2091" s="73"/>
      <c r="F2091" s="73"/>
      <c r="G2091" s="73"/>
      <c r="H2091" s="73"/>
      <c r="I2091" s="73"/>
      <c r="J2091" s="73"/>
      <c r="K2091" s="73"/>
      <c r="L2091" s="73"/>
      <c r="M2091" s="73"/>
      <c r="N2091" s="73"/>
      <c r="O2091" s="73"/>
      <c r="P2091" s="73"/>
      <c r="Q2091" s="73"/>
      <c r="R2091" s="73"/>
      <c r="S2091" s="73"/>
      <c r="T2091" s="73"/>
      <c r="U2091" s="73"/>
      <c r="V2091" s="73"/>
      <c r="W2091" s="73"/>
      <c r="GL2091" s="73"/>
      <c r="GM2091" s="73"/>
      <c r="GN2091" s="73"/>
      <c r="GO2091" s="73"/>
      <c r="GP2091" s="73"/>
      <c r="GQ2091" s="73"/>
      <c r="GR2091" s="73"/>
      <c r="GS2091" s="73"/>
      <c r="GT2091" s="73"/>
      <c r="GU2091" s="73"/>
      <c r="GV2091" s="73"/>
      <c r="GW2091" s="73"/>
      <c r="GX2091" s="73"/>
      <c r="GY2091" s="73"/>
      <c r="GZ2091" s="73"/>
      <c r="HA2091" s="73"/>
      <c r="HB2091" s="73"/>
      <c r="HC2091" s="73"/>
      <c r="HD2091" s="73"/>
      <c r="HE2091" s="73"/>
      <c r="HF2091" s="73"/>
      <c r="HG2091" s="73"/>
      <c r="HH2091" s="73"/>
      <c r="HI2091" s="73"/>
      <c r="HJ2091" s="73"/>
      <c r="HK2091" s="73"/>
      <c r="HL2091" s="73"/>
      <c r="HM2091" s="73"/>
      <c r="HN2091" s="73"/>
      <c r="HO2091" s="73"/>
      <c r="HP2091" s="73"/>
      <c r="HQ2091" s="73"/>
      <c r="HR2091" s="73"/>
      <c r="HS2091" s="73"/>
      <c r="HT2091" s="73"/>
      <c r="HU2091" s="73"/>
      <c r="HV2091" s="73"/>
      <c r="HW2091" s="73"/>
      <c r="HX2091" s="73"/>
      <c r="HY2091" s="73"/>
      <c r="HZ2091" s="73"/>
      <c r="IA2091" s="73"/>
      <c r="IB2091" s="73"/>
      <c r="IC2091" s="73"/>
      <c r="ID2091" s="73"/>
      <c r="IE2091" s="73"/>
      <c r="IF2091" s="73"/>
      <c r="IG2091" s="73"/>
      <c r="IH2091" s="73"/>
      <c r="II2091" s="73"/>
      <c r="IJ2091" s="73"/>
      <c r="IK2091" s="73"/>
      <c r="IL2091" s="73"/>
      <c r="IM2091" s="73"/>
      <c r="IN2091" s="73"/>
      <c r="IO2091" s="73"/>
      <c r="IP2091" s="73"/>
      <c r="IQ2091" s="73"/>
      <c r="IR2091" s="73"/>
      <c r="IS2091" s="73"/>
      <c r="IT2091" s="73"/>
      <c r="IU2091" s="73"/>
      <c r="IV2091" s="73"/>
      <c r="IW2091" s="73"/>
      <c r="IX2091" s="73"/>
      <c r="IY2091" s="73"/>
      <c r="IZ2091" s="73"/>
      <c r="JA2091" s="73"/>
      <c r="JB2091" s="73"/>
      <c r="JC2091" s="73"/>
    </row>
    <row r="2092" spans="2:263" s="72" customFormat="1">
      <c r="B2092" s="73"/>
      <c r="C2092" s="73"/>
      <c r="D2092" s="73"/>
      <c r="E2092" s="73"/>
      <c r="F2092" s="73"/>
      <c r="G2092" s="73"/>
      <c r="H2092" s="73"/>
      <c r="I2092" s="73"/>
      <c r="J2092" s="73"/>
      <c r="K2092" s="73"/>
      <c r="L2092" s="73"/>
      <c r="M2092" s="73"/>
      <c r="N2092" s="73"/>
      <c r="O2092" s="73"/>
      <c r="P2092" s="73"/>
      <c r="Q2092" s="73"/>
      <c r="R2092" s="73"/>
      <c r="S2092" s="73"/>
      <c r="T2092" s="73"/>
      <c r="U2092" s="73"/>
      <c r="V2092" s="73"/>
      <c r="W2092" s="73"/>
      <c r="GL2092" s="73"/>
      <c r="GM2092" s="73"/>
      <c r="GN2092" s="73"/>
      <c r="GO2092" s="73"/>
      <c r="GP2092" s="73"/>
      <c r="GQ2092" s="73"/>
      <c r="GR2092" s="73"/>
      <c r="GS2092" s="73"/>
      <c r="GT2092" s="73"/>
      <c r="GU2092" s="73"/>
      <c r="GV2092" s="73"/>
      <c r="GW2092" s="73"/>
      <c r="GX2092" s="73"/>
      <c r="GY2092" s="73"/>
      <c r="GZ2092" s="73"/>
      <c r="HA2092" s="73"/>
      <c r="HB2092" s="73"/>
      <c r="HC2092" s="73"/>
      <c r="HD2092" s="73"/>
      <c r="HE2092" s="73"/>
      <c r="HF2092" s="73"/>
      <c r="HG2092" s="73"/>
      <c r="HH2092" s="73"/>
      <c r="HI2092" s="73"/>
      <c r="HJ2092" s="73"/>
      <c r="HK2092" s="73"/>
      <c r="HL2092" s="73"/>
      <c r="HM2092" s="73"/>
      <c r="HN2092" s="73"/>
      <c r="HO2092" s="73"/>
      <c r="HP2092" s="73"/>
      <c r="HQ2092" s="73"/>
      <c r="HR2092" s="73"/>
      <c r="HS2092" s="73"/>
      <c r="HT2092" s="73"/>
      <c r="HU2092" s="73"/>
      <c r="HV2092" s="73"/>
      <c r="HW2092" s="73"/>
      <c r="HX2092" s="73"/>
      <c r="HY2092" s="73"/>
      <c r="HZ2092" s="73"/>
      <c r="IA2092" s="73"/>
      <c r="IB2092" s="73"/>
      <c r="IC2092" s="73"/>
      <c r="ID2092" s="73"/>
      <c r="IE2092" s="73"/>
      <c r="IF2092" s="73"/>
      <c r="IG2092" s="73"/>
      <c r="IH2092" s="73"/>
      <c r="II2092" s="73"/>
      <c r="IJ2092" s="73"/>
      <c r="IK2092" s="73"/>
      <c r="IL2092" s="73"/>
      <c r="IM2092" s="73"/>
      <c r="IN2092" s="73"/>
      <c r="IO2092" s="73"/>
      <c r="IP2092" s="73"/>
      <c r="IQ2092" s="73"/>
      <c r="IR2092" s="73"/>
      <c r="IS2092" s="73"/>
      <c r="IT2092" s="73"/>
      <c r="IU2092" s="73"/>
      <c r="IV2092" s="73"/>
      <c r="IW2092" s="73"/>
      <c r="IX2092" s="73"/>
      <c r="IY2092" s="73"/>
      <c r="IZ2092" s="73"/>
      <c r="JA2092" s="73"/>
      <c r="JB2092" s="73"/>
      <c r="JC2092" s="73"/>
    </row>
    <row r="2093" spans="2:263" s="72" customFormat="1">
      <c r="B2093" s="73"/>
      <c r="C2093" s="73"/>
      <c r="D2093" s="73"/>
      <c r="E2093" s="73"/>
      <c r="F2093" s="73"/>
      <c r="G2093" s="73"/>
      <c r="H2093" s="73"/>
      <c r="I2093" s="73"/>
      <c r="J2093" s="73"/>
      <c r="K2093" s="73"/>
      <c r="L2093" s="73"/>
      <c r="M2093" s="73"/>
      <c r="N2093" s="73"/>
      <c r="O2093" s="73"/>
      <c r="P2093" s="73"/>
      <c r="Q2093" s="73"/>
      <c r="R2093" s="73"/>
      <c r="S2093" s="73"/>
      <c r="T2093" s="73"/>
      <c r="U2093" s="73"/>
      <c r="V2093" s="73"/>
      <c r="W2093" s="73"/>
      <c r="GL2093" s="73"/>
      <c r="GM2093" s="73"/>
      <c r="GN2093" s="73"/>
      <c r="GO2093" s="73"/>
      <c r="GP2093" s="73"/>
      <c r="GQ2093" s="73"/>
      <c r="GR2093" s="73"/>
      <c r="GS2093" s="73"/>
      <c r="GT2093" s="73"/>
      <c r="GU2093" s="73"/>
      <c r="GV2093" s="73"/>
      <c r="GW2093" s="73"/>
      <c r="GX2093" s="73"/>
      <c r="GY2093" s="73"/>
      <c r="GZ2093" s="73"/>
      <c r="HA2093" s="73"/>
      <c r="HB2093" s="73"/>
      <c r="HC2093" s="73"/>
      <c r="HD2093" s="73"/>
      <c r="HE2093" s="73"/>
      <c r="HF2093" s="73"/>
      <c r="HG2093" s="73"/>
      <c r="HH2093" s="73"/>
      <c r="HI2093" s="73"/>
      <c r="HJ2093" s="73"/>
      <c r="HK2093" s="73"/>
      <c r="HL2093" s="73"/>
      <c r="HM2093" s="73"/>
      <c r="HN2093" s="73"/>
      <c r="HO2093" s="73"/>
      <c r="HP2093" s="73"/>
      <c r="HQ2093" s="73"/>
      <c r="HR2093" s="73"/>
      <c r="HS2093" s="73"/>
      <c r="HT2093" s="73"/>
      <c r="HU2093" s="73"/>
      <c r="HV2093" s="73"/>
      <c r="HW2093" s="73"/>
      <c r="HX2093" s="73"/>
      <c r="HY2093" s="73"/>
      <c r="HZ2093" s="73"/>
      <c r="IA2093" s="73"/>
      <c r="IB2093" s="73"/>
      <c r="IC2093" s="73"/>
      <c r="ID2093" s="73"/>
      <c r="IE2093" s="73"/>
      <c r="IF2093" s="73"/>
      <c r="IG2093" s="73"/>
      <c r="IH2093" s="73"/>
      <c r="II2093" s="73"/>
      <c r="IJ2093" s="73"/>
      <c r="IK2093" s="73"/>
      <c r="IL2093" s="73"/>
      <c r="IM2093" s="73"/>
      <c r="IN2093" s="73"/>
      <c r="IO2093" s="73"/>
      <c r="IP2093" s="73"/>
      <c r="IQ2093" s="73"/>
      <c r="IR2093" s="73"/>
      <c r="IS2093" s="73"/>
      <c r="IT2093" s="73"/>
      <c r="IU2093" s="73"/>
      <c r="IV2093" s="73"/>
      <c r="IW2093" s="73"/>
      <c r="IX2093" s="73"/>
      <c r="IY2093" s="73"/>
      <c r="IZ2093" s="73"/>
      <c r="JA2093" s="73"/>
      <c r="JB2093" s="73"/>
      <c r="JC2093" s="73"/>
    </row>
    <row r="2094" spans="2:263" s="72" customFormat="1">
      <c r="B2094" s="73"/>
      <c r="C2094" s="73"/>
      <c r="D2094" s="73"/>
      <c r="E2094" s="73"/>
      <c r="F2094" s="73"/>
      <c r="G2094" s="73"/>
      <c r="H2094" s="73"/>
      <c r="I2094" s="73"/>
      <c r="J2094" s="73"/>
      <c r="K2094" s="73"/>
      <c r="L2094" s="73"/>
      <c r="M2094" s="73"/>
      <c r="N2094" s="73"/>
      <c r="O2094" s="73"/>
      <c r="P2094" s="73"/>
      <c r="Q2094" s="73"/>
      <c r="R2094" s="73"/>
      <c r="S2094" s="73"/>
      <c r="T2094" s="73"/>
      <c r="U2094" s="73"/>
      <c r="V2094" s="73"/>
      <c r="W2094" s="73"/>
      <c r="GL2094" s="73"/>
      <c r="GM2094" s="73"/>
      <c r="GN2094" s="73"/>
      <c r="GO2094" s="73"/>
      <c r="GP2094" s="73"/>
      <c r="GQ2094" s="73"/>
      <c r="GR2094" s="73"/>
      <c r="GS2094" s="73"/>
      <c r="GT2094" s="73"/>
      <c r="GU2094" s="73"/>
      <c r="GV2094" s="73"/>
      <c r="GW2094" s="73"/>
      <c r="GX2094" s="73"/>
      <c r="GY2094" s="73"/>
      <c r="GZ2094" s="73"/>
      <c r="HA2094" s="73"/>
      <c r="HB2094" s="73"/>
      <c r="HC2094" s="73"/>
      <c r="HD2094" s="73"/>
      <c r="HE2094" s="73"/>
      <c r="HF2094" s="73"/>
      <c r="HG2094" s="73"/>
      <c r="HH2094" s="73"/>
      <c r="HI2094" s="73"/>
      <c r="HJ2094" s="73"/>
      <c r="HK2094" s="73"/>
      <c r="HL2094" s="73"/>
      <c r="HM2094" s="73"/>
      <c r="HN2094" s="73"/>
      <c r="HO2094" s="73"/>
      <c r="HP2094" s="73"/>
      <c r="HQ2094" s="73"/>
      <c r="HR2094" s="73"/>
      <c r="HS2094" s="73"/>
      <c r="HT2094" s="73"/>
      <c r="HU2094" s="73"/>
      <c r="HV2094" s="73"/>
      <c r="HW2094" s="73"/>
      <c r="HX2094" s="73"/>
      <c r="HY2094" s="73"/>
      <c r="HZ2094" s="73"/>
      <c r="IA2094" s="73"/>
      <c r="IB2094" s="73"/>
      <c r="IC2094" s="73"/>
      <c r="ID2094" s="73"/>
      <c r="IE2094" s="73"/>
      <c r="IF2094" s="73"/>
      <c r="IG2094" s="73"/>
      <c r="IH2094" s="73"/>
      <c r="II2094" s="73"/>
      <c r="IJ2094" s="73"/>
      <c r="IK2094" s="73"/>
      <c r="IL2094" s="73"/>
      <c r="IM2094" s="73"/>
      <c r="IN2094" s="73"/>
      <c r="IO2094" s="73"/>
      <c r="IP2094" s="73"/>
      <c r="IQ2094" s="73"/>
      <c r="IR2094" s="73"/>
      <c r="IS2094" s="73"/>
      <c r="IT2094" s="73"/>
      <c r="IU2094" s="73"/>
      <c r="IV2094" s="73"/>
      <c r="IW2094" s="73"/>
      <c r="IX2094" s="73"/>
      <c r="IY2094" s="73"/>
      <c r="IZ2094" s="73"/>
      <c r="JA2094" s="73"/>
      <c r="JB2094" s="73"/>
      <c r="JC2094" s="73"/>
    </row>
    <row r="2095" spans="2:263" s="72" customFormat="1">
      <c r="B2095" s="73"/>
      <c r="C2095" s="73"/>
      <c r="D2095" s="73"/>
      <c r="E2095" s="73"/>
      <c r="F2095" s="73"/>
      <c r="G2095" s="73"/>
      <c r="H2095" s="73"/>
      <c r="I2095" s="73"/>
      <c r="J2095" s="73"/>
      <c r="K2095" s="73"/>
      <c r="L2095" s="73"/>
      <c r="M2095" s="73"/>
      <c r="N2095" s="73"/>
      <c r="O2095" s="73"/>
      <c r="P2095" s="73"/>
      <c r="Q2095" s="73"/>
      <c r="R2095" s="73"/>
      <c r="S2095" s="73"/>
      <c r="T2095" s="73"/>
      <c r="U2095" s="73"/>
      <c r="V2095" s="73"/>
      <c r="W2095" s="73"/>
      <c r="GL2095" s="73"/>
      <c r="GM2095" s="73"/>
      <c r="GN2095" s="73"/>
      <c r="GO2095" s="73"/>
      <c r="GP2095" s="73"/>
      <c r="GQ2095" s="73"/>
      <c r="GR2095" s="73"/>
      <c r="GS2095" s="73"/>
      <c r="GT2095" s="73"/>
      <c r="GU2095" s="73"/>
      <c r="GV2095" s="73"/>
      <c r="GW2095" s="73"/>
      <c r="GX2095" s="73"/>
      <c r="GY2095" s="73"/>
      <c r="GZ2095" s="73"/>
      <c r="HA2095" s="73"/>
      <c r="HB2095" s="73"/>
      <c r="HC2095" s="73"/>
      <c r="HD2095" s="73"/>
      <c r="HE2095" s="73"/>
      <c r="HF2095" s="73"/>
      <c r="HG2095" s="73"/>
      <c r="HH2095" s="73"/>
      <c r="HI2095" s="73"/>
      <c r="HJ2095" s="73"/>
      <c r="HK2095" s="73"/>
      <c r="HL2095" s="73"/>
      <c r="HM2095" s="73"/>
      <c r="HN2095" s="73"/>
      <c r="HO2095" s="73"/>
      <c r="HP2095" s="73"/>
      <c r="HQ2095" s="73"/>
      <c r="HR2095" s="73"/>
      <c r="HS2095" s="73"/>
      <c r="HT2095" s="73"/>
      <c r="HU2095" s="73"/>
      <c r="HV2095" s="73"/>
      <c r="HW2095" s="73"/>
      <c r="HX2095" s="73"/>
      <c r="HY2095" s="73"/>
      <c r="HZ2095" s="73"/>
      <c r="IA2095" s="73"/>
      <c r="IB2095" s="73"/>
      <c r="IC2095" s="73"/>
      <c r="ID2095" s="73"/>
      <c r="IE2095" s="73"/>
      <c r="IF2095" s="73"/>
      <c r="IG2095" s="73"/>
      <c r="IH2095" s="73"/>
      <c r="II2095" s="73"/>
      <c r="IJ2095" s="73"/>
      <c r="IK2095" s="73"/>
      <c r="IL2095" s="73"/>
      <c r="IM2095" s="73"/>
      <c r="IN2095" s="73"/>
      <c r="IO2095" s="73"/>
      <c r="IP2095" s="73"/>
      <c r="IQ2095" s="73"/>
      <c r="IR2095" s="73"/>
      <c r="IS2095" s="73"/>
      <c r="IT2095" s="73"/>
      <c r="IU2095" s="73"/>
      <c r="IV2095" s="73"/>
      <c r="IW2095" s="73"/>
      <c r="IX2095" s="73"/>
      <c r="IY2095" s="73"/>
      <c r="IZ2095" s="73"/>
      <c r="JA2095" s="73"/>
      <c r="JB2095" s="73"/>
      <c r="JC2095" s="73"/>
    </row>
    <row r="2096" spans="2:263" s="72" customFormat="1">
      <c r="B2096" s="73"/>
      <c r="C2096" s="73"/>
      <c r="D2096" s="73"/>
      <c r="E2096" s="73"/>
      <c r="F2096" s="73"/>
      <c r="G2096" s="73"/>
      <c r="H2096" s="73"/>
      <c r="I2096" s="73"/>
      <c r="J2096" s="73"/>
      <c r="K2096" s="73"/>
      <c r="L2096" s="73"/>
      <c r="M2096" s="73"/>
      <c r="N2096" s="73"/>
      <c r="O2096" s="73"/>
      <c r="P2096" s="73"/>
      <c r="Q2096" s="73"/>
      <c r="R2096" s="73"/>
      <c r="S2096" s="73"/>
      <c r="T2096" s="73"/>
      <c r="U2096" s="73"/>
      <c r="V2096" s="73"/>
      <c r="W2096" s="73"/>
      <c r="GL2096" s="73"/>
      <c r="GM2096" s="73"/>
      <c r="GN2096" s="73"/>
      <c r="GO2096" s="73"/>
      <c r="GP2096" s="73"/>
      <c r="GQ2096" s="73"/>
      <c r="GR2096" s="73"/>
      <c r="GS2096" s="73"/>
      <c r="GT2096" s="73"/>
      <c r="GU2096" s="73"/>
      <c r="GV2096" s="73"/>
      <c r="GW2096" s="73"/>
      <c r="GX2096" s="73"/>
      <c r="GY2096" s="73"/>
      <c r="GZ2096" s="73"/>
      <c r="HA2096" s="73"/>
      <c r="HB2096" s="73"/>
      <c r="HC2096" s="73"/>
      <c r="HD2096" s="73"/>
      <c r="HE2096" s="73"/>
      <c r="HF2096" s="73"/>
      <c r="HG2096" s="73"/>
      <c r="HH2096" s="73"/>
      <c r="HI2096" s="73"/>
      <c r="HJ2096" s="73"/>
      <c r="HK2096" s="73"/>
      <c r="HL2096" s="73"/>
      <c r="HM2096" s="73"/>
      <c r="HN2096" s="73"/>
      <c r="HO2096" s="73"/>
      <c r="HP2096" s="73"/>
      <c r="HQ2096" s="73"/>
      <c r="HR2096" s="73"/>
      <c r="HS2096" s="73"/>
      <c r="HT2096" s="73"/>
      <c r="HU2096" s="73"/>
      <c r="HV2096" s="73"/>
      <c r="HW2096" s="73"/>
      <c r="HX2096" s="73"/>
      <c r="HY2096" s="73"/>
      <c r="HZ2096" s="73"/>
      <c r="IA2096" s="73"/>
      <c r="IB2096" s="73"/>
      <c r="IC2096" s="73"/>
      <c r="ID2096" s="73"/>
      <c r="IE2096" s="73"/>
      <c r="IF2096" s="73"/>
      <c r="IG2096" s="73"/>
      <c r="IH2096" s="73"/>
      <c r="II2096" s="73"/>
      <c r="IJ2096" s="73"/>
      <c r="IK2096" s="73"/>
      <c r="IL2096" s="73"/>
      <c r="IM2096" s="73"/>
      <c r="IN2096" s="73"/>
      <c r="IO2096" s="73"/>
      <c r="IP2096" s="73"/>
      <c r="IQ2096" s="73"/>
      <c r="IR2096" s="73"/>
      <c r="IS2096" s="73"/>
      <c r="IT2096" s="73"/>
      <c r="IU2096" s="73"/>
      <c r="IV2096" s="73"/>
      <c r="IW2096" s="73"/>
      <c r="IX2096" s="73"/>
      <c r="IY2096" s="73"/>
      <c r="IZ2096" s="73"/>
      <c r="JA2096" s="73"/>
      <c r="JB2096" s="73"/>
      <c r="JC2096" s="73"/>
    </row>
    <row r="2097" spans="2:263" s="72" customFormat="1">
      <c r="B2097" s="73"/>
      <c r="C2097" s="73"/>
      <c r="D2097" s="73"/>
      <c r="E2097" s="73"/>
      <c r="F2097" s="73"/>
      <c r="G2097" s="73"/>
      <c r="H2097" s="73"/>
      <c r="I2097" s="73"/>
      <c r="J2097" s="73"/>
      <c r="K2097" s="73"/>
      <c r="L2097" s="73"/>
      <c r="M2097" s="73"/>
      <c r="N2097" s="73"/>
      <c r="O2097" s="73"/>
      <c r="P2097" s="73"/>
      <c r="Q2097" s="73"/>
      <c r="R2097" s="73"/>
      <c r="S2097" s="73"/>
      <c r="T2097" s="73"/>
      <c r="U2097" s="73"/>
      <c r="V2097" s="73"/>
      <c r="W2097" s="73"/>
      <c r="GL2097" s="73"/>
      <c r="GM2097" s="73"/>
      <c r="GN2097" s="73"/>
      <c r="GO2097" s="73"/>
      <c r="GP2097" s="73"/>
      <c r="GQ2097" s="73"/>
      <c r="GR2097" s="73"/>
      <c r="GS2097" s="73"/>
      <c r="GT2097" s="73"/>
      <c r="GU2097" s="73"/>
      <c r="GV2097" s="73"/>
      <c r="GW2097" s="73"/>
      <c r="GX2097" s="73"/>
      <c r="GY2097" s="73"/>
      <c r="GZ2097" s="73"/>
      <c r="HA2097" s="73"/>
      <c r="HB2097" s="73"/>
      <c r="HC2097" s="73"/>
      <c r="HD2097" s="73"/>
      <c r="HE2097" s="73"/>
      <c r="HF2097" s="73"/>
      <c r="HG2097" s="73"/>
      <c r="HH2097" s="73"/>
      <c r="HI2097" s="73"/>
      <c r="HJ2097" s="73"/>
      <c r="HK2097" s="73"/>
      <c r="HL2097" s="73"/>
      <c r="HM2097" s="73"/>
      <c r="HN2097" s="73"/>
      <c r="HO2097" s="73"/>
      <c r="HP2097" s="73"/>
      <c r="HQ2097" s="73"/>
      <c r="HR2097" s="73"/>
      <c r="HS2097" s="73"/>
      <c r="HT2097" s="73"/>
      <c r="HU2097" s="73"/>
      <c r="HV2097" s="73"/>
      <c r="HW2097" s="73"/>
      <c r="HX2097" s="73"/>
      <c r="HY2097" s="73"/>
      <c r="HZ2097" s="73"/>
      <c r="IA2097" s="73"/>
      <c r="IB2097" s="73"/>
      <c r="IC2097" s="73"/>
      <c r="ID2097" s="73"/>
      <c r="IE2097" s="73"/>
      <c r="IF2097" s="73"/>
      <c r="IG2097" s="73"/>
      <c r="IH2097" s="73"/>
      <c r="II2097" s="73"/>
      <c r="IJ2097" s="73"/>
      <c r="IK2097" s="73"/>
      <c r="IL2097" s="73"/>
      <c r="IM2097" s="73"/>
      <c r="IN2097" s="73"/>
      <c r="IO2097" s="73"/>
      <c r="IP2097" s="73"/>
      <c r="IQ2097" s="73"/>
      <c r="IR2097" s="73"/>
      <c r="IS2097" s="73"/>
      <c r="IT2097" s="73"/>
      <c r="IU2097" s="73"/>
      <c r="IV2097" s="73"/>
      <c r="IW2097" s="73"/>
      <c r="IX2097" s="73"/>
      <c r="IY2097" s="73"/>
      <c r="IZ2097" s="73"/>
      <c r="JA2097" s="73"/>
      <c r="JB2097" s="73"/>
      <c r="JC2097" s="73"/>
    </row>
    <row r="2098" spans="2:263" s="72" customFormat="1">
      <c r="B2098" s="73"/>
      <c r="C2098" s="73"/>
      <c r="D2098" s="73"/>
      <c r="E2098" s="73"/>
      <c r="F2098" s="73"/>
      <c r="G2098" s="73"/>
      <c r="H2098" s="73"/>
      <c r="I2098" s="73"/>
      <c r="J2098" s="73"/>
      <c r="K2098" s="73"/>
      <c r="L2098" s="73"/>
      <c r="M2098" s="73"/>
      <c r="N2098" s="73"/>
      <c r="O2098" s="73"/>
      <c r="P2098" s="73"/>
      <c r="Q2098" s="73"/>
      <c r="R2098" s="73"/>
      <c r="S2098" s="73"/>
      <c r="T2098" s="73"/>
      <c r="U2098" s="73"/>
      <c r="V2098" s="73"/>
      <c r="W2098" s="73"/>
      <c r="GL2098" s="73"/>
      <c r="GM2098" s="73"/>
      <c r="GN2098" s="73"/>
      <c r="GO2098" s="73"/>
      <c r="GP2098" s="73"/>
      <c r="GQ2098" s="73"/>
      <c r="GR2098" s="73"/>
      <c r="GS2098" s="73"/>
      <c r="GT2098" s="73"/>
      <c r="GU2098" s="73"/>
      <c r="GV2098" s="73"/>
      <c r="GW2098" s="73"/>
      <c r="GX2098" s="73"/>
      <c r="GY2098" s="73"/>
      <c r="GZ2098" s="73"/>
      <c r="HA2098" s="73"/>
      <c r="HB2098" s="73"/>
      <c r="HC2098" s="73"/>
      <c r="HD2098" s="73"/>
      <c r="HE2098" s="73"/>
      <c r="HF2098" s="73"/>
      <c r="HG2098" s="73"/>
      <c r="HH2098" s="73"/>
      <c r="HI2098" s="73"/>
      <c r="HJ2098" s="73"/>
      <c r="HK2098" s="73"/>
      <c r="HL2098" s="73"/>
      <c r="HM2098" s="73"/>
      <c r="HN2098" s="73"/>
      <c r="HO2098" s="73"/>
      <c r="HP2098" s="73"/>
      <c r="HQ2098" s="73"/>
      <c r="HR2098" s="73"/>
      <c r="HS2098" s="73"/>
      <c r="HT2098" s="73"/>
      <c r="HU2098" s="73"/>
      <c r="HV2098" s="73"/>
      <c r="HW2098" s="73"/>
      <c r="HX2098" s="73"/>
      <c r="HY2098" s="73"/>
      <c r="HZ2098" s="73"/>
      <c r="IA2098" s="73"/>
      <c r="IB2098" s="73"/>
      <c r="IC2098" s="73"/>
      <c r="ID2098" s="73"/>
      <c r="IE2098" s="73"/>
      <c r="IF2098" s="73"/>
      <c r="IG2098" s="73"/>
      <c r="IH2098" s="73"/>
      <c r="II2098" s="73"/>
      <c r="IJ2098" s="73"/>
      <c r="IK2098" s="73"/>
      <c r="IL2098" s="73"/>
      <c r="IM2098" s="73"/>
      <c r="IN2098" s="73"/>
      <c r="IO2098" s="73"/>
      <c r="IP2098" s="73"/>
      <c r="IQ2098" s="73"/>
      <c r="IR2098" s="73"/>
      <c r="IS2098" s="73"/>
      <c r="IT2098" s="73"/>
      <c r="IU2098" s="73"/>
      <c r="IV2098" s="73"/>
      <c r="IW2098" s="73"/>
      <c r="IX2098" s="73"/>
      <c r="IY2098" s="73"/>
      <c r="IZ2098" s="73"/>
      <c r="JA2098" s="73"/>
      <c r="JB2098" s="73"/>
      <c r="JC2098" s="73"/>
    </row>
    <row r="2099" spans="2:263" s="72" customFormat="1">
      <c r="B2099" s="73"/>
      <c r="C2099" s="73"/>
      <c r="D2099" s="73"/>
      <c r="E2099" s="73"/>
      <c r="F2099" s="73"/>
      <c r="G2099" s="73"/>
      <c r="H2099" s="73"/>
      <c r="I2099" s="73"/>
      <c r="J2099" s="73"/>
      <c r="K2099" s="73"/>
      <c r="L2099" s="73"/>
      <c r="M2099" s="73"/>
      <c r="N2099" s="73"/>
      <c r="O2099" s="73"/>
      <c r="P2099" s="73"/>
      <c r="Q2099" s="73"/>
      <c r="R2099" s="73"/>
      <c r="S2099" s="73"/>
      <c r="T2099" s="73"/>
      <c r="U2099" s="73"/>
      <c r="V2099" s="73"/>
      <c r="W2099" s="73"/>
      <c r="GL2099" s="73"/>
      <c r="GM2099" s="73"/>
      <c r="GN2099" s="73"/>
      <c r="GO2099" s="73"/>
      <c r="GP2099" s="73"/>
      <c r="GQ2099" s="73"/>
      <c r="GR2099" s="73"/>
      <c r="GS2099" s="73"/>
      <c r="GT2099" s="73"/>
      <c r="GU2099" s="73"/>
      <c r="GV2099" s="73"/>
      <c r="GW2099" s="73"/>
      <c r="GX2099" s="73"/>
      <c r="GY2099" s="73"/>
      <c r="GZ2099" s="73"/>
      <c r="HA2099" s="73"/>
      <c r="HB2099" s="73"/>
      <c r="HC2099" s="73"/>
      <c r="HD2099" s="73"/>
      <c r="HE2099" s="73"/>
      <c r="HF2099" s="73"/>
      <c r="HG2099" s="73"/>
      <c r="HH2099" s="73"/>
      <c r="HI2099" s="73"/>
      <c r="HJ2099" s="73"/>
      <c r="HK2099" s="73"/>
      <c r="HL2099" s="73"/>
      <c r="HM2099" s="73"/>
      <c r="HN2099" s="73"/>
      <c r="HO2099" s="73"/>
      <c r="HP2099" s="73"/>
      <c r="HQ2099" s="73"/>
      <c r="HR2099" s="73"/>
      <c r="HS2099" s="73"/>
      <c r="HT2099" s="73"/>
      <c r="HU2099" s="73"/>
      <c r="HV2099" s="73"/>
      <c r="HW2099" s="73"/>
      <c r="HX2099" s="73"/>
      <c r="HY2099" s="73"/>
      <c r="HZ2099" s="73"/>
      <c r="IA2099" s="73"/>
      <c r="IB2099" s="73"/>
      <c r="IC2099" s="73"/>
      <c r="ID2099" s="73"/>
      <c r="IE2099" s="73"/>
      <c r="IF2099" s="73"/>
      <c r="IG2099" s="73"/>
      <c r="IH2099" s="73"/>
      <c r="II2099" s="73"/>
      <c r="IJ2099" s="73"/>
      <c r="IK2099" s="73"/>
      <c r="IL2099" s="73"/>
      <c r="IM2099" s="73"/>
      <c r="IN2099" s="73"/>
      <c r="IO2099" s="73"/>
      <c r="IP2099" s="73"/>
      <c r="IQ2099" s="73"/>
      <c r="IR2099" s="73"/>
      <c r="IS2099" s="73"/>
      <c r="IT2099" s="73"/>
      <c r="IU2099" s="73"/>
      <c r="IV2099" s="73"/>
      <c r="IW2099" s="73"/>
      <c r="IX2099" s="73"/>
      <c r="IY2099" s="73"/>
      <c r="IZ2099" s="73"/>
      <c r="JA2099" s="73"/>
      <c r="JB2099" s="73"/>
      <c r="JC2099" s="73"/>
    </row>
    <row r="2100" spans="2:263" s="72" customFormat="1">
      <c r="B2100" s="73"/>
      <c r="C2100" s="73"/>
      <c r="D2100" s="73"/>
      <c r="E2100" s="73"/>
      <c r="F2100" s="73"/>
      <c r="G2100" s="73"/>
      <c r="H2100" s="73"/>
      <c r="I2100" s="73"/>
      <c r="J2100" s="73"/>
      <c r="K2100" s="73"/>
      <c r="L2100" s="73"/>
      <c r="M2100" s="73"/>
      <c r="N2100" s="73"/>
      <c r="O2100" s="73"/>
      <c r="P2100" s="73"/>
      <c r="Q2100" s="73"/>
      <c r="R2100" s="73"/>
      <c r="S2100" s="73"/>
      <c r="T2100" s="73"/>
      <c r="U2100" s="73"/>
      <c r="V2100" s="73"/>
      <c r="W2100" s="73"/>
      <c r="GL2100" s="73"/>
      <c r="GM2100" s="73"/>
      <c r="GN2100" s="73"/>
      <c r="GO2100" s="73"/>
      <c r="GP2100" s="73"/>
      <c r="GQ2100" s="73"/>
      <c r="GR2100" s="73"/>
      <c r="GS2100" s="73"/>
      <c r="GT2100" s="73"/>
      <c r="GU2100" s="73"/>
      <c r="GV2100" s="73"/>
      <c r="GW2100" s="73"/>
      <c r="GX2100" s="73"/>
      <c r="GY2100" s="73"/>
      <c r="GZ2100" s="73"/>
      <c r="HA2100" s="73"/>
      <c r="HB2100" s="73"/>
      <c r="HC2100" s="73"/>
      <c r="HD2100" s="73"/>
      <c r="HE2100" s="73"/>
      <c r="HF2100" s="73"/>
      <c r="HG2100" s="73"/>
      <c r="HH2100" s="73"/>
      <c r="HI2100" s="73"/>
      <c r="HJ2100" s="73"/>
      <c r="HK2100" s="73"/>
      <c r="HL2100" s="73"/>
      <c r="HM2100" s="73"/>
      <c r="HN2100" s="73"/>
      <c r="HO2100" s="73"/>
      <c r="HP2100" s="73"/>
      <c r="HQ2100" s="73"/>
      <c r="HR2100" s="73"/>
      <c r="HS2100" s="73"/>
      <c r="HT2100" s="73"/>
      <c r="HU2100" s="73"/>
      <c r="HV2100" s="73"/>
      <c r="HW2100" s="73"/>
      <c r="HX2100" s="73"/>
      <c r="HY2100" s="73"/>
      <c r="HZ2100" s="73"/>
      <c r="IA2100" s="73"/>
      <c r="IB2100" s="73"/>
      <c r="IC2100" s="73"/>
      <c r="ID2100" s="73"/>
      <c r="IE2100" s="73"/>
      <c r="IF2100" s="73"/>
      <c r="IG2100" s="73"/>
      <c r="IH2100" s="73"/>
      <c r="II2100" s="73"/>
      <c r="IJ2100" s="73"/>
      <c r="IK2100" s="73"/>
      <c r="IL2100" s="73"/>
      <c r="IM2100" s="73"/>
      <c r="IN2100" s="73"/>
      <c r="IO2100" s="73"/>
      <c r="IP2100" s="73"/>
      <c r="IQ2100" s="73"/>
      <c r="IR2100" s="73"/>
      <c r="IS2100" s="73"/>
      <c r="IT2100" s="73"/>
      <c r="IU2100" s="73"/>
      <c r="IV2100" s="73"/>
      <c r="IW2100" s="73"/>
      <c r="IX2100" s="73"/>
      <c r="IY2100" s="73"/>
      <c r="IZ2100" s="73"/>
      <c r="JA2100" s="73"/>
      <c r="JB2100" s="73"/>
      <c r="JC2100" s="73"/>
    </row>
    <row r="2101" spans="2:263" s="72" customFormat="1">
      <c r="B2101" s="73"/>
      <c r="C2101" s="73"/>
      <c r="D2101" s="73"/>
      <c r="E2101" s="73"/>
      <c r="F2101" s="73"/>
      <c r="G2101" s="73"/>
      <c r="H2101" s="73"/>
      <c r="I2101" s="73"/>
      <c r="J2101" s="73"/>
      <c r="K2101" s="73"/>
      <c r="L2101" s="73"/>
      <c r="M2101" s="73"/>
      <c r="N2101" s="73"/>
      <c r="O2101" s="73"/>
      <c r="P2101" s="73"/>
      <c r="Q2101" s="73"/>
      <c r="R2101" s="73"/>
      <c r="S2101" s="73"/>
      <c r="T2101" s="73"/>
      <c r="U2101" s="73"/>
      <c r="V2101" s="73"/>
      <c r="W2101" s="73"/>
      <c r="GL2101" s="73"/>
      <c r="GM2101" s="73"/>
      <c r="GN2101" s="73"/>
      <c r="GO2101" s="73"/>
      <c r="GP2101" s="73"/>
      <c r="GQ2101" s="73"/>
      <c r="GR2101" s="73"/>
      <c r="GS2101" s="73"/>
      <c r="GT2101" s="73"/>
      <c r="GU2101" s="73"/>
      <c r="GV2101" s="73"/>
      <c r="GW2101" s="73"/>
      <c r="GX2101" s="73"/>
      <c r="GY2101" s="73"/>
      <c r="GZ2101" s="73"/>
      <c r="HA2101" s="73"/>
      <c r="HB2101" s="73"/>
      <c r="HC2101" s="73"/>
      <c r="HD2101" s="73"/>
      <c r="HE2101" s="73"/>
      <c r="HF2101" s="73"/>
      <c r="HG2101" s="73"/>
      <c r="HH2101" s="73"/>
      <c r="HI2101" s="73"/>
      <c r="HJ2101" s="73"/>
      <c r="HK2101" s="73"/>
      <c r="HL2101" s="73"/>
      <c r="HM2101" s="73"/>
      <c r="HN2101" s="73"/>
      <c r="HO2101" s="73"/>
      <c r="HP2101" s="73"/>
      <c r="HQ2101" s="73"/>
      <c r="HR2101" s="73"/>
      <c r="HS2101" s="73"/>
      <c r="HT2101" s="73"/>
      <c r="HU2101" s="73"/>
      <c r="HV2101" s="73"/>
      <c r="HW2101" s="73"/>
      <c r="HX2101" s="73"/>
      <c r="HY2101" s="73"/>
      <c r="HZ2101" s="73"/>
      <c r="IA2101" s="73"/>
      <c r="IB2101" s="73"/>
      <c r="IC2101" s="73"/>
      <c r="ID2101" s="73"/>
      <c r="IE2101" s="73"/>
      <c r="IF2101" s="73"/>
      <c r="IG2101" s="73"/>
      <c r="IH2101" s="73"/>
      <c r="II2101" s="73"/>
      <c r="IJ2101" s="73"/>
      <c r="IK2101" s="73"/>
      <c r="IL2101" s="73"/>
      <c r="IM2101" s="73"/>
      <c r="IN2101" s="73"/>
      <c r="IO2101" s="73"/>
      <c r="IP2101" s="73"/>
      <c r="IQ2101" s="73"/>
      <c r="IR2101" s="73"/>
      <c r="IS2101" s="73"/>
      <c r="IT2101" s="73"/>
      <c r="IU2101" s="73"/>
      <c r="IV2101" s="73"/>
      <c r="IW2101" s="73"/>
      <c r="IX2101" s="73"/>
      <c r="IY2101" s="73"/>
      <c r="IZ2101" s="73"/>
      <c r="JA2101" s="73"/>
      <c r="JB2101" s="73"/>
      <c r="JC2101" s="73"/>
    </row>
    <row r="2102" spans="2:263" s="72" customFormat="1">
      <c r="B2102" s="73"/>
      <c r="C2102" s="73"/>
      <c r="D2102" s="73"/>
      <c r="E2102" s="73"/>
      <c r="F2102" s="73"/>
      <c r="G2102" s="73"/>
      <c r="H2102" s="73"/>
      <c r="I2102" s="73"/>
      <c r="J2102" s="73"/>
      <c r="K2102" s="73"/>
      <c r="L2102" s="73"/>
      <c r="M2102" s="73"/>
      <c r="N2102" s="73"/>
      <c r="O2102" s="73"/>
      <c r="P2102" s="73"/>
      <c r="Q2102" s="73"/>
      <c r="R2102" s="73"/>
      <c r="S2102" s="73"/>
      <c r="T2102" s="73"/>
      <c r="U2102" s="73"/>
      <c r="V2102" s="73"/>
      <c r="W2102" s="73"/>
      <c r="GL2102" s="73"/>
      <c r="GM2102" s="73"/>
      <c r="GN2102" s="73"/>
      <c r="GO2102" s="73"/>
      <c r="GP2102" s="73"/>
      <c r="GQ2102" s="73"/>
      <c r="GR2102" s="73"/>
      <c r="GS2102" s="73"/>
      <c r="GT2102" s="73"/>
      <c r="GU2102" s="73"/>
      <c r="GV2102" s="73"/>
      <c r="GW2102" s="73"/>
      <c r="GX2102" s="73"/>
      <c r="GY2102" s="73"/>
      <c r="GZ2102" s="73"/>
      <c r="HA2102" s="73"/>
      <c r="HB2102" s="73"/>
      <c r="HC2102" s="73"/>
      <c r="HD2102" s="73"/>
      <c r="HE2102" s="73"/>
      <c r="HF2102" s="73"/>
      <c r="HG2102" s="73"/>
      <c r="HH2102" s="73"/>
      <c r="HI2102" s="73"/>
      <c r="HJ2102" s="73"/>
      <c r="HK2102" s="73"/>
      <c r="HL2102" s="73"/>
      <c r="HM2102" s="73"/>
      <c r="HN2102" s="73"/>
      <c r="HO2102" s="73"/>
      <c r="HP2102" s="73"/>
      <c r="HQ2102" s="73"/>
      <c r="HR2102" s="73"/>
      <c r="HS2102" s="73"/>
      <c r="HT2102" s="73"/>
      <c r="HU2102" s="73"/>
      <c r="HV2102" s="73"/>
      <c r="HW2102" s="73"/>
      <c r="HX2102" s="73"/>
      <c r="HY2102" s="73"/>
      <c r="HZ2102" s="73"/>
      <c r="IA2102" s="73"/>
      <c r="IB2102" s="73"/>
      <c r="IC2102" s="73"/>
      <c r="ID2102" s="73"/>
      <c r="IE2102" s="73"/>
      <c r="IF2102" s="73"/>
      <c r="IG2102" s="73"/>
      <c r="IH2102" s="73"/>
      <c r="II2102" s="73"/>
      <c r="IJ2102" s="73"/>
      <c r="IK2102" s="73"/>
      <c r="IL2102" s="73"/>
      <c r="IM2102" s="73"/>
      <c r="IN2102" s="73"/>
      <c r="IO2102" s="73"/>
      <c r="IP2102" s="73"/>
      <c r="IQ2102" s="73"/>
      <c r="IR2102" s="73"/>
      <c r="IS2102" s="73"/>
      <c r="IT2102" s="73"/>
      <c r="IU2102" s="73"/>
      <c r="IV2102" s="73"/>
      <c r="IW2102" s="73"/>
      <c r="IX2102" s="73"/>
      <c r="IY2102" s="73"/>
      <c r="IZ2102" s="73"/>
      <c r="JA2102" s="73"/>
      <c r="JB2102" s="73"/>
      <c r="JC2102" s="73"/>
    </row>
    <row r="2103" spans="2:263" s="72" customFormat="1">
      <c r="B2103" s="73"/>
      <c r="C2103" s="73"/>
      <c r="D2103" s="73"/>
      <c r="E2103" s="73"/>
      <c r="F2103" s="73"/>
      <c r="G2103" s="73"/>
      <c r="H2103" s="73"/>
      <c r="I2103" s="73"/>
      <c r="J2103" s="73"/>
      <c r="K2103" s="73"/>
      <c r="L2103" s="73"/>
      <c r="M2103" s="73"/>
      <c r="N2103" s="73"/>
      <c r="O2103" s="73"/>
      <c r="P2103" s="73"/>
      <c r="Q2103" s="73"/>
      <c r="R2103" s="73"/>
      <c r="S2103" s="73"/>
      <c r="T2103" s="73"/>
      <c r="U2103" s="73"/>
      <c r="V2103" s="73"/>
      <c r="W2103" s="73"/>
      <c r="GL2103" s="73"/>
      <c r="GM2103" s="73"/>
      <c r="GN2103" s="73"/>
      <c r="GO2103" s="73"/>
      <c r="GP2103" s="73"/>
      <c r="GQ2103" s="73"/>
      <c r="GR2103" s="73"/>
      <c r="GS2103" s="73"/>
      <c r="GT2103" s="73"/>
      <c r="GU2103" s="73"/>
      <c r="GV2103" s="73"/>
      <c r="GW2103" s="73"/>
      <c r="GX2103" s="73"/>
      <c r="GY2103" s="73"/>
      <c r="GZ2103" s="73"/>
      <c r="HA2103" s="73"/>
      <c r="HB2103" s="73"/>
      <c r="HC2103" s="73"/>
      <c r="HD2103" s="73"/>
      <c r="HE2103" s="73"/>
      <c r="HF2103" s="73"/>
      <c r="HG2103" s="73"/>
      <c r="HH2103" s="73"/>
      <c r="HI2103" s="73"/>
      <c r="HJ2103" s="73"/>
      <c r="HK2103" s="73"/>
      <c r="HL2103" s="73"/>
      <c r="HM2103" s="73"/>
      <c r="HN2103" s="73"/>
      <c r="HO2103" s="73"/>
      <c r="HP2103" s="73"/>
      <c r="HQ2103" s="73"/>
      <c r="HR2103" s="73"/>
      <c r="HS2103" s="73"/>
      <c r="HT2103" s="73"/>
      <c r="HU2103" s="73"/>
      <c r="HV2103" s="73"/>
      <c r="HW2103" s="73"/>
      <c r="HX2103" s="73"/>
      <c r="HY2103" s="73"/>
      <c r="HZ2103" s="73"/>
      <c r="IA2103" s="73"/>
      <c r="IB2103" s="73"/>
      <c r="IC2103" s="73"/>
      <c r="ID2103" s="73"/>
      <c r="IE2103" s="73"/>
      <c r="IF2103" s="73"/>
      <c r="IG2103" s="73"/>
      <c r="IH2103" s="73"/>
      <c r="II2103" s="73"/>
      <c r="IJ2103" s="73"/>
      <c r="IK2103" s="73"/>
      <c r="IL2103" s="73"/>
      <c r="IM2103" s="73"/>
      <c r="IN2103" s="73"/>
      <c r="IO2103" s="73"/>
      <c r="IP2103" s="73"/>
      <c r="IQ2103" s="73"/>
      <c r="IR2103" s="73"/>
      <c r="IS2103" s="73"/>
      <c r="IT2103" s="73"/>
      <c r="IU2103" s="73"/>
      <c r="IV2103" s="73"/>
      <c r="IW2103" s="73"/>
      <c r="IX2103" s="73"/>
      <c r="IY2103" s="73"/>
      <c r="IZ2103" s="73"/>
      <c r="JA2103" s="73"/>
      <c r="JB2103" s="73"/>
      <c r="JC2103" s="73"/>
    </row>
    <row r="2104" spans="2:263" s="72" customFormat="1">
      <c r="B2104" s="73"/>
      <c r="C2104" s="73"/>
      <c r="D2104" s="73"/>
      <c r="E2104" s="73"/>
      <c r="F2104" s="73"/>
      <c r="G2104" s="73"/>
      <c r="H2104" s="73"/>
      <c r="I2104" s="73"/>
      <c r="J2104" s="73"/>
      <c r="K2104" s="73"/>
      <c r="L2104" s="73"/>
      <c r="M2104" s="73"/>
      <c r="N2104" s="73"/>
      <c r="O2104" s="73"/>
      <c r="P2104" s="73"/>
      <c r="Q2104" s="73"/>
      <c r="R2104" s="73"/>
      <c r="S2104" s="73"/>
      <c r="T2104" s="73"/>
      <c r="U2104" s="73"/>
      <c r="V2104" s="73"/>
      <c r="W2104" s="73"/>
      <c r="GL2104" s="73"/>
      <c r="GM2104" s="73"/>
      <c r="GN2104" s="73"/>
      <c r="GO2104" s="73"/>
      <c r="GP2104" s="73"/>
      <c r="GQ2104" s="73"/>
      <c r="GR2104" s="73"/>
      <c r="GS2104" s="73"/>
      <c r="GT2104" s="73"/>
      <c r="GU2104" s="73"/>
      <c r="GV2104" s="73"/>
      <c r="GW2104" s="73"/>
      <c r="GX2104" s="73"/>
      <c r="GY2104" s="73"/>
      <c r="GZ2104" s="73"/>
      <c r="HA2104" s="73"/>
      <c r="HB2104" s="73"/>
      <c r="HC2104" s="73"/>
      <c r="HD2104" s="73"/>
      <c r="HE2104" s="73"/>
      <c r="HF2104" s="73"/>
      <c r="HG2104" s="73"/>
      <c r="HH2104" s="73"/>
      <c r="HI2104" s="73"/>
      <c r="HJ2104" s="73"/>
      <c r="HK2104" s="73"/>
      <c r="HL2104" s="73"/>
      <c r="HM2104" s="73"/>
      <c r="HN2104" s="73"/>
      <c r="HO2104" s="73"/>
      <c r="HP2104" s="73"/>
      <c r="HQ2104" s="73"/>
      <c r="HR2104" s="73"/>
      <c r="HS2104" s="73"/>
      <c r="HT2104" s="73"/>
      <c r="HU2104" s="73"/>
      <c r="HV2104" s="73"/>
      <c r="HW2104" s="73"/>
      <c r="HX2104" s="73"/>
      <c r="HY2104" s="73"/>
      <c r="HZ2104" s="73"/>
      <c r="IA2104" s="73"/>
      <c r="IB2104" s="73"/>
      <c r="IC2104" s="73"/>
      <c r="ID2104" s="73"/>
      <c r="IE2104" s="73"/>
      <c r="IF2104" s="73"/>
      <c r="IG2104" s="73"/>
      <c r="IH2104" s="73"/>
      <c r="II2104" s="73"/>
      <c r="IJ2104" s="73"/>
      <c r="IK2104" s="73"/>
      <c r="IL2104" s="73"/>
      <c r="IM2104" s="73"/>
      <c r="IN2104" s="73"/>
      <c r="IO2104" s="73"/>
      <c r="IP2104" s="73"/>
      <c r="IQ2104" s="73"/>
      <c r="IR2104" s="73"/>
      <c r="IS2104" s="73"/>
      <c r="IT2104" s="73"/>
      <c r="IU2104" s="73"/>
      <c r="IV2104" s="73"/>
      <c r="IW2104" s="73"/>
      <c r="IX2104" s="73"/>
      <c r="IY2104" s="73"/>
      <c r="IZ2104" s="73"/>
      <c r="JA2104" s="73"/>
      <c r="JB2104" s="73"/>
      <c r="JC2104" s="73"/>
    </row>
    <row r="2105" spans="2:263" s="72" customFormat="1">
      <c r="B2105" s="73"/>
      <c r="C2105" s="73"/>
      <c r="D2105" s="73"/>
      <c r="E2105" s="73"/>
      <c r="F2105" s="73"/>
      <c r="G2105" s="73"/>
      <c r="H2105" s="73"/>
      <c r="I2105" s="73"/>
      <c r="J2105" s="73"/>
      <c r="K2105" s="73"/>
      <c r="L2105" s="73"/>
      <c r="M2105" s="73"/>
      <c r="N2105" s="73"/>
      <c r="O2105" s="73"/>
      <c r="P2105" s="73"/>
      <c r="Q2105" s="73"/>
      <c r="R2105" s="73"/>
      <c r="S2105" s="73"/>
      <c r="T2105" s="73"/>
      <c r="U2105" s="73"/>
      <c r="V2105" s="73"/>
      <c r="W2105" s="73"/>
      <c r="GL2105" s="73"/>
      <c r="GM2105" s="73"/>
      <c r="GN2105" s="73"/>
      <c r="GO2105" s="73"/>
      <c r="GP2105" s="73"/>
      <c r="GQ2105" s="73"/>
      <c r="GR2105" s="73"/>
      <c r="GS2105" s="73"/>
      <c r="GT2105" s="73"/>
      <c r="GU2105" s="73"/>
      <c r="GV2105" s="73"/>
      <c r="GW2105" s="73"/>
      <c r="GX2105" s="73"/>
      <c r="GY2105" s="73"/>
      <c r="GZ2105" s="73"/>
      <c r="HA2105" s="73"/>
      <c r="HB2105" s="73"/>
      <c r="HC2105" s="73"/>
      <c r="HD2105" s="73"/>
      <c r="HE2105" s="73"/>
      <c r="HF2105" s="73"/>
      <c r="HG2105" s="73"/>
      <c r="HH2105" s="73"/>
      <c r="HI2105" s="73"/>
      <c r="HJ2105" s="73"/>
      <c r="HK2105" s="73"/>
      <c r="HL2105" s="73"/>
      <c r="HM2105" s="73"/>
      <c r="HN2105" s="73"/>
      <c r="HO2105" s="73"/>
      <c r="HP2105" s="73"/>
      <c r="HQ2105" s="73"/>
      <c r="HR2105" s="73"/>
      <c r="HS2105" s="73"/>
      <c r="HT2105" s="73"/>
      <c r="HU2105" s="73"/>
      <c r="HV2105" s="73"/>
      <c r="HW2105" s="73"/>
      <c r="HX2105" s="73"/>
      <c r="HY2105" s="73"/>
      <c r="HZ2105" s="73"/>
      <c r="IA2105" s="73"/>
      <c r="IB2105" s="73"/>
      <c r="IC2105" s="73"/>
      <c r="ID2105" s="73"/>
      <c r="IE2105" s="73"/>
      <c r="IF2105" s="73"/>
      <c r="IG2105" s="73"/>
      <c r="IH2105" s="73"/>
      <c r="II2105" s="73"/>
      <c r="IJ2105" s="73"/>
      <c r="IK2105" s="73"/>
      <c r="IL2105" s="73"/>
      <c r="IM2105" s="73"/>
      <c r="IN2105" s="73"/>
      <c r="IO2105" s="73"/>
      <c r="IP2105" s="73"/>
      <c r="IQ2105" s="73"/>
      <c r="IR2105" s="73"/>
      <c r="IS2105" s="73"/>
      <c r="IT2105" s="73"/>
      <c r="IU2105" s="73"/>
      <c r="IV2105" s="73"/>
      <c r="IW2105" s="73"/>
      <c r="IX2105" s="73"/>
      <c r="IY2105" s="73"/>
      <c r="IZ2105" s="73"/>
      <c r="JA2105" s="73"/>
      <c r="JB2105" s="73"/>
      <c r="JC2105" s="73"/>
    </row>
    <row r="2106" spans="2:263" s="72" customFormat="1">
      <c r="B2106" s="73"/>
      <c r="C2106" s="73"/>
      <c r="D2106" s="73"/>
      <c r="E2106" s="73"/>
      <c r="F2106" s="73"/>
      <c r="G2106" s="73"/>
      <c r="H2106" s="73"/>
      <c r="I2106" s="73"/>
      <c r="J2106" s="73"/>
      <c r="K2106" s="73"/>
      <c r="L2106" s="73"/>
      <c r="M2106" s="73"/>
      <c r="N2106" s="73"/>
      <c r="O2106" s="73"/>
      <c r="P2106" s="73"/>
      <c r="Q2106" s="73"/>
      <c r="R2106" s="73"/>
      <c r="S2106" s="73"/>
      <c r="T2106" s="73"/>
      <c r="U2106" s="73"/>
      <c r="V2106" s="73"/>
      <c r="W2106" s="73"/>
      <c r="GL2106" s="73"/>
      <c r="GM2106" s="73"/>
      <c r="GN2106" s="73"/>
      <c r="GO2106" s="73"/>
      <c r="GP2106" s="73"/>
      <c r="GQ2106" s="73"/>
      <c r="GR2106" s="73"/>
      <c r="GS2106" s="73"/>
      <c r="GT2106" s="73"/>
      <c r="GU2106" s="73"/>
      <c r="GV2106" s="73"/>
      <c r="GW2106" s="73"/>
      <c r="GX2106" s="73"/>
      <c r="GY2106" s="73"/>
      <c r="GZ2106" s="73"/>
      <c r="HA2106" s="73"/>
      <c r="HB2106" s="73"/>
      <c r="HC2106" s="73"/>
      <c r="HD2106" s="73"/>
      <c r="HE2106" s="73"/>
      <c r="HF2106" s="73"/>
      <c r="HG2106" s="73"/>
      <c r="HH2106" s="73"/>
      <c r="HI2106" s="73"/>
      <c r="HJ2106" s="73"/>
      <c r="HK2106" s="73"/>
      <c r="HL2106" s="73"/>
      <c r="HM2106" s="73"/>
      <c r="HN2106" s="73"/>
      <c r="HO2106" s="73"/>
      <c r="HP2106" s="73"/>
      <c r="HQ2106" s="73"/>
      <c r="HR2106" s="73"/>
      <c r="HS2106" s="73"/>
      <c r="HT2106" s="73"/>
      <c r="HU2106" s="73"/>
      <c r="HV2106" s="73"/>
      <c r="HW2106" s="73"/>
      <c r="HX2106" s="73"/>
      <c r="HY2106" s="73"/>
      <c r="HZ2106" s="73"/>
      <c r="IA2106" s="73"/>
      <c r="IB2106" s="73"/>
      <c r="IC2106" s="73"/>
      <c r="ID2106" s="73"/>
      <c r="IE2106" s="73"/>
      <c r="IF2106" s="73"/>
      <c r="IG2106" s="73"/>
      <c r="IH2106" s="73"/>
      <c r="II2106" s="73"/>
      <c r="IJ2106" s="73"/>
      <c r="IK2106" s="73"/>
      <c r="IL2106" s="73"/>
      <c r="IM2106" s="73"/>
      <c r="IN2106" s="73"/>
      <c r="IO2106" s="73"/>
      <c r="IP2106" s="73"/>
      <c r="IQ2106" s="73"/>
      <c r="IR2106" s="73"/>
      <c r="IS2106" s="73"/>
      <c r="IT2106" s="73"/>
      <c r="IU2106" s="73"/>
      <c r="IV2106" s="73"/>
      <c r="IW2106" s="73"/>
      <c r="IX2106" s="73"/>
      <c r="IY2106" s="73"/>
      <c r="IZ2106" s="73"/>
      <c r="JA2106" s="73"/>
      <c r="JB2106" s="73"/>
      <c r="JC2106" s="73"/>
    </row>
    <row r="2107" spans="2:263" s="72" customFormat="1">
      <c r="B2107" s="73"/>
      <c r="C2107" s="73"/>
      <c r="D2107" s="73"/>
      <c r="E2107" s="73"/>
      <c r="F2107" s="73"/>
      <c r="G2107" s="73"/>
      <c r="H2107" s="73"/>
      <c r="I2107" s="73"/>
      <c r="J2107" s="73"/>
      <c r="K2107" s="73"/>
      <c r="L2107" s="73"/>
      <c r="M2107" s="73"/>
      <c r="N2107" s="73"/>
      <c r="O2107" s="73"/>
      <c r="P2107" s="73"/>
      <c r="Q2107" s="73"/>
      <c r="R2107" s="73"/>
      <c r="S2107" s="73"/>
      <c r="T2107" s="73"/>
      <c r="U2107" s="73"/>
      <c r="V2107" s="73"/>
      <c r="W2107" s="73"/>
      <c r="GL2107" s="73"/>
      <c r="GM2107" s="73"/>
      <c r="GN2107" s="73"/>
      <c r="GO2107" s="73"/>
      <c r="GP2107" s="73"/>
      <c r="GQ2107" s="73"/>
      <c r="GR2107" s="73"/>
      <c r="GS2107" s="73"/>
      <c r="GT2107" s="73"/>
      <c r="GU2107" s="73"/>
      <c r="GV2107" s="73"/>
      <c r="GW2107" s="73"/>
      <c r="GX2107" s="73"/>
      <c r="GY2107" s="73"/>
      <c r="GZ2107" s="73"/>
      <c r="HA2107" s="73"/>
      <c r="HB2107" s="73"/>
      <c r="HC2107" s="73"/>
      <c r="HD2107" s="73"/>
      <c r="HE2107" s="73"/>
      <c r="HF2107" s="73"/>
      <c r="HG2107" s="73"/>
      <c r="HH2107" s="73"/>
      <c r="HI2107" s="73"/>
      <c r="HJ2107" s="73"/>
      <c r="HK2107" s="73"/>
      <c r="HL2107" s="73"/>
      <c r="HM2107" s="73"/>
      <c r="HN2107" s="73"/>
      <c r="HO2107" s="73"/>
      <c r="HP2107" s="73"/>
      <c r="HQ2107" s="73"/>
      <c r="HR2107" s="73"/>
      <c r="HS2107" s="73"/>
      <c r="HT2107" s="73"/>
      <c r="HU2107" s="73"/>
      <c r="HV2107" s="73"/>
      <c r="HW2107" s="73"/>
      <c r="HX2107" s="73"/>
      <c r="HY2107" s="73"/>
      <c r="HZ2107" s="73"/>
      <c r="IA2107" s="73"/>
      <c r="IB2107" s="73"/>
      <c r="IC2107" s="73"/>
      <c r="ID2107" s="73"/>
      <c r="IE2107" s="73"/>
      <c r="IF2107" s="73"/>
      <c r="IG2107" s="73"/>
      <c r="IH2107" s="73"/>
      <c r="II2107" s="73"/>
      <c r="IJ2107" s="73"/>
      <c r="IK2107" s="73"/>
      <c r="IL2107" s="73"/>
      <c r="IM2107" s="73"/>
      <c r="IN2107" s="73"/>
      <c r="IO2107" s="73"/>
      <c r="IP2107" s="73"/>
      <c r="IQ2107" s="73"/>
      <c r="IR2107" s="73"/>
      <c r="IS2107" s="73"/>
      <c r="IT2107" s="73"/>
      <c r="IU2107" s="73"/>
      <c r="IV2107" s="73"/>
      <c r="IW2107" s="73"/>
      <c r="IX2107" s="73"/>
      <c r="IY2107" s="73"/>
      <c r="IZ2107" s="73"/>
      <c r="JA2107" s="73"/>
      <c r="JB2107" s="73"/>
      <c r="JC2107" s="73"/>
    </row>
    <row r="2108" spans="2:263" s="72" customFormat="1">
      <c r="B2108" s="73"/>
      <c r="C2108" s="73"/>
      <c r="D2108" s="73"/>
      <c r="E2108" s="73"/>
      <c r="F2108" s="73"/>
      <c r="G2108" s="73"/>
      <c r="H2108" s="73"/>
      <c r="I2108" s="73"/>
      <c r="J2108" s="73"/>
      <c r="K2108" s="73"/>
      <c r="L2108" s="73"/>
      <c r="M2108" s="73"/>
      <c r="N2108" s="73"/>
      <c r="O2108" s="73"/>
      <c r="P2108" s="73"/>
      <c r="Q2108" s="73"/>
      <c r="R2108" s="73"/>
      <c r="S2108" s="73"/>
      <c r="T2108" s="73"/>
      <c r="U2108" s="73"/>
      <c r="V2108" s="73"/>
      <c r="W2108" s="73"/>
      <c r="GL2108" s="73"/>
      <c r="GM2108" s="73"/>
      <c r="GN2108" s="73"/>
      <c r="GO2108" s="73"/>
      <c r="GP2108" s="73"/>
      <c r="GQ2108" s="73"/>
      <c r="GR2108" s="73"/>
      <c r="GS2108" s="73"/>
      <c r="GT2108" s="73"/>
      <c r="GU2108" s="73"/>
      <c r="GV2108" s="73"/>
      <c r="GW2108" s="73"/>
      <c r="GX2108" s="73"/>
      <c r="GY2108" s="73"/>
      <c r="GZ2108" s="73"/>
      <c r="HA2108" s="73"/>
      <c r="HB2108" s="73"/>
      <c r="HC2108" s="73"/>
      <c r="HD2108" s="73"/>
      <c r="HE2108" s="73"/>
      <c r="HF2108" s="73"/>
      <c r="HG2108" s="73"/>
      <c r="HH2108" s="73"/>
      <c r="HI2108" s="73"/>
      <c r="HJ2108" s="73"/>
      <c r="HK2108" s="73"/>
      <c r="HL2108" s="73"/>
      <c r="HM2108" s="73"/>
      <c r="HN2108" s="73"/>
      <c r="HO2108" s="73"/>
      <c r="HP2108" s="73"/>
      <c r="HQ2108" s="73"/>
      <c r="HR2108" s="73"/>
      <c r="HS2108" s="73"/>
      <c r="HT2108" s="73"/>
      <c r="HU2108" s="73"/>
      <c r="HV2108" s="73"/>
      <c r="HW2108" s="73"/>
      <c r="HX2108" s="73"/>
      <c r="HY2108" s="73"/>
      <c r="HZ2108" s="73"/>
      <c r="IA2108" s="73"/>
      <c r="IB2108" s="73"/>
      <c r="IC2108" s="73"/>
      <c r="ID2108" s="73"/>
      <c r="IE2108" s="73"/>
      <c r="IF2108" s="73"/>
      <c r="IG2108" s="73"/>
      <c r="IH2108" s="73"/>
      <c r="II2108" s="73"/>
      <c r="IJ2108" s="73"/>
      <c r="IK2108" s="73"/>
      <c r="IL2108" s="73"/>
      <c r="IM2108" s="73"/>
      <c r="IN2108" s="73"/>
      <c r="IO2108" s="73"/>
      <c r="IP2108" s="73"/>
      <c r="IQ2108" s="73"/>
      <c r="IR2108" s="73"/>
      <c r="IS2108" s="73"/>
      <c r="IT2108" s="73"/>
      <c r="IU2108" s="73"/>
      <c r="IV2108" s="73"/>
      <c r="IW2108" s="73"/>
      <c r="IX2108" s="73"/>
      <c r="IY2108" s="73"/>
      <c r="IZ2108" s="73"/>
      <c r="JA2108" s="73"/>
      <c r="JB2108" s="73"/>
      <c r="JC2108" s="73"/>
    </row>
    <row r="2109" spans="2:263" s="72" customFormat="1">
      <c r="B2109" s="73"/>
      <c r="C2109" s="73"/>
      <c r="D2109" s="73"/>
      <c r="E2109" s="73"/>
      <c r="F2109" s="73"/>
      <c r="G2109" s="73"/>
      <c r="H2109" s="73"/>
      <c r="I2109" s="73"/>
      <c r="J2109" s="73"/>
      <c r="K2109" s="73"/>
      <c r="L2109" s="73"/>
      <c r="M2109" s="73"/>
      <c r="N2109" s="73"/>
      <c r="O2109" s="73"/>
      <c r="P2109" s="73"/>
      <c r="Q2109" s="73"/>
      <c r="R2109" s="73"/>
      <c r="S2109" s="73"/>
      <c r="T2109" s="73"/>
      <c r="U2109" s="73"/>
      <c r="V2109" s="73"/>
      <c r="W2109" s="73"/>
      <c r="GL2109" s="73"/>
      <c r="GM2109" s="73"/>
      <c r="GN2109" s="73"/>
      <c r="GO2109" s="73"/>
      <c r="GP2109" s="73"/>
      <c r="GQ2109" s="73"/>
      <c r="GR2109" s="73"/>
      <c r="GS2109" s="73"/>
      <c r="GT2109" s="73"/>
      <c r="GU2109" s="73"/>
      <c r="GV2109" s="73"/>
      <c r="GW2109" s="73"/>
      <c r="GX2109" s="73"/>
      <c r="GY2109" s="73"/>
      <c r="GZ2109" s="73"/>
      <c r="HA2109" s="73"/>
      <c r="HB2109" s="73"/>
      <c r="HC2109" s="73"/>
      <c r="HD2109" s="73"/>
      <c r="HE2109" s="73"/>
      <c r="HF2109" s="73"/>
      <c r="HG2109" s="73"/>
      <c r="HH2109" s="73"/>
      <c r="HI2109" s="73"/>
      <c r="HJ2109" s="73"/>
      <c r="HK2109" s="73"/>
      <c r="HL2109" s="73"/>
      <c r="HM2109" s="73"/>
      <c r="HN2109" s="73"/>
      <c r="HO2109" s="73"/>
      <c r="HP2109" s="73"/>
      <c r="HQ2109" s="73"/>
      <c r="HR2109" s="73"/>
      <c r="HS2109" s="73"/>
      <c r="HT2109" s="73"/>
      <c r="HU2109" s="73"/>
      <c r="HV2109" s="73"/>
      <c r="HW2109" s="73"/>
      <c r="HX2109" s="73"/>
      <c r="HY2109" s="73"/>
      <c r="HZ2109" s="73"/>
      <c r="IA2109" s="73"/>
      <c r="IB2109" s="73"/>
      <c r="IC2109" s="73"/>
      <c r="ID2109" s="73"/>
      <c r="IE2109" s="73"/>
      <c r="IF2109" s="73"/>
      <c r="IG2109" s="73"/>
      <c r="IH2109" s="73"/>
      <c r="II2109" s="73"/>
      <c r="IJ2109" s="73"/>
      <c r="IK2109" s="73"/>
      <c r="IL2109" s="73"/>
      <c r="IM2109" s="73"/>
      <c r="IN2109" s="73"/>
      <c r="IO2109" s="73"/>
      <c r="IP2109" s="73"/>
      <c r="IQ2109" s="73"/>
      <c r="IR2109" s="73"/>
      <c r="IS2109" s="73"/>
      <c r="IT2109" s="73"/>
      <c r="IU2109" s="73"/>
      <c r="IV2109" s="73"/>
      <c r="IW2109" s="73"/>
      <c r="IX2109" s="73"/>
      <c r="IY2109" s="73"/>
      <c r="IZ2109" s="73"/>
      <c r="JA2109" s="73"/>
      <c r="JB2109" s="73"/>
      <c r="JC2109" s="73"/>
    </row>
    <row r="2110" spans="2:263" s="72" customFormat="1">
      <c r="B2110" s="73"/>
      <c r="C2110" s="73"/>
      <c r="D2110" s="73"/>
      <c r="E2110" s="73"/>
      <c r="F2110" s="73"/>
      <c r="G2110" s="73"/>
      <c r="H2110" s="73"/>
      <c r="I2110" s="73"/>
      <c r="J2110" s="73"/>
      <c r="K2110" s="73"/>
      <c r="L2110" s="73"/>
      <c r="M2110" s="73"/>
      <c r="N2110" s="73"/>
      <c r="O2110" s="73"/>
      <c r="P2110" s="73"/>
      <c r="Q2110" s="73"/>
      <c r="R2110" s="73"/>
      <c r="S2110" s="73"/>
      <c r="T2110" s="73"/>
      <c r="U2110" s="73"/>
      <c r="V2110" s="73"/>
      <c r="W2110" s="73"/>
      <c r="GL2110" s="73"/>
      <c r="GM2110" s="73"/>
      <c r="GN2110" s="73"/>
      <c r="GO2110" s="73"/>
      <c r="GP2110" s="73"/>
      <c r="GQ2110" s="73"/>
      <c r="GR2110" s="73"/>
      <c r="GS2110" s="73"/>
      <c r="GT2110" s="73"/>
      <c r="GU2110" s="73"/>
      <c r="GV2110" s="73"/>
      <c r="GW2110" s="73"/>
      <c r="GX2110" s="73"/>
      <c r="GY2110" s="73"/>
      <c r="GZ2110" s="73"/>
      <c r="HA2110" s="73"/>
      <c r="HB2110" s="73"/>
      <c r="HC2110" s="73"/>
      <c r="HD2110" s="73"/>
      <c r="HE2110" s="73"/>
      <c r="HF2110" s="73"/>
      <c r="HG2110" s="73"/>
      <c r="HH2110" s="73"/>
      <c r="HI2110" s="73"/>
      <c r="HJ2110" s="73"/>
      <c r="HK2110" s="73"/>
      <c r="HL2110" s="73"/>
      <c r="HM2110" s="73"/>
      <c r="HN2110" s="73"/>
      <c r="HO2110" s="73"/>
      <c r="HP2110" s="73"/>
      <c r="HQ2110" s="73"/>
      <c r="HR2110" s="73"/>
      <c r="HS2110" s="73"/>
      <c r="HT2110" s="73"/>
      <c r="HU2110" s="73"/>
      <c r="HV2110" s="73"/>
      <c r="HW2110" s="73"/>
      <c r="HX2110" s="73"/>
      <c r="HY2110" s="73"/>
      <c r="HZ2110" s="73"/>
      <c r="IA2110" s="73"/>
      <c r="IB2110" s="73"/>
      <c r="IC2110" s="73"/>
      <c r="ID2110" s="73"/>
      <c r="IE2110" s="73"/>
      <c r="IF2110" s="73"/>
      <c r="IG2110" s="73"/>
      <c r="IH2110" s="73"/>
      <c r="II2110" s="73"/>
      <c r="IJ2110" s="73"/>
      <c r="IK2110" s="73"/>
      <c r="IL2110" s="73"/>
      <c r="IM2110" s="73"/>
      <c r="IN2110" s="73"/>
      <c r="IO2110" s="73"/>
      <c r="IP2110" s="73"/>
      <c r="IQ2110" s="73"/>
      <c r="IR2110" s="73"/>
      <c r="IS2110" s="73"/>
      <c r="IT2110" s="73"/>
      <c r="IU2110" s="73"/>
      <c r="IV2110" s="73"/>
      <c r="IW2110" s="73"/>
      <c r="IX2110" s="73"/>
      <c r="IY2110" s="73"/>
      <c r="IZ2110" s="73"/>
      <c r="JA2110" s="73"/>
      <c r="JB2110" s="73"/>
      <c r="JC2110" s="73"/>
    </row>
    <row r="2111" spans="2:263" s="72" customFormat="1">
      <c r="B2111" s="73"/>
      <c r="C2111" s="73"/>
      <c r="D2111" s="73"/>
      <c r="E2111" s="73"/>
      <c r="F2111" s="73"/>
      <c r="G2111" s="73"/>
      <c r="H2111" s="73"/>
      <c r="I2111" s="73"/>
      <c r="J2111" s="73"/>
      <c r="K2111" s="73"/>
      <c r="L2111" s="73"/>
      <c r="M2111" s="73"/>
      <c r="N2111" s="73"/>
      <c r="O2111" s="73"/>
      <c r="P2111" s="73"/>
      <c r="Q2111" s="73"/>
      <c r="R2111" s="73"/>
      <c r="S2111" s="73"/>
      <c r="T2111" s="73"/>
      <c r="U2111" s="73"/>
      <c r="V2111" s="73"/>
      <c r="W2111" s="73"/>
      <c r="GL2111" s="73"/>
      <c r="GM2111" s="73"/>
      <c r="GN2111" s="73"/>
      <c r="GO2111" s="73"/>
      <c r="GP2111" s="73"/>
      <c r="GQ2111" s="73"/>
      <c r="GR2111" s="73"/>
      <c r="GS2111" s="73"/>
      <c r="GT2111" s="73"/>
      <c r="GU2111" s="73"/>
      <c r="GV2111" s="73"/>
      <c r="GW2111" s="73"/>
      <c r="GX2111" s="73"/>
      <c r="GY2111" s="73"/>
      <c r="GZ2111" s="73"/>
      <c r="HA2111" s="73"/>
      <c r="HB2111" s="73"/>
      <c r="HC2111" s="73"/>
      <c r="HD2111" s="73"/>
      <c r="HE2111" s="73"/>
      <c r="HF2111" s="73"/>
      <c r="HG2111" s="73"/>
      <c r="HH2111" s="73"/>
      <c r="HI2111" s="73"/>
      <c r="HJ2111" s="73"/>
      <c r="HK2111" s="73"/>
      <c r="HL2111" s="73"/>
      <c r="HM2111" s="73"/>
      <c r="HN2111" s="73"/>
      <c r="HO2111" s="73"/>
      <c r="HP2111" s="73"/>
      <c r="HQ2111" s="73"/>
      <c r="HR2111" s="73"/>
      <c r="HS2111" s="73"/>
      <c r="HT2111" s="73"/>
      <c r="HU2111" s="73"/>
      <c r="HV2111" s="73"/>
      <c r="HW2111" s="73"/>
      <c r="HX2111" s="73"/>
      <c r="HY2111" s="73"/>
      <c r="HZ2111" s="73"/>
      <c r="IA2111" s="73"/>
      <c r="IB2111" s="73"/>
      <c r="IC2111" s="73"/>
      <c r="ID2111" s="73"/>
      <c r="IE2111" s="73"/>
      <c r="IF2111" s="73"/>
      <c r="IG2111" s="73"/>
      <c r="IH2111" s="73"/>
      <c r="II2111" s="73"/>
      <c r="IJ2111" s="73"/>
      <c r="IK2111" s="73"/>
      <c r="IL2111" s="73"/>
      <c r="IM2111" s="73"/>
      <c r="IN2111" s="73"/>
      <c r="IO2111" s="73"/>
      <c r="IP2111" s="73"/>
      <c r="IQ2111" s="73"/>
      <c r="IR2111" s="73"/>
      <c r="IS2111" s="73"/>
      <c r="IT2111" s="73"/>
      <c r="IU2111" s="73"/>
      <c r="IV2111" s="73"/>
      <c r="IW2111" s="73"/>
      <c r="IX2111" s="73"/>
      <c r="IY2111" s="73"/>
      <c r="IZ2111" s="73"/>
      <c r="JA2111" s="73"/>
      <c r="JB2111" s="73"/>
      <c r="JC2111" s="73"/>
    </row>
    <row r="2112" spans="2:263" s="72" customFormat="1">
      <c r="B2112" s="73"/>
      <c r="C2112" s="73"/>
      <c r="D2112" s="73"/>
      <c r="E2112" s="73"/>
      <c r="F2112" s="73"/>
      <c r="G2112" s="73"/>
      <c r="H2112" s="73"/>
      <c r="I2112" s="73"/>
      <c r="J2112" s="73"/>
      <c r="K2112" s="73"/>
      <c r="L2112" s="73"/>
      <c r="M2112" s="73"/>
      <c r="N2112" s="73"/>
      <c r="O2112" s="73"/>
      <c r="P2112" s="73"/>
      <c r="Q2112" s="73"/>
      <c r="R2112" s="73"/>
      <c r="S2112" s="73"/>
      <c r="T2112" s="73"/>
      <c r="U2112" s="73"/>
      <c r="V2112" s="73"/>
      <c r="W2112" s="73"/>
      <c r="GL2112" s="73"/>
      <c r="GM2112" s="73"/>
      <c r="GN2112" s="73"/>
      <c r="GO2112" s="73"/>
      <c r="GP2112" s="73"/>
      <c r="GQ2112" s="73"/>
      <c r="GR2112" s="73"/>
      <c r="GS2112" s="73"/>
      <c r="GT2112" s="73"/>
      <c r="GU2112" s="73"/>
      <c r="GV2112" s="73"/>
      <c r="GW2112" s="73"/>
      <c r="GX2112" s="73"/>
      <c r="GY2112" s="73"/>
      <c r="GZ2112" s="73"/>
      <c r="HA2112" s="73"/>
      <c r="HB2112" s="73"/>
      <c r="HC2112" s="73"/>
      <c r="HD2112" s="73"/>
      <c r="HE2112" s="73"/>
      <c r="HF2112" s="73"/>
      <c r="HG2112" s="73"/>
      <c r="HH2112" s="73"/>
      <c r="HI2112" s="73"/>
      <c r="HJ2112" s="73"/>
      <c r="HK2112" s="73"/>
      <c r="HL2112" s="73"/>
      <c r="HM2112" s="73"/>
      <c r="HN2112" s="73"/>
      <c r="HO2112" s="73"/>
      <c r="HP2112" s="73"/>
      <c r="HQ2112" s="73"/>
      <c r="HR2112" s="73"/>
      <c r="HS2112" s="73"/>
      <c r="HT2112" s="73"/>
      <c r="HU2112" s="73"/>
      <c r="HV2112" s="73"/>
      <c r="HW2112" s="73"/>
      <c r="HX2112" s="73"/>
      <c r="HY2112" s="73"/>
      <c r="HZ2112" s="73"/>
      <c r="IA2112" s="73"/>
      <c r="IB2112" s="73"/>
      <c r="IC2112" s="73"/>
      <c r="ID2112" s="73"/>
      <c r="IE2112" s="73"/>
      <c r="IF2112" s="73"/>
      <c r="IG2112" s="73"/>
      <c r="IH2112" s="73"/>
      <c r="II2112" s="73"/>
      <c r="IJ2112" s="73"/>
      <c r="IK2112" s="73"/>
      <c r="IL2112" s="73"/>
      <c r="IM2112" s="73"/>
      <c r="IN2112" s="73"/>
      <c r="IO2112" s="73"/>
      <c r="IP2112" s="73"/>
      <c r="IQ2112" s="73"/>
      <c r="IR2112" s="73"/>
      <c r="IS2112" s="73"/>
      <c r="IT2112" s="73"/>
      <c r="IU2112" s="73"/>
      <c r="IV2112" s="73"/>
      <c r="IW2112" s="73"/>
      <c r="IX2112" s="73"/>
      <c r="IY2112" s="73"/>
      <c r="IZ2112" s="73"/>
      <c r="JA2112" s="73"/>
      <c r="JB2112" s="73"/>
      <c r="JC2112" s="73"/>
    </row>
    <row r="2113" spans="2:263" s="72" customFormat="1">
      <c r="B2113" s="73"/>
      <c r="C2113" s="73"/>
      <c r="D2113" s="73"/>
      <c r="E2113" s="73"/>
      <c r="F2113" s="73"/>
      <c r="G2113" s="73"/>
      <c r="H2113" s="73"/>
      <c r="I2113" s="73"/>
      <c r="J2113" s="73"/>
      <c r="K2113" s="73"/>
      <c r="L2113" s="73"/>
      <c r="M2113" s="73"/>
      <c r="N2113" s="73"/>
      <c r="O2113" s="73"/>
      <c r="P2113" s="73"/>
      <c r="Q2113" s="73"/>
      <c r="R2113" s="73"/>
      <c r="S2113" s="73"/>
      <c r="T2113" s="73"/>
      <c r="U2113" s="73"/>
      <c r="V2113" s="73"/>
      <c r="W2113" s="73"/>
      <c r="GL2113" s="73"/>
      <c r="GM2113" s="73"/>
      <c r="GN2113" s="73"/>
      <c r="GO2113" s="73"/>
      <c r="GP2113" s="73"/>
      <c r="GQ2113" s="73"/>
      <c r="GR2113" s="73"/>
      <c r="GS2113" s="73"/>
      <c r="GT2113" s="73"/>
      <c r="GU2113" s="73"/>
      <c r="GV2113" s="73"/>
      <c r="GW2113" s="73"/>
      <c r="GX2113" s="73"/>
      <c r="GY2113" s="73"/>
      <c r="GZ2113" s="73"/>
      <c r="HA2113" s="73"/>
      <c r="HB2113" s="73"/>
      <c r="HC2113" s="73"/>
      <c r="HD2113" s="73"/>
      <c r="HE2113" s="73"/>
      <c r="HF2113" s="73"/>
      <c r="HG2113" s="73"/>
      <c r="HH2113" s="73"/>
      <c r="HI2113" s="73"/>
      <c r="HJ2113" s="73"/>
      <c r="HK2113" s="73"/>
      <c r="HL2113" s="73"/>
      <c r="HM2113" s="73"/>
      <c r="HN2113" s="73"/>
      <c r="HO2113" s="73"/>
      <c r="HP2113" s="73"/>
      <c r="HQ2113" s="73"/>
      <c r="HR2113" s="73"/>
      <c r="HS2113" s="73"/>
      <c r="HT2113" s="73"/>
      <c r="HU2113" s="73"/>
      <c r="HV2113" s="73"/>
      <c r="HW2113" s="73"/>
      <c r="HX2113" s="73"/>
      <c r="HY2113" s="73"/>
      <c r="HZ2113" s="73"/>
      <c r="IA2113" s="73"/>
      <c r="IB2113" s="73"/>
      <c r="IC2113" s="73"/>
      <c r="ID2113" s="73"/>
      <c r="IE2113" s="73"/>
      <c r="IF2113" s="73"/>
      <c r="IG2113" s="73"/>
      <c r="IH2113" s="73"/>
      <c r="II2113" s="73"/>
      <c r="IJ2113" s="73"/>
      <c r="IK2113" s="73"/>
      <c r="IL2113" s="73"/>
      <c r="IM2113" s="73"/>
      <c r="IN2113" s="73"/>
      <c r="IO2113" s="73"/>
      <c r="IP2113" s="73"/>
      <c r="IQ2113" s="73"/>
      <c r="IR2113" s="73"/>
      <c r="IS2113" s="73"/>
      <c r="IT2113" s="73"/>
      <c r="IU2113" s="73"/>
      <c r="IV2113" s="73"/>
      <c r="IW2113" s="73"/>
      <c r="IX2113" s="73"/>
      <c r="IY2113" s="73"/>
      <c r="IZ2113" s="73"/>
      <c r="JA2113" s="73"/>
      <c r="JB2113" s="73"/>
      <c r="JC2113" s="73"/>
    </row>
    <row r="2114" spans="2:263" s="72" customFormat="1">
      <c r="B2114" s="73"/>
      <c r="C2114" s="73"/>
      <c r="D2114" s="73"/>
      <c r="E2114" s="73"/>
      <c r="F2114" s="73"/>
      <c r="G2114" s="73"/>
      <c r="H2114" s="73"/>
      <c r="I2114" s="73"/>
      <c r="J2114" s="73"/>
      <c r="K2114" s="73"/>
      <c r="L2114" s="73"/>
      <c r="M2114" s="73"/>
      <c r="N2114" s="73"/>
      <c r="O2114" s="73"/>
      <c r="P2114" s="73"/>
      <c r="Q2114" s="73"/>
      <c r="R2114" s="73"/>
      <c r="S2114" s="73"/>
      <c r="T2114" s="73"/>
      <c r="U2114" s="73"/>
      <c r="V2114" s="73"/>
      <c r="W2114" s="73"/>
      <c r="GL2114" s="73"/>
      <c r="GM2114" s="73"/>
      <c r="GN2114" s="73"/>
      <c r="GO2114" s="73"/>
      <c r="GP2114" s="73"/>
      <c r="GQ2114" s="73"/>
      <c r="GR2114" s="73"/>
      <c r="GS2114" s="73"/>
      <c r="GT2114" s="73"/>
      <c r="GU2114" s="73"/>
      <c r="GV2114" s="73"/>
      <c r="GW2114" s="73"/>
      <c r="GX2114" s="73"/>
      <c r="GY2114" s="73"/>
      <c r="GZ2114" s="73"/>
      <c r="HA2114" s="73"/>
      <c r="HB2114" s="73"/>
      <c r="HC2114" s="73"/>
      <c r="HD2114" s="73"/>
      <c r="HE2114" s="73"/>
      <c r="HF2114" s="73"/>
      <c r="HG2114" s="73"/>
      <c r="HH2114" s="73"/>
      <c r="HI2114" s="73"/>
      <c r="HJ2114" s="73"/>
      <c r="HK2114" s="73"/>
      <c r="HL2114" s="73"/>
      <c r="HM2114" s="73"/>
      <c r="HN2114" s="73"/>
      <c r="HO2114" s="73"/>
      <c r="HP2114" s="73"/>
      <c r="HQ2114" s="73"/>
      <c r="HR2114" s="73"/>
      <c r="HS2114" s="73"/>
      <c r="HT2114" s="73"/>
      <c r="HU2114" s="73"/>
      <c r="HV2114" s="73"/>
      <c r="HW2114" s="73"/>
      <c r="HX2114" s="73"/>
      <c r="HY2114" s="73"/>
      <c r="HZ2114" s="73"/>
      <c r="IA2114" s="73"/>
      <c r="IB2114" s="73"/>
      <c r="IC2114" s="73"/>
      <c r="ID2114" s="73"/>
      <c r="IE2114" s="73"/>
      <c r="IF2114" s="73"/>
      <c r="IG2114" s="73"/>
      <c r="IH2114" s="73"/>
      <c r="II2114" s="73"/>
      <c r="IJ2114" s="73"/>
      <c r="IK2114" s="73"/>
      <c r="IL2114" s="73"/>
      <c r="IM2114" s="73"/>
      <c r="IN2114" s="73"/>
      <c r="IO2114" s="73"/>
      <c r="IP2114" s="73"/>
      <c r="IQ2114" s="73"/>
      <c r="IR2114" s="73"/>
      <c r="IS2114" s="73"/>
      <c r="IT2114" s="73"/>
      <c r="IU2114" s="73"/>
      <c r="IV2114" s="73"/>
      <c r="IW2114" s="73"/>
      <c r="IX2114" s="73"/>
      <c r="IY2114" s="73"/>
      <c r="IZ2114" s="73"/>
      <c r="JA2114" s="73"/>
      <c r="JB2114" s="73"/>
      <c r="JC2114" s="73"/>
    </row>
    <row r="2115" spans="2:263" s="72" customFormat="1">
      <c r="B2115" s="73"/>
      <c r="C2115" s="73"/>
      <c r="D2115" s="73"/>
      <c r="E2115" s="73"/>
      <c r="F2115" s="73"/>
      <c r="G2115" s="73"/>
      <c r="H2115" s="73"/>
      <c r="I2115" s="73"/>
      <c r="J2115" s="73"/>
      <c r="K2115" s="73"/>
      <c r="L2115" s="73"/>
      <c r="M2115" s="73"/>
      <c r="N2115" s="73"/>
      <c r="O2115" s="73"/>
      <c r="P2115" s="73"/>
      <c r="Q2115" s="73"/>
      <c r="R2115" s="73"/>
      <c r="S2115" s="73"/>
      <c r="T2115" s="73"/>
      <c r="U2115" s="73"/>
      <c r="V2115" s="73"/>
      <c r="W2115" s="73"/>
      <c r="GL2115" s="73"/>
      <c r="GM2115" s="73"/>
      <c r="GN2115" s="73"/>
      <c r="GO2115" s="73"/>
      <c r="GP2115" s="73"/>
      <c r="GQ2115" s="73"/>
      <c r="GR2115" s="73"/>
      <c r="GS2115" s="73"/>
      <c r="GT2115" s="73"/>
      <c r="GU2115" s="73"/>
      <c r="GV2115" s="73"/>
      <c r="GW2115" s="73"/>
      <c r="GX2115" s="73"/>
      <c r="GY2115" s="73"/>
      <c r="GZ2115" s="73"/>
      <c r="HA2115" s="73"/>
      <c r="HB2115" s="73"/>
      <c r="HC2115" s="73"/>
      <c r="HD2115" s="73"/>
      <c r="HE2115" s="73"/>
      <c r="HF2115" s="73"/>
      <c r="HG2115" s="73"/>
      <c r="HH2115" s="73"/>
      <c r="HI2115" s="73"/>
      <c r="HJ2115" s="73"/>
      <c r="HK2115" s="73"/>
      <c r="HL2115" s="73"/>
      <c r="HM2115" s="73"/>
      <c r="HN2115" s="73"/>
      <c r="HO2115" s="73"/>
      <c r="HP2115" s="73"/>
      <c r="HQ2115" s="73"/>
      <c r="HR2115" s="73"/>
      <c r="HS2115" s="73"/>
      <c r="HT2115" s="73"/>
      <c r="HU2115" s="73"/>
      <c r="HV2115" s="73"/>
      <c r="HW2115" s="73"/>
      <c r="HX2115" s="73"/>
      <c r="HY2115" s="73"/>
      <c r="HZ2115" s="73"/>
      <c r="IA2115" s="73"/>
      <c r="IB2115" s="73"/>
      <c r="IC2115" s="73"/>
      <c r="ID2115" s="73"/>
      <c r="IE2115" s="73"/>
      <c r="IF2115" s="73"/>
      <c r="IG2115" s="73"/>
      <c r="IH2115" s="73"/>
      <c r="II2115" s="73"/>
      <c r="IJ2115" s="73"/>
      <c r="IK2115" s="73"/>
      <c r="IL2115" s="73"/>
      <c r="IM2115" s="73"/>
      <c r="IN2115" s="73"/>
      <c r="IO2115" s="73"/>
      <c r="IP2115" s="73"/>
      <c r="IQ2115" s="73"/>
      <c r="IR2115" s="73"/>
      <c r="IS2115" s="73"/>
      <c r="IT2115" s="73"/>
      <c r="IU2115" s="73"/>
      <c r="IV2115" s="73"/>
      <c r="IW2115" s="73"/>
      <c r="IX2115" s="73"/>
      <c r="IY2115" s="73"/>
      <c r="IZ2115" s="73"/>
      <c r="JA2115" s="73"/>
      <c r="JB2115" s="73"/>
      <c r="JC2115" s="73"/>
    </row>
    <row r="2116" spans="2:263" s="72" customFormat="1">
      <c r="B2116" s="73"/>
      <c r="C2116" s="73"/>
      <c r="D2116" s="73"/>
      <c r="E2116" s="73"/>
      <c r="F2116" s="73"/>
      <c r="G2116" s="73"/>
      <c r="H2116" s="73"/>
      <c r="I2116" s="73"/>
      <c r="J2116" s="73"/>
      <c r="K2116" s="73"/>
      <c r="L2116" s="73"/>
      <c r="M2116" s="73"/>
      <c r="N2116" s="73"/>
      <c r="O2116" s="73"/>
      <c r="P2116" s="73"/>
      <c r="Q2116" s="73"/>
      <c r="R2116" s="73"/>
      <c r="S2116" s="73"/>
      <c r="T2116" s="73"/>
      <c r="U2116" s="73"/>
      <c r="V2116" s="73"/>
      <c r="W2116" s="73"/>
      <c r="GL2116" s="73"/>
      <c r="GM2116" s="73"/>
      <c r="GN2116" s="73"/>
      <c r="GO2116" s="73"/>
      <c r="GP2116" s="73"/>
      <c r="GQ2116" s="73"/>
      <c r="GR2116" s="73"/>
      <c r="GS2116" s="73"/>
      <c r="GT2116" s="73"/>
      <c r="GU2116" s="73"/>
      <c r="GV2116" s="73"/>
      <c r="GW2116" s="73"/>
      <c r="GX2116" s="73"/>
      <c r="GY2116" s="73"/>
      <c r="GZ2116" s="73"/>
      <c r="HA2116" s="73"/>
      <c r="HB2116" s="73"/>
      <c r="HC2116" s="73"/>
      <c r="HD2116" s="73"/>
      <c r="HE2116" s="73"/>
      <c r="HF2116" s="73"/>
      <c r="HG2116" s="73"/>
      <c r="HH2116" s="73"/>
      <c r="HI2116" s="73"/>
      <c r="HJ2116" s="73"/>
      <c r="HK2116" s="73"/>
      <c r="HL2116" s="73"/>
      <c r="HM2116" s="73"/>
      <c r="HN2116" s="73"/>
      <c r="HO2116" s="73"/>
      <c r="HP2116" s="73"/>
      <c r="HQ2116" s="73"/>
      <c r="HR2116" s="73"/>
      <c r="HS2116" s="73"/>
      <c r="HT2116" s="73"/>
      <c r="HU2116" s="73"/>
      <c r="HV2116" s="73"/>
      <c r="HW2116" s="73"/>
      <c r="HX2116" s="73"/>
      <c r="HY2116" s="73"/>
      <c r="HZ2116" s="73"/>
      <c r="IA2116" s="73"/>
      <c r="IB2116" s="73"/>
      <c r="IC2116" s="73"/>
      <c r="ID2116" s="73"/>
      <c r="IE2116" s="73"/>
      <c r="IF2116" s="73"/>
      <c r="IG2116" s="73"/>
      <c r="IH2116" s="73"/>
      <c r="II2116" s="73"/>
      <c r="IJ2116" s="73"/>
      <c r="IK2116" s="73"/>
      <c r="IL2116" s="73"/>
      <c r="IM2116" s="73"/>
      <c r="IN2116" s="73"/>
      <c r="IO2116" s="73"/>
      <c r="IP2116" s="73"/>
      <c r="IQ2116" s="73"/>
      <c r="IR2116" s="73"/>
      <c r="IS2116" s="73"/>
      <c r="IT2116" s="73"/>
      <c r="IU2116" s="73"/>
      <c r="IV2116" s="73"/>
      <c r="IW2116" s="73"/>
      <c r="IX2116" s="73"/>
      <c r="IY2116" s="73"/>
      <c r="IZ2116" s="73"/>
      <c r="JA2116" s="73"/>
      <c r="JB2116" s="73"/>
      <c r="JC2116" s="73"/>
    </row>
    <row r="2117" spans="2:263" s="72" customFormat="1">
      <c r="B2117" s="73"/>
      <c r="C2117" s="73"/>
      <c r="D2117" s="73"/>
      <c r="E2117" s="73"/>
      <c r="F2117" s="73"/>
      <c r="G2117" s="73"/>
      <c r="H2117" s="73"/>
      <c r="I2117" s="73"/>
      <c r="J2117" s="73"/>
      <c r="K2117" s="73"/>
      <c r="L2117" s="73"/>
      <c r="M2117" s="73"/>
      <c r="N2117" s="73"/>
      <c r="O2117" s="73"/>
      <c r="P2117" s="73"/>
      <c r="Q2117" s="73"/>
      <c r="R2117" s="73"/>
      <c r="S2117" s="73"/>
      <c r="T2117" s="73"/>
      <c r="U2117" s="73"/>
      <c r="V2117" s="73"/>
      <c r="W2117" s="73"/>
      <c r="GL2117" s="73"/>
      <c r="GM2117" s="73"/>
      <c r="GN2117" s="73"/>
      <c r="GO2117" s="73"/>
      <c r="GP2117" s="73"/>
      <c r="GQ2117" s="73"/>
      <c r="GR2117" s="73"/>
      <c r="GS2117" s="73"/>
      <c r="GT2117" s="73"/>
      <c r="GU2117" s="73"/>
      <c r="GV2117" s="73"/>
      <c r="GW2117" s="73"/>
      <c r="GX2117" s="73"/>
      <c r="GY2117" s="73"/>
      <c r="GZ2117" s="73"/>
      <c r="HA2117" s="73"/>
      <c r="HB2117" s="73"/>
      <c r="HC2117" s="73"/>
      <c r="HD2117" s="73"/>
      <c r="HE2117" s="73"/>
      <c r="HF2117" s="73"/>
      <c r="HG2117" s="73"/>
      <c r="HH2117" s="73"/>
      <c r="HI2117" s="73"/>
      <c r="HJ2117" s="73"/>
      <c r="HK2117" s="73"/>
      <c r="HL2117" s="73"/>
      <c r="HM2117" s="73"/>
      <c r="HN2117" s="73"/>
      <c r="HO2117" s="73"/>
      <c r="HP2117" s="73"/>
      <c r="HQ2117" s="73"/>
      <c r="HR2117" s="73"/>
      <c r="HS2117" s="73"/>
      <c r="HT2117" s="73"/>
      <c r="HU2117" s="73"/>
      <c r="HV2117" s="73"/>
      <c r="HW2117" s="73"/>
      <c r="HX2117" s="73"/>
      <c r="HY2117" s="73"/>
      <c r="HZ2117" s="73"/>
      <c r="IA2117" s="73"/>
      <c r="IB2117" s="73"/>
      <c r="IC2117" s="73"/>
      <c r="ID2117" s="73"/>
      <c r="IE2117" s="73"/>
      <c r="IF2117" s="73"/>
      <c r="IG2117" s="73"/>
      <c r="IH2117" s="73"/>
      <c r="II2117" s="73"/>
      <c r="IJ2117" s="73"/>
      <c r="IK2117" s="73"/>
      <c r="IL2117" s="73"/>
      <c r="IM2117" s="73"/>
      <c r="IN2117" s="73"/>
      <c r="IO2117" s="73"/>
      <c r="IP2117" s="73"/>
      <c r="IQ2117" s="73"/>
      <c r="IR2117" s="73"/>
      <c r="IS2117" s="73"/>
      <c r="IT2117" s="73"/>
      <c r="IU2117" s="73"/>
      <c r="IV2117" s="73"/>
      <c r="IW2117" s="73"/>
      <c r="IX2117" s="73"/>
      <c r="IY2117" s="73"/>
      <c r="IZ2117" s="73"/>
      <c r="JA2117" s="73"/>
      <c r="JB2117" s="73"/>
      <c r="JC2117" s="73"/>
    </row>
    <row r="2118" spans="2:263" s="72" customFormat="1">
      <c r="B2118" s="73"/>
      <c r="C2118" s="73"/>
      <c r="D2118" s="73"/>
      <c r="E2118" s="73"/>
      <c r="F2118" s="73"/>
      <c r="G2118" s="73"/>
      <c r="H2118" s="73"/>
      <c r="I2118" s="73"/>
      <c r="J2118" s="73"/>
      <c r="K2118" s="73"/>
      <c r="L2118" s="73"/>
      <c r="M2118" s="73"/>
      <c r="N2118" s="73"/>
      <c r="O2118" s="73"/>
      <c r="P2118" s="73"/>
      <c r="Q2118" s="73"/>
      <c r="R2118" s="73"/>
      <c r="S2118" s="73"/>
      <c r="T2118" s="73"/>
      <c r="U2118" s="73"/>
      <c r="V2118" s="73"/>
      <c r="W2118" s="73"/>
      <c r="GL2118" s="73"/>
      <c r="GM2118" s="73"/>
      <c r="GN2118" s="73"/>
      <c r="GO2118" s="73"/>
      <c r="GP2118" s="73"/>
      <c r="GQ2118" s="73"/>
      <c r="GR2118" s="73"/>
      <c r="GS2118" s="73"/>
      <c r="GT2118" s="73"/>
      <c r="GU2118" s="73"/>
      <c r="GV2118" s="73"/>
      <c r="GW2118" s="73"/>
      <c r="GX2118" s="73"/>
      <c r="GY2118" s="73"/>
      <c r="GZ2118" s="73"/>
      <c r="HA2118" s="73"/>
      <c r="HB2118" s="73"/>
      <c r="HC2118" s="73"/>
      <c r="HD2118" s="73"/>
      <c r="HE2118" s="73"/>
      <c r="HF2118" s="73"/>
      <c r="HG2118" s="73"/>
      <c r="HH2118" s="73"/>
      <c r="HI2118" s="73"/>
      <c r="HJ2118" s="73"/>
      <c r="HK2118" s="73"/>
      <c r="HL2118" s="73"/>
      <c r="HM2118" s="73"/>
      <c r="HN2118" s="73"/>
      <c r="HO2118" s="73"/>
      <c r="HP2118" s="73"/>
      <c r="HQ2118" s="73"/>
      <c r="HR2118" s="73"/>
      <c r="HS2118" s="73"/>
      <c r="HT2118" s="73"/>
      <c r="HU2118" s="73"/>
      <c r="HV2118" s="73"/>
      <c r="HW2118" s="73"/>
      <c r="HX2118" s="73"/>
      <c r="HY2118" s="73"/>
      <c r="HZ2118" s="73"/>
      <c r="IA2118" s="73"/>
      <c r="IB2118" s="73"/>
      <c r="IC2118" s="73"/>
      <c r="ID2118" s="73"/>
      <c r="IE2118" s="73"/>
      <c r="IF2118" s="73"/>
      <c r="IG2118" s="73"/>
      <c r="IH2118" s="73"/>
      <c r="II2118" s="73"/>
      <c r="IJ2118" s="73"/>
      <c r="IK2118" s="73"/>
      <c r="IL2118" s="73"/>
      <c r="IM2118" s="73"/>
      <c r="IN2118" s="73"/>
      <c r="IO2118" s="73"/>
      <c r="IP2118" s="73"/>
      <c r="IQ2118" s="73"/>
      <c r="IR2118" s="73"/>
      <c r="IS2118" s="73"/>
      <c r="IT2118" s="73"/>
      <c r="IU2118" s="73"/>
      <c r="IV2118" s="73"/>
      <c r="IW2118" s="73"/>
      <c r="IX2118" s="73"/>
      <c r="IY2118" s="73"/>
      <c r="IZ2118" s="73"/>
      <c r="JA2118" s="73"/>
      <c r="JB2118" s="73"/>
      <c r="JC2118" s="73"/>
    </row>
    <row r="2119" spans="2:263" s="72" customFormat="1">
      <c r="B2119" s="73"/>
      <c r="C2119" s="73"/>
      <c r="D2119" s="73"/>
      <c r="E2119" s="73"/>
      <c r="F2119" s="73"/>
      <c r="G2119" s="73"/>
      <c r="H2119" s="73"/>
      <c r="I2119" s="73"/>
      <c r="J2119" s="73"/>
      <c r="K2119" s="73"/>
      <c r="L2119" s="73"/>
      <c r="M2119" s="73"/>
      <c r="N2119" s="73"/>
      <c r="O2119" s="73"/>
      <c r="P2119" s="73"/>
      <c r="Q2119" s="73"/>
      <c r="R2119" s="73"/>
      <c r="S2119" s="73"/>
      <c r="T2119" s="73"/>
      <c r="U2119" s="73"/>
      <c r="V2119" s="73"/>
      <c r="W2119" s="73"/>
      <c r="GL2119" s="73"/>
      <c r="GM2119" s="73"/>
      <c r="GN2119" s="73"/>
      <c r="GO2119" s="73"/>
      <c r="GP2119" s="73"/>
      <c r="GQ2119" s="73"/>
      <c r="GR2119" s="73"/>
      <c r="GS2119" s="73"/>
      <c r="GT2119" s="73"/>
      <c r="GU2119" s="73"/>
      <c r="GV2119" s="73"/>
      <c r="GW2119" s="73"/>
      <c r="GX2119" s="73"/>
      <c r="GY2119" s="73"/>
      <c r="GZ2119" s="73"/>
      <c r="HA2119" s="73"/>
      <c r="HB2119" s="73"/>
      <c r="HC2119" s="73"/>
      <c r="HD2119" s="73"/>
      <c r="HE2119" s="73"/>
      <c r="HF2119" s="73"/>
      <c r="HG2119" s="73"/>
      <c r="HH2119" s="73"/>
      <c r="HI2119" s="73"/>
      <c r="HJ2119" s="73"/>
      <c r="HK2119" s="73"/>
      <c r="HL2119" s="73"/>
      <c r="HM2119" s="73"/>
      <c r="HN2119" s="73"/>
      <c r="HO2119" s="73"/>
      <c r="HP2119" s="73"/>
      <c r="HQ2119" s="73"/>
      <c r="HR2119" s="73"/>
      <c r="HS2119" s="73"/>
      <c r="HT2119" s="73"/>
      <c r="HU2119" s="73"/>
      <c r="HV2119" s="73"/>
      <c r="HW2119" s="73"/>
      <c r="HX2119" s="73"/>
      <c r="HY2119" s="73"/>
      <c r="HZ2119" s="73"/>
      <c r="IA2119" s="73"/>
      <c r="IB2119" s="73"/>
      <c r="IC2119" s="73"/>
      <c r="ID2119" s="73"/>
      <c r="IE2119" s="73"/>
      <c r="IF2119" s="73"/>
      <c r="IG2119" s="73"/>
      <c r="IH2119" s="73"/>
      <c r="II2119" s="73"/>
      <c r="IJ2119" s="73"/>
      <c r="IK2119" s="73"/>
      <c r="IL2119" s="73"/>
      <c r="IM2119" s="73"/>
      <c r="IN2119" s="73"/>
      <c r="IO2119" s="73"/>
      <c r="IP2119" s="73"/>
      <c r="IQ2119" s="73"/>
      <c r="IR2119" s="73"/>
      <c r="IS2119" s="73"/>
      <c r="IT2119" s="73"/>
      <c r="IU2119" s="73"/>
      <c r="IV2119" s="73"/>
      <c r="IW2119" s="73"/>
      <c r="IX2119" s="73"/>
      <c r="IY2119" s="73"/>
      <c r="IZ2119" s="73"/>
      <c r="JA2119" s="73"/>
      <c r="JB2119" s="73"/>
      <c r="JC2119" s="73"/>
    </row>
    <row r="2120" spans="2:263" s="72" customFormat="1">
      <c r="B2120" s="73"/>
      <c r="C2120" s="73"/>
      <c r="D2120" s="73"/>
      <c r="E2120" s="73"/>
      <c r="F2120" s="73"/>
      <c r="G2120" s="73"/>
      <c r="H2120" s="73"/>
      <c r="I2120" s="73"/>
      <c r="J2120" s="73"/>
      <c r="K2120" s="73"/>
      <c r="L2120" s="73"/>
      <c r="M2120" s="73"/>
      <c r="N2120" s="73"/>
      <c r="O2120" s="73"/>
      <c r="P2120" s="73"/>
      <c r="Q2120" s="73"/>
      <c r="R2120" s="73"/>
      <c r="S2120" s="73"/>
      <c r="T2120" s="73"/>
      <c r="U2120" s="73"/>
      <c r="V2120" s="73"/>
      <c r="W2120" s="73"/>
      <c r="GL2120" s="73"/>
      <c r="GM2120" s="73"/>
      <c r="GN2120" s="73"/>
      <c r="GO2120" s="73"/>
      <c r="GP2120" s="73"/>
      <c r="GQ2120" s="73"/>
      <c r="GR2120" s="73"/>
      <c r="GS2120" s="73"/>
      <c r="GT2120" s="73"/>
      <c r="GU2120" s="73"/>
      <c r="GV2120" s="73"/>
      <c r="GW2120" s="73"/>
      <c r="GX2120" s="73"/>
      <c r="GY2120" s="73"/>
      <c r="GZ2120" s="73"/>
      <c r="HA2120" s="73"/>
      <c r="HB2120" s="73"/>
      <c r="HC2120" s="73"/>
      <c r="HD2120" s="73"/>
      <c r="HE2120" s="73"/>
      <c r="HF2120" s="73"/>
      <c r="HG2120" s="73"/>
      <c r="HH2120" s="73"/>
      <c r="HI2120" s="73"/>
      <c r="HJ2120" s="73"/>
      <c r="HK2120" s="73"/>
      <c r="HL2120" s="73"/>
      <c r="HM2120" s="73"/>
      <c r="HN2120" s="73"/>
      <c r="HO2120" s="73"/>
      <c r="HP2120" s="73"/>
      <c r="HQ2120" s="73"/>
      <c r="HR2120" s="73"/>
      <c r="HS2120" s="73"/>
      <c r="HT2120" s="73"/>
      <c r="HU2120" s="73"/>
      <c r="HV2120" s="73"/>
      <c r="HW2120" s="73"/>
      <c r="HX2120" s="73"/>
      <c r="HY2120" s="73"/>
      <c r="HZ2120" s="73"/>
      <c r="IA2120" s="73"/>
      <c r="IB2120" s="73"/>
      <c r="IC2120" s="73"/>
      <c r="ID2120" s="73"/>
      <c r="IE2120" s="73"/>
      <c r="IF2120" s="73"/>
      <c r="IG2120" s="73"/>
      <c r="IH2120" s="73"/>
      <c r="II2120" s="73"/>
      <c r="IJ2120" s="73"/>
      <c r="IK2120" s="73"/>
      <c r="IL2120" s="73"/>
      <c r="IM2120" s="73"/>
      <c r="IN2120" s="73"/>
      <c r="IO2120" s="73"/>
      <c r="IP2120" s="73"/>
      <c r="IQ2120" s="73"/>
      <c r="IR2120" s="73"/>
      <c r="IS2120" s="73"/>
      <c r="IT2120" s="73"/>
      <c r="IU2120" s="73"/>
      <c r="IV2120" s="73"/>
      <c r="IW2120" s="73"/>
      <c r="IX2120" s="73"/>
      <c r="IY2120" s="73"/>
      <c r="IZ2120" s="73"/>
      <c r="JA2120" s="73"/>
      <c r="JB2120" s="73"/>
      <c r="JC2120" s="73"/>
    </row>
    <row r="2121" spans="2:263" s="72" customFormat="1">
      <c r="B2121" s="73"/>
      <c r="C2121" s="73"/>
      <c r="D2121" s="73"/>
      <c r="E2121" s="73"/>
      <c r="F2121" s="73"/>
      <c r="G2121" s="73"/>
      <c r="H2121" s="73"/>
      <c r="I2121" s="73"/>
      <c r="J2121" s="73"/>
      <c r="K2121" s="73"/>
      <c r="L2121" s="73"/>
      <c r="M2121" s="73"/>
      <c r="N2121" s="73"/>
      <c r="O2121" s="73"/>
      <c r="P2121" s="73"/>
      <c r="Q2121" s="73"/>
      <c r="R2121" s="73"/>
      <c r="S2121" s="73"/>
      <c r="T2121" s="73"/>
      <c r="U2121" s="73"/>
      <c r="V2121" s="73"/>
      <c r="W2121" s="73"/>
      <c r="GL2121" s="73"/>
      <c r="GM2121" s="73"/>
      <c r="GN2121" s="73"/>
      <c r="GO2121" s="73"/>
      <c r="GP2121" s="73"/>
      <c r="GQ2121" s="73"/>
      <c r="GR2121" s="73"/>
      <c r="GS2121" s="73"/>
      <c r="GT2121" s="73"/>
      <c r="GU2121" s="73"/>
      <c r="GV2121" s="73"/>
      <c r="GW2121" s="73"/>
      <c r="GX2121" s="73"/>
      <c r="GY2121" s="73"/>
      <c r="GZ2121" s="73"/>
      <c r="HA2121" s="73"/>
      <c r="HB2121" s="73"/>
      <c r="HC2121" s="73"/>
      <c r="HD2121" s="73"/>
      <c r="HE2121" s="73"/>
      <c r="HF2121" s="73"/>
      <c r="HG2121" s="73"/>
      <c r="HH2121" s="73"/>
      <c r="HI2121" s="73"/>
      <c r="HJ2121" s="73"/>
      <c r="HK2121" s="73"/>
      <c r="HL2121" s="73"/>
      <c r="HM2121" s="73"/>
      <c r="HN2121" s="73"/>
      <c r="HO2121" s="73"/>
      <c r="HP2121" s="73"/>
      <c r="HQ2121" s="73"/>
      <c r="HR2121" s="73"/>
      <c r="HS2121" s="73"/>
      <c r="HT2121" s="73"/>
      <c r="HU2121" s="73"/>
      <c r="HV2121" s="73"/>
      <c r="HW2121" s="73"/>
      <c r="HX2121" s="73"/>
      <c r="HY2121" s="73"/>
      <c r="HZ2121" s="73"/>
      <c r="IA2121" s="73"/>
      <c r="IB2121" s="73"/>
      <c r="IC2121" s="73"/>
      <c r="ID2121" s="73"/>
      <c r="IE2121" s="73"/>
      <c r="IF2121" s="73"/>
      <c r="IG2121" s="73"/>
      <c r="IH2121" s="73"/>
      <c r="II2121" s="73"/>
      <c r="IJ2121" s="73"/>
      <c r="IK2121" s="73"/>
      <c r="IL2121" s="73"/>
      <c r="IM2121" s="73"/>
      <c r="IN2121" s="73"/>
      <c r="IO2121" s="73"/>
      <c r="IP2121" s="73"/>
      <c r="IQ2121" s="73"/>
      <c r="IR2121" s="73"/>
      <c r="IS2121" s="73"/>
      <c r="IT2121" s="73"/>
      <c r="IU2121" s="73"/>
      <c r="IV2121" s="73"/>
      <c r="IW2121" s="73"/>
      <c r="IX2121" s="73"/>
      <c r="IY2121" s="73"/>
      <c r="IZ2121" s="73"/>
      <c r="JA2121" s="73"/>
      <c r="JB2121" s="73"/>
      <c r="JC2121" s="73"/>
    </row>
    <row r="2122" spans="2:263" s="72" customFormat="1">
      <c r="B2122" s="73"/>
      <c r="C2122" s="73"/>
      <c r="D2122" s="73"/>
      <c r="E2122" s="73"/>
      <c r="F2122" s="73"/>
      <c r="G2122" s="73"/>
      <c r="H2122" s="73"/>
      <c r="I2122" s="73"/>
      <c r="J2122" s="73"/>
      <c r="K2122" s="73"/>
      <c r="L2122" s="73"/>
      <c r="M2122" s="73"/>
      <c r="N2122" s="73"/>
      <c r="O2122" s="73"/>
      <c r="P2122" s="73"/>
      <c r="Q2122" s="73"/>
      <c r="R2122" s="73"/>
      <c r="S2122" s="73"/>
      <c r="T2122" s="73"/>
      <c r="U2122" s="73"/>
      <c r="V2122" s="73"/>
      <c r="W2122" s="73"/>
      <c r="GL2122" s="73"/>
      <c r="GM2122" s="73"/>
      <c r="GN2122" s="73"/>
      <c r="GO2122" s="73"/>
      <c r="GP2122" s="73"/>
      <c r="GQ2122" s="73"/>
      <c r="GR2122" s="73"/>
      <c r="GS2122" s="73"/>
      <c r="GT2122" s="73"/>
      <c r="GU2122" s="73"/>
      <c r="GV2122" s="73"/>
      <c r="GW2122" s="73"/>
      <c r="GX2122" s="73"/>
      <c r="GY2122" s="73"/>
      <c r="GZ2122" s="73"/>
      <c r="HA2122" s="73"/>
      <c r="HB2122" s="73"/>
      <c r="HC2122" s="73"/>
      <c r="HD2122" s="73"/>
      <c r="HE2122" s="73"/>
      <c r="HF2122" s="73"/>
      <c r="HG2122" s="73"/>
      <c r="HH2122" s="73"/>
      <c r="HI2122" s="73"/>
      <c r="HJ2122" s="73"/>
      <c r="HK2122" s="73"/>
      <c r="HL2122" s="73"/>
      <c r="HM2122" s="73"/>
      <c r="HN2122" s="73"/>
      <c r="HO2122" s="73"/>
      <c r="HP2122" s="73"/>
      <c r="HQ2122" s="73"/>
      <c r="HR2122" s="73"/>
      <c r="HS2122" s="73"/>
      <c r="HT2122" s="73"/>
      <c r="HU2122" s="73"/>
      <c r="HV2122" s="73"/>
      <c r="HW2122" s="73"/>
      <c r="HX2122" s="73"/>
      <c r="HY2122" s="73"/>
      <c r="HZ2122" s="73"/>
      <c r="IA2122" s="73"/>
      <c r="IB2122" s="73"/>
      <c r="IC2122" s="73"/>
      <c r="ID2122" s="73"/>
      <c r="IE2122" s="73"/>
      <c r="IF2122" s="73"/>
      <c r="IG2122" s="73"/>
      <c r="IH2122" s="73"/>
      <c r="II2122" s="73"/>
      <c r="IJ2122" s="73"/>
      <c r="IK2122" s="73"/>
      <c r="IL2122" s="73"/>
      <c r="IM2122" s="73"/>
      <c r="IN2122" s="73"/>
      <c r="IO2122" s="73"/>
      <c r="IP2122" s="73"/>
      <c r="IQ2122" s="73"/>
      <c r="IR2122" s="73"/>
      <c r="IS2122" s="73"/>
      <c r="IT2122" s="73"/>
      <c r="IU2122" s="73"/>
      <c r="IV2122" s="73"/>
      <c r="IW2122" s="73"/>
      <c r="IX2122" s="73"/>
      <c r="IY2122" s="73"/>
      <c r="IZ2122" s="73"/>
      <c r="JA2122" s="73"/>
      <c r="JB2122" s="73"/>
      <c r="JC2122" s="73"/>
    </row>
    <row r="2123" spans="2:263" s="72" customFormat="1">
      <c r="B2123" s="73"/>
      <c r="C2123" s="73"/>
      <c r="D2123" s="73"/>
      <c r="E2123" s="73"/>
      <c r="F2123" s="73"/>
      <c r="G2123" s="73"/>
      <c r="H2123" s="73"/>
      <c r="I2123" s="73"/>
      <c r="J2123" s="73"/>
      <c r="K2123" s="73"/>
      <c r="L2123" s="73"/>
      <c r="M2123" s="73"/>
      <c r="N2123" s="73"/>
      <c r="O2123" s="73"/>
      <c r="P2123" s="73"/>
      <c r="Q2123" s="73"/>
      <c r="R2123" s="73"/>
      <c r="S2123" s="73"/>
      <c r="T2123" s="73"/>
      <c r="U2123" s="73"/>
      <c r="V2123" s="73"/>
      <c r="W2123" s="73"/>
      <c r="GL2123" s="73"/>
      <c r="GM2123" s="73"/>
      <c r="GN2123" s="73"/>
      <c r="GO2123" s="73"/>
      <c r="GP2123" s="73"/>
      <c r="GQ2123" s="73"/>
      <c r="GR2123" s="73"/>
      <c r="GS2123" s="73"/>
      <c r="GT2123" s="73"/>
      <c r="GU2123" s="73"/>
      <c r="GV2123" s="73"/>
      <c r="GW2123" s="73"/>
      <c r="GX2123" s="73"/>
      <c r="GY2123" s="73"/>
      <c r="GZ2123" s="73"/>
      <c r="HA2123" s="73"/>
      <c r="HB2123" s="73"/>
      <c r="HC2123" s="73"/>
      <c r="HD2123" s="73"/>
      <c r="HE2123" s="73"/>
      <c r="HF2123" s="73"/>
      <c r="HG2123" s="73"/>
      <c r="HH2123" s="73"/>
      <c r="HI2123" s="73"/>
      <c r="HJ2123" s="73"/>
      <c r="HK2123" s="73"/>
      <c r="HL2123" s="73"/>
      <c r="HM2123" s="73"/>
      <c r="HN2123" s="73"/>
      <c r="HO2123" s="73"/>
      <c r="HP2123" s="73"/>
      <c r="HQ2123" s="73"/>
      <c r="HR2123" s="73"/>
      <c r="HS2123" s="73"/>
      <c r="HT2123" s="73"/>
      <c r="HU2123" s="73"/>
      <c r="HV2123" s="73"/>
      <c r="HW2123" s="73"/>
      <c r="HX2123" s="73"/>
      <c r="HY2123" s="73"/>
      <c r="HZ2123" s="73"/>
      <c r="IA2123" s="73"/>
      <c r="IB2123" s="73"/>
      <c r="IC2123" s="73"/>
      <c r="ID2123" s="73"/>
      <c r="IE2123" s="73"/>
      <c r="IF2123" s="73"/>
      <c r="IG2123" s="73"/>
      <c r="IH2123" s="73"/>
      <c r="II2123" s="73"/>
      <c r="IJ2123" s="73"/>
      <c r="IK2123" s="73"/>
      <c r="IL2123" s="73"/>
      <c r="IM2123" s="73"/>
      <c r="IN2123" s="73"/>
      <c r="IO2123" s="73"/>
      <c r="IP2123" s="73"/>
      <c r="IQ2123" s="73"/>
      <c r="IR2123" s="73"/>
      <c r="IS2123" s="73"/>
      <c r="IT2123" s="73"/>
      <c r="IU2123" s="73"/>
      <c r="IV2123" s="73"/>
      <c r="IW2123" s="73"/>
      <c r="IX2123" s="73"/>
      <c r="IY2123" s="73"/>
      <c r="IZ2123" s="73"/>
      <c r="JA2123" s="73"/>
      <c r="JB2123" s="73"/>
      <c r="JC2123" s="73"/>
    </row>
    <row r="2124" spans="2:263" s="72" customFormat="1">
      <c r="B2124" s="73"/>
      <c r="C2124" s="73"/>
      <c r="D2124" s="73"/>
      <c r="E2124" s="73"/>
      <c r="F2124" s="73"/>
      <c r="G2124" s="73"/>
      <c r="H2124" s="73"/>
      <c r="I2124" s="73"/>
      <c r="J2124" s="73"/>
      <c r="K2124" s="73"/>
      <c r="L2124" s="73"/>
      <c r="M2124" s="73"/>
      <c r="N2124" s="73"/>
      <c r="O2124" s="73"/>
      <c r="P2124" s="73"/>
      <c r="Q2124" s="73"/>
      <c r="R2124" s="73"/>
      <c r="S2124" s="73"/>
      <c r="T2124" s="73"/>
      <c r="U2124" s="73"/>
      <c r="V2124" s="73"/>
      <c r="W2124" s="73"/>
      <c r="GL2124" s="73"/>
      <c r="GM2124" s="73"/>
      <c r="GN2124" s="73"/>
      <c r="GO2124" s="73"/>
      <c r="GP2124" s="73"/>
      <c r="GQ2124" s="73"/>
      <c r="GR2124" s="73"/>
      <c r="GS2124" s="73"/>
      <c r="GT2124" s="73"/>
      <c r="GU2124" s="73"/>
      <c r="GV2124" s="73"/>
      <c r="GW2124" s="73"/>
      <c r="GX2124" s="73"/>
      <c r="GY2124" s="73"/>
      <c r="GZ2124" s="73"/>
      <c r="HA2124" s="73"/>
      <c r="HB2124" s="73"/>
      <c r="HC2124" s="73"/>
      <c r="HD2124" s="73"/>
      <c r="HE2124" s="73"/>
      <c r="HF2124" s="73"/>
      <c r="HG2124" s="73"/>
      <c r="HH2124" s="73"/>
      <c r="HI2124" s="73"/>
      <c r="HJ2124" s="73"/>
      <c r="HK2124" s="73"/>
      <c r="HL2124" s="73"/>
      <c r="HM2124" s="73"/>
      <c r="HN2124" s="73"/>
      <c r="HO2124" s="73"/>
      <c r="HP2124" s="73"/>
      <c r="HQ2124" s="73"/>
      <c r="HR2124" s="73"/>
      <c r="HS2124" s="73"/>
      <c r="HT2124" s="73"/>
      <c r="HU2124" s="73"/>
      <c r="HV2124" s="73"/>
      <c r="HW2124" s="73"/>
      <c r="HX2124" s="73"/>
      <c r="HY2124" s="73"/>
      <c r="HZ2124" s="73"/>
      <c r="IA2124" s="73"/>
      <c r="IB2124" s="73"/>
      <c r="IC2124" s="73"/>
      <c r="ID2124" s="73"/>
      <c r="IE2124" s="73"/>
      <c r="IF2124" s="73"/>
      <c r="IG2124" s="73"/>
      <c r="IH2124" s="73"/>
      <c r="II2124" s="73"/>
      <c r="IJ2124" s="73"/>
      <c r="IK2124" s="73"/>
      <c r="IL2124" s="73"/>
      <c r="IM2124" s="73"/>
      <c r="IN2124" s="73"/>
      <c r="IO2124" s="73"/>
      <c r="IP2124" s="73"/>
      <c r="IQ2124" s="73"/>
      <c r="IR2124" s="73"/>
      <c r="IS2124" s="73"/>
      <c r="IT2124" s="73"/>
      <c r="IU2124" s="73"/>
      <c r="IV2124" s="73"/>
      <c r="IW2124" s="73"/>
      <c r="IX2124" s="73"/>
      <c r="IY2124" s="73"/>
      <c r="IZ2124" s="73"/>
      <c r="JA2124" s="73"/>
      <c r="JB2124" s="73"/>
      <c r="JC2124" s="73"/>
    </row>
    <row r="2125" spans="2:263" s="72" customFormat="1">
      <c r="B2125" s="73"/>
      <c r="C2125" s="73"/>
      <c r="D2125" s="73"/>
      <c r="E2125" s="73"/>
      <c r="F2125" s="73"/>
      <c r="G2125" s="73"/>
      <c r="H2125" s="73"/>
      <c r="I2125" s="73"/>
      <c r="J2125" s="73"/>
      <c r="K2125" s="73"/>
      <c r="L2125" s="73"/>
      <c r="M2125" s="73"/>
      <c r="N2125" s="73"/>
      <c r="O2125" s="73"/>
      <c r="P2125" s="73"/>
      <c r="Q2125" s="73"/>
      <c r="R2125" s="73"/>
      <c r="S2125" s="73"/>
      <c r="T2125" s="73"/>
      <c r="U2125" s="73"/>
      <c r="V2125" s="73"/>
      <c r="W2125" s="73"/>
      <c r="GL2125" s="73"/>
      <c r="GM2125" s="73"/>
      <c r="GN2125" s="73"/>
      <c r="GO2125" s="73"/>
      <c r="GP2125" s="73"/>
      <c r="GQ2125" s="73"/>
      <c r="GR2125" s="73"/>
      <c r="GS2125" s="73"/>
      <c r="GT2125" s="73"/>
      <c r="GU2125" s="73"/>
      <c r="GV2125" s="73"/>
      <c r="GW2125" s="73"/>
      <c r="GX2125" s="73"/>
      <c r="GY2125" s="73"/>
      <c r="GZ2125" s="73"/>
      <c r="HA2125" s="73"/>
      <c r="HB2125" s="73"/>
      <c r="HC2125" s="73"/>
      <c r="HD2125" s="73"/>
      <c r="HE2125" s="73"/>
      <c r="HF2125" s="73"/>
      <c r="HG2125" s="73"/>
      <c r="HH2125" s="73"/>
      <c r="HI2125" s="73"/>
      <c r="HJ2125" s="73"/>
      <c r="HK2125" s="73"/>
      <c r="HL2125" s="73"/>
      <c r="HM2125" s="73"/>
      <c r="HN2125" s="73"/>
      <c r="HO2125" s="73"/>
      <c r="HP2125" s="73"/>
      <c r="HQ2125" s="73"/>
      <c r="HR2125" s="73"/>
      <c r="HS2125" s="73"/>
      <c r="HT2125" s="73"/>
      <c r="HU2125" s="73"/>
      <c r="HV2125" s="73"/>
      <c r="HW2125" s="73"/>
      <c r="HX2125" s="73"/>
      <c r="HY2125" s="73"/>
      <c r="HZ2125" s="73"/>
      <c r="IA2125" s="73"/>
      <c r="IB2125" s="73"/>
      <c r="IC2125" s="73"/>
      <c r="ID2125" s="73"/>
      <c r="IE2125" s="73"/>
      <c r="IF2125" s="73"/>
      <c r="IG2125" s="73"/>
      <c r="IH2125" s="73"/>
      <c r="II2125" s="73"/>
      <c r="IJ2125" s="73"/>
      <c r="IK2125" s="73"/>
      <c r="IL2125" s="73"/>
      <c r="IM2125" s="73"/>
      <c r="IN2125" s="73"/>
      <c r="IO2125" s="73"/>
      <c r="IP2125" s="73"/>
      <c r="IQ2125" s="73"/>
      <c r="IR2125" s="73"/>
      <c r="IS2125" s="73"/>
      <c r="IT2125" s="73"/>
      <c r="IU2125" s="73"/>
      <c r="IV2125" s="73"/>
      <c r="IW2125" s="73"/>
      <c r="IX2125" s="73"/>
      <c r="IY2125" s="73"/>
      <c r="IZ2125" s="73"/>
      <c r="JA2125" s="73"/>
      <c r="JB2125" s="73"/>
      <c r="JC2125" s="73"/>
    </row>
    <row r="2126" spans="2:263" s="72" customFormat="1">
      <c r="B2126" s="73"/>
      <c r="C2126" s="73"/>
      <c r="D2126" s="73"/>
      <c r="E2126" s="73"/>
      <c r="F2126" s="73"/>
      <c r="G2126" s="73"/>
      <c r="H2126" s="73"/>
      <c r="I2126" s="73"/>
      <c r="J2126" s="73"/>
      <c r="K2126" s="73"/>
      <c r="L2126" s="73"/>
      <c r="M2126" s="73"/>
      <c r="N2126" s="73"/>
      <c r="O2126" s="73"/>
      <c r="P2126" s="73"/>
      <c r="Q2126" s="73"/>
      <c r="R2126" s="73"/>
      <c r="S2126" s="73"/>
      <c r="T2126" s="73"/>
      <c r="U2126" s="73"/>
      <c r="V2126" s="73"/>
      <c r="W2126" s="73"/>
      <c r="GL2126" s="73"/>
      <c r="GM2126" s="73"/>
      <c r="GN2126" s="73"/>
      <c r="GO2126" s="73"/>
      <c r="GP2126" s="73"/>
      <c r="GQ2126" s="73"/>
      <c r="GR2126" s="73"/>
      <c r="GS2126" s="73"/>
      <c r="GT2126" s="73"/>
      <c r="GU2126" s="73"/>
      <c r="GV2126" s="73"/>
      <c r="GW2126" s="73"/>
      <c r="GX2126" s="73"/>
      <c r="GY2126" s="73"/>
      <c r="GZ2126" s="73"/>
      <c r="HA2126" s="73"/>
      <c r="HB2126" s="73"/>
      <c r="HC2126" s="73"/>
      <c r="HD2126" s="73"/>
      <c r="HE2126" s="73"/>
      <c r="HF2126" s="73"/>
      <c r="HG2126" s="73"/>
      <c r="HH2126" s="73"/>
      <c r="HI2126" s="73"/>
      <c r="HJ2126" s="73"/>
      <c r="HK2126" s="73"/>
      <c r="HL2126" s="73"/>
      <c r="HM2126" s="73"/>
      <c r="HN2126" s="73"/>
      <c r="HO2126" s="73"/>
      <c r="HP2126" s="73"/>
      <c r="HQ2126" s="73"/>
      <c r="HR2126" s="73"/>
      <c r="HS2126" s="73"/>
      <c r="HT2126" s="73"/>
      <c r="HU2126" s="73"/>
      <c r="HV2126" s="73"/>
      <c r="HW2126" s="73"/>
      <c r="HX2126" s="73"/>
      <c r="HY2126" s="73"/>
      <c r="HZ2126" s="73"/>
      <c r="IA2126" s="73"/>
      <c r="IB2126" s="73"/>
      <c r="IC2126" s="73"/>
      <c r="ID2126" s="73"/>
      <c r="IE2126" s="73"/>
      <c r="IF2126" s="73"/>
      <c r="IG2126" s="73"/>
      <c r="IH2126" s="73"/>
      <c r="II2126" s="73"/>
      <c r="IJ2126" s="73"/>
      <c r="IK2126" s="73"/>
      <c r="IL2126" s="73"/>
      <c r="IM2126" s="73"/>
      <c r="IN2126" s="73"/>
      <c r="IO2126" s="73"/>
      <c r="IP2126" s="73"/>
      <c r="IQ2126" s="73"/>
      <c r="IR2126" s="73"/>
      <c r="IS2126" s="73"/>
      <c r="IT2126" s="73"/>
      <c r="IU2126" s="73"/>
      <c r="IV2126" s="73"/>
      <c r="IW2126" s="73"/>
      <c r="IX2126" s="73"/>
      <c r="IY2126" s="73"/>
      <c r="IZ2126" s="73"/>
      <c r="JA2126" s="73"/>
      <c r="JB2126" s="73"/>
      <c r="JC2126" s="73"/>
    </row>
    <row r="2127" spans="2:263" s="72" customFormat="1">
      <c r="B2127" s="73"/>
      <c r="C2127" s="73"/>
      <c r="D2127" s="73"/>
      <c r="E2127" s="73"/>
      <c r="F2127" s="73"/>
      <c r="G2127" s="73"/>
      <c r="H2127" s="73"/>
      <c r="I2127" s="73"/>
      <c r="J2127" s="73"/>
      <c r="K2127" s="73"/>
      <c r="L2127" s="73"/>
      <c r="M2127" s="73"/>
      <c r="N2127" s="73"/>
      <c r="O2127" s="73"/>
      <c r="P2127" s="73"/>
      <c r="Q2127" s="73"/>
      <c r="R2127" s="73"/>
      <c r="S2127" s="73"/>
      <c r="T2127" s="73"/>
      <c r="U2127" s="73"/>
      <c r="V2127" s="73"/>
      <c r="W2127" s="73"/>
      <c r="GL2127" s="73"/>
      <c r="GM2127" s="73"/>
      <c r="GN2127" s="73"/>
      <c r="GO2127" s="73"/>
      <c r="GP2127" s="73"/>
      <c r="GQ2127" s="73"/>
      <c r="GR2127" s="73"/>
      <c r="GS2127" s="73"/>
      <c r="GT2127" s="73"/>
      <c r="GU2127" s="73"/>
      <c r="GV2127" s="73"/>
      <c r="GW2127" s="73"/>
      <c r="GX2127" s="73"/>
      <c r="GY2127" s="73"/>
      <c r="GZ2127" s="73"/>
      <c r="HA2127" s="73"/>
      <c r="HB2127" s="73"/>
      <c r="HC2127" s="73"/>
      <c r="HD2127" s="73"/>
      <c r="HE2127" s="73"/>
      <c r="HF2127" s="73"/>
      <c r="HG2127" s="73"/>
      <c r="HH2127" s="73"/>
      <c r="HI2127" s="73"/>
      <c r="HJ2127" s="73"/>
      <c r="HK2127" s="73"/>
      <c r="HL2127" s="73"/>
      <c r="HM2127" s="73"/>
      <c r="HN2127" s="73"/>
      <c r="HO2127" s="73"/>
      <c r="HP2127" s="73"/>
      <c r="HQ2127" s="73"/>
      <c r="HR2127" s="73"/>
      <c r="HS2127" s="73"/>
      <c r="HT2127" s="73"/>
      <c r="HU2127" s="73"/>
      <c r="HV2127" s="73"/>
      <c r="HW2127" s="73"/>
      <c r="HX2127" s="73"/>
      <c r="HY2127" s="73"/>
      <c r="HZ2127" s="73"/>
      <c r="IA2127" s="73"/>
      <c r="IB2127" s="73"/>
      <c r="IC2127" s="73"/>
      <c r="ID2127" s="73"/>
      <c r="IE2127" s="73"/>
      <c r="IF2127" s="73"/>
      <c r="IG2127" s="73"/>
      <c r="IH2127" s="73"/>
      <c r="II2127" s="73"/>
      <c r="IJ2127" s="73"/>
      <c r="IK2127" s="73"/>
      <c r="IL2127" s="73"/>
      <c r="IM2127" s="73"/>
      <c r="IN2127" s="73"/>
      <c r="IO2127" s="73"/>
      <c r="IP2127" s="73"/>
      <c r="IQ2127" s="73"/>
      <c r="IR2127" s="73"/>
      <c r="IS2127" s="73"/>
      <c r="IT2127" s="73"/>
      <c r="IU2127" s="73"/>
      <c r="IV2127" s="73"/>
      <c r="IW2127" s="73"/>
      <c r="IX2127" s="73"/>
      <c r="IY2127" s="73"/>
      <c r="IZ2127" s="73"/>
      <c r="JA2127" s="73"/>
      <c r="JB2127" s="73"/>
      <c r="JC2127" s="73"/>
    </row>
    <row r="2128" spans="2:263" s="72" customFormat="1">
      <c r="B2128" s="73"/>
      <c r="C2128" s="73"/>
      <c r="D2128" s="73"/>
      <c r="E2128" s="73"/>
      <c r="F2128" s="73"/>
      <c r="G2128" s="73"/>
      <c r="H2128" s="73"/>
      <c r="I2128" s="73"/>
      <c r="J2128" s="73"/>
      <c r="K2128" s="73"/>
      <c r="L2128" s="73"/>
      <c r="M2128" s="73"/>
      <c r="N2128" s="73"/>
      <c r="O2128" s="73"/>
      <c r="P2128" s="73"/>
      <c r="Q2128" s="73"/>
      <c r="R2128" s="73"/>
      <c r="S2128" s="73"/>
      <c r="T2128" s="73"/>
      <c r="U2128" s="73"/>
      <c r="V2128" s="73"/>
      <c r="W2128" s="73"/>
      <c r="GL2128" s="73"/>
      <c r="GM2128" s="73"/>
      <c r="GN2128" s="73"/>
      <c r="GO2128" s="73"/>
      <c r="GP2128" s="73"/>
      <c r="GQ2128" s="73"/>
      <c r="GR2128" s="73"/>
      <c r="GS2128" s="73"/>
      <c r="GT2128" s="73"/>
      <c r="GU2128" s="73"/>
      <c r="GV2128" s="73"/>
      <c r="GW2128" s="73"/>
      <c r="GX2128" s="73"/>
      <c r="GY2128" s="73"/>
      <c r="GZ2128" s="73"/>
      <c r="HA2128" s="73"/>
      <c r="HB2128" s="73"/>
      <c r="HC2128" s="73"/>
      <c r="HD2128" s="73"/>
      <c r="HE2128" s="73"/>
      <c r="HF2128" s="73"/>
      <c r="HG2128" s="73"/>
      <c r="HH2128" s="73"/>
      <c r="HI2128" s="73"/>
      <c r="HJ2128" s="73"/>
      <c r="HK2128" s="73"/>
      <c r="HL2128" s="73"/>
      <c r="HM2128" s="73"/>
      <c r="HN2128" s="73"/>
      <c r="HO2128" s="73"/>
      <c r="HP2128" s="73"/>
      <c r="HQ2128" s="73"/>
      <c r="HR2128" s="73"/>
      <c r="HS2128" s="73"/>
      <c r="HT2128" s="73"/>
      <c r="HU2128" s="73"/>
      <c r="HV2128" s="73"/>
      <c r="HW2128" s="73"/>
      <c r="HX2128" s="73"/>
      <c r="HY2128" s="73"/>
      <c r="HZ2128" s="73"/>
      <c r="IA2128" s="73"/>
      <c r="IB2128" s="73"/>
      <c r="IC2128" s="73"/>
      <c r="ID2128" s="73"/>
      <c r="IE2128" s="73"/>
      <c r="IF2128" s="73"/>
      <c r="IG2128" s="73"/>
      <c r="IH2128" s="73"/>
      <c r="II2128" s="73"/>
      <c r="IJ2128" s="73"/>
      <c r="IK2128" s="73"/>
      <c r="IL2128" s="73"/>
      <c r="IM2128" s="73"/>
      <c r="IN2128" s="73"/>
      <c r="IO2128" s="73"/>
      <c r="IP2128" s="73"/>
      <c r="IQ2128" s="73"/>
      <c r="IR2128" s="73"/>
      <c r="IS2128" s="73"/>
      <c r="IT2128" s="73"/>
      <c r="IU2128" s="73"/>
      <c r="IV2128" s="73"/>
      <c r="IW2128" s="73"/>
      <c r="IX2128" s="73"/>
      <c r="IY2128" s="73"/>
      <c r="IZ2128" s="73"/>
      <c r="JA2128" s="73"/>
      <c r="JB2128" s="73"/>
      <c r="JC2128" s="73"/>
    </row>
    <row r="2129" spans="2:263" s="72" customFormat="1">
      <c r="B2129" s="73"/>
      <c r="C2129" s="73"/>
      <c r="D2129" s="73"/>
      <c r="E2129" s="73"/>
      <c r="F2129" s="73"/>
      <c r="G2129" s="73"/>
      <c r="H2129" s="73"/>
      <c r="I2129" s="73"/>
      <c r="J2129" s="73"/>
      <c r="K2129" s="73"/>
      <c r="L2129" s="73"/>
      <c r="M2129" s="73"/>
      <c r="N2129" s="73"/>
      <c r="O2129" s="73"/>
      <c r="P2129" s="73"/>
      <c r="Q2129" s="73"/>
      <c r="R2129" s="73"/>
      <c r="S2129" s="73"/>
      <c r="T2129" s="73"/>
      <c r="U2129" s="73"/>
      <c r="V2129" s="73"/>
      <c r="W2129" s="73"/>
      <c r="GL2129" s="73"/>
      <c r="GM2129" s="73"/>
      <c r="GN2129" s="73"/>
      <c r="GO2129" s="73"/>
      <c r="GP2129" s="73"/>
      <c r="GQ2129" s="73"/>
      <c r="GR2129" s="73"/>
      <c r="GS2129" s="73"/>
      <c r="GT2129" s="73"/>
      <c r="GU2129" s="73"/>
      <c r="GV2129" s="73"/>
      <c r="GW2129" s="73"/>
      <c r="GX2129" s="73"/>
      <c r="GY2129" s="73"/>
      <c r="GZ2129" s="73"/>
      <c r="HA2129" s="73"/>
      <c r="HB2129" s="73"/>
      <c r="HC2129" s="73"/>
      <c r="HD2129" s="73"/>
      <c r="HE2129" s="73"/>
      <c r="HF2129" s="73"/>
      <c r="HG2129" s="73"/>
      <c r="HH2129" s="73"/>
      <c r="HI2129" s="73"/>
      <c r="HJ2129" s="73"/>
      <c r="HK2129" s="73"/>
      <c r="HL2129" s="73"/>
      <c r="HM2129" s="73"/>
      <c r="HN2129" s="73"/>
      <c r="HO2129" s="73"/>
      <c r="HP2129" s="73"/>
      <c r="HQ2129" s="73"/>
      <c r="HR2129" s="73"/>
      <c r="HS2129" s="73"/>
      <c r="HT2129" s="73"/>
      <c r="HU2129" s="73"/>
      <c r="HV2129" s="73"/>
      <c r="HW2129" s="73"/>
      <c r="HX2129" s="73"/>
      <c r="HY2129" s="73"/>
      <c r="HZ2129" s="73"/>
      <c r="IA2129" s="73"/>
      <c r="IB2129" s="73"/>
      <c r="IC2129" s="73"/>
      <c r="ID2129" s="73"/>
      <c r="IE2129" s="73"/>
      <c r="IF2129" s="73"/>
      <c r="IG2129" s="73"/>
      <c r="IH2129" s="73"/>
      <c r="II2129" s="73"/>
      <c r="IJ2129" s="73"/>
      <c r="IK2129" s="73"/>
      <c r="IL2129" s="73"/>
      <c r="IM2129" s="73"/>
      <c r="IN2129" s="73"/>
      <c r="IO2129" s="73"/>
      <c r="IP2129" s="73"/>
      <c r="IQ2129" s="73"/>
      <c r="IR2129" s="73"/>
      <c r="IS2129" s="73"/>
      <c r="IT2129" s="73"/>
      <c r="IU2129" s="73"/>
      <c r="IV2129" s="73"/>
      <c r="IW2129" s="73"/>
      <c r="IX2129" s="73"/>
      <c r="IY2129" s="73"/>
      <c r="IZ2129" s="73"/>
      <c r="JA2129" s="73"/>
      <c r="JB2129" s="73"/>
      <c r="JC2129" s="73"/>
    </row>
    <row r="2130" spans="2:263" s="72" customFormat="1">
      <c r="B2130" s="73"/>
      <c r="C2130" s="73"/>
      <c r="D2130" s="73"/>
      <c r="E2130" s="73"/>
      <c r="F2130" s="73"/>
      <c r="G2130" s="73"/>
      <c r="H2130" s="73"/>
      <c r="I2130" s="73"/>
      <c r="J2130" s="73"/>
      <c r="K2130" s="73"/>
      <c r="L2130" s="73"/>
      <c r="M2130" s="73"/>
      <c r="N2130" s="73"/>
      <c r="O2130" s="73"/>
      <c r="P2130" s="73"/>
      <c r="Q2130" s="73"/>
      <c r="R2130" s="73"/>
      <c r="S2130" s="73"/>
      <c r="T2130" s="73"/>
      <c r="U2130" s="73"/>
      <c r="V2130" s="73"/>
      <c r="W2130" s="73"/>
      <c r="GL2130" s="73"/>
      <c r="GM2130" s="73"/>
      <c r="GN2130" s="73"/>
      <c r="GO2130" s="73"/>
      <c r="GP2130" s="73"/>
      <c r="GQ2130" s="73"/>
      <c r="GR2130" s="73"/>
      <c r="GS2130" s="73"/>
      <c r="GT2130" s="73"/>
      <c r="GU2130" s="73"/>
      <c r="GV2130" s="73"/>
      <c r="GW2130" s="73"/>
      <c r="GX2130" s="73"/>
      <c r="GY2130" s="73"/>
      <c r="GZ2130" s="73"/>
      <c r="HA2130" s="73"/>
      <c r="HB2130" s="73"/>
      <c r="HC2130" s="73"/>
      <c r="HD2130" s="73"/>
      <c r="HE2130" s="73"/>
      <c r="HF2130" s="73"/>
      <c r="HG2130" s="73"/>
      <c r="HH2130" s="73"/>
      <c r="HI2130" s="73"/>
      <c r="HJ2130" s="73"/>
      <c r="HK2130" s="73"/>
      <c r="HL2130" s="73"/>
      <c r="HM2130" s="73"/>
      <c r="HN2130" s="73"/>
      <c r="HO2130" s="73"/>
      <c r="HP2130" s="73"/>
      <c r="HQ2130" s="73"/>
      <c r="HR2130" s="73"/>
      <c r="HS2130" s="73"/>
      <c r="HT2130" s="73"/>
      <c r="HU2130" s="73"/>
      <c r="HV2130" s="73"/>
      <c r="HW2130" s="73"/>
      <c r="HX2130" s="73"/>
      <c r="HY2130" s="73"/>
      <c r="HZ2130" s="73"/>
      <c r="IA2130" s="73"/>
      <c r="IB2130" s="73"/>
      <c r="IC2130" s="73"/>
      <c r="ID2130" s="73"/>
      <c r="IE2130" s="73"/>
      <c r="IF2130" s="73"/>
      <c r="IG2130" s="73"/>
      <c r="IH2130" s="73"/>
      <c r="II2130" s="73"/>
      <c r="IJ2130" s="73"/>
      <c r="IK2130" s="73"/>
      <c r="IL2130" s="73"/>
      <c r="IM2130" s="73"/>
      <c r="IN2130" s="73"/>
      <c r="IO2130" s="73"/>
      <c r="IP2130" s="73"/>
      <c r="IQ2130" s="73"/>
      <c r="IR2130" s="73"/>
      <c r="IS2130" s="73"/>
      <c r="IT2130" s="73"/>
      <c r="IU2130" s="73"/>
      <c r="IV2130" s="73"/>
      <c r="IW2130" s="73"/>
      <c r="IX2130" s="73"/>
      <c r="IY2130" s="73"/>
      <c r="IZ2130" s="73"/>
      <c r="JA2130" s="73"/>
      <c r="JB2130" s="73"/>
      <c r="JC2130" s="73"/>
    </row>
    <row r="2131" spans="2:263" s="72" customFormat="1">
      <c r="B2131" s="73"/>
      <c r="C2131" s="73"/>
      <c r="D2131" s="73"/>
      <c r="E2131" s="73"/>
      <c r="F2131" s="73"/>
      <c r="G2131" s="73"/>
      <c r="H2131" s="73"/>
      <c r="I2131" s="73"/>
      <c r="J2131" s="73"/>
      <c r="K2131" s="73"/>
      <c r="L2131" s="73"/>
      <c r="M2131" s="73"/>
      <c r="N2131" s="73"/>
      <c r="O2131" s="73"/>
      <c r="P2131" s="73"/>
      <c r="Q2131" s="73"/>
      <c r="R2131" s="73"/>
      <c r="S2131" s="73"/>
      <c r="T2131" s="73"/>
      <c r="U2131" s="73"/>
      <c r="V2131" s="73"/>
      <c r="W2131" s="73"/>
      <c r="GL2131" s="73"/>
      <c r="GM2131" s="73"/>
      <c r="GN2131" s="73"/>
      <c r="GO2131" s="73"/>
      <c r="GP2131" s="73"/>
      <c r="GQ2131" s="73"/>
      <c r="GR2131" s="73"/>
      <c r="GS2131" s="73"/>
      <c r="GT2131" s="73"/>
      <c r="GU2131" s="73"/>
      <c r="GV2131" s="73"/>
      <c r="GW2131" s="73"/>
      <c r="GX2131" s="73"/>
      <c r="GY2131" s="73"/>
      <c r="GZ2131" s="73"/>
      <c r="HA2131" s="73"/>
      <c r="HB2131" s="73"/>
      <c r="HC2131" s="73"/>
      <c r="HD2131" s="73"/>
      <c r="HE2131" s="73"/>
      <c r="HF2131" s="73"/>
      <c r="HG2131" s="73"/>
      <c r="HH2131" s="73"/>
      <c r="HI2131" s="73"/>
      <c r="HJ2131" s="73"/>
      <c r="HK2131" s="73"/>
      <c r="HL2131" s="73"/>
      <c r="HM2131" s="73"/>
      <c r="HN2131" s="73"/>
      <c r="HO2131" s="73"/>
      <c r="HP2131" s="73"/>
      <c r="HQ2131" s="73"/>
      <c r="HR2131" s="73"/>
      <c r="HS2131" s="73"/>
      <c r="HT2131" s="73"/>
      <c r="HU2131" s="73"/>
      <c r="HV2131" s="73"/>
      <c r="HW2131" s="73"/>
      <c r="HX2131" s="73"/>
      <c r="HY2131" s="73"/>
      <c r="HZ2131" s="73"/>
      <c r="IA2131" s="73"/>
      <c r="IB2131" s="73"/>
      <c r="IC2131" s="73"/>
      <c r="ID2131" s="73"/>
      <c r="IE2131" s="73"/>
      <c r="IF2131" s="73"/>
      <c r="IG2131" s="73"/>
      <c r="IH2131" s="73"/>
      <c r="II2131" s="73"/>
      <c r="IJ2131" s="73"/>
      <c r="IK2131" s="73"/>
      <c r="IL2131" s="73"/>
      <c r="IM2131" s="73"/>
      <c r="IN2131" s="73"/>
      <c r="IO2131" s="73"/>
      <c r="IP2131" s="73"/>
      <c r="IQ2131" s="73"/>
      <c r="IR2131" s="73"/>
      <c r="IS2131" s="73"/>
      <c r="IT2131" s="73"/>
      <c r="IU2131" s="73"/>
      <c r="IV2131" s="73"/>
      <c r="IW2131" s="73"/>
      <c r="IX2131" s="73"/>
      <c r="IY2131" s="73"/>
      <c r="IZ2131" s="73"/>
      <c r="JA2131" s="73"/>
      <c r="JB2131" s="73"/>
      <c r="JC2131" s="73"/>
    </row>
    <row r="2132" spans="2:263" s="72" customFormat="1">
      <c r="B2132" s="73"/>
      <c r="C2132" s="73"/>
      <c r="D2132" s="73"/>
      <c r="E2132" s="73"/>
      <c r="F2132" s="73"/>
      <c r="G2132" s="73"/>
      <c r="H2132" s="73"/>
      <c r="I2132" s="73"/>
      <c r="J2132" s="73"/>
      <c r="K2132" s="73"/>
      <c r="L2132" s="73"/>
      <c r="M2132" s="73"/>
      <c r="N2132" s="73"/>
      <c r="O2132" s="73"/>
      <c r="P2132" s="73"/>
      <c r="Q2132" s="73"/>
      <c r="R2132" s="73"/>
      <c r="S2132" s="73"/>
      <c r="T2132" s="73"/>
      <c r="U2132" s="73"/>
      <c r="V2132" s="73"/>
      <c r="W2132" s="73"/>
      <c r="GL2132" s="73"/>
      <c r="GM2132" s="73"/>
      <c r="GN2132" s="73"/>
      <c r="GO2132" s="73"/>
      <c r="GP2132" s="73"/>
      <c r="GQ2132" s="73"/>
      <c r="GR2132" s="73"/>
      <c r="GS2132" s="73"/>
      <c r="GT2132" s="73"/>
      <c r="GU2132" s="73"/>
      <c r="GV2132" s="73"/>
      <c r="GW2132" s="73"/>
      <c r="GX2132" s="73"/>
      <c r="GY2132" s="73"/>
      <c r="GZ2132" s="73"/>
      <c r="HA2132" s="73"/>
      <c r="HB2132" s="73"/>
      <c r="HC2132" s="73"/>
      <c r="HD2132" s="73"/>
      <c r="HE2132" s="73"/>
      <c r="HF2132" s="73"/>
      <c r="HG2132" s="73"/>
      <c r="HH2132" s="73"/>
      <c r="HI2132" s="73"/>
      <c r="HJ2132" s="73"/>
      <c r="HK2132" s="73"/>
      <c r="HL2132" s="73"/>
      <c r="HM2132" s="73"/>
      <c r="HN2132" s="73"/>
      <c r="HO2132" s="73"/>
      <c r="HP2132" s="73"/>
      <c r="HQ2132" s="73"/>
      <c r="HR2132" s="73"/>
      <c r="HS2132" s="73"/>
      <c r="HT2132" s="73"/>
      <c r="HU2132" s="73"/>
      <c r="HV2132" s="73"/>
      <c r="HW2132" s="73"/>
      <c r="HX2132" s="73"/>
      <c r="HY2132" s="73"/>
      <c r="HZ2132" s="73"/>
      <c r="IA2132" s="73"/>
      <c r="IB2132" s="73"/>
      <c r="IC2132" s="73"/>
      <c r="ID2132" s="73"/>
      <c r="IE2132" s="73"/>
      <c r="IF2132" s="73"/>
      <c r="IG2132" s="73"/>
      <c r="IH2132" s="73"/>
      <c r="II2132" s="73"/>
      <c r="IJ2132" s="73"/>
      <c r="IK2132" s="73"/>
      <c r="IL2132" s="73"/>
      <c r="IM2132" s="73"/>
      <c r="IN2132" s="73"/>
      <c r="IO2132" s="73"/>
      <c r="IP2132" s="73"/>
      <c r="IQ2132" s="73"/>
      <c r="IR2132" s="73"/>
      <c r="IS2132" s="73"/>
      <c r="IT2132" s="73"/>
      <c r="IU2132" s="73"/>
      <c r="IV2132" s="73"/>
      <c r="IW2132" s="73"/>
      <c r="IX2132" s="73"/>
      <c r="IY2132" s="73"/>
      <c r="IZ2132" s="73"/>
      <c r="JA2132" s="73"/>
      <c r="JB2132" s="73"/>
      <c r="JC2132" s="73"/>
    </row>
    <row r="2133" spans="2:263" s="72" customFormat="1">
      <c r="B2133" s="73"/>
      <c r="C2133" s="73"/>
      <c r="D2133" s="73"/>
      <c r="E2133" s="73"/>
      <c r="F2133" s="73"/>
      <c r="G2133" s="73"/>
      <c r="H2133" s="73"/>
      <c r="I2133" s="73"/>
      <c r="J2133" s="73"/>
      <c r="K2133" s="73"/>
      <c r="L2133" s="73"/>
      <c r="M2133" s="73"/>
      <c r="N2133" s="73"/>
      <c r="O2133" s="73"/>
      <c r="P2133" s="73"/>
      <c r="Q2133" s="73"/>
      <c r="R2133" s="73"/>
      <c r="S2133" s="73"/>
      <c r="T2133" s="73"/>
      <c r="U2133" s="73"/>
      <c r="V2133" s="73"/>
      <c r="W2133" s="73"/>
      <c r="GL2133" s="73"/>
      <c r="GM2133" s="73"/>
      <c r="GN2133" s="73"/>
      <c r="GO2133" s="73"/>
      <c r="GP2133" s="73"/>
      <c r="GQ2133" s="73"/>
      <c r="GR2133" s="73"/>
      <c r="GS2133" s="73"/>
      <c r="GT2133" s="73"/>
      <c r="GU2133" s="73"/>
      <c r="GV2133" s="73"/>
      <c r="GW2133" s="73"/>
      <c r="GX2133" s="73"/>
      <c r="GY2133" s="73"/>
      <c r="GZ2133" s="73"/>
      <c r="HA2133" s="73"/>
      <c r="HB2133" s="73"/>
      <c r="HC2133" s="73"/>
      <c r="HD2133" s="73"/>
      <c r="HE2133" s="73"/>
      <c r="HF2133" s="73"/>
      <c r="HG2133" s="73"/>
      <c r="HH2133" s="73"/>
      <c r="HI2133" s="73"/>
      <c r="HJ2133" s="73"/>
      <c r="HK2133" s="73"/>
      <c r="HL2133" s="73"/>
      <c r="HM2133" s="73"/>
      <c r="HN2133" s="73"/>
      <c r="HO2133" s="73"/>
      <c r="HP2133" s="73"/>
      <c r="HQ2133" s="73"/>
      <c r="HR2133" s="73"/>
      <c r="HS2133" s="73"/>
      <c r="HT2133" s="73"/>
      <c r="HU2133" s="73"/>
      <c r="HV2133" s="73"/>
      <c r="HW2133" s="73"/>
      <c r="HX2133" s="73"/>
      <c r="HY2133" s="73"/>
      <c r="HZ2133" s="73"/>
      <c r="IA2133" s="73"/>
      <c r="IB2133" s="73"/>
      <c r="IC2133" s="73"/>
      <c r="ID2133" s="73"/>
      <c r="IE2133" s="73"/>
      <c r="IF2133" s="73"/>
      <c r="IG2133" s="73"/>
      <c r="IH2133" s="73"/>
      <c r="II2133" s="73"/>
      <c r="IJ2133" s="73"/>
      <c r="IK2133" s="73"/>
      <c r="IL2133" s="73"/>
      <c r="IM2133" s="73"/>
      <c r="IN2133" s="73"/>
      <c r="IO2133" s="73"/>
      <c r="IP2133" s="73"/>
      <c r="IQ2133" s="73"/>
      <c r="IR2133" s="73"/>
      <c r="IS2133" s="73"/>
      <c r="IT2133" s="73"/>
      <c r="IU2133" s="73"/>
      <c r="IV2133" s="73"/>
      <c r="IW2133" s="73"/>
      <c r="IX2133" s="73"/>
      <c r="IY2133" s="73"/>
      <c r="IZ2133" s="73"/>
      <c r="JA2133" s="73"/>
      <c r="JB2133" s="73"/>
      <c r="JC2133" s="73"/>
    </row>
    <row r="2134" spans="2:263" s="72" customFormat="1">
      <c r="B2134" s="73"/>
      <c r="C2134" s="73"/>
      <c r="D2134" s="73"/>
      <c r="E2134" s="73"/>
      <c r="F2134" s="73"/>
      <c r="G2134" s="73"/>
      <c r="H2134" s="73"/>
      <c r="I2134" s="73"/>
      <c r="J2134" s="73"/>
      <c r="K2134" s="73"/>
      <c r="L2134" s="73"/>
      <c r="M2134" s="73"/>
      <c r="N2134" s="73"/>
      <c r="O2134" s="73"/>
      <c r="P2134" s="73"/>
      <c r="Q2134" s="73"/>
      <c r="R2134" s="73"/>
      <c r="S2134" s="73"/>
      <c r="T2134" s="73"/>
      <c r="U2134" s="73"/>
      <c r="V2134" s="73"/>
      <c r="W2134" s="73"/>
      <c r="GL2134" s="73"/>
      <c r="GM2134" s="73"/>
      <c r="GN2134" s="73"/>
      <c r="GO2134" s="73"/>
      <c r="GP2134" s="73"/>
      <c r="GQ2134" s="73"/>
      <c r="GR2134" s="73"/>
      <c r="GS2134" s="73"/>
      <c r="GT2134" s="73"/>
      <c r="GU2134" s="73"/>
      <c r="GV2134" s="73"/>
      <c r="GW2134" s="73"/>
      <c r="GX2134" s="73"/>
      <c r="GY2134" s="73"/>
      <c r="GZ2134" s="73"/>
      <c r="HA2134" s="73"/>
      <c r="HB2134" s="73"/>
      <c r="HC2134" s="73"/>
      <c r="HD2134" s="73"/>
      <c r="HE2134" s="73"/>
      <c r="HF2134" s="73"/>
      <c r="HG2134" s="73"/>
      <c r="HH2134" s="73"/>
      <c r="HI2134" s="73"/>
      <c r="HJ2134" s="73"/>
      <c r="HK2134" s="73"/>
      <c r="HL2134" s="73"/>
      <c r="HM2134" s="73"/>
      <c r="HN2134" s="73"/>
      <c r="HO2134" s="73"/>
      <c r="HP2134" s="73"/>
      <c r="HQ2134" s="73"/>
      <c r="HR2134" s="73"/>
      <c r="HS2134" s="73"/>
      <c r="HT2134" s="73"/>
      <c r="HU2134" s="73"/>
      <c r="HV2134" s="73"/>
      <c r="HW2134" s="73"/>
      <c r="HX2134" s="73"/>
      <c r="HY2134" s="73"/>
      <c r="HZ2134" s="73"/>
      <c r="IA2134" s="73"/>
      <c r="IB2134" s="73"/>
      <c r="IC2134" s="73"/>
      <c r="ID2134" s="73"/>
      <c r="IE2134" s="73"/>
      <c r="IF2134" s="73"/>
      <c r="IG2134" s="73"/>
      <c r="IH2134" s="73"/>
      <c r="II2134" s="73"/>
      <c r="IJ2134" s="73"/>
      <c r="IK2134" s="73"/>
      <c r="IL2134" s="73"/>
      <c r="IM2134" s="73"/>
      <c r="IN2134" s="73"/>
      <c r="IO2134" s="73"/>
      <c r="IP2134" s="73"/>
      <c r="IQ2134" s="73"/>
      <c r="IR2134" s="73"/>
      <c r="IS2134" s="73"/>
      <c r="IT2134" s="73"/>
      <c r="IU2134" s="73"/>
      <c r="IV2134" s="73"/>
      <c r="IW2134" s="73"/>
      <c r="IX2134" s="73"/>
      <c r="IY2134" s="73"/>
      <c r="IZ2134" s="73"/>
      <c r="JA2134" s="73"/>
      <c r="JB2134" s="73"/>
      <c r="JC2134" s="73"/>
    </row>
    <row r="2135" spans="2:263" s="72" customFormat="1">
      <c r="B2135" s="73"/>
      <c r="C2135" s="73"/>
      <c r="D2135" s="73"/>
      <c r="E2135" s="73"/>
      <c r="F2135" s="73"/>
      <c r="G2135" s="73"/>
      <c r="H2135" s="73"/>
      <c r="I2135" s="73"/>
      <c r="J2135" s="73"/>
      <c r="K2135" s="73"/>
      <c r="L2135" s="73"/>
      <c r="M2135" s="73"/>
      <c r="N2135" s="73"/>
      <c r="O2135" s="73"/>
      <c r="P2135" s="73"/>
      <c r="Q2135" s="73"/>
      <c r="R2135" s="73"/>
      <c r="S2135" s="73"/>
      <c r="T2135" s="73"/>
      <c r="U2135" s="73"/>
      <c r="V2135" s="73"/>
      <c r="W2135" s="73"/>
      <c r="GL2135" s="73"/>
      <c r="GM2135" s="73"/>
      <c r="GN2135" s="73"/>
      <c r="GO2135" s="73"/>
      <c r="GP2135" s="73"/>
      <c r="GQ2135" s="73"/>
      <c r="GR2135" s="73"/>
      <c r="GS2135" s="73"/>
      <c r="GT2135" s="73"/>
      <c r="GU2135" s="73"/>
      <c r="GV2135" s="73"/>
      <c r="GW2135" s="73"/>
      <c r="GX2135" s="73"/>
      <c r="GY2135" s="73"/>
      <c r="GZ2135" s="73"/>
      <c r="HA2135" s="73"/>
      <c r="HB2135" s="73"/>
      <c r="HC2135" s="73"/>
      <c r="HD2135" s="73"/>
      <c r="HE2135" s="73"/>
      <c r="HF2135" s="73"/>
      <c r="HG2135" s="73"/>
      <c r="HH2135" s="73"/>
      <c r="HI2135" s="73"/>
      <c r="HJ2135" s="73"/>
      <c r="HK2135" s="73"/>
      <c r="HL2135" s="73"/>
      <c r="HM2135" s="73"/>
      <c r="HN2135" s="73"/>
      <c r="HO2135" s="73"/>
      <c r="HP2135" s="73"/>
      <c r="HQ2135" s="73"/>
      <c r="HR2135" s="73"/>
      <c r="HS2135" s="73"/>
      <c r="HT2135" s="73"/>
      <c r="HU2135" s="73"/>
      <c r="HV2135" s="73"/>
      <c r="HW2135" s="73"/>
      <c r="HX2135" s="73"/>
      <c r="HY2135" s="73"/>
      <c r="HZ2135" s="73"/>
      <c r="IA2135" s="73"/>
      <c r="IB2135" s="73"/>
      <c r="IC2135" s="73"/>
      <c r="ID2135" s="73"/>
      <c r="IE2135" s="73"/>
      <c r="IF2135" s="73"/>
      <c r="IG2135" s="73"/>
      <c r="IH2135" s="73"/>
      <c r="II2135" s="73"/>
      <c r="IJ2135" s="73"/>
      <c r="IK2135" s="73"/>
      <c r="IL2135" s="73"/>
      <c r="IM2135" s="73"/>
      <c r="IN2135" s="73"/>
      <c r="IO2135" s="73"/>
      <c r="IP2135" s="73"/>
      <c r="IQ2135" s="73"/>
      <c r="IR2135" s="73"/>
      <c r="IS2135" s="73"/>
      <c r="IT2135" s="73"/>
      <c r="IU2135" s="73"/>
      <c r="IV2135" s="73"/>
      <c r="IW2135" s="73"/>
      <c r="IX2135" s="73"/>
      <c r="IY2135" s="73"/>
      <c r="IZ2135" s="73"/>
      <c r="JA2135" s="73"/>
      <c r="JB2135" s="73"/>
      <c r="JC2135" s="73"/>
    </row>
    <row r="2136" spans="2:263" s="72" customFormat="1">
      <c r="B2136" s="73"/>
      <c r="C2136" s="73"/>
      <c r="D2136" s="73"/>
      <c r="E2136" s="73"/>
      <c r="F2136" s="73"/>
      <c r="G2136" s="73"/>
      <c r="H2136" s="73"/>
      <c r="I2136" s="73"/>
      <c r="J2136" s="73"/>
      <c r="K2136" s="73"/>
      <c r="L2136" s="73"/>
      <c r="M2136" s="73"/>
      <c r="N2136" s="73"/>
      <c r="O2136" s="73"/>
      <c r="P2136" s="73"/>
      <c r="Q2136" s="73"/>
      <c r="R2136" s="73"/>
      <c r="S2136" s="73"/>
      <c r="T2136" s="73"/>
      <c r="U2136" s="73"/>
      <c r="V2136" s="73"/>
      <c r="W2136" s="73"/>
      <c r="GL2136" s="73"/>
      <c r="GM2136" s="73"/>
      <c r="GN2136" s="73"/>
      <c r="GO2136" s="73"/>
      <c r="GP2136" s="73"/>
      <c r="GQ2136" s="73"/>
      <c r="GR2136" s="73"/>
      <c r="GS2136" s="73"/>
      <c r="GT2136" s="73"/>
      <c r="GU2136" s="73"/>
      <c r="GV2136" s="73"/>
      <c r="GW2136" s="73"/>
      <c r="GX2136" s="73"/>
      <c r="GY2136" s="73"/>
      <c r="GZ2136" s="73"/>
      <c r="HA2136" s="73"/>
      <c r="HB2136" s="73"/>
      <c r="HC2136" s="73"/>
      <c r="HD2136" s="73"/>
      <c r="HE2136" s="73"/>
      <c r="HF2136" s="73"/>
      <c r="HG2136" s="73"/>
      <c r="HH2136" s="73"/>
      <c r="HI2136" s="73"/>
      <c r="HJ2136" s="73"/>
      <c r="HK2136" s="73"/>
      <c r="HL2136" s="73"/>
      <c r="HM2136" s="73"/>
      <c r="HN2136" s="73"/>
      <c r="HO2136" s="73"/>
      <c r="HP2136" s="73"/>
      <c r="HQ2136" s="73"/>
      <c r="HR2136" s="73"/>
      <c r="HS2136" s="73"/>
      <c r="HT2136" s="73"/>
      <c r="HU2136" s="73"/>
      <c r="HV2136" s="73"/>
      <c r="HW2136" s="73"/>
      <c r="HX2136" s="73"/>
      <c r="HY2136" s="73"/>
      <c r="HZ2136" s="73"/>
      <c r="IA2136" s="73"/>
      <c r="IB2136" s="73"/>
      <c r="IC2136" s="73"/>
      <c r="ID2136" s="73"/>
      <c r="IE2136" s="73"/>
      <c r="IF2136" s="73"/>
      <c r="IG2136" s="73"/>
      <c r="IH2136" s="73"/>
      <c r="II2136" s="73"/>
      <c r="IJ2136" s="73"/>
      <c r="IK2136" s="73"/>
      <c r="IL2136" s="73"/>
      <c r="IM2136" s="73"/>
      <c r="IN2136" s="73"/>
      <c r="IO2136" s="73"/>
      <c r="IP2136" s="73"/>
      <c r="IQ2136" s="73"/>
      <c r="IR2136" s="73"/>
      <c r="IS2136" s="73"/>
      <c r="IT2136" s="73"/>
      <c r="IU2136" s="73"/>
      <c r="IV2136" s="73"/>
      <c r="IW2136" s="73"/>
      <c r="IX2136" s="73"/>
      <c r="IY2136" s="73"/>
      <c r="IZ2136" s="73"/>
      <c r="JA2136" s="73"/>
      <c r="JB2136" s="73"/>
      <c r="JC2136" s="73"/>
    </row>
    <row r="2137" spans="2:263" s="72" customFormat="1">
      <c r="B2137" s="73"/>
      <c r="C2137" s="73"/>
      <c r="D2137" s="73"/>
      <c r="E2137" s="73"/>
      <c r="F2137" s="73"/>
      <c r="G2137" s="73"/>
      <c r="H2137" s="73"/>
      <c r="I2137" s="73"/>
      <c r="J2137" s="73"/>
      <c r="K2137" s="73"/>
      <c r="L2137" s="73"/>
      <c r="M2137" s="73"/>
      <c r="N2137" s="73"/>
      <c r="O2137" s="73"/>
      <c r="P2137" s="73"/>
      <c r="Q2137" s="73"/>
      <c r="R2137" s="73"/>
      <c r="S2137" s="73"/>
      <c r="T2137" s="73"/>
      <c r="U2137" s="73"/>
      <c r="V2137" s="73"/>
      <c r="W2137" s="73"/>
      <c r="GL2137" s="73"/>
      <c r="GM2137" s="73"/>
      <c r="GN2137" s="73"/>
      <c r="GO2137" s="73"/>
      <c r="GP2137" s="73"/>
      <c r="GQ2137" s="73"/>
      <c r="GR2137" s="73"/>
      <c r="GS2137" s="73"/>
      <c r="GT2137" s="73"/>
      <c r="GU2137" s="73"/>
      <c r="GV2137" s="73"/>
      <c r="GW2137" s="73"/>
      <c r="GX2137" s="73"/>
      <c r="GY2137" s="73"/>
      <c r="GZ2137" s="73"/>
      <c r="HA2137" s="73"/>
      <c r="HB2137" s="73"/>
      <c r="HC2137" s="73"/>
      <c r="HD2137" s="73"/>
      <c r="HE2137" s="73"/>
      <c r="HF2137" s="73"/>
      <c r="HG2137" s="73"/>
      <c r="HH2137" s="73"/>
      <c r="HI2137" s="73"/>
      <c r="HJ2137" s="73"/>
      <c r="HK2137" s="73"/>
      <c r="HL2137" s="73"/>
      <c r="HM2137" s="73"/>
      <c r="HN2137" s="73"/>
      <c r="HO2137" s="73"/>
      <c r="HP2137" s="73"/>
      <c r="HQ2137" s="73"/>
      <c r="HR2137" s="73"/>
      <c r="HS2137" s="73"/>
      <c r="HT2137" s="73"/>
      <c r="HU2137" s="73"/>
      <c r="HV2137" s="73"/>
      <c r="HW2137" s="73"/>
      <c r="HX2137" s="73"/>
      <c r="HY2137" s="73"/>
      <c r="HZ2137" s="73"/>
      <c r="IA2137" s="73"/>
      <c r="IB2137" s="73"/>
      <c r="IC2137" s="73"/>
      <c r="ID2137" s="73"/>
      <c r="IE2137" s="73"/>
      <c r="IF2137" s="73"/>
      <c r="IG2137" s="73"/>
      <c r="IH2137" s="73"/>
      <c r="II2137" s="73"/>
      <c r="IJ2137" s="73"/>
      <c r="IK2137" s="73"/>
      <c r="IL2137" s="73"/>
      <c r="IM2137" s="73"/>
      <c r="IN2137" s="73"/>
      <c r="IO2137" s="73"/>
      <c r="IP2137" s="73"/>
      <c r="IQ2137" s="73"/>
      <c r="IR2137" s="73"/>
      <c r="IS2137" s="73"/>
      <c r="IT2137" s="73"/>
      <c r="IU2137" s="73"/>
      <c r="IV2137" s="73"/>
      <c r="IW2137" s="73"/>
      <c r="IX2137" s="73"/>
      <c r="IY2137" s="73"/>
      <c r="IZ2137" s="73"/>
      <c r="JA2137" s="73"/>
      <c r="JB2137" s="73"/>
      <c r="JC2137" s="73"/>
    </row>
    <row r="2138" spans="2:263" s="72" customFormat="1">
      <c r="B2138" s="73"/>
      <c r="C2138" s="73"/>
      <c r="D2138" s="73"/>
      <c r="E2138" s="73"/>
      <c r="F2138" s="73"/>
      <c r="G2138" s="73"/>
      <c r="H2138" s="73"/>
      <c r="I2138" s="73"/>
      <c r="J2138" s="73"/>
      <c r="K2138" s="73"/>
      <c r="L2138" s="73"/>
      <c r="M2138" s="73"/>
      <c r="N2138" s="73"/>
      <c r="O2138" s="73"/>
      <c r="P2138" s="73"/>
      <c r="Q2138" s="73"/>
      <c r="R2138" s="73"/>
      <c r="S2138" s="73"/>
      <c r="T2138" s="73"/>
      <c r="U2138" s="73"/>
      <c r="V2138" s="73"/>
      <c r="W2138" s="73"/>
      <c r="GL2138" s="73"/>
      <c r="GM2138" s="73"/>
      <c r="GN2138" s="73"/>
      <c r="GO2138" s="73"/>
      <c r="GP2138" s="73"/>
      <c r="GQ2138" s="73"/>
      <c r="GR2138" s="73"/>
      <c r="GS2138" s="73"/>
      <c r="GT2138" s="73"/>
      <c r="GU2138" s="73"/>
      <c r="GV2138" s="73"/>
      <c r="GW2138" s="73"/>
      <c r="GX2138" s="73"/>
      <c r="GY2138" s="73"/>
      <c r="GZ2138" s="73"/>
      <c r="HA2138" s="73"/>
      <c r="HB2138" s="73"/>
      <c r="HC2138" s="73"/>
      <c r="HD2138" s="73"/>
      <c r="HE2138" s="73"/>
      <c r="HF2138" s="73"/>
      <c r="HG2138" s="73"/>
      <c r="HH2138" s="73"/>
      <c r="HI2138" s="73"/>
      <c r="HJ2138" s="73"/>
      <c r="HK2138" s="73"/>
      <c r="HL2138" s="73"/>
      <c r="HM2138" s="73"/>
      <c r="HN2138" s="73"/>
      <c r="HO2138" s="73"/>
      <c r="HP2138" s="73"/>
      <c r="HQ2138" s="73"/>
      <c r="HR2138" s="73"/>
      <c r="HS2138" s="73"/>
      <c r="HT2138" s="73"/>
      <c r="HU2138" s="73"/>
      <c r="HV2138" s="73"/>
      <c r="HW2138" s="73"/>
      <c r="HX2138" s="73"/>
      <c r="HY2138" s="73"/>
      <c r="HZ2138" s="73"/>
      <c r="IA2138" s="73"/>
      <c r="IB2138" s="73"/>
      <c r="IC2138" s="73"/>
      <c r="ID2138" s="73"/>
      <c r="IE2138" s="73"/>
      <c r="IF2138" s="73"/>
      <c r="IG2138" s="73"/>
      <c r="IH2138" s="73"/>
      <c r="II2138" s="73"/>
      <c r="IJ2138" s="73"/>
      <c r="IK2138" s="73"/>
      <c r="IL2138" s="73"/>
      <c r="IM2138" s="73"/>
      <c r="IN2138" s="73"/>
      <c r="IO2138" s="73"/>
      <c r="IP2138" s="73"/>
      <c r="IQ2138" s="73"/>
      <c r="IR2138" s="73"/>
      <c r="IS2138" s="73"/>
      <c r="IT2138" s="73"/>
      <c r="IU2138" s="73"/>
      <c r="IV2138" s="73"/>
      <c r="IW2138" s="73"/>
      <c r="IX2138" s="73"/>
      <c r="IY2138" s="73"/>
      <c r="IZ2138" s="73"/>
      <c r="JA2138" s="73"/>
      <c r="JB2138" s="73"/>
      <c r="JC2138" s="73"/>
    </row>
    <row r="2139" spans="2:263" s="72" customFormat="1">
      <c r="B2139" s="73"/>
      <c r="C2139" s="73"/>
      <c r="D2139" s="73"/>
      <c r="E2139" s="73"/>
      <c r="F2139" s="73"/>
      <c r="G2139" s="73"/>
      <c r="H2139" s="73"/>
      <c r="I2139" s="73"/>
      <c r="J2139" s="73"/>
      <c r="K2139" s="73"/>
      <c r="L2139" s="73"/>
      <c r="M2139" s="73"/>
      <c r="N2139" s="73"/>
      <c r="O2139" s="73"/>
      <c r="P2139" s="73"/>
      <c r="Q2139" s="73"/>
      <c r="R2139" s="73"/>
      <c r="S2139" s="73"/>
      <c r="T2139" s="73"/>
      <c r="U2139" s="73"/>
      <c r="V2139" s="73"/>
      <c r="W2139" s="73"/>
      <c r="GL2139" s="73"/>
      <c r="GM2139" s="73"/>
      <c r="GN2139" s="73"/>
      <c r="GO2139" s="73"/>
      <c r="GP2139" s="73"/>
      <c r="GQ2139" s="73"/>
      <c r="GR2139" s="73"/>
      <c r="GS2139" s="73"/>
      <c r="GT2139" s="73"/>
      <c r="GU2139" s="73"/>
      <c r="GV2139" s="73"/>
      <c r="GW2139" s="73"/>
      <c r="GX2139" s="73"/>
      <c r="GY2139" s="73"/>
      <c r="GZ2139" s="73"/>
      <c r="HA2139" s="73"/>
      <c r="HB2139" s="73"/>
      <c r="HC2139" s="73"/>
      <c r="HD2139" s="73"/>
      <c r="HE2139" s="73"/>
      <c r="HF2139" s="73"/>
      <c r="HG2139" s="73"/>
      <c r="HH2139" s="73"/>
      <c r="HI2139" s="73"/>
      <c r="HJ2139" s="73"/>
      <c r="HK2139" s="73"/>
      <c r="HL2139" s="73"/>
      <c r="HM2139" s="73"/>
      <c r="HN2139" s="73"/>
      <c r="HO2139" s="73"/>
      <c r="HP2139" s="73"/>
      <c r="HQ2139" s="73"/>
      <c r="HR2139" s="73"/>
      <c r="HS2139" s="73"/>
      <c r="HT2139" s="73"/>
      <c r="HU2139" s="73"/>
      <c r="HV2139" s="73"/>
      <c r="HW2139" s="73"/>
      <c r="HX2139" s="73"/>
      <c r="HY2139" s="73"/>
      <c r="HZ2139" s="73"/>
      <c r="IA2139" s="73"/>
      <c r="IB2139" s="73"/>
      <c r="IC2139" s="73"/>
      <c r="ID2139" s="73"/>
      <c r="IE2139" s="73"/>
      <c r="IF2139" s="73"/>
      <c r="IG2139" s="73"/>
      <c r="IH2139" s="73"/>
      <c r="II2139" s="73"/>
      <c r="IJ2139" s="73"/>
      <c r="IK2139" s="73"/>
      <c r="IL2139" s="73"/>
      <c r="IM2139" s="73"/>
      <c r="IN2139" s="73"/>
      <c r="IO2139" s="73"/>
      <c r="IP2139" s="73"/>
      <c r="IQ2139" s="73"/>
      <c r="IR2139" s="73"/>
      <c r="IS2139" s="73"/>
      <c r="IT2139" s="73"/>
      <c r="IU2139" s="73"/>
      <c r="IV2139" s="73"/>
      <c r="IW2139" s="73"/>
      <c r="IX2139" s="73"/>
      <c r="IY2139" s="73"/>
      <c r="IZ2139" s="73"/>
      <c r="JA2139" s="73"/>
      <c r="JB2139" s="73"/>
      <c r="JC2139" s="73"/>
    </row>
    <row r="2140" spans="2:263" s="72" customFormat="1">
      <c r="B2140" s="73"/>
      <c r="C2140" s="73"/>
      <c r="D2140" s="73"/>
      <c r="E2140" s="73"/>
      <c r="F2140" s="73"/>
      <c r="G2140" s="73"/>
      <c r="H2140" s="73"/>
      <c r="I2140" s="73"/>
      <c r="J2140" s="73"/>
      <c r="K2140" s="73"/>
      <c r="L2140" s="73"/>
      <c r="M2140" s="73"/>
      <c r="N2140" s="73"/>
      <c r="O2140" s="73"/>
      <c r="P2140" s="73"/>
      <c r="Q2140" s="73"/>
      <c r="R2140" s="73"/>
      <c r="S2140" s="73"/>
      <c r="T2140" s="73"/>
      <c r="U2140" s="73"/>
      <c r="V2140" s="73"/>
      <c r="W2140" s="73"/>
      <c r="GL2140" s="73"/>
      <c r="GM2140" s="73"/>
      <c r="GN2140" s="73"/>
      <c r="GO2140" s="73"/>
      <c r="GP2140" s="73"/>
      <c r="GQ2140" s="73"/>
      <c r="GR2140" s="73"/>
      <c r="GS2140" s="73"/>
      <c r="GT2140" s="73"/>
      <c r="GU2140" s="73"/>
      <c r="GV2140" s="73"/>
      <c r="GW2140" s="73"/>
      <c r="GX2140" s="73"/>
      <c r="GY2140" s="73"/>
      <c r="GZ2140" s="73"/>
      <c r="HA2140" s="73"/>
      <c r="HB2140" s="73"/>
      <c r="HC2140" s="73"/>
      <c r="HD2140" s="73"/>
      <c r="HE2140" s="73"/>
      <c r="HF2140" s="73"/>
      <c r="HG2140" s="73"/>
      <c r="HH2140" s="73"/>
      <c r="HI2140" s="73"/>
      <c r="HJ2140" s="73"/>
      <c r="HK2140" s="73"/>
      <c r="HL2140" s="73"/>
      <c r="HM2140" s="73"/>
      <c r="HN2140" s="73"/>
      <c r="HO2140" s="73"/>
      <c r="HP2140" s="73"/>
      <c r="HQ2140" s="73"/>
      <c r="HR2140" s="73"/>
      <c r="HS2140" s="73"/>
      <c r="HT2140" s="73"/>
      <c r="HU2140" s="73"/>
      <c r="HV2140" s="73"/>
      <c r="HW2140" s="73"/>
      <c r="HX2140" s="73"/>
      <c r="HY2140" s="73"/>
      <c r="HZ2140" s="73"/>
      <c r="IA2140" s="73"/>
      <c r="IB2140" s="73"/>
      <c r="IC2140" s="73"/>
      <c r="ID2140" s="73"/>
      <c r="IE2140" s="73"/>
      <c r="IF2140" s="73"/>
      <c r="IG2140" s="73"/>
      <c r="IH2140" s="73"/>
      <c r="II2140" s="73"/>
      <c r="IJ2140" s="73"/>
      <c r="IK2140" s="73"/>
      <c r="IL2140" s="73"/>
      <c r="IM2140" s="73"/>
      <c r="IN2140" s="73"/>
      <c r="IO2140" s="73"/>
      <c r="IP2140" s="73"/>
      <c r="IQ2140" s="73"/>
      <c r="IR2140" s="73"/>
      <c r="IS2140" s="73"/>
      <c r="IT2140" s="73"/>
      <c r="IU2140" s="73"/>
      <c r="IV2140" s="73"/>
      <c r="IW2140" s="73"/>
      <c r="IX2140" s="73"/>
      <c r="IY2140" s="73"/>
      <c r="IZ2140" s="73"/>
      <c r="JA2140" s="73"/>
      <c r="JB2140" s="73"/>
      <c r="JC2140" s="73"/>
    </row>
    <row r="2141" spans="2:263" s="72" customFormat="1">
      <c r="B2141" s="73"/>
      <c r="C2141" s="73"/>
      <c r="D2141" s="73"/>
      <c r="E2141" s="73"/>
      <c r="F2141" s="73"/>
      <c r="G2141" s="73"/>
      <c r="H2141" s="73"/>
      <c r="I2141" s="73"/>
      <c r="J2141" s="73"/>
      <c r="K2141" s="73"/>
      <c r="L2141" s="73"/>
      <c r="M2141" s="73"/>
      <c r="N2141" s="73"/>
      <c r="O2141" s="73"/>
      <c r="P2141" s="73"/>
      <c r="Q2141" s="73"/>
      <c r="R2141" s="73"/>
      <c r="S2141" s="73"/>
      <c r="T2141" s="73"/>
      <c r="U2141" s="73"/>
      <c r="V2141" s="73"/>
      <c r="W2141" s="73"/>
      <c r="GL2141" s="73"/>
      <c r="GM2141" s="73"/>
      <c r="GN2141" s="73"/>
      <c r="GO2141" s="73"/>
      <c r="GP2141" s="73"/>
      <c r="GQ2141" s="73"/>
      <c r="GR2141" s="73"/>
      <c r="GS2141" s="73"/>
      <c r="GT2141" s="73"/>
      <c r="GU2141" s="73"/>
      <c r="GV2141" s="73"/>
      <c r="GW2141" s="73"/>
      <c r="GX2141" s="73"/>
      <c r="GY2141" s="73"/>
      <c r="GZ2141" s="73"/>
      <c r="HA2141" s="73"/>
      <c r="HB2141" s="73"/>
      <c r="HC2141" s="73"/>
      <c r="HD2141" s="73"/>
      <c r="HE2141" s="73"/>
      <c r="HF2141" s="73"/>
      <c r="HG2141" s="73"/>
      <c r="HH2141" s="73"/>
      <c r="HI2141" s="73"/>
      <c r="HJ2141" s="73"/>
      <c r="HK2141" s="73"/>
      <c r="HL2141" s="73"/>
      <c r="HM2141" s="73"/>
      <c r="HN2141" s="73"/>
      <c r="HO2141" s="73"/>
      <c r="HP2141" s="73"/>
      <c r="HQ2141" s="73"/>
      <c r="HR2141" s="73"/>
      <c r="HS2141" s="73"/>
      <c r="HT2141" s="73"/>
      <c r="HU2141" s="73"/>
      <c r="HV2141" s="73"/>
      <c r="HW2141" s="73"/>
      <c r="HX2141" s="73"/>
      <c r="HY2141" s="73"/>
      <c r="HZ2141" s="73"/>
      <c r="IA2141" s="73"/>
      <c r="IB2141" s="73"/>
      <c r="IC2141" s="73"/>
      <c r="ID2141" s="73"/>
      <c r="IE2141" s="73"/>
      <c r="IF2141" s="73"/>
      <c r="IG2141" s="73"/>
      <c r="IH2141" s="73"/>
      <c r="II2141" s="73"/>
      <c r="IJ2141" s="73"/>
      <c r="IK2141" s="73"/>
      <c r="IL2141" s="73"/>
      <c r="IM2141" s="73"/>
      <c r="IN2141" s="73"/>
      <c r="IO2141" s="73"/>
      <c r="IP2141" s="73"/>
      <c r="IQ2141" s="73"/>
      <c r="IR2141" s="73"/>
      <c r="IS2141" s="73"/>
      <c r="IT2141" s="73"/>
      <c r="IU2141" s="73"/>
      <c r="IV2141" s="73"/>
      <c r="IW2141" s="73"/>
      <c r="IX2141" s="73"/>
      <c r="IY2141" s="73"/>
      <c r="IZ2141" s="73"/>
      <c r="JA2141" s="73"/>
      <c r="JB2141" s="73"/>
      <c r="JC2141" s="73"/>
    </row>
    <row r="2142" spans="2:263" s="72" customFormat="1">
      <c r="B2142" s="73"/>
      <c r="C2142" s="73"/>
      <c r="D2142" s="73"/>
      <c r="E2142" s="73"/>
      <c r="F2142" s="73"/>
      <c r="G2142" s="73"/>
      <c r="H2142" s="73"/>
      <c r="I2142" s="73"/>
      <c r="J2142" s="73"/>
      <c r="K2142" s="73"/>
      <c r="L2142" s="73"/>
      <c r="M2142" s="73"/>
      <c r="N2142" s="73"/>
      <c r="O2142" s="73"/>
      <c r="P2142" s="73"/>
      <c r="Q2142" s="73"/>
      <c r="R2142" s="73"/>
      <c r="S2142" s="73"/>
      <c r="T2142" s="73"/>
      <c r="U2142" s="73"/>
      <c r="V2142" s="73"/>
      <c r="W2142" s="73"/>
      <c r="GL2142" s="73"/>
      <c r="GM2142" s="73"/>
      <c r="GN2142" s="73"/>
      <c r="GO2142" s="73"/>
      <c r="GP2142" s="73"/>
      <c r="GQ2142" s="73"/>
      <c r="GR2142" s="73"/>
      <c r="GS2142" s="73"/>
      <c r="GT2142" s="73"/>
      <c r="GU2142" s="73"/>
      <c r="GV2142" s="73"/>
      <c r="GW2142" s="73"/>
      <c r="GX2142" s="73"/>
      <c r="GY2142" s="73"/>
      <c r="GZ2142" s="73"/>
      <c r="HA2142" s="73"/>
      <c r="HB2142" s="73"/>
      <c r="HC2142" s="73"/>
      <c r="HD2142" s="73"/>
      <c r="HE2142" s="73"/>
      <c r="HF2142" s="73"/>
      <c r="HG2142" s="73"/>
      <c r="HH2142" s="73"/>
      <c r="HI2142" s="73"/>
      <c r="HJ2142" s="73"/>
      <c r="HK2142" s="73"/>
      <c r="HL2142" s="73"/>
      <c r="HM2142" s="73"/>
      <c r="HN2142" s="73"/>
      <c r="HO2142" s="73"/>
      <c r="HP2142" s="73"/>
      <c r="HQ2142" s="73"/>
      <c r="HR2142" s="73"/>
      <c r="HS2142" s="73"/>
      <c r="HT2142" s="73"/>
      <c r="HU2142" s="73"/>
      <c r="HV2142" s="73"/>
      <c r="HW2142" s="73"/>
      <c r="HX2142" s="73"/>
      <c r="HY2142" s="73"/>
      <c r="HZ2142" s="73"/>
      <c r="IA2142" s="73"/>
      <c r="IB2142" s="73"/>
      <c r="IC2142" s="73"/>
      <c r="ID2142" s="73"/>
      <c r="IE2142" s="73"/>
      <c r="IF2142" s="73"/>
      <c r="IG2142" s="73"/>
      <c r="IH2142" s="73"/>
      <c r="II2142" s="73"/>
      <c r="IJ2142" s="73"/>
      <c r="IK2142" s="73"/>
      <c r="IL2142" s="73"/>
      <c r="IM2142" s="73"/>
      <c r="IN2142" s="73"/>
      <c r="IO2142" s="73"/>
      <c r="IP2142" s="73"/>
      <c r="IQ2142" s="73"/>
      <c r="IR2142" s="73"/>
      <c r="IS2142" s="73"/>
      <c r="IT2142" s="73"/>
      <c r="IU2142" s="73"/>
      <c r="IV2142" s="73"/>
      <c r="IW2142" s="73"/>
      <c r="IX2142" s="73"/>
      <c r="IY2142" s="73"/>
      <c r="IZ2142" s="73"/>
      <c r="JA2142" s="73"/>
      <c r="JB2142" s="73"/>
      <c r="JC2142" s="73"/>
    </row>
    <row r="2143" spans="2:263" s="72" customFormat="1">
      <c r="B2143" s="73"/>
      <c r="C2143" s="73"/>
      <c r="D2143" s="73"/>
      <c r="E2143" s="73"/>
      <c r="F2143" s="73"/>
      <c r="G2143" s="73"/>
      <c r="H2143" s="73"/>
      <c r="I2143" s="73"/>
      <c r="J2143" s="73"/>
      <c r="K2143" s="73"/>
      <c r="L2143" s="73"/>
      <c r="M2143" s="73"/>
      <c r="N2143" s="73"/>
      <c r="O2143" s="73"/>
      <c r="P2143" s="73"/>
      <c r="Q2143" s="73"/>
      <c r="R2143" s="73"/>
      <c r="S2143" s="73"/>
      <c r="T2143" s="73"/>
      <c r="U2143" s="73"/>
      <c r="V2143" s="73"/>
      <c r="W2143" s="73"/>
      <c r="GL2143" s="73"/>
      <c r="GM2143" s="73"/>
      <c r="GN2143" s="73"/>
      <c r="GO2143" s="73"/>
      <c r="GP2143" s="73"/>
      <c r="GQ2143" s="73"/>
      <c r="GR2143" s="73"/>
      <c r="GS2143" s="73"/>
      <c r="GT2143" s="73"/>
      <c r="GU2143" s="73"/>
      <c r="GV2143" s="73"/>
      <c r="GW2143" s="73"/>
      <c r="GX2143" s="73"/>
      <c r="GY2143" s="73"/>
      <c r="GZ2143" s="73"/>
      <c r="HA2143" s="73"/>
      <c r="HB2143" s="73"/>
      <c r="HC2143" s="73"/>
      <c r="HD2143" s="73"/>
      <c r="HE2143" s="73"/>
      <c r="HF2143" s="73"/>
      <c r="HG2143" s="73"/>
      <c r="HH2143" s="73"/>
      <c r="HI2143" s="73"/>
      <c r="HJ2143" s="73"/>
      <c r="HK2143" s="73"/>
      <c r="HL2143" s="73"/>
      <c r="HM2143" s="73"/>
      <c r="HN2143" s="73"/>
      <c r="HO2143" s="73"/>
      <c r="HP2143" s="73"/>
      <c r="HQ2143" s="73"/>
      <c r="HR2143" s="73"/>
      <c r="HS2143" s="73"/>
      <c r="HT2143" s="73"/>
      <c r="HU2143" s="73"/>
      <c r="HV2143" s="73"/>
      <c r="HW2143" s="73"/>
      <c r="HX2143" s="73"/>
      <c r="HY2143" s="73"/>
      <c r="HZ2143" s="73"/>
      <c r="IA2143" s="73"/>
      <c r="IB2143" s="73"/>
      <c r="IC2143" s="73"/>
      <c r="ID2143" s="73"/>
      <c r="IE2143" s="73"/>
      <c r="IF2143" s="73"/>
      <c r="IG2143" s="73"/>
      <c r="IH2143" s="73"/>
      <c r="II2143" s="73"/>
      <c r="IJ2143" s="73"/>
      <c r="IK2143" s="73"/>
      <c r="IL2143" s="73"/>
      <c r="IM2143" s="73"/>
      <c r="IN2143" s="73"/>
      <c r="IO2143" s="73"/>
      <c r="IP2143" s="73"/>
      <c r="IQ2143" s="73"/>
      <c r="IR2143" s="73"/>
      <c r="IS2143" s="73"/>
      <c r="IT2143" s="73"/>
      <c r="IU2143" s="73"/>
      <c r="IV2143" s="73"/>
      <c r="IW2143" s="73"/>
      <c r="IX2143" s="73"/>
      <c r="IY2143" s="73"/>
      <c r="IZ2143" s="73"/>
      <c r="JA2143" s="73"/>
      <c r="JB2143" s="73"/>
      <c r="JC2143" s="73"/>
    </row>
    <row r="2144" spans="2:263" s="72" customFormat="1">
      <c r="B2144" s="73"/>
      <c r="C2144" s="73"/>
      <c r="D2144" s="73"/>
      <c r="E2144" s="73"/>
      <c r="F2144" s="73"/>
      <c r="G2144" s="73"/>
      <c r="H2144" s="73"/>
      <c r="I2144" s="73"/>
      <c r="J2144" s="73"/>
      <c r="K2144" s="73"/>
      <c r="L2144" s="73"/>
      <c r="M2144" s="73"/>
      <c r="N2144" s="73"/>
      <c r="O2144" s="73"/>
      <c r="P2144" s="73"/>
      <c r="Q2144" s="73"/>
      <c r="R2144" s="73"/>
      <c r="S2144" s="73"/>
      <c r="T2144" s="73"/>
      <c r="U2144" s="73"/>
      <c r="V2144" s="73"/>
      <c r="W2144" s="73"/>
      <c r="GL2144" s="73"/>
      <c r="GM2144" s="73"/>
      <c r="GN2144" s="73"/>
      <c r="GO2144" s="73"/>
      <c r="GP2144" s="73"/>
      <c r="GQ2144" s="73"/>
      <c r="GR2144" s="73"/>
      <c r="GS2144" s="73"/>
      <c r="GT2144" s="73"/>
      <c r="GU2144" s="73"/>
      <c r="GV2144" s="73"/>
      <c r="GW2144" s="73"/>
      <c r="GX2144" s="73"/>
      <c r="GY2144" s="73"/>
      <c r="GZ2144" s="73"/>
      <c r="HA2144" s="73"/>
      <c r="HB2144" s="73"/>
      <c r="HC2144" s="73"/>
      <c r="HD2144" s="73"/>
      <c r="HE2144" s="73"/>
      <c r="HF2144" s="73"/>
      <c r="HG2144" s="73"/>
      <c r="HH2144" s="73"/>
      <c r="HI2144" s="73"/>
      <c r="HJ2144" s="73"/>
      <c r="HK2144" s="73"/>
      <c r="HL2144" s="73"/>
      <c r="HM2144" s="73"/>
      <c r="HN2144" s="73"/>
      <c r="HO2144" s="73"/>
      <c r="HP2144" s="73"/>
      <c r="HQ2144" s="73"/>
      <c r="HR2144" s="73"/>
      <c r="HS2144" s="73"/>
      <c r="HT2144" s="73"/>
      <c r="HU2144" s="73"/>
      <c r="HV2144" s="73"/>
      <c r="HW2144" s="73"/>
      <c r="HX2144" s="73"/>
      <c r="HY2144" s="73"/>
      <c r="HZ2144" s="73"/>
      <c r="IA2144" s="73"/>
      <c r="IB2144" s="73"/>
      <c r="IC2144" s="73"/>
      <c r="ID2144" s="73"/>
      <c r="IE2144" s="73"/>
      <c r="IF2144" s="73"/>
      <c r="IG2144" s="73"/>
      <c r="IH2144" s="73"/>
      <c r="II2144" s="73"/>
      <c r="IJ2144" s="73"/>
      <c r="IK2144" s="73"/>
      <c r="IL2144" s="73"/>
      <c r="IM2144" s="73"/>
      <c r="IN2144" s="73"/>
      <c r="IO2144" s="73"/>
      <c r="IP2144" s="73"/>
      <c r="IQ2144" s="73"/>
      <c r="IR2144" s="73"/>
      <c r="IS2144" s="73"/>
      <c r="IT2144" s="73"/>
      <c r="IU2144" s="73"/>
      <c r="IV2144" s="73"/>
      <c r="IW2144" s="73"/>
      <c r="IX2144" s="73"/>
      <c r="IY2144" s="73"/>
      <c r="IZ2144" s="73"/>
      <c r="JA2144" s="73"/>
      <c r="JB2144" s="73"/>
      <c r="JC2144" s="73"/>
    </row>
    <row r="2145" spans="2:263" s="72" customFormat="1">
      <c r="B2145" s="73"/>
      <c r="C2145" s="73"/>
      <c r="D2145" s="73"/>
      <c r="E2145" s="73"/>
      <c r="F2145" s="73"/>
      <c r="G2145" s="73"/>
      <c r="H2145" s="73"/>
      <c r="I2145" s="73"/>
      <c r="J2145" s="73"/>
      <c r="K2145" s="73"/>
      <c r="L2145" s="73"/>
      <c r="M2145" s="73"/>
      <c r="N2145" s="73"/>
      <c r="O2145" s="73"/>
      <c r="P2145" s="73"/>
      <c r="Q2145" s="73"/>
      <c r="R2145" s="73"/>
      <c r="S2145" s="73"/>
      <c r="T2145" s="73"/>
      <c r="U2145" s="73"/>
      <c r="V2145" s="73"/>
      <c r="W2145" s="73"/>
      <c r="GL2145" s="73"/>
      <c r="GM2145" s="73"/>
      <c r="GN2145" s="73"/>
      <c r="GO2145" s="73"/>
      <c r="GP2145" s="73"/>
      <c r="GQ2145" s="73"/>
      <c r="GR2145" s="73"/>
      <c r="GS2145" s="73"/>
      <c r="GT2145" s="73"/>
      <c r="GU2145" s="73"/>
      <c r="GV2145" s="73"/>
      <c r="GW2145" s="73"/>
      <c r="GX2145" s="73"/>
      <c r="GY2145" s="73"/>
      <c r="GZ2145" s="73"/>
      <c r="HA2145" s="73"/>
      <c r="HB2145" s="73"/>
      <c r="HC2145" s="73"/>
      <c r="HD2145" s="73"/>
      <c r="HE2145" s="73"/>
      <c r="HF2145" s="73"/>
      <c r="HG2145" s="73"/>
      <c r="HH2145" s="73"/>
      <c r="HI2145" s="73"/>
      <c r="HJ2145" s="73"/>
      <c r="HK2145" s="73"/>
      <c r="HL2145" s="73"/>
      <c r="HM2145" s="73"/>
      <c r="HN2145" s="73"/>
      <c r="HO2145" s="73"/>
      <c r="HP2145" s="73"/>
      <c r="HQ2145" s="73"/>
      <c r="HR2145" s="73"/>
      <c r="HS2145" s="73"/>
      <c r="HT2145" s="73"/>
      <c r="HU2145" s="73"/>
      <c r="HV2145" s="73"/>
      <c r="HW2145" s="73"/>
      <c r="HX2145" s="73"/>
      <c r="HY2145" s="73"/>
      <c r="HZ2145" s="73"/>
      <c r="IA2145" s="73"/>
      <c r="IB2145" s="73"/>
      <c r="IC2145" s="73"/>
      <c r="ID2145" s="73"/>
      <c r="IE2145" s="73"/>
      <c r="IF2145" s="73"/>
      <c r="IG2145" s="73"/>
      <c r="IH2145" s="73"/>
      <c r="II2145" s="73"/>
      <c r="IJ2145" s="73"/>
      <c r="IK2145" s="73"/>
      <c r="IL2145" s="73"/>
      <c r="IM2145" s="73"/>
      <c r="IN2145" s="73"/>
      <c r="IO2145" s="73"/>
      <c r="IP2145" s="73"/>
      <c r="IQ2145" s="73"/>
      <c r="IR2145" s="73"/>
      <c r="IS2145" s="73"/>
      <c r="IT2145" s="73"/>
      <c r="IU2145" s="73"/>
      <c r="IV2145" s="73"/>
      <c r="IW2145" s="73"/>
      <c r="IX2145" s="73"/>
      <c r="IY2145" s="73"/>
      <c r="IZ2145" s="73"/>
      <c r="JA2145" s="73"/>
      <c r="JB2145" s="73"/>
      <c r="JC2145" s="73"/>
    </row>
    <row r="2146" spans="2:263" s="72" customFormat="1">
      <c r="B2146" s="73"/>
      <c r="C2146" s="73"/>
      <c r="D2146" s="73"/>
      <c r="E2146" s="73"/>
      <c r="F2146" s="73"/>
      <c r="G2146" s="73"/>
      <c r="H2146" s="73"/>
      <c r="I2146" s="73"/>
      <c r="J2146" s="73"/>
      <c r="K2146" s="73"/>
      <c r="L2146" s="73"/>
      <c r="M2146" s="73"/>
      <c r="N2146" s="73"/>
      <c r="O2146" s="73"/>
      <c r="P2146" s="73"/>
      <c r="Q2146" s="73"/>
      <c r="R2146" s="73"/>
      <c r="S2146" s="73"/>
      <c r="T2146" s="73"/>
      <c r="U2146" s="73"/>
      <c r="V2146" s="73"/>
      <c r="W2146" s="73"/>
      <c r="GL2146" s="73"/>
      <c r="GM2146" s="73"/>
      <c r="GN2146" s="73"/>
      <c r="GO2146" s="73"/>
      <c r="GP2146" s="73"/>
      <c r="GQ2146" s="73"/>
      <c r="GR2146" s="73"/>
      <c r="GS2146" s="73"/>
      <c r="GT2146" s="73"/>
      <c r="GU2146" s="73"/>
      <c r="GV2146" s="73"/>
      <c r="GW2146" s="73"/>
      <c r="GX2146" s="73"/>
      <c r="GY2146" s="73"/>
      <c r="GZ2146" s="73"/>
      <c r="HA2146" s="73"/>
      <c r="HB2146" s="73"/>
      <c r="HC2146" s="73"/>
      <c r="HD2146" s="73"/>
      <c r="HE2146" s="73"/>
      <c r="HF2146" s="73"/>
      <c r="HG2146" s="73"/>
      <c r="HH2146" s="73"/>
      <c r="HI2146" s="73"/>
      <c r="HJ2146" s="73"/>
      <c r="HK2146" s="73"/>
      <c r="HL2146" s="73"/>
      <c r="HM2146" s="73"/>
      <c r="HN2146" s="73"/>
      <c r="HO2146" s="73"/>
      <c r="HP2146" s="73"/>
      <c r="HQ2146" s="73"/>
      <c r="HR2146" s="73"/>
      <c r="HS2146" s="73"/>
      <c r="HT2146" s="73"/>
      <c r="HU2146" s="73"/>
      <c r="HV2146" s="73"/>
      <c r="HW2146" s="73"/>
      <c r="HX2146" s="73"/>
      <c r="HY2146" s="73"/>
      <c r="HZ2146" s="73"/>
      <c r="IA2146" s="73"/>
      <c r="IB2146" s="73"/>
      <c r="IC2146" s="73"/>
      <c r="ID2146" s="73"/>
      <c r="IE2146" s="73"/>
      <c r="IF2146" s="73"/>
      <c r="IG2146" s="73"/>
      <c r="IH2146" s="73"/>
      <c r="II2146" s="73"/>
      <c r="IJ2146" s="73"/>
      <c r="IK2146" s="73"/>
      <c r="IL2146" s="73"/>
      <c r="IM2146" s="73"/>
      <c r="IN2146" s="73"/>
      <c r="IO2146" s="73"/>
      <c r="IP2146" s="73"/>
      <c r="IQ2146" s="73"/>
      <c r="IR2146" s="73"/>
      <c r="IS2146" s="73"/>
      <c r="IT2146" s="73"/>
      <c r="IU2146" s="73"/>
      <c r="IV2146" s="73"/>
      <c r="IW2146" s="73"/>
      <c r="IX2146" s="73"/>
      <c r="IY2146" s="73"/>
      <c r="IZ2146" s="73"/>
      <c r="JA2146" s="73"/>
      <c r="JB2146" s="73"/>
      <c r="JC2146" s="73"/>
    </row>
    <row r="2147" spans="2:263" s="72" customFormat="1">
      <c r="B2147" s="73"/>
      <c r="C2147" s="73"/>
      <c r="D2147" s="73"/>
      <c r="E2147" s="73"/>
      <c r="F2147" s="73"/>
      <c r="G2147" s="73"/>
      <c r="H2147" s="73"/>
      <c r="I2147" s="73"/>
      <c r="J2147" s="73"/>
      <c r="K2147" s="73"/>
      <c r="L2147" s="73"/>
      <c r="M2147" s="73"/>
      <c r="N2147" s="73"/>
      <c r="O2147" s="73"/>
      <c r="P2147" s="73"/>
      <c r="Q2147" s="73"/>
      <c r="R2147" s="73"/>
      <c r="S2147" s="73"/>
      <c r="T2147" s="73"/>
      <c r="U2147" s="73"/>
      <c r="V2147" s="73"/>
      <c r="W2147" s="73"/>
      <c r="GL2147" s="73"/>
      <c r="GM2147" s="73"/>
      <c r="GN2147" s="73"/>
      <c r="GO2147" s="73"/>
      <c r="GP2147" s="73"/>
      <c r="GQ2147" s="73"/>
      <c r="GR2147" s="73"/>
      <c r="GS2147" s="73"/>
      <c r="GT2147" s="73"/>
      <c r="GU2147" s="73"/>
      <c r="GV2147" s="73"/>
      <c r="GW2147" s="73"/>
      <c r="GX2147" s="73"/>
      <c r="GY2147" s="73"/>
      <c r="GZ2147" s="73"/>
      <c r="HA2147" s="73"/>
      <c r="HB2147" s="73"/>
      <c r="HC2147" s="73"/>
      <c r="HD2147" s="73"/>
      <c r="HE2147" s="73"/>
      <c r="HF2147" s="73"/>
      <c r="HG2147" s="73"/>
      <c r="HH2147" s="73"/>
      <c r="HI2147" s="73"/>
      <c r="HJ2147" s="73"/>
      <c r="HK2147" s="73"/>
      <c r="HL2147" s="73"/>
      <c r="HM2147" s="73"/>
      <c r="HN2147" s="73"/>
      <c r="HO2147" s="73"/>
      <c r="HP2147" s="73"/>
      <c r="HQ2147" s="73"/>
      <c r="HR2147" s="73"/>
      <c r="HS2147" s="73"/>
      <c r="HT2147" s="73"/>
      <c r="HU2147" s="73"/>
      <c r="HV2147" s="73"/>
      <c r="HW2147" s="73"/>
      <c r="HX2147" s="73"/>
      <c r="HY2147" s="73"/>
      <c r="HZ2147" s="73"/>
      <c r="IA2147" s="73"/>
      <c r="IB2147" s="73"/>
      <c r="IC2147" s="73"/>
      <c r="ID2147" s="73"/>
      <c r="IE2147" s="73"/>
      <c r="IF2147" s="73"/>
      <c r="IG2147" s="73"/>
      <c r="IH2147" s="73"/>
      <c r="II2147" s="73"/>
      <c r="IJ2147" s="73"/>
      <c r="IK2147" s="73"/>
      <c r="IL2147" s="73"/>
      <c r="IM2147" s="73"/>
      <c r="IN2147" s="73"/>
      <c r="IO2147" s="73"/>
      <c r="IP2147" s="73"/>
      <c r="IQ2147" s="73"/>
      <c r="IR2147" s="73"/>
      <c r="IS2147" s="73"/>
      <c r="IT2147" s="73"/>
      <c r="IU2147" s="73"/>
      <c r="IV2147" s="73"/>
      <c r="IW2147" s="73"/>
      <c r="IX2147" s="73"/>
      <c r="IY2147" s="73"/>
      <c r="IZ2147" s="73"/>
      <c r="JA2147" s="73"/>
      <c r="JB2147" s="73"/>
      <c r="JC2147" s="73"/>
    </row>
    <row r="2148" spans="2:263" s="72" customFormat="1">
      <c r="B2148" s="73"/>
      <c r="C2148" s="73"/>
      <c r="D2148" s="73"/>
      <c r="E2148" s="73"/>
      <c r="F2148" s="73"/>
      <c r="G2148" s="73"/>
      <c r="H2148" s="73"/>
      <c r="I2148" s="73"/>
      <c r="J2148" s="73"/>
      <c r="K2148" s="73"/>
      <c r="L2148" s="73"/>
      <c r="M2148" s="73"/>
      <c r="N2148" s="73"/>
      <c r="O2148" s="73"/>
      <c r="P2148" s="73"/>
      <c r="Q2148" s="73"/>
      <c r="R2148" s="73"/>
      <c r="S2148" s="73"/>
      <c r="T2148" s="73"/>
      <c r="U2148" s="73"/>
      <c r="V2148" s="73"/>
      <c r="W2148" s="73"/>
      <c r="GL2148" s="73"/>
      <c r="GM2148" s="73"/>
      <c r="GN2148" s="73"/>
      <c r="GO2148" s="73"/>
      <c r="GP2148" s="73"/>
      <c r="GQ2148" s="73"/>
      <c r="GR2148" s="73"/>
      <c r="GS2148" s="73"/>
      <c r="GT2148" s="73"/>
      <c r="GU2148" s="73"/>
      <c r="GV2148" s="73"/>
      <c r="GW2148" s="73"/>
      <c r="GX2148" s="73"/>
      <c r="GY2148" s="73"/>
      <c r="GZ2148" s="73"/>
      <c r="HA2148" s="73"/>
      <c r="HB2148" s="73"/>
      <c r="HC2148" s="73"/>
      <c r="HD2148" s="73"/>
      <c r="HE2148" s="73"/>
      <c r="HF2148" s="73"/>
      <c r="HG2148" s="73"/>
      <c r="HH2148" s="73"/>
      <c r="HI2148" s="73"/>
      <c r="HJ2148" s="73"/>
      <c r="HK2148" s="73"/>
      <c r="HL2148" s="73"/>
      <c r="HM2148" s="73"/>
      <c r="HN2148" s="73"/>
      <c r="HO2148" s="73"/>
      <c r="HP2148" s="73"/>
      <c r="HQ2148" s="73"/>
      <c r="HR2148" s="73"/>
      <c r="HS2148" s="73"/>
      <c r="HT2148" s="73"/>
      <c r="HU2148" s="73"/>
      <c r="HV2148" s="73"/>
      <c r="HW2148" s="73"/>
      <c r="HX2148" s="73"/>
      <c r="HY2148" s="73"/>
      <c r="HZ2148" s="73"/>
      <c r="IA2148" s="73"/>
      <c r="IB2148" s="73"/>
      <c r="IC2148" s="73"/>
      <c r="ID2148" s="73"/>
      <c r="IE2148" s="73"/>
      <c r="IF2148" s="73"/>
      <c r="IG2148" s="73"/>
      <c r="IH2148" s="73"/>
      <c r="II2148" s="73"/>
      <c r="IJ2148" s="73"/>
      <c r="IK2148" s="73"/>
      <c r="IL2148" s="73"/>
      <c r="IM2148" s="73"/>
      <c r="IN2148" s="73"/>
      <c r="IO2148" s="73"/>
      <c r="IP2148" s="73"/>
      <c r="IQ2148" s="73"/>
      <c r="IR2148" s="73"/>
      <c r="IS2148" s="73"/>
      <c r="IT2148" s="73"/>
      <c r="IU2148" s="73"/>
      <c r="IV2148" s="73"/>
      <c r="IW2148" s="73"/>
      <c r="IX2148" s="73"/>
      <c r="IY2148" s="73"/>
      <c r="IZ2148" s="73"/>
      <c r="JA2148" s="73"/>
      <c r="JB2148" s="73"/>
      <c r="JC2148" s="73"/>
    </row>
    <row r="2149" spans="2:263" s="72" customFormat="1">
      <c r="B2149" s="73"/>
      <c r="C2149" s="73"/>
      <c r="D2149" s="73"/>
      <c r="E2149" s="73"/>
      <c r="F2149" s="73"/>
      <c r="G2149" s="73"/>
      <c r="H2149" s="73"/>
      <c r="I2149" s="73"/>
      <c r="J2149" s="73"/>
      <c r="K2149" s="73"/>
      <c r="L2149" s="73"/>
      <c r="M2149" s="73"/>
      <c r="N2149" s="73"/>
      <c r="O2149" s="73"/>
      <c r="P2149" s="73"/>
      <c r="Q2149" s="73"/>
      <c r="R2149" s="73"/>
      <c r="S2149" s="73"/>
      <c r="T2149" s="73"/>
      <c r="U2149" s="73"/>
      <c r="V2149" s="73"/>
      <c r="W2149" s="73"/>
      <c r="GL2149" s="73"/>
      <c r="GM2149" s="73"/>
      <c r="GN2149" s="73"/>
      <c r="GO2149" s="73"/>
      <c r="GP2149" s="73"/>
      <c r="GQ2149" s="73"/>
      <c r="GR2149" s="73"/>
      <c r="GS2149" s="73"/>
      <c r="GT2149" s="73"/>
      <c r="GU2149" s="73"/>
      <c r="GV2149" s="73"/>
      <c r="GW2149" s="73"/>
      <c r="GX2149" s="73"/>
      <c r="GY2149" s="73"/>
      <c r="GZ2149" s="73"/>
      <c r="HA2149" s="73"/>
      <c r="HB2149" s="73"/>
      <c r="HC2149" s="73"/>
      <c r="HD2149" s="73"/>
      <c r="HE2149" s="73"/>
      <c r="HF2149" s="73"/>
      <c r="HG2149" s="73"/>
      <c r="HH2149" s="73"/>
      <c r="HI2149" s="73"/>
      <c r="HJ2149" s="73"/>
      <c r="HK2149" s="73"/>
      <c r="HL2149" s="73"/>
      <c r="HM2149" s="73"/>
      <c r="HN2149" s="73"/>
      <c r="HO2149" s="73"/>
      <c r="HP2149" s="73"/>
      <c r="HQ2149" s="73"/>
      <c r="HR2149" s="73"/>
      <c r="HS2149" s="73"/>
      <c r="HT2149" s="73"/>
      <c r="HU2149" s="73"/>
      <c r="HV2149" s="73"/>
      <c r="HW2149" s="73"/>
      <c r="HX2149" s="73"/>
      <c r="HY2149" s="73"/>
      <c r="HZ2149" s="73"/>
      <c r="IA2149" s="73"/>
      <c r="IB2149" s="73"/>
      <c r="IC2149" s="73"/>
      <c r="ID2149" s="73"/>
      <c r="IE2149" s="73"/>
      <c r="IF2149" s="73"/>
      <c r="IG2149" s="73"/>
      <c r="IH2149" s="73"/>
      <c r="II2149" s="73"/>
      <c r="IJ2149" s="73"/>
      <c r="IK2149" s="73"/>
      <c r="IL2149" s="73"/>
      <c r="IM2149" s="73"/>
      <c r="IN2149" s="73"/>
      <c r="IO2149" s="73"/>
      <c r="IP2149" s="73"/>
      <c r="IQ2149" s="73"/>
      <c r="IR2149" s="73"/>
      <c r="IS2149" s="73"/>
      <c r="IT2149" s="73"/>
      <c r="IU2149" s="73"/>
      <c r="IV2149" s="73"/>
      <c r="IW2149" s="73"/>
      <c r="IX2149" s="73"/>
      <c r="IY2149" s="73"/>
      <c r="IZ2149" s="73"/>
      <c r="JA2149" s="73"/>
      <c r="JB2149" s="73"/>
      <c r="JC2149" s="73"/>
    </row>
    <row r="2150" spans="2:263" s="72" customFormat="1">
      <c r="B2150" s="73"/>
      <c r="C2150" s="73"/>
      <c r="D2150" s="73"/>
      <c r="E2150" s="73"/>
      <c r="F2150" s="73"/>
      <c r="G2150" s="73"/>
      <c r="H2150" s="73"/>
      <c r="I2150" s="73"/>
      <c r="J2150" s="73"/>
      <c r="K2150" s="73"/>
      <c r="L2150" s="73"/>
      <c r="M2150" s="73"/>
      <c r="N2150" s="73"/>
      <c r="O2150" s="73"/>
      <c r="P2150" s="73"/>
      <c r="Q2150" s="73"/>
      <c r="R2150" s="73"/>
      <c r="S2150" s="73"/>
      <c r="T2150" s="73"/>
      <c r="U2150" s="73"/>
      <c r="V2150" s="73"/>
      <c r="W2150" s="73"/>
      <c r="GL2150" s="73"/>
      <c r="GM2150" s="73"/>
      <c r="GN2150" s="73"/>
      <c r="GO2150" s="73"/>
      <c r="GP2150" s="73"/>
      <c r="GQ2150" s="73"/>
      <c r="GR2150" s="73"/>
      <c r="GS2150" s="73"/>
      <c r="GT2150" s="73"/>
      <c r="GU2150" s="73"/>
      <c r="GV2150" s="73"/>
      <c r="GW2150" s="73"/>
      <c r="GX2150" s="73"/>
      <c r="GY2150" s="73"/>
      <c r="GZ2150" s="73"/>
      <c r="HA2150" s="73"/>
      <c r="HB2150" s="73"/>
      <c r="HC2150" s="73"/>
      <c r="HD2150" s="73"/>
      <c r="HE2150" s="73"/>
      <c r="HF2150" s="73"/>
      <c r="HG2150" s="73"/>
      <c r="HH2150" s="73"/>
      <c r="HI2150" s="73"/>
      <c r="HJ2150" s="73"/>
      <c r="HK2150" s="73"/>
      <c r="HL2150" s="73"/>
      <c r="HM2150" s="73"/>
      <c r="HN2150" s="73"/>
      <c r="HO2150" s="73"/>
      <c r="HP2150" s="73"/>
      <c r="HQ2150" s="73"/>
      <c r="HR2150" s="73"/>
      <c r="HS2150" s="73"/>
      <c r="HT2150" s="73"/>
      <c r="HU2150" s="73"/>
      <c r="HV2150" s="73"/>
      <c r="HW2150" s="73"/>
      <c r="HX2150" s="73"/>
      <c r="HY2150" s="73"/>
      <c r="HZ2150" s="73"/>
      <c r="IA2150" s="73"/>
      <c r="IB2150" s="73"/>
      <c r="IC2150" s="73"/>
      <c r="ID2150" s="73"/>
      <c r="IE2150" s="73"/>
      <c r="IF2150" s="73"/>
      <c r="IG2150" s="73"/>
      <c r="IH2150" s="73"/>
      <c r="II2150" s="73"/>
      <c r="IJ2150" s="73"/>
      <c r="IK2150" s="73"/>
      <c r="IL2150" s="73"/>
      <c r="IM2150" s="73"/>
      <c r="IN2150" s="73"/>
      <c r="IO2150" s="73"/>
      <c r="IP2150" s="73"/>
      <c r="IQ2150" s="73"/>
      <c r="IR2150" s="73"/>
      <c r="IS2150" s="73"/>
      <c r="IT2150" s="73"/>
      <c r="IU2150" s="73"/>
      <c r="IV2150" s="73"/>
      <c r="IW2150" s="73"/>
      <c r="IX2150" s="73"/>
      <c r="IY2150" s="73"/>
      <c r="IZ2150" s="73"/>
      <c r="JA2150" s="73"/>
      <c r="JB2150" s="73"/>
      <c r="JC2150" s="73"/>
    </row>
    <row r="2151" spans="2:263" s="72" customFormat="1">
      <c r="B2151" s="73"/>
      <c r="C2151" s="73"/>
      <c r="D2151" s="73"/>
      <c r="E2151" s="73"/>
      <c r="F2151" s="73"/>
      <c r="G2151" s="73"/>
      <c r="H2151" s="73"/>
      <c r="I2151" s="73"/>
      <c r="J2151" s="73"/>
      <c r="K2151" s="73"/>
      <c r="L2151" s="73"/>
      <c r="M2151" s="73"/>
      <c r="N2151" s="73"/>
      <c r="O2151" s="73"/>
      <c r="P2151" s="73"/>
      <c r="Q2151" s="73"/>
      <c r="R2151" s="73"/>
      <c r="S2151" s="73"/>
      <c r="T2151" s="73"/>
      <c r="U2151" s="73"/>
      <c r="V2151" s="73"/>
      <c r="W2151" s="73"/>
      <c r="GL2151" s="73"/>
      <c r="GM2151" s="73"/>
      <c r="GN2151" s="73"/>
      <c r="GO2151" s="73"/>
      <c r="GP2151" s="73"/>
      <c r="GQ2151" s="73"/>
      <c r="GR2151" s="73"/>
      <c r="GS2151" s="73"/>
      <c r="GT2151" s="73"/>
      <c r="GU2151" s="73"/>
      <c r="GV2151" s="73"/>
      <c r="GW2151" s="73"/>
      <c r="GX2151" s="73"/>
      <c r="GY2151" s="73"/>
      <c r="GZ2151" s="73"/>
      <c r="HA2151" s="73"/>
      <c r="HB2151" s="73"/>
      <c r="HC2151" s="73"/>
      <c r="HD2151" s="73"/>
      <c r="HE2151" s="73"/>
      <c r="HF2151" s="73"/>
      <c r="HG2151" s="73"/>
      <c r="HH2151" s="73"/>
      <c r="HI2151" s="73"/>
      <c r="HJ2151" s="73"/>
      <c r="HK2151" s="73"/>
      <c r="HL2151" s="73"/>
      <c r="HM2151" s="73"/>
      <c r="HN2151" s="73"/>
      <c r="HO2151" s="73"/>
      <c r="HP2151" s="73"/>
      <c r="HQ2151" s="73"/>
      <c r="HR2151" s="73"/>
      <c r="HS2151" s="73"/>
      <c r="HT2151" s="73"/>
      <c r="HU2151" s="73"/>
      <c r="HV2151" s="73"/>
      <c r="HW2151" s="73"/>
      <c r="HX2151" s="73"/>
      <c r="HY2151" s="73"/>
      <c r="HZ2151" s="73"/>
      <c r="IA2151" s="73"/>
      <c r="IB2151" s="73"/>
      <c r="IC2151" s="73"/>
      <c r="ID2151" s="73"/>
      <c r="IE2151" s="73"/>
      <c r="IF2151" s="73"/>
      <c r="IG2151" s="73"/>
      <c r="IH2151" s="73"/>
      <c r="II2151" s="73"/>
      <c r="IJ2151" s="73"/>
      <c r="IK2151" s="73"/>
      <c r="IL2151" s="73"/>
      <c r="IM2151" s="73"/>
      <c r="IN2151" s="73"/>
      <c r="IO2151" s="73"/>
      <c r="IP2151" s="73"/>
      <c r="IQ2151" s="73"/>
      <c r="IR2151" s="73"/>
      <c r="IS2151" s="73"/>
      <c r="IT2151" s="73"/>
      <c r="IU2151" s="73"/>
      <c r="IV2151" s="73"/>
      <c r="IW2151" s="73"/>
      <c r="IX2151" s="73"/>
      <c r="IY2151" s="73"/>
      <c r="IZ2151" s="73"/>
      <c r="JA2151" s="73"/>
      <c r="JB2151" s="73"/>
      <c r="JC2151" s="73"/>
    </row>
    <row r="2152" spans="2:263" s="72" customFormat="1">
      <c r="B2152" s="73"/>
      <c r="C2152" s="73"/>
      <c r="D2152" s="73"/>
      <c r="E2152" s="73"/>
      <c r="F2152" s="73"/>
      <c r="G2152" s="73"/>
      <c r="H2152" s="73"/>
      <c r="I2152" s="73"/>
      <c r="J2152" s="73"/>
      <c r="K2152" s="73"/>
      <c r="L2152" s="73"/>
      <c r="M2152" s="73"/>
      <c r="N2152" s="73"/>
      <c r="O2152" s="73"/>
      <c r="P2152" s="73"/>
      <c r="Q2152" s="73"/>
      <c r="R2152" s="73"/>
      <c r="S2152" s="73"/>
      <c r="T2152" s="73"/>
      <c r="U2152" s="73"/>
      <c r="V2152" s="73"/>
      <c r="W2152" s="73"/>
      <c r="GL2152" s="73"/>
      <c r="GM2152" s="73"/>
      <c r="GN2152" s="73"/>
      <c r="GO2152" s="73"/>
      <c r="GP2152" s="73"/>
      <c r="GQ2152" s="73"/>
      <c r="GR2152" s="73"/>
      <c r="GS2152" s="73"/>
      <c r="GT2152" s="73"/>
      <c r="GU2152" s="73"/>
      <c r="GV2152" s="73"/>
      <c r="GW2152" s="73"/>
      <c r="GX2152" s="73"/>
      <c r="GY2152" s="73"/>
      <c r="GZ2152" s="73"/>
      <c r="HA2152" s="73"/>
      <c r="HB2152" s="73"/>
      <c r="HC2152" s="73"/>
      <c r="HD2152" s="73"/>
      <c r="HE2152" s="73"/>
      <c r="HF2152" s="73"/>
      <c r="HG2152" s="73"/>
      <c r="HH2152" s="73"/>
      <c r="HI2152" s="73"/>
      <c r="HJ2152" s="73"/>
      <c r="HK2152" s="73"/>
      <c r="HL2152" s="73"/>
      <c r="HM2152" s="73"/>
      <c r="HN2152" s="73"/>
      <c r="HO2152" s="73"/>
      <c r="HP2152" s="73"/>
      <c r="HQ2152" s="73"/>
      <c r="HR2152" s="73"/>
      <c r="HS2152" s="73"/>
      <c r="HT2152" s="73"/>
      <c r="HU2152" s="73"/>
      <c r="HV2152" s="73"/>
      <c r="HW2152" s="73"/>
      <c r="HX2152" s="73"/>
      <c r="HY2152" s="73"/>
      <c r="HZ2152" s="73"/>
      <c r="IA2152" s="73"/>
      <c r="IB2152" s="73"/>
      <c r="IC2152" s="73"/>
      <c r="ID2152" s="73"/>
      <c r="IE2152" s="73"/>
      <c r="IF2152" s="73"/>
      <c r="IG2152" s="73"/>
      <c r="IH2152" s="73"/>
      <c r="II2152" s="73"/>
      <c r="IJ2152" s="73"/>
      <c r="IK2152" s="73"/>
      <c r="IL2152" s="73"/>
      <c r="IM2152" s="73"/>
      <c r="IN2152" s="73"/>
      <c r="IO2152" s="73"/>
      <c r="IP2152" s="73"/>
      <c r="IQ2152" s="73"/>
      <c r="IR2152" s="73"/>
      <c r="IS2152" s="73"/>
      <c r="IT2152" s="73"/>
      <c r="IU2152" s="73"/>
      <c r="IV2152" s="73"/>
      <c r="IW2152" s="73"/>
      <c r="IX2152" s="73"/>
      <c r="IY2152" s="73"/>
      <c r="IZ2152" s="73"/>
      <c r="JA2152" s="73"/>
      <c r="JB2152" s="73"/>
      <c r="JC2152" s="73"/>
    </row>
    <row r="2153" spans="2:263" s="72" customFormat="1">
      <c r="B2153" s="73"/>
      <c r="C2153" s="73"/>
      <c r="D2153" s="73"/>
      <c r="E2153" s="73"/>
      <c r="F2153" s="73"/>
      <c r="G2153" s="73"/>
      <c r="H2153" s="73"/>
      <c r="I2153" s="73"/>
      <c r="J2153" s="73"/>
      <c r="K2153" s="73"/>
      <c r="L2153" s="73"/>
      <c r="M2153" s="73"/>
      <c r="N2153" s="73"/>
      <c r="O2153" s="73"/>
      <c r="P2153" s="73"/>
      <c r="Q2153" s="73"/>
      <c r="R2153" s="73"/>
      <c r="S2153" s="73"/>
      <c r="T2153" s="73"/>
      <c r="U2153" s="73"/>
      <c r="V2153" s="73"/>
      <c r="W2153" s="73"/>
      <c r="GL2153" s="73"/>
      <c r="GM2153" s="73"/>
      <c r="GN2153" s="73"/>
      <c r="GO2153" s="73"/>
      <c r="GP2153" s="73"/>
      <c r="GQ2153" s="73"/>
      <c r="GR2153" s="73"/>
      <c r="GS2153" s="73"/>
      <c r="GT2153" s="73"/>
      <c r="GU2153" s="73"/>
      <c r="GV2153" s="73"/>
      <c r="GW2153" s="73"/>
      <c r="GX2153" s="73"/>
      <c r="GY2153" s="73"/>
      <c r="GZ2153" s="73"/>
      <c r="HA2153" s="73"/>
      <c r="HB2153" s="73"/>
      <c r="HC2153" s="73"/>
      <c r="HD2153" s="73"/>
      <c r="HE2153" s="73"/>
      <c r="HF2153" s="73"/>
      <c r="HG2153" s="73"/>
      <c r="HH2153" s="73"/>
      <c r="HI2153" s="73"/>
      <c r="HJ2153" s="73"/>
      <c r="HK2153" s="73"/>
      <c r="HL2153" s="73"/>
      <c r="HM2153" s="73"/>
      <c r="HN2153" s="73"/>
      <c r="HO2153" s="73"/>
      <c r="HP2153" s="73"/>
      <c r="HQ2153" s="73"/>
      <c r="HR2153" s="73"/>
      <c r="HS2153" s="73"/>
      <c r="HT2153" s="73"/>
      <c r="HU2153" s="73"/>
      <c r="HV2153" s="73"/>
      <c r="HW2153" s="73"/>
      <c r="HX2153" s="73"/>
      <c r="HY2153" s="73"/>
      <c r="HZ2153" s="73"/>
      <c r="IA2153" s="73"/>
      <c r="IB2153" s="73"/>
      <c r="IC2153" s="73"/>
      <c r="ID2153" s="73"/>
      <c r="IE2153" s="73"/>
      <c r="IF2153" s="73"/>
      <c r="IG2153" s="73"/>
      <c r="IH2153" s="73"/>
      <c r="II2153" s="73"/>
      <c r="IJ2153" s="73"/>
      <c r="IK2153" s="73"/>
      <c r="IL2153" s="73"/>
      <c r="IM2153" s="73"/>
      <c r="IN2153" s="73"/>
      <c r="IO2153" s="73"/>
      <c r="IP2153" s="73"/>
      <c r="IQ2153" s="73"/>
      <c r="IR2153" s="73"/>
      <c r="IS2153" s="73"/>
      <c r="IT2153" s="73"/>
      <c r="IU2153" s="73"/>
      <c r="IV2153" s="73"/>
      <c r="IW2153" s="73"/>
      <c r="IX2153" s="73"/>
      <c r="IY2153" s="73"/>
      <c r="IZ2153" s="73"/>
      <c r="JA2153" s="73"/>
      <c r="JB2153" s="73"/>
      <c r="JC2153" s="73"/>
    </row>
    <row r="2154" spans="2:263" s="72" customFormat="1">
      <c r="B2154" s="73"/>
      <c r="C2154" s="73"/>
      <c r="D2154" s="73"/>
      <c r="E2154" s="73"/>
      <c r="F2154" s="73"/>
      <c r="G2154" s="73"/>
      <c r="H2154" s="73"/>
      <c r="I2154" s="73"/>
      <c r="J2154" s="73"/>
      <c r="K2154" s="73"/>
      <c r="L2154" s="73"/>
      <c r="M2154" s="73"/>
      <c r="N2154" s="73"/>
      <c r="O2154" s="73"/>
      <c r="P2154" s="73"/>
      <c r="Q2154" s="73"/>
      <c r="R2154" s="73"/>
      <c r="S2154" s="73"/>
      <c r="T2154" s="73"/>
      <c r="U2154" s="73"/>
      <c r="V2154" s="73"/>
      <c r="W2154" s="73"/>
      <c r="GL2154" s="73"/>
      <c r="GM2154" s="73"/>
      <c r="GN2154" s="73"/>
      <c r="GO2154" s="73"/>
      <c r="GP2154" s="73"/>
      <c r="GQ2154" s="73"/>
      <c r="GR2154" s="73"/>
      <c r="GS2154" s="73"/>
      <c r="GT2154" s="73"/>
      <c r="GU2154" s="73"/>
      <c r="GV2154" s="73"/>
      <c r="GW2154" s="73"/>
      <c r="GX2154" s="73"/>
      <c r="GY2154" s="73"/>
      <c r="GZ2154" s="73"/>
      <c r="HA2154" s="73"/>
      <c r="HB2154" s="73"/>
      <c r="HC2154" s="73"/>
      <c r="HD2154" s="73"/>
      <c r="HE2154" s="73"/>
      <c r="HF2154" s="73"/>
      <c r="HG2154" s="73"/>
      <c r="HH2154" s="73"/>
      <c r="HI2154" s="73"/>
      <c r="HJ2154" s="73"/>
      <c r="HK2154" s="73"/>
      <c r="HL2154" s="73"/>
      <c r="HM2154" s="73"/>
      <c r="HN2154" s="73"/>
      <c r="HO2154" s="73"/>
      <c r="HP2154" s="73"/>
      <c r="HQ2154" s="73"/>
      <c r="HR2154" s="73"/>
      <c r="HS2154" s="73"/>
      <c r="HT2154" s="73"/>
      <c r="HU2154" s="73"/>
      <c r="HV2154" s="73"/>
      <c r="HW2154" s="73"/>
      <c r="HX2154" s="73"/>
      <c r="HY2154" s="73"/>
      <c r="HZ2154" s="73"/>
      <c r="IA2154" s="73"/>
      <c r="IB2154" s="73"/>
      <c r="IC2154" s="73"/>
      <c r="ID2154" s="73"/>
      <c r="IE2154" s="73"/>
      <c r="IF2154" s="73"/>
      <c r="IG2154" s="73"/>
      <c r="IH2154" s="73"/>
      <c r="II2154" s="73"/>
      <c r="IJ2154" s="73"/>
      <c r="IK2154" s="73"/>
      <c r="IL2154" s="73"/>
      <c r="IM2154" s="73"/>
      <c r="IN2154" s="73"/>
      <c r="IO2154" s="73"/>
      <c r="IP2154" s="73"/>
      <c r="IQ2154" s="73"/>
      <c r="IR2154" s="73"/>
      <c r="IS2154" s="73"/>
      <c r="IT2154" s="73"/>
      <c r="IU2154" s="73"/>
      <c r="IV2154" s="73"/>
      <c r="IW2154" s="73"/>
      <c r="IX2154" s="73"/>
      <c r="IY2154" s="73"/>
      <c r="IZ2154" s="73"/>
      <c r="JA2154" s="73"/>
      <c r="JB2154" s="73"/>
      <c r="JC2154" s="73"/>
    </row>
    <row r="2155" spans="2:263" s="72" customFormat="1">
      <c r="B2155" s="73"/>
      <c r="C2155" s="73"/>
      <c r="D2155" s="73"/>
      <c r="E2155" s="73"/>
      <c r="F2155" s="73"/>
      <c r="G2155" s="73"/>
      <c r="H2155" s="73"/>
      <c r="I2155" s="73"/>
      <c r="J2155" s="73"/>
      <c r="K2155" s="73"/>
      <c r="L2155" s="73"/>
      <c r="M2155" s="73"/>
      <c r="N2155" s="73"/>
      <c r="O2155" s="73"/>
      <c r="P2155" s="73"/>
      <c r="Q2155" s="73"/>
      <c r="R2155" s="73"/>
      <c r="S2155" s="73"/>
      <c r="T2155" s="73"/>
      <c r="U2155" s="73"/>
      <c r="V2155" s="73"/>
      <c r="W2155" s="73"/>
      <c r="GL2155" s="73"/>
      <c r="GM2155" s="73"/>
      <c r="GN2155" s="73"/>
      <c r="GO2155" s="73"/>
      <c r="GP2155" s="73"/>
      <c r="GQ2155" s="73"/>
      <c r="GR2155" s="73"/>
      <c r="GS2155" s="73"/>
      <c r="GT2155" s="73"/>
      <c r="GU2155" s="73"/>
      <c r="GV2155" s="73"/>
      <c r="GW2155" s="73"/>
      <c r="GX2155" s="73"/>
      <c r="GY2155" s="73"/>
      <c r="GZ2155" s="73"/>
      <c r="HA2155" s="73"/>
      <c r="HB2155" s="73"/>
      <c r="HC2155" s="73"/>
      <c r="HD2155" s="73"/>
      <c r="HE2155" s="73"/>
      <c r="HF2155" s="73"/>
      <c r="HG2155" s="73"/>
      <c r="HH2155" s="73"/>
      <c r="HI2155" s="73"/>
      <c r="HJ2155" s="73"/>
      <c r="HK2155" s="73"/>
      <c r="HL2155" s="73"/>
      <c r="HM2155" s="73"/>
      <c r="HN2155" s="73"/>
      <c r="HO2155" s="73"/>
      <c r="HP2155" s="73"/>
      <c r="HQ2155" s="73"/>
      <c r="HR2155" s="73"/>
      <c r="HS2155" s="73"/>
      <c r="HT2155" s="73"/>
      <c r="HU2155" s="73"/>
      <c r="HV2155" s="73"/>
      <c r="HW2155" s="73"/>
      <c r="HX2155" s="73"/>
      <c r="HY2155" s="73"/>
      <c r="HZ2155" s="73"/>
      <c r="IA2155" s="73"/>
      <c r="IB2155" s="73"/>
      <c r="IC2155" s="73"/>
      <c r="ID2155" s="73"/>
      <c r="IE2155" s="73"/>
      <c r="IF2155" s="73"/>
      <c r="IG2155" s="73"/>
      <c r="IH2155" s="73"/>
      <c r="II2155" s="73"/>
      <c r="IJ2155" s="73"/>
      <c r="IK2155" s="73"/>
      <c r="IL2155" s="73"/>
      <c r="IM2155" s="73"/>
      <c r="IN2155" s="73"/>
      <c r="IO2155" s="73"/>
      <c r="IP2155" s="73"/>
      <c r="IQ2155" s="73"/>
      <c r="IR2155" s="73"/>
      <c r="IS2155" s="73"/>
      <c r="IT2155" s="73"/>
      <c r="IU2155" s="73"/>
      <c r="IV2155" s="73"/>
      <c r="IW2155" s="73"/>
      <c r="IX2155" s="73"/>
      <c r="IY2155" s="73"/>
      <c r="IZ2155" s="73"/>
      <c r="JA2155" s="73"/>
      <c r="JB2155" s="73"/>
      <c r="JC2155" s="73"/>
    </row>
    <row r="2156" spans="2:263" s="72" customFormat="1">
      <c r="B2156" s="73"/>
      <c r="C2156" s="73"/>
      <c r="D2156" s="73"/>
      <c r="E2156" s="73"/>
      <c r="F2156" s="73"/>
      <c r="G2156" s="73"/>
      <c r="H2156" s="73"/>
      <c r="I2156" s="73"/>
      <c r="J2156" s="73"/>
      <c r="K2156" s="73"/>
      <c r="L2156" s="73"/>
      <c r="M2156" s="73"/>
      <c r="N2156" s="73"/>
      <c r="O2156" s="73"/>
      <c r="P2156" s="73"/>
      <c r="Q2156" s="73"/>
      <c r="R2156" s="73"/>
      <c r="S2156" s="73"/>
      <c r="T2156" s="73"/>
      <c r="U2156" s="73"/>
      <c r="V2156" s="73"/>
      <c r="W2156" s="73"/>
      <c r="GL2156" s="73"/>
      <c r="GM2156" s="73"/>
      <c r="GN2156" s="73"/>
      <c r="GO2156" s="73"/>
      <c r="GP2156" s="73"/>
      <c r="GQ2156" s="73"/>
      <c r="GR2156" s="73"/>
      <c r="GS2156" s="73"/>
      <c r="GT2156" s="73"/>
      <c r="GU2156" s="73"/>
      <c r="GV2156" s="73"/>
      <c r="GW2156" s="73"/>
      <c r="GX2156" s="73"/>
      <c r="GY2156" s="73"/>
      <c r="GZ2156" s="73"/>
      <c r="HA2156" s="73"/>
      <c r="HB2156" s="73"/>
      <c r="HC2156" s="73"/>
      <c r="HD2156" s="73"/>
      <c r="HE2156" s="73"/>
      <c r="HF2156" s="73"/>
      <c r="HG2156" s="73"/>
      <c r="HH2156" s="73"/>
      <c r="HI2156" s="73"/>
      <c r="HJ2156" s="73"/>
      <c r="HK2156" s="73"/>
      <c r="HL2156" s="73"/>
      <c r="HM2156" s="73"/>
      <c r="HN2156" s="73"/>
      <c r="HO2156" s="73"/>
      <c r="HP2156" s="73"/>
      <c r="HQ2156" s="73"/>
      <c r="HR2156" s="73"/>
      <c r="HS2156" s="73"/>
      <c r="HT2156" s="73"/>
      <c r="HU2156" s="73"/>
      <c r="HV2156" s="73"/>
      <c r="HW2156" s="73"/>
      <c r="HX2156" s="73"/>
      <c r="HY2156" s="73"/>
      <c r="HZ2156" s="73"/>
      <c r="IA2156" s="73"/>
      <c r="IB2156" s="73"/>
      <c r="IC2156" s="73"/>
      <c r="ID2156" s="73"/>
      <c r="IE2156" s="73"/>
      <c r="IF2156" s="73"/>
      <c r="IG2156" s="73"/>
      <c r="IH2156" s="73"/>
      <c r="II2156" s="73"/>
      <c r="IJ2156" s="73"/>
      <c r="IK2156" s="73"/>
      <c r="IL2156" s="73"/>
      <c r="IM2156" s="73"/>
      <c r="IN2156" s="73"/>
      <c r="IO2156" s="73"/>
      <c r="IP2156" s="73"/>
      <c r="IQ2156" s="73"/>
      <c r="IR2156" s="73"/>
      <c r="IS2156" s="73"/>
      <c r="IT2156" s="73"/>
      <c r="IU2156" s="73"/>
      <c r="IV2156" s="73"/>
      <c r="IW2156" s="73"/>
      <c r="IX2156" s="73"/>
      <c r="IY2156" s="73"/>
      <c r="IZ2156" s="73"/>
      <c r="JA2156" s="73"/>
      <c r="JB2156" s="73"/>
      <c r="JC2156" s="73"/>
    </row>
    <row r="2157" spans="2:263" s="72" customFormat="1">
      <c r="B2157" s="73"/>
      <c r="C2157" s="73"/>
      <c r="D2157" s="73"/>
      <c r="E2157" s="73"/>
      <c r="F2157" s="73"/>
      <c r="G2157" s="73"/>
      <c r="H2157" s="73"/>
      <c r="I2157" s="73"/>
      <c r="J2157" s="73"/>
      <c r="K2157" s="73"/>
      <c r="L2157" s="73"/>
      <c r="M2157" s="73"/>
      <c r="N2157" s="73"/>
      <c r="O2157" s="73"/>
      <c r="P2157" s="73"/>
      <c r="Q2157" s="73"/>
      <c r="R2157" s="73"/>
      <c r="S2157" s="73"/>
      <c r="T2157" s="73"/>
      <c r="U2157" s="73"/>
      <c r="V2157" s="73"/>
      <c r="W2157" s="73"/>
      <c r="GL2157" s="73"/>
      <c r="GM2157" s="73"/>
      <c r="GN2157" s="73"/>
      <c r="GO2157" s="73"/>
      <c r="GP2157" s="73"/>
      <c r="GQ2157" s="73"/>
      <c r="GR2157" s="73"/>
      <c r="GS2157" s="73"/>
      <c r="GT2157" s="73"/>
      <c r="GU2157" s="73"/>
      <c r="GV2157" s="73"/>
      <c r="GW2157" s="73"/>
      <c r="GX2157" s="73"/>
      <c r="GY2157" s="73"/>
      <c r="GZ2157" s="73"/>
      <c r="HA2157" s="73"/>
      <c r="HB2157" s="73"/>
      <c r="HC2157" s="73"/>
      <c r="HD2157" s="73"/>
      <c r="HE2157" s="73"/>
      <c r="HF2157" s="73"/>
      <c r="HG2157" s="73"/>
      <c r="HH2157" s="73"/>
      <c r="HI2157" s="73"/>
      <c r="HJ2157" s="73"/>
      <c r="HK2157" s="73"/>
      <c r="HL2157" s="73"/>
      <c r="HM2157" s="73"/>
      <c r="HN2157" s="73"/>
      <c r="HO2157" s="73"/>
      <c r="HP2157" s="73"/>
      <c r="HQ2157" s="73"/>
      <c r="HR2157" s="73"/>
      <c r="HS2157" s="73"/>
      <c r="HT2157" s="73"/>
      <c r="HU2157" s="73"/>
      <c r="HV2157" s="73"/>
      <c r="HW2157" s="73"/>
      <c r="HX2157" s="73"/>
      <c r="HY2157" s="73"/>
      <c r="HZ2157" s="73"/>
      <c r="IA2157" s="73"/>
      <c r="IB2157" s="73"/>
      <c r="IC2157" s="73"/>
      <c r="ID2157" s="73"/>
      <c r="IE2157" s="73"/>
      <c r="IF2157" s="73"/>
      <c r="IG2157" s="73"/>
      <c r="IH2157" s="73"/>
      <c r="II2157" s="73"/>
      <c r="IJ2157" s="73"/>
      <c r="IK2157" s="73"/>
      <c r="IL2157" s="73"/>
      <c r="IM2157" s="73"/>
      <c r="IN2157" s="73"/>
      <c r="IO2157" s="73"/>
      <c r="IP2157" s="73"/>
      <c r="IQ2157" s="73"/>
      <c r="IR2157" s="73"/>
      <c r="IS2157" s="73"/>
      <c r="IT2157" s="73"/>
      <c r="IU2157" s="73"/>
      <c r="IV2157" s="73"/>
      <c r="IW2157" s="73"/>
      <c r="IX2157" s="73"/>
      <c r="IY2157" s="73"/>
      <c r="IZ2157" s="73"/>
      <c r="JA2157" s="73"/>
      <c r="JB2157" s="73"/>
      <c r="JC2157" s="73"/>
    </row>
    <row r="2158" spans="2:263" s="72" customFormat="1">
      <c r="B2158" s="73"/>
      <c r="C2158" s="73"/>
      <c r="D2158" s="73"/>
      <c r="E2158" s="73"/>
      <c r="F2158" s="73"/>
      <c r="G2158" s="73"/>
      <c r="H2158" s="73"/>
      <c r="I2158" s="73"/>
      <c r="J2158" s="73"/>
      <c r="K2158" s="73"/>
      <c r="L2158" s="73"/>
      <c r="M2158" s="73"/>
      <c r="N2158" s="73"/>
      <c r="O2158" s="73"/>
      <c r="P2158" s="73"/>
      <c r="Q2158" s="73"/>
      <c r="R2158" s="73"/>
      <c r="S2158" s="73"/>
      <c r="T2158" s="73"/>
      <c r="U2158" s="73"/>
      <c r="V2158" s="73"/>
      <c r="W2158" s="73"/>
      <c r="GL2158" s="73"/>
      <c r="GM2158" s="73"/>
      <c r="GN2158" s="73"/>
      <c r="GO2158" s="73"/>
      <c r="GP2158" s="73"/>
      <c r="GQ2158" s="73"/>
      <c r="GR2158" s="73"/>
      <c r="GS2158" s="73"/>
      <c r="GT2158" s="73"/>
      <c r="GU2158" s="73"/>
      <c r="GV2158" s="73"/>
      <c r="GW2158" s="73"/>
      <c r="GX2158" s="73"/>
      <c r="GY2158" s="73"/>
      <c r="GZ2158" s="73"/>
      <c r="HA2158" s="73"/>
      <c r="HB2158" s="73"/>
      <c r="HC2158" s="73"/>
      <c r="HD2158" s="73"/>
      <c r="HE2158" s="73"/>
      <c r="HF2158" s="73"/>
      <c r="HG2158" s="73"/>
      <c r="HH2158" s="73"/>
      <c r="HI2158" s="73"/>
      <c r="HJ2158" s="73"/>
      <c r="HK2158" s="73"/>
      <c r="HL2158" s="73"/>
      <c r="HM2158" s="73"/>
      <c r="HN2158" s="73"/>
      <c r="HO2158" s="73"/>
      <c r="HP2158" s="73"/>
      <c r="HQ2158" s="73"/>
      <c r="HR2158" s="73"/>
      <c r="HS2158" s="73"/>
      <c r="HT2158" s="73"/>
      <c r="HU2158" s="73"/>
      <c r="HV2158" s="73"/>
      <c r="HW2158" s="73"/>
      <c r="HX2158" s="73"/>
      <c r="HY2158" s="73"/>
      <c r="HZ2158" s="73"/>
      <c r="IA2158" s="73"/>
      <c r="IB2158" s="73"/>
      <c r="IC2158" s="73"/>
      <c r="ID2158" s="73"/>
      <c r="IE2158" s="73"/>
      <c r="IF2158" s="73"/>
      <c r="IG2158" s="73"/>
      <c r="IH2158" s="73"/>
      <c r="II2158" s="73"/>
      <c r="IJ2158" s="73"/>
      <c r="IK2158" s="73"/>
      <c r="IL2158" s="73"/>
      <c r="IM2158" s="73"/>
      <c r="IN2158" s="73"/>
      <c r="IO2158" s="73"/>
      <c r="IP2158" s="73"/>
      <c r="IQ2158" s="73"/>
      <c r="IR2158" s="73"/>
      <c r="IS2158" s="73"/>
      <c r="IT2158" s="73"/>
      <c r="IU2158" s="73"/>
      <c r="IV2158" s="73"/>
      <c r="IW2158" s="73"/>
      <c r="IX2158" s="73"/>
      <c r="IY2158" s="73"/>
      <c r="IZ2158" s="73"/>
      <c r="JA2158" s="73"/>
      <c r="JB2158" s="73"/>
      <c r="JC2158" s="73"/>
    </row>
    <row r="2159" spans="2:263" s="72" customFormat="1">
      <c r="B2159" s="73"/>
      <c r="C2159" s="73"/>
      <c r="D2159" s="73"/>
      <c r="E2159" s="73"/>
      <c r="F2159" s="73"/>
      <c r="G2159" s="73"/>
      <c r="H2159" s="73"/>
      <c r="I2159" s="73"/>
      <c r="J2159" s="73"/>
      <c r="K2159" s="73"/>
      <c r="L2159" s="73"/>
      <c r="M2159" s="73"/>
      <c r="N2159" s="73"/>
      <c r="O2159" s="73"/>
      <c r="P2159" s="73"/>
      <c r="Q2159" s="73"/>
      <c r="R2159" s="73"/>
      <c r="S2159" s="73"/>
      <c r="T2159" s="73"/>
      <c r="U2159" s="73"/>
      <c r="V2159" s="73"/>
      <c r="W2159" s="73"/>
      <c r="GL2159" s="73"/>
      <c r="GM2159" s="73"/>
      <c r="GN2159" s="73"/>
      <c r="GO2159" s="73"/>
      <c r="GP2159" s="73"/>
      <c r="GQ2159" s="73"/>
      <c r="GR2159" s="73"/>
      <c r="GS2159" s="73"/>
      <c r="GT2159" s="73"/>
      <c r="GU2159" s="73"/>
      <c r="GV2159" s="73"/>
      <c r="GW2159" s="73"/>
      <c r="GX2159" s="73"/>
      <c r="GY2159" s="73"/>
      <c r="GZ2159" s="73"/>
      <c r="HA2159" s="73"/>
      <c r="HB2159" s="73"/>
      <c r="HC2159" s="73"/>
      <c r="HD2159" s="73"/>
      <c r="HE2159" s="73"/>
      <c r="HF2159" s="73"/>
      <c r="HG2159" s="73"/>
      <c r="HH2159" s="73"/>
      <c r="HI2159" s="73"/>
      <c r="HJ2159" s="73"/>
      <c r="HK2159" s="73"/>
      <c r="HL2159" s="73"/>
      <c r="HM2159" s="73"/>
      <c r="HN2159" s="73"/>
      <c r="HO2159" s="73"/>
      <c r="HP2159" s="73"/>
      <c r="HQ2159" s="73"/>
      <c r="HR2159" s="73"/>
      <c r="HS2159" s="73"/>
      <c r="HT2159" s="73"/>
      <c r="HU2159" s="73"/>
      <c r="HV2159" s="73"/>
      <c r="HW2159" s="73"/>
      <c r="HX2159" s="73"/>
      <c r="HY2159" s="73"/>
      <c r="HZ2159" s="73"/>
      <c r="IA2159" s="73"/>
      <c r="IB2159" s="73"/>
      <c r="IC2159" s="73"/>
      <c r="ID2159" s="73"/>
      <c r="IE2159" s="73"/>
      <c r="IF2159" s="73"/>
      <c r="IG2159" s="73"/>
      <c r="IH2159" s="73"/>
      <c r="II2159" s="73"/>
      <c r="IJ2159" s="73"/>
      <c r="IK2159" s="73"/>
      <c r="IL2159" s="73"/>
      <c r="IM2159" s="73"/>
      <c r="IN2159" s="73"/>
      <c r="IO2159" s="73"/>
      <c r="IP2159" s="73"/>
      <c r="IQ2159" s="73"/>
      <c r="IR2159" s="73"/>
      <c r="IS2159" s="73"/>
      <c r="IT2159" s="73"/>
      <c r="IU2159" s="73"/>
      <c r="IV2159" s="73"/>
      <c r="IW2159" s="73"/>
      <c r="IX2159" s="73"/>
      <c r="IY2159" s="73"/>
      <c r="IZ2159" s="73"/>
      <c r="JA2159" s="73"/>
      <c r="JB2159" s="73"/>
      <c r="JC2159" s="73"/>
    </row>
    <row r="2160" spans="2:263" s="72" customFormat="1">
      <c r="B2160" s="73"/>
      <c r="C2160" s="73"/>
      <c r="D2160" s="73"/>
      <c r="E2160" s="73"/>
      <c r="F2160" s="73"/>
      <c r="G2160" s="73"/>
      <c r="H2160" s="73"/>
      <c r="I2160" s="73"/>
      <c r="J2160" s="73"/>
      <c r="K2160" s="73"/>
      <c r="L2160" s="73"/>
      <c r="M2160" s="73"/>
      <c r="N2160" s="73"/>
      <c r="O2160" s="73"/>
      <c r="P2160" s="73"/>
      <c r="Q2160" s="73"/>
      <c r="R2160" s="73"/>
      <c r="S2160" s="73"/>
      <c r="T2160" s="73"/>
      <c r="U2160" s="73"/>
      <c r="V2160" s="73"/>
      <c r="W2160" s="73"/>
      <c r="GL2160" s="73"/>
      <c r="GM2160" s="73"/>
      <c r="GN2160" s="73"/>
      <c r="GO2160" s="73"/>
      <c r="GP2160" s="73"/>
      <c r="GQ2160" s="73"/>
      <c r="GR2160" s="73"/>
      <c r="GS2160" s="73"/>
      <c r="GT2160" s="73"/>
      <c r="GU2160" s="73"/>
      <c r="GV2160" s="73"/>
      <c r="GW2160" s="73"/>
      <c r="GX2160" s="73"/>
      <c r="GY2160" s="73"/>
      <c r="GZ2160" s="73"/>
      <c r="HA2160" s="73"/>
      <c r="HB2160" s="73"/>
      <c r="HC2160" s="73"/>
      <c r="HD2160" s="73"/>
      <c r="HE2160" s="73"/>
      <c r="HF2160" s="73"/>
      <c r="HG2160" s="73"/>
      <c r="HH2160" s="73"/>
      <c r="HI2160" s="73"/>
      <c r="HJ2160" s="73"/>
      <c r="HK2160" s="73"/>
      <c r="HL2160" s="73"/>
      <c r="HM2160" s="73"/>
      <c r="HN2160" s="73"/>
      <c r="HO2160" s="73"/>
      <c r="HP2160" s="73"/>
      <c r="HQ2160" s="73"/>
      <c r="HR2160" s="73"/>
      <c r="HS2160" s="73"/>
      <c r="HT2160" s="73"/>
      <c r="HU2160" s="73"/>
      <c r="HV2160" s="73"/>
      <c r="HW2160" s="73"/>
      <c r="HX2160" s="73"/>
      <c r="HY2160" s="73"/>
      <c r="HZ2160" s="73"/>
      <c r="IA2160" s="73"/>
      <c r="IB2160" s="73"/>
      <c r="IC2160" s="73"/>
      <c r="ID2160" s="73"/>
      <c r="IE2160" s="73"/>
      <c r="IF2160" s="73"/>
      <c r="IG2160" s="73"/>
      <c r="IH2160" s="73"/>
      <c r="II2160" s="73"/>
      <c r="IJ2160" s="73"/>
      <c r="IK2160" s="73"/>
      <c r="IL2160" s="73"/>
      <c r="IM2160" s="73"/>
      <c r="IN2160" s="73"/>
      <c r="IO2160" s="73"/>
      <c r="IP2160" s="73"/>
      <c r="IQ2160" s="73"/>
      <c r="IR2160" s="73"/>
      <c r="IS2160" s="73"/>
      <c r="IT2160" s="73"/>
      <c r="IU2160" s="73"/>
      <c r="IV2160" s="73"/>
      <c r="IW2160" s="73"/>
      <c r="IX2160" s="73"/>
      <c r="IY2160" s="73"/>
      <c r="IZ2160" s="73"/>
      <c r="JA2160" s="73"/>
      <c r="JB2160" s="73"/>
      <c r="JC2160" s="73"/>
    </row>
    <row r="2161" spans="2:263" s="72" customFormat="1">
      <c r="B2161" s="73"/>
      <c r="C2161" s="73"/>
      <c r="D2161" s="73"/>
      <c r="E2161" s="73"/>
      <c r="F2161" s="73"/>
      <c r="G2161" s="73"/>
      <c r="H2161" s="73"/>
      <c r="I2161" s="73"/>
      <c r="J2161" s="73"/>
      <c r="K2161" s="73"/>
      <c r="L2161" s="73"/>
      <c r="M2161" s="73"/>
      <c r="N2161" s="73"/>
      <c r="O2161" s="73"/>
      <c r="P2161" s="73"/>
      <c r="Q2161" s="73"/>
      <c r="R2161" s="73"/>
      <c r="S2161" s="73"/>
      <c r="T2161" s="73"/>
      <c r="U2161" s="73"/>
      <c r="V2161" s="73"/>
      <c r="W2161" s="73"/>
      <c r="GL2161" s="73"/>
      <c r="GM2161" s="73"/>
      <c r="GN2161" s="73"/>
      <c r="GO2161" s="73"/>
      <c r="GP2161" s="73"/>
      <c r="GQ2161" s="73"/>
      <c r="GR2161" s="73"/>
      <c r="GS2161" s="73"/>
      <c r="GT2161" s="73"/>
      <c r="GU2161" s="73"/>
      <c r="GV2161" s="73"/>
      <c r="GW2161" s="73"/>
      <c r="GX2161" s="73"/>
      <c r="GY2161" s="73"/>
      <c r="GZ2161" s="73"/>
      <c r="HA2161" s="73"/>
      <c r="HB2161" s="73"/>
      <c r="HC2161" s="73"/>
      <c r="HD2161" s="73"/>
      <c r="HE2161" s="73"/>
      <c r="HF2161" s="73"/>
      <c r="HG2161" s="73"/>
      <c r="HH2161" s="73"/>
      <c r="HI2161" s="73"/>
      <c r="HJ2161" s="73"/>
      <c r="HK2161" s="73"/>
      <c r="HL2161" s="73"/>
      <c r="HM2161" s="73"/>
      <c r="HN2161" s="73"/>
      <c r="HO2161" s="73"/>
      <c r="HP2161" s="73"/>
      <c r="HQ2161" s="73"/>
      <c r="HR2161" s="73"/>
      <c r="HS2161" s="73"/>
      <c r="HT2161" s="73"/>
      <c r="HU2161" s="73"/>
      <c r="HV2161" s="73"/>
      <c r="HW2161" s="73"/>
      <c r="HX2161" s="73"/>
      <c r="HY2161" s="73"/>
      <c r="HZ2161" s="73"/>
      <c r="IA2161" s="73"/>
      <c r="IB2161" s="73"/>
      <c r="IC2161" s="73"/>
      <c r="ID2161" s="73"/>
      <c r="IE2161" s="73"/>
      <c r="IF2161" s="73"/>
      <c r="IG2161" s="73"/>
      <c r="IH2161" s="73"/>
      <c r="II2161" s="73"/>
      <c r="IJ2161" s="73"/>
      <c r="IK2161" s="73"/>
      <c r="IL2161" s="73"/>
      <c r="IM2161" s="73"/>
      <c r="IN2161" s="73"/>
      <c r="IO2161" s="73"/>
      <c r="IP2161" s="73"/>
      <c r="IQ2161" s="73"/>
      <c r="IR2161" s="73"/>
      <c r="IS2161" s="73"/>
      <c r="IT2161" s="73"/>
      <c r="IU2161" s="73"/>
      <c r="IV2161" s="73"/>
      <c r="IW2161" s="73"/>
      <c r="IX2161" s="73"/>
      <c r="IY2161" s="73"/>
      <c r="IZ2161" s="73"/>
      <c r="JA2161" s="73"/>
      <c r="JB2161" s="73"/>
      <c r="JC2161" s="73"/>
    </row>
    <row r="2162" spans="2:263" s="72" customFormat="1">
      <c r="B2162" s="73"/>
      <c r="C2162" s="73"/>
      <c r="D2162" s="73"/>
      <c r="E2162" s="73"/>
      <c r="F2162" s="73"/>
      <c r="G2162" s="73"/>
      <c r="H2162" s="73"/>
      <c r="I2162" s="73"/>
      <c r="J2162" s="73"/>
      <c r="K2162" s="73"/>
      <c r="L2162" s="73"/>
      <c r="M2162" s="73"/>
      <c r="N2162" s="73"/>
      <c r="O2162" s="73"/>
      <c r="P2162" s="73"/>
      <c r="Q2162" s="73"/>
      <c r="R2162" s="73"/>
      <c r="S2162" s="73"/>
      <c r="T2162" s="73"/>
      <c r="U2162" s="73"/>
      <c r="V2162" s="73"/>
      <c r="W2162" s="73"/>
      <c r="GL2162" s="73"/>
      <c r="GM2162" s="73"/>
      <c r="GN2162" s="73"/>
      <c r="GO2162" s="73"/>
      <c r="GP2162" s="73"/>
      <c r="GQ2162" s="73"/>
      <c r="GR2162" s="73"/>
      <c r="GS2162" s="73"/>
      <c r="GT2162" s="73"/>
      <c r="GU2162" s="73"/>
      <c r="GV2162" s="73"/>
      <c r="GW2162" s="73"/>
      <c r="GX2162" s="73"/>
      <c r="GY2162" s="73"/>
      <c r="GZ2162" s="73"/>
      <c r="HA2162" s="73"/>
      <c r="HB2162" s="73"/>
      <c r="HC2162" s="73"/>
      <c r="HD2162" s="73"/>
      <c r="HE2162" s="73"/>
      <c r="HF2162" s="73"/>
      <c r="HG2162" s="73"/>
      <c r="HH2162" s="73"/>
      <c r="HI2162" s="73"/>
      <c r="HJ2162" s="73"/>
      <c r="HK2162" s="73"/>
      <c r="HL2162" s="73"/>
      <c r="HM2162" s="73"/>
      <c r="HN2162" s="73"/>
      <c r="HO2162" s="73"/>
      <c r="HP2162" s="73"/>
      <c r="HQ2162" s="73"/>
      <c r="HR2162" s="73"/>
      <c r="HS2162" s="73"/>
      <c r="HT2162" s="73"/>
      <c r="HU2162" s="73"/>
      <c r="HV2162" s="73"/>
      <c r="HW2162" s="73"/>
      <c r="HX2162" s="73"/>
      <c r="HY2162" s="73"/>
      <c r="HZ2162" s="73"/>
      <c r="IA2162" s="73"/>
      <c r="IB2162" s="73"/>
      <c r="IC2162" s="73"/>
      <c r="ID2162" s="73"/>
      <c r="IE2162" s="73"/>
      <c r="IF2162" s="73"/>
      <c r="IG2162" s="73"/>
      <c r="IH2162" s="73"/>
      <c r="II2162" s="73"/>
      <c r="IJ2162" s="73"/>
      <c r="IK2162" s="73"/>
      <c r="IL2162" s="73"/>
      <c r="IM2162" s="73"/>
      <c r="IN2162" s="73"/>
      <c r="IO2162" s="73"/>
      <c r="IP2162" s="73"/>
      <c r="IQ2162" s="73"/>
      <c r="IR2162" s="73"/>
      <c r="IS2162" s="73"/>
      <c r="IT2162" s="73"/>
      <c r="IU2162" s="73"/>
      <c r="IV2162" s="73"/>
      <c r="IW2162" s="73"/>
      <c r="IX2162" s="73"/>
      <c r="IY2162" s="73"/>
      <c r="IZ2162" s="73"/>
      <c r="JA2162" s="73"/>
      <c r="JB2162" s="73"/>
      <c r="JC2162" s="73"/>
    </row>
    <row r="2163" spans="2:263" s="72" customFormat="1">
      <c r="B2163" s="73"/>
      <c r="C2163" s="73"/>
      <c r="D2163" s="73"/>
      <c r="E2163" s="73"/>
      <c r="F2163" s="73"/>
      <c r="G2163" s="73"/>
      <c r="H2163" s="73"/>
      <c r="I2163" s="73"/>
      <c r="J2163" s="73"/>
      <c r="K2163" s="73"/>
      <c r="L2163" s="73"/>
      <c r="M2163" s="73"/>
      <c r="N2163" s="73"/>
      <c r="O2163" s="73"/>
      <c r="P2163" s="73"/>
      <c r="Q2163" s="73"/>
      <c r="R2163" s="73"/>
      <c r="S2163" s="73"/>
      <c r="T2163" s="73"/>
      <c r="U2163" s="73"/>
      <c r="V2163" s="73"/>
      <c r="W2163" s="73"/>
      <c r="GL2163" s="73"/>
      <c r="GM2163" s="73"/>
      <c r="GN2163" s="73"/>
      <c r="GO2163" s="73"/>
      <c r="GP2163" s="73"/>
      <c r="GQ2163" s="73"/>
      <c r="GR2163" s="73"/>
      <c r="GS2163" s="73"/>
      <c r="GT2163" s="73"/>
      <c r="GU2163" s="73"/>
      <c r="GV2163" s="73"/>
      <c r="GW2163" s="73"/>
      <c r="GX2163" s="73"/>
      <c r="GY2163" s="73"/>
      <c r="GZ2163" s="73"/>
      <c r="HA2163" s="73"/>
      <c r="HB2163" s="73"/>
      <c r="HC2163" s="73"/>
      <c r="HD2163" s="73"/>
      <c r="HE2163" s="73"/>
      <c r="HF2163" s="73"/>
      <c r="HG2163" s="73"/>
      <c r="HH2163" s="73"/>
      <c r="HI2163" s="73"/>
      <c r="HJ2163" s="73"/>
      <c r="HK2163" s="73"/>
      <c r="HL2163" s="73"/>
      <c r="HM2163" s="73"/>
      <c r="HN2163" s="73"/>
      <c r="HO2163" s="73"/>
      <c r="HP2163" s="73"/>
      <c r="HQ2163" s="73"/>
      <c r="HR2163" s="73"/>
      <c r="HS2163" s="73"/>
      <c r="HT2163" s="73"/>
      <c r="HU2163" s="73"/>
      <c r="HV2163" s="73"/>
      <c r="HW2163" s="73"/>
      <c r="HX2163" s="73"/>
      <c r="HY2163" s="73"/>
      <c r="HZ2163" s="73"/>
      <c r="IA2163" s="73"/>
      <c r="IB2163" s="73"/>
      <c r="IC2163" s="73"/>
      <c r="ID2163" s="73"/>
      <c r="IE2163" s="73"/>
      <c r="IF2163" s="73"/>
      <c r="IG2163" s="73"/>
      <c r="IH2163" s="73"/>
      <c r="II2163" s="73"/>
      <c r="IJ2163" s="73"/>
      <c r="IK2163" s="73"/>
      <c r="IL2163" s="73"/>
      <c r="IM2163" s="73"/>
      <c r="IN2163" s="73"/>
      <c r="IO2163" s="73"/>
      <c r="IP2163" s="73"/>
      <c r="IQ2163" s="73"/>
      <c r="IR2163" s="73"/>
      <c r="IS2163" s="73"/>
      <c r="IT2163" s="73"/>
      <c r="IU2163" s="73"/>
      <c r="IV2163" s="73"/>
      <c r="IW2163" s="73"/>
      <c r="IX2163" s="73"/>
      <c r="IY2163" s="73"/>
      <c r="IZ2163" s="73"/>
      <c r="JA2163" s="73"/>
      <c r="JB2163" s="73"/>
      <c r="JC2163" s="73"/>
    </row>
    <row r="2164" spans="2:263" s="72" customFormat="1">
      <c r="B2164" s="73"/>
      <c r="C2164" s="73"/>
      <c r="D2164" s="73"/>
      <c r="E2164" s="73"/>
      <c r="F2164" s="73"/>
      <c r="G2164" s="73"/>
      <c r="H2164" s="73"/>
      <c r="I2164" s="73"/>
      <c r="J2164" s="73"/>
      <c r="K2164" s="73"/>
      <c r="L2164" s="73"/>
      <c r="M2164" s="73"/>
      <c r="N2164" s="73"/>
      <c r="O2164" s="73"/>
      <c r="P2164" s="73"/>
      <c r="Q2164" s="73"/>
      <c r="R2164" s="73"/>
      <c r="S2164" s="73"/>
      <c r="T2164" s="73"/>
      <c r="U2164" s="73"/>
      <c r="V2164" s="73"/>
      <c r="W2164" s="73"/>
      <c r="GL2164" s="73"/>
      <c r="GM2164" s="73"/>
      <c r="GN2164" s="73"/>
      <c r="GO2164" s="73"/>
      <c r="GP2164" s="73"/>
      <c r="GQ2164" s="73"/>
      <c r="GR2164" s="73"/>
      <c r="GS2164" s="73"/>
      <c r="GT2164" s="73"/>
      <c r="GU2164" s="73"/>
      <c r="GV2164" s="73"/>
      <c r="GW2164" s="73"/>
      <c r="GX2164" s="73"/>
      <c r="GY2164" s="73"/>
      <c r="GZ2164" s="73"/>
      <c r="HA2164" s="73"/>
      <c r="HB2164" s="73"/>
      <c r="HC2164" s="73"/>
      <c r="HD2164" s="73"/>
      <c r="HE2164" s="73"/>
      <c r="HF2164" s="73"/>
      <c r="HG2164" s="73"/>
      <c r="HH2164" s="73"/>
      <c r="HI2164" s="73"/>
      <c r="HJ2164" s="73"/>
      <c r="HK2164" s="73"/>
      <c r="HL2164" s="73"/>
      <c r="HM2164" s="73"/>
      <c r="HN2164" s="73"/>
      <c r="HO2164" s="73"/>
      <c r="HP2164" s="73"/>
      <c r="HQ2164" s="73"/>
      <c r="HR2164" s="73"/>
      <c r="HS2164" s="73"/>
      <c r="HT2164" s="73"/>
      <c r="HU2164" s="73"/>
      <c r="HV2164" s="73"/>
      <c r="HW2164" s="73"/>
      <c r="HX2164" s="73"/>
      <c r="HY2164" s="73"/>
      <c r="HZ2164" s="73"/>
      <c r="IA2164" s="73"/>
      <c r="IB2164" s="73"/>
      <c r="IC2164" s="73"/>
      <c r="ID2164" s="73"/>
      <c r="IE2164" s="73"/>
      <c r="IF2164" s="73"/>
      <c r="IG2164" s="73"/>
      <c r="IH2164" s="73"/>
      <c r="II2164" s="73"/>
      <c r="IJ2164" s="73"/>
      <c r="IK2164" s="73"/>
      <c r="IL2164" s="73"/>
      <c r="IM2164" s="73"/>
      <c r="IN2164" s="73"/>
      <c r="IO2164" s="73"/>
      <c r="IP2164" s="73"/>
      <c r="IQ2164" s="73"/>
      <c r="IR2164" s="73"/>
      <c r="IS2164" s="73"/>
      <c r="IT2164" s="73"/>
      <c r="IU2164" s="73"/>
      <c r="IV2164" s="73"/>
      <c r="IW2164" s="73"/>
      <c r="IX2164" s="73"/>
      <c r="IY2164" s="73"/>
      <c r="IZ2164" s="73"/>
      <c r="JA2164" s="73"/>
      <c r="JB2164" s="73"/>
      <c r="JC2164" s="73"/>
    </row>
    <row r="2165" spans="2:263" s="72" customFormat="1">
      <c r="B2165" s="73"/>
      <c r="C2165" s="73"/>
      <c r="D2165" s="73"/>
      <c r="E2165" s="73"/>
      <c r="F2165" s="73"/>
      <c r="G2165" s="73"/>
      <c r="H2165" s="73"/>
      <c r="I2165" s="73"/>
      <c r="J2165" s="73"/>
      <c r="K2165" s="73"/>
      <c r="L2165" s="73"/>
      <c r="M2165" s="73"/>
      <c r="N2165" s="73"/>
      <c r="O2165" s="73"/>
      <c r="P2165" s="73"/>
      <c r="Q2165" s="73"/>
      <c r="R2165" s="73"/>
      <c r="S2165" s="73"/>
      <c r="T2165" s="73"/>
      <c r="U2165" s="73"/>
      <c r="V2165" s="73"/>
      <c r="W2165" s="73"/>
      <c r="GL2165" s="73"/>
      <c r="GM2165" s="73"/>
      <c r="GN2165" s="73"/>
      <c r="GO2165" s="73"/>
      <c r="GP2165" s="73"/>
      <c r="GQ2165" s="73"/>
      <c r="GR2165" s="73"/>
      <c r="GS2165" s="73"/>
      <c r="GT2165" s="73"/>
      <c r="GU2165" s="73"/>
      <c r="GV2165" s="73"/>
      <c r="GW2165" s="73"/>
      <c r="GX2165" s="73"/>
      <c r="GY2165" s="73"/>
      <c r="GZ2165" s="73"/>
      <c r="HA2165" s="73"/>
      <c r="HB2165" s="73"/>
      <c r="HC2165" s="73"/>
      <c r="HD2165" s="73"/>
      <c r="HE2165" s="73"/>
      <c r="HF2165" s="73"/>
      <c r="HG2165" s="73"/>
      <c r="HH2165" s="73"/>
      <c r="HI2165" s="73"/>
      <c r="HJ2165" s="73"/>
      <c r="HK2165" s="73"/>
      <c r="HL2165" s="73"/>
      <c r="HM2165" s="73"/>
      <c r="HN2165" s="73"/>
      <c r="HO2165" s="73"/>
      <c r="HP2165" s="73"/>
      <c r="HQ2165" s="73"/>
      <c r="HR2165" s="73"/>
      <c r="HS2165" s="73"/>
      <c r="HT2165" s="73"/>
      <c r="HU2165" s="73"/>
      <c r="HV2165" s="73"/>
      <c r="HW2165" s="73"/>
      <c r="HX2165" s="73"/>
      <c r="HY2165" s="73"/>
      <c r="HZ2165" s="73"/>
      <c r="IA2165" s="73"/>
      <c r="IB2165" s="73"/>
      <c r="IC2165" s="73"/>
      <c r="ID2165" s="73"/>
      <c r="IE2165" s="73"/>
      <c r="IF2165" s="73"/>
      <c r="IG2165" s="73"/>
      <c r="IH2165" s="73"/>
      <c r="II2165" s="73"/>
      <c r="IJ2165" s="73"/>
      <c r="IK2165" s="73"/>
      <c r="IL2165" s="73"/>
      <c r="IM2165" s="73"/>
      <c r="IN2165" s="73"/>
      <c r="IO2165" s="73"/>
      <c r="IP2165" s="73"/>
      <c r="IQ2165" s="73"/>
      <c r="IR2165" s="73"/>
      <c r="IS2165" s="73"/>
      <c r="IT2165" s="73"/>
      <c r="IU2165" s="73"/>
      <c r="IV2165" s="73"/>
      <c r="IW2165" s="73"/>
      <c r="IX2165" s="73"/>
      <c r="IY2165" s="73"/>
      <c r="IZ2165" s="73"/>
      <c r="JA2165" s="73"/>
      <c r="JB2165" s="73"/>
      <c r="JC2165" s="73"/>
    </row>
    <row r="2166" spans="2:263" s="72" customFormat="1">
      <c r="B2166" s="73"/>
      <c r="C2166" s="73"/>
      <c r="D2166" s="73"/>
      <c r="E2166" s="73"/>
      <c r="F2166" s="73"/>
      <c r="G2166" s="73"/>
      <c r="H2166" s="73"/>
      <c r="I2166" s="73"/>
      <c r="J2166" s="73"/>
      <c r="K2166" s="73"/>
      <c r="L2166" s="73"/>
      <c r="M2166" s="73"/>
      <c r="N2166" s="73"/>
      <c r="O2166" s="73"/>
      <c r="P2166" s="73"/>
      <c r="Q2166" s="73"/>
      <c r="R2166" s="73"/>
      <c r="S2166" s="73"/>
      <c r="T2166" s="73"/>
      <c r="U2166" s="73"/>
      <c r="V2166" s="73"/>
      <c r="W2166" s="73"/>
      <c r="GL2166" s="73"/>
      <c r="GM2166" s="73"/>
      <c r="GN2166" s="73"/>
      <c r="GO2166" s="73"/>
      <c r="GP2166" s="73"/>
      <c r="GQ2166" s="73"/>
      <c r="GR2166" s="73"/>
      <c r="GS2166" s="73"/>
      <c r="GT2166" s="73"/>
      <c r="GU2166" s="73"/>
      <c r="GV2166" s="73"/>
      <c r="GW2166" s="73"/>
      <c r="GX2166" s="73"/>
      <c r="GY2166" s="73"/>
      <c r="GZ2166" s="73"/>
      <c r="HA2166" s="73"/>
      <c r="HB2166" s="73"/>
      <c r="HC2166" s="73"/>
      <c r="HD2166" s="73"/>
      <c r="HE2166" s="73"/>
      <c r="HF2166" s="73"/>
      <c r="HG2166" s="73"/>
      <c r="HH2166" s="73"/>
      <c r="HI2166" s="73"/>
      <c r="HJ2166" s="73"/>
      <c r="HK2166" s="73"/>
      <c r="HL2166" s="73"/>
      <c r="HM2166" s="73"/>
      <c r="HN2166" s="73"/>
      <c r="HO2166" s="73"/>
      <c r="HP2166" s="73"/>
      <c r="HQ2166" s="73"/>
      <c r="HR2166" s="73"/>
      <c r="HS2166" s="73"/>
      <c r="HT2166" s="73"/>
      <c r="HU2166" s="73"/>
      <c r="HV2166" s="73"/>
      <c r="HW2166" s="73"/>
      <c r="HX2166" s="73"/>
      <c r="HY2166" s="73"/>
      <c r="HZ2166" s="73"/>
      <c r="IA2166" s="73"/>
      <c r="IB2166" s="73"/>
      <c r="IC2166" s="73"/>
      <c r="ID2166" s="73"/>
      <c r="IE2166" s="73"/>
      <c r="IF2166" s="73"/>
      <c r="IG2166" s="73"/>
      <c r="IH2166" s="73"/>
      <c r="II2166" s="73"/>
      <c r="IJ2166" s="73"/>
      <c r="IK2166" s="73"/>
      <c r="IL2166" s="73"/>
      <c r="IM2166" s="73"/>
      <c r="IN2166" s="73"/>
      <c r="IO2166" s="73"/>
      <c r="IP2166" s="73"/>
      <c r="IQ2166" s="73"/>
      <c r="IR2166" s="73"/>
      <c r="IS2166" s="73"/>
      <c r="IT2166" s="73"/>
      <c r="IU2166" s="73"/>
      <c r="IV2166" s="73"/>
      <c r="IW2166" s="73"/>
      <c r="IX2166" s="73"/>
      <c r="IY2166" s="73"/>
      <c r="IZ2166" s="73"/>
      <c r="JA2166" s="73"/>
      <c r="JB2166" s="73"/>
      <c r="JC2166" s="73"/>
    </row>
    <row r="2167" spans="2:263" s="72" customFormat="1">
      <c r="B2167" s="73"/>
      <c r="C2167" s="73"/>
      <c r="D2167" s="73"/>
      <c r="E2167" s="73"/>
      <c r="F2167" s="73"/>
      <c r="G2167" s="73"/>
      <c r="H2167" s="73"/>
      <c r="I2167" s="73"/>
      <c r="J2167" s="73"/>
      <c r="K2167" s="73"/>
      <c r="L2167" s="73"/>
      <c r="M2167" s="73"/>
      <c r="N2167" s="73"/>
      <c r="O2167" s="73"/>
      <c r="P2167" s="73"/>
      <c r="Q2167" s="73"/>
      <c r="R2167" s="73"/>
      <c r="S2167" s="73"/>
      <c r="T2167" s="73"/>
      <c r="U2167" s="73"/>
      <c r="V2167" s="73"/>
      <c r="W2167" s="73"/>
      <c r="GL2167" s="73"/>
      <c r="GM2167" s="73"/>
      <c r="GN2167" s="73"/>
      <c r="GO2167" s="73"/>
      <c r="GP2167" s="73"/>
      <c r="GQ2167" s="73"/>
      <c r="GR2167" s="73"/>
      <c r="GS2167" s="73"/>
      <c r="GT2167" s="73"/>
      <c r="GU2167" s="73"/>
      <c r="GV2167" s="73"/>
      <c r="GW2167" s="73"/>
      <c r="GX2167" s="73"/>
      <c r="GY2167" s="73"/>
      <c r="GZ2167" s="73"/>
      <c r="HA2167" s="73"/>
      <c r="HB2167" s="73"/>
      <c r="HC2167" s="73"/>
      <c r="HD2167" s="73"/>
      <c r="HE2167" s="73"/>
      <c r="HF2167" s="73"/>
      <c r="HG2167" s="73"/>
      <c r="HH2167" s="73"/>
      <c r="HI2167" s="73"/>
      <c r="HJ2167" s="73"/>
      <c r="HK2167" s="73"/>
      <c r="HL2167" s="73"/>
      <c r="HM2167" s="73"/>
      <c r="HN2167" s="73"/>
      <c r="HO2167" s="73"/>
      <c r="HP2167" s="73"/>
      <c r="HQ2167" s="73"/>
      <c r="HR2167" s="73"/>
      <c r="HS2167" s="73"/>
      <c r="HT2167" s="73"/>
      <c r="HU2167" s="73"/>
      <c r="HV2167" s="73"/>
      <c r="HW2167" s="73"/>
      <c r="HX2167" s="73"/>
      <c r="HY2167" s="73"/>
      <c r="HZ2167" s="73"/>
      <c r="IA2167" s="73"/>
      <c r="IB2167" s="73"/>
      <c r="IC2167" s="73"/>
      <c r="ID2167" s="73"/>
      <c r="IE2167" s="73"/>
      <c r="IF2167" s="73"/>
      <c r="IG2167" s="73"/>
      <c r="IH2167" s="73"/>
      <c r="II2167" s="73"/>
      <c r="IJ2167" s="73"/>
      <c r="IK2167" s="73"/>
      <c r="IL2167" s="73"/>
      <c r="IM2167" s="73"/>
      <c r="IN2167" s="73"/>
      <c r="IO2167" s="73"/>
      <c r="IP2167" s="73"/>
      <c r="IQ2167" s="73"/>
      <c r="IR2167" s="73"/>
      <c r="IS2167" s="73"/>
      <c r="IT2167" s="73"/>
      <c r="IU2167" s="73"/>
      <c r="IV2167" s="73"/>
      <c r="IW2167" s="73"/>
      <c r="IX2167" s="73"/>
      <c r="IY2167" s="73"/>
      <c r="IZ2167" s="73"/>
      <c r="JA2167" s="73"/>
      <c r="JB2167" s="73"/>
      <c r="JC2167" s="73"/>
    </row>
    <row r="2168" spans="2:263" s="72" customFormat="1">
      <c r="B2168" s="73"/>
      <c r="C2168" s="73"/>
      <c r="D2168" s="73"/>
      <c r="E2168" s="73"/>
      <c r="F2168" s="73"/>
      <c r="G2168" s="73"/>
      <c r="H2168" s="73"/>
      <c r="I2168" s="73"/>
      <c r="J2168" s="73"/>
      <c r="K2168" s="73"/>
      <c r="L2168" s="73"/>
      <c r="M2168" s="73"/>
      <c r="N2168" s="73"/>
      <c r="O2168" s="73"/>
      <c r="P2168" s="73"/>
      <c r="Q2168" s="73"/>
      <c r="R2168" s="73"/>
      <c r="S2168" s="73"/>
      <c r="T2168" s="73"/>
      <c r="U2168" s="73"/>
      <c r="V2168" s="73"/>
      <c r="W2168" s="73"/>
      <c r="GL2168" s="73"/>
      <c r="GM2168" s="73"/>
      <c r="GN2168" s="73"/>
      <c r="GO2168" s="73"/>
      <c r="GP2168" s="73"/>
      <c r="GQ2168" s="73"/>
      <c r="GR2168" s="73"/>
      <c r="GS2168" s="73"/>
      <c r="GT2168" s="73"/>
      <c r="GU2168" s="73"/>
      <c r="GV2168" s="73"/>
      <c r="GW2168" s="73"/>
      <c r="GX2168" s="73"/>
      <c r="GY2168" s="73"/>
      <c r="GZ2168" s="73"/>
      <c r="HA2168" s="73"/>
      <c r="HB2168" s="73"/>
      <c r="HC2168" s="73"/>
      <c r="HD2168" s="73"/>
      <c r="HE2168" s="73"/>
      <c r="HF2168" s="73"/>
      <c r="HG2168" s="73"/>
      <c r="HH2168" s="73"/>
      <c r="HI2168" s="73"/>
      <c r="HJ2168" s="73"/>
      <c r="HK2168" s="73"/>
      <c r="HL2168" s="73"/>
      <c r="HM2168" s="73"/>
      <c r="HN2168" s="73"/>
      <c r="HO2168" s="73"/>
      <c r="HP2168" s="73"/>
      <c r="HQ2168" s="73"/>
      <c r="HR2168" s="73"/>
      <c r="HS2168" s="73"/>
      <c r="HT2168" s="73"/>
      <c r="HU2168" s="73"/>
      <c r="HV2168" s="73"/>
      <c r="HW2168" s="73"/>
      <c r="HX2168" s="73"/>
      <c r="HY2168" s="73"/>
      <c r="HZ2168" s="73"/>
      <c r="IA2168" s="73"/>
      <c r="IB2168" s="73"/>
      <c r="IC2168" s="73"/>
      <c r="ID2168" s="73"/>
      <c r="IE2168" s="73"/>
      <c r="IF2168" s="73"/>
      <c r="IG2168" s="73"/>
      <c r="IH2168" s="73"/>
      <c r="II2168" s="73"/>
      <c r="IJ2168" s="73"/>
      <c r="IK2168" s="73"/>
      <c r="IL2168" s="73"/>
      <c r="IM2168" s="73"/>
      <c r="IN2168" s="73"/>
      <c r="IO2168" s="73"/>
      <c r="IP2168" s="73"/>
      <c r="IQ2168" s="73"/>
      <c r="IR2168" s="73"/>
      <c r="IS2168" s="73"/>
      <c r="IT2168" s="73"/>
      <c r="IU2168" s="73"/>
      <c r="IV2168" s="73"/>
      <c r="IW2168" s="73"/>
      <c r="IX2168" s="73"/>
      <c r="IY2168" s="73"/>
      <c r="IZ2168" s="73"/>
      <c r="JA2168" s="73"/>
      <c r="JB2168" s="73"/>
      <c r="JC2168" s="73"/>
    </row>
    <row r="2169" spans="2:263" s="72" customFormat="1">
      <c r="B2169" s="73"/>
      <c r="C2169" s="73"/>
      <c r="D2169" s="73"/>
      <c r="E2169" s="73"/>
      <c r="F2169" s="73"/>
      <c r="G2169" s="73"/>
      <c r="H2169" s="73"/>
      <c r="I2169" s="73"/>
      <c r="J2169" s="73"/>
      <c r="K2169" s="73"/>
      <c r="L2169" s="73"/>
      <c r="M2169" s="73"/>
      <c r="N2169" s="73"/>
      <c r="O2169" s="73"/>
      <c r="P2169" s="73"/>
      <c r="Q2169" s="73"/>
      <c r="R2169" s="73"/>
      <c r="S2169" s="73"/>
      <c r="T2169" s="73"/>
      <c r="U2169" s="73"/>
      <c r="V2169" s="73"/>
      <c r="W2169" s="73"/>
      <c r="GL2169" s="73"/>
      <c r="GM2169" s="73"/>
      <c r="GN2169" s="73"/>
      <c r="GO2169" s="73"/>
      <c r="GP2169" s="73"/>
      <c r="GQ2169" s="73"/>
      <c r="GR2169" s="73"/>
      <c r="GS2169" s="73"/>
      <c r="GT2169" s="73"/>
      <c r="GU2169" s="73"/>
      <c r="GV2169" s="73"/>
      <c r="GW2169" s="73"/>
      <c r="GX2169" s="73"/>
      <c r="GY2169" s="73"/>
      <c r="GZ2169" s="73"/>
      <c r="HA2169" s="73"/>
      <c r="HB2169" s="73"/>
      <c r="HC2169" s="73"/>
      <c r="HD2169" s="73"/>
      <c r="HE2169" s="73"/>
      <c r="HF2169" s="73"/>
      <c r="HG2169" s="73"/>
      <c r="HH2169" s="73"/>
      <c r="HI2169" s="73"/>
      <c r="HJ2169" s="73"/>
      <c r="HK2169" s="73"/>
      <c r="HL2169" s="73"/>
      <c r="HM2169" s="73"/>
      <c r="HN2169" s="73"/>
      <c r="HO2169" s="73"/>
      <c r="HP2169" s="73"/>
      <c r="HQ2169" s="73"/>
      <c r="HR2169" s="73"/>
      <c r="HS2169" s="73"/>
      <c r="HT2169" s="73"/>
      <c r="HU2169" s="73"/>
      <c r="HV2169" s="73"/>
      <c r="HW2169" s="73"/>
      <c r="HX2169" s="73"/>
      <c r="HY2169" s="73"/>
      <c r="HZ2169" s="73"/>
      <c r="IA2169" s="73"/>
      <c r="IB2169" s="73"/>
      <c r="IC2169" s="73"/>
      <c r="ID2169" s="73"/>
      <c r="IE2169" s="73"/>
      <c r="IF2169" s="73"/>
      <c r="IG2169" s="73"/>
      <c r="IH2169" s="73"/>
      <c r="II2169" s="73"/>
      <c r="IJ2169" s="73"/>
      <c r="IK2169" s="73"/>
      <c r="IL2169" s="73"/>
      <c r="IM2169" s="73"/>
      <c r="IN2169" s="73"/>
      <c r="IO2169" s="73"/>
      <c r="IP2169" s="73"/>
      <c r="IQ2169" s="73"/>
      <c r="IR2169" s="73"/>
      <c r="IS2169" s="73"/>
      <c r="IT2169" s="73"/>
      <c r="IU2169" s="73"/>
      <c r="IV2169" s="73"/>
      <c r="IW2169" s="73"/>
      <c r="IX2169" s="73"/>
      <c r="IY2169" s="73"/>
      <c r="IZ2169" s="73"/>
      <c r="JA2169" s="73"/>
      <c r="JB2169" s="73"/>
      <c r="JC2169" s="73"/>
    </row>
    <row r="2170" spans="2:263" s="72" customFormat="1">
      <c r="B2170" s="73"/>
      <c r="C2170" s="73"/>
      <c r="D2170" s="73"/>
      <c r="E2170" s="73"/>
      <c r="F2170" s="73"/>
      <c r="G2170" s="73"/>
      <c r="H2170" s="73"/>
      <c r="I2170" s="73"/>
      <c r="J2170" s="73"/>
      <c r="K2170" s="73"/>
      <c r="L2170" s="73"/>
      <c r="M2170" s="73"/>
      <c r="N2170" s="73"/>
      <c r="O2170" s="73"/>
      <c r="P2170" s="73"/>
      <c r="Q2170" s="73"/>
      <c r="R2170" s="73"/>
      <c r="S2170" s="73"/>
      <c r="T2170" s="73"/>
      <c r="U2170" s="73"/>
      <c r="V2170" s="73"/>
      <c r="W2170" s="73"/>
      <c r="GL2170" s="73"/>
      <c r="GM2170" s="73"/>
      <c r="GN2170" s="73"/>
      <c r="GO2170" s="73"/>
      <c r="GP2170" s="73"/>
      <c r="GQ2170" s="73"/>
      <c r="GR2170" s="73"/>
      <c r="GS2170" s="73"/>
      <c r="GT2170" s="73"/>
      <c r="GU2170" s="73"/>
      <c r="GV2170" s="73"/>
      <c r="GW2170" s="73"/>
      <c r="GX2170" s="73"/>
      <c r="GY2170" s="73"/>
      <c r="GZ2170" s="73"/>
      <c r="HA2170" s="73"/>
      <c r="HB2170" s="73"/>
      <c r="HC2170" s="73"/>
      <c r="HD2170" s="73"/>
      <c r="HE2170" s="73"/>
      <c r="HF2170" s="73"/>
      <c r="HG2170" s="73"/>
      <c r="HH2170" s="73"/>
      <c r="HI2170" s="73"/>
      <c r="HJ2170" s="73"/>
      <c r="HK2170" s="73"/>
      <c r="HL2170" s="73"/>
      <c r="HM2170" s="73"/>
      <c r="HN2170" s="73"/>
      <c r="HO2170" s="73"/>
      <c r="HP2170" s="73"/>
      <c r="HQ2170" s="73"/>
      <c r="HR2170" s="73"/>
      <c r="HS2170" s="73"/>
      <c r="HT2170" s="73"/>
      <c r="HU2170" s="73"/>
      <c r="HV2170" s="73"/>
      <c r="HW2170" s="73"/>
      <c r="HX2170" s="73"/>
      <c r="HY2170" s="73"/>
      <c r="HZ2170" s="73"/>
      <c r="IA2170" s="73"/>
      <c r="IB2170" s="73"/>
      <c r="IC2170" s="73"/>
      <c r="ID2170" s="73"/>
      <c r="IE2170" s="73"/>
      <c r="IF2170" s="73"/>
      <c r="IG2170" s="73"/>
      <c r="IH2170" s="73"/>
      <c r="II2170" s="73"/>
      <c r="IJ2170" s="73"/>
      <c r="IK2170" s="73"/>
      <c r="IL2170" s="73"/>
      <c r="IM2170" s="73"/>
      <c r="IN2170" s="73"/>
      <c r="IO2170" s="73"/>
      <c r="IP2170" s="73"/>
      <c r="IQ2170" s="73"/>
      <c r="IR2170" s="73"/>
      <c r="IS2170" s="73"/>
      <c r="IT2170" s="73"/>
      <c r="IU2170" s="73"/>
      <c r="IV2170" s="73"/>
      <c r="IW2170" s="73"/>
      <c r="IX2170" s="73"/>
      <c r="IY2170" s="73"/>
      <c r="IZ2170" s="73"/>
      <c r="JA2170" s="73"/>
      <c r="JB2170" s="73"/>
      <c r="JC2170" s="73"/>
    </row>
    <row r="2171" spans="2:263" s="72" customFormat="1">
      <c r="B2171" s="73"/>
      <c r="C2171" s="73"/>
      <c r="D2171" s="73"/>
      <c r="E2171" s="73"/>
      <c r="F2171" s="73"/>
      <c r="G2171" s="73"/>
      <c r="H2171" s="73"/>
      <c r="I2171" s="73"/>
      <c r="J2171" s="73"/>
      <c r="K2171" s="73"/>
      <c r="L2171" s="73"/>
      <c r="M2171" s="73"/>
      <c r="N2171" s="73"/>
      <c r="O2171" s="73"/>
      <c r="P2171" s="73"/>
      <c r="Q2171" s="73"/>
      <c r="R2171" s="73"/>
      <c r="S2171" s="73"/>
      <c r="T2171" s="73"/>
      <c r="U2171" s="73"/>
      <c r="V2171" s="73"/>
      <c r="W2171" s="73"/>
      <c r="GL2171" s="73"/>
      <c r="GM2171" s="73"/>
      <c r="GN2171" s="73"/>
      <c r="GO2171" s="73"/>
      <c r="GP2171" s="73"/>
      <c r="GQ2171" s="73"/>
      <c r="GR2171" s="73"/>
      <c r="GS2171" s="73"/>
      <c r="GT2171" s="73"/>
      <c r="GU2171" s="73"/>
      <c r="GV2171" s="73"/>
      <c r="GW2171" s="73"/>
      <c r="GX2171" s="73"/>
      <c r="GY2171" s="73"/>
      <c r="GZ2171" s="73"/>
      <c r="HA2171" s="73"/>
      <c r="HB2171" s="73"/>
      <c r="HC2171" s="73"/>
      <c r="HD2171" s="73"/>
      <c r="HE2171" s="73"/>
      <c r="HF2171" s="73"/>
      <c r="HG2171" s="73"/>
      <c r="HH2171" s="73"/>
      <c r="HI2171" s="73"/>
      <c r="HJ2171" s="73"/>
      <c r="HK2171" s="73"/>
      <c r="HL2171" s="73"/>
      <c r="HM2171" s="73"/>
      <c r="HN2171" s="73"/>
      <c r="HO2171" s="73"/>
      <c r="HP2171" s="73"/>
      <c r="HQ2171" s="73"/>
      <c r="HR2171" s="73"/>
      <c r="HS2171" s="73"/>
      <c r="HT2171" s="73"/>
      <c r="HU2171" s="73"/>
      <c r="HV2171" s="73"/>
      <c r="HW2171" s="73"/>
      <c r="HX2171" s="73"/>
      <c r="HY2171" s="73"/>
      <c r="HZ2171" s="73"/>
      <c r="IA2171" s="73"/>
      <c r="IB2171" s="73"/>
      <c r="IC2171" s="73"/>
      <c r="ID2171" s="73"/>
      <c r="IE2171" s="73"/>
      <c r="IF2171" s="73"/>
      <c r="IG2171" s="73"/>
      <c r="IH2171" s="73"/>
      <c r="II2171" s="73"/>
      <c r="IJ2171" s="73"/>
      <c r="IK2171" s="73"/>
      <c r="IL2171" s="73"/>
      <c r="IM2171" s="73"/>
      <c r="IN2171" s="73"/>
      <c r="IO2171" s="73"/>
      <c r="IP2171" s="73"/>
      <c r="IQ2171" s="73"/>
      <c r="IR2171" s="73"/>
      <c r="IS2171" s="73"/>
      <c r="IT2171" s="73"/>
      <c r="IU2171" s="73"/>
      <c r="IV2171" s="73"/>
      <c r="IW2171" s="73"/>
      <c r="IX2171" s="73"/>
      <c r="IY2171" s="73"/>
      <c r="IZ2171" s="73"/>
      <c r="JA2171" s="73"/>
      <c r="JB2171" s="73"/>
      <c r="JC2171" s="73"/>
    </row>
    <row r="2172" spans="2:263" s="72" customFormat="1">
      <c r="B2172" s="73"/>
      <c r="C2172" s="73"/>
      <c r="D2172" s="73"/>
      <c r="E2172" s="73"/>
      <c r="F2172" s="73"/>
      <c r="G2172" s="73"/>
      <c r="H2172" s="73"/>
      <c r="I2172" s="73"/>
      <c r="J2172" s="73"/>
      <c r="K2172" s="73"/>
      <c r="L2172" s="73"/>
      <c r="M2172" s="73"/>
      <c r="N2172" s="73"/>
      <c r="O2172" s="73"/>
      <c r="P2172" s="73"/>
      <c r="Q2172" s="73"/>
      <c r="R2172" s="73"/>
      <c r="S2172" s="73"/>
      <c r="T2172" s="73"/>
      <c r="U2172" s="73"/>
      <c r="V2172" s="73"/>
      <c r="W2172" s="73"/>
      <c r="GL2172" s="73"/>
      <c r="GM2172" s="73"/>
      <c r="GN2172" s="73"/>
      <c r="GO2172" s="73"/>
      <c r="GP2172" s="73"/>
      <c r="GQ2172" s="73"/>
      <c r="GR2172" s="73"/>
      <c r="GS2172" s="73"/>
      <c r="GT2172" s="73"/>
      <c r="GU2172" s="73"/>
      <c r="GV2172" s="73"/>
      <c r="GW2172" s="73"/>
      <c r="GX2172" s="73"/>
      <c r="GY2172" s="73"/>
      <c r="GZ2172" s="73"/>
      <c r="HA2172" s="73"/>
      <c r="HB2172" s="73"/>
      <c r="HC2172" s="73"/>
      <c r="HD2172" s="73"/>
      <c r="HE2172" s="73"/>
      <c r="HF2172" s="73"/>
      <c r="HG2172" s="73"/>
      <c r="HH2172" s="73"/>
      <c r="HI2172" s="73"/>
      <c r="HJ2172" s="73"/>
      <c r="HK2172" s="73"/>
      <c r="HL2172" s="73"/>
      <c r="HM2172" s="73"/>
      <c r="HN2172" s="73"/>
      <c r="HO2172" s="73"/>
      <c r="HP2172" s="73"/>
      <c r="HQ2172" s="73"/>
      <c r="HR2172" s="73"/>
      <c r="HS2172" s="73"/>
      <c r="HT2172" s="73"/>
      <c r="HU2172" s="73"/>
      <c r="HV2172" s="73"/>
      <c r="HW2172" s="73"/>
      <c r="HX2172" s="73"/>
      <c r="HY2172" s="73"/>
      <c r="HZ2172" s="73"/>
      <c r="IA2172" s="73"/>
      <c r="IB2172" s="73"/>
      <c r="IC2172" s="73"/>
      <c r="ID2172" s="73"/>
      <c r="IE2172" s="73"/>
      <c r="IF2172" s="73"/>
      <c r="IG2172" s="73"/>
      <c r="IH2172" s="73"/>
      <c r="II2172" s="73"/>
      <c r="IJ2172" s="73"/>
      <c r="IK2172" s="73"/>
      <c r="IL2172" s="73"/>
      <c r="IM2172" s="73"/>
      <c r="IN2172" s="73"/>
      <c r="IO2172" s="73"/>
      <c r="IP2172" s="73"/>
      <c r="IQ2172" s="73"/>
      <c r="IR2172" s="73"/>
      <c r="IS2172" s="73"/>
      <c r="IT2172" s="73"/>
      <c r="IU2172" s="73"/>
      <c r="IV2172" s="73"/>
      <c r="IW2172" s="73"/>
      <c r="IX2172" s="73"/>
      <c r="IY2172" s="73"/>
      <c r="IZ2172" s="73"/>
      <c r="JA2172" s="73"/>
      <c r="JB2172" s="73"/>
      <c r="JC2172" s="73"/>
    </row>
    <row r="2173" spans="2:263" s="72" customFormat="1">
      <c r="B2173" s="73"/>
      <c r="C2173" s="73"/>
      <c r="D2173" s="73"/>
      <c r="E2173" s="73"/>
      <c r="F2173" s="73"/>
      <c r="G2173" s="73"/>
      <c r="H2173" s="73"/>
      <c r="I2173" s="73"/>
      <c r="J2173" s="73"/>
      <c r="K2173" s="73"/>
      <c r="L2173" s="73"/>
      <c r="M2173" s="73"/>
      <c r="N2173" s="73"/>
      <c r="O2173" s="73"/>
      <c r="P2173" s="73"/>
      <c r="Q2173" s="73"/>
      <c r="R2173" s="73"/>
      <c r="S2173" s="73"/>
      <c r="T2173" s="73"/>
      <c r="U2173" s="73"/>
      <c r="V2173" s="73"/>
      <c r="W2173" s="73"/>
      <c r="GL2173" s="73"/>
      <c r="GM2173" s="73"/>
      <c r="GN2173" s="73"/>
      <c r="GO2173" s="73"/>
      <c r="GP2173" s="73"/>
      <c r="GQ2173" s="73"/>
      <c r="GR2173" s="73"/>
      <c r="GS2173" s="73"/>
      <c r="GT2173" s="73"/>
      <c r="GU2173" s="73"/>
      <c r="GV2173" s="73"/>
      <c r="GW2173" s="73"/>
      <c r="GX2173" s="73"/>
      <c r="GY2173" s="73"/>
      <c r="GZ2173" s="73"/>
      <c r="HA2173" s="73"/>
      <c r="HB2173" s="73"/>
      <c r="HC2173" s="73"/>
      <c r="HD2173" s="73"/>
      <c r="HE2173" s="73"/>
      <c r="HF2173" s="73"/>
      <c r="HG2173" s="73"/>
      <c r="HH2173" s="73"/>
      <c r="HI2173" s="73"/>
      <c r="HJ2173" s="73"/>
      <c r="HK2173" s="73"/>
      <c r="HL2173" s="73"/>
      <c r="HM2173" s="73"/>
      <c r="HN2173" s="73"/>
      <c r="HO2173" s="73"/>
      <c r="HP2173" s="73"/>
      <c r="HQ2173" s="73"/>
      <c r="HR2173" s="73"/>
      <c r="HS2173" s="73"/>
      <c r="HT2173" s="73"/>
      <c r="HU2173" s="73"/>
      <c r="HV2173" s="73"/>
      <c r="HW2173" s="73"/>
      <c r="HX2173" s="73"/>
      <c r="HY2173" s="73"/>
      <c r="HZ2173" s="73"/>
      <c r="IA2173" s="73"/>
      <c r="IB2173" s="73"/>
      <c r="IC2173" s="73"/>
      <c r="ID2173" s="73"/>
      <c r="IE2173" s="73"/>
      <c r="IF2173" s="73"/>
      <c r="IG2173" s="73"/>
      <c r="IH2173" s="73"/>
      <c r="II2173" s="73"/>
      <c r="IJ2173" s="73"/>
      <c r="IK2173" s="73"/>
      <c r="IL2173" s="73"/>
      <c r="IM2173" s="73"/>
      <c r="IN2173" s="73"/>
      <c r="IO2173" s="73"/>
      <c r="IP2173" s="73"/>
      <c r="IQ2173" s="73"/>
      <c r="IR2173" s="73"/>
      <c r="IS2173" s="73"/>
      <c r="IT2173" s="73"/>
      <c r="IU2173" s="73"/>
      <c r="IV2173" s="73"/>
      <c r="IW2173" s="73"/>
      <c r="IX2173" s="73"/>
      <c r="IY2173" s="73"/>
      <c r="IZ2173" s="73"/>
      <c r="JA2173" s="73"/>
      <c r="JB2173" s="73"/>
      <c r="JC2173" s="73"/>
    </row>
    <row r="2174" spans="2:263" s="72" customFormat="1">
      <c r="B2174" s="73"/>
      <c r="C2174" s="73"/>
      <c r="D2174" s="73"/>
      <c r="E2174" s="73"/>
      <c r="F2174" s="73"/>
      <c r="G2174" s="73"/>
      <c r="H2174" s="73"/>
      <c r="I2174" s="73"/>
      <c r="J2174" s="73"/>
      <c r="K2174" s="73"/>
      <c r="L2174" s="73"/>
      <c r="M2174" s="73"/>
      <c r="N2174" s="73"/>
      <c r="O2174" s="73"/>
      <c r="P2174" s="73"/>
      <c r="Q2174" s="73"/>
      <c r="R2174" s="73"/>
      <c r="S2174" s="73"/>
      <c r="T2174" s="73"/>
      <c r="U2174" s="73"/>
      <c r="V2174" s="73"/>
      <c r="W2174" s="73"/>
      <c r="GL2174" s="73"/>
      <c r="GM2174" s="73"/>
      <c r="GN2174" s="73"/>
      <c r="GO2174" s="73"/>
      <c r="GP2174" s="73"/>
      <c r="GQ2174" s="73"/>
      <c r="GR2174" s="73"/>
      <c r="GS2174" s="73"/>
      <c r="GT2174" s="73"/>
      <c r="GU2174" s="73"/>
      <c r="GV2174" s="73"/>
      <c r="GW2174" s="73"/>
      <c r="GX2174" s="73"/>
      <c r="GY2174" s="73"/>
      <c r="GZ2174" s="73"/>
      <c r="HA2174" s="73"/>
      <c r="HB2174" s="73"/>
      <c r="HC2174" s="73"/>
      <c r="HD2174" s="73"/>
      <c r="HE2174" s="73"/>
      <c r="HF2174" s="73"/>
      <c r="HG2174" s="73"/>
      <c r="HH2174" s="73"/>
      <c r="HI2174" s="73"/>
      <c r="HJ2174" s="73"/>
      <c r="HK2174" s="73"/>
      <c r="HL2174" s="73"/>
      <c r="HM2174" s="73"/>
      <c r="HN2174" s="73"/>
      <c r="HO2174" s="73"/>
      <c r="HP2174" s="73"/>
      <c r="HQ2174" s="73"/>
      <c r="HR2174" s="73"/>
      <c r="HS2174" s="73"/>
      <c r="HT2174" s="73"/>
      <c r="HU2174" s="73"/>
      <c r="HV2174" s="73"/>
      <c r="HW2174" s="73"/>
      <c r="HX2174" s="73"/>
      <c r="HY2174" s="73"/>
      <c r="HZ2174" s="73"/>
      <c r="IA2174" s="73"/>
      <c r="IB2174" s="73"/>
      <c r="IC2174" s="73"/>
      <c r="ID2174" s="73"/>
      <c r="IE2174" s="73"/>
      <c r="IF2174" s="73"/>
      <c r="IG2174" s="73"/>
      <c r="IH2174" s="73"/>
      <c r="II2174" s="73"/>
      <c r="IJ2174" s="73"/>
      <c r="IK2174" s="73"/>
      <c r="IL2174" s="73"/>
      <c r="IM2174" s="73"/>
      <c r="IN2174" s="73"/>
      <c r="IO2174" s="73"/>
      <c r="IP2174" s="73"/>
      <c r="IQ2174" s="73"/>
      <c r="IR2174" s="73"/>
      <c r="IS2174" s="73"/>
      <c r="IT2174" s="73"/>
      <c r="IU2174" s="73"/>
      <c r="IV2174" s="73"/>
      <c r="IW2174" s="73"/>
      <c r="IX2174" s="73"/>
      <c r="IY2174" s="73"/>
      <c r="IZ2174" s="73"/>
      <c r="JA2174" s="73"/>
      <c r="JB2174" s="73"/>
      <c r="JC2174" s="73"/>
    </row>
    <row r="2175" spans="2:263" s="72" customFormat="1">
      <c r="B2175" s="73"/>
      <c r="C2175" s="73"/>
      <c r="D2175" s="73"/>
      <c r="E2175" s="73"/>
      <c r="F2175" s="73"/>
      <c r="G2175" s="73"/>
      <c r="H2175" s="73"/>
      <c r="I2175" s="73"/>
      <c r="J2175" s="73"/>
      <c r="K2175" s="73"/>
      <c r="L2175" s="73"/>
      <c r="M2175" s="73"/>
      <c r="N2175" s="73"/>
      <c r="O2175" s="73"/>
      <c r="P2175" s="73"/>
      <c r="Q2175" s="73"/>
      <c r="R2175" s="73"/>
      <c r="S2175" s="73"/>
      <c r="T2175" s="73"/>
      <c r="U2175" s="73"/>
      <c r="V2175" s="73"/>
      <c r="W2175" s="73"/>
      <c r="GL2175" s="73"/>
      <c r="GM2175" s="73"/>
      <c r="GN2175" s="73"/>
      <c r="GO2175" s="73"/>
      <c r="GP2175" s="73"/>
      <c r="GQ2175" s="73"/>
      <c r="GR2175" s="73"/>
      <c r="GS2175" s="73"/>
      <c r="GT2175" s="73"/>
      <c r="GU2175" s="73"/>
      <c r="GV2175" s="73"/>
      <c r="GW2175" s="73"/>
      <c r="GX2175" s="73"/>
      <c r="GY2175" s="73"/>
      <c r="GZ2175" s="73"/>
      <c r="HA2175" s="73"/>
      <c r="HB2175" s="73"/>
      <c r="HC2175" s="73"/>
      <c r="HD2175" s="73"/>
      <c r="HE2175" s="73"/>
      <c r="HF2175" s="73"/>
      <c r="HG2175" s="73"/>
      <c r="HH2175" s="73"/>
      <c r="HI2175" s="73"/>
      <c r="HJ2175" s="73"/>
      <c r="HK2175" s="73"/>
      <c r="HL2175" s="73"/>
      <c r="HM2175" s="73"/>
      <c r="HN2175" s="73"/>
      <c r="HO2175" s="73"/>
      <c r="HP2175" s="73"/>
      <c r="HQ2175" s="73"/>
      <c r="HR2175" s="73"/>
      <c r="HS2175" s="73"/>
      <c r="HT2175" s="73"/>
      <c r="HU2175" s="73"/>
      <c r="HV2175" s="73"/>
      <c r="HW2175" s="73"/>
      <c r="HX2175" s="73"/>
      <c r="HY2175" s="73"/>
      <c r="HZ2175" s="73"/>
      <c r="IA2175" s="73"/>
      <c r="IB2175" s="73"/>
      <c r="IC2175" s="73"/>
      <c r="ID2175" s="73"/>
      <c r="IE2175" s="73"/>
      <c r="IF2175" s="73"/>
      <c r="IG2175" s="73"/>
      <c r="IH2175" s="73"/>
      <c r="II2175" s="73"/>
      <c r="IJ2175" s="73"/>
      <c r="IK2175" s="73"/>
      <c r="IL2175" s="73"/>
      <c r="IM2175" s="73"/>
      <c r="IN2175" s="73"/>
      <c r="IO2175" s="73"/>
      <c r="IP2175" s="73"/>
      <c r="IQ2175" s="73"/>
      <c r="IR2175" s="73"/>
      <c r="IS2175" s="73"/>
      <c r="IT2175" s="73"/>
      <c r="IU2175" s="73"/>
      <c r="IV2175" s="73"/>
      <c r="IW2175" s="73"/>
      <c r="IX2175" s="73"/>
      <c r="IY2175" s="73"/>
      <c r="IZ2175" s="73"/>
      <c r="JA2175" s="73"/>
      <c r="JB2175" s="73"/>
      <c r="JC2175" s="73"/>
    </row>
    <row r="2176" spans="2:263" s="72" customFormat="1">
      <c r="B2176" s="73"/>
      <c r="C2176" s="73"/>
      <c r="D2176" s="73"/>
      <c r="E2176" s="73"/>
      <c r="F2176" s="73"/>
      <c r="G2176" s="73"/>
      <c r="H2176" s="73"/>
      <c r="I2176" s="73"/>
      <c r="J2176" s="73"/>
      <c r="K2176" s="73"/>
      <c r="L2176" s="73"/>
      <c r="M2176" s="73"/>
      <c r="N2176" s="73"/>
      <c r="O2176" s="73"/>
      <c r="P2176" s="73"/>
      <c r="Q2176" s="73"/>
      <c r="R2176" s="73"/>
      <c r="S2176" s="73"/>
      <c r="T2176" s="73"/>
      <c r="U2176" s="73"/>
      <c r="V2176" s="73"/>
      <c r="W2176" s="73"/>
      <c r="GL2176" s="73"/>
      <c r="GM2176" s="73"/>
      <c r="GN2176" s="73"/>
      <c r="GO2176" s="73"/>
      <c r="GP2176" s="73"/>
      <c r="GQ2176" s="73"/>
      <c r="GR2176" s="73"/>
      <c r="GS2176" s="73"/>
      <c r="GT2176" s="73"/>
      <c r="GU2176" s="73"/>
      <c r="GV2176" s="73"/>
      <c r="GW2176" s="73"/>
      <c r="GX2176" s="73"/>
      <c r="GY2176" s="73"/>
      <c r="GZ2176" s="73"/>
      <c r="HA2176" s="73"/>
      <c r="HB2176" s="73"/>
      <c r="HC2176" s="73"/>
      <c r="HD2176" s="73"/>
      <c r="HE2176" s="73"/>
      <c r="HF2176" s="73"/>
      <c r="HG2176" s="73"/>
      <c r="HH2176" s="73"/>
      <c r="HI2176" s="73"/>
      <c r="HJ2176" s="73"/>
      <c r="HK2176" s="73"/>
      <c r="HL2176" s="73"/>
      <c r="HM2176" s="73"/>
      <c r="HN2176" s="73"/>
      <c r="HO2176" s="73"/>
      <c r="HP2176" s="73"/>
      <c r="HQ2176" s="73"/>
      <c r="HR2176" s="73"/>
      <c r="HS2176" s="73"/>
      <c r="HT2176" s="73"/>
      <c r="HU2176" s="73"/>
      <c r="HV2176" s="73"/>
      <c r="HW2176" s="73"/>
      <c r="HX2176" s="73"/>
      <c r="HY2176" s="73"/>
      <c r="HZ2176" s="73"/>
      <c r="IA2176" s="73"/>
      <c r="IB2176" s="73"/>
      <c r="IC2176" s="73"/>
      <c r="ID2176" s="73"/>
      <c r="IE2176" s="73"/>
      <c r="IF2176" s="73"/>
      <c r="IG2176" s="73"/>
      <c r="IH2176" s="73"/>
      <c r="II2176" s="73"/>
      <c r="IJ2176" s="73"/>
      <c r="IK2176" s="73"/>
      <c r="IL2176" s="73"/>
      <c r="IM2176" s="73"/>
      <c r="IN2176" s="73"/>
      <c r="IO2176" s="73"/>
      <c r="IP2176" s="73"/>
      <c r="IQ2176" s="73"/>
      <c r="IR2176" s="73"/>
      <c r="IS2176" s="73"/>
      <c r="IT2176" s="73"/>
      <c r="IU2176" s="73"/>
      <c r="IV2176" s="73"/>
      <c r="IW2176" s="73"/>
      <c r="IX2176" s="73"/>
      <c r="IY2176" s="73"/>
      <c r="IZ2176" s="73"/>
      <c r="JA2176" s="73"/>
      <c r="JB2176" s="73"/>
      <c r="JC2176" s="73"/>
    </row>
    <row r="2177" spans="2:263" s="72" customFormat="1">
      <c r="B2177" s="73"/>
      <c r="C2177" s="73"/>
      <c r="D2177" s="73"/>
      <c r="E2177" s="73"/>
      <c r="F2177" s="73"/>
      <c r="G2177" s="73"/>
      <c r="H2177" s="73"/>
      <c r="I2177" s="73"/>
      <c r="J2177" s="73"/>
      <c r="K2177" s="73"/>
      <c r="L2177" s="73"/>
      <c r="M2177" s="73"/>
      <c r="N2177" s="73"/>
      <c r="O2177" s="73"/>
      <c r="P2177" s="73"/>
      <c r="Q2177" s="73"/>
      <c r="R2177" s="73"/>
      <c r="S2177" s="73"/>
      <c r="T2177" s="73"/>
      <c r="U2177" s="73"/>
      <c r="V2177" s="73"/>
      <c r="W2177" s="73"/>
      <c r="GL2177" s="73"/>
      <c r="GM2177" s="73"/>
      <c r="GN2177" s="73"/>
      <c r="GO2177" s="73"/>
      <c r="GP2177" s="73"/>
      <c r="GQ2177" s="73"/>
      <c r="GR2177" s="73"/>
      <c r="GS2177" s="73"/>
      <c r="GT2177" s="73"/>
      <c r="GU2177" s="73"/>
      <c r="GV2177" s="73"/>
      <c r="GW2177" s="73"/>
      <c r="GX2177" s="73"/>
      <c r="GY2177" s="73"/>
      <c r="GZ2177" s="73"/>
      <c r="HA2177" s="73"/>
      <c r="HB2177" s="73"/>
      <c r="HC2177" s="73"/>
      <c r="HD2177" s="73"/>
      <c r="HE2177" s="73"/>
      <c r="HF2177" s="73"/>
      <c r="HG2177" s="73"/>
      <c r="HH2177" s="73"/>
      <c r="HI2177" s="73"/>
      <c r="HJ2177" s="73"/>
      <c r="HK2177" s="73"/>
      <c r="HL2177" s="73"/>
      <c r="HM2177" s="73"/>
      <c r="HN2177" s="73"/>
      <c r="HO2177" s="73"/>
      <c r="HP2177" s="73"/>
      <c r="HQ2177" s="73"/>
      <c r="HR2177" s="73"/>
      <c r="HS2177" s="73"/>
      <c r="HT2177" s="73"/>
      <c r="HU2177" s="73"/>
      <c r="HV2177" s="73"/>
      <c r="HW2177" s="73"/>
      <c r="HX2177" s="73"/>
      <c r="HY2177" s="73"/>
      <c r="HZ2177" s="73"/>
      <c r="IA2177" s="73"/>
      <c r="IB2177" s="73"/>
      <c r="IC2177" s="73"/>
      <c r="ID2177" s="73"/>
      <c r="IE2177" s="73"/>
      <c r="IF2177" s="73"/>
      <c r="IG2177" s="73"/>
      <c r="IH2177" s="73"/>
      <c r="II2177" s="73"/>
      <c r="IJ2177" s="73"/>
      <c r="IK2177" s="73"/>
      <c r="IL2177" s="73"/>
      <c r="IM2177" s="73"/>
      <c r="IN2177" s="73"/>
      <c r="IO2177" s="73"/>
      <c r="IP2177" s="73"/>
      <c r="IQ2177" s="73"/>
      <c r="IR2177" s="73"/>
      <c r="IS2177" s="73"/>
      <c r="IT2177" s="73"/>
      <c r="IU2177" s="73"/>
      <c r="IV2177" s="73"/>
      <c r="IW2177" s="73"/>
      <c r="IX2177" s="73"/>
      <c r="IY2177" s="73"/>
      <c r="IZ2177" s="73"/>
      <c r="JA2177" s="73"/>
      <c r="JB2177" s="73"/>
      <c r="JC2177" s="73"/>
    </row>
    <row r="2178" spans="2:263" s="72" customFormat="1">
      <c r="B2178" s="73"/>
      <c r="C2178" s="73"/>
      <c r="D2178" s="73"/>
      <c r="E2178" s="73"/>
      <c r="F2178" s="73"/>
      <c r="G2178" s="73"/>
      <c r="H2178" s="73"/>
      <c r="I2178" s="73"/>
      <c r="J2178" s="73"/>
      <c r="K2178" s="73"/>
      <c r="L2178" s="73"/>
      <c r="M2178" s="73"/>
      <c r="N2178" s="73"/>
      <c r="O2178" s="73"/>
      <c r="P2178" s="73"/>
      <c r="Q2178" s="73"/>
      <c r="R2178" s="73"/>
      <c r="S2178" s="73"/>
      <c r="T2178" s="73"/>
      <c r="U2178" s="73"/>
      <c r="V2178" s="73"/>
      <c r="W2178" s="73"/>
      <c r="GL2178" s="73"/>
      <c r="GM2178" s="73"/>
      <c r="GN2178" s="73"/>
      <c r="GO2178" s="73"/>
      <c r="GP2178" s="73"/>
      <c r="GQ2178" s="73"/>
      <c r="GR2178" s="73"/>
      <c r="GS2178" s="73"/>
      <c r="GT2178" s="73"/>
      <c r="GU2178" s="73"/>
      <c r="GV2178" s="73"/>
      <c r="GW2178" s="73"/>
      <c r="GX2178" s="73"/>
      <c r="GY2178" s="73"/>
      <c r="GZ2178" s="73"/>
      <c r="HA2178" s="73"/>
      <c r="HB2178" s="73"/>
      <c r="HC2178" s="73"/>
      <c r="HD2178" s="73"/>
      <c r="HE2178" s="73"/>
      <c r="HF2178" s="73"/>
      <c r="HG2178" s="73"/>
      <c r="HH2178" s="73"/>
      <c r="HI2178" s="73"/>
      <c r="HJ2178" s="73"/>
      <c r="HK2178" s="73"/>
      <c r="HL2178" s="73"/>
      <c r="HM2178" s="73"/>
      <c r="HN2178" s="73"/>
      <c r="HO2178" s="73"/>
      <c r="HP2178" s="73"/>
      <c r="HQ2178" s="73"/>
      <c r="HR2178" s="73"/>
      <c r="HS2178" s="73"/>
      <c r="HT2178" s="73"/>
      <c r="HU2178" s="73"/>
      <c r="HV2178" s="73"/>
      <c r="HW2178" s="73"/>
      <c r="HX2178" s="73"/>
      <c r="HY2178" s="73"/>
      <c r="HZ2178" s="73"/>
      <c r="IA2178" s="73"/>
      <c r="IB2178" s="73"/>
      <c r="IC2178" s="73"/>
      <c r="ID2178" s="73"/>
      <c r="IE2178" s="73"/>
      <c r="IF2178" s="73"/>
      <c r="IG2178" s="73"/>
      <c r="IH2178" s="73"/>
      <c r="II2178" s="73"/>
      <c r="IJ2178" s="73"/>
      <c r="IK2178" s="73"/>
      <c r="IL2178" s="73"/>
      <c r="IM2178" s="73"/>
      <c r="IN2178" s="73"/>
      <c r="IO2178" s="73"/>
      <c r="IP2178" s="73"/>
      <c r="IQ2178" s="73"/>
      <c r="IR2178" s="73"/>
      <c r="IS2178" s="73"/>
      <c r="IT2178" s="73"/>
      <c r="IU2178" s="73"/>
      <c r="IV2178" s="73"/>
      <c r="IW2178" s="73"/>
      <c r="IX2178" s="73"/>
      <c r="IY2178" s="73"/>
      <c r="IZ2178" s="73"/>
      <c r="JA2178" s="73"/>
      <c r="JB2178" s="73"/>
      <c r="JC2178" s="73"/>
    </row>
    <row r="2179" spans="2:263" s="72" customFormat="1">
      <c r="B2179" s="73"/>
      <c r="C2179" s="73"/>
      <c r="D2179" s="73"/>
      <c r="E2179" s="73"/>
      <c r="F2179" s="73"/>
      <c r="G2179" s="73"/>
      <c r="H2179" s="73"/>
      <c r="I2179" s="73"/>
      <c r="J2179" s="73"/>
      <c r="K2179" s="73"/>
      <c r="L2179" s="73"/>
      <c r="M2179" s="73"/>
      <c r="N2179" s="73"/>
      <c r="O2179" s="73"/>
      <c r="P2179" s="73"/>
      <c r="Q2179" s="73"/>
      <c r="R2179" s="73"/>
      <c r="S2179" s="73"/>
      <c r="T2179" s="73"/>
      <c r="U2179" s="73"/>
      <c r="V2179" s="73"/>
      <c r="W2179" s="73"/>
      <c r="GL2179" s="73"/>
      <c r="GM2179" s="73"/>
      <c r="GN2179" s="73"/>
      <c r="GO2179" s="73"/>
      <c r="GP2179" s="73"/>
      <c r="GQ2179" s="73"/>
      <c r="GR2179" s="73"/>
      <c r="GS2179" s="73"/>
      <c r="GT2179" s="73"/>
      <c r="GU2179" s="73"/>
      <c r="GV2179" s="73"/>
      <c r="GW2179" s="73"/>
      <c r="GX2179" s="73"/>
      <c r="GY2179" s="73"/>
      <c r="GZ2179" s="73"/>
      <c r="HA2179" s="73"/>
      <c r="HB2179" s="73"/>
      <c r="HC2179" s="73"/>
      <c r="HD2179" s="73"/>
      <c r="HE2179" s="73"/>
      <c r="HF2179" s="73"/>
      <c r="HG2179" s="73"/>
      <c r="HH2179" s="73"/>
      <c r="HI2179" s="73"/>
      <c r="HJ2179" s="73"/>
      <c r="HK2179" s="73"/>
      <c r="HL2179" s="73"/>
      <c r="HM2179" s="73"/>
      <c r="HN2179" s="73"/>
      <c r="HO2179" s="73"/>
      <c r="HP2179" s="73"/>
      <c r="HQ2179" s="73"/>
      <c r="HR2179" s="73"/>
      <c r="HS2179" s="73"/>
      <c r="HT2179" s="73"/>
      <c r="HU2179" s="73"/>
      <c r="HV2179" s="73"/>
      <c r="HW2179" s="73"/>
      <c r="HX2179" s="73"/>
      <c r="HY2179" s="73"/>
      <c r="HZ2179" s="73"/>
      <c r="IA2179" s="73"/>
      <c r="IB2179" s="73"/>
      <c r="IC2179" s="73"/>
      <c r="ID2179" s="73"/>
      <c r="IE2179" s="73"/>
      <c r="IF2179" s="73"/>
      <c r="IG2179" s="73"/>
      <c r="IH2179" s="73"/>
      <c r="II2179" s="73"/>
      <c r="IJ2179" s="73"/>
      <c r="IK2179" s="73"/>
      <c r="IL2179" s="73"/>
      <c r="IM2179" s="73"/>
      <c r="IN2179" s="73"/>
      <c r="IO2179" s="73"/>
      <c r="IP2179" s="73"/>
      <c r="IQ2179" s="73"/>
      <c r="IR2179" s="73"/>
      <c r="IS2179" s="73"/>
      <c r="IT2179" s="73"/>
      <c r="IU2179" s="73"/>
      <c r="IV2179" s="73"/>
      <c r="IW2179" s="73"/>
      <c r="IX2179" s="73"/>
      <c r="IY2179" s="73"/>
      <c r="IZ2179" s="73"/>
      <c r="JA2179" s="73"/>
      <c r="JB2179" s="73"/>
      <c r="JC2179" s="73"/>
    </row>
    <row r="2180" spans="2:263" s="72" customFormat="1">
      <c r="B2180" s="73"/>
      <c r="C2180" s="73"/>
      <c r="D2180" s="73"/>
      <c r="E2180" s="73"/>
      <c r="F2180" s="73"/>
      <c r="G2180" s="73"/>
      <c r="H2180" s="73"/>
      <c r="I2180" s="73"/>
      <c r="J2180" s="73"/>
      <c r="K2180" s="73"/>
      <c r="L2180" s="73"/>
      <c r="M2180" s="73"/>
      <c r="N2180" s="73"/>
      <c r="O2180" s="73"/>
      <c r="P2180" s="73"/>
      <c r="Q2180" s="73"/>
      <c r="R2180" s="73"/>
      <c r="S2180" s="73"/>
      <c r="T2180" s="73"/>
      <c r="U2180" s="73"/>
      <c r="V2180" s="73"/>
      <c r="W2180" s="73"/>
      <c r="GL2180" s="73"/>
      <c r="GM2180" s="73"/>
      <c r="GN2180" s="73"/>
      <c r="GO2180" s="73"/>
      <c r="GP2180" s="73"/>
      <c r="GQ2180" s="73"/>
      <c r="GR2180" s="73"/>
      <c r="GS2180" s="73"/>
      <c r="GT2180" s="73"/>
      <c r="GU2180" s="73"/>
      <c r="GV2180" s="73"/>
      <c r="GW2180" s="73"/>
      <c r="GX2180" s="73"/>
      <c r="GY2180" s="73"/>
      <c r="GZ2180" s="73"/>
      <c r="HA2180" s="73"/>
      <c r="HB2180" s="73"/>
      <c r="HC2180" s="73"/>
      <c r="HD2180" s="73"/>
      <c r="HE2180" s="73"/>
      <c r="HF2180" s="73"/>
      <c r="HG2180" s="73"/>
      <c r="HH2180" s="73"/>
      <c r="HI2180" s="73"/>
      <c r="HJ2180" s="73"/>
      <c r="HK2180" s="73"/>
      <c r="HL2180" s="73"/>
      <c r="HM2180" s="73"/>
      <c r="HN2180" s="73"/>
      <c r="HO2180" s="73"/>
      <c r="HP2180" s="73"/>
      <c r="HQ2180" s="73"/>
      <c r="HR2180" s="73"/>
      <c r="HS2180" s="73"/>
      <c r="HT2180" s="73"/>
      <c r="HU2180" s="73"/>
      <c r="HV2180" s="73"/>
      <c r="HW2180" s="73"/>
      <c r="HX2180" s="73"/>
      <c r="HY2180" s="73"/>
      <c r="HZ2180" s="73"/>
      <c r="IA2180" s="73"/>
      <c r="IB2180" s="73"/>
      <c r="IC2180" s="73"/>
      <c r="ID2180" s="73"/>
      <c r="IE2180" s="73"/>
      <c r="IF2180" s="73"/>
      <c r="IG2180" s="73"/>
      <c r="IH2180" s="73"/>
      <c r="II2180" s="73"/>
      <c r="IJ2180" s="73"/>
      <c r="IK2180" s="73"/>
      <c r="IL2180" s="73"/>
      <c r="IM2180" s="73"/>
      <c r="IN2180" s="73"/>
      <c r="IO2180" s="73"/>
      <c r="IP2180" s="73"/>
      <c r="IQ2180" s="73"/>
      <c r="IR2180" s="73"/>
      <c r="IS2180" s="73"/>
      <c r="IT2180" s="73"/>
      <c r="IU2180" s="73"/>
      <c r="IV2180" s="73"/>
      <c r="IW2180" s="73"/>
      <c r="IX2180" s="73"/>
      <c r="IY2180" s="73"/>
      <c r="IZ2180" s="73"/>
      <c r="JA2180" s="73"/>
      <c r="JB2180" s="73"/>
      <c r="JC2180" s="73"/>
    </row>
    <row r="2181" spans="2:263" s="72" customFormat="1">
      <c r="B2181" s="73"/>
      <c r="C2181" s="73"/>
      <c r="D2181" s="73"/>
      <c r="E2181" s="73"/>
      <c r="F2181" s="73"/>
      <c r="G2181" s="73"/>
      <c r="H2181" s="73"/>
      <c r="I2181" s="73"/>
      <c r="J2181" s="73"/>
      <c r="K2181" s="73"/>
      <c r="L2181" s="73"/>
      <c r="M2181" s="73"/>
      <c r="N2181" s="73"/>
      <c r="O2181" s="73"/>
      <c r="P2181" s="73"/>
      <c r="Q2181" s="73"/>
      <c r="R2181" s="73"/>
      <c r="S2181" s="73"/>
      <c r="T2181" s="73"/>
      <c r="U2181" s="73"/>
      <c r="V2181" s="73"/>
      <c r="W2181" s="73"/>
      <c r="GL2181" s="73"/>
      <c r="GM2181" s="73"/>
      <c r="GN2181" s="73"/>
      <c r="GO2181" s="73"/>
      <c r="GP2181" s="73"/>
      <c r="GQ2181" s="73"/>
      <c r="GR2181" s="73"/>
      <c r="GS2181" s="73"/>
      <c r="GT2181" s="73"/>
      <c r="GU2181" s="73"/>
      <c r="GV2181" s="73"/>
      <c r="GW2181" s="73"/>
      <c r="GX2181" s="73"/>
      <c r="GY2181" s="73"/>
      <c r="GZ2181" s="73"/>
      <c r="HA2181" s="73"/>
      <c r="HB2181" s="73"/>
      <c r="HC2181" s="73"/>
      <c r="HD2181" s="73"/>
      <c r="HE2181" s="73"/>
      <c r="HF2181" s="73"/>
      <c r="HG2181" s="73"/>
      <c r="HH2181" s="73"/>
      <c r="HI2181" s="73"/>
      <c r="HJ2181" s="73"/>
      <c r="HK2181" s="73"/>
      <c r="HL2181" s="73"/>
      <c r="HM2181" s="73"/>
      <c r="HN2181" s="73"/>
      <c r="HO2181" s="73"/>
      <c r="HP2181" s="73"/>
      <c r="HQ2181" s="73"/>
      <c r="HR2181" s="73"/>
      <c r="HS2181" s="73"/>
      <c r="HT2181" s="73"/>
      <c r="HU2181" s="73"/>
      <c r="HV2181" s="73"/>
      <c r="HW2181" s="73"/>
      <c r="HX2181" s="73"/>
      <c r="HY2181" s="73"/>
      <c r="HZ2181" s="73"/>
      <c r="IA2181" s="73"/>
      <c r="IB2181" s="73"/>
      <c r="IC2181" s="73"/>
      <c r="ID2181" s="73"/>
      <c r="IE2181" s="73"/>
      <c r="IF2181" s="73"/>
      <c r="IG2181" s="73"/>
      <c r="IH2181" s="73"/>
      <c r="II2181" s="73"/>
      <c r="IJ2181" s="73"/>
      <c r="IK2181" s="73"/>
      <c r="IL2181" s="73"/>
      <c r="IM2181" s="73"/>
      <c r="IN2181" s="73"/>
      <c r="IO2181" s="73"/>
      <c r="IP2181" s="73"/>
      <c r="IQ2181" s="73"/>
      <c r="IR2181" s="73"/>
      <c r="IS2181" s="73"/>
      <c r="IT2181" s="73"/>
      <c r="IU2181" s="73"/>
      <c r="IV2181" s="73"/>
      <c r="IW2181" s="73"/>
      <c r="IX2181" s="73"/>
      <c r="IY2181" s="73"/>
      <c r="IZ2181" s="73"/>
      <c r="JA2181" s="73"/>
      <c r="JB2181" s="73"/>
      <c r="JC2181" s="73"/>
    </row>
    <row r="2182" spans="2:263" s="72" customFormat="1">
      <c r="B2182" s="73"/>
      <c r="C2182" s="73"/>
      <c r="D2182" s="73"/>
      <c r="E2182" s="73"/>
      <c r="F2182" s="73"/>
      <c r="G2182" s="73"/>
      <c r="H2182" s="73"/>
      <c r="I2182" s="73"/>
      <c r="J2182" s="73"/>
      <c r="K2182" s="73"/>
      <c r="L2182" s="73"/>
      <c r="M2182" s="73"/>
      <c r="N2182" s="73"/>
      <c r="O2182" s="73"/>
      <c r="P2182" s="73"/>
      <c r="Q2182" s="73"/>
      <c r="R2182" s="73"/>
      <c r="S2182" s="73"/>
      <c r="T2182" s="73"/>
      <c r="U2182" s="73"/>
      <c r="V2182" s="73"/>
      <c r="W2182" s="73"/>
      <c r="GL2182" s="73"/>
      <c r="GM2182" s="73"/>
      <c r="GN2182" s="73"/>
      <c r="GO2182" s="73"/>
      <c r="GP2182" s="73"/>
      <c r="GQ2182" s="73"/>
      <c r="GR2182" s="73"/>
      <c r="GS2182" s="73"/>
      <c r="GT2182" s="73"/>
      <c r="GU2182" s="73"/>
      <c r="GV2182" s="73"/>
      <c r="GW2182" s="73"/>
      <c r="GX2182" s="73"/>
      <c r="GY2182" s="73"/>
      <c r="GZ2182" s="73"/>
      <c r="HA2182" s="73"/>
      <c r="HB2182" s="73"/>
      <c r="HC2182" s="73"/>
      <c r="HD2182" s="73"/>
      <c r="HE2182" s="73"/>
      <c r="HF2182" s="73"/>
      <c r="HG2182" s="73"/>
      <c r="HH2182" s="73"/>
      <c r="HI2182" s="73"/>
      <c r="HJ2182" s="73"/>
      <c r="HK2182" s="73"/>
      <c r="HL2182" s="73"/>
      <c r="HM2182" s="73"/>
      <c r="HN2182" s="73"/>
      <c r="HO2182" s="73"/>
      <c r="HP2182" s="73"/>
      <c r="HQ2182" s="73"/>
      <c r="HR2182" s="73"/>
      <c r="HS2182" s="73"/>
      <c r="HT2182" s="73"/>
      <c r="HU2182" s="73"/>
      <c r="HV2182" s="73"/>
      <c r="HW2182" s="73"/>
      <c r="HX2182" s="73"/>
      <c r="HY2182" s="73"/>
      <c r="HZ2182" s="73"/>
      <c r="IA2182" s="73"/>
      <c r="IB2182" s="73"/>
      <c r="IC2182" s="73"/>
      <c r="ID2182" s="73"/>
      <c r="IE2182" s="73"/>
      <c r="IF2182" s="73"/>
      <c r="IG2182" s="73"/>
      <c r="IH2182" s="73"/>
      <c r="II2182" s="73"/>
      <c r="IJ2182" s="73"/>
      <c r="IK2182" s="73"/>
      <c r="IL2182" s="73"/>
      <c r="IM2182" s="73"/>
      <c r="IN2182" s="73"/>
      <c r="IO2182" s="73"/>
      <c r="IP2182" s="73"/>
      <c r="IQ2182" s="73"/>
      <c r="IR2182" s="73"/>
      <c r="IS2182" s="73"/>
      <c r="IT2182" s="73"/>
      <c r="IU2182" s="73"/>
      <c r="IV2182" s="73"/>
      <c r="IW2182" s="73"/>
      <c r="IX2182" s="73"/>
      <c r="IY2182" s="73"/>
      <c r="IZ2182" s="73"/>
      <c r="JA2182" s="73"/>
      <c r="JB2182" s="73"/>
      <c r="JC2182" s="73"/>
    </row>
    <row r="2183" spans="2:263" s="72" customFormat="1">
      <c r="B2183" s="73"/>
      <c r="C2183" s="73"/>
      <c r="D2183" s="73"/>
      <c r="E2183" s="73"/>
      <c r="F2183" s="73"/>
      <c r="G2183" s="73"/>
      <c r="H2183" s="73"/>
      <c r="I2183" s="73"/>
      <c r="J2183" s="73"/>
      <c r="K2183" s="73"/>
      <c r="L2183" s="73"/>
      <c r="M2183" s="73"/>
      <c r="N2183" s="73"/>
      <c r="O2183" s="73"/>
      <c r="P2183" s="73"/>
      <c r="Q2183" s="73"/>
      <c r="R2183" s="73"/>
      <c r="S2183" s="73"/>
      <c r="T2183" s="73"/>
      <c r="U2183" s="73"/>
      <c r="V2183" s="73"/>
      <c r="W2183" s="73"/>
      <c r="GL2183" s="73"/>
      <c r="GM2183" s="73"/>
      <c r="GN2183" s="73"/>
      <c r="GO2183" s="73"/>
      <c r="GP2183" s="73"/>
      <c r="GQ2183" s="73"/>
      <c r="GR2183" s="73"/>
      <c r="GS2183" s="73"/>
      <c r="GT2183" s="73"/>
      <c r="GU2183" s="73"/>
      <c r="GV2183" s="73"/>
      <c r="GW2183" s="73"/>
      <c r="GX2183" s="73"/>
      <c r="GY2183" s="73"/>
      <c r="GZ2183" s="73"/>
      <c r="HA2183" s="73"/>
      <c r="HB2183" s="73"/>
      <c r="HC2183" s="73"/>
      <c r="HD2183" s="73"/>
      <c r="HE2183" s="73"/>
      <c r="HF2183" s="73"/>
      <c r="HG2183" s="73"/>
      <c r="HH2183" s="73"/>
      <c r="HI2183" s="73"/>
      <c r="HJ2183" s="73"/>
      <c r="HK2183" s="73"/>
      <c r="HL2183" s="73"/>
      <c r="HM2183" s="73"/>
      <c r="HN2183" s="73"/>
      <c r="HO2183" s="73"/>
      <c r="HP2183" s="73"/>
      <c r="HQ2183" s="73"/>
      <c r="HR2183" s="73"/>
      <c r="HS2183" s="73"/>
      <c r="HT2183" s="73"/>
      <c r="HU2183" s="73"/>
      <c r="HV2183" s="73"/>
      <c r="HW2183" s="73"/>
      <c r="HX2183" s="73"/>
      <c r="HY2183" s="73"/>
      <c r="HZ2183" s="73"/>
      <c r="IA2183" s="73"/>
      <c r="IB2183" s="73"/>
      <c r="IC2183" s="73"/>
      <c r="ID2183" s="73"/>
      <c r="IE2183" s="73"/>
      <c r="IF2183" s="73"/>
      <c r="IG2183" s="73"/>
      <c r="IH2183" s="73"/>
      <c r="II2183" s="73"/>
      <c r="IJ2183" s="73"/>
      <c r="IK2183" s="73"/>
      <c r="IL2183" s="73"/>
      <c r="IM2183" s="73"/>
      <c r="IN2183" s="73"/>
      <c r="IO2183" s="73"/>
      <c r="IP2183" s="73"/>
      <c r="IQ2183" s="73"/>
      <c r="IR2183" s="73"/>
      <c r="IS2183" s="73"/>
      <c r="IT2183" s="73"/>
      <c r="IU2183" s="73"/>
      <c r="IV2183" s="73"/>
      <c r="IW2183" s="73"/>
      <c r="IX2183" s="73"/>
      <c r="IY2183" s="73"/>
      <c r="IZ2183" s="73"/>
      <c r="JA2183" s="73"/>
      <c r="JB2183" s="73"/>
      <c r="JC2183" s="73"/>
    </row>
    <row r="2184" spans="2:263" s="72" customFormat="1">
      <c r="B2184" s="73"/>
      <c r="C2184" s="73"/>
      <c r="D2184" s="73"/>
      <c r="E2184" s="73"/>
      <c r="F2184" s="73"/>
      <c r="G2184" s="73"/>
      <c r="H2184" s="73"/>
      <c r="I2184" s="73"/>
      <c r="J2184" s="73"/>
      <c r="K2184" s="73"/>
      <c r="L2184" s="73"/>
      <c r="M2184" s="73"/>
      <c r="N2184" s="73"/>
      <c r="O2184" s="73"/>
      <c r="P2184" s="73"/>
      <c r="Q2184" s="73"/>
      <c r="R2184" s="73"/>
      <c r="S2184" s="73"/>
      <c r="T2184" s="73"/>
      <c r="U2184" s="73"/>
      <c r="V2184" s="73"/>
      <c r="W2184" s="73"/>
      <c r="GL2184" s="73"/>
      <c r="GM2184" s="73"/>
      <c r="GN2184" s="73"/>
      <c r="GO2184" s="73"/>
      <c r="GP2184" s="73"/>
      <c r="GQ2184" s="73"/>
      <c r="GR2184" s="73"/>
      <c r="GS2184" s="73"/>
      <c r="GT2184" s="73"/>
      <c r="GU2184" s="73"/>
      <c r="GV2184" s="73"/>
      <c r="GW2184" s="73"/>
      <c r="GX2184" s="73"/>
      <c r="GY2184" s="73"/>
      <c r="GZ2184" s="73"/>
      <c r="HA2184" s="73"/>
      <c r="HB2184" s="73"/>
      <c r="HC2184" s="73"/>
      <c r="HD2184" s="73"/>
      <c r="HE2184" s="73"/>
      <c r="HF2184" s="73"/>
      <c r="HG2184" s="73"/>
      <c r="HH2184" s="73"/>
      <c r="HI2184" s="73"/>
      <c r="HJ2184" s="73"/>
      <c r="HK2184" s="73"/>
      <c r="HL2184" s="73"/>
      <c r="HM2184" s="73"/>
      <c r="HN2184" s="73"/>
      <c r="HO2184" s="73"/>
      <c r="HP2184" s="73"/>
      <c r="HQ2184" s="73"/>
      <c r="HR2184" s="73"/>
      <c r="HS2184" s="73"/>
      <c r="HT2184" s="73"/>
      <c r="HU2184" s="73"/>
      <c r="HV2184" s="73"/>
      <c r="HW2184" s="73"/>
      <c r="HX2184" s="73"/>
      <c r="HY2184" s="73"/>
      <c r="HZ2184" s="73"/>
      <c r="IA2184" s="73"/>
      <c r="IB2184" s="73"/>
      <c r="IC2184" s="73"/>
      <c r="ID2184" s="73"/>
      <c r="IE2184" s="73"/>
      <c r="IF2184" s="73"/>
      <c r="IG2184" s="73"/>
      <c r="IH2184" s="73"/>
      <c r="II2184" s="73"/>
      <c r="IJ2184" s="73"/>
      <c r="IK2184" s="73"/>
      <c r="IL2184" s="73"/>
      <c r="IM2184" s="73"/>
      <c r="IN2184" s="73"/>
      <c r="IO2184" s="73"/>
      <c r="IP2184" s="73"/>
      <c r="IQ2184" s="73"/>
      <c r="IR2184" s="73"/>
      <c r="IS2184" s="73"/>
      <c r="IT2184" s="73"/>
      <c r="IU2184" s="73"/>
      <c r="IV2184" s="73"/>
      <c r="IW2184" s="73"/>
      <c r="IX2184" s="73"/>
      <c r="IY2184" s="73"/>
      <c r="IZ2184" s="73"/>
      <c r="JA2184" s="73"/>
      <c r="JB2184" s="73"/>
      <c r="JC2184" s="73"/>
    </row>
    <row r="2185" spans="2:263" s="72" customFormat="1">
      <c r="B2185" s="73"/>
      <c r="C2185" s="73"/>
      <c r="D2185" s="73"/>
      <c r="E2185" s="73"/>
      <c r="F2185" s="73"/>
      <c r="G2185" s="73"/>
      <c r="H2185" s="73"/>
      <c r="I2185" s="73"/>
      <c r="J2185" s="73"/>
      <c r="K2185" s="73"/>
      <c r="L2185" s="73"/>
      <c r="M2185" s="73"/>
      <c r="N2185" s="73"/>
      <c r="O2185" s="73"/>
      <c r="P2185" s="73"/>
      <c r="Q2185" s="73"/>
      <c r="R2185" s="73"/>
      <c r="S2185" s="73"/>
      <c r="T2185" s="73"/>
      <c r="U2185" s="73"/>
      <c r="V2185" s="73"/>
      <c r="W2185" s="73"/>
      <c r="GL2185" s="73"/>
      <c r="GM2185" s="73"/>
      <c r="GN2185" s="73"/>
      <c r="GO2185" s="73"/>
      <c r="GP2185" s="73"/>
      <c r="GQ2185" s="73"/>
      <c r="GR2185" s="73"/>
      <c r="GS2185" s="73"/>
      <c r="GT2185" s="73"/>
      <c r="GU2185" s="73"/>
      <c r="GV2185" s="73"/>
      <c r="GW2185" s="73"/>
      <c r="GX2185" s="73"/>
      <c r="GY2185" s="73"/>
      <c r="GZ2185" s="73"/>
      <c r="HA2185" s="73"/>
      <c r="HB2185" s="73"/>
      <c r="HC2185" s="73"/>
      <c r="HD2185" s="73"/>
      <c r="HE2185" s="73"/>
      <c r="HF2185" s="73"/>
      <c r="HG2185" s="73"/>
      <c r="HH2185" s="73"/>
      <c r="HI2185" s="73"/>
      <c r="HJ2185" s="73"/>
      <c r="HK2185" s="73"/>
      <c r="HL2185" s="73"/>
      <c r="HM2185" s="73"/>
      <c r="HN2185" s="73"/>
      <c r="HO2185" s="73"/>
      <c r="HP2185" s="73"/>
      <c r="HQ2185" s="73"/>
      <c r="HR2185" s="73"/>
      <c r="HS2185" s="73"/>
      <c r="HT2185" s="73"/>
      <c r="HU2185" s="73"/>
      <c r="HV2185" s="73"/>
      <c r="HW2185" s="73"/>
      <c r="HX2185" s="73"/>
      <c r="HY2185" s="73"/>
      <c r="HZ2185" s="73"/>
      <c r="IA2185" s="73"/>
      <c r="IB2185" s="73"/>
      <c r="IC2185" s="73"/>
      <c r="ID2185" s="73"/>
      <c r="IE2185" s="73"/>
      <c r="IF2185" s="73"/>
      <c r="IG2185" s="73"/>
      <c r="IH2185" s="73"/>
      <c r="II2185" s="73"/>
      <c r="IJ2185" s="73"/>
      <c r="IK2185" s="73"/>
      <c r="IL2185" s="73"/>
      <c r="IM2185" s="73"/>
      <c r="IN2185" s="73"/>
      <c r="IO2185" s="73"/>
      <c r="IP2185" s="73"/>
      <c r="IQ2185" s="73"/>
      <c r="IR2185" s="73"/>
      <c r="IS2185" s="73"/>
      <c r="IT2185" s="73"/>
      <c r="IU2185" s="73"/>
      <c r="IV2185" s="73"/>
      <c r="IW2185" s="73"/>
      <c r="IX2185" s="73"/>
      <c r="IY2185" s="73"/>
      <c r="IZ2185" s="73"/>
      <c r="JA2185" s="73"/>
      <c r="JB2185" s="73"/>
      <c r="JC2185" s="73"/>
    </row>
    <row r="2186" spans="2:263" s="72" customFormat="1">
      <c r="B2186" s="73"/>
      <c r="C2186" s="73"/>
      <c r="D2186" s="73"/>
      <c r="E2186" s="73"/>
      <c r="F2186" s="73"/>
      <c r="G2186" s="73"/>
      <c r="H2186" s="73"/>
      <c r="I2186" s="73"/>
      <c r="J2186" s="73"/>
      <c r="K2186" s="73"/>
      <c r="L2186" s="73"/>
      <c r="M2186" s="73"/>
      <c r="N2186" s="73"/>
      <c r="O2186" s="73"/>
      <c r="P2186" s="73"/>
      <c r="Q2186" s="73"/>
      <c r="R2186" s="73"/>
      <c r="S2186" s="73"/>
      <c r="T2186" s="73"/>
      <c r="U2186" s="73"/>
      <c r="V2186" s="73"/>
      <c r="W2186" s="73"/>
      <c r="GL2186" s="73"/>
      <c r="GM2186" s="73"/>
      <c r="GN2186" s="73"/>
      <c r="GO2186" s="73"/>
      <c r="GP2186" s="73"/>
      <c r="GQ2186" s="73"/>
      <c r="GR2186" s="73"/>
      <c r="GS2186" s="73"/>
      <c r="GT2186" s="73"/>
      <c r="GU2186" s="73"/>
      <c r="GV2186" s="73"/>
      <c r="GW2186" s="73"/>
      <c r="GX2186" s="73"/>
      <c r="GY2186" s="73"/>
      <c r="GZ2186" s="73"/>
      <c r="HA2186" s="73"/>
      <c r="HB2186" s="73"/>
      <c r="HC2186" s="73"/>
      <c r="HD2186" s="73"/>
      <c r="HE2186" s="73"/>
      <c r="HF2186" s="73"/>
      <c r="HG2186" s="73"/>
      <c r="HH2186" s="73"/>
      <c r="HI2186" s="73"/>
      <c r="HJ2186" s="73"/>
      <c r="HK2186" s="73"/>
      <c r="HL2186" s="73"/>
      <c r="HM2186" s="73"/>
      <c r="HN2186" s="73"/>
      <c r="HO2186" s="73"/>
      <c r="HP2186" s="73"/>
      <c r="HQ2186" s="73"/>
      <c r="HR2186" s="73"/>
      <c r="HS2186" s="73"/>
      <c r="HT2186" s="73"/>
      <c r="HU2186" s="73"/>
      <c r="HV2186" s="73"/>
      <c r="HW2186" s="73"/>
      <c r="HX2186" s="73"/>
      <c r="HY2186" s="73"/>
      <c r="HZ2186" s="73"/>
      <c r="IA2186" s="73"/>
      <c r="IB2186" s="73"/>
      <c r="IC2186" s="73"/>
      <c r="ID2186" s="73"/>
      <c r="IE2186" s="73"/>
      <c r="IF2186" s="73"/>
      <c r="IG2186" s="73"/>
      <c r="IH2186" s="73"/>
      <c r="II2186" s="73"/>
      <c r="IJ2186" s="73"/>
      <c r="IK2186" s="73"/>
      <c r="IL2186" s="73"/>
      <c r="IM2186" s="73"/>
      <c r="IN2186" s="73"/>
      <c r="IO2186" s="73"/>
      <c r="IP2186" s="73"/>
      <c r="IQ2186" s="73"/>
      <c r="IR2186" s="73"/>
      <c r="IS2186" s="73"/>
      <c r="IT2186" s="73"/>
      <c r="IU2186" s="73"/>
      <c r="IV2186" s="73"/>
      <c r="IW2186" s="73"/>
      <c r="IX2186" s="73"/>
      <c r="IY2186" s="73"/>
      <c r="IZ2186" s="73"/>
      <c r="JA2186" s="73"/>
      <c r="JB2186" s="73"/>
      <c r="JC2186" s="73"/>
    </row>
    <row r="2187" spans="2:263" s="72" customFormat="1">
      <c r="B2187" s="73"/>
      <c r="C2187" s="73"/>
      <c r="D2187" s="73"/>
      <c r="E2187" s="73"/>
      <c r="F2187" s="73"/>
      <c r="G2187" s="73"/>
      <c r="H2187" s="73"/>
      <c r="I2187" s="73"/>
      <c r="J2187" s="73"/>
      <c r="K2187" s="73"/>
      <c r="L2187" s="73"/>
      <c r="M2187" s="73"/>
      <c r="N2187" s="73"/>
      <c r="O2187" s="73"/>
      <c r="P2187" s="73"/>
      <c r="Q2187" s="73"/>
      <c r="R2187" s="73"/>
      <c r="S2187" s="73"/>
      <c r="T2187" s="73"/>
      <c r="U2187" s="73"/>
      <c r="V2187" s="73"/>
      <c r="W2187" s="73"/>
      <c r="GL2187" s="73"/>
      <c r="GM2187" s="73"/>
      <c r="GN2187" s="73"/>
      <c r="GO2187" s="73"/>
      <c r="GP2187" s="73"/>
      <c r="GQ2187" s="73"/>
      <c r="GR2187" s="73"/>
      <c r="GS2187" s="73"/>
      <c r="GT2187" s="73"/>
      <c r="GU2187" s="73"/>
      <c r="GV2187" s="73"/>
      <c r="GW2187" s="73"/>
      <c r="GX2187" s="73"/>
      <c r="GY2187" s="73"/>
      <c r="GZ2187" s="73"/>
      <c r="HA2187" s="73"/>
      <c r="HB2187" s="73"/>
      <c r="HC2187" s="73"/>
      <c r="HD2187" s="73"/>
      <c r="HE2187" s="73"/>
      <c r="HF2187" s="73"/>
      <c r="HG2187" s="73"/>
      <c r="HH2187" s="73"/>
      <c r="HI2187" s="73"/>
      <c r="HJ2187" s="73"/>
      <c r="HK2187" s="73"/>
      <c r="HL2187" s="73"/>
      <c r="HM2187" s="73"/>
      <c r="HN2187" s="73"/>
      <c r="HO2187" s="73"/>
      <c r="HP2187" s="73"/>
      <c r="HQ2187" s="73"/>
      <c r="HR2187" s="73"/>
      <c r="HS2187" s="73"/>
      <c r="HT2187" s="73"/>
      <c r="HU2187" s="73"/>
      <c r="HV2187" s="73"/>
      <c r="HW2187" s="73"/>
      <c r="HX2187" s="73"/>
      <c r="HY2187" s="73"/>
      <c r="HZ2187" s="73"/>
      <c r="IA2187" s="73"/>
      <c r="IB2187" s="73"/>
      <c r="IC2187" s="73"/>
      <c r="ID2187" s="73"/>
      <c r="IE2187" s="73"/>
      <c r="IF2187" s="73"/>
      <c r="IG2187" s="73"/>
      <c r="IH2187" s="73"/>
      <c r="II2187" s="73"/>
      <c r="IJ2187" s="73"/>
      <c r="IK2187" s="73"/>
      <c r="IL2187" s="73"/>
      <c r="IM2187" s="73"/>
      <c r="IN2187" s="73"/>
      <c r="IO2187" s="73"/>
      <c r="IP2187" s="73"/>
      <c r="IQ2187" s="73"/>
      <c r="IR2187" s="73"/>
      <c r="IS2187" s="73"/>
      <c r="IT2187" s="73"/>
      <c r="IU2187" s="73"/>
      <c r="IV2187" s="73"/>
      <c r="IW2187" s="73"/>
      <c r="IX2187" s="73"/>
      <c r="IY2187" s="73"/>
      <c r="IZ2187" s="73"/>
      <c r="JA2187" s="73"/>
      <c r="JB2187" s="73"/>
      <c r="JC2187" s="73"/>
    </row>
    <row r="2188" spans="2:263" s="72" customFormat="1">
      <c r="B2188" s="73"/>
      <c r="C2188" s="73"/>
      <c r="D2188" s="73"/>
      <c r="E2188" s="73"/>
      <c r="F2188" s="73"/>
      <c r="G2188" s="73"/>
      <c r="H2188" s="73"/>
      <c r="I2188" s="73"/>
      <c r="J2188" s="73"/>
      <c r="K2188" s="73"/>
      <c r="L2188" s="73"/>
      <c r="M2188" s="73"/>
      <c r="N2188" s="73"/>
      <c r="O2188" s="73"/>
      <c r="P2188" s="73"/>
      <c r="Q2188" s="73"/>
      <c r="R2188" s="73"/>
      <c r="S2188" s="73"/>
      <c r="T2188" s="73"/>
      <c r="U2188" s="73"/>
      <c r="V2188" s="73"/>
      <c r="W2188" s="73"/>
      <c r="GL2188" s="73"/>
      <c r="GM2188" s="73"/>
      <c r="GN2188" s="73"/>
      <c r="GO2188" s="73"/>
      <c r="GP2188" s="73"/>
      <c r="GQ2188" s="73"/>
      <c r="GR2188" s="73"/>
      <c r="GS2188" s="73"/>
      <c r="GT2188" s="73"/>
      <c r="GU2188" s="73"/>
      <c r="GV2188" s="73"/>
      <c r="GW2188" s="73"/>
      <c r="GX2188" s="73"/>
      <c r="GY2188" s="73"/>
      <c r="GZ2188" s="73"/>
      <c r="HA2188" s="73"/>
      <c r="HB2188" s="73"/>
      <c r="HC2188" s="73"/>
      <c r="HD2188" s="73"/>
      <c r="HE2188" s="73"/>
      <c r="HF2188" s="73"/>
      <c r="HG2188" s="73"/>
      <c r="HH2188" s="73"/>
      <c r="HI2188" s="73"/>
      <c r="HJ2188" s="73"/>
      <c r="HK2188" s="73"/>
      <c r="HL2188" s="73"/>
      <c r="HM2188" s="73"/>
      <c r="HN2188" s="73"/>
      <c r="HO2188" s="73"/>
      <c r="HP2188" s="73"/>
      <c r="HQ2188" s="73"/>
      <c r="HR2188" s="73"/>
      <c r="HS2188" s="73"/>
      <c r="HT2188" s="73"/>
      <c r="HU2188" s="73"/>
      <c r="HV2188" s="73"/>
      <c r="HW2188" s="73"/>
      <c r="HX2188" s="73"/>
      <c r="HY2188" s="73"/>
      <c r="HZ2188" s="73"/>
      <c r="IA2188" s="73"/>
      <c r="IB2188" s="73"/>
      <c r="IC2188" s="73"/>
      <c r="ID2188" s="73"/>
      <c r="IE2188" s="73"/>
      <c r="IF2188" s="73"/>
      <c r="IG2188" s="73"/>
      <c r="IH2188" s="73"/>
      <c r="II2188" s="73"/>
      <c r="IJ2188" s="73"/>
      <c r="IK2188" s="73"/>
      <c r="IL2188" s="73"/>
      <c r="IM2188" s="73"/>
      <c r="IN2188" s="73"/>
      <c r="IO2188" s="73"/>
      <c r="IP2188" s="73"/>
      <c r="IQ2188" s="73"/>
      <c r="IR2188" s="73"/>
      <c r="IS2188" s="73"/>
      <c r="IT2188" s="73"/>
      <c r="IU2188" s="73"/>
      <c r="IV2188" s="73"/>
      <c r="IW2188" s="73"/>
      <c r="IX2188" s="73"/>
      <c r="IY2188" s="73"/>
      <c r="IZ2188" s="73"/>
      <c r="JA2188" s="73"/>
      <c r="JB2188" s="73"/>
      <c r="JC2188" s="73"/>
    </row>
    <row r="2189" spans="2:263" s="72" customFormat="1">
      <c r="B2189" s="73"/>
      <c r="C2189" s="73"/>
      <c r="D2189" s="73"/>
      <c r="E2189" s="73"/>
      <c r="F2189" s="73"/>
      <c r="G2189" s="73"/>
      <c r="H2189" s="73"/>
      <c r="I2189" s="73"/>
      <c r="J2189" s="73"/>
      <c r="K2189" s="73"/>
      <c r="L2189" s="73"/>
      <c r="M2189" s="73"/>
      <c r="N2189" s="73"/>
      <c r="O2189" s="73"/>
      <c r="P2189" s="73"/>
      <c r="Q2189" s="73"/>
      <c r="R2189" s="73"/>
      <c r="S2189" s="73"/>
      <c r="T2189" s="73"/>
      <c r="U2189" s="73"/>
      <c r="V2189" s="73"/>
      <c r="W2189" s="73"/>
      <c r="GL2189" s="73"/>
      <c r="GM2189" s="73"/>
      <c r="GN2189" s="73"/>
      <c r="GO2189" s="73"/>
      <c r="GP2189" s="73"/>
      <c r="GQ2189" s="73"/>
      <c r="GR2189" s="73"/>
      <c r="GS2189" s="73"/>
      <c r="GT2189" s="73"/>
      <c r="GU2189" s="73"/>
      <c r="GV2189" s="73"/>
      <c r="GW2189" s="73"/>
      <c r="GX2189" s="73"/>
      <c r="GY2189" s="73"/>
      <c r="GZ2189" s="73"/>
      <c r="HA2189" s="73"/>
      <c r="HB2189" s="73"/>
      <c r="HC2189" s="73"/>
      <c r="HD2189" s="73"/>
      <c r="HE2189" s="73"/>
      <c r="HF2189" s="73"/>
      <c r="HG2189" s="73"/>
      <c r="HH2189" s="73"/>
      <c r="HI2189" s="73"/>
      <c r="HJ2189" s="73"/>
      <c r="HK2189" s="73"/>
      <c r="HL2189" s="73"/>
      <c r="HM2189" s="73"/>
      <c r="HN2189" s="73"/>
      <c r="HO2189" s="73"/>
      <c r="HP2189" s="73"/>
      <c r="HQ2189" s="73"/>
      <c r="HR2189" s="73"/>
      <c r="HS2189" s="73"/>
      <c r="HT2189" s="73"/>
      <c r="HU2189" s="73"/>
      <c r="HV2189" s="73"/>
      <c r="HW2189" s="73"/>
      <c r="HX2189" s="73"/>
      <c r="HY2189" s="73"/>
      <c r="HZ2189" s="73"/>
      <c r="IA2189" s="73"/>
      <c r="IB2189" s="73"/>
      <c r="IC2189" s="73"/>
      <c r="ID2189" s="73"/>
      <c r="IE2189" s="73"/>
      <c r="IF2189" s="73"/>
      <c r="IG2189" s="73"/>
      <c r="IH2189" s="73"/>
      <c r="II2189" s="73"/>
      <c r="IJ2189" s="73"/>
      <c r="IK2189" s="73"/>
      <c r="IL2189" s="73"/>
      <c r="IM2189" s="73"/>
      <c r="IN2189" s="73"/>
      <c r="IO2189" s="73"/>
      <c r="IP2189" s="73"/>
      <c r="IQ2189" s="73"/>
      <c r="IR2189" s="73"/>
      <c r="IS2189" s="73"/>
      <c r="IT2189" s="73"/>
      <c r="IU2189" s="73"/>
      <c r="IV2189" s="73"/>
      <c r="IW2189" s="73"/>
      <c r="IX2189" s="73"/>
      <c r="IY2189" s="73"/>
      <c r="IZ2189" s="73"/>
      <c r="JA2189" s="73"/>
      <c r="JB2189" s="73"/>
      <c r="JC2189" s="73"/>
    </row>
    <row r="2190" spans="2:263" s="72" customFormat="1">
      <c r="B2190" s="73"/>
      <c r="C2190" s="73"/>
      <c r="D2190" s="73"/>
      <c r="E2190" s="73"/>
      <c r="F2190" s="73"/>
      <c r="G2190" s="73"/>
      <c r="H2190" s="73"/>
      <c r="I2190" s="73"/>
      <c r="J2190" s="73"/>
      <c r="K2190" s="73"/>
      <c r="L2190" s="73"/>
      <c r="M2190" s="73"/>
      <c r="N2190" s="73"/>
      <c r="O2190" s="73"/>
      <c r="P2190" s="73"/>
      <c r="Q2190" s="73"/>
      <c r="R2190" s="73"/>
      <c r="S2190" s="73"/>
      <c r="T2190" s="73"/>
      <c r="U2190" s="73"/>
      <c r="V2190" s="73"/>
      <c r="W2190" s="73"/>
      <c r="GL2190" s="73"/>
      <c r="GM2190" s="73"/>
      <c r="GN2190" s="73"/>
      <c r="GO2190" s="73"/>
      <c r="GP2190" s="73"/>
      <c r="GQ2190" s="73"/>
      <c r="GR2190" s="73"/>
      <c r="GS2190" s="73"/>
      <c r="GT2190" s="73"/>
      <c r="GU2190" s="73"/>
      <c r="GV2190" s="73"/>
      <c r="GW2190" s="73"/>
      <c r="GX2190" s="73"/>
      <c r="GY2190" s="73"/>
      <c r="GZ2190" s="73"/>
      <c r="HA2190" s="73"/>
      <c r="HB2190" s="73"/>
      <c r="HC2190" s="73"/>
      <c r="HD2190" s="73"/>
      <c r="HE2190" s="73"/>
      <c r="HF2190" s="73"/>
      <c r="HG2190" s="73"/>
      <c r="HH2190" s="73"/>
      <c r="HI2190" s="73"/>
      <c r="HJ2190" s="73"/>
      <c r="HK2190" s="73"/>
      <c r="HL2190" s="73"/>
      <c r="HM2190" s="73"/>
      <c r="HN2190" s="73"/>
      <c r="HO2190" s="73"/>
      <c r="HP2190" s="73"/>
      <c r="HQ2190" s="73"/>
      <c r="HR2190" s="73"/>
      <c r="HS2190" s="73"/>
      <c r="HT2190" s="73"/>
      <c r="HU2190" s="73"/>
      <c r="HV2190" s="73"/>
      <c r="HW2190" s="73"/>
      <c r="HX2190" s="73"/>
      <c r="HY2190" s="73"/>
      <c r="HZ2190" s="73"/>
      <c r="IA2190" s="73"/>
      <c r="IB2190" s="73"/>
      <c r="IC2190" s="73"/>
      <c r="ID2190" s="73"/>
      <c r="IE2190" s="73"/>
      <c r="IF2190" s="73"/>
      <c r="IG2190" s="73"/>
      <c r="IH2190" s="73"/>
      <c r="II2190" s="73"/>
      <c r="IJ2190" s="73"/>
      <c r="IK2190" s="73"/>
      <c r="IL2190" s="73"/>
      <c r="IM2190" s="73"/>
      <c r="IN2190" s="73"/>
      <c r="IO2190" s="73"/>
      <c r="IP2190" s="73"/>
      <c r="IQ2190" s="73"/>
      <c r="IR2190" s="73"/>
      <c r="IS2190" s="73"/>
      <c r="IT2190" s="73"/>
      <c r="IU2190" s="73"/>
      <c r="IV2190" s="73"/>
      <c r="IW2190" s="73"/>
      <c r="IX2190" s="73"/>
      <c r="IY2190" s="73"/>
      <c r="IZ2190" s="73"/>
      <c r="JA2190" s="73"/>
      <c r="JB2190" s="73"/>
      <c r="JC2190" s="73"/>
    </row>
    <row r="2191" spans="2:263" s="72" customFormat="1">
      <c r="B2191" s="73"/>
      <c r="C2191" s="73"/>
      <c r="D2191" s="73"/>
      <c r="E2191" s="73"/>
      <c r="F2191" s="73"/>
      <c r="G2191" s="73"/>
      <c r="H2191" s="73"/>
      <c r="I2191" s="73"/>
      <c r="J2191" s="73"/>
      <c r="K2191" s="73"/>
      <c r="L2191" s="73"/>
      <c r="M2191" s="73"/>
      <c r="N2191" s="73"/>
      <c r="O2191" s="73"/>
      <c r="P2191" s="73"/>
      <c r="Q2191" s="73"/>
      <c r="R2191" s="73"/>
      <c r="S2191" s="73"/>
      <c r="T2191" s="73"/>
      <c r="U2191" s="73"/>
      <c r="V2191" s="73"/>
      <c r="W2191" s="73"/>
      <c r="GL2191" s="73"/>
      <c r="GM2191" s="73"/>
      <c r="GN2191" s="73"/>
      <c r="GO2191" s="73"/>
      <c r="GP2191" s="73"/>
      <c r="GQ2191" s="73"/>
      <c r="GR2191" s="73"/>
      <c r="GS2191" s="73"/>
      <c r="GT2191" s="73"/>
      <c r="GU2191" s="73"/>
      <c r="GV2191" s="73"/>
      <c r="GW2191" s="73"/>
      <c r="GX2191" s="73"/>
      <c r="GY2191" s="73"/>
      <c r="GZ2191" s="73"/>
      <c r="HA2191" s="73"/>
      <c r="HB2191" s="73"/>
      <c r="HC2191" s="73"/>
      <c r="HD2191" s="73"/>
      <c r="HE2191" s="73"/>
      <c r="HF2191" s="73"/>
      <c r="HG2191" s="73"/>
      <c r="HH2191" s="73"/>
      <c r="HI2191" s="73"/>
      <c r="HJ2191" s="73"/>
      <c r="HK2191" s="73"/>
      <c r="HL2191" s="73"/>
      <c r="HM2191" s="73"/>
      <c r="HN2191" s="73"/>
      <c r="HO2191" s="73"/>
      <c r="HP2191" s="73"/>
      <c r="HQ2191" s="73"/>
      <c r="HR2191" s="73"/>
      <c r="HS2191" s="73"/>
      <c r="HT2191" s="73"/>
      <c r="HU2191" s="73"/>
      <c r="HV2191" s="73"/>
      <c r="HW2191" s="73"/>
      <c r="HX2191" s="73"/>
      <c r="HY2191" s="73"/>
      <c r="HZ2191" s="73"/>
      <c r="IA2191" s="73"/>
      <c r="IB2191" s="73"/>
      <c r="IC2191" s="73"/>
      <c r="ID2191" s="73"/>
      <c r="IE2191" s="73"/>
      <c r="IF2191" s="73"/>
      <c r="IG2191" s="73"/>
      <c r="IH2191" s="73"/>
      <c r="II2191" s="73"/>
      <c r="IJ2191" s="73"/>
      <c r="IK2191" s="73"/>
      <c r="IL2191" s="73"/>
      <c r="IM2191" s="73"/>
      <c r="IN2191" s="73"/>
      <c r="IO2191" s="73"/>
      <c r="IP2191" s="73"/>
      <c r="IQ2191" s="73"/>
      <c r="IR2191" s="73"/>
      <c r="IS2191" s="73"/>
      <c r="IT2191" s="73"/>
      <c r="IU2191" s="73"/>
      <c r="IV2191" s="73"/>
      <c r="IW2191" s="73"/>
      <c r="IX2191" s="73"/>
      <c r="IY2191" s="73"/>
      <c r="IZ2191" s="73"/>
      <c r="JA2191" s="73"/>
      <c r="JB2191" s="73"/>
      <c r="JC2191" s="73"/>
    </row>
    <row r="2192" spans="2:263" s="72" customFormat="1">
      <c r="B2192" s="73"/>
      <c r="C2192" s="73"/>
      <c r="D2192" s="73"/>
      <c r="E2192" s="73"/>
      <c r="F2192" s="73"/>
      <c r="G2192" s="73"/>
      <c r="H2192" s="73"/>
      <c r="I2192" s="73"/>
      <c r="J2192" s="73"/>
      <c r="K2192" s="73"/>
      <c r="L2192" s="73"/>
      <c r="M2192" s="73"/>
      <c r="N2192" s="73"/>
      <c r="O2192" s="73"/>
      <c r="P2192" s="73"/>
      <c r="Q2192" s="73"/>
      <c r="R2192" s="73"/>
      <c r="S2192" s="73"/>
      <c r="T2192" s="73"/>
      <c r="U2192" s="73"/>
      <c r="V2192" s="73"/>
      <c r="W2192" s="73"/>
      <c r="GL2192" s="73"/>
      <c r="GM2192" s="73"/>
      <c r="GN2192" s="73"/>
      <c r="GO2192" s="73"/>
      <c r="GP2192" s="73"/>
      <c r="GQ2192" s="73"/>
      <c r="GR2192" s="73"/>
      <c r="GS2192" s="73"/>
      <c r="GT2192" s="73"/>
      <c r="GU2192" s="73"/>
      <c r="GV2192" s="73"/>
      <c r="GW2192" s="73"/>
      <c r="GX2192" s="73"/>
      <c r="GY2192" s="73"/>
      <c r="GZ2192" s="73"/>
      <c r="HA2192" s="73"/>
      <c r="HB2192" s="73"/>
      <c r="HC2192" s="73"/>
      <c r="HD2192" s="73"/>
      <c r="HE2192" s="73"/>
      <c r="HF2192" s="73"/>
      <c r="HG2192" s="73"/>
      <c r="HH2192" s="73"/>
      <c r="HI2192" s="73"/>
      <c r="HJ2192" s="73"/>
      <c r="HK2192" s="73"/>
      <c r="HL2192" s="73"/>
      <c r="HM2192" s="73"/>
      <c r="HN2192" s="73"/>
      <c r="HO2192" s="73"/>
      <c r="HP2192" s="73"/>
      <c r="HQ2192" s="73"/>
      <c r="HR2192" s="73"/>
      <c r="HS2192" s="73"/>
      <c r="HT2192" s="73"/>
      <c r="HU2192" s="73"/>
      <c r="HV2192" s="73"/>
      <c r="HW2192" s="73"/>
      <c r="HX2192" s="73"/>
      <c r="HY2192" s="73"/>
      <c r="HZ2192" s="73"/>
      <c r="IA2192" s="73"/>
      <c r="IB2192" s="73"/>
      <c r="IC2192" s="73"/>
      <c r="ID2192" s="73"/>
      <c r="IE2192" s="73"/>
      <c r="IF2192" s="73"/>
      <c r="IG2192" s="73"/>
      <c r="IH2192" s="73"/>
      <c r="II2192" s="73"/>
      <c r="IJ2192" s="73"/>
      <c r="IK2192" s="73"/>
      <c r="IL2192" s="73"/>
      <c r="IM2192" s="73"/>
      <c r="IN2192" s="73"/>
      <c r="IO2192" s="73"/>
      <c r="IP2192" s="73"/>
      <c r="IQ2192" s="73"/>
      <c r="IR2192" s="73"/>
      <c r="IS2192" s="73"/>
      <c r="IT2192" s="73"/>
      <c r="IU2192" s="73"/>
      <c r="IV2192" s="73"/>
      <c r="IW2192" s="73"/>
      <c r="IX2192" s="73"/>
      <c r="IY2192" s="73"/>
      <c r="IZ2192" s="73"/>
      <c r="JA2192" s="73"/>
      <c r="JB2192" s="73"/>
      <c r="JC2192" s="73"/>
    </row>
    <row r="2193" spans="2:263" s="72" customFormat="1">
      <c r="B2193" s="73"/>
      <c r="C2193" s="73"/>
      <c r="D2193" s="73"/>
      <c r="E2193" s="73"/>
      <c r="F2193" s="73"/>
      <c r="G2193" s="73"/>
      <c r="H2193" s="73"/>
      <c r="I2193" s="73"/>
      <c r="J2193" s="73"/>
      <c r="K2193" s="73"/>
      <c r="L2193" s="73"/>
      <c r="M2193" s="73"/>
      <c r="N2193" s="73"/>
      <c r="O2193" s="73"/>
      <c r="P2193" s="73"/>
      <c r="Q2193" s="73"/>
      <c r="R2193" s="73"/>
      <c r="S2193" s="73"/>
      <c r="T2193" s="73"/>
      <c r="U2193" s="73"/>
      <c r="V2193" s="73"/>
      <c r="W2193" s="73"/>
      <c r="GL2193" s="73"/>
      <c r="GM2193" s="73"/>
      <c r="GN2193" s="73"/>
      <c r="GO2193" s="73"/>
      <c r="GP2193" s="73"/>
      <c r="GQ2193" s="73"/>
      <c r="GR2193" s="73"/>
      <c r="GS2193" s="73"/>
      <c r="GT2193" s="73"/>
      <c r="GU2193" s="73"/>
      <c r="GV2193" s="73"/>
      <c r="GW2193" s="73"/>
      <c r="GX2193" s="73"/>
      <c r="GY2193" s="73"/>
      <c r="GZ2193" s="73"/>
      <c r="HA2193" s="73"/>
      <c r="HB2193" s="73"/>
      <c r="HC2193" s="73"/>
      <c r="HD2193" s="73"/>
      <c r="HE2193" s="73"/>
      <c r="HF2193" s="73"/>
      <c r="HG2193" s="73"/>
      <c r="HH2193" s="73"/>
      <c r="HI2193" s="73"/>
      <c r="HJ2193" s="73"/>
      <c r="HK2193" s="73"/>
      <c r="HL2193" s="73"/>
      <c r="HM2193" s="73"/>
      <c r="HN2193" s="73"/>
      <c r="HO2193" s="73"/>
      <c r="HP2193" s="73"/>
      <c r="HQ2193" s="73"/>
      <c r="HR2193" s="73"/>
      <c r="HS2193" s="73"/>
      <c r="HT2193" s="73"/>
      <c r="HU2193" s="73"/>
      <c r="HV2193" s="73"/>
      <c r="HW2193" s="73"/>
      <c r="HX2193" s="73"/>
      <c r="HY2193" s="73"/>
      <c r="HZ2193" s="73"/>
      <c r="IA2193" s="73"/>
      <c r="IB2193" s="73"/>
      <c r="IC2193" s="73"/>
      <c r="ID2193" s="73"/>
      <c r="IE2193" s="73"/>
      <c r="IF2193" s="73"/>
      <c r="IG2193" s="73"/>
      <c r="IH2193" s="73"/>
      <c r="II2193" s="73"/>
      <c r="IJ2193" s="73"/>
      <c r="IK2193" s="73"/>
      <c r="IL2193" s="73"/>
      <c r="IM2193" s="73"/>
      <c r="IN2193" s="73"/>
      <c r="IO2193" s="73"/>
      <c r="IP2193" s="73"/>
      <c r="IQ2193" s="73"/>
      <c r="IR2193" s="73"/>
      <c r="IS2193" s="73"/>
      <c r="IT2193" s="73"/>
      <c r="IU2193" s="73"/>
      <c r="IV2193" s="73"/>
      <c r="IW2193" s="73"/>
      <c r="IX2193" s="73"/>
      <c r="IY2193" s="73"/>
      <c r="IZ2193" s="73"/>
      <c r="JA2193" s="73"/>
      <c r="JB2193" s="73"/>
      <c r="JC2193" s="73"/>
    </row>
    <row r="2194" spans="2:263" s="72" customFormat="1">
      <c r="B2194" s="73"/>
      <c r="C2194" s="73"/>
      <c r="D2194" s="73"/>
      <c r="E2194" s="73"/>
      <c r="F2194" s="73"/>
      <c r="G2194" s="73"/>
      <c r="H2194" s="73"/>
      <c r="I2194" s="73"/>
      <c r="J2194" s="73"/>
      <c r="K2194" s="73"/>
      <c r="L2194" s="73"/>
      <c r="M2194" s="73"/>
      <c r="N2194" s="73"/>
      <c r="O2194" s="73"/>
      <c r="P2194" s="73"/>
      <c r="Q2194" s="73"/>
      <c r="R2194" s="73"/>
      <c r="S2194" s="73"/>
      <c r="T2194" s="73"/>
      <c r="U2194" s="73"/>
      <c r="V2194" s="73"/>
      <c r="W2194" s="73"/>
      <c r="GL2194" s="73"/>
      <c r="GM2194" s="73"/>
      <c r="GN2194" s="73"/>
      <c r="GO2194" s="73"/>
      <c r="GP2194" s="73"/>
      <c r="GQ2194" s="73"/>
      <c r="GR2194" s="73"/>
      <c r="GS2194" s="73"/>
      <c r="GT2194" s="73"/>
      <c r="GU2194" s="73"/>
      <c r="GV2194" s="73"/>
      <c r="GW2194" s="73"/>
      <c r="GX2194" s="73"/>
      <c r="GY2194" s="73"/>
      <c r="GZ2194" s="73"/>
      <c r="HA2194" s="73"/>
      <c r="HB2194" s="73"/>
      <c r="HC2194" s="73"/>
      <c r="HD2194" s="73"/>
      <c r="HE2194" s="73"/>
      <c r="HF2194" s="73"/>
      <c r="HG2194" s="73"/>
      <c r="HH2194" s="73"/>
      <c r="HI2194" s="73"/>
      <c r="HJ2194" s="73"/>
      <c r="HK2194" s="73"/>
      <c r="HL2194" s="73"/>
      <c r="HM2194" s="73"/>
      <c r="HN2194" s="73"/>
      <c r="HO2194" s="73"/>
      <c r="HP2194" s="73"/>
      <c r="HQ2194" s="73"/>
      <c r="HR2194" s="73"/>
      <c r="HS2194" s="73"/>
      <c r="HT2194" s="73"/>
      <c r="HU2194" s="73"/>
      <c r="HV2194" s="73"/>
      <c r="HW2194" s="73"/>
      <c r="HX2194" s="73"/>
      <c r="HY2194" s="73"/>
      <c r="HZ2194" s="73"/>
      <c r="IA2194" s="73"/>
      <c r="IB2194" s="73"/>
      <c r="IC2194" s="73"/>
      <c r="ID2194" s="73"/>
      <c r="IE2194" s="73"/>
      <c r="IF2194" s="73"/>
      <c r="IG2194" s="73"/>
      <c r="IH2194" s="73"/>
      <c r="II2194" s="73"/>
      <c r="IJ2194" s="73"/>
      <c r="IK2194" s="73"/>
      <c r="IL2194" s="73"/>
      <c r="IM2194" s="73"/>
      <c r="IN2194" s="73"/>
      <c r="IO2194" s="73"/>
      <c r="IP2194" s="73"/>
      <c r="IQ2194" s="73"/>
      <c r="IR2194" s="73"/>
      <c r="IS2194" s="73"/>
      <c r="IT2194" s="73"/>
      <c r="IU2194" s="73"/>
      <c r="IV2194" s="73"/>
      <c r="IW2194" s="73"/>
      <c r="IX2194" s="73"/>
      <c r="IY2194" s="73"/>
      <c r="IZ2194" s="73"/>
      <c r="JA2194" s="73"/>
      <c r="JB2194" s="73"/>
      <c r="JC2194" s="73"/>
    </row>
    <row r="2195" spans="2:263" s="72" customFormat="1">
      <c r="B2195" s="73"/>
      <c r="C2195" s="73"/>
      <c r="D2195" s="73"/>
      <c r="E2195" s="73"/>
      <c r="F2195" s="73"/>
      <c r="G2195" s="73"/>
      <c r="H2195" s="73"/>
      <c r="I2195" s="73"/>
      <c r="J2195" s="73"/>
      <c r="K2195" s="73"/>
      <c r="L2195" s="73"/>
      <c r="M2195" s="73"/>
      <c r="N2195" s="73"/>
      <c r="O2195" s="73"/>
      <c r="P2195" s="73"/>
      <c r="Q2195" s="73"/>
      <c r="R2195" s="73"/>
      <c r="S2195" s="73"/>
      <c r="T2195" s="73"/>
      <c r="U2195" s="73"/>
      <c r="V2195" s="73"/>
      <c r="W2195" s="73"/>
      <c r="GL2195" s="73"/>
      <c r="GM2195" s="73"/>
      <c r="GN2195" s="73"/>
      <c r="GO2195" s="73"/>
      <c r="GP2195" s="73"/>
      <c r="GQ2195" s="73"/>
      <c r="GR2195" s="73"/>
      <c r="GS2195" s="73"/>
      <c r="GT2195" s="73"/>
      <c r="GU2195" s="73"/>
      <c r="GV2195" s="73"/>
      <c r="GW2195" s="73"/>
      <c r="GX2195" s="73"/>
      <c r="GY2195" s="73"/>
      <c r="GZ2195" s="73"/>
      <c r="HA2195" s="73"/>
      <c r="HB2195" s="73"/>
      <c r="HC2195" s="73"/>
      <c r="HD2195" s="73"/>
      <c r="HE2195" s="73"/>
      <c r="HF2195" s="73"/>
      <c r="HG2195" s="73"/>
      <c r="HH2195" s="73"/>
      <c r="HI2195" s="73"/>
      <c r="HJ2195" s="73"/>
      <c r="HK2195" s="73"/>
      <c r="HL2195" s="73"/>
      <c r="HM2195" s="73"/>
      <c r="HN2195" s="73"/>
      <c r="HO2195" s="73"/>
      <c r="HP2195" s="73"/>
      <c r="HQ2195" s="73"/>
      <c r="HR2195" s="73"/>
      <c r="HS2195" s="73"/>
      <c r="HT2195" s="73"/>
      <c r="HU2195" s="73"/>
      <c r="HV2195" s="73"/>
      <c r="HW2195" s="73"/>
      <c r="HX2195" s="73"/>
      <c r="HY2195" s="73"/>
      <c r="HZ2195" s="73"/>
      <c r="IA2195" s="73"/>
      <c r="IB2195" s="73"/>
      <c r="IC2195" s="73"/>
      <c r="ID2195" s="73"/>
      <c r="IE2195" s="73"/>
      <c r="IF2195" s="73"/>
      <c r="IG2195" s="73"/>
      <c r="IH2195" s="73"/>
      <c r="II2195" s="73"/>
      <c r="IJ2195" s="73"/>
      <c r="IK2195" s="73"/>
      <c r="IL2195" s="73"/>
      <c r="IM2195" s="73"/>
      <c r="IN2195" s="73"/>
      <c r="IO2195" s="73"/>
      <c r="IP2195" s="73"/>
      <c r="IQ2195" s="73"/>
      <c r="IR2195" s="73"/>
      <c r="IS2195" s="73"/>
      <c r="IT2195" s="73"/>
      <c r="IU2195" s="73"/>
      <c r="IV2195" s="73"/>
      <c r="IW2195" s="73"/>
      <c r="IX2195" s="73"/>
      <c r="IY2195" s="73"/>
      <c r="IZ2195" s="73"/>
      <c r="JA2195" s="73"/>
      <c r="JB2195" s="73"/>
      <c r="JC2195" s="73"/>
    </row>
    <row r="2196" spans="2:263" s="72" customFormat="1">
      <c r="B2196" s="73"/>
      <c r="C2196" s="73"/>
      <c r="D2196" s="73"/>
      <c r="E2196" s="73"/>
      <c r="F2196" s="73"/>
      <c r="G2196" s="73"/>
      <c r="H2196" s="73"/>
      <c r="I2196" s="73"/>
      <c r="J2196" s="73"/>
      <c r="K2196" s="73"/>
      <c r="L2196" s="73"/>
      <c r="M2196" s="73"/>
      <c r="N2196" s="73"/>
      <c r="O2196" s="73"/>
      <c r="P2196" s="73"/>
      <c r="Q2196" s="73"/>
      <c r="R2196" s="73"/>
      <c r="S2196" s="73"/>
      <c r="T2196" s="73"/>
      <c r="U2196" s="73"/>
      <c r="V2196" s="73"/>
      <c r="W2196" s="73"/>
      <c r="GL2196" s="73"/>
      <c r="GM2196" s="73"/>
      <c r="GN2196" s="73"/>
      <c r="GO2196" s="73"/>
      <c r="GP2196" s="73"/>
      <c r="GQ2196" s="73"/>
      <c r="GR2196" s="73"/>
      <c r="GS2196" s="73"/>
      <c r="GT2196" s="73"/>
      <c r="GU2196" s="73"/>
      <c r="GV2196" s="73"/>
      <c r="GW2196" s="73"/>
      <c r="GX2196" s="73"/>
      <c r="GY2196" s="73"/>
      <c r="GZ2196" s="73"/>
      <c r="HA2196" s="73"/>
      <c r="HB2196" s="73"/>
      <c r="HC2196" s="73"/>
      <c r="HD2196" s="73"/>
      <c r="HE2196" s="73"/>
      <c r="HF2196" s="73"/>
      <c r="HG2196" s="73"/>
      <c r="HH2196" s="73"/>
      <c r="HI2196" s="73"/>
      <c r="HJ2196" s="73"/>
      <c r="HK2196" s="73"/>
      <c r="HL2196" s="73"/>
      <c r="HM2196" s="73"/>
      <c r="HN2196" s="73"/>
      <c r="HO2196" s="73"/>
      <c r="HP2196" s="73"/>
      <c r="HQ2196" s="73"/>
      <c r="HR2196" s="73"/>
      <c r="HS2196" s="73"/>
      <c r="HT2196" s="73"/>
      <c r="HU2196" s="73"/>
      <c r="HV2196" s="73"/>
      <c r="HW2196" s="73"/>
      <c r="HX2196" s="73"/>
      <c r="HY2196" s="73"/>
      <c r="HZ2196" s="73"/>
      <c r="IA2196" s="73"/>
      <c r="IB2196" s="73"/>
      <c r="IC2196" s="73"/>
      <c r="ID2196" s="73"/>
      <c r="IE2196" s="73"/>
      <c r="IF2196" s="73"/>
      <c r="IG2196" s="73"/>
      <c r="IH2196" s="73"/>
      <c r="II2196" s="73"/>
      <c r="IJ2196" s="73"/>
      <c r="IK2196" s="73"/>
      <c r="IL2196" s="73"/>
      <c r="IM2196" s="73"/>
      <c r="IN2196" s="73"/>
      <c r="IO2196" s="73"/>
      <c r="IP2196" s="73"/>
      <c r="IQ2196" s="73"/>
      <c r="IR2196" s="73"/>
      <c r="IS2196" s="73"/>
      <c r="IT2196" s="73"/>
      <c r="IU2196" s="73"/>
      <c r="IV2196" s="73"/>
      <c r="IW2196" s="73"/>
      <c r="IX2196" s="73"/>
      <c r="IY2196" s="73"/>
      <c r="IZ2196" s="73"/>
      <c r="JA2196" s="73"/>
      <c r="JB2196" s="73"/>
      <c r="JC2196" s="73"/>
    </row>
    <row r="2197" spans="2:263" s="72" customFormat="1">
      <c r="B2197" s="73"/>
      <c r="C2197" s="73"/>
      <c r="D2197" s="73"/>
      <c r="E2197" s="73"/>
      <c r="F2197" s="73"/>
      <c r="G2197" s="73"/>
      <c r="H2197" s="73"/>
      <c r="I2197" s="73"/>
      <c r="J2197" s="73"/>
      <c r="K2197" s="73"/>
      <c r="L2197" s="73"/>
      <c r="M2197" s="73"/>
      <c r="N2197" s="73"/>
      <c r="O2197" s="73"/>
      <c r="P2197" s="73"/>
      <c r="Q2197" s="73"/>
      <c r="R2197" s="73"/>
      <c r="S2197" s="73"/>
      <c r="T2197" s="73"/>
      <c r="U2197" s="73"/>
      <c r="V2197" s="73"/>
      <c r="W2197" s="73"/>
      <c r="GL2197" s="73"/>
      <c r="GM2197" s="73"/>
      <c r="GN2197" s="73"/>
      <c r="GO2197" s="73"/>
      <c r="GP2197" s="73"/>
      <c r="GQ2197" s="73"/>
      <c r="GR2197" s="73"/>
      <c r="GS2197" s="73"/>
      <c r="GT2197" s="73"/>
      <c r="GU2197" s="73"/>
      <c r="GV2197" s="73"/>
      <c r="GW2197" s="73"/>
      <c r="GX2197" s="73"/>
      <c r="GY2197" s="73"/>
      <c r="GZ2197" s="73"/>
      <c r="HA2197" s="73"/>
      <c r="HB2197" s="73"/>
      <c r="HC2197" s="73"/>
      <c r="HD2197" s="73"/>
      <c r="HE2197" s="73"/>
      <c r="HF2197" s="73"/>
      <c r="HG2197" s="73"/>
      <c r="HH2197" s="73"/>
      <c r="HI2197" s="73"/>
      <c r="HJ2197" s="73"/>
      <c r="HK2197" s="73"/>
      <c r="HL2197" s="73"/>
      <c r="HM2197" s="73"/>
      <c r="HN2197" s="73"/>
      <c r="HO2197" s="73"/>
      <c r="HP2197" s="73"/>
      <c r="HQ2197" s="73"/>
      <c r="HR2197" s="73"/>
      <c r="HS2197" s="73"/>
      <c r="HT2197" s="73"/>
      <c r="HU2197" s="73"/>
      <c r="HV2197" s="73"/>
      <c r="HW2197" s="73"/>
      <c r="HX2197" s="73"/>
      <c r="HY2197" s="73"/>
      <c r="HZ2197" s="73"/>
      <c r="IA2197" s="73"/>
      <c r="IB2197" s="73"/>
      <c r="IC2197" s="73"/>
      <c r="ID2197" s="73"/>
      <c r="IE2197" s="73"/>
      <c r="IF2197" s="73"/>
      <c r="IG2197" s="73"/>
      <c r="IH2197" s="73"/>
      <c r="II2197" s="73"/>
      <c r="IJ2197" s="73"/>
      <c r="IK2197" s="73"/>
      <c r="IL2197" s="73"/>
      <c r="IM2197" s="73"/>
      <c r="IN2197" s="73"/>
      <c r="IO2197" s="73"/>
      <c r="IP2197" s="73"/>
      <c r="IQ2197" s="73"/>
      <c r="IR2197" s="73"/>
      <c r="IS2197" s="73"/>
      <c r="IT2197" s="73"/>
      <c r="IU2197" s="73"/>
      <c r="IV2197" s="73"/>
      <c r="IW2197" s="73"/>
      <c r="IX2197" s="73"/>
      <c r="IY2197" s="73"/>
      <c r="IZ2197" s="73"/>
      <c r="JA2197" s="73"/>
      <c r="JB2197" s="73"/>
      <c r="JC2197" s="73"/>
    </row>
    <row r="2198" spans="2:263" s="72" customFormat="1">
      <c r="B2198" s="73"/>
      <c r="C2198" s="73"/>
      <c r="D2198" s="73"/>
      <c r="E2198" s="73"/>
      <c r="F2198" s="73"/>
      <c r="G2198" s="73"/>
      <c r="H2198" s="73"/>
      <c r="I2198" s="73"/>
      <c r="J2198" s="73"/>
      <c r="K2198" s="73"/>
      <c r="L2198" s="73"/>
      <c r="M2198" s="73"/>
      <c r="N2198" s="73"/>
      <c r="O2198" s="73"/>
      <c r="P2198" s="73"/>
      <c r="Q2198" s="73"/>
      <c r="R2198" s="73"/>
      <c r="S2198" s="73"/>
      <c r="T2198" s="73"/>
      <c r="U2198" s="73"/>
      <c r="V2198" s="73"/>
      <c r="W2198" s="73"/>
      <c r="GL2198" s="73"/>
      <c r="GM2198" s="73"/>
      <c r="GN2198" s="73"/>
      <c r="GO2198" s="73"/>
      <c r="GP2198" s="73"/>
      <c r="GQ2198" s="73"/>
      <c r="GR2198" s="73"/>
      <c r="GS2198" s="73"/>
      <c r="GT2198" s="73"/>
      <c r="GU2198" s="73"/>
      <c r="GV2198" s="73"/>
      <c r="GW2198" s="73"/>
      <c r="GX2198" s="73"/>
      <c r="GY2198" s="73"/>
      <c r="GZ2198" s="73"/>
      <c r="HA2198" s="73"/>
      <c r="HB2198" s="73"/>
      <c r="HC2198" s="73"/>
      <c r="HD2198" s="73"/>
      <c r="HE2198" s="73"/>
      <c r="HF2198" s="73"/>
      <c r="HG2198" s="73"/>
      <c r="HH2198" s="73"/>
      <c r="HI2198" s="73"/>
      <c r="HJ2198" s="73"/>
      <c r="HK2198" s="73"/>
      <c r="HL2198" s="73"/>
      <c r="HM2198" s="73"/>
      <c r="HN2198" s="73"/>
      <c r="HO2198" s="73"/>
      <c r="HP2198" s="73"/>
      <c r="HQ2198" s="73"/>
      <c r="HR2198" s="73"/>
      <c r="HS2198" s="73"/>
      <c r="HT2198" s="73"/>
      <c r="HU2198" s="73"/>
      <c r="HV2198" s="73"/>
      <c r="HW2198" s="73"/>
      <c r="HX2198" s="73"/>
      <c r="HY2198" s="73"/>
      <c r="HZ2198" s="73"/>
      <c r="IA2198" s="73"/>
      <c r="IB2198" s="73"/>
      <c r="IC2198" s="73"/>
      <c r="ID2198" s="73"/>
      <c r="IE2198" s="73"/>
      <c r="IF2198" s="73"/>
      <c r="IG2198" s="73"/>
      <c r="IH2198" s="73"/>
      <c r="II2198" s="73"/>
      <c r="IJ2198" s="73"/>
      <c r="IK2198" s="73"/>
      <c r="IL2198" s="73"/>
      <c r="IM2198" s="73"/>
      <c r="IN2198" s="73"/>
      <c r="IO2198" s="73"/>
      <c r="IP2198" s="73"/>
      <c r="IQ2198" s="73"/>
      <c r="IR2198" s="73"/>
      <c r="IS2198" s="73"/>
      <c r="IT2198" s="73"/>
      <c r="IU2198" s="73"/>
      <c r="IV2198" s="73"/>
      <c r="IW2198" s="73"/>
      <c r="IX2198" s="73"/>
      <c r="IY2198" s="73"/>
      <c r="IZ2198" s="73"/>
      <c r="JA2198" s="73"/>
      <c r="JB2198" s="73"/>
      <c r="JC2198" s="73"/>
    </row>
    <row r="2199" spans="2:263" s="72" customFormat="1">
      <c r="B2199" s="73"/>
      <c r="C2199" s="73"/>
      <c r="D2199" s="73"/>
      <c r="E2199" s="73"/>
      <c r="F2199" s="73"/>
      <c r="G2199" s="73"/>
      <c r="H2199" s="73"/>
      <c r="I2199" s="73"/>
      <c r="J2199" s="73"/>
      <c r="K2199" s="73"/>
      <c r="L2199" s="73"/>
      <c r="M2199" s="73"/>
      <c r="N2199" s="73"/>
      <c r="O2199" s="73"/>
      <c r="P2199" s="73"/>
      <c r="Q2199" s="73"/>
      <c r="R2199" s="73"/>
      <c r="S2199" s="73"/>
      <c r="T2199" s="73"/>
      <c r="U2199" s="73"/>
      <c r="V2199" s="73"/>
      <c r="W2199" s="73"/>
      <c r="GL2199" s="73"/>
      <c r="GM2199" s="73"/>
      <c r="GN2199" s="73"/>
      <c r="GO2199" s="73"/>
      <c r="GP2199" s="73"/>
      <c r="GQ2199" s="73"/>
      <c r="GR2199" s="73"/>
      <c r="GS2199" s="73"/>
      <c r="GT2199" s="73"/>
      <c r="GU2199" s="73"/>
      <c r="GV2199" s="73"/>
      <c r="GW2199" s="73"/>
      <c r="GX2199" s="73"/>
      <c r="GY2199" s="73"/>
      <c r="GZ2199" s="73"/>
      <c r="HA2199" s="73"/>
      <c r="HB2199" s="73"/>
      <c r="HC2199" s="73"/>
      <c r="HD2199" s="73"/>
      <c r="HE2199" s="73"/>
      <c r="HF2199" s="73"/>
      <c r="HG2199" s="73"/>
      <c r="HH2199" s="73"/>
      <c r="HI2199" s="73"/>
      <c r="HJ2199" s="73"/>
      <c r="HK2199" s="73"/>
      <c r="HL2199" s="73"/>
      <c r="HM2199" s="73"/>
      <c r="HN2199" s="73"/>
      <c r="HO2199" s="73"/>
      <c r="HP2199" s="73"/>
      <c r="HQ2199" s="73"/>
      <c r="HR2199" s="73"/>
      <c r="HS2199" s="73"/>
      <c r="HT2199" s="73"/>
      <c r="HU2199" s="73"/>
      <c r="HV2199" s="73"/>
      <c r="HW2199" s="73"/>
      <c r="HX2199" s="73"/>
      <c r="HY2199" s="73"/>
      <c r="HZ2199" s="73"/>
      <c r="IA2199" s="73"/>
      <c r="IB2199" s="73"/>
      <c r="IC2199" s="73"/>
      <c r="ID2199" s="73"/>
      <c r="IE2199" s="73"/>
      <c r="IF2199" s="73"/>
      <c r="IG2199" s="73"/>
      <c r="IH2199" s="73"/>
      <c r="II2199" s="73"/>
      <c r="IJ2199" s="73"/>
      <c r="IK2199" s="73"/>
      <c r="IL2199" s="73"/>
      <c r="IM2199" s="73"/>
      <c r="IN2199" s="73"/>
      <c r="IO2199" s="73"/>
      <c r="IP2199" s="73"/>
      <c r="IQ2199" s="73"/>
      <c r="IR2199" s="73"/>
      <c r="IS2199" s="73"/>
      <c r="IT2199" s="73"/>
      <c r="IU2199" s="73"/>
      <c r="IV2199" s="73"/>
      <c r="IW2199" s="73"/>
      <c r="IX2199" s="73"/>
      <c r="IY2199" s="73"/>
      <c r="IZ2199" s="73"/>
      <c r="JA2199" s="73"/>
      <c r="JB2199" s="73"/>
      <c r="JC2199" s="73"/>
    </row>
    <row r="2200" spans="2:263" s="72" customFormat="1">
      <c r="B2200" s="73"/>
      <c r="C2200" s="73"/>
      <c r="D2200" s="73"/>
      <c r="E2200" s="73"/>
      <c r="F2200" s="73"/>
      <c r="G2200" s="73"/>
      <c r="H2200" s="73"/>
      <c r="I2200" s="73"/>
      <c r="J2200" s="73"/>
      <c r="K2200" s="73"/>
      <c r="L2200" s="73"/>
      <c r="M2200" s="73"/>
      <c r="N2200" s="73"/>
      <c r="O2200" s="73"/>
      <c r="P2200" s="73"/>
      <c r="Q2200" s="73"/>
      <c r="R2200" s="73"/>
      <c r="S2200" s="73"/>
      <c r="T2200" s="73"/>
      <c r="U2200" s="73"/>
      <c r="V2200" s="73"/>
      <c r="W2200" s="73"/>
      <c r="GL2200" s="73"/>
      <c r="GM2200" s="73"/>
      <c r="GN2200" s="73"/>
      <c r="GO2200" s="73"/>
      <c r="GP2200" s="73"/>
      <c r="GQ2200" s="73"/>
      <c r="GR2200" s="73"/>
      <c r="GS2200" s="73"/>
      <c r="GT2200" s="73"/>
      <c r="GU2200" s="73"/>
      <c r="GV2200" s="73"/>
      <c r="GW2200" s="73"/>
      <c r="GX2200" s="73"/>
      <c r="GY2200" s="73"/>
      <c r="GZ2200" s="73"/>
      <c r="HA2200" s="73"/>
      <c r="HB2200" s="73"/>
      <c r="HC2200" s="73"/>
      <c r="HD2200" s="73"/>
      <c r="HE2200" s="73"/>
      <c r="HF2200" s="73"/>
      <c r="HG2200" s="73"/>
      <c r="HH2200" s="73"/>
      <c r="HI2200" s="73"/>
      <c r="HJ2200" s="73"/>
      <c r="HK2200" s="73"/>
      <c r="HL2200" s="73"/>
      <c r="HM2200" s="73"/>
      <c r="HN2200" s="73"/>
      <c r="HO2200" s="73"/>
      <c r="HP2200" s="73"/>
      <c r="HQ2200" s="73"/>
      <c r="HR2200" s="73"/>
      <c r="HS2200" s="73"/>
      <c r="HT2200" s="73"/>
      <c r="HU2200" s="73"/>
      <c r="HV2200" s="73"/>
      <c r="HW2200" s="73"/>
      <c r="HX2200" s="73"/>
      <c r="HY2200" s="73"/>
      <c r="HZ2200" s="73"/>
      <c r="IA2200" s="73"/>
      <c r="IB2200" s="73"/>
      <c r="IC2200" s="73"/>
      <c r="ID2200" s="73"/>
      <c r="IE2200" s="73"/>
      <c r="IF2200" s="73"/>
      <c r="IG2200" s="73"/>
      <c r="IH2200" s="73"/>
      <c r="II2200" s="73"/>
      <c r="IJ2200" s="73"/>
      <c r="IK2200" s="73"/>
      <c r="IL2200" s="73"/>
      <c r="IM2200" s="73"/>
      <c r="IN2200" s="73"/>
      <c r="IO2200" s="73"/>
      <c r="IP2200" s="73"/>
      <c r="IQ2200" s="73"/>
      <c r="IR2200" s="73"/>
      <c r="IS2200" s="73"/>
      <c r="IT2200" s="73"/>
      <c r="IU2200" s="73"/>
      <c r="IV2200" s="73"/>
      <c r="IW2200" s="73"/>
      <c r="IX2200" s="73"/>
      <c r="IY2200" s="73"/>
      <c r="IZ2200" s="73"/>
      <c r="JA2200" s="73"/>
      <c r="JB2200" s="73"/>
      <c r="JC2200" s="73"/>
    </row>
    <row r="2201" spans="2:263" s="72" customFormat="1">
      <c r="B2201" s="73"/>
      <c r="C2201" s="73"/>
      <c r="D2201" s="73"/>
      <c r="E2201" s="73"/>
      <c r="F2201" s="73"/>
      <c r="G2201" s="73"/>
      <c r="H2201" s="73"/>
      <c r="I2201" s="73"/>
      <c r="J2201" s="73"/>
      <c r="K2201" s="73"/>
      <c r="L2201" s="73"/>
      <c r="M2201" s="73"/>
      <c r="N2201" s="73"/>
      <c r="O2201" s="73"/>
      <c r="P2201" s="73"/>
      <c r="Q2201" s="73"/>
      <c r="R2201" s="73"/>
      <c r="S2201" s="73"/>
      <c r="T2201" s="73"/>
      <c r="U2201" s="73"/>
      <c r="V2201" s="73"/>
      <c r="W2201" s="73"/>
      <c r="GL2201" s="73"/>
      <c r="GM2201" s="73"/>
      <c r="GN2201" s="73"/>
      <c r="GO2201" s="73"/>
      <c r="GP2201" s="73"/>
      <c r="GQ2201" s="73"/>
      <c r="GR2201" s="73"/>
      <c r="GS2201" s="73"/>
      <c r="GT2201" s="73"/>
      <c r="GU2201" s="73"/>
      <c r="GV2201" s="73"/>
      <c r="GW2201" s="73"/>
      <c r="GX2201" s="73"/>
      <c r="GY2201" s="73"/>
      <c r="GZ2201" s="73"/>
      <c r="HA2201" s="73"/>
      <c r="HB2201" s="73"/>
      <c r="HC2201" s="73"/>
      <c r="HD2201" s="73"/>
      <c r="HE2201" s="73"/>
      <c r="HF2201" s="73"/>
      <c r="HG2201" s="73"/>
      <c r="HH2201" s="73"/>
      <c r="HI2201" s="73"/>
      <c r="HJ2201" s="73"/>
      <c r="HK2201" s="73"/>
      <c r="HL2201" s="73"/>
      <c r="HM2201" s="73"/>
      <c r="HN2201" s="73"/>
      <c r="HO2201" s="73"/>
      <c r="HP2201" s="73"/>
      <c r="HQ2201" s="73"/>
      <c r="HR2201" s="73"/>
      <c r="HS2201" s="73"/>
      <c r="HT2201" s="73"/>
      <c r="HU2201" s="73"/>
      <c r="HV2201" s="73"/>
      <c r="HW2201" s="73"/>
      <c r="HX2201" s="73"/>
      <c r="HY2201" s="73"/>
      <c r="HZ2201" s="73"/>
      <c r="IA2201" s="73"/>
      <c r="IB2201" s="73"/>
      <c r="IC2201" s="73"/>
      <c r="ID2201" s="73"/>
      <c r="IE2201" s="73"/>
      <c r="IF2201" s="73"/>
      <c r="IG2201" s="73"/>
      <c r="IH2201" s="73"/>
      <c r="II2201" s="73"/>
      <c r="IJ2201" s="73"/>
      <c r="IK2201" s="73"/>
      <c r="IL2201" s="73"/>
      <c r="IM2201" s="73"/>
      <c r="IN2201" s="73"/>
      <c r="IO2201" s="73"/>
      <c r="IP2201" s="73"/>
      <c r="IQ2201" s="73"/>
      <c r="IR2201" s="73"/>
      <c r="IS2201" s="73"/>
      <c r="IT2201" s="73"/>
      <c r="IU2201" s="73"/>
      <c r="IV2201" s="73"/>
      <c r="IW2201" s="73"/>
      <c r="IX2201" s="73"/>
      <c r="IY2201" s="73"/>
      <c r="IZ2201" s="73"/>
      <c r="JA2201" s="73"/>
      <c r="JB2201" s="73"/>
      <c r="JC2201" s="73"/>
    </row>
    <row r="2202" spans="2:263" s="72" customFormat="1">
      <c r="B2202" s="73"/>
      <c r="C2202" s="73"/>
      <c r="D2202" s="73"/>
      <c r="E2202" s="73"/>
      <c r="F2202" s="73"/>
      <c r="G2202" s="73"/>
      <c r="H2202" s="73"/>
      <c r="I2202" s="73"/>
      <c r="J2202" s="73"/>
      <c r="K2202" s="73"/>
      <c r="L2202" s="73"/>
      <c r="M2202" s="73"/>
      <c r="N2202" s="73"/>
      <c r="O2202" s="73"/>
      <c r="P2202" s="73"/>
      <c r="Q2202" s="73"/>
      <c r="R2202" s="73"/>
      <c r="S2202" s="73"/>
      <c r="T2202" s="73"/>
      <c r="U2202" s="73"/>
      <c r="V2202" s="73"/>
      <c r="W2202" s="73"/>
      <c r="GL2202" s="73"/>
      <c r="GM2202" s="73"/>
      <c r="GN2202" s="73"/>
      <c r="GO2202" s="73"/>
      <c r="GP2202" s="73"/>
      <c r="GQ2202" s="73"/>
      <c r="GR2202" s="73"/>
      <c r="GS2202" s="73"/>
      <c r="GT2202" s="73"/>
      <c r="GU2202" s="73"/>
      <c r="GV2202" s="73"/>
      <c r="GW2202" s="73"/>
      <c r="GX2202" s="73"/>
      <c r="GY2202" s="73"/>
      <c r="GZ2202" s="73"/>
      <c r="HA2202" s="73"/>
      <c r="HB2202" s="73"/>
      <c r="HC2202" s="73"/>
      <c r="HD2202" s="73"/>
      <c r="HE2202" s="73"/>
      <c r="HF2202" s="73"/>
      <c r="HG2202" s="73"/>
      <c r="HH2202" s="73"/>
      <c r="HI2202" s="73"/>
      <c r="HJ2202" s="73"/>
      <c r="HK2202" s="73"/>
      <c r="HL2202" s="73"/>
      <c r="HM2202" s="73"/>
      <c r="HN2202" s="73"/>
      <c r="HO2202" s="73"/>
      <c r="HP2202" s="73"/>
      <c r="HQ2202" s="73"/>
      <c r="HR2202" s="73"/>
      <c r="HS2202" s="73"/>
      <c r="HT2202" s="73"/>
      <c r="HU2202" s="73"/>
      <c r="HV2202" s="73"/>
      <c r="HW2202" s="73"/>
      <c r="HX2202" s="73"/>
      <c r="HY2202" s="73"/>
      <c r="HZ2202" s="73"/>
      <c r="IA2202" s="73"/>
      <c r="IB2202" s="73"/>
      <c r="IC2202" s="73"/>
      <c r="ID2202" s="73"/>
      <c r="IE2202" s="73"/>
      <c r="IF2202" s="73"/>
      <c r="IG2202" s="73"/>
      <c r="IH2202" s="73"/>
      <c r="II2202" s="73"/>
      <c r="IJ2202" s="73"/>
      <c r="IK2202" s="73"/>
      <c r="IL2202" s="73"/>
      <c r="IM2202" s="73"/>
      <c r="IN2202" s="73"/>
      <c r="IO2202" s="73"/>
      <c r="IP2202" s="73"/>
      <c r="IQ2202" s="73"/>
      <c r="IR2202" s="73"/>
      <c r="IS2202" s="73"/>
      <c r="IT2202" s="73"/>
      <c r="IU2202" s="73"/>
      <c r="IV2202" s="73"/>
      <c r="IW2202" s="73"/>
      <c r="IX2202" s="73"/>
      <c r="IY2202" s="73"/>
      <c r="IZ2202" s="73"/>
      <c r="JA2202" s="73"/>
      <c r="JB2202" s="73"/>
      <c r="JC2202" s="73"/>
    </row>
    <row r="2203" spans="2:263" s="72" customFormat="1">
      <c r="B2203" s="73"/>
      <c r="C2203" s="73"/>
      <c r="D2203" s="73"/>
      <c r="E2203" s="73"/>
      <c r="F2203" s="73"/>
      <c r="G2203" s="73"/>
      <c r="H2203" s="73"/>
      <c r="I2203" s="73"/>
      <c r="J2203" s="73"/>
      <c r="K2203" s="73"/>
      <c r="L2203" s="73"/>
      <c r="M2203" s="73"/>
      <c r="N2203" s="73"/>
      <c r="O2203" s="73"/>
      <c r="P2203" s="73"/>
      <c r="Q2203" s="73"/>
      <c r="R2203" s="73"/>
      <c r="S2203" s="73"/>
      <c r="T2203" s="73"/>
      <c r="U2203" s="73"/>
      <c r="V2203" s="73"/>
      <c r="W2203" s="73"/>
      <c r="GL2203" s="73"/>
      <c r="GM2203" s="73"/>
      <c r="GN2203" s="73"/>
      <c r="GO2203" s="73"/>
      <c r="GP2203" s="73"/>
      <c r="GQ2203" s="73"/>
      <c r="GR2203" s="73"/>
      <c r="GS2203" s="73"/>
      <c r="GT2203" s="73"/>
      <c r="GU2203" s="73"/>
      <c r="GV2203" s="73"/>
      <c r="GW2203" s="73"/>
      <c r="GX2203" s="73"/>
      <c r="GY2203" s="73"/>
      <c r="GZ2203" s="73"/>
      <c r="HA2203" s="73"/>
      <c r="HB2203" s="73"/>
      <c r="HC2203" s="73"/>
      <c r="HD2203" s="73"/>
      <c r="HE2203" s="73"/>
      <c r="HF2203" s="73"/>
      <c r="HG2203" s="73"/>
      <c r="HH2203" s="73"/>
      <c r="HI2203" s="73"/>
      <c r="HJ2203" s="73"/>
      <c r="HK2203" s="73"/>
      <c r="HL2203" s="73"/>
      <c r="HM2203" s="73"/>
      <c r="HN2203" s="73"/>
      <c r="HO2203" s="73"/>
      <c r="HP2203" s="73"/>
      <c r="HQ2203" s="73"/>
      <c r="HR2203" s="73"/>
      <c r="HS2203" s="73"/>
      <c r="HT2203" s="73"/>
      <c r="HU2203" s="73"/>
      <c r="HV2203" s="73"/>
      <c r="HW2203" s="73"/>
      <c r="HX2203" s="73"/>
      <c r="HY2203" s="73"/>
      <c r="HZ2203" s="73"/>
      <c r="IA2203" s="73"/>
      <c r="IB2203" s="73"/>
      <c r="IC2203" s="73"/>
      <c r="ID2203" s="73"/>
      <c r="IE2203" s="73"/>
      <c r="IF2203" s="73"/>
      <c r="IG2203" s="73"/>
      <c r="IH2203" s="73"/>
      <c r="II2203" s="73"/>
      <c r="IJ2203" s="73"/>
      <c r="IK2203" s="73"/>
      <c r="IL2203" s="73"/>
      <c r="IM2203" s="73"/>
      <c r="IN2203" s="73"/>
      <c r="IO2203" s="73"/>
      <c r="IP2203" s="73"/>
      <c r="IQ2203" s="73"/>
      <c r="IR2203" s="73"/>
      <c r="IS2203" s="73"/>
      <c r="IT2203" s="73"/>
      <c r="IU2203" s="73"/>
      <c r="IV2203" s="73"/>
      <c r="IW2203" s="73"/>
      <c r="IX2203" s="73"/>
      <c r="IY2203" s="73"/>
      <c r="IZ2203" s="73"/>
      <c r="JA2203" s="73"/>
      <c r="JB2203" s="73"/>
      <c r="JC2203" s="73"/>
    </row>
    <row r="2204" spans="2:263" s="72" customFormat="1">
      <c r="B2204" s="73"/>
      <c r="C2204" s="73"/>
      <c r="D2204" s="73"/>
      <c r="E2204" s="73"/>
      <c r="F2204" s="73"/>
      <c r="G2204" s="73"/>
      <c r="H2204" s="73"/>
      <c r="I2204" s="73"/>
      <c r="J2204" s="73"/>
      <c r="K2204" s="73"/>
      <c r="L2204" s="73"/>
      <c r="M2204" s="73"/>
      <c r="N2204" s="73"/>
      <c r="O2204" s="73"/>
      <c r="P2204" s="73"/>
      <c r="Q2204" s="73"/>
      <c r="R2204" s="73"/>
      <c r="S2204" s="73"/>
      <c r="T2204" s="73"/>
      <c r="U2204" s="73"/>
      <c r="V2204" s="73"/>
      <c r="W2204" s="73"/>
      <c r="GL2204" s="73"/>
      <c r="GM2204" s="73"/>
      <c r="GN2204" s="73"/>
      <c r="GO2204" s="73"/>
      <c r="GP2204" s="73"/>
      <c r="GQ2204" s="73"/>
      <c r="GR2204" s="73"/>
      <c r="GS2204" s="73"/>
      <c r="GT2204" s="73"/>
      <c r="GU2204" s="73"/>
      <c r="GV2204" s="73"/>
      <c r="GW2204" s="73"/>
      <c r="GX2204" s="73"/>
      <c r="GY2204" s="73"/>
      <c r="GZ2204" s="73"/>
      <c r="HA2204" s="73"/>
      <c r="HB2204" s="73"/>
      <c r="HC2204" s="73"/>
      <c r="HD2204" s="73"/>
      <c r="HE2204" s="73"/>
      <c r="HF2204" s="73"/>
      <c r="HG2204" s="73"/>
      <c r="HH2204" s="73"/>
      <c r="HI2204" s="73"/>
      <c r="HJ2204" s="73"/>
      <c r="HK2204" s="73"/>
      <c r="HL2204" s="73"/>
      <c r="HM2204" s="73"/>
      <c r="HN2204" s="73"/>
      <c r="HO2204" s="73"/>
      <c r="HP2204" s="73"/>
      <c r="HQ2204" s="73"/>
      <c r="HR2204" s="73"/>
      <c r="HS2204" s="73"/>
      <c r="HT2204" s="73"/>
      <c r="HU2204" s="73"/>
      <c r="HV2204" s="73"/>
      <c r="HW2204" s="73"/>
      <c r="HX2204" s="73"/>
      <c r="HY2204" s="73"/>
      <c r="HZ2204" s="73"/>
      <c r="IA2204" s="73"/>
      <c r="IB2204" s="73"/>
      <c r="IC2204" s="73"/>
      <c r="ID2204" s="73"/>
      <c r="IE2204" s="73"/>
      <c r="IF2204" s="73"/>
      <c r="IG2204" s="73"/>
      <c r="IH2204" s="73"/>
      <c r="II2204" s="73"/>
      <c r="IJ2204" s="73"/>
      <c r="IK2204" s="73"/>
      <c r="IL2204" s="73"/>
      <c r="IM2204" s="73"/>
      <c r="IN2204" s="73"/>
      <c r="IO2204" s="73"/>
      <c r="IP2204" s="73"/>
      <c r="IQ2204" s="73"/>
      <c r="IR2204" s="73"/>
      <c r="IS2204" s="73"/>
      <c r="IT2204" s="73"/>
      <c r="IU2204" s="73"/>
      <c r="IV2204" s="73"/>
      <c r="IW2204" s="73"/>
      <c r="IX2204" s="73"/>
      <c r="IY2204" s="73"/>
      <c r="IZ2204" s="73"/>
      <c r="JA2204" s="73"/>
      <c r="JB2204" s="73"/>
      <c r="JC2204" s="73"/>
    </row>
    <row r="2205" spans="2:263" s="72" customFormat="1">
      <c r="B2205" s="73"/>
      <c r="C2205" s="73"/>
      <c r="D2205" s="73"/>
      <c r="E2205" s="73"/>
      <c r="F2205" s="73"/>
      <c r="G2205" s="73"/>
      <c r="H2205" s="73"/>
      <c r="I2205" s="73"/>
      <c r="J2205" s="73"/>
      <c r="K2205" s="73"/>
      <c r="L2205" s="73"/>
      <c r="M2205" s="73"/>
      <c r="N2205" s="73"/>
      <c r="O2205" s="73"/>
      <c r="P2205" s="73"/>
      <c r="Q2205" s="73"/>
      <c r="R2205" s="73"/>
      <c r="S2205" s="73"/>
      <c r="T2205" s="73"/>
      <c r="U2205" s="73"/>
      <c r="V2205" s="73"/>
      <c r="W2205" s="73"/>
      <c r="GL2205" s="73"/>
      <c r="GM2205" s="73"/>
      <c r="GN2205" s="73"/>
      <c r="GO2205" s="73"/>
      <c r="GP2205" s="73"/>
      <c r="GQ2205" s="73"/>
      <c r="GR2205" s="73"/>
      <c r="GS2205" s="73"/>
      <c r="GT2205" s="73"/>
      <c r="GU2205" s="73"/>
      <c r="GV2205" s="73"/>
      <c r="GW2205" s="73"/>
      <c r="GX2205" s="73"/>
      <c r="GY2205" s="73"/>
      <c r="GZ2205" s="73"/>
      <c r="HA2205" s="73"/>
      <c r="HB2205" s="73"/>
      <c r="HC2205" s="73"/>
      <c r="HD2205" s="73"/>
      <c r="HE2205" s="73"/>
      <c r="HF2205" s="73"/>
      <c r="HG2205" s="73"/>
      <c r="HH2205" s="73"/>
      <c r="HI2205" s="73"/>
      <c r="HJ2205" s="73"/>
      <c r="HK2205" s="73"/>
      <c r="HL2205" s="73"/>
      <c r="HM2205" s="73"/>
      <c r="HN2205" s="73"/>
      <c r="HO2205" s="73"/>
      <c r="HP2205" s="73"/>
      <c r="HQ2205" s="73"/>
      <c r="HR2205" s="73"/>
      <c r="HS2205" s="73"/>
      <c r="HT2205" s="73"/>
      <c r="HU2205" s="73"/>
      <c r="HV2205" s="73"/>
      <c r="HW2205" s="73"/>
      <c r="HX2205" s="73"/>
      <c r="HY2205" s="73"/>
      <c r="HZ2205" s="73"/>
      <c r="IA2205" s="73"/>
      <c r="IB2205" s="73"/>
      <c r="IC2205" s="73"/>
      <c r="ID2205" s="73"/>
      <c r="IE2205" s="73"/>
      <c r="IF2205" s="73"/>
      <c r="IG2205" s="73"/>
      <c r="IH2205" s="73"/>
      <c r="II2205" s="73"/>
      <c r="IJ2205" s="73"/>
      <c r="IK2205" s="73"/>
      <c r="IL2205" s="73"/>
      <c r="IM2205" s="73"/>
      <c r="IN2205" s="73"/>
      <c r="IO2205" s="73"/>
      <c r="IP2205" s="73"/>
      <c r="IQ2205" s="73"/>
      <c r="IR2205" s="73"/>
      <c r="IS2205" s="73"/>
      <c r="IT2205" s="73"/>
      <c r="IU2205" s="73"/>
      <c r="IV2205" s="73"/>
      <c r="IW2205" s="73"/>
      <c r="IX2205" s="73"/>
      <c r="IY2205" s="73"/>
      <c r="IZ2205" s="73"/>
      <c r="JA2205" s="73"/>
      <c r="JB2205" s="73"/>
      <c r="JC2205" s="73"/>
    </row>
    <row r="2206" spans="2:263" s="72" customFormat="1">
      <c r="B2206" s="73"/>
      <c r="C2206" s="73"/>
      <c r="D2206" s="73"/>
      <c r="E2206" s="73"/>
      <c r="F2206" s="73"/>
      <c r="G2206" s="73"/>
      <c r="H2206" s="73"/>
      <c r="I2206" s="73"/>
      <c r="J2206" s="73"/>
      <c r="K2206" s="73"/>
      <c r="L2206" s="73"/>
      <c r="M2206" s="73"/>
      <c r="N2206" s="73"/>
      <c r="O2206" s="73"/>
      <c r="P2206" s="73"/>
      <c r="Q2206" s="73"/>
      <c r="R2206" s="73"/>
      <c r="S2206" s="73"/>
      <c r="T2206" s="73"/>
      <c r="U2206" s="73"/>
      <c r="V2206" s="73"/>
      <c r="W2206" s="73"/>
      <c r="GL2206" s="73"/>
      <c r="GM2206" s="73"/>
      <c r="GN2206" s="73"/>
      <c r="GO2206" s="73"/>
      <c r="GP2206" s="73"/>
      <c r="GQ2206" s="73"/>
      <c r="GR2206" s="73"/>
      <c r="GS2206" s="73"/>
      <c r="GT2206" s="73"/>
      <c r="GU2206" s="73"/>
      <c r="GV2206" s="73"/>
      <c r="GW2206" s="73"/>
      <c r="GX2206" s="73"/>
      <c r="GY2206" s="73"/>
      <c r="GZ2206" s="73"/>
      <c r="HA2206" s="73"/>
      <c r="HB2206" s="73"/>
      <c r="HC2206" s="73"/>
      <c r="HD2206" s="73"/>
      <c r="HE2206" s="73"/>
      <c r="HF2206" s="73"/>
      <c r="HG2206" s="73"/>
      <c r="HH2206" s="73"/>
      <c r="HI2206" s="73"/>
      <c r="HJ2206" s="73"/>
      <c r="HK2206" s="73"/>
      <c r="HL2206" s="73"/>
      <c r="HM2206" s="73"/>
      <c r="HN2206" s="73"/>
      <c r="HO2206" s="73"/>
      <c r="HP2206" s="73"/>
      <c r="HQ2206" s="73"/>
      <c r="HR2206" s="73"/>
      <c r="HS2206" s="73"/>
      <c r="HT2206" s="73"/>
      <c r="HU2206" s="73"/>
      <c r="HV2206" s="73"/>
      <c r="HW2206" s="73"/>
      <c r="HX2206" s="73"/>
      <c r="HY2206" s="73"/>
      <c r="HZ2206" s="73"/>
      <c r="IA2206" s="73"/>
      <c r="IB2206" s="73"/>
      <c r="IC2206" s="73"/>
      <c r="ID2206" s="73"/>
      <c r="IE2206" s="73"/>
      <c r="IF2206" s="73"/>
      <c r="IG2206" s="73"/>
      <c r="IH2206" s="73"/>
      <c r="II2206" s="73"/>
      <c r="IJ2206" s="73"/>
      <c r="IK2206" s="73"/>
      <c r="IL2206" s="73"/>
      <c r="IM2206" s="73"/>
      <c r="IN2206" s="73"/>
      <c r="IO2206" s="73"/>
      <c r="IP2206" s="73"/>
      <c r="IQ2206" s="73"/>
      <c r="IR2206" s="73"/>
      <c r="IS2206" s="73"/>
      <c r="IT2206" s="73"/>
      <c r="IU2206" s="73"/>
      <c r="IV2206" s="73"/>
      <c r="IW2206" s="73"/>
      <c r="IX2206" s="73"/>
      <c r="IY2206" s="73"/>
      <c r="IZ2206" s="73"/>
      <c r="JA2206" s="73"/>
      <c r="JB2206" s="73"/>
      <c r="JC2206" s="73"/>
    </row>
    <row r="2207" spans="2:263" s="72" customFormat="1">
      <c r="B2207" s="73"/>
      <c r="C2207" s="73"/>
      <c r="D2207" s="73"/>
      <c r="E2207" s="73"/>
      <c r="F2207" s="73"/>
      <c r="G2207" s="73"/>
      <c r="H2207" s="73"/>
      <c r="I2207" s="73"/>
      <c r="J2207" s="73"/>
      <c r="K2207" s="73"/>
      <c r="L2207" s="73"/>
      <c r="M2207" s="73"/>
      <c r="N2207" s="73"/>
      <c r="O2207" s="73"/>
      <c r="P2207" s="73"/>
      <c r="Q2207" s="73"/>
      <c r="R2207" s="73"/>
      <c r="S2207" s="73"/>
      <c r="T2207" s="73"/>
      <c r="U2207" s="73"/>
      <c r="V2207" s="73"/>
      <c r="W2207" s="73"/>
      <c r="GL2207" s="73"/>
      <c r="GM2207" s="73"/>
      <c r="GN2207" s="73"/>
      <c r="GO2207" s="73"/>
      <c r="GP2207" s="73"/>
      <c r="GQ2207" s="73"/>
      <c r="GR2207" s="73"/>
      <c r="GS2207" s="73"/>
      <c r="GT2207" s="73"/>
      <c r="GU2207" s="73"/>
      <c r="GV2207" s="73"/>
      <c r="GW2207" s="73"/>
      <c r="GX2207" s="73"/>
      <c r="GY2207" s="73"/>
      <c r="GZ2207" s="73"/>
      <c r="HA2207" s="73"/>
      <c r="HB2207" s="73"/>
      <c r="HC2207" s="73"/>
      <c r="HD2207" s="73"/>
      <c r="HE2207" s="73"/>
      <c r="HF2207" s="73"/>
      <c r="HG2207" s="73"/>
      <c r="HH2207" s="73"/>
      <c r="HI2207" s="73"/>
      <c r="HJ2207" s="73"/>
      <c r="HK2207" s="73"/>
      <c r="HL2207" s="73"/>
      <c r="HM2207" s="73"/>
      <c r="HN2207" s="73"/>
      <c r="HO2207" s="73"/>
      <c r="HP2207" s="73"/>
      <c r="HQ2207" s="73"/>
      <c r="HR2207" s="73"/>
      <c r="HS2207" s="73"/>
      <c r="HT2207" s="73"/>
      <c r="HU2207" s="73"/>
      <c r="HV2207" s="73"/>
      <c r="HW2207" s="73"/>
      <c r="HX2207" s="73"/>
      <c r="HY2207" s="73"/>
      <c r="HZ2207" s="73"/>
      <c r="IA2207" s="73"/>
      <c r="IB2207" s="73"/>
      <c r="IC2207" s="73"/>
      <c r="ID2207" s="73"/>
      <c r="IE2207" s="73"/>
      <c r="IF2207" s="73"/>
      <c r="IG2207" s="73"/>
      <c r="IH2207" s="73"/>
      <c r="II2207" s="73"/>
      <c r="IJ2207" s="73"/>
      <c r="IK2207" s="73"/>
      <c r="IL2207" s="73"/>
      <c r="IM2207" s="73"/>
      <c r="IN2207" s="73"/>
      <c r="IO2207" s="73"/>
      <c r="IP2207" s="73"/>
      <c r="IQ2207" s="73"/>
      <c r="IR2207" s="73"/>
      <c r="IS2207" s="73"/>
      <c r="IT2207" s="73"/>
      <c r="IU2207" s="73"/>
      <c r="IV2207" s="73"/>
      <c r="IW2207" s="73"/>
      <c r="IX2207" s="73"/>
      <c r="IY2207" s="73"/>
      <c r="IZ2207" s="73"/>
      <c r="JA2207" s="73"/>
      <c r="JB2207" s="73"/>
      <c r="JC2207" s="73"/>
    </row>
    <row r="2208" spans="2:263" s="72" customFormat="1">
      <c r="B2208" s="73"/>
      <c r="C2208" s="73"/>
      <c r="D2208" s="73"/>
      <c r="E2208" s="73"/>
      <c r="F2208" s="73"/>
      <c r="G2208" s="73"/>
      <c r="H2208" s="73"/>
      <c r="I2208" s="73"/>
      <c r="J2208" s="73"/>
      <c r="K2208" s="73"/>
      <c r="L2208" s="73"/>
      <c r="M2208" s="73"/>
      <c r="N2208" s="73"/>
      <c r="O2208" s="73"/>
      <c r="P2208" s="73"/>
      <c r="Q2208" s="73"/>
      <c r="R2208" s="73"/>
      <c r="S2208" s="73"/>
      <c r="T2208" s="73"/>
      <c r="U2208" s="73"/>
      <c r="V2208" s="73"/>
      <c r="W2208" s="73"/>
      <c r="GL2208" s="73"/>
      <c r="GM2208" s="73"/>
      <c r="GN2208" s="73"/>
      <c r="GO2208" s="73"/>
      <c r="GP2208" s="73"/>
      <c r="GQ2208" s="73"/>
      <c r="GR2208" s="73"/>
      <c r="GS2208" s="73"/>
      <c r="GT2208" s="73"/>
      <c r="GU2208" s="73"/>
      <c r="GV2208" s="73"/>
      <c r="GW2208" s="73"/>
      <c r="GX2208" s="73"/>
      <c r="GY2208" s="73"/>
      <c r="GZ2208" s="73"/>
      <c r="HA2208" s="73"/>
      <c r="HB2208" s="73"/>
      <c r="HC2208" s="73"/>
      <c r="HD2208" s="73"/>
      <c r="HE2208" s="73"/>
      <c r="HF2208" s="73"/>
      <c r="HG2208" s="73"/>
      <c r="HH2208" s="73"/>
      <c r="HI2208" s="73"/>
      <c r="HJ2208" s="73"/>
      <c r="HK2208" s="73"/>
      <c r="HL2208" s="73"/>
      <c r="HM2208" s="73"/>
      <c r="HN2208" s="73"/>
      <c r="HO2208" s="73"/>
      <c r="HP2208" s="73"/>
      <c r="HQ2208" s="73"/>
      <c r="HR2208" s="73"/>
      <c r="HS2208" s="73"/>
      <c r="HT2208" s="73"/>
      <c r="HU2208" s="73"/>
      <c r="HV2208" s="73"/>
      <c r="HW2208" s="73"/>
      <c r="HX2208" s="73"/>
      <c r="HY2208" s="73"/>
      <c r="HZ2208" s="73"/>
      <c r="IA2208" s="73"/>
      <c r="IB2208" s="73"/>
      <c r="IC2208" s="73"/>
      <c r="ID2208" s="73"/>
      <c r="IE2208" s="73"/>
      <c r="IF2208" s="73"/>
      <c r="IG2208" s="73"/>
      <c r="IH2208" s="73"/>
      <c r="II2208" s="73"/>
      <c r="IJ2208" s="73"/>
      <c r="IK2208" s="73"/>
      <c r="IL2208" s="73"/>
      <c r="IM2208" s="73"/>
      <c r="IN2208" s="73"/>
      <c r="IO2208" s="73"/>
      <c r="IP2208" s="73"/>
      <c r="IQ2208" s="73"/>
      <c r="IR2208" s="73"/>
      <c r="IS2208" s="73"/>
      <c r="IT2208" s="73"/>
      <c r="IU2208" s="73"/>
      <c r="IV2208" s="73"/>
      <c r="IW2208" s="73"/>
      <c r="IX2208" s="73"/>
      <c r="IY2208" s="73"/>
      <c r="IZ2208" s="73"/>
      <c r="JA2208" s="73"/>
      <c r="JB2208" s="73"/>
      <c r="JC2208" s="73"/>
    </row>
    <row r="2209" spans="2:263" s="72" customFormat="1">
      <c r="B2209" s="73"/>
      <c r="C2209" s="73"/>
      <c r="D2209" s="73"/>
      <c r="E2209" s="73"/>
      <c r="F2209" s="73"/>
      <c r="G2209" s="73"/>
      <c r="H2209" s="73"/>
      <c r="I2209" s="73"/>
      <c r="J2209" s="73"/>
      <c r="K2209" s="73"/>
      <c r="L2209" s="73"/>
      <c r="M2209" s="73"/>
      <c r="N2209" s="73"/>
      <c r="O2209" s="73"/>
      <c r="P2209" s="73"/>
      <c r="Q2209" s="73"/>
      <c r="R2209" s="73"/>
      <c r="S2209" s="73"/>
      <c r="T2209" s="73"/>
      <c r="U2209" s="73"/>
      <c r="V2209" s="73"/>
      <c r="W2209" s="73"/>
      <c r="GL2209" s="73"/>
      <c r="GM2209" s="73"/>
      <c r="GN2209" s="73"/>
      <c r="GO2209" s="73"/>
      <c r="GP2209" s="73"/>
      <c r="GQ2209" s="73"/>
      <c r="GR2209" s="73"/>
      <c r="GS2209" s="73"/>
      <c r="GT2209" s="73"/>
      <c r="GU2209" s="73"/>
      <c r="GV2209" s="73"/>
      <c r="GW2209" s="73"/>
      <c r="GX2209" s="73"/>
      <c r="GY2209" s="73"/>
      <c r="GZ2209" s="73"/>
      <c r="HA2209" s="73"/>
      <c r="HB2209" s="73"/>
      <c r="HC2209" s="73"/>
      <c r="HD2209" s="73"/>
      <c r="HE2209" s="73"/>
      <c r="HF2209" s="73"/>
      <c r="HG2209" s="73"/>
      <c r="HH2209" s="73"/>
      <c r="HI2209" s="73"/>
      <c r="HJ2209" s="73"/>
      <c r="HK2209" s="73"/>
      <c r="HL2209" s="73"/>
      <c r="HM2209" s="73"/>
      <c r="HN2209" s="73"/>
      <c r="HO2209" s="73"/>
      <c r="HP2209" s="73"/>
      <c r="HQ2209" s="73"/>
      <c r="HR2209" s="73"/>
      <c r="HS2209" s="73"/>
      <c r="HT2209" s="73"/>
      <c r="HU2209" s="73"/>
      <c r="HV2209" s="73"/>
      <c r="HW2209" s="73"/>
      <c r="HX2209" s="73"/>
      <c r="HY2209" s="73"/>
      <c r="HZ2209" s="73"/>
      <c r="IA2209" s="73"/>
      <c r="IB2209" s="73"/>
      <c r="IC2209" s="73"/>
      <c r="ID2209" s="73"/>
      <c r="IE2209" s="73"/>
      <c r="IF2209" s="73"/>
      <c r="IG2209" s="73"/>
      <c r="IH2209" s="73"/>
      <c r="II2209" s="73"/>
      <c r="IJ2209" s="73"/>
      <c r="IK2209" s="73"/>
      <c r="IL2209" s="73"/>
      <c r="IM2209" s="73"/>
      <c r="IN2209" s="73"/>
      <c r="IO2209" s="73"/>
      <c r="IP2209" s="73"/>
      <c r="IQ2209" s="73"/>
      <c r="IR2209" s="73"/>
      <c r="IS2209" s="73"/>
      <c r="IT2209" s="73"/>
      <c r="IU2209" s="73"/>
      <c r="IV2209" s="73"/>
      <c r="IW2209" s="73"/>
      <c r="IX2209" s="73"/>
      <c r="IY2209" s="73"/>
      <c r="IZ2209" s="73"/>
      <c r="JA2209" s="73"/>
      <c r="JB2209" s="73"/>
      <c r="JC2209" s="73"/>
    </row>
    <row r="2210" spans="2:263" s="72" customFormat="1">
      <c r="B2210" s="73"/>
      <c r="C2210" s="73"/>
      <c r="D2210" s="73"/>
      <c r="E2210" s="73"/>
      <c r="F2210" s="73"/>
      <c r="G2210" s="73"/>
      <c r="H2210" s="73"/>
      <c r="I2210" s="73"/>
      <c r="J2210" s="73"/>
      <c r="K2210" s="73"/>
      <c r="L2210" s="73"/>
      <c r="M2210" s="73"/>
      <c r="N2210" s="73"/>
      <c r="O2210" s="73"/>
      <c r="P2210" s="73"/>
      <c r="Q2210" s="73"/>
      <c r="R2210" s="73"/>
      <c r="S2210" s="73"/>
      <c r="T2210" s="73"/>
      <c r="U2210" s="73"/>
      <c r="V2210" s="73"/>
      <c r="W2210" s="73"/>
      <c r="GL2210" s="73"/>
      <c r="GM2210" s="73"/>
      <c r="GN2210" s="73"/>
      <c r="GO2210" s="73"/>
      <c r="GP2210" s="73"/>
      <c r="GQ2210" s="73"/>
      <c r="GR2210" s="73"/>
      <c r="GS2210" s="73"/>
      <c r="GT2210" s="73"/>
      <c r="GU2210" s="73"/>
      <c r="GV2210" s="73"/>
      <c r="GW2210" s="73"/>
      <c r="GX2210" s="73"/>
      <c r="GY2210" s="73"/>
      <c r="GZ2210" s="73"/>
      <c r="HA2210" s="73"/>
      <c r="HB2210" s="73"/>
      <c r="HC2210" s="73"/>
      <c r="HD2210" s="73"/>
      <c r="HE2210" s="73"/>
      <c r="HF2210" s="73"/>
      <c r="HG2210" s="73"/>
      <c r="HH2210" s="73"/>
      <c r="HI2210" s="73"/>
      <c r="HJ2210" s="73"/>
      <c r="HK2210" s="73"/>
      <c r="HL2210" s="73"/>
      <c r="HM2210" s="73"/>
      <c r="HN2210" s="73"/>
      <c r="HO2210" s="73"/>
      <c r="HP2210" s="73"/>
      <c r="HQ2210" s="73"/>
      <c r="HR2210" s="73"/>
      <c r="HS2210" s="73"/>
      <c r="HT2210" s="73"/>
      <c r="HU2210" s="73"/>
      <c r="HV2210" s="73"/>
      <c r="HW2210" s="73"/>
      <c r="HX2210" s="73"/>
      <c r="HY2210" s="73"/>
      <c r="HZ2210" s="73"/>
      <c r="IA2210" s="73"/>
      <c r="IB2210" s="73"/>
      <c r="IC2210" s="73"/>
      <c r="ID2210" s="73"/>
      <c r="IE2210" s="73"/>
      <c r="IF2210" s="73"/>
      <c r="IG2210" s="73"/>
      <c r="IH2210" s="73"/>
      <c r="II2210" s="73"/>
      <c r="IJ2210" s="73"/>
      <c r="IK2210" s="73"/>
      <c r="IL2210" s="73"/>
      <c r="IM2210" s="73"/>
      <c r="IN2210" s="73"/>
      <c r="IO2210" s="73"/>
      <c r="IP2210" s="73"/>
      <c r="IQ2210" s="73"/>
      <c r="IR2210" s="73"/>
      <c r="IS2210" s="73"/>
      <c r="IT2210" s="73"/>
      <c r="IU2210" s="73"/>
      <c r="IV2210" s="73"/>
      <c r="IW2210" s="73"/>
      <c r="IX2210" s="73"/>
      <c r="IY2210" s="73"/>
      <c r="IZ2210" s="73"/>
      <c r="JA2210" s="73"/>
      <c r="JB2210" s="73"/>
      <c r="JC2210" s="73"/>
    </row>
    <row r="2211" spans="2:263" s="72" customFormat="1">
      <c r="B2211" s="73"/>
      <c r="C2211" s="73"/>
      <c r="D2211" s="73"/>
      <c r="E2211" s="73"/>
      <c r="F2211" s="73"/>
      <c r="G2211" s="73"/>
      <c r="H2211" s="73"/>
      <c r="I2211" s="73"/>
      <c r="J2211" s="73"/>
      <c r="K2211" s="73"/>
      <c r="L2211" s="73"/>
      <c r="M2211" s="73"/>
      <c r="N2211" s="73"/>
      <c r="O2211" s="73"/>
      <c r="P2211" s="73"/>
      <c r="Q2211" s="73"/>
      <c r="R2211" s="73"/>
      <c r="S2211" s="73"/>
      <c r="T2211" s="73"/>
      <c r="U2211" s="73"/>
      <c r="V2211" s="73"/>
      <c r="W2211" s="73"/>
      <c r="GL2211" s="73"/>
      <c r="GM2211" s="73"/>
      <c r="GN2211" s="73"/>
      <c r="GO2211" s="73"/>
      <c r="GP2211" s="73"/>
      <c r="GQ2211" s="73"/>
      <c r="GR2211" s="73"/>
      <c r="GS2211" s="73"/>
      <c r="GT2211" s="73"/>
      <c r="GU2211" s="73"/>
      <c r="GV2211" s="73"/>
      <c r="GW2211" s="73"/>
      <c r="GX2211" s="73"/>
      <c r="GY2211" s="73"/>
      <c r="GZ2211" s="73"/>
      <c r="HA2211" s="73"/>
      <c r="HB2211" s="73"/>
      <c r="HC2211" s="73"/>
      <c r="HD2211" s="73"/>
      <c r="HE2211" s="73"/>
      <c r="HF2211" s="73"/>
      <c r="HG2211" s="73"/>
      <c r="HH2211" s="73"/>
      <c r="HI2211" s="73"/>
      <c r="HJ2211" s="73"/>
      <c r="HK2211" s="73"/>
      <c r="HL2211" s="73"/>
      <c r="HM2211" s="73"/>
      <c r="HN2211" s="73"/>
      <c r="HO2211" s="73"/>
      <c r="HP2211" s="73"/>
      <c r="HQ2211" s="73"/>
      <c r="HR2211" s="73"/>
      <c r="HS2211" s="73"/>
      <c r="HT2211" s="73"/>
      <c r="HU2211" s="73"/>
      <c r="HV2211" s="73"/>
      <c r="HW2211" s="73"/>
      <c r="HX2211" s="73"/>
      <c r="HY2211" s="73"/>
      <c r="HZ2211" s="73"/>
      <c r="IA2211" s="73"/>
      <c r="IB2211" s="73"/>
      <c r="IC2211" s="73"/>
      <c r="ID2211" s="73"/>
      <c r="IE2211" s="73"/>
      <c r="IF2211" s="73"/>
      <c r="IG2211" s="73"/>
      <c r="IH2211" s="73"/>
      <c r="II2211" s="73"/>
      <c r="IJ2211" s="73"/>
      <c r="IK2211" s="73"/>
      <c r="IL2211" s="73"/>
      <c r="IM2211" s="73"/>
      <c r="IN2211" s="73"/>
      <c r="IO2211" s="73"/>
      <c r="IP2211" s="73"/>
      <c r="IQ2211" s="73"/>
      <c r="IR2211" s="73"/>
      <c r="IS2211" s="73"/>
      <c r="IT2211" s="73"/>
      <c r="IU2211" s="73"/>
      <c r="IV2211" s="73"/>
      <c r="IW2211" s="73"/>
      <c r="IX2211" s="73"/>
      <c r="IY2211" s="73"/>
      <c r="IZ2211" s="73"/>
      <c r="JA2211" s="73"/>
      <c r="JB2211" s="73"/>
      <c r="JC2211" s="73"/>
    </row>
    <row r="2212" spans="2:263" s="72" customFormat="1">
      <c r="B2212" s="73"/>
      <c r="C2212" s="73"/>
      <c r="D2212" s="73"/>
      <c r="E2212" s="73"/>
      <c r="F2212" s="73"/>
      <c r="G2212" s="73"/>
      <c r="H2212" s="73"/>
      <c r="I2212" s="73"/>
      <c r="J2212" s="73"/>
      <c r="K2212" s="73"/>
      <c r="L2212" s="73"/>
      <c r="M2212" s="73"/>
      <c r="N2212" s="73"/>
      <c r="O2212" s="73"/>
      <c r="P2212" s="73"/>
      <c r="Q2212" s="73"/>
      <c r="R2212" s="73"/>
      <c r="S2212" s="73"/>
      <c r="T2212" s="73"/>
      <c r="U2212" s="73"/>
      <c r="V2212" s="73"/>
      <c r="W2212" s="73"/>
      <c r="GL2212" s="73"/>
      <c r="GM2212" s="73"/>
      <c r="GN2212" s="73"/>
      <c r="GO2212" s="73"/>
      <c r="GP2212" s="73"/>
      <c r="GQ2212" s="73"/>
      <c r="GR2212" s="73"/>
      <c r="GS2212" s="73"/>
      <c r="GT2212" s="73"/>
      <c r="GU2212" s="73"/>
      <c r="GV2212" s="73"/>
      <c r="GW2212" s="73"/>
      <c r="GX2212" s="73"/>
      <c r="GY2212" s="73"/>
      <c r="GZ2212" s="73"/>
      <c r="HA2212" s="73"/>
      <c r="HB2212" s="73"/>
      <c r="HC2212" s="73"/>
      <c r="HD2212" s="73"/>
      <c r="HE2212" s="73"/>
      <c r="HF2212" s="73"/>
      <c r="HG2212" s="73"/>
      <c r="HH2212" s="73"/>
      <c r="HI2212" s="73"/>
      <c r="HJ2212" s="73"/>
      <c r="HK2212" s="73"/>
      <c r="HL2212" s="73"/>
      <c r="HM2212" s="73"/>
      <c r="HN2212" s="73"/>
      <c r="HO2212" s="73"/>
      <c r="HP2212" s="73"/>
      <c r="HQ2212" s="73"/>
      <c r="HR2212" s="73"/>
      <c r="HS2212" s="73"/>
      <c r="HT2212" s="73"/>
      <c r="HU2212" s="73"/>
      <c r="HV2212" s="73"/>
      <c r="HW2212" s="73"/>
      <c r="HX2212" s="73"/>
      <c r="HY2212" s="73"/>
      <c r="HZ2212" s="73"/>
      <c r="IA2212" s="73"/>
      <c r="IB2212" s="73"/>
      <c r="IC2212" s="73"/>
      <c r="ID2212" s="73"/>
      <c r="IE2212" s="73"/>
      <c r="IF2212" s="73"/>
      <c r="IG2212" s="73"/>
      <c r="IH2212" s="73"/>
      <c r="II2212" s="73"/>
      <c r="IJ2212" s="73"/>
      <c r="IK2212" s="73"/>
      <c r="IL2212" s="73"/>
      <c r="IM2212" s="73"/>
      <c r="IN2212" s="73"/>
      <c r="IO2212" s="73"/>
      <c r="IP2212" s="73"/>
      <c r="IQ2212" s="73"/>
      <c r="IR2212" s="73"/>
      <c r="IS2212" s="73"/>
      <c r="IT2212" s="73"/>
      <c r="IU2212" s="73"/>
      <c r="IV2212" s="73"/>
      <c r="IW2212" s="73"/>
      <c r="IX2212" s="73"/>
      <c r="IY2212" s="73"/>
      <c r="IZ2212" s="73"/>
      <c r="JA2212" s="73"/>
      <c r="JB2212" s="73"/>
      <c r="JC2212" s="73"/>
    </row>
    <row r="2213" spans="2:263" s="72" customFormat="1">
      <c r="B2213" s="73"/>
      <c r="C2213" s="73"/>
      <c r="D2213" s="73"/>
      <c r="E2213" s="73"/>
      <c r="F2213" s="73"/>
      <c r="G2213" s="73"/>
      <c r="H2213" s="73"/>
      <c r="I2213" s="73"/>
      <c r="J2213" s="73"/>
      <c r="K2213" s="73"/>
      <c r="L2213" s="73"/>
      <c r="M2213" s="73"/>
      <c r="N2213" s="73"/>
      <c r="O2213" s="73"/>
      <c r="P2213" s="73"/>
      <c r="Q2213" s="73"/>
      <c r="R2213" s="73"/>
      <c r="S2213" s="73"/>
      <c r="T2213" s="73"/>
      <c r="U2213" s="73"/>
      <c r="V2213" s="73"/>
      <c r="W2213" s="73"/>
      <c r="GL2213" s="73"/>
      <c r="GM2213" s="73"/>
      <c r="GN2213" s="73"/>
      <c r="GO2213" s="73"/>
      <c r="GP2213" s="73"/>
      <c r="GQ2213" s="73"/>
      <c r="GR2213" s="73"/>
      <c r="GS2213" s="73"/>
      <c r="GT2213" s="73"/>
      <c r="GU2213" s="73"/>
      <c r="GV2213" s="73"/>
      <c r="GW2213" s="73"/>
      <c r="GX2213" s="73"/>
      <c r="GY2213" s="73"/>
      <c r="GZ2213" s="73"/>
      <c r="HA2213" s="73"/>
      <c r="HB2213" s="73"/>
      <c r="HC2213" s="73"/>
      <c r="HD2213" s="73"/>
      <c r="HE2213" s="73"/>
      <c r="HF2213" s="73"/>
      <c r="HG2213" s="73"/>
      <c r="HH2213" s="73"/>
      <c r="HI2213" s="73"/>
      <c r="HJ2213" s="73"/>
      <c r="HK2213" s="73"/>
      <c r="HL2213" s="73"/>
      <c r="HM2213" s="73"/>
      <c r="HN2213" s="73"/>
      <c r="HO2213" s="73"/>
      <c r="HP2213" s="73"/>
      <c r="HQ2213" s="73"/>
      <c r="HR2213" s="73"/>
      <c r="HS2213" s="73"/>
      <c r="HT2213" s="73"/>
      <c r="HU2213" s="73"/>
      <c r="HV2213" s="73"/>
      <c r="HW2213" s="73"/>
      <c r="HX2213" s="73"/>
      <c r="HY2213" s="73"/>
      <c r="HZ2213" s="73"/>
      <c r="IA2213" s="73"/>
      <c r="IB2213" s="73"/>
      <c r="IC2213" s="73"/>
      <c r="ID2213" s="73"/>
      <c r="IE2213" s="73"/>
      <c r="IF2213" s="73"/>
      <c r="IG2213" s="73"/>
      <c r="IH2213" s="73"/>
      <c r="II2213" s="73"/>
      <c r="IJ2213" s="73"/>
      <c r="IK2213" s="73"/>
      <c r="IL2213" s="73"/>
      <c r="IM2213" s="73"/>
      <c r="IN2213" s="73"/>
      <c r="IO2213" s="73"/>
      <c r="IP2213" s="73"/>
      <c r="IQ2213" s="73"/>
      <c r="IR2213" s="73"/>
      <c r="IS2213" s="73"/>
      <c r="IT2213" s="73"/>
      <c r="IU2213" s="73"/>
      <c r="IV2213" s="73"/>
      <c r="IW2213" s="73"/>
      <c r="IX2213" s="73"/>
      <c r="IY2213" s="73"/>
      <c r="IZ2213" s="73"/>
      <c r="JA2213" s="73"/>
      <c r="JB2213" s="73"/>
      <c r="JC2213" s="73"/>
    </row>
    <row r="2214" spans="2:263" s="72" customFormat="1">
      <c r="B2214" s="73"/>
      <c r="C2214" s="73"/>
      <c r="D2214" s="73"/>
      <c r="E2214" s="73"/>
      <c r="F2214" s="73"/>
      <c r="G2214" s="73"/>
      <c r="H2214" s="73"/>
      <c r="I2214" s="73"/>
      <c r="J2214" s="73"/>
      <c r="K2214" s="73"/>
      <c r="L2214" s="73"/>
      <c r="M2214" s="73"/>
      <c r="N2214" s="73"/>
      <c r="O2214" s="73"/>
      <c r="P2214" s="73"/>
      <c r="Q2214" s="73"/>
      <c r="R2214" s="73"/>
      <c r="S2214" s="73"/>
      <c r="T2214" s="73"/>
      <c r="U2214" s="73"/>
      <c r="V2214" s="73"/>
      <c r="W2214" s="73"/>
      <c r="GL2214" s="73"/>
      <c r="GM2214" s="73"/>
      <c r="GN2214" s="73"/>
      <c r="GO2214" s="73"/>
      <c r="GP2214" s="73"/>
      <c r="GQ2214" s="73"/>
      <c r="GR2214" s="73"/>
      <c r="GS2214" s="73"/>
      <c r="GT2214" s="73"/>
      <c r="GU2214" s="73"/>
      <c r="GV2214" s="73"/>
      <c r="GW2214" s="73"/>
      <c r="GX2214" s="73"/>
      <c r="GY2214" s="73"/>
      <c r="GZ2214" s="73"/>
      <c r="HA2214" s="73"/>
      <c r="HB2214" s="73"/>
      <c r="HC2214" s="73"/>
      <c r="HD2214" s="73"/>
      <c r="HE2214" s="73"/>
      <c r="HF2214" s="73"/>
      <c r="HG2214" s="73"/>
      <c r="HH2214" s="73"/>
      <c r="HI2214" s="73"/>
      <c r="HJ2214" s="73"/>
      <c r="HK2214" s="73"/>
      <c r="HL2214" s="73"/>
      <c r="HM2214" s="73"/>
      <c r="HN2214" s="73"/>
      <c r="HO2214" s="73"/>
      <c r="HP2214" s="73"/>
      <c r="HQ2214" s="73"/>
      <c r="HR2214" s="73"/>
      <c r="HS2214" s="73"/>
      <c r="HT2214" s="73"/>
      <c r="HU2214" s="73"/>
      <c r="HV2214" s="73"/>
      <c r="HW2214" s="73"/>
      <c r="HX2214" s="73"/>
      <c r="HY2214" s="73"/>
      <c r="HZ2214" s="73"/>
      <c r="IA2214" s="73"/>
      <c r="IB2214" s="73"/>
      <c r="IC2214" s="73"/>
      <c r="ID2214" s="73"/>
      <c r="IE2214" s="73"/>
      <c r="IF2214" s="73"/>
      <c r="IG2214" s="73"/>
      <c r="IH2214" s="73"/>
      <c r="II2214" s="73"/>
      <c r="IJ2214" s="73"/>
      <c r="IK2214" s="73"/>
      <c r="IL2214" s="73"/>
      <c r="IM2214" s="73"/>
      <c r="IN2214" s="73"/>
      <c r="IO2214" s="73"/>
      <c r="IP2214" s="73"/>
      <c r="IQ2214" s="73"/>
      <c r="IR2214" s="73"/>
      <c r="IS2214" s="73"/>
      <c r="IT2214" s="73"/>
      <c r="IU2214" s="73"/>
      <c r="IV2214" s="73"/>
      <c r="IW2214" s="73"/>
      <c r="IX2214" s="73"/>
      <c r="IY2214" s="73"/>
      <c r="IZ2214" s="73"/>
      <c r="JA2214" s="73"/>
      <c r="JB2214" s="73"/>
      <c r="JC2214" s="73"/>
    </row>
    <row r="2215" spans="2:263" s="72" customFormat="1">
      <c r="B2215" s="73"/>
      <c r="C2215" s="73"/>
      <c r="D2215" s="73"/>
      <c r="E2215" s="73"/>
      <c r="F2215" s="73"/>
      <c r="G2215" s="73"/>
      <c r="H2215" s="73"/>
      <c r="I2215" s="73"/>
      <c r="J2215" s="73"/>
      <c r="K2215" s="73"/>
      <c r="L2215" s="73"/>
      <c r="M2215" s="73"/>
      <c r="N2215" s="73"/>
      <c r="O2215" s="73"/>
      <c r="P2215" s="73"/>
      <c r="Q2215" s="73"/>
      <c r="R2215" s="73"/>
      <c r="S2215" s="73"/>
      <c r="T2215" s="73"/>
      <c r="U2215" s="73"/>
      <c r="V2215" s="73"/>
      <c r="W2215" s="73"/>
      <c r="GL2215" s="73"/>
      <c r="GM2215" s="73"/>
      <c r="GN2215" s="73"/>
      <c r="GO2215" s="73"/>
      <c r="GP2215" s="73"/>
      <c r="GQ2215" s="73"/>
      <c r="GR2215" s="73"/>
      <c r="GS2215" s="73"/>
      <c r="GT2215" s="73"/>
      <c r="GU2215" s="73"/>
      <c r="GV2215" s="73"/>
      <c r="GW2215" s="73"/>
      <c r="GX2215" s="73"/>
      <c r="GY2215" s="73"/>
      <c r="GZ2215" s="73"/>
      <c r="HA2215" s="73"/>
      <c r="HB2215" s="73"/>
      <c r="HC2215" s="73"/>
      <c r="HD2215" s="73"/>
      <c r="HE2215" s="73"/>
      <c r="HF2215" s="73"/>
      <c r="HG2215" s="73"/>
      <c r="HH2215" s="73"/>
      <c r="HI2215" s="73"/>
      <c r="HJ2215" s="73"/>
      <c r="HK2215" s="73"/>
      <c r="HL2215" s="73"/>
      <c r="HM2215" s="73"/>
      <c r="HN2215" s="73"/>
      <c r="HO2215" s="73"/>
      <c r="HP2215" s="73"/>
      <c r="HQ2215" s="73"/>
      <c r="HR2215" s="73"/>
      <c r="HS2215" s="73"/>
      <c r="HT2215" s="73"/>
      <c r="HU2215" s="73"/>
      <c r="HV2215" s="73"/>
      <c r="HW2215" s="73"/>
      <c r="HX2215" s="73"/>
      <c r="HY2215" s="73"/>
      <c r="HZ2215" s="73"/>
      <c r="IA2215" s="73"/>
      <c r="IB2215" s="73"/>
      <c r="IC2215" s="73"/>
      <c r="ID2215" s="73"/>
      <c r="IE2215" s="73"/>
      <c r="IF2215" s="73"/>
      <c r="IG2215" s="73"/>
      <c r="IH2215" s="73"/>
      <c r="II2215" s="73"/>
      <c r="IJ2215" s="73"/>
      <c r="IK2215" s="73"/>
      <c r="IL2215" s="73"/>
      <c r="IM2215" s="73"/>
      <c r="IN2215" s="73"/>
      <c r="IO2215" s="73"/>
      <c r="IP2215" s="73"/>
      <c r="IQ2215" s="73"/>
      <c r="IR2215" s="73"/>
      <c r="IS2215" s="73"/>
      <c r="IT2215" s="73"/>
      <c r="IU2215" s="73"/>
      <c r="IV2215" s="73"/>
      <c r="IW2215" s="73"/>
      <c r="IX2215" s="73"/>
      <c r="IY2215" s="73"/>
      <c r="IZ2215" s="73"/>
      <c r="JA2215" s="73"/>
      <c r="JB2215" s="73"/>
      <c r="JC2215" s="73"/>
    </row>
    <row r="2216" spans="2:263" s="72" customFormat="1">
      <c r="B2216" s="73"/>
      <c r="C2216" s="73"/>
      <c r="D2216" s="73"/>
      <c r="E2216" s="73"/>
      <c r="F2216" s="73"/>
      <c r="G2216" s="73"/>
      <c r="H2216" s="73"/>
      <c r="I2216" s="73"/>
      <c r="J2216" s="73"/>
      <c r="K2216" s="73"/>
      <c r="L2216" s="73"/>
      <c r="M2216" s="73"/>
      <c r="N2216" s="73"/>
      <c r="O2216" s="73"/>
      <c r="P2216" s="73"/>
      <c r="Q2216" s="73"/>
      <c r="R2216" s="73"/>
      <c r="S2216" s="73"/>
      <c r="T2216" s="73"/>
      <c r="U2216" s="73"/>
      <c r="V2216" s="73"/>
      <c r="W2216" s="73"/>
      <c r="GL2216" s="73"/>
      <c r="GM2216" s="73"/>
      <c r="GN2216" s="73"/>
      <c r="GO2216" s="73"/>
      <c r="GP2216" s="73"/>
      <c r="GQ2216" s="73"/>
      <c r="GR2216" s="73"/>
      <c r="GS2216" s="73"/>
      <c r="GT2216" s="73"/>
      <c r="GU2216" s="73"/>
      <c r="GV2216" s="73"/>
      <c r="GW2216" s="73"/>
      <c r="GX2216" s="73"/>
      <c r="GY2216" s="73"/>
      <c r="GZ2216" s="73"/>
      <c r="HA2216" s="73"/>
      <c r="HB2216" s="73"/>
      <c r="HC2216" s="73"/>
      <c r="HD2216" s="73"/>
      <c r="HE2216" s="73"/>
      <c r="HF2216" s="73"/>
      <c r="HG2216" s="73"/>
      <c r="HH2216" s="73"/>
      <c r="HI2216" s="73"/>
      <c r="HJ2216" s="73"/>
      <c r="HK2216" s="73"/>
      <c r="HL2216" s="73"/>
      <c r="HM2216" s="73"/>
      <c r="HN2216" s="73"/>
      <c r="HO2216" s="73"/>
      <c r="HP2216" s="73"/>
      <c r="HQ2216" s="73"/>
      <c r="HR2216" s="73"/>
      <c r="HS2216" s="73"/>
      <c r="HT2216" s="73"/>
      <c r="HU2216" s="73"/>
      <c r="HV2216" s="73"/>
      <c r="HW2216" s="73"/>
      <c r="HX2216" s="73"/>
      <c r="HY2216" s="73"/>
      <c r="HZ2216" s="73"/>
      <c r="IA2216" s="73"/>
      <c r="IB2216" s="73"/>
      <c r="IC2216" s="73"/>
      <c r="ID2216" s="73"/>
      <c r="IE2216" s="73"/>
      <c r="IF2216" s="73"/>
      <c r="IG2216" s="73"/>
      <c r="IH2216" s="73"/>
      <c r="II2216" s="73"/>
      <c r="IJ2216" s="73"/>
      <c r="IK2216" s="73"/>
      <c r="IL2216" s="73"/>
      <c r="IM2216" s="73"/>
      <c r="IN2216" s="73"/>
      <c r="IO2216" s="73"/>
      <c r="IP2216" s="73"/>
      <c r="IQ2216" s="73"/>
      <c r="IR2216" s="73"/>
      <c r="IS2216" s="73"/>
      <c r="IT2216" s="73"/>
      <c r="IU2216" s="73"/>
      <c r="IV2216" s="73"/>
      <c r="IW2216" s="73"/>
      <c r="IX2216" s="73"/>
      <c r="IY2216" s="73"/>
      <c r="IZ2216" s="73"/>
      <c r="JA2216" s="73"/>
      <c r="JB2216" s="73"/>
      <c r="JC2216" s="73"/>
    </row>
    <row r="2217" spans="2:263" s="72" customFormat="1">
      <c r="B2217" s="73"/>
      <c r="C2217" s="73"/>
      <c r="D2217" s="73"/>
      <c r="E2217" s="73"/>
      <c r="F2217" s="73"/>
      <c r="G2217" s="73"/>
      <c r="H2217" s="73"/>
      <c r="I2217" s="73"/>
      <c r="J2217" s="73"/>
      <c r="K2217" s="73"/>
      <c r="L2217" s="73"/>
      <c r="M2217" s="73"/>
      <c r="N2217" s="73"/>
      <c r="O2217" s="73"/>
      <c r="P2217" s="73"/>
      <c r="Q2217" s="73"/>
      <c r="R2217" s="73"/>
      <c r="S2217" s="73"/>
      <c r="T2217" s="73"/>
      <c r="U2217" s="73"/>
      <c r="V2217" s="73"/>
      <c r="W2217" s="73"/>
      <c r="GL2217" s="73"/>
      <c r="GM2217" s="73"/>
      <c r="GN2217" s="73"/>
      <c r="GO2217" s="73"/>
      <c r="GP2217" s="73"/>
      <c r="GQ2217" s="73"/>
      <c r="GR2217" s="73"/>
      <c r="GS2217" s="73"/>
      <c r="GT2217" s="73"/>
      <c r="GU2217" s="73"/>
      <c r="GV2217" s="73"/>
      <c r="GW2217" s="73"/>
      <c r="GX2217" s="73"/>
      <c r="GY2217" s="73"/>
      <c r="GZ2217" s="73"/>
      <c r="HA2217" s="73"/>
      <c r="HB2217" s="73"/>
      <c r="HC2217" s="73"/>
      <c r="HD2217" s="73"/>
      <c r="HE2217" s="73"/>
      <c r="HF2217" s="73"/>
      <c r="HG2217" s="73"/>
      <c r="HH2217" s="73"/>
      <c r="HI2217" s="73"/>
      <c r="HJ2217" s="73"/>
      <c r="HK2217" s="73"/>
      <c r="HL2217" s="73"/>
      <c r="HM2217" s="73"/>
      <c r="HN2217" s="73"/>
      <c r="HO2217" s="73"/>
      <c r="HP2217" s="73"/>
      <c r="HQ2217" s="73"/>
      <c r="HR2217" s="73"/>
      <c r="HS2217" s="73"/>
      <c r="HT2217" s="73"/>
      <c r="HU2217" s="73"/>
      <c r="HV2217" s="73"/>
      <c r="HW2217" s="73"/>
      <c r="HX2217" s="73"/>
      <c r="HY2217" s="73"/>
      <c r="HZ2217" s="73"/>
      <c r="IA2217" s="73"/>
      <c r="IB2217" s="73"/>
      <c r="IC2217" s="73"/>
      <c r="ID2217" s="73"/>
      <c r="IE2217" s="73"/>
      <c r="IF2217" s="73"/>
      <c r="IG2217" s="73"/>
      <c r="IH2217" s="73"/>
      <c r="II2217" s="73"/>
      <c r="IJ2217" s="73"/>
      <c r="IK2217" s="73"/>
      <c r="IL2217" s="73"/>
      <c r="IM2217" s="73"/>
      <c r="IN2217" s="73"/>
      <c r="IO2217" s="73"/>
      <c r="IP2217" s="73"/>
      <c r="IQ2217" s="73"/>
      <c r="IR2217" s="73"/>
      <c r="IS2217" s="73"/>
      <c r="IT2217" s="73"/>
      <c r="IU2217" s="73"/>
      <c r="IV2217" s="73"/>
      <c r="IW2217" s="73"/>
      <c r="IX2217" s="73"/>
      <c r="IY2217" s="73"/>
      <c r="IZ2217" s="73"/>
      <c r="JA2217" s="73"/>
      <c r="JB2217" s="73"/>
      <c r="JC2217" s="73"/>
    </row>
    <row r="2218" spans="2:263" s="72" customFormat="1">
      <c r="B2218" s="73"/>
      <c r="C2218" s="73"/>
      <c r="D2218" s="73"/>
      <c r="E2218" s="73"/>
      <c r="F2218" s="73"/>
      <c r="G2218" s="73"/>
      <c r="H2218" s="73"/>
      <c r="I2218" s="73"/>
      <c r="J2218" s="73"/>
      <c r="K2218" s="73"/>
      <c r="L2218" s="73"/>
      <c r="M2218" s="73"/>
      <c r="N2218" s="73"/>
      <c r="O2218" s="73"/>
      <c r="P2218" s="73"/>
      <c r="Q2218" s="73"/>
      <c r="R2218" s="73"/>
      <c r="S2218" s="73"/>
      <c r="T2218" s="73"/>
      <c r="U2218" s="73"/>
      <c r="V2218" s="73"/>
      <c r="W2218" s="73"/>
      <c r="GL2218" s="73"/>
      <c r="GM2218" s="73"/>
      <c r="GN2218" s="73"/>
      <c r="GO2218" s="73"/>
      <c r="GP2218" s="73"/>
      <c r="GQ2218" s="73"/>
      <c r="GR2218" s="73"/>
      <c r="GS2218" s="73"/>
      <c r="GT2218" s="73"/>
      <c r="GU2218" s="73"/>
      <c r="GV2218" s="73"/>
      <c r="GW2218" s="73"/>
      <c r="GX2218" s="73"/>
      <c r="GY2218" s="73"/>
      <c r="GZ2218" s="73"/>
      <c r="HA2218" s="73"/>
      <c r="HB2218" s="73"/>
      <c r="HC2218" s="73"/>
      <c r="HD2218" s="73"/>
      <c r="HE2218" s="73"/>
      <c r="HF2218" s="73"/>
      <c r="HG2218" s="73"/>
      <c r="HH2218" s="73"/>
      <c r="HI2218" s="73"/>
      <c r="HJ2218" s="73"/>
      <c r="HK2218" s="73"/>
      <c r="HL2218" s="73"/>
      <c r="HM2218" s="73"/>
      <c r="HN2218" s="73"/>
      <c r="HO2218" s="73"/>
      <c r="HP2218" s="73"/>
      <c r="HQ2218" s="73"/>
      <c r="HR2218" s="73"/>
      <c r="HS2218" s="73"/>
      <c r="HT2218" s="73"/>
      <c r="HU2218" s="73"/>
      <c r="HV2218" s="73"/>
      <c r="HW2218" s="73"/>
      <c r="HX2218" s="73"/>
      <c r="HY2218" s="73"/>
      <c r="HZ2218" s="73"/>
      <c r="IA2218" s="73"/>
      <c r="IB2218" s="73"/>
      <c r="IC2218" s="73"/>
      <c r="ID2218" s="73"/>
      <c r="IE2218" s="73"/>
      <c r="IF2218" s="73"/>
      <c r="IG2218" s="73"/>
      <c r="IH2218" s="73"/>
      <c r="II2218" s="73"/>
      <c r="IJ2218" s="73"/>
      <c r="IK2218" s="73"/>
      <c r="IL2218" s="73"/>
      <c r="IM2218" s="73"/>
      <c r="IN2218" s="73"/>
      <c r="IO2218" s="73"/>
      <c r="IP2218" s="73"/>
      <c r="IQ2218" s="73"/>
      <c r="IR2218" s="73"/>
      <c r="IS2218" s="73"/>
      <c r="IT2218" s="73"/>
      <c r="IU2218" s="73"/>
      <c r="IV2218" s="73"/>
      <c r="IW2218" s="73"/>
      <c r="IX2218" s="73"/>
      <c r="IY2218" s="73"/>
      <c r="IZ2218" s="73"/>
      <c r="JA2218" s="73"/>
      <c r="JB2218" s="73"/>
      <c r="JC2218" s="73"/>
    </row>
    <row r="2219" spans="2:263" s="72" customFormat="1">
      <c r="B2219" s="73"/>
      <c r="C2219" s="73"/>
      <c r="D2219" s="73"/>
      <c r="E2219" s="73"/>
      <c r="F2219" s="73"/>
      <c r="G2219" s="73"/>
      <c r="H2219" s="73"/>
      <c r="I2219" s="73"/>
      <c r="J2219" s="73"/>
      <c r="K2219" s="73"/>
      <c r="L2219" s="73"/>
      <c r="M2219" s="73"/>
      <c r="N2219" s="73"/>
      <c r="O2219" s="73"/>
      <c r="P2219" s="73"/>
      <c r="Q2219" s="73"/>
      <c r="R2219" s="73"/>
      <c r="S2219" s="73"/>
      <c r="T2219" s="73"/>
      <c r="U2219" s="73"/>
      <c r="V2219" s="73"/>
      <c r="W2219" s="73"/>
      <c r="GL2219" s="73"/>
      <c r="GM2219" s="73"/>
      <c r="GN2219" s="73"/>
      <c r="GO2219" s="73"/>
      <c r="GP2219" s="73"/>
      <c r="GQ2219" s="73"/>
      <c r="GR2219" s="73"/>
      <c r="GS2219" s="73"/>
      <c r="GT2219" s="73"/>
      <c r="GU2219" s="73"/>
      <c r="GV2219" s="73"/>
      <c r="GW2219" s="73"/>
      <c r="GX2219" s="73"/>
      <c r="GY2219" s="73"/>
      <c r="GZ2219" s="73"/>
      <c r="HA2219" s="73"/>
      <c r="HB2219" s="73"/>
      <c r="HC2219" s="73"/>
      <c r="HD2219" s="73"/>
      <c r="HE2219" s="73"/>
      <c r="HF2219" s="73"/>
      <c r="HG2219" s="73"/>
      <c r="HH2219" s="73"/>
      <c r="HI2219" s="73"/>
      <c r="HJ2219" s="73"/>
      <c r="HK2219" s="73"/>
      <c r="HL2219" s="73"/>
      <c r="HM2219" s="73"/>
      <c r="HN2219" s="73"/>
      <c r="HO2219" s="73"/>
      <c r="HP2219" s="73"/>
      <c r="HQ2219" s="73"/>
      <c r="HR2219" s="73"/>
      <c r="HS2219" s="73"/>
      <c r="HT2219" s="73"/>
      <c r="HU2219" s="73"/>
      <c r="HV2219" s="73"/>
      <c r="HW2219" s="73"/>
      <c r="HX2219" s="73"/>
      <c r="HY2219" s="73"/>
      <c r="HZ2219" s="73"/>
      <c r="IA2219" s="73"/>
      <c r="IB2219" s="73"/>
      <c r="IC2219" s="73"/>
      <c r="ID2219" s="73"/>
      <c r="IE2219" s="73"/>
      <c r="IF2219" s="73"/>
      <c r="IG2219" s="73"/>
      <c r="IH2219" s="73"/>
      <c r="II2219" s="73"/>
      <c r="IJ2219" s="73"/>
      <c r="IK2219" s="73"/>
      <c r="IL2219" s="73"/>
      <c r="IM2219" s="73"/>
      <c r="IN2219" s="73"/>
      <c r="IO2219" s="73"/>
      <c r="IP2219" s="73"/>
      <c r="IQ2219" s="73"/>
      <c r="IR2219" s="73"/>
      <c r="IS2219" s="73"/>
      <c r="IT2219" s="73"/>
      <c r="IU2219" s="73"/>
      <c r="IV2219" s="73"/>
      <c r="IW2219" s="73"/>
      <c r="IX2219" s="73"/>
      <c r="IY2219" s="73"/>
      <c r="IZ2219" s="73"/>
      <c r="JA2219" s="73"/>
      <c r="JB2219" s="73"/>
      <c r="JC2219" s="73"/>
    </row>
    <row r="2220" spans="2:263" s="72" customFormat="1">
      <c r="B2220" s="73"/>
      <c r="C2220" s="73"/>
      <c r="D2220" s="73"/>
      <c r="E2220" s="73"/>
      <c r="F2220" s="73"/>
      <c r="G2220" s="73"/>
      <c r="H2220" s="73"/>
      <c r="I2220" s="73"/>
      <c r="J2220" s="73"/>
      <c r="K2220" s="73"/>
      <c r="L2220" s="73"/>
      <c r="M2220" s="73"/>
      <c r="N2220" s="73"/>
      <c r="O2220" s="73"/>
      <c r="P2220" s="73"/>
      <c r="Q2220" s="73"/>
      <c r="R2220" s="73"/>
      <c r="S2220" s="73"/>
      <c r="T2220" s="73"/>
      <c r="U2220" s="73"/>
      <c r="V2220" s="73"/>
      <c r="W2220" s="73"/>
      <c r="GL2220" s="73"/>
      <c r="GM2220" s="73"/>
      <c r="GN2220" s="73"/>
      <c r="GO2220" s="73"/>
      <c r="GP2220" s="73"/>
      <c r="GQ2220" s="73"/>
      <c r="GR2220" s="73"/>
      <c r="GS2220" s="73"/>
      <c r="GT2220" s="73"/>
      <c r="GU2220" s="73"/>
      <c r="GV2220" s="73"/>
      <c r="GW2220" s="73"/>
      <c r="GX2220" s="73"/>
      <c r="GY2220" s="73"/>
      <c r="GZ2220" s="73"/>
      <c r="HA2220" s="73"/>
      <c r="HB2220" s="73"/>
      <c r="HC2220" s="73"/>
      <c r="HD2220" s="73"/>
      <c r="HE2220" s="73"/>
      <c r="HF2220" s="73"/>
      <c r="HG2220" s="73"/>
      <c r="HH2220" s="73"/>
      <c r="HI2220" s="73"/>
      <c r="HJ2220" s="73"/>
      <c r="HK2220" s="73"/>
      <c r="HL2220" s="73"/>
      <c r="HM2220" s="73"/>
      <c r="HN2220" s="73"/>
      <c r="HO2220" s="73"/>
      <c r="HP2220" s="73"/>
      <c r="HQ2220" s="73"/>
      <c r="HR2220" s="73"/>
      <c r="HS2220" s="73"/>
      <c r="HT2220" s="73"/>
      <c r="HU2220" s="73"/>
      <c r="HV2220" s="73"/>
      <c r="HW2220" s="73"/>
      <c r="HX2220" s="73"/>
      <c r="HY2220" s="73"/>
      <c r="HZ2220" s="73"/>
      <c r="IA2220" s="73"/>
      <c r="IB2220" s="73"/>
      <c r="IC2220" s="73"/>
      <c r="ID2220" s="73"/>
      <c r="IE2220" s="73"/>
      <c r="IF2220" s="73"/>
      <c r="IG2220" s="73"/>
      <c r="IH2220" s="73"/>
      <c r="II2220" s="73"/>
      <c r="IJ2220" s="73"/>
      <c r="IK2220" s="73"/>
      <c r="IL2220" s="73"/>
      <c r="IM2220" s="73"/>
      <c r="IN2220" s="73"/>
      <c r="IO2220" s="73"/>
      <c r="IP2220" s="73"/>
      <c r="IQ2220" s="73"/>
      <c r="IR2220" s="73"/>
      <c r="IS2220" s="73"/>
      <c r="IT2220" s="73"/>
      <c r="IU2220" s="73"/>
      <c r="IV2220" s="73"/>
      <c r="IW2220" s="73"/>
      <c r="IX2220" s="73"/>
      <c r="IY2220" s="73"/>
      <c r="IZ2220" s="73"/>
      <c r="JA2220" s="73"/>
      <c r="JB2220" s="73"/>
      <c r="JC2220" s="73"/>
    </row>
    <row r="2221" spans="2:263" s="72" customFormat="1">
      <c r="B2221" s="73"/>
      <c r="C2221" s="73"/>
      <c r="D2221" s="73"/>
      <c r="E2221" s="73"/>
      <c r="F2221" s="73"/>
      <c r="G2221" s="73"/>
      <c r="H2221" s="73"/>
      <c r="I2221" s="73"/>
      <c r="J2221" s="73"/>
      <c r="K2221" s="73"/>
      <c r="L2221" s="73"/>
      <c r="M2221" s="73"/>
      <c r="N2221" s="73"/>
      <c r="O2221" s="73"/>
      <c r="P2221" s="73"/>
      <c r="Q2221" s="73"/>
      <c r="R2221" s="73"/>
      <c r="S2221" s="73"/>
      <c r="T2221" s="73"/>
      <c r="U2221" s="73"/>
      <c r="V2221" s="73"/>
      <c r="W2221" s="73"/>
      <c r="GL2221" s="73"/>
      <c r="GM2221" s="73"/>
      <c r="GN2221" s="73"/>
      <c r="GO2221" s="73"/>
      <c r="GP2221" s="73"/>
      <c r="GQ2221" s="73"/>
      <c r="GR2221" s="73"/>
      <c r="GS2221" s="73"/>
      <c r="GT2221" s="73"/>
      <c r="GU2221" s="73"/>
      <c r="GV2221" s="73"/>
      <c r="GW2221" s="73"/>
      <c r="GX2221" s="73"/>
      <c r="GY2221" s="73"/>
      <c r="GZ2221" s="73"/>
      <c r="HA2221" s="73"/>
      <c r="HB2221" s="73"/>
      <c r="HC2221" s="73"/>
      <c r="HD2221" s="73"/>
      <c r="HE2221" s="73"/>
      <c r="HF2221" s="73"/>
      <c r="HG2221" s="73"/>
      <c r="HH2221" s="73"/>
      <c r="HI2221" s="73"/>
      <c r="HJ2221" s="73"/>
      <c r="HK2221" s="73"/>
      <c r="HL2221" s="73"/>
      <c r="HM2221" s="73"/>
      <c r="HN2221" s="73"/>
      <c r="HO2221" s="73"/>
      <c r="HP2221" s="73"/>
      <c r="HQ2221" s="73"/>
      <c r="HR2221" s="73"/>
      <c r="HS2221" s="73"/>
      <c r="HT2221" s="73"/>
      <c r="HU2221" s="73"/>
      <c r="HV2221" s="73"/>
      <c r="HW2221" s="73"/>
      <c r="HX2221" s="73"/>
      <c r="HY2221" s="73"/>
      <c r="HZ2221" s="73"/>
      <c r="IA2221" s="73"/>
      <c r="IB2221" s="73"/>
      <c r="IC2221" s="73"/>
      <c r="ID2221" s="73"/>
      <c r="IE2221" s="73"/>
      <c r="IF2221" s="73"/>
      <c r="IG2221" s="73"/>
      <c r="IH2221" s="73"/>
      <c r="II2221" s="73"/>
      <c r="IJ2221" s="73"/>
      <c r="IK2221" s="73"/>
      <c r="IL2221" s="73"/>
      <c r="IM2221" s="73"/>
      <c r="IN2221" s="73"/>
      <c r="IO2221" s="73"/>
      <c r="IP2221" s="73"/>
      <c r="IQ2221" s="73"/>
      <c r="IR2221" s="73"/>
      <c r="IS2221" s="73"/>
      <c r="IT2221" s="73"/>
      <c r="IU2221" s="73"/>
      <c r="IV2221" s="73"/>
      <c r="IW2221" s="73"/>
      <c r="IX2221" s="73"/>
      <c r="IY2221" s="73"/>
      <c r="IZ2221" s="73"/>
      <c r="JA2221" s="73"/>
      <c r="JB2221" s="73"/>
      <c r="JC2221" s="73"/>
    </row>
    <row r="2222" spans="2:263" s="72" customFormat="1">
      <c r="B2222" s="73"/>
      <c r="C2222" s="73"/>
      <c r="D2222" s="73"/>
      <c r="E2222" s="73"/>
      <c r="F2222" s="73"/>
      <c r="G2222" s="73"/>
      <c r="H2222" s="73"/>
      <c r="I2222" s="73"/>
      <c r="J2222" s="73"/>
      <c r="K2222" s="73"/>
      <c r="L2222" s="73"/>
      <c r="M2222" s="73"/>
      <c r="N2222" s="73"/>
      <c r="O2222" s="73"/>
      <c r="P2222" s="73"/>
      <c r="Q2222" s="73"/>
      <c r="R2222" s="73"/>
      <c r="S2222" s="73"/>
      <c r="T2222" s="73"/>
      <c r="U2222" s="73"/>
      <c r="V2222" s="73"/>
      <c r="W2222" s="73"/>
      <c r="GL2222" s="73"/>
      <c r="GM2222" s="73"/>
      <c r="GN2222" s="73"/>
      <c r="GO2222" s="73"/>
      <c r="GP2222" s="73"/>
      <c r="GQ2222" s="73"/>
      <c r="GR2222" s="73"/>
      <c r="GS2222" s="73"/>
      <c r="GT2222" s="73"/>
      <c r="GU2222" s="73"/>
      <c r="GV2222" s="73"/>
      <c r="GW2222" s="73"/>
      <c r="GX2222" s="73"/>
      <c r="GY2222" s="73"/>
      <c r="GZ2222" s="73"/>
      <c r="HA2222" s="73"/>
      <c r="HB2222" s="73"/>
      <c r="HC2222" s="73"/>
      <c r="HD2222" s="73"/>
      <c r="HE2222" s="73"/>
      <c r="HF2222" s="73"/>
      <c r="HG2222" s="73"/>
      <c r="HH2222" s="73"/>
      <c r="HI2222" s="73"/>
      <c r="HJ2222" s="73"/>
      <c r="HK2222" s="73"/>
      <c r="HL2222" s="73"/>
      <c r="HM2222" s="73"/>
      <c r="HN2222" s="73"/>
      <c r="HO2222" s="73"/>
      <c r="HP2222" s="73"/>
      <c r="HQ2222" s="73"/>
      <c r="HR2222" s="73"/>
      <c r="HS2222" s="73"/>
      <c r="HT2222" s="73"/>
      <c r="HU2222" s="73"/>
      <c r="HV2222" s="73"/>
      <c r="HW2222" s="73"/>
      <c r="HX2222" s="73"/>
      <c r="HY2222" s="73"/>
      <c r="HZ2222" s="73"/>
      <c r="IA2222" s="73"/>
      <c r="IB2222" s="73"/>
      <c r="IC2222" s="73"/>
      <c r="ID2222" s="73"/>
      <c r="IE2222" s="73"/>
      <c r="IF2222" s="73"/>
      <c r="IG2222" s="73"/>
      <c r="IH2222" s="73"/>
      <c r="II2222" s="73"/>
      <c r="IJ2222" s="73"/>
      <c r="IK2222" s="73"/>
      <c r="IL2222" s="73"/>
      <c r="IM2222" s="73"/>
      <c r="IN2222" s="73"/>
      <c r="IO2222" s="73"/>
      <c r="IP2222" s="73"/>
      <c r="IQ2222" s="73"/>
      <c r="IR2222" s="73"/>
      <c r="IS2222" s="73"/>
      <c r="IT2222" s="73"/>
      <c r="IU2222" s="73"/>
      <c r="IV2222" s="73"/>
      <c r="IW2222" s="73"/>
      <c r="IX2222" s="73"/>
      <c r="IY2222" s="73"/>
      <c r="IZ2222" s="73"/>
      <c r="JA2222" s="73"/>
      <c r="JB2222" s="73"/>
      <c r="JC2222" s="73"/>
    </row>
    <row r="2223" spans="2:263" s="72" customFormat="1">
      <c r="B2223" s="73"/>
      <c r="C2223" s="73"/>
      <c r="D2223" s="73"/>
      <c r="E2223" s="73"/>
      <c r="F2223" s="73"/>
      <c r="G2223" s="73"/>
      <c r="H2223" s="73"/>
      <c r="I2223" s="73"/>
      <c r="J2223" s="73"/>
      <c r="K2223" s="73"/>
      <c r="L2223" s="73"/>
      <c r="M2223" s="73"/>
      <c r="N2223" s="73"/>
      <c r="O2223" s="73"/>
      <c r="P2223" s="73"/>
      <c r="Q2223" s="73"/>
      <c r="R2223" s="73"/>
      <c r="S2223" s="73"/>
      <c r="T2223" s="73"/>
      <c r="U2223" s="73"/>
      <c r="V2223" s="73"/>
      <c r="W2223" s="73"/>
      <c r="GL2223" s="73"/>
      <c r="GM2223" s="73"/>
      <c r="GN2223" s="73"/>
      <c r="GO2223" s="73"/>
      <c r="GP2223" s="73"/>
      <c r="GQ2223" s="73"/>
      <c r="GR2223" s="73"/>
      <c r="GS2223" s="73"/>
      <c r="GT2223" s="73"/>
      <c r="GU2223" s="73"/>
      <c r="GV2223" s="73"/>
      <c r="GW2223" s="73"/>
      <c r="GX2223" s="73"/>
      <c r="GY2223" s="73"/>
      <c r="GZ2223" s="73"/>
      <c r="HA2223" s="73"/>
      <c r="HB2223" s="73"/>
      <c r="HC2223" s="73"/>
      <c r="HD2223" s="73"/>
      <c r="HE2223" s="73"/>
      <c r="HF2223" s="73"/>
      <c r="HG2223" s="73"/>
      <c r="HH2223" s="73"/>
      <c r="HI2223" s="73"/>
      <c r="HJ2223" s="73"/>
      <c r="HK2223" s="73"/>
      <c r="HL2223" s="73"/>
      <c r="HM2223" s="73"/>
      <c r="HN2223" s="73"/>
      <c r="HO2223" s="73"/>
      <c r="HP2223" s="73"/>
      <c r="HQ2223" s="73"/>
      <c r="HR2223" s="73"/>
      <c r="HS2223" s="73"/>
      <c r="HT2223" s="73"/>
      <c r="HU2223" s="73"/>
      <c r="HV2223" s="73"/>
      <c r="HW2223" s="73"/>
      <c r="HX2223" s="73"/>
      <c r="HY2223" s="73"/>
      <c r="HZ2223" s="73"/>
      <c r="IA2223" s="73"/>
      <c r="IB2223" s="73"/>
      <c r="IC2223" s="73"/>
      <c r="ID2223" s="73"/>
      <c r="IE2223" s="73"/>
      <c r="IF2223" s="73"/>
      <c r="IG2223" s="73"/>
      <c r="IH2223" s="73"/>
      <c r="II2223" s="73"/>
      <c r="IJ2223" s="73"/>
      <c r="IK2223" s="73"/>
      <c r="IL2223" s="73"/>
      <c r="IM2223" s="73"/>
      <c r="IN2223" s="73"/>
      <c r="IO2223" s="73"/>
      <c r="IP2223" s="73"/>
      <c r="IQ2223" s="73"/>
      <c r="IR2223" s="73"/>
      <c r="IS2223" s="73"/>
      <c r="IT2223" s="73"/>
      <c r="IU2223" s="73"/>
      <c r="IV2223" s="73"/>
      <c r="IW2223" s="73"/>
      <c r="IX2223" s="73"/>
      <c r="IY2223" s="73"/>
      <c r="IZ2223" s="73"/>
      <c r="JA2223" s="73"/>
      <c r="JB2223" s="73"/>
      <c r="JC2223" s="73"/>
    </row>
    <row r="2224" spans="2:263" s="72" customFormat="1">
      <c r="B2224" s="73"/>
      <c r="C2224" s="73"/>
      <c r="D2224" s="73"/>
      <c r="E2224" s="73"/>
      <c r="F2224" s="73"/>
      <c r="G2224" s="73"/>
      <c r="H2224" s="73"/>
      <c r="I2224" s="73"/>
      <c r="J2224" s="73"/>
      <c r="K2224" s="73"/>
      <c r="L2224" s="73"/>
      <c r="M2224" s="73"/>
      <c r="N2224" s="73"/>
      <c r="O2224" s="73"/>
      <c r="P2224" s="73"/>
      <c r="Q2224" s="73"/>
      <c r="R2224" s="73"/>
      <c r="S2224" s="73"/>
      <c r="T2224" s="73"/>
      <c r="U2224" s="73"/>
      <c r="V2224" s="73"/>
      <c r="W2224" s="73"/>
      <c r="GL2224" s="73"/>
      <c r="GM2224" s="73"/>
      <c r="GN2224" s="73"/>
      <c r="GO2224" s="73"/>
      <c r="GP2224" s="73"/>
      <c r="GQ2224" s="73"/>
      <c r="GR2224" s="73"/>
      <c r="GS2224" s="73"/>
      <c r="GT2224" s="73"/>
      <c r="GU2224" s="73"/>
      <c r="GV2224" s="73"/>
      <c r="GW2224" s="73"/>
      <c r="GX2224" s="73"/>
      <c r="GY2224" s="73"/>
      <c r="GZ2224" s="73"/>
      <c r="HA2224" s="73"/>
      <c r="HB2224" s="73"/>
      <c r="HC2224" s="73"/>
      <c r="HD2224" s="73"/>
      <c r="HE2224" s="73"/>
      <c r="HF2224" s="73"/>
      <c r="HG2224" s="73"/>
      <c r="HH2224" s="73"/>
      <c r="HI2224" s="73"/>
      <c r="HJ2224" s="73"/>
      <c r="HK2224" s="73"/>
      <c r="HL2224" s="73"/>
      <c r="HM2224" s="73"/>
      <c r="HN2224" s="73"/>
      <c r="HO2224" s="73"/>
      <c r="HP2224" s="73"/>
      <c r="HQ2224" s="73"/>
      <c r="HR2224" s="73"/>
      <c r="HS2224" s="73"/>
      <c r="HT2224" s="73"/>
      <c r="HU2224" s="73"/>
      <c r="HV2224" s="73"/>
      <c r="HW2224" s="73"/>
      <c r="HX2224" s="73"/>
      <c r="HY2224" s="73"/>
      <c r="HZ2224" s="73"/>
      <c r="IA2224" s="73"/>
      <c r="IB2224" s="73"/>
      <c r="IC2224" s="73"/>
      <c r="ID2224" s="73"/>
      <c r="IE2224" s="73"/>
      <c r="IF2224" s="73"/>
      <c r="IG2224" s="73"/>
      <c r="IH2224" s="73"/>
      <c r="II2224" s="73"/>
      <c r="IJ2224" s="73"/>
      <c r="IK2224" s="73"/>
      <c r="IL2224" s="73"/>
      <c r="IM2224" s="73"/>
      <c r="IN2224" s="73"/>
      <c r="IO2224" s="73"/>
      <c r="IP2224" s="73"/>
      <c r="IQ2224" s="73"/>
      <c r="IR2224" s="73"/>
      <c r="IS2224" s="73"/>
      <c r="IT2224" s="73"/>
      <c r="IU2224" s="73"/>
      <c r="IV2224" s="73"/>
      <c r="IW2224" s="73"/>
      <c r="IX2224" s="73"/>
      <c r="IY2224" s="73"/>
      <c r="IZ2224" s="73"/>
      <c r="JA2224" s="73"/>
      <c r="JB2224" s="73"/>
      <c r="JC2224" s="73"/>
    </row>
    <row r="2225" spans="2:263" s="72" customFormat="1">
      <c r="B2225" s="73"/>
      <c r="C2225" s="73"/>
      <c r="D2225" s="73"/>
      <c r="E2225" s="73"/>
      <c r="F2225" s="73"/>
      <c r="G2225" s="73"/>
      <c r="H2225" s="73"/>
      <c r="I2225" s="73"/>
      <c r="J2225" s="73"/>
      <c r="K2225" s="73"/>
      <c r="L2225" s="73"/>
      <c r="M2225" s="73"/>
      <c r="N2225" s="73"/>
      <c r="O2225" s="73"/>
      <c r="P2225" s="73"/>
      <c r="Q2225" s="73"/>
      <c r="R2225" s="73"/>
      <c r="S2225" s="73"/>
      <c r="T2225" s="73"/>
      <c r="U2225" s="73"/>
      <c r="V2225" s="73"/>
      <c r="W2225" s="73"/>
      <c r="GL2225" s="73"/>
      <c r="GM2225" s="73"/>
      <c r="GN2225" s="73"/>
      <c r="GO2225" s="73"/>
      <c r="GP2225" s="73"/>
      <c r="GQ2225" s="73"/>
      <c r="GR2225" s="73"/>
      <c r="GS2225" s="73"/>
      <c r="GT2225" s="73"/>
      <c r="GU2225" s="73"/>
      <c r="GV2225" s="73"/>
      <c r="GW2225" s="73"/>
      <c r="GX2225" s="73"/>
      <c r="GY2225" s="73"/>
      <c r="GZ2225" s="73"/>
      <c r="HA2225" s="73"/>
      <c r="HB2225" s="73"/>
      <c r="HC2225" s="73"/>
      <c r="HD2225" s="73"/>
      <c r="HE2225" s="73"/>
      <c r="HF2225" s="73"/>
      <c r="HG2225" s="73"/>
      <c r="HH2225" s="73"/>
      <c r="HI2225" s="73"/>
      <c r="HJ2225" s="73"/>
      <c r="HK2225" s="73"/>
      <c r="HL2225" s="73"/>
      <c r="HM2225" s="73"/>
      <c r="HN2225" s="73"/>
      <c r="HO2225" s="73"/>
      <c r="HP2225" s="73"/>
      <c r="HQ2225" s="73"/>
      <c r="HR2225" s="73"/>
      <c r="HS2225" s="73"/>
      <c r="HT2225" s="73"/>
      <c r="HU2225" s="73"/>
      <c r="HV2225" s="73"/>
      <c r="HW2225" s="73"/>
      <c r="HX2225" s="73"/>
      <c r="HY2225" s="73"/>
      <c r="HZ2225" s="73"/>
      <c r="IA2225" s="73"/>
      <c r="IB2225" s="73"/>
      <c r="IC2225" s="73"/>
      <c r="ID2225" s="73"/>
      <c r="IE2225" s="73"/>
      <c r="IF2225" s="73"/>
      <c r="IG2225" s="73"/>
      <c r="IH2225" s="73"/>
      <c r="II2225" s="73"/>
      <c r="IJ2225" s="73"/>
      <c r="IK2225" s="73"/>
      <c r="IL2225" s="73"/>
      <c r="IM2225" s="73"/>
      <c r="IN2225" s="73"/>
      <c r="IO2225" s="73"/>
      <c r="IP2225" s="73"/>
      <c r="IQ2225" s="73"/>
      <c r="IR2225" s="73"/>
      <c r="IS2225" s="73"/>
      <c r="IT2225" s="73"/>
      <c r="IU2225" s="73"/>
      <c r="IV2225" s="73"/>
      <c r="IW2225" s="73"/>
      <c r="IX2225" s="73"/>
      <c r="IY2225" s="73"/>
      <c r="IZ2225" s="73"/>
      <c r="JA2225" s="73"/>
      <c r="JB2225" s="73"/>
      <c r="JC2225" s="73"/>
    </row>
    <row r="2226" spans="2:263" s="72" customFormat="1">
      <c r="B2226" s="73"/>
      <c r="C2226" s="73"/>
      <c r="D2226" s="73"/>
      <c r="E2226" s="73"/>
      <c r="F2226" s="73"/>
      <c r="G2226" s="73"/>
      <c r="H2226" s="73"/>
      <c r="I2226" s="73"/>
      <c r="J2226" s="73"/>
      <c r="K2226" s="73"/>
      <c r="L2226" s="73"/>
      <c r="M2226" s="73"/>
      <c r="N2226" s="73"/>
      <c r="O2226" s="73"/>
      <c r="P2226" s="73"/>
      <c r="Q2226" s="73"/>
      <c r="R2226" s="73"/>
      <c r="S2226" s="73"/>
      <c r="T2226" s="73"/>
      <c r="U2226" s="73"/>
      <c r="V2226" s="73"/>
      <c r="W2226" s="73"/>
      <c r="GL2226" s="73"/>
      <c r="GM2226" s="73"/>
      <c r="GN2226" s="73"/>
      <c r="GO2226" s="73"/>
      <c r="GP2226" s="73"/>
      <c r="GQ2226" s="73"/>
      <c r="GR2226" s="73"/>
      <c r="GS2226" s="73"/>
      <c r="GT2226" s="73"/>
      <c r="GU2226" s="73"/>
      <c r="GV2226" s="73"/>
      <c r="GW2226" s="73"/>
      <c r="GX2226" s="73"/>
      <c r="GY2226" s="73"/>
      <c r="GZ2226" s="73"/>
      <c r="HA2226" s="73"/>
      <c r="HB2226" s="73"/>
      <c r="HC2226" s="73"/>
      <c r="HD2226" s="73"/>
      <c r="HE2226" s="73"/>
      <c r="HF2226" s="73"/>
      <c r="HG2226" s="73"/>
      <c r="HH2226" s="73"/>
      <c r="HI2226" s="73"/>
      <c r="HJ2226" s="73"/>
      <c r="HK2226" s="73"/>
      <c r="HL2226" s="73"/>
      <c r="HM2226" s="73"/>
      <c r="HN2226" s="73"/>
      <c r="HO2226" s="73"/>
      <c r="HP2226" s="73"/>
      <c r="HQ2226" s="73"/>
      <c r="HR2226" s="73"/>
      <c r="HS2226" s="73"/>
      <c r="HT2226" s="73"/>
      <c r="HU2226" s="73"/>
      <c r="HV2226" s="73"/>
      <c r="HW2226" s="73"/>
      <c r="HX2226" s="73"/>
      <c r="HY2226" s="73"/>
      <c r="HZ2226" s="73"/>
      <c r="IA2226" s="73"/>
      <c r="IB2226" s="73"/>
      <c r="IC2226" s="73"/>
      <c r="ID2226" s="73"/>
      <c r="IE2226" s="73"/>
      <c r="IF2226" s="73"/>
      <c r="IG2226" s="73"/>
      <c r="IH2226" s="73"/>
      <c r="II2226" s="73"/>
      <c r="IJ2226" s="73"/>
      <c r="IK2226" s="73"/>
      <c r="IL2226" s="73"/>
      <c r="IM2226" s="73"/>
      <c r="IN2226" s="73"/>
      <c r="IO2226" s="73"/>
      <c r="IP2226" s="73"/>
      <c r="IQ2226" s="73"/>
      <c r="IR2226" s="73"/>
      <c r="IS2226" s="73"/>
      <c r="IT2226" s="73"/>
      <c r="IU2226" s="73"/>
      <c r="IV2226" s="73"/>
      <c r="IW2226" s="73"/>
      <c r="IX2226" s="73"/>
      <c r="IY2226" s="73"/>
      <c r="IZ2226" s="73"/>
      <c r="JA2226" s="73"/>
      <c r="JB2226" s="73"/>
      <c r="JC2226" s="73"/>
    </row>
    <row r="2227" spans="2:263" s="72" customFormat="1">
      <c r="B2227" s="73"/>
      <c r="C2227" s="73"/>
      <c r="D2227" s="73"/>
      <c r="E2227" s="73"/>
      <c r="F2227" s="73"/>
      <c r="G2227" s="73"/>
      <c r="H2227" s="73"/>
      <c r="I2227" s="73"/>
      <c r="J2227" s="73"/>
      <c r="K2227" s="73"/>
      <c r="L2227" s="73"/>
      <c r="M2227" s="73"/>
      <c r="N2227" s="73"/>
      <c r="O2227" s="73"/>
      <c r="P2227" s="73"/>
      <c r="Q2227" s="73"/>
      <c r="R2227" s="73"/>
      <c r="S2227" s="73"/>
      <c r="T2227" s="73"/>
      <c r="U2227" s="73"/>
      <c r="V2227" s="73"/>
      <c r="W2227" s="73"/>
      <c r="GL2227" s="73"/>
      <c r="GM2227" s="73"/>
      <c r="GN2227" s="73"/>
      <c r="GO2227" s="73"/>
      <c r="GP2227" s="73"/>
      <c r="GQ2227" s="73"/>
      <c r="GR2227" s="73"/>
      <c r="GS2227" s="73"/>
      <c r="GT2227" s="73"/>
      <c r="GU2227" s="73"/>
      <c r="GV2227" s="73"/>
      <c r="GW2227" s="73"/>
      <c r="GX2227" s="73"/>
      <c r="GY2227" s="73"/>
      <c r="GZ2227" s="73"/>
      <c r="HA2227" s="73"/>
      <c r="HB2227" s="73"/>
      <c r="HC2227" s="73"/>
      <c r="HD2227" s="73"/>
      <c r="HE2227" s="73"/>
      <c r="HF2227" s="73"/>
      <c r="HG2227" s="73"/>
      <c r="HH2227" s="73"/>
      <c r="HI2227" s="73"/>
      <c r="HJ2227" s="73"/>
      <c r="HK2227" s="73"/>
      <c r="HL2227" s="73"/>
      <c r="HM2227" s="73"/>
      <c r="HN2227" s="73"/>
      <c r="HO2227" s="73"/>
      <c r="HP2227" s="73"/>
      <c r="HQ2227" s="73"/>
      <c r="HR2227" s="73"/>
      <c r="HS2227" s="73"/>
      <c r="HT2227" s="73"/>
      <c r="HU2227" s="73"/>
      <c r="HV2227" s="73"/>
      <c r="HW2227" s="73"/>
      <c r="HX2227" s="73"/>
      <c r="HY2227" s="73"/>
      <c r="HZ2227" s="73"/>
      <c r="IA2227" s="73"/>
      <c r="IB2227" s="73"/>
      <c r="IC2227" s="73"/>
      <c r="ID2227" s="73"/>
      <c r="IE2227" s="73"/>
      <c r="IF2227" s="73"/>
      <c r="IG2227" s="73"/>
      <c r="IH2227" s="73"/>
      <c r="II2227" s="73"/>
      <c r="IJ2227" s="73"/>
      <c r="IK2227" s="73"/>
      <c r="IL2227" s="73"/>
      <c r="IM2227" s="73"/>
      <c r="IN2227" s="73"/>
      <c r="IO2227" s="73"/>
      <c r="IP2227" s="73"/>
      <c r="IQ2227" s="73"/>
      <c r="IR2227" s="73"/>
      <c r="IS2227" s="73"/>
      <c r="IT2227" s="73"/>
      <c r="IU2227" s="73"/>
      <c r="IV2227" s="73"/>
      <c r="IW2227" s="73"/>
      <c r="IX2227" s="73"/>
      <c r="IY2227" s="73"/>
      <c r="IZ2227" s="73"/>
      <c r="JA2227" s="73"/>
      <c r="JB2227" s="73"/>
      <c r="JC2227" s="73"/>
    </row>
    <row r="2228" spans="2:263" s="72" customFormat="1">
      <c r="B2228" s="73"/>
      <c r="C2228" s="73"/>
      <c r="D2228" s="73"/>
      <c r="E2228" s="73"/>
      <c r="F2228" s="73"/>
      <c r="G2228" s="73"/>
      <c r="H2228" s="73"/>
      <c r="I2228" s="73"/>
      <c r="J2228" s="73"/>
      <c r="K2228" s="73"/>
      <c r="L2228" s="73"/>
      <c r="M2228" s="73"/>
      <c r="N2228" s="73"/>
      <c r="O2228" s="73"/>
      <c r="P2228" s="73"/>
      <c r="Q2228" s="73"/>
      <c r="R2228" s="73"/>
      <c r="S2228" s="73"/>
      <c r="T2228" s="73"/>
      <c r="U2228" s="73"/>
      <c r="V2228" s="73"/>
      <c r="W2228" s="73"/>
      <c r="GL2228" s="73"/>
      <c r="GM2228" s="73"/>
      <c r="GN2228" s="73"/>
      <c r="GO2228" s="73"/>
      <c r="GP2228" s="73"/>
      <c r="GQ2228" s="73"/>
      <c r="GR2228" s="73"/>
      <c r="GS2228" s="73"/>
      <c r="GT2228" s="73"/>
      <c r="GU2228" s="73"/>
      <c r="GV2228" s="73"/>
      <c r="GW2228" s="73"/>
      <c r="GX2228" s="73"/>
      <c r="GY2228" s="73"/>
      <c r="GZ2228" s="73"/>
      <c r="HA2228" s="73"/>
      <c r="HB2228" s="73"/>
      <c r="HC2228" s="73"/>
      <c r="HD2228" s="73"/>
      <c r="HE2228" s="73"/>
      <c r="HF2228" s="73"/>
      <c r="HG2228" s="73"/>
      <c r="HH2228" s="73"/>
      <c r="HI2228" s="73"/>
      <c r="HJ2228" s="73"/>
      <c r="HK2228" s="73"/>
      <c r="HL2228" s="73"/>
      <c r="HM2228" s="73"/>
      <c r="HN2228" s="73"/>
      <c r="HO2228" s="73"/>
      <c r="HP2228" s="73"/>
      <c r="HQ2228" s="73"/>
      <c r="HR2228" s="73"/>
      <c r="HS2228" s="73"/>
      <c r="HT2228" s="73"/>
      <c r="HU2228" s="73"/>
      <c r="HV2228" s="73"/>
      <c r="HW2228" s="73"/>
      <c r="HX2228" s="73"/>
      <c r="HY2228" s="73"/>
      <c r="HZ2228" s="73"/>
      <c r="IA2228" s="73"/>
      <c r="IB2228" s="73"/>
      <c r="IC2228" s="73"/>
      <c r="ID2228" s="73"/>
      <c r="IE2228" s="73"/>
      <c r="IF2228" s="73"/>
      <c r="IG2228" s="73"/>
      <c r="IH2228" s="73"/>
      <c r="II2228" s="73"/>
      <c r="IJ2228" s="73"/>
      <c r="IK2228" s="73"/>
      <c r="IL2228" s="73"/>
      <c r="IM2228" s="73"/>
      <c r="IN2228" s="73"/>
      <c r="IO2228" s="73"/>
      <c r="IP2228" s="73"/>
      <c r="IQ2228" s="73"/>
      <c r="IR2228" s="73"/>
      <c r="IS2228" s="73"/>
      <c r="IT2228" s="73"/>
      <c r="IU2228" s="73"/>
      <c r="IV2228" s="73"/>
      <c r="IW2228" s="73"/>
      <c r="IX2228" s="73"/>
      <c r="IY2228" s="73"/>
      <c r="IZ2228" s="73"/>
      <c r="JA2228" s="73"/>
      <c r="JB2228" s="73"/>
      <c r="JC2228" s="73"/>
    </row>
    <row r="2229" spans="2:263" s="72" customFormat="1">
      <c r="B2229" s="73"/>
      <c r="C2229" s="73"/>
      <c r="D2229" s="73"/>
      <c r="E2229" s="73"/>
      <c r="F2229" s="73"/>
      <c r="G2229" s="73"/>
      <c r="H2229" s="73"/>
      <c r="I2229" s="73"/>
      <c r="J2229" s="73"/>
      <c r="K2229" s="73"/>
      <c r="L2229" s="73"/>
      <c r="M2229" s="73"/>
      <c r="N2229" s="73"/>
      <c r="O2229" s="73"/>
      <c r="P2229" s="73"/>
      <c r="Q2229" s="73"/>
      <c r="R2229" s="73"/>
      <c r="S2229" s="73"/>
      <c r="T2229" s="73"/>
      <c r="U2229" s="73"/>
      <c r="V2229" s="73"/>
      <c r="W2229" s="73"/>
      <c r="GL2229" s="73"/>
      <c r="GM2229" s="73"/>
      <c r="GN2229" s="73"/>
      <c r="GO2229" s="73"/>
      <c r="GP2229" s="73"/>
      <c r="GQ2229" s="73"/>
      <c r="GR2229" s="73"/>
      <c r="GS2229" s="73"/>
      <c r="GT2229" s="73"/>
      <c r="GU2229" s="73"/>
      <c r="GV2229" s="73"/>
      <c r="GW2229" s="73"/>
      <c r="GX2229" s="73"/>
      <c r="GY2229" s="73"/>
      <c r="GZ2229" s="73"/>
      <c r="HA2229" s="73"/>
      <c r="HB2229" s="73"/>
      <c r="HC2229" s="73"/>
      <c r="HD2229" s="73"/>
      <c r="HE2229" s="73"/>
      <c r="HF2229" s="73"/>
      <c r="HG2229" s="73"/>
      <c r="HH2229" s="73"/>
      <c r="HI2229" s="73"/>
      <c r="HJ2229" s="73"/>
      <c r="HK2229" s="73"/>
      <c r="HL2229" s="73"/>
      <c r="HM2229" s="73"/>
      <c r="HN2229" s="73"/>
      <c r="HO2229" s="73"/>
      <c r="HP2229" s="73"/>
      <c r="HQ2229" s="73"/>
      <c r="HR2229" s="73"/>
      <c r="HS2229" s="73"/>
      <c r="HT2229" s="73"/>
      <c r="HU2229" s="73"/>
      <c r="HV2229" s="73"/>
      <c r="HW2229" s="73"/>
      <c r="HX2229" s="73"/>
      <c r="HY2229" s="73"/>
      <c r="HZ2229" s="73"/>
      <c r="IA2229" s="73"/>
      <c r="IB2229" s="73"/>
      <c r="IC2229" s="73"/>
      <c r="ID2229" s="73"/>
      <c r="IE2229" s="73"/>
      <c r="IF2229" s="73"/>
      <c r="IG2229" s="73"/>
      <c r="IH2229" s="73"/>
      <c r="II2229" s="73"/>
      <c r="IJ2229" s="73"/>
      <c r="IK2229" s="73"/>
      <c r="IL2229" s="73"/>
      <c r="IM2229" s="73"/>
      <c r="IN2229" s="73"/>
      <c r="IO2229" s="73"/>
      <c r="IP2229" s="73"/>
      <c r="IQ2229" s="73"/>
      <c r="IR2229" s="73"/>
      <c r="IS2229" s="73"/>
      <c r="IT2229" s="73"/>
      <c r="IU2229" s="73"/>
      <c r="IV2229" s="73"/>
      <c r="IW2229" s="73"/>
      <c r="IX2229" s="73"/>
      <c r="IY2229" s="73"/>
      <c r="IZ2229" s="73"/>
      <c r="JA2229" s="73"/>
      <c r="JB2229" s="73"/>
      <c r="JC2229" s="73"/>
    </row>
    <row r="2230" spans="2:263" s="72" customFormat="1">
      <c r="B2230" s="73"/>
      <c r="C2230" s="73"/>
      <c r="D2230" s="73"/>
      <c r="E2230" s="73"/>
      <c r="F2230" s="73"/>
      <c r="G2230" s="73"/>
      <c r="H2230" s="73"/>
      <c r="I2230" s="73"/>
      <c r="J2230" s="73"/>
      <c r="K2230" s="73"/>
      <c r="L2230" s="73"/>
      <c r="M2230" s="73"/>
      <c r="N2230" s="73"/>
      <c r="O2230" s="73"/>
      <c r="P2230" s="73"/>
      <c r="Q2230" s="73"/>
      <c r="R2230" s="73"/>
      <c r="S2230" s="73"/>
      <c r="T2230" s="73"/>
      <c r="U2230" s="73"/>
      <c r="V2230" s="73"/>
      <c r="W2230" s="73"/>
      <c r="GL2230" s="73"/>
      <c r="GM2230" s="73"/>
      <c r="GN2230" s="73"/>
      <c r="GO2230" s="73"/>
      <c r="GP2230" s="73"/>
      <c r="GQ2230" s="73"/>
      <c r="GR2230" s="73"/>
      <c r="GS2230" s="73"/>
      <c r="GT2230" s="73"/>
      <c r="GU2230" s="73"/>
      <c r="GV2230" s="73"/>
      <c r="GW2230" s="73"/>
      <c r="GX2230" s="73"/>
      <c r="GY2230" s="73"/>
      <c r="GZ2230" s="73"/>
      <c r="HA2230" s="73"/>
      <c r="HB2230" s="73"/>
      <c r="HC2230" s="73"/>
      <c r="HD2230" s="73"/>
      <c r="HE2230" s="73"/>
      <c r="HF2230" s="73"/>
      <c r="HG2230" s="73"/>
      <c r="HH2230" s="73"/>
      <c r="HI2230" s="73"/>
      <c r="HJ2230" s="73"/>
      <c r="HK2230" s="73"/>
      <c r="HL2230" s="73"/>
      <c r="HM2230" s="73"/>
      <c r="HN2230" s="73"/>
      <c r="HO2230" s="73"/>
      <c r="HP2230" s="73"/>
      <c r="HQ2230" s="73"/>
      <c r="HR2230" s="73"/>
      <c r="HS2230" s="73"/>
      <c r="HT2230" s="73"/>
      <c r="HU2230" s="73"/>
      <c r="HV2230" s="73"/>
      <c r="HW2230" s="73"/>
      <c r="HX2230" s="73"/>
      <c r="HY2230" s="73"/>
      <c r="HZ2230" s="73"/>
      <c r="IA2230" s="73"/>
      <c r="IB2230" s="73"/>
      <c r="IC2230" s="73"/>
      <c r="ID2230" s="73"/>
      <c r="IE2230" s="73"/>
      <c r="IF2230" s="73"/>
      <c r="IG2230" s="73"/>
      <c r="IH2230" s="73"/>
      <c r="II2230" s="73"/>
      <c r="IJ2230" s="73"/>
      <c r="IK2230" s="73"/>
      <c r="IL2230" s="73"/>
      <c r="IM2230" s="73"/>
      <c r="IN2230" s="73"/>
      <c r="IO2230" s="73"/>
      <c r="IP2230" s="73"/>
      <c r="IQ2230" s="73"/>
      <c r="IR2230" s="73"/>
      <c r="IS2230" s="73"/>
      <c r="IT2230" s="73"/>
      <c r="IU2230" s="73"/>
      <c r="IV2230" s="73"/>
      <c r="IW2230" s="73"/>
      <c r="IX2230" s="73"/>
      <c r="IY2230" s="73"/>
      <c r="IZ2230" s="73"/>
      <c r="JA2230" s="73"/>
      <c r="JB2230" s="73"/>
      <c r="JC2230" s="73"/>
    </row>
    <row r="2231" spans="2:263" s="72" customFormat="1">
      <c r="B2231" s="73"/>
      <c r="C2231" s="73"/>
      <c r="D2231" s="73"/>
      <c r="E2231" s="73"/>
      <c r="F2231" s="73"/>
      <c r="G2231" s="73"/>
      <c r="H2231" s="73"/>
      <c r="I2231" s="73"/>
      <c r="J2231" s="73"/>
      <c r="K2231" s="73"/>
      <c r="L2231" s="73"/>
      <c r="M2231" s="73"/>
      <c r="N2231" s="73"/>
      <c r="O2231" s="73"/>
      <c r="P2231" s="73"/>
      <c r="Q2231" s="73"/>
      <c r="R2231" s="73"/>
      <c r="S2231" s="73"/>
      <c r="T2231" s="73"/>
      <c r="U2231" s="73"/>
      <c r="V2231" s="73"/>
      <c r="W2231" s="73"/>
      <c r="GL2231" s="73"/>
      <c r="GM2231" s="73"/>
      <c r="GN2231" s="73"/>
      <c r="GO2231" s="73"/>
      <c r="GP2231" s="73"/>
      <c r="GQ2231" s="73"/>
      <c r="GR2231" s="73"/>
      <c r="GS2231" s="73"/>
      <c r="GT2231" s="73"/>
      <c r="GU2231" s="73"/>
      <c r="GV2231" s="73"/>
      <c r="GW2231" s="73"/>
      <c r="GX2231" s="73"/>
      <c r="GY2231" s="73"/>
      <c r="GZ2231" s="73"/>
      <c r="HA2231" s="73"/>
      <c r="HB2231" s="73"/>
      <c r="HC2231" s="73"/>
      <c r="HD2231" s="73"/>
      <c r="HE2231" s="73"/>
      <c r="HF2231" s="73"/>
      <c r="HG2231" s="73"/>
      <c r="HH2231" s="73"/>
      <c r="HI2231" s="73"/>
      <c r="HJ2231" s="73"/>
      <c r="HK2231" s="73"/>
      <c r="HL2231" s="73"/>
      <c r="HM2231" s="73"/>
      <c r="HN2231" s="73"/>
      <c r="HO2231" s="73"/>
      <c r="HP2231" s="73"/>
      <c r="HQ2231" s="73"/>
      <c r="HR2231" s="73"/>
      <c r="HS2231" s="73"/>
      <c r="HT2231" s="73"/>
      <c r="HU2231" s="73"/>
      <c r="HV2231" s="73"/>
      <c r="HW2231" s="73"/>
      <c r="HX2231" s="73"/>
      <c r="HY2231" s="73"/>
      <c r="HZ2231" s="73"/>
      <c r="IA2231" s="73"/>
      <c r="IB2231" s="73"/>
      <c r="IC2231" s="73"/>
      <c r="ID2231" s="73"/>
      <c r="IE2231" s="73"/>
      <c r="IF2231" s="73"/>
      <c r="IG2231" s="73"/>
      <c r="IH2231" s="73"/>
      <c r="II2231" s="73"/>
      <c r="IJ2231" s="73"/>
      <c r="IK2231" s="73"/>
      <c r="IL2231" s="73"/>
      <c r="IM2231" s="73"/>
      <c r="IN2231" s="73"/>
      <c r="IO2231" s="73"/>
      <c r="IP2231" s="73"/>
      <c r="IQ2231" s="73"/>
      <c r="IR2231" s="73"/>
      <c r="IS2231" s="73"/>
      <c r="IT2231" s="73"/>
      <c r="IU2231" s="73"/>
      <c r="IV2231" s="73"/>
      <c r="IW2231" s="73"/>
      <c r="IX2231" s="73"/>
      <c r="IY2231" s="73"/>
      <c r="IZ2231" s="73"/>
      <c r="JA2231" s="73"/>
      <c r="JB2231" s="73"/>
      <c r="JC2231" s="73"/>
    </row>
    <row r="2232" spans="2:263" s="72" customFormat="1">
      <c r="B2232" s="73"/>
      <c r="C2232" s="73"/>
      <c r="D2232" s="73"/>
      <c r="E2232" s="73"/>
      <c r="F2232" s="73"/>
      <c r="G2232" s="73"/>
      <c r="H2232" s="73"/>
      <c r="I2232" s="73"/>
      <c r="J2232" s="73"/>
      <c r="K2232" s="73"/>
      <c r="L2232" s="73"/>
      <c r="M2232" s="73"/>
      <c r="N2232" s="73"/>
      <c r="O2232" s="73"/>
      <c r="P2232" s="73"/>
      <c r="Q2232" s="73"/>
      <c r="R2232" s="73"/>
      <c r="S2232" s="73"/>
      <c r="T2232" s="73"/>
      <c r="U2232" s="73"/>
      <c r="V2232" s="73"/>
      <c r="W2232" s="73"/>
      <c r="GL2232" s="73"/>
      <c r="GM2232" s="73"/>
      <c r="GN2232" s="73"/>
      <c r="GO2232" s="73"/>
      <c r="GP2232" s="73"/>
      <c r="GQ2232" s="73"/>
      <c r="GR2232" s="73"/>
      <c r="GS2232" s="73"/>
      <c r="GT2232" s="73"/>
      <c r="GU2232" s="73"/>
      <c r="GV2232" s="73"/>
      <c r="GW2232" s="73"/>
      <c r="GX2232" s="73"/>
      <c r="GY2232" s="73"/>
      <c r="GZ2232" s="73"/>
      <c r="HA2232" s="73"/>
      <c r="HB2232" s="73"/>
      <c r="HC2232" s="73"/>
      <c r="HD2232" s="73"/>
      <c r="HE2232" s="73"/>
      <c r="HF2232" s="73"/>
      <c r="HG2232" s="73"/>
      <c r="HH2232" s="73"/>
      <c r="HI2232" s="73"/>
      <c r="HJ2232" s="73"/>
      <c r="HK2232" s="73"/>
      <c r="HL2232" s="73"/>
      <c r="HM2232" s="73"/>
      <c r="HN2232" s="73"/>
      <c r="HO2232" s="73"/>
      <c r="HP2232" s="73"/>
      <c r="HQ2232" s="73"/>
      <c r="HR2232" s="73"/>
      <c r="HS2232" s="73"/>
      <c r="HT2232" s="73"/>
      <c r="HU2232" s="73"/>
      <c r="HV2232" s="73"/>
      <c r="HW2232" s="73"/>
      <c r="HX2232" s="73"/>
      <c r="HY2232" s="73"/>
      <c r="HZ2232" s="73"/>
      <c r="IA2232" s="73"/>
      <c r="IB2232" s="73"/>
      <c r="IC2232" s="73"/>
      <c r="ID2232" s="73"/>
      <c r="IE2232" s="73"/>
      <c r="IF2232" s="73"/>
      <c r="IG2232" s="73"/>
      <c r="IH2232" s="73"/>
      <c r="II2232" s="73"/>
      <c r="IJ2232" s="73"/>
      <c r="IK2232" s="73"/>
      <c r="IL2232" s="73"/>
      <c r="IM2232" s="73"/>
      <c r="IN2232" s="73"/>
      <c r="IO2232" s="73"/>
      <c r="IP2232" s="73"/>
      <c r="IQ2232" s="73"/>
      <c r="IR2232" s="73"/>
      <c r="IS2232" s="73"/>
      <c r="IT2232" s="73"/>
      <c r="IU2232" s="73"/>
      <c r="IV2232" s="73"/>
      <c r="IW2232" s="73"/>
      <c r="IX2232" s="73"/>
      <c r="IY2232" s="73"/>
      <c r="IZ2232" s="73"/>
      <c r="JA2232" s="73"/>
      <c r="JB2232" s="73"/>
      <c r="JC2232" s="73"/>
    </row>
    <row r="2233" spans="2:263" s="72" customFormat="1">
      <c r="B2233" s="73"/>
      <c r="C2233" s="73"/>
      <c r="D2233" s="73"/>
      <c r="E2233" s="73"/>
      <c r="F2233" s="73"/>
      <c r="G2233" s="73"/>
      <c r="H2233" s="73"/>
      <c r="I2233" s="73"/>
      <c r="J2233" s="73"/>
      <c r="K2233" s="73"/>
      <c r="L2233" s="73"/>
      <c r="M2233" s="73"/>
      <c r="N2233" s="73"/>
      <c r="O2233" s="73"/>
      <c r="P2233" s="73"/>
      <c r="Q2233" s="73"/>
      <c r="R2233" s="73"/>
      <c r="S2233" s="73"/>
      <c r="T2233" s="73"/>
      <c r="U2233" s="73"/>
      <c r="V2233" s="73"/>
      <c r="W2233" s="73"/>
      <c r="GL2233" s="73"/>
      <c r="GM2233" s="73"/>
      <c r="GN2233" s="73"/>
      <c r="GO2233" s="73"/>
      <c r="GP2233" s="73"/>
      <c r="GQ2233" s="73"/>
      <c r="GR2233" s="73"/>
      <c r="GS2233" s="73"/>
      <c r="GT2233" s="73"/>
      <c r="GU2233" s="73"/>
      <c r="GV2233" s="73"/>
      <c r="GW2233" s="73"/>
      <c r="GX2233" s="73"/>
      <c r="GY2233" s="73"/>
      <c r="GZ2233" s="73"/>
      <c r="HA2233" s="73"/>
      <c r="HB2233" s="73"/>
      <c r="HC2233" s="73"/>
      <c r="HD2233" s="73"/>
      <c r="HE2233" s="73"/>
      <c r="HF2233" s="73"/>
      <c r="HG2233" s="73"/>
      <c r="HH2233" s="73"/>
      <c r="HI2233" s="73"/>
      <c r="HJ2233" s="73"/>
      <c r="HK2233" s="73"/>
      <c r="HL2233" s="73"/>
      <c r="HM2233" s="73"/>
      <c r="HN2233" s="73"/>
      <c r="HO2233" s="73"/>
      <c r="HP2233" s="73"/>
      <c r="HQ2233" s="73"/>
      <c r="HR2233" s="73"/>
      <c r="HS2233" s="73"/>
      <c r="HT2233" s="73"/>
      <c r="HU2233" s="73"/>
      <c r="HV2233" s="73"/>
      <c r="HW2233" s="73"/>
      <c r="HX2233" s="73"/>
      <c r="HY2233" s="73"/>
      <c r="HZ2233" s="73"/>
      <c r="IA2233" s="73"/>
      <c r="IB2233" s="73"/>
      <c r="IC2233" s="73"/>
      <c r="ID2233" s="73"/>
      <c r="IE2233" s="73"/>
      <c r="IF2233" s="73"/>
      <c r="IG2233" s="73"/>
      <c r="IH2233" s="73"/>
      <c r="II2233" s="73"/>
      <c r="IJ2233" s="73"/>
      <c r="IK2233" s="73"/>
      <c r="IL2233" s="73"/>
      <c r="IM2233" s="73"/>
      <c r="IN2233" s="73"/>
      <c r="IO2233" s="73"/>
      <c r="IP2233" s="73"/>
      <c r="IQ2233" s="73"/>
      <c r="IR2233" s="73"/>
      <c r="IS2233" s="73"/>
      <c r="IT2233" s="73"/>
      <c r="IU2233" s="73"/>
      <c r="IV2233" s="73"/>
      <c r="IW2233" s="73"/>
      <c r="IX2233" s="73"/>
      <c r="IY2233" s="73"/>
      <c r="IZ2233" s="73"/>
      <c r="JA2233" s="73"/>
      <c r="JB2233" s="73"/>
      <c r="JC2233" s="73"/>
    </row>
    <row r="2234" spans="2:263" s="72" customFormat="1">
      <c r="B2234" s="73"/>
      <c r="C2234" s="73"/>
      <c r="D2234" s="73"/>
      <c r="E2234" s="73"/>
      <c r="F2234" s="73"/>
      <c r="G2234" s="73"/>
      <c r="H2234" s="73"/>
      <c r="I2234" s="73"/>
      <c r="J2234" s="73"/>
      <c r="K2234" s="73"/>
      <c r="L2234" s="73"/>
      <c r="M2234" s="73"/>
      <c r="N2234" s="73"/>
      <c r="O2234" s="73"/>
      <c r="P2234" s="73"/>
      <c r="Q2234" s="73"/>
      <c r="R2234" s="73"/>
      <c r="S2234" s="73"/>
      <c r="T2234" s="73"/>
      <c r="U2234" s="73"/>
      <c r="V2234" s="73"/>
      <c r="W2234" s="73"/>
      <c r="GL2234" s="73"/>
      <c r="GM2234" s="73"/>
      <c r="GN2234" s="73"/>
      <c r="GO2234" s="73"/>
      <c r="GP2234" s="73"/>
      <c r="GQ2234" s="73"/>
      <c r="GR2234" s="73"/>
      <c r="GS2234" s="73"/>
      <c r="GT2234" s="73"/>
      <c r="GU2234" s="73"/>
      <c r="GV2234" s="73"/>
      <c r="GW2234" s="73"/>
      <c r="GX2234" s="73"/>
      <c r="GY2234" s="73"/>
      <c r="GZ2234" s="73"/>
      <c r="HA2234" s="73"/>
      <c r="HB2234" s="73"/>
      <c r="HC2234" s="73"/>
      <c r="HD2234" s="73"/>
      <c r="HE2234" s="73"/>
      <c r="HF2234" s="73"/>
      <c r="HG2234" s="73"/>
      <c r="HH2234" s="73"/>
      <c r="HI2234" s="73"/>
      <c r="HJ2234" s="73"/>
      <c r="HK2234" s="73"/>
      <c r="HL2234" s="73"/>
      <c r="HM2234" s="73"/>
      <c r="HN2234" s="73"/>
      <c r="HO2234" s="73"/>
      <c r="HP2234" s="73"/>
      <c r="HQ2234" s="73"/>
      <c r="HR2234" s="73"/>
      <c r="HS2234" s="73"/>
      <c r="HT2234" s="73"/>
      <c r="HU2234" s="73"/>
      <c r="HV2234" s="73"/>
      <c r="HW2234" s="73"/>
      <c r="HX2234" s="73"/>
      <c r="HY2234" s="73"/>
      <c r="HZ2234" s="73"/>
      <c r="IA2234" s="73"/>
      <c r="IB2234" s="73"/>
      <c r="IC2234" s="73"/>
      <c r="ID2234" s="73"/>
      <c r="IE2234" s="73"/>
      <c r="IF2234" s="73"/>
      <c r="IG2234" s="73"/>
      <c r="IH2234" s="73"/>
      <c r="II2234" s="73"/>
      <c r="IJ2234" s="73"/>
      <c r="IK2234" s="73"/>
      <c r="IL2234" s="73"/>
      <c r="IM2234" s="73"/>
      <c r="IN2234" s="73"/>
      <c r="IO2234" s="73"/>
      <c r="IP2234" s="73"/>
      <c r="IQ2234" s="73"/>
      <c r="IR2234" s="73"/>
      <c r="IS2234" s="73"/>
      <c r="IT2234" s="73"/>
      <c r="IU2234" s="73"/>
      <c r="IV2234" s="73"/>
      <c r="IW2234" s="73"/>
      <c r="IX2234" s="73"/>
      <c r="IY2234" s="73"/>
      <c r="IZ2234" s="73"/>
      <c r="JA2234" s="73"/>
      <c r="JB2234" s="73"/>
      <c r="JC2234" s="73"/>
    </row>
    <row r="2235" spans="2:263" s="72" customFormat="1">
      <c r="B2235" s="73"/>
      <c r="C2235" s="73"/>
      <c r="D2235" s="73"/>
      <c r="E2235" s="73"/>
      <c r="F2235" s="73"/>
      <c r="G2235" s="73"/>
      <c r="H2235" s="73"/>
      <c r="I2235" s="73"/>
      <c r="J2235" s="73"/>
      <c r="K2235" s="73"/>
      <c r="L2235" s="73"/>
      <c r="M2235" s="73"/>
      <c r="N2235" s="73"/>
      <c r="O2235" s="73"/>
      <c r="P2235" s="73"/>
      <c r="Q2235" s="73"/>
      <c r="R2235" s="73"/>
      <c r="S2235" s="73"/>
      <c r="T2235" s="73"/>
      <c r="U2235" s="73"/>
      <c r="V2235" s="73"/>
      <c r="W2235" s="73"/>
      <c r="GL2235" s="73"/>
      <c r="GM2235" s="73"/>
      <c r="GN2235" s="73"/>
      <c r="GO2235" s="73"/>
      <c r="GP2235" s="73"/>
      <c r="GQ2235" s="73"/>
      <c r="GR2235" s="73"/>
      <c r="GS2235" s="73"/>
      <c r="GT2235" s="73"/>
      <c r="GU2235" s="73"/>
      <c r="GV2235" s="73"/>
      <c r="GW2235" s="73"/>
      <c r="GX2235" s="73"/>
      <c r="GY2235" s="73"/>
      <c r="GZ2235" s="73"/>
      <c r="HA2235" s="73"/>
      <c r="HB2235" s="73"/>
      <c r="HC2235" s="73"/>
      <c r="HD2235" s="73"/>
      <c r="HE2235" s="73"/>
      <c r="HF2235" s="73"/>
      <c r="HG2235" s="73"/>
      <c r="HH2235" s="73"/>
      <c r="HI2235" s="73"/>
      <c r="HJ2235" s="73"/>
      <c r="HK2235" s="73"/>
      <c r="HL2235" s="73"/>
      <c r="HM2235" s="73"/>
      <c r="HN2235" s="73"/>
      <c r="HO2235" s="73"/>
      <c r="HP2235" s="73"/>
      <c r="HQ2235" s="73"/>
      <c r="HR2235" s="73"/>
      <c r="HS2235" s="73"/>
      <c r="HT2235" s="73"/>
      <c r="HU2235" s="73"/>
      <c r="HV2235" s="73"/>
      <c r="HW2235" s="73"/>
      <c r="HX2235" s="73"/>
      <c r="HY2235" s="73"/>
      <c r="HZ2235" s="73"/>
      <c r="IA2235" s="73"/>
      <c r="IB2235" s="73"/>
      <c r="IC2235" s="73"/>
      <c r="ID2235" s="73"/>
      <c r="IE2235" s="73"/>
      <c r="IF2235" s="73"/>
      <c r="IG2235" s="73"/>
      <c r="IH2235" s="73"/>
      <c r="II2235" s="73"/>
      <c r="IJ2235" s="73"/>
      <c r="IK2235" s="73"/>
      <c r="IL2235" s="73"/>
      <c r="IM2235" s="73"/>
      <c r="IN2235" s="73"/>
      <c r="IO2235" s="73"/>
      <c r="IP2235" s="73"/>
      <c r="IQ2235" s="73"/>
      <c r="IR2235" s="73"/>
      <c r="IS2235" s="73"/>
      <c r="IT2235" s="73"/>
      <c r="IU2235" s="73"/>
      <c r="IV2235" s="73"/>
      <c r="IW2235" s="73"/>
      <c r="IX2235" s="73"/>
      <c r="IY2235" s="73"/>
      <c r="IZ2235" s="73"/>
      <c r="JA2235" s="73"/>
      <c r="JB2235" s="73"/>
      <c r="JC2235" s="73"/>
    </row>
    <row r="2236" spans="2:263" s="72" customFormat="1">
      <c r="B2236" s="73"/>
      <c r="C2236" s="73"/>
      <c r="D2236" s="73"/>
      <c r="E2236" s="73"/>
      <c r="F2236" s="73"/>
      <c r="G2236" s="73"/>
      <c r="H2236" s="73"/>
      <c r="I2236" s="73"/>
      <c r="J2236" s="73"/>
      <c r="K2236" s="73"/>
      <c r="L2236" s="73"/>
      <c r="M2236" s="73"/>
      <c r="N2236" s="73"/>
      <c r="O2236" s="73"/>
      <c r="P2236" s="73"/>
      <c r="Q2236" s="73"/>
      <c r="R2236" s="73"/>
      <c r="S2236" s="73"/>
      <c r="T2236" s="73"/>
      <c r="U2236" s="73"/>
      <c r="V2236" s="73"/>
      <c r="W2236" s="73"/>
      <c r="GL2236" s="73"/>
      <c r="GM2236" s="73"/>
      <c r="GN2236" s="73"/>
      <c r="GO2236" s="73"/>
      <c r="GP2236" s="73"/>
      <c r="GQ2236" s="73"/>
      <c r="GR2236" s="73"/>
      <c r="GS2236" s="73"/>
      <c r="GT2236" s="73"/>
      <c r="GU2236" s="73"/>
      <c r="GV2236" s="73"/>
      <c r="GW2236" s="73"/>
      <c r="GX2236" s="73"/>
      <c r="GY2236" s="73"/>
      <c r="GZ2236" s="73"/>
      <c r="HA2236" s="73"/>
      <c r="HB2236" s="73"/>
      <c r="HC2236" s="73"/>
      <c r="HD2236" s="73"/>
      <c r="HE2236" s="73"/>
      <c r="HF2236" s="73"/>
      <c r="HG2236" s="73"/>
      <c r="HH2236" s="73"/>
      <c r="HI2236" s="73"/>
      <c r="HJ2236" s="73"/>
      <c r="HK2236" s="73"/>
      <c r="HL2236" s="73"/>
      <c r="HM2236" s="73"/>
      <c r="HN2236" s="73"/>
      <c r="HO2236" s="73"/>
      <c r="HP2236" s="73"/>
      <c r="HQ2236" s="73"/>
      <c r="HR2236" s="73"/>
      <c r="HS2236" s="73"/>
      <c r="HT2236" s="73"/>
      <c r="HU2236" s="73"/>
      <c r="HV2236" s="73"/>
      <c r="HW2236" s="73"/>
      <c r="HX2236" s="73"/>
      <c r="HY2236" s="73"/>
      <c r="HZ2236" s="73"/>
      <c r="IA2236" s="73"/>
      <c r="IB2236" s="73"/>
      <c r="IC2236" s="73"/>
      <c r="ID2236" s="73"/>
      <c r="IE2236" s="73"/>
      <c r="IF2236" s="73"/>
      <c r="IG2236" s="73"/>
      <c r="IH2236" s="73"/>
      <c r="II2236" s="73"/>
      <c r="IJ2236" s="73"/>
      <c r="IK2236" s="73"/>
      <c r="IL2236" s="73"/>
      <c r="IM2236" s="73"/>
      <c r="IN2236" s="73"/>
      <c r="IO2236" s="73"/>
      <c r="IP2236" s="73"/>
      <c r="IQ2236" s="73"/>
      <c r="IR2236" s="73"/>
      <c r="IS2236" s="73"/>
      <c r="IT2236" s="73"/>
      <c r="IU2236" s="73"/>
      <c r="IV2236" s="73"/>
      <c r="IW2236" s="73"/>
      <c r="IX2236" s="73"/>
      <c r="IY2236" s="73"/>
      <c r="IZ2236" s="73"/>
      <c r="JA2236" s="73"/>
      <c r="JB2236" s="73"/>
      <c r="JC2236" s="73"/>
    </row>
    <row r="2237" spans="2:263" s="72" customFormat="1">
      <c r="B2237" s="73"/>
      <c r="C2237" s="73"/>
      <c r="D2237" s="73"/>
      <c r="E2237" s="73"/>
      <c r="F2237" s="73"/>
      <c r="G2237" s="73"/>
      <c r="H2237" s="73"/>
      <c r="I2237" s="73"/>
      <c r="J2237" s="73"/>
      <c r="K2237" s="73"/>
      <c r="L2237" s="73"/>
      <c r="M2237" s="73"/>
      <c r="N2237" s="73"/>
      <c r="O2237" s="73"/>
      <c r="P2237" s="73"/>
      <c r="Q2237" s="73"/>
      <c r="R2237" s="73"/>
      <c r="S2237" s="73"/>
      <c r="T2237" s="73"/>
      <c r="U2237" s="73"/>
      <c r="V2237" s="73"/>
      <c r="W2237" s="73"/>
      <c r="GL2237" s="73"/>
      <c r="GM2237" s="73"/>
      <c r="GN2237" s="73"/>
      <c r="GO2237" s="73"/>
      <c r="GP2237" s="73"/>
      <c r="GQ2237" s="73"/>
      <c r="GR2237" s="73"/>
      <c r="GS2237" s="73"/>
      <c r="GT2237" s="73"/>
      <c r="GU2237" s="73"/>
      <c r="GV2237" s="73"/>
      <c r="GW2237" s="73"/>
      <c r="GX2237" s="73"/>
      <c r="GY2237" s="73"/>
      <c r="GZ2237" s="73"/>
      <c r="HA2237" s="73"/>
      <c r="HB2237" s="73"/>
      <c r="HC2237" s="73"/>
      <c r="HD2237" s="73"/>
      <c r="HE2237" s="73"/>
      <c r="HF2237" s="73"/>
      <c r="HG2237" s="73"/>
      <c r="HH2237" s="73"/>
      <c r="HI2237" s="73"/>
      <c r="HJ2237" s="73"/>
      <c r="HK2237" s="73"/>
      <c r="HL2237" s="73"/>
      <c r="HM2237" s="73"/>
      <c r="HN2237" s="73"/>
      <c r="HO2237" s="73"/>
      <c r="HP2237" s="73"/>
      <c r="HQ2237" s="73"/>
      <c r="HR2237" s="73"/>
      <c r="HS2237" s="73"/>
      <c r="HT2237" s="73"/>
      <c r="HU2237" s="73"/>
      <c r="HV2237" s="73"/>
      <c r="HW2237" s="73"/>
      <c r="HX2237" s="73"/>
      <c r="HY2237" s="73"/>
      <c r="HZ2237" s="73"/>
      <c r="IA2237" s="73"/>
      <c r="IB2237" s="73"/>
      <c r="IC2237" s="73"/>
      <c r="ID2237" s="73"/>
      <c r="IE2237" s="73"/>
      <c r="IF2237" s="73"/>
      <c r="IG2237" s="73"/>
      <c r="IH2237" s="73"/>
      <c r="II2237" s="73"/>
      <c r="IJ2237" s="73"/>
      <c r="IK2237" s="73"/>
      <c r="IL2237" s="73"/>
      <c r="IM2237" s="73"/>
      <c r="IN2237" s="73"/>
      <c r="IO2237" s="73"/>
      <c r="IP2237" s="73"/>
      <c r="IQ2237" s="73"/>
      <c r="IR2237" s="73"/>
      <c r="IS2237" s="73"/>
      <c r="IT2237" s="73"/>
      <c r="IU2237" s="73"/>
      <c r="IV2237" s="73"/>
      <c r="IW2237" s="73"/>
      <c r="IX2237" s="73"/>
      <c r="IY2237" s="73"/>
      <c r="IZ2237" s="73"/>
      <c r="JA2237" s="73"/>
      <c r="JB2237" s="73"/>
      <c r="JC2237" s="73"/>
    </row>
    <row r="2238" spans="2:263" s="72" customFormat="1">
      <c r="B2238" s="73"/>
      <c r="C2238" s="73"/>
      <c r="D2238" s="73"/>
      <c r="E2238" s="73"/>
      <c r="F2238" s="73"/>
      <c r="G2238" s="73"/>
      <c r="H2238" s="73"/>
      <c r="I2238" s="73"/>
      <c r="J2238" s="73"/>
      <c r="K2238" s="73"/>
      <c r="L2238" s="73"/>
      <c r="M2238" s="73"/>
      <c r="N2238" s="73"/>
      <c r="O2238" s="73"/>
      <c r="P2238" s="73"/>
      <c r="Q2238" s="73"/>
      <c r="R2238" s="73"/>
      <c r="S2238" s="73"/>
      <c r="T2238" s="73"/>
      <c r="U2238" s="73"/>
      <c r="V2238" s="73"/>
      <c r="W2238" s="73"/>
      <c r="GL2238" s="73"/>
      <c r="GM2238" s="73"/>
      <c r="GN2238" s="73"/>
      <c r="GO2238" s="73"/>
      <c r="GP2238" s="73"/>
      <c r="GQ2238" s="73"/>
      <c r="GR2238" s="73"/>
      <c r="GS2238" s="73"/>
      <c r="GT2238" s="73"/>
      <c r="GU2238" s="73"/>
      <c r="GV2238" s="73"/>
      <c r="GW2238" s="73"/>
      <c r="GX2238" s="73"/>
      <c r="GY2238" s="73"/>
      <c r="GZ2238" s="73"/>
      <c r="HA2238" s="73"/>
      <c r="HB2238" s="73"/>
      <c r="HC2238" s="73"/>
      <c r="HD2238" s="73"/>
      <c r="HE2238" s="73"/>
      <c r="HF2238" s="73"/>
      <c r="HG2238" s="73"/>
      <c r="HH2238" s="73"/>
      <c r="HI2238" s="73"/>
      <c r="HJ2238" s="73"/>
      <c r="HK2238" s="73"/>
      <c r="HL2238" s="73"/>
      <c r="HM2238" s="73"/>
      <c r="HN2238" s="73"/>
      <c r="HO2238" s="73"/>
      <c r="HP2238" s="73"/>
      <c r="HQ2238" s="73"/>
      <c r="HR2238" s="73"/>
      <c r="HS2238" s="73"/>
      <c r="HT2238" s="73"/>
      <c r="HU2238" s="73"/>
      <c r="HV2238" s="73"/>
      <c r="HW2238" s="73"/>
      <c r="HX2238" s="73"/>
      <c r="HY2238" s="73"/>
      <c r="HZ2238" s="73"/>
      <c r="IA2238" s="73"/>
      <c r="IB2238" s="73"/>
      <c r="IC2238" s="73"/>
      <c r="ID2238" s="73"/>
      <c r="IE2238" s="73"/>
      <c r="IF2238" s="73"/>
      <c r="IG2238" s="73"/>
      <c r="IH2238" s="73"/>
      <c r="II2238" s="73"/>
      <c r="IJ2238" s="73"/>
      <c r="IK2238" s="73"/>
      <c r="IL2238" s="73"/>
      <c r="IM2238" s="73"/>
      <c r="IN2238" s="73"/>
      <c r="IO2238" s="73"/>
      <c r="IP2238" s="73"/>
      <c r="IQ2238" s="73"/>
      <c r="IR2238" s="73"/>
      <c r="IS2238" s="73"/>
      <c r="IT2238" s="73"/>
      <c r="IU2238" s="73"/>
      <c r="IV2238" s="73"/>
      <c r="IW2238" s="73"/>
      <c r="IX2238" s="73"/>
      <c r="IY2238" s="73"/>
      <c r="IZ2238" s="73"/>
      <c r="JA2238" s="73"/>
      <c r="JB2238" s="73"/>
      <c r="JC2238" s="73"/>
    </row>
    <row r="2239" spans="2:263" s="72" customFormat="1">
      <c r="B2239" s="73"/>
      <c r="C2239" s="73"/>
      <c r="D2239" s="73"/>
      <c r="E2239" s="73"/>
      <c r="F2239" s="73"/>
      <c r="G2239" s="73"/>
      <c r="H2239" s="73"/>
      <c r="I2239" s="73"/>
      <c r="J2239" s="73"/>
      <c r="K2239" s="73"/>
      <c r="L2239" s="73"/>
      <c r="M2239" s="73"/>
      <c r="N2239" s="73"/>
      <c r="O2239" s="73"/>
      <c r="P2239" s="73"/>
      <c r="Q2239" s="73"/>
      <c r="R2239" s="73"/>
      <c r="S2239" s="73"/>
      <c r="T2239" s="73"/>
      <c r="U2239" s="73"/>
      <c r="V2239" s="73"/>
      <c r="W2239" s="73"/>
      <c r="GL2239" s="73"/>
      <c r="GM2239" s="73"/>
      <c r="GN2239" s="73"/>
      <c r="GO2239" s="73"/>
      <c r="GP2239" s="73"/>
      <c r="GQ2239" s="73"/>
      <c r="GR2239" s="73"/>
      <c r="GS2239" s="73"/>
      <c r="GT2239" s="73"/>
      <c r="GU2239" s="73"/>
      <c r="GV2239" s="73"/>
      <c r="GW2239" s="73"/>
      <c r="GX2239" s="73"/>
      <c r="GY2239" s="73"/>
      <c r="GZ2239" s="73"/>
      <c r="HA2239" s="73"/>
      <c r="HB2239" s="73"/>
      <c r="HC2239" s="73"/>
      <c r="HD2239" s="73"/>
      <c r="HE2239" s="73"/>
      <c r="HF2239" s="73"/>
      <c r="HG2239" s="73"/>
      <c r="HH2239" s="73"/>
      <c r="HI2239" s="73"/>
      <c r="HJ2239" s="73"/>
      <c r="HK2239" s="73"/>
      <c r="HL2239" s="73"/>
      <c r="HM2239" s="73"/>
      <c r="HN2239" s="73"/>
      <c r="HO2239" s="73"/>
      <c r="HP2239" s="73"/>
      <c r="HQ2239" s="73"/>
      <c r="HR2239" s="73"/>
      <c r="HS2239" s="73"/>
      <c r="HT2239" s="73"/>
      <c r="HU2239" s="73"/>
      <c r="HV2239" s="73"/>
      <c r="HW2239" s="73"/>
      <c r="HX2239" s="73"/>
      <c r="HY2239" s="73"/>
      <c r="HZ2239" s="73"/>
      <c r="IA2239" s="73"/>
      <c r="IB2239" s="73"/>
      <c r="IC2239" s="73"/>
      <c r="ID2239" s="73"/>
      <c r="IE2239" s="73"/>
      <c r="IF2239" s="73"/>
      <c r="IG2239" s="73"/>
      <c r="IH2239" s="73"/>
      <c r="II2239" s="73"/>
      <c r="IJ2239" s="73"/>
      <c r="IK2239" s="73"/>
      <c r="IL2239" s="73"/>
      <c r="IM2239" s="73"/>
      <c r="IN2239" s="73"/>
      <c r="IO2239" s="73"/>
      <c r="IP2239" s="73"/>
      <c r="IQ2239" s="73"/>
      <c r="IR2239" s="73"/>
      <c r="IS2239" s="73"/>
      <c r="IT2239" s="73"/>
      <c r="IU2239" s="73"/>
      <c r="IV2239" s="73"/>
      <c r="IW2239" s="73"/>
      <c r="IX2239" s="73"/>
      <c r="IY2239" s="73"/>
      <c r="IZ2239" s="73"/>
      <c r="JA2239" s="73"/>
      <c r="JB2239" s="73"/>
      <c r="JC2239" s="73"/>
    </row>
    <row r="2240" spans="2:263" s="72" customFormat="1">
      <c r="B2240" s="73"/>
      <c r="C2240" s="73"/>
      <c r="D2240" s="73"/>
      <c r="E2240" s="73"/>
      <c r="F2240" s="73"/>
      <c r="G2240" s="73"/>
      <c r="H2240" s="73"/>
      <c r="I2240" s="73"/>
      <c r="J2240" s="73"/>
      <c r="K2240" s="73"/>
      <c r="L2240" s="73"/>
      <c r="M2240" s="73"/>
      <c r="N2240" s="73"/>
      <c r="O2240" s="73"/>
      <c r="P2240" s="73"/>
      <c r="Q2240" s="73"/>
      <c r="R2240" s="73"/>
      <c r="S2240" s="73"/>
      <c r="T2240" s="73"/>
      <c r="U2240" s="73"/>
      <c r="V2240" s="73"/>
      <c r="W2240" s="73"/>
      <c r="GL2240" s="73"/>
      <c r="GM2240" s="73"/>
      <c r="GN2240" s="73"/>
      <c r="GO2240" s="73"/>
      <c r="GP2240" s="73"/>
      <c r="GQ2240" s="73"/>
      <c r="GR2240" s="73"/>
      <c r="GS2240" s="73"/>
      <c r="GT2240" s="73"/>
      <c r="GU2240" s="73"/>
      <c r="GV2240" s="73"/>
      <c r="GW2240" s="73"/>
      <c r="GX2240" s="73"/>
      <c r="GY2240" s="73"/>
      <c r="GZ2240" s="73"/>
      <c r="HA2240" s="73"/>
      <c r="HB2240" s="73"/>
      <c r="HC2240" s="73"/>
      <c r="HD2240" s="73"/>
      <c r="HE2240" s="73"/>
      <c r="HF2240" s="73"/>
      <c r="HG2240" s="73"/>
      <c r="HH2240" s="73"/>
      <c r="HI2240" s="73"/>
      <c r="HJ2240" s="73"/>
      <c r="HK2240" s="73"/>
      <c r="HL2240" s="73"/>
      <c r="HM2240" s="73"/>
      <c r="HN2240" s="73"/>
      <c r="HO2240" s="73"/>
      <c r="HP2240" s="73"/>
      <c r="HQ2240" s="73"/>
      <c r="HR2240" s="73"/>
      <c r="HS2240" s="73"/>
      <c r="HT2240" s="73"/>
      <c r="HU2240" s="73"/>
      <c r="HV2240" s="73"/>
      <c r="HW2240" s="73"/>
      <c r="HX2240" s="73"/>
      <c r="HY2240" s="73"/>
      <c r="HZ2240" s="73"/>
      <c r="IA2240" s="73"/>
      <c r="IB2240" s="73"/>
      <c r="IC2240" s="73"/>
      <c r="ID2240" s="73"/>
      <c r="IE2240" s="73"/>
      <c r="IF2240" s="73"/>
      <c r="IG2240" s="73"/>
      <c r="IH2240" s="73"/>
      <c r="II2240" s="73"/>
      <c r="IJ2240" s="73"/>
      <c r="IK2240" s="73"/>
      <c r="IL2240" s="73"/>
      <c r="IM2240" s="73"/>
      <c r="IN2240" s="73"/>
      <c r="IO2240" s="73"/>
      <c r="IP2240" s="73"/>
      <c r="IQ2240" s="73"/>
      <c r="IR2240" s="73"/>
      <c r="IS2240" s="73"/>
      <c r="IT2240" s="73"/>
      <c r="IU2240" s="73"/>
      <c r="IV2240" s="73"/>
      <c r="IW2240" s="73"/>
      <c r="IX2240" s="73"/>
      <c r="IY2240" s="73"/>
      <c r="IZ2240" s="73"/>
      <c r="JA2240" s="73"/>
      <c r="JB2240" s="73"/>
      <c r="JC2240" s="73"/>
    </row>
    <row r="2241" spans="2:263" s="72" customFormat="1">
      <c r="B2241" s="73"/>
      <c r="C2241" s="73"/>
      <c r="D2241" s="73"/>
      <c r="E2241" s="73"/>
      <c r="F2241" s="73"/>
      <c r="G2241" s="73"/>
      <c r="H2241" s="73"/>
      <c r="I2241" s="73"/>
      <c r="J2241" s="73"/>
      <c r="K2241" s="73"/>
      <c r="L2241" s="73"/>
      <c r="M2241" s="73"/>
      <c r="N2241" s="73"/>
      <c r="O2241" s="73"/>
      <c r="P2241" s="73"/>
      <c r="Q2241" s="73"/>
      <c r="R2241" s="73"/>
      <c r="S2241" s="73"/>
      <c r="T2241" s="73"/>
      <c r="U2241" s="73"/>
      <c r="V2241" s="73"/>
      <c r="W2241" s="73"/>
      <c r="GL2241" s="73"/>
      <c r="GM2241" s="73"/>
      <c r="GN2241" s="73"/>
      <c r="GO2241" s="73"/>
      <c r="GP2241" s="73"/>
      <c r="GQ2241" s="73"/>
      <c r="GR2241" s="73"/>
      <c r="GS2241" s="73"/>
      <c r="GT2241" s="73"/>
      <c r="GU2241" s="73"/>
      <c r="GV2241" s="73"/>
      <c r="GW2241" s="73"/>
      <c r="GX2241" s="73"/>
      <c r="GY2241" s="73"/>
      <c r="GZ2241" s="73"/>
      <c r="HA2241" s="73"/>
      <c r="HB2241" s="73"/>
      <c r="HC2241" s="73"/>
      <c r="HD2241" s="73"/>
      <c r="HE2241" s="73"/>
      <c r="HF2241" s="73"/>
      <c r="HG2241" s="73"/>
      <c r="HH2241" s="73"/>
      <c r="HI2241" s="73"/>
      <c r="HJ2241" s="73"/>
      <c r="HK2241" s="73"/>
      <c r="HL2241" s="73"/>
      <c r="HM2241" s="73"/>
      <c r="HN2241" s="73"/>
      <c r="HO2241" s="73"/>
      <c r="HP2241" s="73"/>
      <c r="HQ2241" s="73"/>
      <c r="HR2241" s="73"/>
      <c r="HS2241" s="73"/>
      <c r="HT2241" s="73"/>
      <c r="HU2241" s="73"/>
      <c r="HV2241" s="73"/>
      <c r="HW2241" s="73"/>
      <c r="HX2241" s="73"/>
      <c r="HY2241" s="73"/>
      <c r="HZ2241" s="73"/>
      <c r="IA2241" s="73"/>
      <c r="IB2241" s="73"/>
      <c r="IC2241" s="73"/>
      <c r="ID2241" s="73"/>
      <c r="IE2241" s="73"/>
      <c r="IF2241" s="73"/>
      <c r="IG2241" s="73"/>
      <c r="IH2241" s="73"/>
      <c r="II2241" s="73"/>
      <c r="IJ2241" s="73"/>
      <c r="IK2241" s="73"/>
      <c r="IL2241" s="73"/>
      <c r="IM2241" s="73"/>
      <c r="IN2241" s="73"/>
      <c r="IO2241" s="73"/>
      <c r="IP2241" s="73"/>
      <c r="IQ2241" s="73"/>
      <c r="IR2241" s="73"/>
      <c r="IS2241" s="73"/>
      <c r="IT2241" s="73"/>
      <c r="IU2241" s="73"/>
      <c r="IV2241" s="73"/>
      <c r="IW2241" s="73"/>
      <c r="IX2241" s="73"/>
      <c r="IY2241" s="73"/>
      <c r="IZ2241" s="73"/>
      <c r="JA2241" s="73"/>
      <c r="JB2241" s="73"/>
      <c r="JC2241" s="73"/>
    </row>
    <row r="2242" spans="2:263" s="72" customFormat="1">
      <c r="B2242" s="73"/>
      <c r="C2242" s="73"/>
      <c r="D2242" s="73"/>
      <c r="E2242" s="73"/>
      <c r="F2242" s="73"/>
      <c r="G2242" s="73"/>
      <c r="H2242" s="73"/>
      <c r="I2242" s="73"/>
      <c r="J2242" s="73"/>
      <c r="K2242" s="73"/>
      <c r="L2242" s="73"/>
      <c r="M2242" s="73"/>
      <c r="N2242" s="73"/>
      <c r="O2242" s="73"/>
      <c r="P2242" s="73"/>
      <c r="Q2242" s="73"/>
      <c r="R2242" s="73"/>
      <c r="S2242" s="73"/>
      <c r="T2242" s="73"/>
      <c r="U2242" s="73"/>
      <c r="V2242" s="73"/>
      <c r="W2242" s="73"/>
      <c r="GL2242" s="73"/>
      <c r="GM2242" s="73"/>
      <c r="GN2242" s="73"/>
      <c r="GO2242" s="73"/>
      <c r="GP2242" s="73"/>
      <c r="GQ2242" s="73"/>
      <c r="GR2242" s="73"/>
      <c r="GS2242" s="73"/>
      <c r="GT2242" s="73"/>
      <c r="GU2242" s="73"/>
      <c r="GV2242" s="73"/>
      <c r="GW2242" s="73"/>
      <c r="GX2242" s="73"/>
      <c r="GY2242" s="73"/>
      <c r="GZ2242" s="73"/>
      <c r="HA2242" s="73"/>
      <c r="HB2242" s="73"/>
      <c r="HC2242" s="73"/>
      <c r="HD2242" s="73"/>
      <c r="HE2242" s="73"/>
      <c r="HF2242" s="73"/>
      <c r="HG2242" s="73"/>
      <c r="HH2242" s="73"/>
      <c r="HI2242" s="73"/>
      <c r="HJ2242" s="73"/>
      <c r="HK2242" s="73"/>
      <c r="HL2242" s="73"/>
      <c r="HM2242" s="73"/>
      <c r="HN2242" s="73"/>
      <c r="HO2242" s="73"/>
      <c r="HP2242" s="73"/>
      <c r="HQ2242" s="73"/>
      <c r="HR2242" s="73"/>
      <c r="HS2242" s="73"/>
      <c r="HT2242" s="73"/>
      <c r="HU2242" s="73"/>
      <c r="HV2242" s="73"/>
      <c r="HW2242" s="73"/>
      <c r="HX2242" s="73"/>
      <c r="HY2242" s="73"/>
      <c r="HZ2242" s="73"/>
      <c r="IA2242" s="73"/>
      <c r="IB2242" s="73"/>
      <c r="IC2242" s="73"/>
      <c r="ID2242" s="73"/>
      <c r="IE2242" s="73"/>
      <c r="IF2242" s="73"/>
      <c r="IG2242" s="73"/>
      <c r="IH2242" s="73"/>
      <c r="II2242" s="73"/>
      <c r="IJ2242" s="73"/>
      <c r="IK2242" s="73"/>
      <c r="IL2242" s="73"/>
      <c r="IM2242" s="73"/>
      <c r="IN2242" s="73"/>
      <c r="IO2242" s="73"/>
      <c r="IP2242" s="73"/>
      <c r="IQ2242" s="73"/>
      <c r="IR2242" s="73"/>
      <c r="IS2242" s="73"/>
      <c r="IT2242" s="73"/>
      <c r="IU2242" s="73"/>
      <c r="IV2242" s="73"/>
      <c r="IW2242" s="73"/>
      <c r="IX2242" s="73"/>
      <c r="IY2242" s="73"/>
      <c r="IZ2242" s="73"/>
      <c r="JA2242" s="73"/>
      <c r="JB2242" s="73"/>
      <c r="JC2242" s="73"/>
    </row>
    <row r="2243" spans="2:263" s="72" customFormat="1">
      <c r="B2243" s="73"/>
      <c r="C2243" s="73"/>
      <c r="D2243" s="73"/>
      <c r="E2243" s="73"/>
      <c r="F2243" s="73"/>
      <c r="G2243" s="73"/>
      <c r="H2243" s="73"/>
      <c r="I2243" s="73"/>
      <c r="J2243" s="73"/>
      <c r="K2243" s="73"/>
      <c r="L2243" s="73"/>
      <c r="M2243" s="73"/>
      <c r="N2243" s="73"/>
      <c r="O2243" s="73"/>
      <c r="P2243" s="73"/>
      <c r="Q2243" s="73"/>
      <c r="R2243" s="73"/>
      <c r="S2243" s="73"/>
      <c r="T2243" s="73"/>
      <c r="U2243" s="73"/>
      <c r="V2243" s="73"/>
      <c r="W2243" s="73"/>
      <c r="GL2243" s="73"/>
      <c r="GM2243" s="73"/>
      <c r="GN2243" s="73"/>
      <c r="GO2243" s="73"/>
      <c r="GP2243" s="73"/>
      <c r="GQ2243" s="73"/>
      <c r="GR2243" s="73"/>
      <c r="GS2243" s="73"/>
      <c r="GT2243" s="73"/>
      <c r="GU2243" s="73"/>
      <c r="GV2243" s="73"/>
      <c r="GW2243" s="73"/>
      <c r="GX2243" s="73"/>
      <c r="GY2243" s="73"/>
      <c r="GZ2243" s="73"/>
      <c r="HA2243" s="73"/>
      <c r="HB2243" s="73"/>
      <c r="HC2243" s="73"/>
      <c r="HD2243" s="73"/>
      <c r="HE2243" s="73"/>
      <c r="HF2243" s="73"/>
      <c r="HG2243" s="73"/>
      <c r="HH2243" s="73"/>
      <c r="HI2243" s="73"/>
      <c r="HJ2243" s="73"/>
      <c r="HK2243" s="73"/>
      <c r="HL2243" s="73"/>
      <c r="HM2243" s="73"/>
      <c r="HN2243" s="73"/>
      <c r="HO2243" s="73"/>
      <c r="HP2243" s="73"/>
      <c r="HQ2243" s="73"/>
      <c r="HR2243" s="73"/>
      <c r="HS2243" s="73"/>
      <c r="HT2243" s="73"/>
      <c r="HU2243" s="73"/>
      <c r="HV2243" s="73"/>
      <c r="HW2243" s="73"/>
      <c r="HX2243" s="73"/>
      <c r="HY2243" s="73"/>
      <c r="HZ2243" s="73"/>
      <c r="IA2243" s="73"/>
      <c r="IB2243" s="73"/>
      <c r="IC2243" s="73"/>
      <c r="ID2243" s="73"/>
      <c r="IE2243" s="73"/>
      <c r="IF2243" s="73"/>
      <c r="IG2243" s="73"/>
      <c r="IH2243" s="73"/>
      <c r="II2243" s="73"/>
      <c r="IJ2243" s="73"/>
      <c r="IK2243" s="73"/>
      <c r="IL2243" s="73"/>
      <c r="IM2243" s="73"/>
      <c r="IN2243" s="73"/>
      <c r="IO2243" s="73"/>
      <c r="IP2243" s="73"/>
      <c r="IQ2243" s="73"/>
      <c r="IR2243" s="73"/>
      <c r="IS2243" s="73"/>
      <c r="IT2243" s="73"/>
      <c r="IU2243" s="73"/>
      <c r="IV2243" s="73"/>
      <c r="IW2243" s="73"/>
      <c r="IX2243" s="73"/>
      <c r="IY2243" s="73"/>
      <c r="IZ2243" s="73"/>
      <c r="JA2243" s="73"/>
      <c r="JB2243" s="73"/>
      <c r="JC2243" s="73"/>
    </row>
    <row r="2244" spans="2:263" s="72" customFormat="1">
      <c r="B2244" s="73"/>
      <c r="C2244" s="73"/>
      <c r="D2244" s="73"/>
      <c r="E2244" s="73"/>
      <c r="F2244" s="73"/>
      <c r="G2244" s="73"/>
      <c r="H2244" s="73"/>
      <c r="I2244" s="73"/>
      <c r="J2244" s="73"/>
      <c r="K2244" s="73"/>
      <c r="L2244" s="73"/>
      <c r="M2244" s="73"/>
      <c r="N2244" s="73"/>
      <c r="O2244" s="73"/>
      <c r="P2244" s="73"/>
      <c r="Q2244" s="73"/>
      <c r="R2244" s="73"/>
      <c r="S2244" s="73"/>
      <c r="T2244" s="73"/>
      <c r="U2244" s="73"/>
      <c r="V2244" s="73"/>
      <c r="W2244" s="73"/>
      <c r="GL2244" s="73"/>
      <c r="GM2244" s="73"/>
      <c r="GN2244" s="73"/>
      <c r="GO2244" s="73"/>
      <c r="GP2244" s="73"/>
      <c r="GQ2244" s="73"/>
      <c r="GR2244" s="73"/>
      <c r="GS2244" s="73"/>
      <c r="GT2244" s="73"/>
      <c r="GU2244" s="73"/>
      <c r="GV2244" s="73"/>
      <c r="GW2244" s="73"/>
      <c r="GX2244" s="73"/>
      <c r="GY2244" s="73"/>
      <c r="GZ2244" s="73"/>
      <c r="HA2244" s="73"/>
      <c r="HB2244" s="73"/>
      <c r="HC2244" s="73"/>
      <c r="HD2244" s="73"/>
      <c r="HE2244" s="73"/>
      <c r="HF2244" s="73"/>
      <c r="HG2244" s="73"/>
      <c r="HH2244" s="73"/>
      <c r="HI2244" s="73"/>
      <c r="HJ2244" s="73"/>
      <c r="HK2244" s="73"/>
      <c r="HL2244" s="73"/>
      <c r="HM2244" s="73"/>
      <c r="HN2244" s="73"/>
      <c r="HO2244" s="73"/>
      <c r="HP2244" s="73"/>
      <c r="HQ2244" s="73"/>
      <c r="HR2244" s="73"/>
      <c r="HS2244" s="73"/>
      <c r="HT2244" s="73"/>
      <c r="HU2244" s="73"/>
      <c r="HV2244" s="73"/>
      <c r="HW2244" s="73"/>
      <c r="HX2244" s="73"/>
      <c r="HY2244" s="73"/>
      <c r="HZ2244" s="73"/>
      <c r="IA2244" s="73"/>
      <c r="IB2244" s="73"/>
      <c r="IC2244" s="73"/>
      <c r="ID2244" s="73"/>
      <c r="IE2244" s="73"/>
      <c r="IF2244" s="73"/>
      <c r="IG2244" s="73"/>
      <c r="IH2244" s="73"/>
      <c r="II2244" s="73"/>
      <c r="IJ2244" s="73"/>
      <c r="IK2244" s="73"/>
      <c r="IL2244" s="73"/>
      <c r="IM2244" s="73"/>
      <c r="IN2244" s="73"/>
      <c r="IO2244" s="73"/>
      <c r="IP2244" s="73"/>
      <c r="IQ2244" s="73"/>
      <c r="IR2244" s="73"/>
      <c r="IS2244" s="73"/>
      <c r="IT2244" s="73"/>
      <c r="IU2244" s="73"/>
      <c r="IV2244" s="73"/>
      <c r="IW2244" s="73"/>
      <c r="IX2244" s="73"/>
      <c r="IY2244" s="73"/>
      <c r="IZ2244" s="73"/>
      <c r="JA2244" s="73"/>
      <c r="JB2244" s="73"/>
      <c r="JC2244" s="73"/>
    </row>
    <row r="2245" spans="2:263" s="72" customFormat="1">
      <c r="B2245" s="73"/>
      <c r="C2245" s="73"/>
      <c r="D2245" s="73"/>
      <c r="E2245" s="73"/>
      <c r="F2245" s="73"/>
      <c r="G2245" s="73"/>
      <c r="H2245" s="73"/>
      <c r="I2245" s="73"/>
      <c r="J2245" s="73"/>
      <c r="K2245" s="73"/>
      <c r="L2245" s="73"/>
      <c r="M2245" s="73"/>
      <c r="N2245" s="73"/>
      <c r="O2245" s="73"/>
      <c r="P2245" s="73"/>
      <c r="Q2245" s="73"/>
      <c r="R2245" s="73"/>
      <c r="S2245" s="73"/>
      <c r="T2245" s="73"/>
      <c r="U2245" s="73"/>
      <c r="V2245" s="73"/>
      <c r="W2245" s="73"/>
      <c r="GL2245" s="73"/>
      <c r="GM2245" s="73"/>
      <c r="GN2245" s="73"/>
      <c r="GO2245" s="73"/>
      <c r="GP2245" s="73"/>
      <c r="GQ2245" s="73"/>
      <c r="GR2245" s="73"/>
      <c r="GS2245" s="73"/>
      <c r="GT2245" s="73"/>
      <c r="GU2245" s="73"/>
      <c r="GV2245" s="73"/>
      <c r="GW2245" s="73"/>
      <c r="GX2245" s="73"/>
      <c r="GY2245" s="73"/>
      <c r="GZ2245" s="73"/>
      <c r="HA2245" s="73"/>
      <c r="HB2245" s="73"/>
      <c r="HC2245" s="73"/>
      <c r="HD2245" s="73"/>
      <c r="HE2245" s="73"/>
      <c r="HF2245" s="73"/>
      <c r="HG2245" s="73"/>
      <c r="HH2245" s="73"/>
      <c r="HI2245" s="73"/>
      <c r="HJ2245" s="73"/>
      <c r="HK2245" s="73"/>
      <c r="HL2245" s="73"/>
      <c r="HM2245" s="73"/>
      <c r="HN2245" s="73"/>
      <c r="HO2245" s="73"/>
      <c r="HP2245" s="73"/>
      <c r="HQ2245" s="73"/>
      <c r="HR2245" s="73"/>
      <c r="HS2245" s="73"/>
      <c r="HT2245" s="73"/>
      <c r="HU2245" s="73"/>
      <c r="HV2245" s="73"/>
      <c r="HW2245" s="73"/>
      <c r="HX2245" s="73"/>
      <c r="HY2245" s="73"/>
      <c r="HZ2245" s="73"/>
      <c r="IA2245" s="73"/>
      <c r="IB2245" s="73"/>
      <c r="IC2245" s="73"/>
      <c r="ID2245" s="73"/>
      <c r="IE2245" s="73"/>
      <c r="IF2245" s="73"/>
      <c r="IG2245" s="73"/>
      <c r="IH2245" s="73"/>
      <c r="II2245" s="73"/>
      <c r="IJ2245" s="73"/>
      <c r="IK2245" s="73"/>
      <c r="IL2245" s="73"/>
      <c r="IM2245" s="73"/>
      <c r="IN2245" s="73"/>
      <c r="IO2245" s="73"/>
      <c r="IP2245" s="73"/>
      <c r="IQ2245" s="73"/>
      <c r="IR2245" s="73"/>
      <c r="IS2245" s="73"/>
      <c r="IT2245" s="73"/>
      <c r="IU2245" s="73"/>
      <c r="IV2245" s="73"/>
      <c r="IW2245" s="73"/>
      <c r="IX2245" s="73"/>
      <c r="IY2245" s="73"/>
      <c r="IZ2245" s="73"/>
      <c r="JA2245" s="73"/>
      <c r="JB2245" s="73"/>
      <c r="JC2245" s="73"/>
    </row>
    <row r="2246" spans="2:263" s="72" customFormat="1">
      <c r="B2246" s="73"/>
      <c r="C2246" s="73"/>
      <c r="D2246" s="73"/>
      <c r="E2246" s="73"/>
      <c r="F2246" s="73"/>
      <c r="G2246" s="73"/>
      <c r="H2246" s="73"/>
      <c r="I2246" s="73"/>
      <c r="J2246" s="73"/>
      <c r="K2246" s="73"/>
      <c r="L2246" s="73"/>
      <c r="M2246" s="73"/>
      <c r="N2246" s="73"/>
      <c r="O2246" s="73"/>
      <c r="P2246" s="73"/>
      <c r="Q2246" s="73"/>
      <c r="R2246" s="73"/>
      <c r="S2246" s="73"/>
      <c r="T2246" s="73"/>
      <c r="U2246" s="73"/>
      <c r="V2246" s="73"/>
      <c r="W2246" s="73"/>
      <c r="GL2246" s="73"/>
      <c r="GM2246" s="73"/>
      <c r="GN2246" s="73"/>
      <c r="GO2246" s="73"/>
      <c r="GP2246" s="73"/>
      <c r="GQ2246" s="73"/>
      <c r="GR2246" s="73"/>
      <c r="GS2246" s="73"/>
      <c r="GT2246" s="73"/>
      <c r="GU2246" s="73"/>
      <c r="GV2246" s="73"/>
      <c r="GW2246" s="73"/>
      <c r="GX2246" s="73"/>
      <c r="GY2246" s="73"/>
      <c r="GZ2246" s="73"/>
      <c r="HA2246" s="73"/>
      <c r="HB2246" s="73"/>
      <c r="HC2246" s="73"/>
      <c r="HD2246" s="73"/>
      <c r="HE2246" s="73"/>
      <c r="HF2246" s="73"/>
      <c r="HG2246" s="73"/>
      <c r="HH2246" s="73"/>
      <c r="HI2246" s="73"/>
      <c r="HJ2246" s="73"/>
      <c r="HK2246" s="73"/>
      <c r="HL2246" s="73"/>
      <c r="HM2246" s="73"/>
      <c r="HN2246" s="73"/>
      <c r="HO2246" s="73"/>
      <c r="HP2246" s="73"/>
      <c r="HQ2246" s="73"/>
      <c r="HR2246" s="73"/>
      <c r="HS2246" s="73"/>
      <c r="HT2246" s="73"/>
      <c r="HU2246" s="73"/>
      <c r="HV2246" s="73"/>
      <c r="HW2246" s="73"/>
      <c r="HX2246" s="73"/>
      <c r="HY2246" s="73"/>
      <c r="HZ2246" s="73"/>
      <c r="IA2246" s="73"/>
      <c r="IB2246" s="73"/>
      <c r="IC2246" s="73"/>
      <c r="ID2246" s="73"/>
      <c r="IE2246" s="73"/>
      <c r="IF2246" s="73"/>
      <c r="IG2246" s="73"/>
      <c r="IH2246" s="73"/>
      <c r="II2246" s="73"/>
      <c r="IJ2246" s="73"/>
      <c r="IK2246" s="73"/>
      <c r="IL2246" s="73"/>
      <c r="IM2246" s="73"/>
      <c r="IN2246" s="73"/>
      <c r="IO2246" s="73"/>
      <c r="IP2246" s="73"/>
      <c r="IQ2246" s="73"/>
      <c r="IR2246" s="73"/>
      <c r="IS2246" s="73"/>
      <c r="IT2246" s="73"/>
      <c r="IU2246" s="73"/>
      <c r="IV2246" s="73"/>
      <c r="IW2246" s="73"/>
      <c r="IX2246" s="73"/>
      <c r="IY2246" s="73"/>
      <c r="IZ2246" s="73"/>
      <c r="JA2246" s="73"/>
      <c r="JB2246" s="73"/>
      <c r="JC2246" s="73"/>
    </row>
    <row r="2247" spans="2:263" s="72" customFormat="1">
      <c r="B2247" s="73"/>
      <c r="C2247" s="73"/>
      <c r="D2247" s="73"/>
      <c r="E2247" s="73"/>
      <c r="F2247" s="73"/>
      <c r="G2247" s="73"/>
      <c r="H2247" s="73"/>
      <c r="I2247" s="73"/>
      <c r="J2247" s="73"/>
      <c r="K2247" s="73"/>
      <c r="L2247" s="73"/>
      <c r="M2247" s="73"/>
      <c r="N2247" s="73"/>
      <c r="O2247" s="73"/>
      <c r="P2247" s="73"/>
      <c r="Q2247" s="73"/>
      <c r="R2247" s="73"/>
      <c r="S2247" s="73"/>
      <c r="T2247" s="73"/>
      <c r="U2247" s="73"/>
      <c r="V2247" s="73"/>
      <c r="W2247" s="73"/>
      <c r="GL2247" s="73"/>
      <c r="GM2247" s="73"/>
      <c r="GN2247" s="73"/>
      <c r="GO2247" s="73"/>
      <c r="GP2247" s="73"/>
      <c r="GQ2247" s="73"/>
      <c r="GR2247" s="73"/>
      <c r="GS2247" s="73"/>
      <c r="GT2247" s="73"/>
      <c r="GU2247" s="73"/>
      <c r="GV2247" s="73"/>
      <c r="GW2247" s="73"/>
      <c r="GX2247" s="73"/>
      <c r="GY2247" s="73"/>
      <c r="GZ2247" s="73"/>
      <c r="HA2247" s="73"/>
      <c r="HB2247" s="73"/>
      <c r="HC2247" s="73"/>
      <c r="HD2247" s="73"/>
      <c r="HE2247" s="73"/>
      <c r="HF2247" s="73"/>
      <c r="HG2247" s="73"/>
      <c r="HH2247" s="73"/>
      <c r="HI2247" s="73"/>
      <c r="HJ2247" s="73"/>
      <c r="HK2247" s="73"/>
      <c r="HL2247" s="73"/>
      <c r="HM2247" s="73"/>
      <c r="HN2247" s="73"/>
      <c r="HO2247" s="73"/>
      <c r="HP2247" s="73"/>
      <c r="HQ2247" s="73"/>
      <c r="HR2247" s="73"/>
      <c r="HS2247" s="73"/>
      <c r="HT2247" s="73"/>
      <c r="HU2247" s="73"/>
      <c r="HV2247" s="73"/>
      <c r="HW2247" s="73"/>
      <c r="HX2247" s="73"/>
      <c r="HY2247" s="73"/>
      <c r="HZ2247" s="73"/>
      <c r="IA2247" s="73"/>
      <c r="IB2247" s="73"/>
      <c r="IC2247" s="73"/>
      <c r="ID2247" s="73"/>
      <c r="IE2247" s="73"/>
      <c r="IF2247" s="73"/>
      <c r="IG2247" s="73"/>
      <c r="IH2247" s="73"/>
      <c r="II2247" s="73"/>
      <c r="IJ2247" s="73"/>
      <c r="IK2247" s="73"/>
      <c r="IL2247" s="73"/>
      <c r="IM2247" s="73"/>
      <c r="IN2247" s="73"/>
      <c r="IO2247" s="73"/>
      <c r="IP2247" s="73"/>
      <c r="IQ2247" s="73"/>
      <c r="IR2247" s="73"/>
      <c r="IS2247" s="73"/>
      <c r="IT2247" s="73"/>
      <c r="IU2247" s="73"/>
      <c r="IV2247" s="73"/>
      <c r="IW2247" s="73"/>
      <c r="IX2247" s="73"/>
      <c r="IY2247" s="73"/>
      <c r="IZ2247" s="73"/>
      <c r="JA2247" s="73"/>
      <c r="JB2247" s="73"/>
      <c r="JC2247" s="73"/>
    </row>
    <row r="2248" spans="2:263" s="72" customFormat="1">
      <c r="B2248" s="73"/>
      <c r="C2248" s="73"/>
      <c r="D2248" s="73"/>
      <c r="E2248" s="73"/>
      <c r="F2248" s="73"/>
      <c r="G2248" s="73"/>
      <c r="H2248" s="73"/>
      <c r="I2248" s="73"/>
      <c r="J2248" s="73"/>
      <c r="K2248" s="73"/>
      <c r="L2248" s="73"/>
      <c r="M2248" s="73"/>
      <c r="N2248" s="73"/>
      <c r="O2248" s="73"/>
      <c r="P2248" s="73"/>
      <c r="Q2248" s="73"/>
      <c r="R2248" s="73"/>
      <c r="S2248" s="73"/>
      <c r="T2248" s="73"/>
      <c r="U2248" s="73"/>
      <c r="V2248" s="73"/>
      <c r="W2248" s="73"/>
      <c r="GL2248" s="73"/>
      <c r="GM2248" s="73"/>
      <c r="GN2248" s="73"/>
      <c r="GO2248" s="73"/>
      <c r="GP2248" s="73"/>
      <c r="GQ2248" s="73"/>
      <c r="GR2248" s="73"/>
      <c r="GS2248" s="73"/>
      <c r="GT2248" s="73"/>
      <c r="GU2248" s="73"/>
      <c r="GV2248" s="73"/>
      <c r="GW2248" s="73"/>
      <c r="GX2248" s="73"/>
      <c r="GY2248" s="73"/>
      <c r="GZ2248" s="73"/>
      <c r="HA2248" s="73"/>
      <c r="HB2248" s="73"/>
      <c r="HC2248" s="73"/>
      <c r="HD2248" s="73"/>
      <c r="HE2248" s="73"/>
      <c r="HF2248" s="73"/>
      <c r="HG2248" s="73"/>
      <c r="HH2248" s="73"/>
      <c r="HI2248" s="73"/>
      <c r="HJ2248" s="73"/>
      <c r="HK2248" s="73"/>
      <c r="HL2248" s="73"/>
      <c r="HM2248" s="73"/>
      <c r="HN2248" s="73"/>
      <c r="HO2248" s="73"/>
      <c r="HP2248" s="73"/>
      <c r="HQ2248" s="73"/>
      <c r="HR2248" s="73"/>
      <c r="HS2248" s="73"/>
      <c r="HT2248" s="73"/>
      <c r="HU2248" s="73"/>
      <c r="HV2248" s="73"/>
      <c r="HW2248" s="73"/>
      <c r="HX2248" s="73"/>
      <c r="HY2248" s="73"/>
      <c r="HZ2248" s="73"/>
      <c r="IA2248" s="73"/>
      <c r="IB2248" s="73"/>
      <c r="IC2248" s="73"/>
      <c r="ID2248" s="73"/>
      <c r="IE2248" s="73"/>
      <c r="IF2248" s="73"/>
      <c r="IG2248" s="73"/>
      <c r="IH2248" s="73"/>
      <c r="II2248" s="73"/>
      <c r="IJ2248" s="73"/>
      <c r="IK2248" s="73"/>
      <c r="IL2248" s="73"/>
      <c r="IM2248" s="73"/>
      <c r="IN2248" s="73"/>
      <c r="IO2248" s="73"/>
      <c r="IP2248" s="73"/>
      <c r="IQ2248" s="73"/>
      <c r="IR2248" s="73"/>
      <c r="IS2248" s="73"/>
      <c r="IT2248" s="73"/>
      <c r="IU2248" s="73"/>
      <c r="IV2248" s="73"/>
      <c r="IW2248" s="73"/>
      <c r="IX2248" s="73"/>
      <c r="IY2248" s="73"/>
      <c r="IZ2248" s="73"/>
      <c r="JA2248" s="73"/>
      <c r="JB2248" s="73"/>
      <c r="JC2248" s="73"/>
    </row>
    <row r="2249" spans="2:263" s="72" customFormat="1">
      <c r="B2249" s="73"/>
      <c r="C2249" s="73"/>
      <c r="D2249" s="73"/>
      <c r="E2249" s="73"/>
      <c r="F2249" s="73"/>
      <c r="G2249" s="73"/>
      <c r="H2249" s="73"/>
      <c r="I2249" s="73"/>
      <c r="J2249" s="73"/>
      <c r="K2249" s="73"/>
      <c r="L2249" s="73"/>
      <c r="M2249" s="73"/>
      <c r="N2249" s="73"/>
      <c r="O2249" s="73"/>
      <c r="P2249" s="73"/>
      <c r="Q2249" s="73"/>
      <c r="R2249" s="73"/>
      <c r="S2249" s="73"/>
      <c r="T2249" s="73"/>
      <c r="U2249" s="73"/>
      <c r="V2249" s="73"/>
      <c r="W2249" s="73"/>
      <c r="GL2249" s="73"/>
      <c r="GM2249" s="73"/>
      <c r="GN2249" s="73"/>
      <c r="GO2249" s="73"/>
      <c r="GP2249" s="73"/>
      <c r="GQ2249" s="73"/>
      <c r="GR2249" s="73"/>
      <c r="GS2249" s="73"/>
      <c r="GT2249" s="73"/>
      <c r="GU2249" s="73"/>
      <c r="GV2249" s="73"/>
      <c r="GW2249" s="73"/>
      <c r="GX2249" s="73"/>
      <c r="GY2249" s="73"/>
      <c r="GZ2249" s="73"/>
      <c r="HA2249" s="73"/>
      <c r="HB2249" s="73"/>
      <c r="HC2249" s="73"/>
      <c r="HD2249" s="73"/>
      <c r="HE2249" s="73"/>
      <c r="HF2249" s="73"/>
      <c r="HG2249" s="73"/>
      <c r="HH2249" s="73"/>
      <c r="HI2249" s="73"/>
      <c r="HJ2249" s="73"/>
      <c r="HK2249" s="73"/>
      <c r="HL2249" s="73"/>
      <c r="HM2249" s="73"/>
      <c r="HN2249" s="73"/>
      <c r="HO2249" s="73"/>
      <c r="HP2249" s="73"/>
      <c r="HQ2249" s="73"/>
      <c r="HR2249" s="73"/>
      <c r="HS2249" s="73"/>
      <c r="HT2249" s="73"/>
      <c r="HU2249" s="73"/>
      <c r="HV2249" s="73"/>
      <c r="HW2249" s="73"/>
      <c r="HX2249" s="73"/>
      <c r="HY2249" s="73"/>
      <c r="HZ2249" s="73"/>
      <c r="IA2249" s="73"/>
      <c r="IB2249" s="73"/>
      <c r="IC2249" s="73"/>
      <c r="ID2249" s="73"/>
      <c r="IE2249" s="73"/>
      <c r="IF2249" s="73"/>
      <c r="IG2249" s="73"/>
      <c r="IH2249" s="73"/>
      <c r="II2249" s="73"/>
      <c r="IJ2249" s="73"/>
      <c r="IK2249" s="73"/>
      <c r="IL2249" s="73"/>
      <c r="IM2249" s="73"/>
      <c r="IN2249" s="73"/>
      <c r="IO2249" s="73"/>
      <c r="IP2249" s="73"/>
      <c r="IQ2249" s="73"/>
      <c r="IR2249" s="73"/>
      <c r="IS2249" s="73"/>
      <c r="IT2249" s="73"/>
      <c r="IU2249" s="73"/>
      <c r="IV2249" s="73"/>
      <c r="IW2249" s="73"/>
      <c r="IX2249" s="73"/>
      <c r="IY2249" s="73"/>
      <c r="IZ2249" s="73"/>
      <c r="JA2249" s="73"/>
      <c r="JB2249" s="73"/>
      <c r="JC2249" s="73"/>
    </row>
    <row r="2250" spans="2:263" s="72" customFormat="1">
      <c r="B2250" s="73"/>
      <c r="C2250" s="73"/>
      <c r="D2250" s="73"/>
      <c r="E2250" s="73"/>
      <c r="F2250" s="73"/>
      <c r="G2250" s="73"/>
      <c r="H2250" s="73"/>
      <c r="I2250" s="73"/>
      <c r="J2250" s="73"/>
      <c r="K2250" s="73"/>
      <c r="L2250" s="73"/>
      <c r="M2250" s="73"/>
      <c r="N2250" s="73"/>
      <c r="O2250" s="73"/>
      <c r="P2250" s="73"/>
      <c r="Q2250" s="73"/>
      <c r="R2250" s="73"/>
      <c r="S2250" s="73"/>
      <c r="T2250" s="73"/>
      <c r="U2250" s="73"/>
      <c r="V2250" s="73"/>
      <c r="W2250" s="73"/>
      <c r="GL2250" s="73"/>
      <c r="GM2250" s="73"/>
      <c r="GN2250" s="73"/>
      <c r="GO2250" s="73"/>
      <c r="GP2250" s="73"/>
      <c r="GQ2250" s="73"/>
      <c r="GR2250" s="73"/>
      <c r="GS2250" s="73"/>
      <c r="GT2250" s="73"/>
      <c r="GU2250" s="73"/>
      <c r="GV2250" s="73"/>
      <c r="GW2250" s="73"/>
      <c r="GX2250" s="73"/>
      <c r="GY2250" s="73"/>
      <c r="GZ2250" s="73"/>
      <c r="HA2250" s="73"/>
      <c r="HB2250" s="73"/>
      <c r="HC2250" s="73"/>
      <c r="HD2250" s="73"/>
      <c r="HE2250" s="73"/>
      <c r="HF2250" s="73"/>
      <c r="HG2250" s="73"/>
      <c r="HH2250" s="73"/>
      <c r="HI2250" s="73"/>
      <c r="HJ2250" s="73"/>
      <c r="HK2250" s="73"/>
      <c r="HL2250" s="73"/>
      <c r="HM2250" s="73"/>
      <c r="HN2250" s="73"/>
      <c r="HO2250" s="73"/>
      <c r="HP2250" s="73"/>
      <c r="HQ2250" s="73"/>
      <c r="HR2250" s="73"/>
      <c r="HS2250" s="73"/>
      <c r="HT2250" s="73"/>
      <c r="HU2250" s="73"/>
      <c r="HV2250" s="73"/>
      <c r="HW2250" s="73"/>
      <c r="HX2250" s="73"/>
      <c r="HY2250" s="73"/>
      <c r="HZ2250" s="73"/>
      <c r="IA2250" s="73"/>
      <c r="IB2250" s="73"/>
      <c r="IC2250" s="73"/>
      <c r="ID2250" s="73"/>
      <c r="IE2250" s="73"/>
      <c r="IF2250" s="73"/>
      <c r="IG2250" s="73"/>
      <c r="IH2250" s="73"/>
      <c r="II2250" s="73"/>
      <c r="IJ2250" s="73"/>
      <c r="IK2250" s="73"/>
      <c r="IL2250" s="73"/>
      <c r="IM2250" s="73"/>
      <c r="IN2250" s="73"/>
      <c r="IO2250" s="73"/>
      <c r="IP2250" s="73"/>
      <c r="IQ2250" s="73"/>
      <c r="IR2250" s="73"/>
      <c r="IS2250" s="73"/>
      <c r="IT2250" s="73"/>
      <c r="IU2250" s="73"/>
      <c r="IV2250" s="73"/>
      <c r="IW2250" s="73"/>
      <c r="IX2250" s="73"/>
      <c r="IY2250" s="73"/>
      <c r="IZ2250" s="73"/>
      <c r="JA2250" s="73"/>
      <c r="JB2250" s="73"/>
      <c r="JC2250" s="73"/>
    </row>
    <row r="2251" spans="2:263" s="72" customFormat="1">
      <c r="B2251" s="73"/>
      <c r="C2251" s="73"/>
      <c r="D2251" s="73"/>
      <c r="E2251" s="73"/>
      <c r="F2251" s="73"/>
      <c r="G2251" s="73"/>
      <c r="H2251" s="73"/>
      <c r="I2251" s="73"/>
      <c r="J2251" s="73"/>
      <c r="K2251" s="73"/>
      <c r="L2251" s="73"/>
      <c r="M2251" s="73"/>
      <c r="N2251" s="73"/>
      <c r="O2251" s="73"/>
      <c r="P2251" s="73"/>
      <c r="Q2251" s="73"/>
      <c r="R2251" s="73"/>
      <c r="S2251" s="73"/>
      <c r="T2251" s="73"/>
      <c r="U2251" s="73"/>
      <c r="V2251" s="73"/>
      <c r="W2251" s="73"/>
      <c r="GL2251" s="73"/>
      <c r="GM2251" s="73"/>
      <c r="GN2251" s="73"/>
      <c r="GO2251" s="73"/>
      <c r="GP2251" s="73"/>
      <c r="GQ2251" s="73"/>
      <c r="GR2251" s="73"/>
      <c r="GS2251" s="73"/>
      <c r="GT2251" s="73"/>
      <c r="GU2251" s="73"/>
      <c r="GV2251" s="73"/>
      <c r="GW2251" s="73"/>
      <c r="GX2251" s="73"/>
      <c r="GY2251" s="73"/>
      <c r="GZ2251" s="73"/>
      <c r="HA2251" s="73"/>
      <c r="HB2251" s="73"/>
      <c r="HC2251" s="73"/>
      <c r="HD2251" s="73"/>
      <c r="HE2251" s="73"/>
      <c r="HF2251" s="73"/>
      <c r="HG2251" s="73"/>
      <c r="HH2251" s="73"/>
      <c r="HI2251" s="73"/>
      <c r="HJ2251" s="73"/>
      <c r="HK2251" s="73"/>
      <c r="HL2251" s="73"/>
      <c r="HM2251" s="73"/>
      <c r="HN2251" s="73"/>
      <c r="HO2251" s="73"/>
      <c r="HP2251" s="73"/>
      <c r="HQ2251" s="73"/>
      <c r="HR2251" s="73"/>
      <c r="HS2251" s="73"/>
      <c r="HT2251" s="73"/>
      <c r="HU2251" s="73"/>
      <c r="HV2251" s="73"/>
      <c r="HW2251" s="73"/>
      <c r="HX2251" s="73"/>
      <c r="HY2251" s="73"/>
      <c r="HZ2251" s="73"/>
      <c r="IA2251" s="73"/>
      <c r="IB2251" s="73"/>
      <c r="IC2251" s="73"/>
      <c r="ID2251" s="73"/>
      <c r="IE2251" s="73"/>
      <c r="IF2251" s="73"/>
      <c r="IG2251" s="73"/>
      <c r="IH2251" s="73"/>
      <c r="II2251" s="73"/>
      <c r="IJ2251" s="73"/>
      <c r="IK2251" s="73"/>
      <c r="IL2251" s="73"/>
      <c r="IM2251" s="73"/>
      <c r="IN2251" s="73"/>
      <c r="IO2251" s="73"/>
      <c r="IP2251" s="73"/>
      <c r="IQ2251" s="73"/>
      <c r="IR2251" s="73"/>
      <c r="IS2251" s="73"/>
      <c r="IT2251" s="73"/>
      <c r="IU2251" s="73"/>
      <c r="IV2251" s="73"/>
      <c r="IW2251" s="73"/>
      <c r="IX2251" s="73"/>
      <c r="IY2251" s="73"/>
      <c r="IZ2251" s="73"/>
      <c r="JA2251" s="73"/>
      <c r="JB2251" s="73"/>
      <c r="JC2251" s="73"/>
    </row>
    <row r="2252" spans="2:263" s="72" customFormat="1">
      <c r="B2252" s="73"/>
      <c r="C2252" s="73"/>
      <c r="D2252" s="73"/>
      <c r="E2252" s="73"/>
      <c r="F2252" s="73"/>
      <c r="G2252" s="73"/>
      <c r="H2252" s="73"/>
      <c r="I2252" s="73"/>
      <c r="J2252" s="73"/>
      <c r="K2252" s="73"/>
      <c r="L2252" s="73"/>
      <c r="M2252" s="73"/>
      <c r="N2252" s="73"/>
      <c r="O2252" s="73"/>
      <c r="P2252" s="73"/>
      <c r="Q2252" s="73"/>
      <c r="R2252" s="73"/>
      <c r="S2252" s="73"/>
      <c r="T2252" s="73"/>
      <c r="U2252" s="73"/>
      <c r="V2252" s="73"/>
      <c r="W2252" s="73"/>
      <c r="GL2252" s="73"/>
      <c r="GM2252" s="73"/>
      <c r="GN2252" s="73"/>
      <c r="GO2252" s="73"/>
      <c r="GP2252" s="73"/>
      <c r="GQ2252" s="73"/>
      <c r="GR2252" s="73"/>
      <c r="GS2252" s="73"/>
      <c r="GT2252" s="73"/>
      <c r="GU2252" s="73"/>
      <c r="GV2252" s="73"/>
      <c r="GW2252" s="73"/>
      <c r="GX2252" s="73"/>
      <c r="GY2252" s="73"/>
      <c r="GZ2252" s="73"/>
      <c r="HA2252" s="73"/>
      <c r="HB2252" s="73"/>
      <c r="HC2252" s="73"/>
      <c r="HD2252" s="73"/>
      <c r="HE2252" s="73"/>
      <c r="HF2252" s="73"/>
      <c r="HG2252" s="73"/>
      <c r="HH2252" s="73"/>
      <c r="HI2252" s="73"/>
      <c r="HJ2252" s="73"/>
      <c r="HK2252" s="73"/>
      <c r="HL2252" s="73"/>
      <c r="HM2252" s="73"/>
      <c r="HN2252" s="73"/>
      <c r="HO2252" s="73"/>
      <c r="HP2252" s="73"/>
      <c r="HQ2252" s="73"/>
      <c r="HR2252" s="73"/>
      <c r="HS2252" s="73"/>
      <c r="HT2252" s="73"/>
      <c r="HU2252" s="73"/>
      <c r="HV2252" s="73"/>
      <c r="HW2252" s="73"/>
      <c r="HX2252" s="73"/>
      <c r="HY2252" s="73"/>
      <c r="HZ2252" s="73"/>
      <c r="IA2252" s="73"/>
      <c r="IB2252" s="73"/>
      <c r="IC2252" s="73"/>
      <c r="ID2252" s="73"/>
      <c r="IE2252" s="73"/>
      <c r="IF2252" s="73"/>
      <c r="IG2252" s="73"/>
      <c r="IH2252" s="73"/>
      <c r="II2252" s="73"/>
      <c r="IJ2252" s="73"/>
      <c r="IK2252" s="73"/>
      <c r="IL2252" s="73"/>
      <c r="IM2252" s="73"/>
      <c r="IN2252" s="73"/>
      <c r="IO2252" s="73"/>
      <c r="IP2252" s="73"/>
      <c r="IQ2252" s="73"/>
      <c r="IR2252" s="73"/>
      <c r="IS2252" s="73"/>
      <c r="IT2252" s="73"/>
      <c r="IU2252" s="73"/>
      <c r="IV2252" s="73"/>
      <c r="IW2252" s="73"/>
      <c r="IX2252" s="73"/>
      <c r="IY2252" s="73"/>
      <c r="IZ2252" s="73"/>
      <c r="JA2252" s="73"/>
      <c r="JB2252" s="73"/>
      <c r="JC2252" s="73"/>
    </row>
    <row r="2253" spans="2:263" s="72" customFormat="1">
      <c r="B2253" s="73"/>
      <c r="C2253" s="73"/>
      <c r="D2253" s="73"/>
      <c r="E2253" s="73"/>
      <c r="F2253" s="73"/>
      <c r="G2253" s="73"/>
      <c r="H2253" s="73"/>
      <c r="I2253" s="73"/>
      <c r="J2253" s="73"/>
      <c r="K2253" s="73"/>
      <c r="L2253" s="73"/>
      <c r="M2253" s="73"/>
      <c r="N2253" s="73"/>
      <c r="O2253" s="73"/>
      <c r="P2253" s="73"/>
      <c r="Q2253" s="73"/>
      <c r="R2253" s="73"/>
      <c r="S2253" s="73"/>
      <c r="T2253" s="73"/>
      <c r="U2253" s="73"/>
      <c r="V2253" s="73"/>
      <c r="W2253" s="73"/>
      <c r="GL2253" s="73"/>
      <c r="GM2253" s="73"/>
      <c r="GN2253" s="73"/>
      <c r="GO2253" s="73"/>
      <c r="GP2253" s="73"/>
      <c r="GQ2253" s="73"/>
      <c r="GR2253" s="73"/>
      <c r="GS2253" s="73"/>
      <c r="GT2253" s="73"/>
      <c r="GU2253" s="73"/>
      <c r="GV2253" s="73"/>
      <c r="GW2253" s="73"/>
      <c r="GX2253" s="73"/>
      <c r="GY2253" s="73"/>
      <c r="GZ2253" s="73"/>
      <c r="HA2253" s="73"/>
      <c r="HB2253" s="73"/>
      <c r="HC2253" s="73"/>
      <c r="HD2253" s="73"/>
      <c r="HE2253" s="73"/>
      <c r="HF2253" s="73"/>
      <c r="HG2253" s="73"/>
      <c r="HH2253" s="73"/>
      <c r="HI2253" s="73"/>
      <c r="HJ2253" s="73"/>
      <c r="HK2253" s="73"/>
      <c r="HL2253" s="73"/>
      <c r="HM2253" s="73"/>
      <c r="HN2253" s="73"/>
      <c r="HO2253" s="73"/>
      <c r="HP2253" s="73"/>
      <c r="HQ2253" s="73"/>
      <c r="HR2253" s="73"/>
      <c r="HS2253" s="73"/>
      <c r="HT2253" s="73"/>
      <c r="HU2253" s="73"/>
      <c r="HV2253" s="73"/>
      <c r="HW2253" s="73"/>
      <c r="HX2253" s="73"/>
      <c r="HY2253" s="73"/>
      <c r="HZ2253" s="73"/>
      <c r="IA2253" s="73"/>
      <c r="IB2253" s="73"/>
      <c r="IC2253" s="73"/>
      <c r="ID2253" s="73"/>
      <c r="IE2253" s="73"/>
      <c r="IF2253" s="73"/>
      <c r="IG2253" s="73"/>
      <c r="IH2253" s="73"/>
      <c r="II2253" s="73"/>
      <c r="IJ2253" s="73"/>
      <c r="IK2253" s="73"/>
      <c r="IL2253" s="73"/>
      <c r="IM2253" s="73"/>
      <c r="IN2253" s="73"/>
      <c r="IO2253" s="73"/>
      <c r="IP2253" s="73"/>
      <c r="IQ2253" s="73"/>
      <c r="IR2253" s="73"/>
      <c r="IS2253" s="73"/>
      <c r="IT2253" s="73"/>
      <c r="IU2253" s="73"/>
      <c r="IV2253" s="73"/>
      <c r="IW2253" s="73"/>
      <c r="IX2253" s="73"/>
      <c r="IY2253" s="73"/>
      <c r="IZ2253" s="73"/>
      <c r="JA2253" s="73"/>
      <c r="JB2253" s="73"/>
      <c r="JC2253" s="73"/>
    </row>
    <row r="2254" spans="2:263" s="72" customFormat="1">
      <c r="B2254" s="73"/>
      <c r="C2254" s="73"/>
      <c r="D2254" s="73"/>
      <c r="E2254" s="73"/>
      <c r="F2254" s="73"/>
      <c r="G2254" s="73"/>
      <c r="H2254" s="73"/>
      <c r="I2254" s="73"/>
      <c r="J2254" s="73"/>
      <c r="K2254" s="73"/>
      <c r="L2254" s="73"/>
      <c r="M2254" s="73"/>
      <c r="N2254" s="73"/>
      <c r="O2254" s="73"/>
      <c r="P2254" s="73"/>
      <c r="Q2254" s="73"/>
      <c r="R2254" s="73"/>
      <c r="S2254" s="73"/>
      <c r="T2254" s="73"/>
      <c r="U2254" s="73"/>
      <c r="V2254" s="73"/>
      <c r="W2254" s="73"/>
      <c r="GL2254" s="73"/>
      <c r="GM2254" s="73"/>
      <c r="GN2254" s="73"/>
      <c r="GO2254" s="73"/>
      <c r="GP2254" s="73"/>
      <c r="GQ2254" s="73"/>
      <c r="GR2254" s="73"/>
      <c r="GS2254" s="73"/>
      <c r="GT2254" s="73"/>
      <c r="GU2254" s="73"/>
      <c r="GV2254" s="73"/>
      <c r="GW2254" s="73"/>
      <c r="GX2254" s="73"/>
      <c r="GY2254" s="73"/>
      <c r="GZ2254" s="73"/>
      <c r="HA2254" s="73"/>
      <c r="HB2254" s="73"/>
      <c r="HC2254" s="73"/>
      <c r="HD2254" s="73"/>
      <c r="HE2254" s="73"/>
      <c r="HF2254" s="73"/>
      <c r="HG2254" s="73"/>
      <c r="HH2254" s="73"/>
      <c r="HI2254" s="73"/>
      <c r="HJ2254" s="73"/>
      <c r="HK2254" s="73"/>
      <c r="HL2254" s="73"/>
      <c r="HM2254" s="73"/>
      <c r="HN2254" s="73"/>
      <c r="HO2254" s="73"/>
      <c r="HP2254" s="73"/>
      <c r="HQ2254" s="73"/>
      <c r="HR2254" s="73"/>
      <c r="HS2254" s="73"/>
      <c r="HT2254" s="73"/>
      <c r="HU2254" s="73"/>
      <c r="HV2254" s="73"/>
      <c r="HW2254" s="73"/>
      <c r="HX2254" s="73"/>
      <c r="HY2254" s="73"/>
      <c r="HZ2254" s="73"/>
      <c r="IA2254" s="73"/>
      <c r="IB2254" s="73"/>
      <c r="IC2254" s="73"/>
      <c r="ID2254" s="73"/>
      <c r="IE2254" s="73"/>
      <c r="IF2254" s="73"/>
      <c r="IG2254" s="73"/>
      <c r="IH2254" s="73"/>
      <c r="II2254" s="73"/>
      <c r="IJ2254" s="73"/>
      <c r="IK2254" s="73"/>
      <c r="IL2254" s="73"/>
      <c r="IM2254" s="73"/>
      <c r="IN2254" s="73"/>
      <c r="IO2254" s="73"/>
      <c r="IP2254" s="73"/>
      <c r="IQ2254" s="73"/>
      <c r="IR2254" s="73"/>
      <c r="IS2254" s="73"/>
      <c r="IT2254" s="73"/>
      <c r="IU2254" s="73"/>
      <c r="IV2254" s="73"/>
      <c r="IW2254" s="73"/>
      <c r="IX2254" s="73"/>
      <c r="IY2254" s="73"/>
      <c r="IZ2254" s="73"/>
      <c r="JA2254" s="73"/>
      <c r="JB2254" s="73"/>
      <c r="JC2254" s="73"/>
    </row>
    <row r="2255" spans="2:263" s="72" customFormat="1">
      <c r="B2255" s="73"/>
      <c r="C2255" s="73"/>
      <c r="D2255" s="73"/>
      <c r="E2255" s="73"/>
      <c r="F2255" s="73"/>
      <c r="G2255" s="73"/>
      <c r="H2255" s="73"/>
      <c r="I2255" s="73"/>
      <c r="J2255" s="73"/>
      <c r="K2255" s="73"/>
      <c r="L2255" s="73"/>
      <c r="M2255" s="73"/>
      <c r="N2255" s="73"/>
      <c r="O2255" s="73"/>
      <c r="P2255" s="73"/>
      <c r="Q2255" s="73"/>
      <c r="R2255" s="73"/>
      <c r="S2255" s="73"/>
      <c r="T2255" s="73"/>
      <c r="U2255" s="73"/>
      <c r="V2255" s="73"/>
      <c r="W2255" s="73"/>
      <c r="GL2255" s="73"/>
      <c r="GM2255" s="73"/>
      <c r="GN2255" s="73"/>
      <c r="GO2255" s="73"/>
      <c r="GP2255" s="73"/>
      <c r="GQ2255" s="73"/>
      <c r="GR2255" s="73"/>
      <c r="GS2255" s="73"/>
      <c r="GT2255" s="73"/>
      <c r="GU2255" s="73"/>
      <c r="GV2255" s="73"/>
      <c r="GW2255" s="73"/>
      <c r="GX2255" s="73"/>
      <c r="GY2255" s="73"/>
      <c r="GZ2255" s="73"/>
      <c r="HA2255" s="73"/>
      <c r="HB2255" s="73"/>
      <c r="HC2255" s="73"/>
      <c r="HD2255" s="73"/>
      <c r="HE2255" s="73"/>
      <c r="HF2255" s="73"/>
      <c r="HG2255" s="73"/>
      <c r="HH2255" s="73"/>
      <c r="HI2255" s="73"/>
      <c r="HJ2255" s="73"/>
      <c r="HK2255" s="73"/>
      <c r="HL2255" s="73"/>
      <c r="HM2255" s="73"/>
      <c r="HN2255" s="73"/>
      <c r="HO2255" s="73"/>
      <c r="HP2255" s="73"/>
      <c r="HQ2255" s="73"/>
      <c r="HR2255" s="73"/>
      <c r="HS2255" s="73"/>
      <c r="HT2255" s="73"/>
      <c r="HU2255" s="73"/>
      <c r="HV2255" s="73"/>
      <c r="HW2255" s="73"/>
      <c r="HX2255" s="73"/>
      <c r="HY2255" s="73"/>
      <c r="HZ2255" s="73"/>
      <c r="IA2255" s="73"/>
      <c r="IB2255" s="73"/>
      <c r="IC2255" s="73"/>
      <c r="ID2255" s="73"/>
      <c r="IE2255" s="73"/>
      <c r="IF2255" s="73"/>
      <c r="IG2255" s="73"/>
      <c r="IH2255" s="73"/>
      <c r="II2255" s="73"/>
      <c r="IJ2255" s="73"/>
      <c r="IK2255" s="73"/>
      <c r="IL2255" s="73"/>
      <c r="IM2255" s="73"/>
      <c r="IN2255" s="73"/>
      <c r="IO2255" s="73"/>
      <c r="IP2255" s="73"/>
      <c r="IQ2255" s="73"/>
      <c r="IR2255" s="73"/>
      <c r="IS2255" s="73"/>
      <c r="IT2255" s="73"/>
      <c r="IU2255" s="73"/>
      <c r="IV2255" s="73"/>
      <c r="IW2255" s="73"/>
      <c r="IX2255" s="73"/>
      <c r="IY2255" s="73"/>
      <c r="IZ2255" s="73"/>
      <c r="JA2255" s="73"/>
      <c r="JB2255" s="73"/>
      <c r="JC2255" s="73"/>
    </row>
    <row r="2256" spans="2:263" s="72" customFormat="1">
      <c r="B2256" s="73"/>
      <c r="C2256" s="73"/>
      <c r="D2256" s="73"/>
      <c r="E2256" s="73"/>
      <c r="F2256" s="73"/>
      <c r="G2256" s="73"/>
      <c r="H2256" s="73"/>
      <c r="I2256" s="73"/>
      <c r="J2256" s="73"/>
      <c r="K2256" s="73"/>
      <c r="L2256" s="73"/>
      <c r="M2256" s="73"/>
      <c r="N2256" s="73"/>
      <c r="O2256" s="73"/>
      <c r="P2256" s="73"/>
      <c r="Q2256" s="73"/>
      <c r="R2256" s="73"/>
      <c r="S2256" s="73"/>
      <c r="T2256" s="73"/>
      <c r="U2256" s="73"/>
      <c r="V2256" s="73"/>
      <c r="W2256" s="73"/>
      <c r="GL2256" s="73"/>
      <c r="GM2256" s="73"/>
      <c r="GN2256" s="73"/>
      <c r="GO2256" s="73"/>
      <c r="GP2256" s="73"/>
      <c r="GQ2256" s="73"/>
      <c r="GR2256" s="73"/>
      <c r="GS2256" s="73"/>
      <c r="GT2256" s="73"/>
      <c r="GU2256" s="73"/>
      <c r="GV2256" s="73"/>
      <c r="GW2256" s="73"/>
      <c r="GX2256" s="73"/>
      <c r="GY2256" s="73"/>
      <c r="GZ2256" s="73"/>
      <c r="HA2256" s="73"/>
      <c r="HB2256" s="73"/>
      <c r="HC2256" s="73"/>
      <c r="HD2256" s="73"/>
      <c r="HE2256" s="73"/>
      <c r="HF2256" s="73"/>
      <c r="HG2256" s="73"/>
      <c r="HH2256" s="73"/>
      <c r="HI2256" s="73"/>
      <c r="HJ2256" s="73"/>
      <c r="HK2256" s="73"/>
      <c r="HL2256" s="73"/>
      <c r="HM2256" s="73"/>
      <c r="HN2256" s="73"/>
      <c r="HO2256" s="73"/>
      <c r="HP2256" s="73"/>
      <c r="HQ2256" s="73"/>
      <c r="HR2256" s="73"/>
      <c r="HS2256" s="73"/>
      <c r="HT2256" s="73"/>
      <c r="HU2256" s="73"/>
      <c r="HV2256" s="73"/>
      <c r="HW2256" s="73"/>
      <c r="HX2256" s="73"/>
      <c r="HY2256" s="73"/>
      <c r="HZ2256" s="73"/>
      <c r="IA2256" s="73"/>
      <c r="IB2256" s="73"/>
      <c r="IC2256" s="73"/>
      <c r="ID2256" s="73"/>
      <c r="IE2256" s="73"/>
      <c r="IF2256" s="73"/>
      <c r="IG2256" s="73"/>
      <c r="IH2256" s="73"/>
      <c r="II2256" s="73"/>
      <c r="IJ2256" s="73"/>
      <c r="IK2256" s="73"/>
      <c r="IL2256" s="73"/>
      <c r="IM2256" s="73"/>
      <c r="IN2256" s="73"/>
      <c r="IO2256" s="73"/>
      <c r="IP2256" s="73"/>
      <c r="IQ2256" s="73"/>
      <c r="IR2256" s="73"/>
      <c r="IS2256" s="73"/>
      <c r="IT2256" s="73"/>
      <c r="IU2256" s="73"/>
      <c r="IV2256" s="73"/>
      <c r="IW2256" s="73"/>
      <c r="IX2256" s="73"/>
      <c r="IY2256" s="73"/>
      <c r="IZ2256" s="73"/>
      <c r="JA2256" s="73"/>
      <c r="JB2256" s="73"/>
      <c r="JC2256" s="73"/>
    </row>
    <row r="2257" spans="2:263" s="72" customFormat="1">
      <c r="B2257" s="73"/>
      <c r="C2257" s="73"/>
      <c r="D2257" s="73"/>
      <c r="E2257" s="73"/>
      <c r="F2257" s="73"/>
      <c r="G2257" s="73"/>
      <c r="H2257" s="73"/>
      <c r="I2257" s="73"/>
      <c r="J2257" s="73"/>
      <c r="K2257" s="73"/>
      <c r="L2257" s="73"/>
      <c r="M2257" s="73"/>
      <c r="N2257" s="73"/>
      <c r="O2257" s="73"/>
      <c r="P2257" s="73"/>
      <c r="Q2257" s="73"/>
      <c r="R2257" s="73"/>
      <c r="S2257" s="73"/>
      <c r="T2257" s="73"/>
      <c r="U2257" s="73"/>
      <c r="V2257" s="73"/>
      <c r="W2257" s="73"/>
      <c r="GL2257" s="73"/>
      <c r="GM2257" s="73"/>
      <c r="GN2257" s="73"/>
      <c r="GO2257" s="73"/>
      <c r="GP2257" s="73"/>
      <c r="GQ2257" s="73"/>
      <c r="GR2257" s="73"/>
      <c r="GS2257" s="73"/>
      <c r="GT2257" s="73"/>
      <c r="GU2257" s="73"/>
      <c r="GV2257" s="73"/>
      <c r="GW2257" s="73"/>
      <c r="GX2257" s="73"/>
      <c r="GY2257" s="73"/>
      <c r="GZ2257" s="73"/>
      <c r="HA2257" s="73"/>
      <c r="HB2257" s="73"/>
      <c r="HC2257" s="73"/>
      <c r="HD2257" s="73"/>
      <c r="HE2257" s="73"/>
      <c r="HF2257" s="73"/>
      <c r="HG2257" s="73"/>
      <c r="HH2257" s="73"/>
      <c r="HI2257" s="73"/>
      <c r="HJ2257" s="73"/>
      <c r="HK2257" s="73"/>
      <c r="HL2257" s="73"/>
      <c r="HM2257" s="73"/>
      <c r="HN2257" s="73"/>
      <c r="HO2257" s="73"/>
      <c r="HP2257" s="73"/>
      <c r="HQ2257" s="73"/>
      <c r="HR2257" s="73"/>
      <c r="HS2257" s="73"/>
      <c r="HT2257" s="73"/>
      <c r="HU2257" s="73"/>
      <c r="HV2257" s="73"/>
      <c r="HW2257" s="73"/>
      <c r="HX2257" s="73"/>
      <c r="HY2257" s="73"/>
      <c r="HZ2257" s="73"/>
      <c r="IA2257" s="73"/>
      <c r="IB2257" s="73"/>
      <c r="IC2257" s="73"/>
      <c r="ID2257" s="73"/>
      <c r="IE2257" s="73"/>
      <c r="IF2257" s="73"/>
      <c r="IG2257" s="73"/>
      <c r="IH2257" s="73"/>
      <c r="II2257" s="73"/>
      <c r="IJ2257" s="73"/>
      <c r="IK2257" s="73"/>
      <c r="IL2257" s="73"/>
      <c r="IM2257" s="73"/>
      <c r="IN2257" s="73"/>
      <c r="IO2257" s="73"/>
      <c r="IP2257" s="73"/>
      <c r="IQ2257" s="73"/>
      <c r="IR2257" s="73"/>
      <c r="IS2257" s="73"/>
      <c r="IT2257" s="73"/>
      <c r="IU2257" s="73"/>
      <c r="IV2257" s="73"/>
      <c r="IW2257" s="73"/>
      <c r="IX2257" s="73"/>
      <c r="IY2257" s="73"/>
      <c r="IZ2257" s="73"/>
      <c r="JA2257" s="73"/>
      <c r="JB2257" s="73"/>
      <c r="JC2257" s="73"/>
    </row>
    <row r="2258" spans="2:263" s="72" customFormat="1">
      <c r="B2258" s="73"/>
      <c r="C2258" s="73"/>
      <c r="D2258" s="73"/>
      <c r="E2258" s="73"/>
      <c r="F2258" s="73"/>
      <c r="G2258" s="73"/>
      <c r="H2258" s="73"/>
      <c r="I2258" s="73"/>
      <c r="J2258" s="73"/>
      <c r="K2258" s="73"/>
      <c r="L2258" s="73"/>
      <c r="M2258" s="73"/>
      <c r="N2258" s="73"/>
      <c r="O2258" s="73"/>
      <c r="P2258" s="73"/>
      <c r="Q2258" s="73"/>
      <c r="R2258" s="73"/>
      <c r="S2258" s="73"/>
      <c r="T2258" s="73"/>
      <c r="U2258" s="73"/>
      <c r="V2258" s="73"/>
      <c r="W2258" s="73"/>
      <c r="GL2258" s="73"/>
      <c r="GM2258" s="73"/>
      <c r="GN2258" s="73"/>
      <c r="GO2258" s="73"/>
      <c r="GP2258" s="73"/>
      <c r="GQ2258" s="73"/>
      <c r="GR2258" s="73"/>
      <c r="GS2258" s="73"/>
      <c r="GT2258" s="73"/>
      <c r="GU2258" s="73"/>
      <c r="GV2258" s="73"/>
      <c r="GW2258" s="73"/>
      <c r="GX2258" s="73"/>
      <c r="GY2258" s="73"/>
      <c r="GZ2258" s="73"/>
      <c r="HA2258" s="73"/>
      <c r="HB2258" s="73"/>
      <c r="HC2258" s="73"/>
      <c r="HD2258" s="73"/>
      <c r="HE2258" s="73"/>
      <c r="HF2258" s="73"/>
      <c r="HG2258" s="73"/>
      <c r="HH2258" s="73"/>
      <c r="HI2258" s="73"/>
      <c r="HJ2258" s="73"/>
      <c r="HK2258" s="73"/>
      <c r="HL2258" s="73"/>
      <c r="HM2258" s="73"/>
      <c r="HN2258" s="73"/>
      <c r="HO2258" s="73"/>
      <c r="HP2258" s="73"/>
      <c r="HQ2258" s="73"/>
      <c r="HR2258" s="73"/>
      <c r="HS2258" s="73"/>
      <c r="HT2258" s="73"/>
      <c r="HU2258" s="73"/>
      <c r="HV2258" s="73"/>
      <c r="HW2258" s="73"/>
      <c r="HX2258" s="73"/>
      <c r="HY2258" s="73"/>
      <c r="HZ2258" s="73"/>
      <c r="IA2258" s="73"/>
      <c r="IB2258" s="73"/>
      <c r="IC2258" s="73"/>
      <c r="ID2258" s="73"/>
      <c r="IE2258" s="73"/>
      <c r="IF2258" s="73"/>
      <c r="IG2258" s="73"/>
      <c r="IH2258" s="73"/>
      <c r="II2258" s="73"/>
      <c r="IJ2258" s="73"/>
      <c r="IK2258" s="73"/>
      <c r="IL2258" s="73"/>
      <c r="IM2258" s="73"/>
      <c r="IN2258" s="73"/>
      <c r="IO2258" s="73"/>
      <c r="IP2258" s="73"/>
      <c r="IQ2258" s="73"/>
      <c r="IR2258" s="73"/>
      <c r="IS2258" s="73"/>
      <c r="IT2258" s="73"/>
      <c r="IU2258" s="73"/>
      <c r="IV2258" s="73"/>
      <c r="IW2258" s="73"/>
      <c r="IX2258" s="73"/>
      <c r="IY2258" s="73"/>
      <c r="IZ2258" s="73"/>
      <c r="JA2258" s="73"/>
      <c r="JB2258" s="73"/>
      <c r="JC2258" s="73"/>
    </row>
    <row r="2259" spans="2:263" s="72" customFormat="1">
      <c r="B2259" s="73"/>
      <c r="C2259" s="73"/>
      <c r="D2259" s="73"/>
      <c r="E2259" s="73"/>
      <c r="F2259" s="73"/>
      <c r="G2259" s="73"/>
      <c r="H2259" s="73"/>
      <c r="I2259" s="73"/>
      <c r="J2259" s="73"/>
      <c r="K2259" s="73"/>
      <c r="L2259" s="73"/>
      <c r="M2259" s="73"/>
      <c r="N2259" s="73"/>
      <c r="O2259" s="73"/>
      <c r="P2259" s="73"/>
      <c r="Q2259" s="73"/>
      <c r="R2259" s="73"/>
      <c r="S2259" s="73"/>
      <c r="T2259" s="73"/>
      <c r="U2259" s="73"/>
      <c r="V2259" s="73"/>
      <c r="W2259" s="73"/>
      <c r="GL2259" s="73"/>
      <c r="GM2259" s="73"/>
      <c r="GN2259" s="73"/>
      <c r="GO2259" s="73"/>
      <c r="GP2259" s="73"/>
      <c r="GQ2259" s="73"/>
      <c r="GR2259" s="73"/>
      <c r="GS2259" s="73"/>
      <c r="GT2259" s="73"/>
      <c r="GU2259" s="73"/>
      <c r="GV2259" s="73"/>
      <c r="GW2259" s="73"/>
      <c r="GX2259" s="73"/>
      <c r="GY2259" s="73"/>
      <c r="GZ2259" s="73"/>
      <c r="HA2259" s="73"/>
      <c r="HB2259" s="73"/>
      <c r="HC2259" s="73"/>
      <c r="HD2259" s="73"/>
      <c r="HE2259" s="73"/>
      <c r="HF2259" s="73"/>
      <c r="HG2259" s="73"/>
      <c r="HH2259" s="73"/>
      <c r="HI2259" s="73"/>
      <c r="HJ2259" s="73"/>
      <c r="HK2259" s="73"/>
      <c r="HL2259" s="73"/>
      <c r="HM2259" s="73"/>
      <c r="HN2259" s="73"/>
      <c r="HO2259" s="73"/>
      <c r="HP2259" s="73"/>
      <c r="HQ2259" s="73"/>
      <c r="HR2259" s="73"/>
      <c r="HS2259" s="73"/>
      <c r="HT2259" s="73"/>
      <c r="HU2259" s="73"/>
      <c r="HV2259" s="73"/>
      <c r="HW2259" s="73"/>
      <c r="HX2259" s="73"/>
      <c r="HY2259" s="73"/>
      <c r="HZ2259" s="73"/>
      <c r="IA2259" s="73"/>
      <c r="IB2259" s="73"/>
      <c r="IC2259" s="73"/>
      <c r="ID2259" s="73"/>
      <c r="IE2259" s="73"/>
      <c r="IF2259" s="73"/>
      <c r="IG2259" s="73"/>
      <c r="IH2259" s="73"/>
      <c r="II2259" s="73"/>
      <c r="IJ2259" s="73"/>
      <c r="IK2259" s="73"/>
      <c r="IL2259" s="73"/>
      <c r="IM2259" s="73"/>
      <c r="IN2259" s="73"/>
      <c r="IO2259" s="73"/>
      <c r="IP2259" s="73"/>
      <c r="IQ2259" s="73"/>
      <c r="IR2259" s="73"/>
      <c r="IS2259" s="73"/>
      <c r="IT2259" s="73"/>
      <c r="IU2259" s="73"/>
      <c r="IV2259" s="73"/>
      <c r="IW2259" s="73"/>
      <c r="IX2259" s="73"/>
      <c r="IY2259" s="73"/>
      <c r="IZ2259" s="73"/>
      <c r="JA2259" s="73"/>
      <c r="JB2259" s="73"/>
      <c r="JC2259" s="73"/>
    </row>
    <row r="2260" spans="2:263" s="72" customFormat="1">
      <c r="B2260" s="73"/>
      <c r="C2260" s="73"/>
      <c r="D2260" s="73"/>
      <c r="E2260" s="73"/>
      <c r="F2260" s="73"/>
      <c r="G2260" s="73"/>
      <c r="H2260" s="73"/>
      <c r="I2260" s="73"/>
      <c r="J2260" s="73"/>
      <c r="K2260" s="73"/>
      <c r="L2260" s="73"/>
      <c r="M2260" s="73"/>
      <c r="N2260" s="73"/>
      <c r="O2260" s="73"/>
      <c r="P2260" s="73"/>
      <c r="Q2260" s="73"/>
      <c r="R2260" s="73"/>
      <c r="S2260" s="73"/>
      <c r="T2260" s="73"/>
      <c r="U2260" s="73"/>
      <c r="V2260" s="73"/>
      <c r="W2260" s="73"/>
      <c r="GL2260" s="73"/>
      <c r="GM2260" s="73"/>
      <c r="GN2260" s="73"/>
      <c r="GO2260" s="73"/>
      <c r="GP2260" s="73"/>
      <c r="GQ2260" s="73"/>
      <c r="GR2260" s="73"/>
      <c r="GS2260" s="73"/>
      <c r="GT2260" s="73"/>
      <c r="GU2260" s="73"/>
      <c r="GV2260" s="73"/>
      <c r="GW2260" s="73"/>
      <c r="GX2260" s="73"/>
      <c r="GY2260" s="73"/>
      <c r="GZ2260" s="73"/>
      <c r="HA2260" s="73"/>
      <c r="HB2260" s="73"/>
      <c r="HC2260" s="73"/>
      <c r="HD2260" s="73"/>
      <c r="HE2260" s="73"/>
      <c r="HF2260" s="73"/>
      <c r="HG2260" s="73"/>
      <c r="HH2260" s="73"/>
      <c r="HI2260" s="73"/>
      <c r="HJ2260" s="73"/>
      <c r="HK2260" s="73"/>
      <c r="HL2260" s="73"/>
      <c r="HM2260" s="73"/>
      <c r="HN2260" s="73"/>
      <c r="HO2260" s="73"/>
      <c r="HP2260" s="73"/>
      <c r="HQ2260" s="73"/>
      <c r="HR2260" s="73"/>
      <c r="HS2260" s="73"/>
      <c r="HT2260" s="73"/>
      <c r="HU2260" s="73"/>
      <c r="HV2260" s="73"/>
      <c r="HW2260" s="73"/>
      <c r="HX2260" s="73"/>
      <c r="HY2260" s="73"/>
      <c r="HZ2260" s="73"/>
      <c r="IA2260" s="73"/>
      <c r="IB2260" s="73"/>
      <c r="IC2260" s="73"/>
      <c r="ID2260" s="73"/>
      <c r="IE2260" s="73"/>
      <c r="IF2260" s="73"/>
      <c r="IG2260" s="73"/>
      <c r="IH2260" s="73"/>
      <c r="II2260" s="73"/>
      <c r="IJ2260" s="73"/>
      <c r="IK2260" s="73"/>
      <c r="IL2260" s="73"/>
      <c r="IM2260" s="73"/>
      <c r="IN2260" s="73"/>
      <c r="IO2260" s="73"/>
      <c r="IP2260" s="73"/>
      <c r="IQ2260" s="73"/>
      <c r="IR2260" s="73"/>
      <c r="IS2260" s="73"/>
      <c r="IT2260" s="73"/>
      <c r="IU2260" s="73"/>
      <c r="IV2260" s="73"/>
      <c r="IW2260" s="73"/>
      <c r="IX2260" s="73"/>
      <c r="IY2260" s="73"/>
      <c r="IZ2260" s="73"/>
      <c r="JA2260" s="73"/>
      <c r="JB2260" s="73"/>
      <c r="JC2260" s="73"/>
    </row>
    <row r="2261" spans="2:263" s="72" customFormat="1">
      <c r="B2261" s="73"/>
      <c r="C2261" s="73"/>
      <c r="D2261" s="73"/>
      <c r="E2261" s="73"/>
      <c r="F2261" s="73"/>
      <c r="G2261" s="73"/>
      <c r="H2261" s="73"/>
      <c r="I2261" s="73"/>
      <c r="J2261" s="73"/>
      <c r="K2261" s="73"/>
      <c r="L2261" s="73"/>
      <c r="M2261" s="73"/>
      <c r="N2261" s="73"/>
      <c r="O2261" s="73"/>
      <c r="P2261" s="73"/>
      <c r="Q2261" s="73"/>
      <c r="R2261" s="73"/>
      <c r="S2261" s="73"/>
      <c r="T2261" s="73"/>
      <c r="U2261" s="73"/>
      <c r="V2261" s="73"/>
      <c r="W2261" s="73"/>
      <c r="GL2261" s="73"/>
      <c r="GM2261" s="73"/>
      <c r="GN2261" s="73"/>
      <c r="GO2261" s="73"/>
      <c r="GP2261" s="73"/>
      <c r="GQ2261" s="73"/>
      <c r="GR2261" s="73"/>
      <c r="GS2261" s="73"/>
      <c r="GT2261" s="73"/>
      <c r="GU2261" s="73"/>
      <c r="GV2261" s="73"/>
      <c r="GW2261" s="73"/>
      <c r="GX2261" s="73"/>
      <c r="GY2261" s="73"/>
      <c r="GZ2261" s="73"/>
      <c r="HA2261" s="73"/>
      <c r="HB2261" s="73"/>
      <c r="HC2261" s="73"/>
      <c r="HD2261" s="73"/>
      <c r="HE2261" s="73"/>
      <c r="HF2261" s="73"/>
      <c r="HG2261" s="73"/>
      <c r="HH2261" s="73"/>
      <c r="HI2261" s="73"/>
      <c r="HJ2261" s="73"/>
      <c r="HK2261" s="73"/>
      <c r="HL2261" s="73"/>
      <c r="HM2261" s="73"/>
      <c r="HN2261" s="73"/>
      <c r="HO2261" s="73"/>
      <c r="HP2261" s="73"/>
      <c r="HQ2261" s="73"/>
      <c r="HR2261" s="73"/>
      <c r="HS2261" s="73"/>
      <c r="HT2261" s="73"/>
      <c r="HU2261" s="73"/>
      <c r="HV2261" s="73"/>
      <c r="HW2261" s="73"/>
      <c r="HX2261" s="73"/>
      <c r="HY2261" s="73"/>
      <c r="HZ2261" s="73"/>
      <c r="IA2261" s="73"/>
      <c r="IB2261" s="73"/>
      <c r="IC2261" s="73"/>
      <c r="ID2261" s="73"/>
      <c r="IE2261" s="73"/>
      <c r="IF2261" s="73"/>
      <c r="IG2261" s="73"/>
      <c r="IH2261" s="73"/>
      <c r="II2261" s="73"/>
      <c r="IJ2261" s="73"/>
      <c r="IK2261" s="73"/>
      <c r="IL2261" s="73"/>
      <c r="IM2261" s="73"/>
      <c r="IN2261" s="73"/>
      <c r="IO2261" s="73"/>
      <c r="IP2261" s="73"/>
      <c r="IQ2261" s="73"/>
      <c r="IR2261" s="73"/>
      <c r="IS2261" s="73"/>
      <c r="IT2261" s="73"/>
      <c r="IU2261" s="73"/>
      <c r="IV2261" s="73"/>
      <c r="IW2261" s="73"/>
      <c r="IX2261" s="73"/>
      <c r="IY2261" s="73"/>
      <c r="IZ2261" s="73"/>
      <c r="JA2261" s="73"/>
      <c r="JB2261" s="73"/>
      <c r="JC2261" s="73"/>
    </row>
    <row r="2262" spans="2:263" s="72" customFormat="1">
      <c r="B2262" s="73"/>
      <c r="C2262" s="73"/>
      <c r="D2262" s="73"/>
      <c r="E2262" s="73"/>
      <c r="F2262" s="73"/>
      <c r="G2262" s="73"/>
      <c r="H2262" s="73"/>
      <c r="I2262" s="73"/>
      <c r="J2262" s="73"/>
      <c r="K2262" s="73"/>
      <c r="L2262" s="73"/>
      <c r="M2262" s="73"/>
      <c r="N2262" s="73"/>
      <c r="O2262" s="73"/>
      <c r="P2262" s="73"/>
      <c r="Q2262" s="73"/>
      <c r="R2262" s="73"/>
      <c r="S2262" s="73"/>
      <c r="T2262" s="73"/>
      <c r="U2262" s="73"/>
      <c r="V2262" s="73"/>
      <c r="W2262" s="73"/>
      <c r="GL2262" s="73"/>
      <c r="GM2262" s="73"/>
      <c r="GN2262" s="73"/>
      <c r="GO2262" s="73"/>
      <c r="GP2262" s="73"/>
      <c r="GQ2262" s="73"/>
      <c r="GR2262" s="73"/>
      <c r="GS2262" s="73"/>
      <c r="GT2262" s="73"/>
      <c r="GU2262" s="73"/>
      <c r="GV2262" s="73"/>
      <c r="GW2262" s="73"/>
      <c r="GX2262" s="73"/>
      <c r="GY2262" s="73"/>
      <c r="GZ2262" s="73"/>
      <c r="HA2262" s="73"/>
      <c r="HB2262" s="73"/>
      <c r="HC2262" s="73"/>
      <c r="HD2262" s="73"/>
      <c r="HE2262" s="73"/>
      <c r="HF2262" s="73"/>
      <c r="HG2262" s="73"/>
      <c r="HH2262" s="73"/>
      <c r="HI2262" s="73"/>
      <c r="HJ2262" s="73"/>
      <c r="HK2262" s="73"/>
      <c r="HL2262" s="73"/>
      <c r="HM2262" s="73"/>
      <c r="HN2262" s="73"/>
      <c r="HO2262" s="73"/>
      <c r="HP2262" s="73"/>
      <c r="HQ2262" s="73"/>
      <c r="HR2262" s="73"/>
      <c r="HS2262" s="73"/>
      <c r="HT2262" s="73"/>
      <c r="HU2262" s="73"/>
      <c r="HV2262" s="73"/>
      <c r="HW2262" s="73"/>
      <c r="HX2262" s="73"/>
      <c r="HY2262" s="73"/>
      <c r="HZ2262" s="73"/>
      <c r="IA2262" s="73"/>
      <c r="IB2262" s="73"/>
      <c r="IC2262" s="73"/>
      <c r="ID2262" s="73"/>
      <c r="IE2262" s="73"/>
      <c r="IF2262" s="73"/>
      <c r="IG2262" s="73"/>
      <c r="IH2262" s="73"/>
      <c r="II2262" s="73"/>
      <c r="IJ2262" s="73"/>
      <c r="IK2262" s="73"/>
      <c r="IL2262" s="73"/>
      <c r="IM2262" s="73"/>
      <c r="IN2262" s="73"/>
      <c r="IO2262" s="73"/>
      <c r="IP2262" s="73"/>
      <c r="IQ2262" s="73"/>
      <c r="IR2262" s="73"/>
      <c r="IS2262" s="73"/>
      <c r="IT2262" s="73"/>
      <c r="IU2262" s="73"/>
      <c r="IV2262" s="73"/>
      <c r="IW2262" s="73"/>
      <c r="IX2262" s="73"/>
      <c r="IY2262" s="73"/>
      <c r="IZ2262" s="73"/>
      <c r="JA2262" s="73"/>
      <c r="JB2262" s="73"/>
      <c r="JC2262" s="73"/>
    </row>
    <row r="2263" spans="2:263" s="72" customFormat="1">
      <c r="B2263" s="73"/>
      <c r="C2263" s="73"/>
      <c r="D2263" s="73"/>
      <c r="E2263" s="73"/>
      <c r="F2263" s="73"/>
      <c r="G2263" s="73"/>
      <c r="H2263" s="73"/>
      <c r="I2263" s="73"/>
      <c r="J2263" s="73"/>
      <c r="K2263" s="73"/>
      <c r="L2263" s="73"/>
      <c r="M2263" s="73"/>
      <c r="N2263" s="73"/>
      <c r="O2263" s="73"/>
      <c r="P2263" s="73"/>
      <c r="Q2263" s="73"/>
      <c r="R2263" s="73"/>
      <c r="S2263" s="73"/>
      <c r="T2263" s="73"/>
      <c r="U2263" s="73"/>
      <c r="V2263" s="73"/>
      <c r="W2263" s="73"/>
      <c r="GL2263" s="73"/>
      <c r="GM2263" s="73"/>
      <c r="GN2263" s="73"/>
      <c r="GO2263" s="73"/>
      <c r="GP2263" s="73"/>
      <c r="GQ2263" s="73"/>
      <c r="GR2263" s="73"/>
      <c r="GS2263" s="73"/>
      <c r="GT2263" s="73"/>
      <c r="GU2263" s="73"/>
      <c r="GV2263" s="73"/>
      <c r="GW2263" s="73"/>
      <c r="GX2263" s="73"/>
      <c r="GY2263" s="73"/>
      <c r="GZ2263" s="73"/>
      <c r="HA2263" s="73"/>
      <c r="HB2263" s="73"/>
      <c r="HC2263" s="73"/>
      <c r="HD2263" s="73"/>
      <c r="HE2263" s="73"/>
      <c r="HF2263" s="73"/>
      <c r="HG2263" s="73"/>
      <c r="HH2263" s="73"/>
      <c r="HI2263" s="73"/>
      <c r="HJ2263" s="73"/>
      <c r="HK2263" s="73"/>
      <c r="HL2263" s="73"/>
      <c r="HM2263" s="73"/>
      <c r="HN2263" s="73"/>
      <c r="HO2263" s="73"/>
      <c r="HP2263" s="73"/>
      <c r="HQ2263" s="73"/>
      <c r="HR2263" s="73"/>
      <c r="HS2263" s="73"/>
      <c r="HT2263" s="73"/>
      <c r="HU2263" s="73"/>
      <c r="HV2263" s="73"/>
      <c r="HW2263" s="73"/>
      <c r="HX2263" s="73"/>
      <c r="HY2263" s="73"/>
      <c r="HZ2263" s="73"/>
      <c r="IA2263" s="73"/>
      <c r="IB2263" s="73"/>
      <c r="IC2263" s="73"/>
      <c r="ID2263" s="73"/>
      <c r="IE2263" s="73"/>
      <c r="IF2263" s="73"/>
      <c r="IG2263" s="73"/>
      <c r="IH2263" s="73"/>
      <c r="II2263" s="73"/>
      <c r="IJ2263" s="73"/>
      <c r="IK2263" s="73"/>
      <c r="IL2263" s="73"/>
      <c r="IM2263" s="73"/>
      <c r="IN2263" s="73"/>
      <c r="IO2263" s="73"/>
      <c r="IP2263" s="73"/>
      <c r="IQ2263" s="73"/>
      <c r="IR2263" s="73"/>
      <c r="IS2263" s="73"/>
      <c r="IT2263" s="73"/>
      <c r="IU2263" s="73"/>
      <c r="IV2263" s="73"/>
      <c r="IW2263" s="73"/>
      <c r="IX2263" s="73"/>
      <c r="IY2263" s="73"/>
      <c r="IZ2263" s="73"/>
      <c r="JA2263" s="73"/>
      <c r="JB2263" s="73"/>
      <c r="JC2263" s="73"/>
    </row>
    <row r="2264" spans="2:263" s="72" customFormat="1">
      <c r="B2264" s="73"/>
      <c r="C2264" s="73"/>
      <c r="D2264" s="73"/>
      <c r="E2264" s="73"/>
      <c r="F2264" s="73"/>
      <c r="G2264" s="73"/>
      <c r="H2264" s="73"/>
      <c r="I2264" s="73"/>
      <c r="J2264" s="73"/>
      <c r="K2264" s="73"/>
      <c r="L2264" s="73"/>
      <c r="M2264" s="73"/>
      <c r="N2264" s="73"/>
      <c r="O2264" s="73"/>
      <c r="P2264" s="73"/>
      <c r="Q2264" s="73"/>
      <c r="R2264" s="73"/>
      <c r="S2264" s="73"/>
      <c r="T2264" s="73"/>
      <c r="U2264" s="73"/>
      <c r="V2264" s="73"/>
      <c r="W2264" s="73"/>
      <c r="GL2264" s="73"/>
      <c r="GM2264" s="73"/>
      <c r="GN2264" s="73"/>
      <c r="GO2264" s="73"/>
      <c r="GP2264" s="73"/>
      <c r="GQ2264" s="73"/>
      <c r="GR2264" s="73"/>
      <c r="GS2264" s="73"/>
      <c r="GT2264" s="73"/>
      <c r="GU2264" s="73"/>
      <c r="GV2264" s="73"/>
      <c r="GW2264" s="73"/>
      <c r="GX2264" s="73"/>
      <c r="GY2264" s="73"/>
      <c r="GZ2264" s="73"/>
      <c r="HA2264" s="73"/>
      <c r="HB2264" s="73"/>
      <c r="HC2264" s="73"/>
      <c r="HD2264" s="73"/>
      <c r="HE2264" s="73"/>
      <c r="HF2264" s="73"/>
      <c r="HG2264" s="73"/>
      <c r="HH2264" s="73"/>
      <c r="HI2264" s="73"/>
      <c r="HJ2264" s="73"/>
      <c r="HK2264" s="73"/>
      <c r="HL2264" s="73"/>
      <c r="HM2264" s="73"/>
      <c r="HN2264" s="73"/>
      <c r="HO2264" s="73"/>
      <c r="HP2264" s="73"/>
      <c r="HQ2264" s="73"/>
      <c r="HR2264" s="73"/>
      <c r="HS2264" s="73"/>
      <c r="HT2264" s="73"/>
      <c r="HU2264" s="73"/>
      <c r="HV2264" s="73"/>
      <c r="HW2264" s="73"/>
      <c r="HX2264" s="73"/>
      <c r="HY2264" s="73"/>
      <c r="HZ2264" s="73"/>
      <c r="IA2264" s="73"/>
      <c r="IB2264" s="73"/>
      <c r="IC2264" s="73"/>
      <c r="ID2264" s="73"/>
      <c r="IE2264" s="73"/>
      <c r="IF2264" s="73"/>
      <c r="IG2264" s="73"/>
      <c r="IH2264" s="73"/>
      <c r="II2264" s="73"/>
      <c r="IJ2264" s="73"/>
      <c r="IK2264" s="73"/>
      <c r="IL2264" s="73"/>
      <c r="IM2264" s="73"/>
      <c r="IN2264" s="73"/>
      <c r="IO2264" s="73"/>
      <c r="IP2264" s="73"/>
      <c r="IQ2264" s="73"/>
      <c r="IR2264" s="73"/>
      <c r="IS2264" s="73"/>
      <c r="IT2264" s="73"/>
      <c r="IU2264" s="73"/>
      <c r="IV2264" s="73"/>
      <c r="IW2264" s="73"/>
      <c r="IX2264" s="73"/>
      <c r="IY2264" s="73"/>
      <c r="IZ2264" s="73"/>
      <c r="JA2264" s="73"/>
      <c r="JB2264" s="73"/>
      <c r="JC2264" s="73"/>
    </row>
    <row r="2265" spans="2:263" s="72" customFormat="1">
      <c r="B2265" s="73"/>
      <c r="C2265" s="73"/>
      <c r="D2265" s="73"/>
      <c r="E2265" s="73"/>
      <c r="F2265" s="73"/>
      <c r="G2265" s="73"/>
      <c r="H2265" s="73"/>
      <c r="I2265" s="73"/>
      <c r="J2265" s="73"/>
      <c r="K2265" s="73"/>
      <c r="L2265" s="73"/>
      <c r="M2265" s="73"/>
      <c r="N2265" s="73"/>
      <c r="O2265" s="73"/>
      <c r="P2265" s="73"/>
      <c r="Q2265" s="73"/>
      <c r="R2265" s="73"/>
      <c r="S2265" s="73"/>
      <c r="T2265" s="73"/>
      <c r="U2265" s="73"/>
      <c r="V2265" s="73"/>
      <c r="W2265" s="73"/>
      <c r="GL2265" s="73"/>
      <c r="GM2265" s="73"/>
      <c r="GN2265" s="73"/>
      <c r="GO2265" s="73"/>
      <c r="GP2265" s="73"/>
      <c r="GQ2265" s="73"/>
      <c r="GR2265" s="73"/>
      <c r="GS2265" s="73"/>
      <c r="GT2265" s="73"/>
      <c r="GU2265" s="73"/>
      <c r="GV2265" s="73"/>
      <c r="GW2265" s="73"/>
      <c r="GX2265" s="73"/>
      <c r="GY2265" s="73"/>
      <c r="GZ2265" s="73"/>
      <c r="HA2265" s="73"/>
      <c r="HB2265" s="73"/>
      <c r="HC2265" s="73"/>
      <c r="HD2265" s="73"/>
      <c r="HE2265" s="73"/>
      <c r="HF2265" s="73"/>
      <c r="HG2265" s="73"/>
      <c r="HH2265" s="73"/>
      <c r="HI2265" s="73"/>
      <c r="HJ2265" s="73"/>
      <c r="HK2265" s="73"/>
      <c r="HL2265" s="73"/>
      <c r="HM2265" s="73"/>
      <c r="HN2265" s="73"/>
      <c r="HO2265" s="73"/>
      <c r="HP2265" s="73"/>
      <c r="HQ2265" s="73"/>
      <c r="HR2265" s="73"/>
      <c r="HS2265" s="73"/>
      <c r="HT2265" s="73"/>
      <c r="HU2265" s="73"/>
      <c r="HV2265" s="73"/>
      <c r="HW2265" s="73"/>
      <c r="HX2265" s="73"/>
      <c r="HY2265" s="73"/>
      <c r="HZ2265" s="73"/>
      <c r="IA2265" s="73"/>
      <c r="IB2265" s="73"/>
      <c r="IC2265" s="73"/>
      <c r="ID2265" s="73"/>
      <c r="IE2265" s="73"/>
      <c r="IF2265" s="73"/>
      <c r="IG2265" s="73"/>
      <c r="IH2265" s="73"/>
      <c r="II2265" s="73"/>
      <c r="IJ2265" s="73"/>
      <c r="IK2265" s="73"/>
      <c r="IL2265" s="73"/>
      <c r="IM2265" s="73"/>
      <c r="IN2265" s="73"/>
      <c r="IO2265" s="73"/>
      <c r="IP2265" s="73"/>
      <c r="IQ2265" s="73"/>
      <c r="IR2265" s="73"/>
      <c r="IS2265" s="73"/>
      <c r="IT2265" s="73"/>
      <c r="IU2265" s="73"/>
      <c r="IV2265" s="73"/>
      <c r="IW2265" s="73"/>
      <c r="IX2265" s="73"/>
      <c r="IY2265" s="73"/>
      <c r="IZ2265" s="73"/>
      <c r="JA2265" s="73"/>
      <c r="JB2265" s="73"/>
      <c r="JC2265" s="73"/>
    </row>
    <row r="2266" spans="2:263" s="72" customFormat="1">
      <c r="B2266" s="73"/>
      <c r="C2266" s="73"/>
      <c r="D2266" s="73"/>
      <c r="E2266" s="73"/>
      <c r="F2266" s="73"/>
      <c r="G2266" s="73"/>
      <c r="H2266" s="73"/>
      <c r="I2266" s="73"/>
      <c r="J2266" s="73"/>
      <c r="K2266" s="73"/>
      <c r="L2266" s="73"/>
      <c r="M2266" s="73"/>
      <c r="N2266" s="73"/>
      <c r="O2266" s="73"/>
      <c r="P2266" s="73"/>
      <c r="Q2266" s="73"/>
      <c r="R2266" s="73"/>
      <c r="S2266" s="73"/>
      <c r="T2266" s="73"/>
      <c r="U2266" s="73"/>
      <c r="V2266" s="73"/>
      <c r="W2266" s="73"/>
      <c r="GL2266" s="73"/>
      <c r="GM2266" s="73"/>
      <c r="GN2266" s="73"/>
      <c r="GO2266" s="73"/>
      <c r="GP2266" s="73"/>
      <c r="GQ2266" s="73"/>
      <c r="GR2266" s="73"/>
      <c r="GS2266" s="73"/>
      <c r="GT2266" s="73"/>
      <c r="GU2266" s="73"/>
      <c r="GV2266" s="73"/>
      <c r="GW2266" s="73"/>
      <c r="GX2266" s="73"/>
      <c r="GY2266" s="73"/>
      <c r="GZ2266" s="73"/>
      <c r="HA2266" s="73"/>
      <c r="HB2266" s="73"/>
      <c r="HC2266" s="73"/>
      <c r="HD2266" s="73"/>
      <c r="HE2266" s="73"/>
      <c r="HF2266" s="73"/>
      <c r="HG2266" s="73"/>
      <c r="HH2266" s="73"/>
      <c r="HI2266" s="73"/>
      <c r="HJ2266" s="73"/>
      <c r="HK2266" s="73"/>
      <c r="HL2266" s="73"/>
      <c r="HM2266" s="73"/>
      <c r="HN2266" s="73"/>
      <c r="HO2266" s="73"/>
      <c r="HP2266" s="73"/>
      <c r="HQ2266" s="73"/>
      <c r="HR2266" s="73"/>
      <c r="HS2266" s="73"/>
      <c r="HT2266" s="73"/>
      <c r="HU2266" s="73"/>
      <c r="HV2266" s="73"/>
      <c r="HW2266" s="73"/>
      <c r="HX2266" s="73"/>
      <c r="HY2266" s="73"/>
      <c r="HZ2266" s="73"/>
      <c r="IA2266" s="73"/>
      <c r="IB2266" s="73"/>
      <c r="IC2266" s="73"/>
      <c r="ID2266" s="73"/>
      <c r="IE2266" s="73"/>
      <c r="IF2266" s="73"/>
      <c r="IG2266" s="73"/>
      <c r="IH2266" s="73"/>
      <c r="II2266" s="73"/>
      <c r="IJ2266" s="73"/>
      <c r="IK2266" s="73"/>
      <c r="IL2266" s="73"/>
      <c r="IM2266" s="73"/>
      <c r="IN2266" s="73"/>
      <c r="IO2266" s="73"/>
      <c r="IP2266" s="73"/>
      <c r="IQ2266" s="73"/>
      <c r="IR2266" s="73"/>
      <c r="IS2266" s="73"/>
      <c r="IT2266" s="73"/>
      <c r="IU2266" s="73"/>
      <c r="IV2266" s="73"/>
      <c r="IW2266" s="73"/>
      <c r="IX2266" s="73"/>
      <c r="IY2266" s="73"/>
      <c r="IZ2266" s="73"/>
      <c r="JA2266" s="73"/>
      <c r="JB2266" s="73"/>
      <c r="JC2266" s="73"/>
    </row>
    <row r="2267" spans="2:263" s="72" customFormat="1">
      <c r="B2267" s="73"/>
      <c r="C2267" s="73"/>
      <c r="D2267" s="73"/>
      <c r="E2267" s="73"/>
      <c r="F2267" s="73"/>
      <c r="G2267" s="73"/>
      <c r="H2267" s="73"/>
      <c r="I2267" s="73"/>
      <c r="J2267" s="73"/>
      <c r="K2267" s="73"/>
      <c r="L2267" s="73"/>
      <c r="M2267" s="73"/>
      <c r="N2267" s="73"/>
      <c r="O2267" s="73"/>
      <c r="P2267" s="73"/>
      <c r="Q2267" s="73"/>
      <c r="R2267" s="73"/>
      <c r="S2267" s="73"/>
      <c r="T2267" s="73"/>
      <c r="U2267" s="73"/>
      <c r="V2267" s="73"/>
      <c r="W2267" s="73"/>
      <c r="GL2267" s="73"/>
      <c r="GM2267" s="73"/>
      <c r="GN2267" s="73"/>
      <c r="GO2267" s="73"/>
      <c r="GP2267" s="73"/>
      <c r="GQ2267" s="73"/>
      <c r="GR2267" s="73"/>
      <c r="GS2267" s="73"/>
      <c r="GT2267" s="73"/>
      <c r="GU2267" s="73"/>
      <c r="GV2267" s="73"/>
      <c r="GW2267" s="73"/>
      <c r="GX2267" s="73"/>
      <c r="GY2267" s="73"/>
      <c r="GZ2267" s="73"/>
      <c r="HA2267" s="73"/>
      <c r="HB2267" s="73"/>
      <c r="HC2267" s="73"/>
      <c r="HD2267" s="73"/>
      <c r="HE2267" s="73"/>
      <c r="HF2267" s="73"/>
      <c r="HG2267" s="73"/>
      <c r="HH2267" s="73"/>
      <c r="HI2267" s="73"/>
      <c r="HJ2267" s="73"/>
      <c r="HK2267" s="73"/>
      <c r="HL2267" s="73"/>
      <c r="HM2267" s="73"/>
      <c r="HN2267" s="73"/>
      <c r="HO2267" s="73"/>
      <c r="HP2267" s="73"/>
      <c r="HQ2267" s="73"/>
      <c r="HR2267" s="73"/>
      <c r="HS2267" s="73"/>
      <c r="HT2267" s="73"/>
      <c r="HU2267" s="73"/>
      <c r="HV2267" s="73"/>
      <c r="HW2267" s="73"/>
      <c r="HX2267" s="73"/>
      <c r="HY2267" s="73"/>
      <c r="HZ2267" s="73"/>
      <c r="IA2267" s="73"/>
      <c r="IB2267" s="73"/>
      <c r="IC2267" s="73"/>
      <c r="ID2267" s="73"/>
      <c r="IE2267" s="73"/>
      <c r="IF2267" s="73"/>
      <c r="IG2267" s="73"/>
      <c r="IH2267" s="73"/>
      <c r="II2267" s="73"/>
      <c r="IJ2267" s="73"/>
      <c r="IK2267" s="73"/>
      <c r="IL2267" s="73"/>
      <c r="IM2267" s="73"/>
      <c r="IN2267" s="73"/>
      <c r="IO2267" s="73"/>
      <c r="IP2267" s="73"/>
      <c r="IQ2267" s="73"/>
      <c r="IR2267" s="73"/>
      <c r="IS2267" s="73"/>
      <c r="IT2267" s="73"/>
      <c r="IU2267" s="73"/>
      <c r="IV2267" s="73"/>
      <c r="IW2267" s="73"/>
      <c r="IX2267" s="73"/>
      <c r="IY2267" s="73"/>
      <c r="IZ2267" s="73"/>
      <c r="JA2267" s="73"/>
      <c r="JB2267" s="73"/>
      <c r="JC2267" s="73"/>
    </row>
    <row r="2268" spans="2:263" s="72" customFormat="1">
      <c r="B2268" s="73"/>
      <c r="C2268" s="73"/>
      <c r="D2268" s="73"/>
      <c r="E2268" s="73"/>
      <c r="F2268" s="73"/>
      <c r="G2268" s="73"/>
      <c r="H2268" s="73"/>
      <c r="I2268" s="73"/>
      <c r="J2268" s="73"/>
      <c r="K2268" s="73"/>
      <c r="L2268" s="73"/>
      <c r="M2268" s="73"/>
      <c r="N2268" s="73"/>
      <c r="O2268" s="73"/>
      <c r="P2268" s="73"/>
      <c r="Q2268" s="73"/>
      <c r="R2268" s="73"/>
      <c r="S2268" s="73"/>
      <c r="T2268" s="73"/>
      <c r="U2268" s="73"/>
      <c r="V2268" s="73"/>
      <c r="W2268" s="73"/>
      <c r="GL2268" s="73"/>
      <c r="GM2268" s="73"/>
      <c r="GN2268" s="73"/>
      <c r="GO2268" s="73"/>
      <c r="GP2268" s="73"/>
      <c r="GQ2268" s="73"/>
      <c r="GR2268" s="73"/>
      <c r="GS2268" s="73"/>
      <c r="GT2268" s="73"/>
      <c r="GU2268" s="73"/>
      <c r="GV2268" s="73"/>
      <c r="GW2268" s="73"/>
      <c r="GX2268" s="73"/>
      <c r="GY2268" s="73"/>
      <c r="GZ2268" s="73"/>
      <c r="HA2268" s="73"/>
      <c r="HB2268" s="73"/>
      <c r="HC2268" s="73"/>
      <c r="HD2268" s="73"/>
      <c r="HE2268" s="73"/>
      <c r="HF2268" s="73"/>
      <c r="HG2268" s="73"/>
      <c r="HH2268" s="73"/>
      <c r="HI2268" s="73"/>
      <c r="HJ2268" s="73"/>
      <c r="HK2268" s="73"/>
      <c r="HL2268" s="73"/>
      <c r="HM2268" s="73"/>
      <c r="HN2268" s="73"/>
      <c r="HO2268" s="73"/>
      <c r="HP2268" s="73"/>
      <c r="HQ2268" s="73"/>
      <c r="HR2268" s="73"/>
      <c r="HS2268" s="73"/>
      <c r="HT2268" s="73"/>
      <c r="HU2268" s="73"/>
      <c r="HV2268" s="73"/>
      <c r="HW2268" s="73"/>
      <c r="HX2268" s="73"/>
      <c r="HY2268" s="73"/>
      <c r="HZ2268" s="73"/>
      <c r="IA2268" s="73"/>
      <c r="IB2268" s="73"/>
      <c r="IC2268" s="73"/>
      <c r="ID2268" s="73"/>
      <c r="IE2268" s="73"/>
      <c r="IF2268" s="73"/>
      <c r="IG2268" s="73"/>
      <c r="IH2268" s="73"/>
      <c r="II2268" s="73"/>
      <c r="IJ2268" s="73"/>
      <c r="IK2268" s="73"/>
      <c r="IL2268" s="73"/>
      <c r="IM2268" s="73"/>
      <c r="IN2268" s="73"/>
      <c r="IO2268" s="73"/>
      <c r="IP2268" s="73"/>
      <c r="IQ2268" s="73"/>
      <c r="IR2268" s="73"/>
      <c r="IS2268" s="73"/>
      <c r="IT2268" s="73"/>
      <c r="IU2268" s="73"/>
      <c r="IV2268" s="73"/>
      <c r="IW2268" s="73"/>
      <c r="IX2268" s="73"/>
      <c r="IY2268" s="73"/>
      <c r="IZ2268" s="73"/>
      <c r="JA2268" s="73"/>
      <c r="JB2268" s="73"/>
      <c r="JC2268" s="73"/>
    </row>
    <row r="2269" spans="2:263" s="72" customFormat="1">
      <c r="B2269" s="73"/>
      <c r="C2269" s="73"/>
      <c r="D2269" s="73"/>
      <c r="E2269" s="73"/>
      <c r="F2269" s="73"/>
      <c r="G2269" s="73"/>
      <c r="H2269" s="73"/>
      <c r="I2269" s="73"/>
      <c r="J2269" s="73"/>
      <c r="K2269" s="73"/>
      <c r="L2269" s="73"/>
      <c r="M2269" s="73"/>
      <c r="N2269" s="73"/>
      <c r="O2269" s="73"/>
      <c r="P2269" s="73"/>
      <c r="Q2269" s="73"/>
      <c r="R2269" s="73"/>
      <c r="S2269" s="73"/>
      <c r="T2269" s="73"/>
      <c r="U2269" s="73"/>
      <c r="V2269" s="73"/>
      <c r="W2269" s="73"/>
      <c r="GL2269" s="73"/>
      <c r="GM2269" s="73"/>
      <c r="GN2269" s="73"/>
      <c r="GO2269" s="73"/>
      <c r="GP2269" s="73"/>
      <c r="GQ2269" s="73"/>
      <c r="GR2269" s="73"/>
      <c r="GS2269" s="73"/>
      <c r="GT2269" s="73"/>
      <c r="GU2269" s="73"/>
      <c r="GV2269" s="73"/>
      <c r="GW2269" s="73"/>
      <c r="GX2269" s="73"/>
      <c r="GY2269" s="73"/>
      <c r="GZ2269" s="73"/>
      <c r="HA2269" s="73"/>
      <c r="HB2269" s="73"/>
      <c r="HC2269" s="73"/>
      <c r="HD2269" s="73"/>
      <c r="HE2269" s="73"/>
      <c r="HF2269" s="73"/>
      <c r="HG2269" s="73"/>
      <c r="HH2269" s="73"/>
      <c r="HI2269" s="73"/>
      <c r="HJ2269" s="73"/>
      <c r="HK2269" s="73"/>
      <c r="HL2269" s="73"/>
      <c r="HM2269" s="73"/>
      <c r="HN2269" s="73"/>
      <c r="HO2269" s="73"/>
      <c r="HP2269" s="73"/>
      <c r="HQ2269" s="73"/>
      <c r="HR2269" s="73"/>
      <c r="HS2269" s="73"/>
      <c r="HT2269" s="73"/>
      <c r="HU2269" s="73"/>
      <c r="HV2269" s="73"/>
      <c r="HW2269" s="73"/>
      <c r="HX2269" s="73"/>
      <c r="HY2269" s="73"/>
      <c r="HZ2269" s="73"/>
      <c r="IA2269" s="73"/>
      <c r="IB2269" s="73"/>
      <c r="IC2269" s="73"/>
      <c r="ID2269" s="73"/>
      <c r="IE2269" s="73"/>
      <c r="IF2269" s="73"/>
      <c r="IG2269" s="73"/>
      <c r="IH2269" s="73"/>
      <c r="II2269" s="73"/>
      <c r="IJ2269" s="73"/>
      <c r="IK2269" s="73"/>
      <c r="IL2269" s="73"/>
      <c r="IM2269" s="73"/>
      <c r="IN2269" s="73"/>
      <c r="IO2269" s="73"/>
      <c r="IP2269" s="73"/>
      <c r="IQ2269" s="73"/>
      <c r="IR2269" s="73"/>
      <c r="IS2269" s="73"/>
      <c r="IT2269" s="73"/>
      <c r="IU2269" s="73"/>
      <c r="IV2269" s="73"/>
      <c r="IW2269" s="73"/>
      <c r="IX2269" s="73"/>
      <c r="IY2269" s="73"/>
      <c r="IZ2269" s="73"/>
      <c r="JA2269" s="73"/>
      <c r="JB2269" s="73"/>
      <c r="JC2269" s="73"/>
    </row>
    <row r="2270" spans="2:263" s="72" customFormat="1">
      <c r="B2270" s="73"/>
      <c r="C2270" s="73"/>
      <c r="D2270" s="73"/>
      <c r="E2270" s="73"/>
      <c r="F2270" s="73"/>
      <c r="G2270" s="73"/>
      <c r="H2270" s="73"/>
      <c r="I2270" s="73"/>
      <c r="J2270" s="73"/>
      <c r="K2270" s="73"/>
      <c r="L2270" s="73"/>
      <c r="M2270" s="73"/>
      <c r="N2270" s="73"/>
      <c r="O2270" s="73"/>
      <c r="P2270" s="73"/>
      <c r="Q2270" s="73"/>
      <c r="R2270" s="73"/>
      <c r="S2270" s="73"/>
      <c r="T2270" s="73"/>
      <c r="U2270" s="73"/>
      <c r="V2270" s="73"/>
      <c r="W2270" s="73"/>
      <c r="GL2270" s="73"/>
      <c r="GM2270" s="73"/>
      <c r="GN2270" s="73"/>
      <c r="GO2270" s="73"/>
      <c r="GP2270" s="73"/>
      <c r="GQ2270" s="73"/>
      <c r="GR2270" s="73"/>
      <c r="GS2270" s="73"/>
      <c r="GT2270" s="73"/>
      <c r="GU2270" s="73"/>
      <c r="GV2270" s="73"/>
      <c r="GW2270" s="73"/>
      <c r="GX2270" s="73"/>
      <c r="GY2270" s="73"/>
      <c r="GZ2270" s="73"/>
      <c r="HA2270" s="73"/>
      <c r="HB2270" s="73"/>
      <c r="HC2270" s="73"/>
      <c r="HD2270" s="73"/>
      <c r="HE2270" s="73"/>
      <c r="HF2270" s="73"/>
      <c r="HG2270" s="73"/>
      <c r="HH2270" s="73"/>
      <c r="HI2270" s="73"/>
      <c r="HJ2270" s="73"/>
      <c r="HK2270" s="73"/>
      <c r="HL2270" s="73"/>
      <c r="HM2270" s="73"/>
      <c r="HN2270" s="73"/>
      <c r="HO2270" s="73"/>
      <c r="HP2270" s="73"/>
      <c r="HQ2270" s="73"/>
      <c r="HR2270" s="73"/>
      <c r="HS2270" s="73"/>
      <c r="HT2270" s="73"/>
      <c r="HU2270" s="73"/>
      <c r="HV2270" s="73"/>
      <c r="HW2270" s="73"/>
      <c r="HX2270" s="73"/>
      <c r="HY2270" s="73"/>
      <c r="HZ2270" s="73"/>
      <c r="IA2270" s="73"/>
      <c r="IB2270" s="73"/>
      <c r="IC2270" s="73"/>
      <c r="ID2270" s="73"/>
      <c r="IE2270" s="73"/>
      <c r="IF2270" s="73"/>
      <c r="IG2270" s="73"/>
      <c r="IH2270" s="73"/>
      <c r="II2270" s="73"/>
      <c r="IJ2270" s="73"/>
      <c r="IK2270" s="73"/>
      <c r="IL2270" s="73"/>
      <c r="IM2270" s="73"/>
      <c r="IN2270" s="73"/>
      <c r="IO2270" s="73"/>
      <c r="IP2270" s="73"/>
      <c r="IQ2270" s="73"/>
      <c r="IR2270" s="73"/>
      <c r="IS2270" s="73"/>
      <c r="IT2270" s="73"/>
      <c r="IU2270" s="73"/>
      <c r="IV2270" s="73"/>
      <c r="IW2270" s="73"/>
      <c r="IX2270" s="73"/>
      <c r="IY2270" s="73"/>
      <c r="IZ2270" s="73"/>
      <c r="JA2270" s="73"/>
      <c r="JB2270" s="73"/>
      <c r="JC2270" s="73"/>
    </row>
    <row r="2271" spans="2:263" s="72" customFormat="1">
      <c r="B2271" s="73"/>
      <c r="C2271" s="73"/>
      <c r="D2271" s="73"/>
      <c r="E2271" s="73"/>
      <c r="F2271" s="73"/>
      <c r="G2271" s="73"/>
      <c r="H2271" s="73"/>
      <c r="I2271" s="73"/>
      <c r="J2271" s="73"/>
      <c r="K2271" s="73"/>
      <c r="L2271" s="73"/>
      <c r="M2271" s="73"/>
      <c r="N2271" s="73"/>
      <c r="O2271" s="73"/>
      <c r="P2271" s="73"/>
      <c r="Q2271" s="73"/>
      <c r="R2271" s="73"/>
      <c r="S2271" s="73"/>
      <c r="T2271" s="73"/>
      <c r="U2271" s="73"/>
      <c r="V2271" s="73"/>
      <c r="W2271" s="73"/>
      <c r="GL2271" s="73"/>
      <c r="GM2271" s="73"/>
      <c r="GN2271" s="73"/>
      <c r="GO2271" s="73"/>
      <c r="GP2271" s="73"/>
      <c r="GQ2271" s="73"/>
      <c r="GR2271" s="73"/>
      <c r="GS2271" s="73"/>
      <c r="GT2271" s="73"/>
      <c r="GU2271" s="73"/>
      <c r="GV2271" s="73"/>
      <c r="GW2271" s="73"/>
      <c r="GX2271" s="73"/>
      <c r="GY2271" s="73"/>
      <c r="GZ2271" s="73"/>
      <c r="HA2271" s="73"/>
      <c r="HB2271" s="73"/>
      <c r="HC2271" s="73"/>
      <c r="HD2271" s="73"/>
      <c r="HE2271" s="73"/>
      <c r="HF2271" s="73"/>
      <c r="HG2271" s="73"/>
      <c r="HH2271" s="73"/>
      <c r="HI2271" s="73"/>
      <c r="HJ2271" s="73"/>
      <c r="HK2271" s="73"/>
      <c r="HL2271" s="73"/>
      <c r="HM2271" s="73"/>
      <c r="HN2271" s="73"/>
      <c r="HO2271" s="73"/>
      <c r="HP2271" s="73"/>
      <c r="HQ2271" s="73"/>
      <c r="HR2271" s="73"/>
      <c r="HS2271" s="73"/>
      <c r="HT2271" s="73"/>
      <c r="HU2271" s="73"/>
      <c r="HV2271" s="73"/>
      <c r="HW2271" s="73"/>
      <c r="HX2271" s="73"/>
      <c r="HY2271" s="73"/>
      <c r="HZ2271" s="73"/>
      <c r="IA2271" s="73"/>
      <c r="IB2271" s="73"/>
      <c r="IC2271" s="73"/>
      <c r="ID2271" s="73"/>
      <c r="IE2271" s="73"/>
      <c r="IF2271" s="73"/>
      <c r="IG2271" s="73"/>
      <c r="IH2271" s="73"/>
      <c r="II2271" s="73"/>
      <c r="IJ2271" s="73"/>
      <c r="IK2271" s="73"/>
      <c r="IL2271" s="73"/>
      <c r="IM2271" s="73"/>
      <c r="IN2271" s="73"/>
      <c r="IO2271" s="73"/>
      <c r="IP2271" s="73"/>
      <c r="IQ2271" s="73"/>
      <c r="IR2271" s="73"/>
      <c r="IS2271" s="73"/>
      <c r="IT2271" s="73"/>
      <c r="IU2271" s="73"/>
      <c r="IV2271" s="73"/>
      <c r="IW2271" s="73"/>
      <c r="IX2271" s="73"/>
      <c r="IY2271" s="73"/>
      <c r="IZ2271" s="73"/>
      <c r="JA2271" s="73"/>
      <c r="JB2271" s="73"/>
      <c r="JC2271" s="73"/>
    </row>
    <row r="2272" spans="2:263" s="72" customFormat="1">
      <c r="B2272" s="73"/>
      <c r="C2272" s="73"/>
      <c r="D2272" s="73"/>
      <c r="E2272" s="73"/>
      <c r="F2272" s="73"/>
      <c r="G2272" s="73"/>
      <c r="H2272" s="73"/>
      <c r="I2272" s="73"/>
      <c r="J2272" s="73"/>
      <c r="K2272" s="73"/>
      <c r="L2272" s="73"/>
      <c r="M2272" s="73"/>
      <c r="N2272" s="73"/>
      <c r="O2272" s="73"/>
      <c r="P2272" s="73"/>
      <c r="Q2272" s="73"/>
      <c r="R2272" s="73"/>
      <c r="S2272" s="73"/>
      <c r="T2272" s="73"/>
      <c r="U2272" s="73"/>
      <c r="V2272" s="73"/>
      <c r="W2272" s="73"/>
      <c r="GL2272" s="73"/>
      <c r="GM2272" s="73"/>
      <c r="GN2272" s="73"/>
      <c r="GO2272" s="73"/>
      <c r="GP2272" s="73"/>
      <c r="GQ2272" s="73"/>
      <c r="GR2272" s="73"/>
      <c r="GS2272" s="73"/>
      <c r="GT2272" s="73"/>
      <c r="GU2272" s="73"/>
      <c r="GV2272" s="73"/>
      <c r="GW2272" s="73"/>
      <c r="GX2272" s="73"/>
      <c r="GY2272" s="73"/>
      <c r="GZ2272" s="73"/>
      <c r="HA2272" s="73"/>
      <c r="HB2272" s="73"/>
      <c r="HC2272" s="73"/>
      <c r="HD2272" s="73"/>
      <c r="HE2272" s="73"/>
      <c r="HF2272" s="73"/>
      <c r="HG2272" s="73"/>
      <c r="HH2272" s="73"/>
      <c r="HI2272" s="73"/>
      <c r="HJ2272" s="73"/>
      <c r="HK2272" s="73"/>
      <c r="HL2272" s="73"/>
      <c r="HM2272" s="73"/>
      <c r="HN2272" s="73"/>
      <c r="HO2272" s="73"/>
      <c r="HP2272" s="73"/>
      <c r="HQ2272" s="73"/>
      <c r="HR2272" s="73"/>
      <c r="HS2272" s="73"/>
      <c r="HT2272" s="73"/>
      <c r="HU2272" s="73"/>
      <c r="HV2272" s="73"/>
      <c r="HW2272" s="73"/>
      <c r="HX2272" s="73"/>
      <c r="HY2272" s="73"/>
      <c r="HZ2272" s="73"/>
      <c r="IA2272" s="73"/>
      <c r="IB2272" s="73"/>
      <c r="IC2272" s="73"/>
      <c r="ID2272" s="73"/>
      <c r="IE2272" s="73"/>
      <c r="IF2272" s="73"/>
      <c r="IG2272" s="73"/>
      <c r="IH2272" s="73"/>
      <c r="II2272" s="73"/>
      <c r="IJ2272" s="73"/>
      <c r="IK2272" s="73"/>
      <c r="IL2272" s="73"/>
      <c r="IM2272" s="73"/>
      <c r="IN2272" s="73"/>
      <c r="IO2272" s="73"/>
      <c r="IP2272" s="73"/>
      <c r="IQ2272" s="73"/>
      <c r="IR2272" s="73"/>
      <c r="IS2272" s="73"/>
      <c r="IT2272" s="73"/>
      <c r="IU2272" s="73"/>
      <c r="IV2272" s="73"/>
      <c r="IW2272" s="73"/>
      <c r="IX2272" s="73"/>
      <c r="IY2272" s="73"/>
      <c r="IZ2272" s="73"/>
      <c r="JA2272" s="73"/>
      <c r="JB2272" s="73"/>
      <c r="JC2272" s="73"/>
    </row>
    <row r="2273" spans="2:263" s="72" customFormat="1">
      <c r="B2273" s="73"/>
      <c r="C2273" s="73"/>
      <c r="D2273" s="73"/>
      <c r="E2273" s="73"/>
      <c r="F2273" s="73"/>
      <c r="G2273" s="73"/>
      <c r="H2273" s="73"/>
      <c r="I2273" s="73"/>
      <c r="J2273" s="73"/>
      <c r="K2273" s="73"/>
      <c r="L2273" s="73"/>
      <c r="M2273" s="73"/>
      <c r="N2273" s="73"/>
      <c r="O2273" s="73"/>
      <c r="P2273" s="73"/>
      <c r="Q2273" s="73"/>
      <c r="R2273" s="73"/>
      <c r="S2273" s="73"/>
      <c r="T2273" s="73"/>
      <c r="U2273" s="73"/>
      <c r="V2273" s="73"/>
      <c r="W2273" s="73"/>
      <c r="GL2273" s="73"/>
      <c r="GM2273" s="73"/>
      <c r="GN2273" s="73"/>
      <c r="GO2273" s="73"/>
      <c r="GP2273" s="73"/>
      <c r="GQ2273" s="73"/>
      <c r="GR2273" s="73"/>
      <c r="GS2273" s="73"/>
      <c r="GT2273" s="73"/>
      <c r="GU2273" s="73"/>
      <c r="GV2273" s="73"/>
      <c r="GW2273" s="73"/>
      <c r="GX2273" s="73"/>
      <c r="GY2273" s="73"/>
      <c r="GZ2273" s="73"/>
      <c r="HA2273" s="73"/>
      <c r="HB2273" s="73"/>
      <c r="HC2273" s="73"/>
      <c r="HD2273" s="73"/>
      <c r="HE2273" s="73"/>
      <c r="HF2273" s="73"/>
      <c r="HG2273" s="73"/>
      <c r="HH2273" s="73"/>
      <c r="HI2273" s="73"/>
      <c r="HJ2273" s="73"/>
      <c r="HK2273" s="73"/>
      <c r="HL2273" s="73"/>
      <c r="HM2273" s="73"/>
      <c r="HN2273" s="73"/>
      <c r="HO2273" s="73"/>
      <c r="HP2273" s="73"/>
      <c r="HQ2273" s="73"/>
      <c r="HR2273" s="73"/>
      <c r="HS2273" s="73"/>
      <c r="HT2273" s="73"/>
      <c r="HU2273" s="73"/>
      <c r="HV2273" s="73"/>
      <c r="HW2273" s="73"/>
      <c r="HX2273" s="73"/>
      <c r="HY2273" s="73"/>
      <c r="HZ2273" s="73"/>
      <c r="IA2273" s="73"/>
      <c r="IB2273" s="73"/>
      <c r="IC2273" s="73"/>
      <c r="ID2273" s="73"/>
      <c r="IE2273" s="73"/>
      <c r="IF2273" s="73"/>
      <c r="IG2273" s="73"/>
      <c r="IH2273" s="73"/>
      <c r="II2273" s="73"/>
      <c r="IJ2273" s="73"/>
      <c r="IK2273" s="73"/>
      <c r="IL2273" s="73"/>
      <c r="IM2273" s="73"/>
      <c r="IN2273" s="73"/>
      <c r="IO2273" s="73"/>
      <c r="IP2273" s="73"/>
      <c r="IQ2273" s="73"/>
      <c r="IR2273" s="73"/>
      <c r="IS2273" s="73"/>
      <c r="IT2273" s="73"/>
      <c r="IU2273" s="73"/>
      <c r="IV2273" s="73"/>
      <c r="IW2273" s="73"/>
      <c r="IX2273" s="73"/>
      <c r="IY2273" s="73"/>
      <c r="IZ2273" s="73"/>
      <c r="JA2273" s="73"/>
      <c r="JB2273" s="73"/>
      <c r="JC2273" s="73"/>
    </row>
    <row r="2274" spans="2:263" s="72" customFormat="1">
      <c r="B2274" s="73"/>
      <c r="C2274" s="73"/>
      <c r="D2274" s="73"/>
      <c r="E2274" s="73"/>
      <c r="F2274" s="73"/>
      <c r="G2274" s="73"/>
      <c r="H2274" s="73"/>
      <c r="I2274" s="73"/>
      <c r="J2274" s="73"/>
      <c r="K2274" s="73"/>
      <c r="L2274" s="73"/>
      <c r="M2274" s="73"/>
      <c r="N2274" s="73"/>
      <c r="O2274" s="73"/>
      <c r="P2274" s="73"/>
      <c r="Q2274" s="73"/>
      <c r="R2274" s="73"/>
      <c r="S2274" s="73"/>
      <c r="T2274" s="73"/>
      <c r="U2274" s="73"/>
      <c r="V2274" s="73"/>
      <c r="W2274" s="73"/>
      <c r="GL2274" s="73"/>
      <c r="GM2274" s="73"/>
      <c r="GN2274" s="73"/>
      <c r="GO2274" s="73"/>
      <c r="GP2274" s="73"/>
      <c r="GQ2274" s="73"/>
      <c r="GR2274" s="73"/>
      <c r="GS2274" s="73"/>
      <c r="GT2274" s="73"/>
      <c r="GU2274" s="73"/>
      <c r="GV2274" s="73"/>
      <c r="GW2274" s="73"/>
      <c r="GX2274" s="73"/>
      <c r="GY2274" s="73"/>
      <c r="GZ2274" s="73"/>
      <c r="HA2274" s="73"/>
      <c r="HB2274" s="73"/>
      <c r="HC2274" s="73"/>
      <c r="HD2274" s="73"/>
      <c r="HE2274" s="73"/>
      <c r="HF2274" s="73"/>
      <c r="HG2274" s="73"/>
      <c r="HH2274" s="73"/>
      <c r="HI2274" s="73"/>
      <c r="HJ2274" s="73"/>
      <c r="HK2274" s="73"/>
      <c r="HL2274" s="73"/>
      <c r="HM2274" s="73"/>
      <c r="HN2274" s="73"/>
      <c r="HO2274" s="73"/>
      <c r="HP2274" s="73"/>
      <c r="HQ2274" s="73"/>
      <c r="HR2274" s="73"/>
      <c r="HS2274" s="73"/>
      <c r="HT2274" s="73"/>
      <c r="HU2274" s="73"/>
      <c r="HV2274" s="73"/>
      <c r="HW2274" s="73"/>
      <c r="HX2274" s="73"/>
      <c r="HY2274" s="73"/>
      <c r="HZ2274" s="73"/>
      <c r="IA2274" s="73"/>
      <c r="IB2274" s="73"/>
      <c r="IC2274" s="73"/>
      <c r="ID2274" s="73"/>
      <c r="IE2274" s="73"/>
      <c r="IF2274" s="73"/>
      <c r="IG2274" s="73"/>
      <c r="IH2274" s="73"/>
      <c r="II2274" s="73"/>
      <c r="IJ2274" s="73"/>
      <c r="IK2274" s="73"/>
      <c r="IL2274" s="73"/>
      <c r="IM2274" s="73"/>
      <c r="IN2274" s="73"/>
      <c r="IO2274" s="73"/>
      <c r="IP2274" s="73"/>
      <c r="IQ2274" s="73"/>
      <c r="IR2274" s="73"/>
      <c r="IS2274" s="73"/>
      <c r="IT2274" s="73"/>
      <c r="IU2274" s="73"/>
      <c r="IV2274" s="73"/>
      <c r="IW2274" s="73"/>
      <c r="IX2274" s="73"/>
      <c r="IY2274" s="73"/>
      <c r="IZ2274" s="73"/>
      <c r="JA2274" s="73"/>
      <c r="JB2274" s="73"/>
      <c r="JC2274" s="73"/>
    </row>
    <row r="2275" spans="2:263" s="72" customFormat="1">
      <c r="B2275" s="73"/>
      <c r="C2275" s="73"/>
      <c r="D2275" s="73"/>
      <c r="E2275" s="73"/>
      <c r="F2275" s="73"/>
      <c r="G2275" s="73"/>
      <c r="H2275" s="73"/>
      <c r="I2275" s="73"/>
      <c r="J2275" s="73"/>
      <c r="K2275" s="73"/>
      <c r="L2275" s="73"/>
      <c r="M2275" s="73"/>
      <c r="N2275" s="73"/>
      <c r="O2275" s="73"/>
      <c r="P2275" s="73"/>
      <c r="Q2275" s="73"/>
      <c r="R2275" s="73"/>
      <c r="S2275" s="73"/>
      <c r="T2275" s="73"/>
      <c r="U2275" s="73"/>
      <c r="V2275" s="73"/>
      <c r="W2275" s="73"/>
      <c r="GL2275" s="73"/>
      <c r="GM2275" s="73"/>
      <c r="GN2275" s="73"/>
      <c r="GO2275" s="73"/>
      <c r="GP2275" s="73"/>
      <c r="GQ2275" s="73"/>
      <c r="GR2275" s="73"/>
      <c r="GS2275" s="73"/>
      <c r="GT2275" s="73"/>
      <c r="GU2275" s="73"/>
      <c r="GV2275" s="73"/>
      <c r="GW2275" s="73"/>
      <c r="GX2275" s="73"/>
      <c r="GY2275" s="73"/>
      <c r="GZ2275" s="73"/>
      <c r="HA2275" s="73"/>
      <c r="HB2275" s="73"/>
      <c r="HC2275" s="73"/>
      <c r="HD2275" s="73"/>
      <c r="HE2275" s="73"/>
      <c r="HF2275" s="73"/>
      <c r="HG2275" s="73"/>
      <c r="HH2275" s="73"/>
      <c r="HI2275" s="73"/>
      <c r="HJ2275" s="73"/>
      <c r="HK2275" s="73"/>
      <c r="HL2275" s="73"/>
      <c r="HM2275" s="73"/>
      <c r="HN2275" s="73"/>
      <c r="HO2275" s="73"/>
      <c r="HP2275" s="73"/>
      <c r="HQ2275" s="73"/>
      <c r="HR2275" s="73"/>
      <c r="HS2275" s="73"/>
      <c r="HT2275" s="73"/>
      <c r="HU2275" s="73"/>
      <c r="HV2275" s="73"/>
      <c r="HW2275" s="73"/>
      <c r="HX2275" s="73"/>
      <c r="HY2275" s="73"/>
      <c r="HZ2275" s="73"/>
      <c r="IA2275" s="73"/>
      <c r="IB2275" s="73"/>
      <c r="IC2275" s="73"/>
      <c r="ID2275" s="73"/>
      <c r="IE2275" s="73"/>
      <c r="IF2275" s="73"/>
      <c r="IG2275" s="73"/>
      <c r="IH2275" s="73"/>
      <c r="II2275" s="73"/>
      <c r="IJ2275" s="73"/>
      <c r="IK2275" s="73"/>
      <c r="IL2275" s="73"/>
      <c r="IM2275" s="73"/>
      <c r="IN2275" s="73"/>
      <c r="IO2275" s="73"/>
      <c r="IP2275" s="73"/>
      <c r="IQ2275" s="73"/>
      <c r="IR2275" s="73"/>
      <c r="IS2275" s="73"/>
      <c r="IT2275" s="73"/>
      <c r="IU2275" s="73"/>
      <c r="IV2275" s="73"/>
      <c r="IW2275" s="73"/>
      <c r="IX2275" s="73"/>
      <c r="IY2275" s="73"/>
      <c r="IZ2275" s="73"/>
      <c r="JA2275" s="73"/>
      <c r="JB2275" s="73"/>
      <c r="JC2275" s="73"/>
    </row>
    <row r="2276" spans="2:263" s="72" customFormat="1">
      <c r="B2276" s="73"/>
      <c r="C2276" s="73"/>
      <c r="D2276" s="73"/>
      <c r="E2276" s="73"/>
      <c r="F2276" s="73"/>
      <c r="G2276" s="73"/>
      <c r="H2276" s="73"/>
      <c r="I2276" s="73"/>
      <c r="J2276" s="73"/>
      <c r="K2276" s="73"/>
      <c r="L2276" s="73"/>
      <c r="M2276" s="73"/>
      <c r="N2276" s="73"/>
      <c r="O2276" s="73"/>
      <c r="P2276" s="73"/>
      <c r="Q2276" s="73"/>
      <c r="R2276" s="73"/>
      <c r="S2276" s="73"/>
      <c r="T2276" s="73"/>
      <c r="U2276" s="73"/>
      <c r="V2276" s="73"/>
      <c r="W2276" s="73"/>
      <c r="GL2276" s="73"/>
      <c r="GM2276" s="73"/>
      <c r="GN2276" s="73"/>
      <c r="GO2276" s="73"/>
      <c r="GP2276" s="73"/>
      <c r="GQ2276" s="73"/>
      <c r="GR2276" s="73"/>
      <c r="GS2276" s="73"/>
      <c r="GT2276" s="73"/>
      <c r="GU2276" s="73"/>
      <c r="GV2276" s="73"/>
      <c r="GW2276" s="73"/>
      <c r="GX2276" s="73"/>
      <c r="GY2276" s="73"/>
      <c r="GZ2276" s="73"/>
      <c r="HA2276" s="73"/>
      <c r="HB2276" s="73"/>
      <c r="HC2276" s="73"/>
      <c r="HD2276" s="73"/>
      <c r="HE2276" s="73"/>
      <c r="HF2276" s="73"/>
      <c r="HG2276" s="73"/>
      <c r="HH2276" s="73"/>
      <c r="HI2276" s="73"/>
      <c r="HJ2276" s="73"/>
      <c r="HK2276" s="73"/>
      <c r="HL2276" s="73"/>
      <c r="HM2276" s="73"/>
      <c r="HN2276" s="73"/>
      <c r="HO2276" s="73"/>
      <c r="HP2276" s="73"/>
      <c r="HQ2276" s="73"/>
      <c r="HR2276" s="73"/>
      <c r="HS2276" s="73"/>
      <c r="HT2276" s="73"/>
      <c r="HU2276" s="73"/>
      <c r="HV2276" s="73"/>
      <c r="HW2276" s="73"/>
      <c r="HX2276" s="73"/>
      <c r="HY2276" s="73"/>
      <c r="HZ2276" s="73"/>
      <c r="IA2276" s="73"/>
      <c r="IB2276" s="73"/>
      <c r="IC2276" s="73"/>
      <c r="ID2276" s="73"/>
      <c r="IE2276" s="73"/>
      <c r="IF2276" s="73"/>
      <c r="IG2276" s="73"/>
      <c r="IH2276" s="73"/>
      <c r="II2276" s="73"/>
      <c r="IJ2276" s="73"/>
      <c r="IK2276" s="73"/>
      <c r="IL2276" s="73"/>
      <c r="IM2276" s="73"/>
      <c r="IN2276" s="73"/>
      <c r="IO2276" s="73"/>
      <c r="IP2276" s="73"/>
      <c r="IQ2276" s="73"/>
      <c r="IR2276" s="73"/>
      <c r="IS2276" s="73"/>
      <c r="IT2276" s="73"/>
      <c r="IU2276" s="73"/>
      <c r="IV2276" s="73"/>
      <c r="IW2276" s="73"/>
      <c r="IX2276" s="73"/>
      <c r="IY2276" s="73"/>
      <c r="IZ2276" s="73"/>
      <c r="JA2276" s="73"/>
      <c r="JB2276" s="73"/>
      <c r="JC2276" s="73"/>
    </row>
    <row r="2277" spans="2:263" s="72" customFormat="1">
      <c r="B2277" s="73"/>
      <c r="C2277" s="73"/>
      <c r="D2277" s="73"/>
      <c r="E2277" s="73"/>
      <c r="F2277" s="73"/>
      <c r="G2277" s="73"/>
      <c r="H2277" s="73"/>
      <c r="I2277" s="73"/>
      <c r="J2277" s="73"/>
      <c r="K2277" s="73"/>
      <c r="L2277" s="73"/>
      <c r="M2277" s="73"/>
      <c r="N2277" s="73"/>
      <c r="O2277" s="73"/>
      <c r="P2277" s="73"/>
      <c r="Q2277" s="73"/>
      <c r="R2277" s="73"/>
      <c r="S2277" s="73"/>
      <c r="T2277" s="73"/>
      <c r="U2277" s="73"/>
      <c r="V2277" s="73"/>
      <c r="W2277" s="73"/>
      <c r="GL2277" s="73"/>
      <c r="GM2277" s="73"/>
      <c r="GN2277" s="73"/>
      <c r="GO2277" s="73"/>
      <c r="GP2277" s="73"/>
      <c r="GQ2277" s="73"/>
      <c r="GR2277" s="73"/>
      <c r="GS2277" s="73"/>
      <c r="GT2277" s="73"/>
      <c r="GU2277" s="73"/>
      <c r="GV2277" s="73"/>
      <c r="GW2277" s="73"/>
      <c r="GX2277" s="73"/>
      <c r="GY2277" s="73"/>
      <c r="GZ2277" s="73"/>
      <c r="HA2277" s="73"/>
      <c r="HB2277" s="73"/>
      <c r="HC2277" s="73"/>
      <c r="HD2277" s="73"/>
      <c r="HE2277" s="73"/>
      <c r="HF2277" s="73"/>
      <c r="HG2277" s="73"/>
      <c r="HH2277" s="73"/>
      <c r="HI2277" s="73"/>
      <c r="HJ2277" s="73"/>
      <c r="HK2277" s="73"/>
      <c r="HL2277" s="73"/>
      <c r="HM2277" s="73"/>
      <c r="HN2277" s="73"/>
      <c r="HO2277" s="73"/>
      <c r="HP2277" s="73"/>
      <c r="HQ2277" s="73"/>
      <c r="HR2277" s="73"/>
      <c r="HS2277" s="73"/>
      <c r="HT2277" s="73"/>
      <c r="HU2277" s="73"/>
      <c r="HV2277" s="73"/>
      <c r="HW2277" s="73"/>
      <c r="HX2277" s="73"/>
      <c r="HY2277" s="73"/>
      <c r="HZ2277" s="73"/>
      <c r="IA2277" s="73"/>
      <c r="IB2277" s="73"/>
      <c r="IC2277" s="73"/>
      <c r="ID2277" s="73"/>
      <c r="IE2277" s="73"/>
      <c r="IF2277" s="73"/>
      <c r="IG2277" s="73"/>
      <c r="IH2277" s="73"/>
      <c r="II2277" s="73"/>
      <c r="IJ2277" s="73"/>
      <c r="IK2277" s="73"/>
      <c r="IL2277" s="73"/>
      <c r="IM2277" s="73"/>
      <c r="IN2277" s="73"/>
      <c r="IO2277" s="73"/>
      <c r="IP2277" s="73"/>
      <c r="IQ2277" s="73"/>
      <c r="IR2277" s="73"/>
      <c r="IS2277" s="73"/>
      <c r="IT2277" s="73"/>
      <c r="IU2277" s="73"/>
      <c r="IV2277" s="73"/>
      <c r="IW2277" s="73"/>
      <c r="IX2277" s="73"/>
      <c r="IY2277" s="73"/>
      <c r="IZ2277" s="73"/>
      <c r="JA2277" s="73"/>
      <c r="JB2277" s="73"/>
      <c r="JC2277" s="73"/>
    </row>
    <row r="2278" spans="2:263" s="72" customFormat="1">
      <c r="B2278" s="73"/>
      <c r="C2278" s="73"/>
      <c r="D2278" s="73"/>
      <c r="E2278" s="73"/>
      <c r="F2278" s="73"/>
      <c r="G2278" s="73"/>
      <c r="H2278" s="73"/>
      <c r="I2278" s="73"/>
      <c r="J2278" s="73"/>
      <c r="K2278" s="73"/>
      <c r="L2278" s="73"/>
      <c r="M2278" s="73"/>
      <c r="N2278" s="73"/>
      <c r="O2278" s="73"/>
      <c r="P2278" s="73"/>
      <c r="Q2278" s="73"/>
      <c r="R2278" s="73"/>
      <c r="S2278" s="73"/>
      <c r="T2278" s="73"/>
      <c r="U2278" s="73"/>
      <c r="V2278" s="73"/>
      <c r="W2278" s="73"/>
      <c r="GL2278" s="73"/>
      <c r="GM2278" s="73"/>
      <c r="GN2278" s="73"/>
      <c r="GO2278" s="73"/>
      <c r="GP2278" s="73"/>
      <c r="GQ2278" s="73"/>
      <c r="GR2278" s="73"/>
      <c r="GS2278" s="73"/>
      <c r="GT2278" s="73"/>
      <c r="GU2278" s="73"/>
      <c r="GV2278" s="73"/>
      <c r="GW2278" s="73"/>
      <c r="GX2278" s="73"/>
      <c r="GY2278" s="73"/>
      <c r="GZ2278" s="73"/>
      <c r="HA2278" s="73"/>
      <c r="HB2278" s="73"/>
      <c r="HC2278" s="73"/>
      <c r="HD2278" s="73"/>
      <c r="HE2278" s="73"/>
      <c r="HF2278" s="73"/>
      <c r="HG2278" s="73"/>
      <c r="HH2278" s="73"/>
      <c r="HI2278" s="73"/>
      <c r="HJ2278" s="73"/>
      <c r="HK2278" s="73"/>
      <c r="HL2278" s="73"/>
      <c r="HM2278" s="73"/>
      <c r="HN2278" s="73"/>
      <c r="HO2278" s="73"/>
      <c r="HP2278" s="73"/>
      <c r="HQ2278" s="73"/>
      <c r="HR2278" s="73"/>
      <c r="HS2278" s="73"/>
      <c r="HT2278" s="73"/>
      <c r="HU2278" s="73"/>
      <c r="HV2278" s="73"/>
      <c r="HW2278" s="73"/>
      <c r="HX2278" s="73"/>
      <c r="HY2278" s="73"/>
      <c r="HZ2278" s="73"/>
      <c r="IA2278" s="73"/>
      <c r="IB2278" s="73"/>
      <c r="IC2278" s="73"/>
      <c r="ID2278" s="73"/>
      <c r="IE2278" s="73"/>
      <c r="IF2278" s="73"/>
      <c r="IG2278" s="73"/>
      <c r="IH2278" s="73"/>
      <c r="II2278" s="73"/>
      <c r="IJ2278" s="73"/>
      <c r="IK2278" s="73"/>
      <c r="IL2278" s="73"/>
      <c r="IM2278" s="73"/>
      <c r="IN2278" s="73"/>
      <c r="IO2278" s="73"/>
      <c r="IP2278" s="73"/>
      <c r="IQ2278" s="73"/>
      <c r="IR2278" s="73"/>
      <c r="IS2278" s="73"/>
      <c r="IT2278" s="73"/>
      <c r="IU2278" s="73"/>
      <c r="IV2278" s="73"/>
      <c r="IW2278" s="73"/>
      <c r="IX2278" s="73"/>
      <c r="IY2278" s="73"/>
      <c r="IZ2278" s="73"/>
      <c r="JA2278" s="73"/>
      <c r="JB2278" s="73"/>
      <c r="JC2278" s="73"/>
    </row>
    <row r="2279" spans="2:263" s="72" customFormat="1">
      <c r="B2279" s="73"/>
      <c r="C2279" s="73"/>
      <c r="D2279" s="73"/>
      <c r="E2279" s="73"/>
      <c r="F2279" s="73"/>
      <c r="G2279" s="73"/>
      <c r="H2279" s="73"/>
      <c r="I2279" s="73"/>
      <c r="J2279" s="73"/>
      <c r="K2279" s="73"/>
      <c r="L2279" s="73"/>
      <c r="M2279" s="73"/>
      <c r="N2279" s="73"/>
      <c r="O2279" s="73"/>
      <c r="P2279" s="73"/>
      <c r="Q2279" s="73"/>
      <c r="R2279" s="73"/>
      <c r="S2279" s="73"/>
      <c r="T2279" s="73"/>
      <c r="U2279" s="73"/>
      <c r="V2279" s="73"/>
      <c r="W2279" s="73"/>
      <c r="GL2279" s="73"/>
      <c r="GM2279" s="73"/>
      <c r="GN2279" s="73"/>
      <c r="GO2279" s="73"/>
      <c r="GP2279" s="73"/>
      <c r="GQ2279" s="73"/>
      <c r="GR2279" s="73"/>
      <c r="GS2279" s="73"/>
      <c r="GT2279" s="73"/>
      <c r="GU2279" s="73"/>
      <c r="GV2279" s="73"/>
      <c r="GW2279" s="73"/>
      <c r="GX2279" s="73"/>
      <c r="GY2279" s="73"/>
      <c r="GZ2279" s="73"/>
      <c r="HA2279" s="73"/>
      <c r="HB2279" s="73"/>
      <c r="HC2279" s="73"/>
      <c r="HD2279" s="73"/>
      <c r="HE2279" s="73"/>
      <c r="HF2279" s="73"/>
      <c r="HG2279" s="73"/>
      <c r="HH2279" s="73"/>
      <c r="HI2279" s="73"/>
      <c r="HJ2279" s="73"/>
      <c r="HK2279" s="73"/>
      <c r="HL2279" s="73"/>
      <c r="HM2279" s="73"/>
      <c r="HN2279" s="73"/>
      <c r="HO2279" s="73"/>
      <c r="HP2279" s="73"/>
      <c r="HQ2279" s="73"/>
      <c r="HR2279" s="73"/>
      <c r="HS2279" s="73"/>
      <c r="HT2279" s="73"/>
      <c r="HU2279" s="73"/>
      <c r="HV2279" s="73"/>
      <c r="HW2279" s="73"/>
      <c r="HX2279" s="73"/>
      <c r="HY2279" s="73"/>
      <c r="HZ2279" s="73"/>
      <c r="IA2279" s="73"/>
      <c r="IB2279" s="73"/>
      <c r="IC2279" s="73"/>
      <c r="ID2279" s="73"/>
      <c r="IE2279" s="73"/>
      <c r="IF2279" s="73"/>
      <c r="IG2279" s="73"/>
      <c r="IH2279" s="73"/>
      <c r="II2279" s="73"/>
      <c r="IJ2279" s="73"/>
      <c r="IK2279" s="73"/>
      <c r="IL2279" s="73"/>
      <c r="IM2279" s="73"/>
      <c r="IN2279" s="73"/>
      <c r="IO2279" s="73"/>
      <c r="IP2279" s="73"/>
      <c r="IQ2279" s="73"/>
      <c r="IR2279" s="73"/>
      <c r="IS2279" s="73"/>
      <c r="IT2279" s="73"/>
      <c r="IU2279" s="73"/>
      <c r="IV2279" s="73"/>
      <c r="IW2279" s="73"/>
      <c r="IX2279" s="73"/>
      <c r="IY2279" s="73"/>
      <c r="IZ2279" s="73"/>
      <c r="JA2279" s="73"/>
      <c r="JB2279" s="73"/>
      <c r="JC2279" s="73"/>
    </row>
    <row r="2280" spans="2:263" s="72" customFormat="1">
      <c r="B2280" s="73"/>
      <c r="C2280" s="73"/>
      <c r="D2280" s="73"/>
      <c r="E2280" s="73"/>
      <c r="F2280" s="73"/>
      <c r="G2280" s="73"/>
      <c r="H2280" s="73"/>
      <c r="I2280" s="73"/>
      <c r="J2280" s="73"/>
      <c r="K2280" s="73"/>
      <c r="L2280" s="73"/>
      <c r="M2280" s="73"/>
      <c r="N2280" s="73"/>
      <c r="O2280" s="73"/>
      <c r="P2280" s="73"/>
      <c r="Q2280" s="73"/>
      <c r="R2280" s="73"/>
      <c r="S2280" s="73"/>
      <c r="T2280" s="73"/>
      <c r="U2280" s="73"/>
      <c r="V2280" s="73"/>
      <c r="W2280" s="73"/>
      <c r="GL2280" s="73"/>
      <c r="GM2280" s="73"/>
      <c r="GN2280" s="73"/>
      <c r="GO2280" s="73"/>
      <c r="GP2280" s="73"/>
      <c r="GQ2280" s="73"/>
      <c r="GR2280" s="73"/>
      <c r="GS2280" s="73"/>
      <c r="GT2280" s="73"/>
      <c r="GU2280" s="73"/>
      <c r="GV2280" s="73"/>
      <c r="GW2280" s="73"/>
      <c r="GX2280" s="73"/>
      <c r="GY2280" s="73"/>
      <c r="GZ2280" s="73"/>
      <c r="HA2280" s="73"/>
      <c r="HB2280" s="73"/>
      <c r="HC2280" s="73"/>
      <c r="HD2280" s="73"/>
      <c r="HE2280" s="73"/>
      <c r="HF2280" s="73"/>
      <c r="HG2280" s="73"/>
      <c r="HH2280" s="73"/>
      <c r="HI2280" s="73"/>
      <c r="HJ2280" s="73"/>
      <c r="HK2280" s="73"/>
      <c r="HL2280" s="73"/>
      <c r="HM2280" s="73"/>
      <c r="HN2280" s="73"/>
      <c r="HO2280" s="73"/>
      <c r="HP2280" s="73"/>
      <c r="HQ2280" s="73"/>
      <c r="HR2280" s="73"/>
      <c r="HS2280" s="73"/>
      <c r="HT2280" s="73"/>
      <c r="HU2280" s="73"/>
      <c r="HV2280" s="73"/>
      <c r="HW2280" s="73"/>
      <c r="HX2280" s="73"/>
      <c r="HY2280" s="73"/>
      <c r="HZ2280" s="73"/>
      <c r="IA2280" s="73"/>
      <c r="IB2280" s="73"/>
      <c r="IC2280" s="73"/>
      <c r="ID2280" s="73"/>
      <c r="IE2280" s="73"/>
      <c r="IF2280" s="73"/>
      <c r="IG2280" s="73"/>
      <c r="IH2280" s="73"/>
      <c r="II2280" s="73"/>
      <c r="IJ2280" s="73"/>
      <c r="IK2280" s="73"/>
      <c r="IL2280" s="73"/>
      <c r="IM2280" s="73"/>
      <c r="IN2280" s="73"/>
      <c r="IO2280" s="73"/>
      <c r="IP2280" s="73"/>
      <c r="IQ2280" s="73"/>
      <c r="IR2280" s="73"/>
      <c r="IS2280" s="73"/>
      <c r="IT2280" s="73"/>
      <c r="IU2280" s="73"/>
      <c r="IV2280" s="73"/>
      <c r="IW2280" s="73"/>
      <c r="IX2280" s="73"/>
      <c r="IY2280" s="73"/>
      <c r="IZ2280" s="73"/>
      <c r="JA2280" s="73"/>
      <c r="JB2280" s="73"/>
      <c r="JC2280" s="73"/>
    </row>
    <row r="2281" spans="2:263" s="72" customFormat="1">
      <c r="B2281" s="73"/>
      <c r="C2281" s="73"/>
      <c r="D2281" s="73"/>
      <c r="E2281" s="73"/>
      <c r="F2281" s="73"/>
      <c r="G2281" s="73"/>
      <c r="H2281" s="73"/>
      <c r="I2281" s="73"/>
      <c r="J2281" s="73"/>
      <c r="K2281" s="73"/>
      <c r="L2281" s="73"/>
      <c r="M2281" s="73"/>
      <c r="N2281" s="73"/>
      <c r="O2281" s="73"/>
      <c r="P2281" s="73"/>
      <c r="Q2281" s="73"/>
      <c r="R2281" s="73"/>
      <c r="S2281" s="73"/>
      <c r="T2281" s="73"/>
      <c r="U2281" s="73"/>
      <c r="V2281" s="73"/>
      <c r="W2281" s="73"/>
      <c r="GL2281" s="73"/>
      <c r="GM2281" s="73"/>
      <c r="GN2281" s="73"/>
      <c r="GO2281" s="73"/>
      <c r="GP2281" s="73"/>
      <c r="GQ2281" s="73"/>
      <c r="GR2281" s="73"/>
      <c r="GS2281" s="73"/>
      <c r="GT2281" s="73"/>
      <c r="GU2281" s="73"/>
      <c r="GV2281" s="73"/>
      <c r="GW2281" s="73"/>
      <c r="GX2281" s="73"/>
      <c r="GY2281" s="73"/>
      <c r="GZ2281" s="73"/>
      <c r="HA2281" s="73"/>
      <c r="HB2281" s="73"/>
      <c r="HC2281" s="73"/>
      <c r="HD2281" s="73"/>
      <c r="HE2281" s="73"/>
      <c r="HF2281" s="73"/>
      <c r="HG2281" s="73"/>
      <c r="HH2281" s="73"/>
      <c r="HI2281" s="73"/>
      <c r="HJ2281" s="73"/>
      <c r="HK2281" s="73"/>
      <c r="HL2281" s="73"/>
      <c r="HM2281" s="73"/>
      <c r="HN2281" s="73"/>
      <c r="HO2281" s="73"/>
      <c r="HP2281" s="73"/>
      <c r="HQ2281" s="73"/>
      <c r="HR2281" s="73"/>
      <c r="HS2281" s="73"/>
      <c r="HT2281" s="73"/>
      <c r="HU2281" s="73"/>
      <c r="HV2281" s="73"/>
      <c r="HW2281" s="73"/>
      <c r="HX2281" s="73"/>
      <c r="HY2281" s="73"/>
      <c r="HZ2281" s="73"/>
      <c r="IA2281" s="73"/>
      <c r="IB2281" s="73"/>
      <c r="IC2281" s="73"/>
      <c r="ID2281" s="73"/>
      <c r="IE2281" s="73"/>
      <c r="IF2281" s="73"/>
      <c r="IG2281" s="73"/>
      <c r="IH2281" s="73"/>
      <c r="II2281" s="73"/>
      <c r="IJ2281" s="73"/>
      <c r="IK2281" s="73"/>
      <c r="IL2281" s="73"/>
      <c r="IM2281" s="73"/>
      <c r="IN2281" s="73"/>
      <c r="IO2281" s="73"/>
      <c r="IP2281" s="73"/>
      <c r="IQ2281" s="73"/>
      <c r="IR2281" s="73"/>
      <c r="IS2281" s="73"/>
      <c r="IT2281" s="73"/>
      <c r="IU2281" s="73"/>
      <c r="IV2281" s="73"/>
      <c r="IW2281" s="73"/>
      <c r="IX2281" s="73"/>
      <c r="IY2281" s="73"/>
      <c r="IZ2281" s="73"/>
      <c r="JA2281" s="73"/>
      <c r="JB2281" s="73"/>
      <c r="JC2281" s="73"/>
    </row>
    <row r="2282" spans="2:263" s="72" customFormat="1">
      <c r="B2282" s="73"/>
      <c r="C2282" s="73"/>
      <c r="D2282" s="73"/>
      <c r="E2282" s="73"/>
      <c r="F2282" s="73"/>
      <c r="G2282" s="73"/>
      <c r="H2282" s="73"/>
      <c r="I2282" s="73"/>
      <c r="J2282" s="73"/>
      <c r="K2282" s="73"/>
      <c r="L2282" s="73"/>
      <c r="M2282" s="73"/>
      <c r="N2282" s="73"/>
      <c r="O2282" s="73"/>
      <c r="P2282" s="73"/>
      <c r="Q2282" s="73"/>
      <c r="R2282" s="73"/>
      <c r="S2282" s="73"/>
      <c r="T2282" s="73"/>
      <c r="U2282" s="73"/>
      <c r="V2282" s="73"/>
      <c r="W2282" s="73"/>
      <c r="GL2282" s="73"/>
      <c r="GM2282" s="73"/>
      <c r="GN2282" s="73"/>
      <c r="GO2282" s="73"/>
      <c r="GP2282" s="73"/>
      <c r="GQ2282" s="73"/>
      <c r="GR2282" s="73"/>
      <c r="GS2282" s="73"/>
      <c r="GT2282" s="73"/>
      <c r="GU2282" s="73"/>
      <c r="GV2282" s="73"/>
      <c r="GW2282" s="73"/>
      <c r="GX2282" s="73"/>
      <c r="GY2282" s="73"/>
      <c r="GZ2282" s="73"/>
      <c r="HA2282" s="73"/>
      <c r="HB2282" s="73"/>
      <c r="HC2282" s="73"/>
      <c r="HD2282" s="73"/>
      <c r="HE2282" s="73"/>
      <c r="HF2282" s="73"/>
      <c r="HG2282" s="73"/>
      <c r="HH2282" s="73"/>
      <c r="HI2282" s="73"/>
      <c r="HJ2282" s="73"/>
      <c r="HK2282" s="73"/>
      <c r="HL2282" s="73"/>
      <c r="HM2282" s="73"/>
      <c r="HN2282" s="73"/>
      <c r="HO2282" s="73"/>
      <c r="HP2282" s="73"/>
      <c r="HQ2282" s="73"/>
      <c r="HR2282" s="73"/>
      <c r="HS2282" s="73"/>
      <c r="HT2282" s="73"/>
      <c r="HU2282" s="73"/>
      <c r="HV2282" s="73"/>
      <c r="HW2282" s="73"/>
      <c r="HX2282" s="73"/>
      <c r="HY2282" s="73"/>
      <c r="HZ2282" s="73"/>
      <c r="IA2282" s="73"/>
      <c r="IB2282" s="73"/>
      <c r="IC2282" s="73"/>
      <c r="ID2282" s="73"/>
      <c r="IE2282" s="73"/>
      <c r="IF2282" s="73"/>
      <c r="IG2282" s="73"/>
      <c r="IH2282" s="73"/>
      <c r="II2282" s="73"/>
      <c r="IJ2282" s="73"/>
      <c r="IK2282" s="73"/>
      <c r="IL2282" s="73"/>
      <c r="IM2282" s="73"/>
      <c r="IN2282" s="73"/>
      <c r="IO2282" s="73"/>
      <c r="IP2282" s="73"/>
      <c r="IQ2282" s="73"/>
      <c r="IR2282" s="73"/>
      <c r="IS2282" s="73"/>
      <c r="IT2282" s="73"/>
      <c r="IU2282" s="73"/>
      <c r="IV2282" s="73"/>
      <c r="IW2282" s="73"/>
      <c r="IX2282" s="73"/>
      <c r="IY2282" s="73"/>
      <c r="IZ2282" s="73"/>
      <c r="JA2282" s="73"/>
      <c r="JB2282" s="73"/>
      <c r="JC2282" s="73"/>
    </row>
    <row r="2283" spans="2:263" s="72" customFormat="1">
      <c r="B2283" s="73"/>
      <c r="C2283" s="73"/>
      <c r="D2283" s="73"/>
      <c r="E2283" s="73"/>
      <c r="F2283" s="73"/>
      <c r="G2283" s="73"/>
      <c r="H2283" s="73"/>
      <c r="I2283" s="73"/>
      <c r="J2283" s="73"/>
      <c r="K2283" s="73"/>
      <c r="L2283" s="73"/>
      <c r="M2283" s="73"/>
      <c r="N2283" s="73"/>
      <c r="O2283" s="73"/>
      <c r="P2283" s="73"/>
      <c r="Q2283" s="73"/>
      <c r="R2283" s="73"/>
      <c r="S2283" s="73"/>
      <c r="T2283" s="73"/>
      <c r="U2283" s="73"/>
      <c r="V2283" s="73"/>
      <c r="W2283" s="73"/>
      <c r="GL2283" s="73"/>
      <c r="GM2283" s="73"/>
      <c r="GN2283" s="73"/>
      <c r="GO2283" s="73"/>
      <c r="GP2283" s="73"/>
      <c r="GQ2283" s="73"/>
      <c r="GR2283" s="73"/>
      <c r="GS2283" s="73"/>
      <c r="GT2283" s="73"/>
      <c r="GU2283" s="73"/>
      <c r="GV2283" s="73"/>
      <c r="GW2283" s="73"/>
      <c r="GX2283" s="73"/>
      <c r="GY2283" s="73"/>
      <c r="GZ2283" s="73"/>
      <c r="HA2283" s="73"/>
      <c r="HB2283" s="73"/>
      <c r="HC2283" s="73"/>
      <c r="HD2283" s="73"/>
      <c r="HE2283" s="73"/>
      <c r="HF2283" s="73"/>
      <c r="HG2283" s="73"/>
      <c r="HH2283" s="73"/>
      <c r="HI2283" s="73"/>
      <c r="HJ2283" s="73"/>
      <c r="HK2283" s="73"/>
      <c r="HL2283" s="73"/>
      <c r="HM2283" s="73"/>
      <c r="HN2283" s="73"/>
      <c r="HO2283" s="73"/>
      <c r="HP2283" s="73"/>
      <c r="HQ2283" s="73"/>
      <c r="HR2283" s="73"/>
      <c r="HS2283" s="73"/>
      <c r="HT2283" s="73"/>
      <c r="HU2283" s="73"/>
      <c r="HV2283" s="73"/>
      <c r="HW2283" s="73"/>
      <c r="HX2283" s="73"/>
      <c r="HY2283" s="73"/>
      <c r="HZ2283" s="73"/>
      <c r="IA2283" s="73"/>
      <c r="IB2283" s="73"/>
      <c r="IC2283" s="73"/>
      <c r="ID2283" s="73"/>
      <c r="IE2283" s="73"/>
      <c r="IF2283" s="73"/>
      <c r="IG2283" s="73"/>
      <c r="IH2283" s="73"/>
      <c r="II2283" s="73"/>
      <c r="IJ2283" s="73"/>
      <c r="IK2283" s="73"/>
      <c r="IL2283" s="73"/>
      <c r="IM2283" s="73"/>
      <c r="IN2283" s="73"/>
      <c r="IO2283" s="73"/>
      <c r="IP2283" s="73"/>
      <c r="IQ2283" s="73"/>
      <c r="IR2283" s="73"/>
      <c r="IS2283" s="73"/>
      <c r="IT2283" s="73"/>
      <c r="IU2283" s="73"/>
      <c r="IV2283" s="73"/>
      <c r="IW2283" s="73"/>
      <c r="IX2283" s="73"/>
      <c r="IY2283" s="73"/>
      <c r="IZ2283" s="73"/>
      <c r="JA2283" s="73"/>
      <c r="JB2283" s="73"/>
      <c r="JC2283" s="73"/>
    </row>
    <row r="2284" spans="2:263" s="72" customFormat="1">
      <c r="B2284" s="73"/>
      <c r="C2284" s="73"/>
      <c r="D2284" s="73"/>
      <c r="E2284" s="73"/>
      <c r="F2284" s="73"/>
      <c r="G2284" s="73"/>
      <c r="H2284" s="73"/>
      <c r="I2284" s="73"/>
      <c r="J2284" s="73"/>
      <c r="K2284" s="73"/>
      <c r="L2284" s="73"/>
      <c r="M2284" s="73"/>
      <c r="N2284" s="73"/>
      <c r="O2284" s="73"/>
      <c r="P2284" s="73"/>
      <c r="Q2284" s="73"/>
      <c r="R2284" s="73"/>
      <c r="S2284" s="73"/>
      <c r="T2284" s="73"/>
      <c r="U2284" s="73"/>
      <c r="V2284" s="73"/>
      <c r="W2284" s="73"/>
      <c r="GL2284" s="73"/>
      <c r="GM2284" s="73"/>
      <c r="GN2284" s="73"/>
      <c r="GO2284" s="73"/>
      <c r="GP2284" s="73"/>
      <c r="GQ2284" s="73"/>
      <c r="GR2284" s="73"/>
      <c r="GS2284" s="73"/>
      <c r="GT2284" s="73"/>
      <c r="GU2284" s="73"/>
      <c r="GV2284" s="73"/>
      <c r="GW2284" s="73"/>
      <c r="GX2284" s="73"/>
      <c r="GY2284" s="73"/>
      <c r="GZ2284" s="73"/>
      <c r="HA2284" s="73"/>
      <c r="HB2284" s="73"/>
      <c r="HC2284" s="73"/>
      <c r="HD2284" s="73"/>
      <c r="HE2284" s="73"/>
      <c r="HF2284" s="73"/>
      <c r="HG2284" s="73"/>
      <c r="HH2284" s="73"/>
      <c r="HI2284" s="73"/>
      <c r="HJ2284" s="73"/>
      <c r="HK2284" s="73"/>
      <c r="HL2284" s="73"/>
      <c r="HM2284" s="73"/>
      <c r="HN2284" s="73"/>
      <c r="HO2284" s="73"/>
      <c r="HP2284" s="73"/>
      <c r="HQ2284" s="73"/>
      <c r="HR2284" s="73"/>
      <c r="HS2284" s="73"/>
      <c r="HT2284" s="73"/>
      <c r="HU2284" s="73"/>
      <c r="HV2284" s="73"/>
      <c r="HW2284" s="73"/>
      <c r="HX2284" s="73"/>
      <c r="HY2284" s="73"/>
      <c r="HZ2284" s="73"/>
      <c r="IA2284" s="73"/>
      <c r="IB2284" s="73"/>
      <c r="IC2284" s="73"/>
      <c r="ID2284" s="73"/>
      <c r="IE2284" s="73"/>
      <c r="IF2284" s="73"/>
      <c r="IG2284" s="73"/>
      <c r="IH2284" s="73"/>
      <c r="II2284" s="73"/>
      <c r="IJ2284" s="73"/>
      <c r="IK2284" s="73"/>
      <c r="IL2284" s="73"/>
      <c r="IM2284" s="73"/>
      <c r="IN2284" s="73"/>
      <c r="IO2284" s="73"/>
      <c r="IP2284" s="73"/>
      <c r="IQ2284" s="73"/>
      <c r="IR2284" s="73"/>
      <c r="IS2284" s="73"/>
      <c r="IT2284" s="73"/>
      <c r="IU2284" s="73"/>
      <c r="IV2284" s="73"/>
      <c r="IW2284" s="73"/>
      <c r="IX2284" s="73"/>
      <c r="IY2284" s="73"/>
      <c r="IZ2284" s="73"/>
      <c r="JA2284" s="73"/>
      <c r="JB2284" s="73"/>
      <c r="JC2284" s="73"/>
    </row>
    <row r="2285" spans="2:263" s="72" customFormat="1">
      <c r="B2285" s="73"/>
      <c r="C2285" s="73"/>
      <c r="D2285" s="73"/>
      <c r="E2285" s="73"/>
      <c r="F2285" s="73"/>
      <c r="G2285" s="73"/>
      <c r="H2285" s="73"/>
      <c r="I2285" s="73"/>
      <c r="J2285" s="73"/>
      <c r="K2285" s="73"/>
      <c r="L2285" s="73"/>
      <c r="M2285" s="73"/>
      <c r="N2285" s="73"/>
      <c r="O2285" s="73"/>
      <c r="P2285" s="73"/>
      <c r="Q2285" s="73"/>
      <c r="R2285" s="73"/>
      <c r="S2285" s="73"/>
      <c r="T2285" s="73"/>
      <c r="U2285" s="73"/>
      <c r="V2285" s="73"/>
      <c r="W2285" s="73"/>
      <c r="GL2285" s="73"/>
      <c r="GM2285" s="73"/>
      <c r="GN2285" s="73"/>
      <c r="GO2285" s="73"/>
      <c r="GP2285" s="73"/>
      <c r="GQ2285" s="73"/>
      <c r="GR2285" s="73"/>
      <c r="GS2285" s="73"/>
      <c r="GT2285" s="73"/>
      <c r="GU2285" s="73"/>
      <c r="GV2285" s="73"/>
      <c r="GW2285" s="73"/>
      <c r="GX2285" s="73"/>
      <c r="GY2285" s="73"/>
      <c r="GZ2285" s="73"/>
      <c r="HA2285" s="73"/>
      <c r="HB2285" s="73"/>
      <c r="HC2285" s="73"/>
      <c r="HD2285" s="73"/>
      <c r="HE2285" s="73"/>
      <c r="HF2285" s="73"/>
      <c r="HG2285" s="73"/>
      <c r="HH2285" s="73"/>
      <c r="HI2285" s="73"/>
      <c r="HJ2285" s="73"/>
      <c r="HK2285" s="73"/>
      <c r="HL2285" s="73"/>
      <c r="HM2285" s="73"/>
      <c r="HN2285" s="73"/>
      <c r="HO2285" s="73"/>
      <c r="HP2285" s="73"/>
      <c r="HQ2285" s="73"/>
      <c r="HR2285" s="73"/>
      <c r="HS2285" s="73"/>
      <c r="HT2285" s="73"/>
      <c r="HU2285" s="73"/>
      <c r="HV2285" s="73"/>
      <c r="HW2285" s="73"/>
      <c r="HX2285" s="73"/>
      <c r="HY2285" s="73"/>
      <c r="HZ2285" s="73"/>
      <c r="IA2285" s="73"/>
      <c r="IB2285" s="73"/>
      <c r="IC2285" s="73"/>
      <c r="ID2285" s="73"/>
      <c r="IE2285" s="73"/>
      <c r="IF2285" s="73"/>
      <c r="IG2285" s="73"/>
      <c r="IH2285" s="73"/>
      <c r="II2285" s="73"/>
      <c r="IJ2285" s="73"/>
      <c r="IK2285" s="73"/>
      <c r="IL2285" s="73"/>
      <c r="IM2285" s="73"/>
      <c r="IN2285" s="73"/>
      <c r="IO2285" s="73"/>
      <c r="IP2285" s="73"/>
      <c r="IQ2285" s="73"/>
      <c r="IR2285" s="73"/>
      <c r="IS2285" s="73"/>
      <c r="IT2285" s="73"/>
      <c r="IU2285" s="73"/>
      <c r="IV2285" s="73"/>
      <c r="IW2285" s="73"/>
      <c r="IX2285" s="73"/>
      <c r="IY2285" s="73"/>
      <c r="IZ2285" s="73"/>
      <c r="JA2285" s="73"/>
      <c r="JB2285" s="73"/>
      <c r="JC2285" s="73"/>
    </row>
    <row r="2286" spans="2:263" s="72" customFormat="1">
      <c r="B2286" s="73"/>
      <c r="C2286" s="73"/>
      <c r="D2286" s="73"/>
      <c r="E2286" s="73"/>
      <c r="F2286" s="73"/>
      <c r="G2286" s="73"/>
      <c r="H2286" s="73"/>
      <c r="I2286" s="73"/>
      <c r="J2286" s="73"/>
      <c r="K2286" s="73"/>
      <c r="L2286" s="73"/>
      <c r="M2286" s="73"/>
      <c r="N2286" s="73"/>
      <c r="O2286" s="73"/>
      <c r="P2286" s="73"/>
      <c r="Q2286" s="73"/>
      <c r="R2286" s="73"/>
      <c r="S2286" s="73"/>
      <c r="T2286" s="73"/>
      <c r="U2286" s="73"/>
      <c r="V2286" s="73"/>
      <c r="W2286" s="73"/>
      <c r="GL2286" s="73"/>
      <c r="GM2286" s="73"/>
      <c r="GN2286" s="73"/>
      <c r="GO2286" s="73"/>
      <c r="GP2286" s="73"/>
      <c r="GQ2286" s="73"/>
      <c r="GR2286" s="73"/>
      <c r="GS2286" s="73"/>
      <c r="GT2286" s="73"/>
      <c r="GU2286" s="73"/>
      <c r="GV2286" s="73"/>
      <c r="GW2286" s="73"/>
      <c r="GX2286" s="73"/>
      <c r="GY2286" s="73"/>
      <c r="GZ2286" s="73"/>
      <c r="HA2286" s="73"/>
      <c r="HB2286" s="73"/>
      <c r="HC2286" s="73"/>
      <c r="HD2286" s="73"/>
      <c r="HE2286" s="73"/>
      <c r="HF2286" s="73"/>
      <c r="HG2286" s="73"/>
      <c r="HH2286" s="73"/>
      <c r="HI2286" s="73"/>
      <c r="HJ2286" s="73"/>
      <c r="HK2286" s="73"/>
      <c r="HL2286" s="73"/>
      <c r="HM2286" s="73"/>
      <c r="HN2286" s="73"/>
      <c r="HO2286" s="73"/>
      <c r="HP2286" s="73"/>
      <c r="HQ2286" s="73"/>
      <c r="HR2286" s="73"/>
      <c r="HS2286" s="73"/>
      <c r="HT2286" s="73"/>
      <c r="HU2286" s="73"/>
      <c r="HV2286" s="73"/>
      <c r="HW2286" s="73"/>
      <c r="HX2286" s="73"/>
      <c r="HY2286" s="73"/>
      <c r="HZ2286" s="73"/>
      <c r="IA2286" s="73"/>
      <c r="IB2286" s="73"/>
      <c r="IC2286" s="73"/>
      <c r="ID2286" s="73"/>
      <c r="IE2286" s="73"/>
      <c r="IF2286" s="73"/>
      <c r="IG2286" s="73"/>
      <c r="IH2286" s="73"/>
      <c r="II2286" s="73"/>
      <c r="IJ2286" s="73"/>
      <c r="IK2286" s="73"/>
      <c r="IL2286" s="73"/>
      <c r="IM2286" s="73"/>
      <c r="IN2286" s="73"/>
      <c r="IO2286" s="73"/>
      <c r="IP2286" s="73"/>
      <c r="IQ2286" s="73"/>
      <c r="IR2286" s="73"/>
      <c r="IS2286" s="73"/>
      <c r="IT2286" s="73"/>
      <c r="IU2286" s="73"/>
      <c r="IV2286" s="73"/>
      <c r="IW2286" s="73"/>
      <c r="IX2286" s="73"/>
      <c r="IY2286" s="73"/>
      <c r="IZ2286" s="73"/>
      <c r="JA2286" s="73"/>
      <c r="JB2286" s="73"/>
      <c r="JC2286" s="73"/>
    </row>
    <row r="2287" spans="2:263" s="72" customFormat="1">
      <c r="B2287" s="73"/>
      <c r="C2287" s="73"/>
      <c r="D2287" s="73"/>
      <c r="E2287" s="73"/>
      <c r="F2287" s="73"/>
      <c r="G2287" s="73"/>
      <c r="H2287" s="73"/>
      <c r="I2287" s="73"/>
      <c r="J2287" s="73"/>
      <c r="K2287" s="73"/>
      <c r="L2287" s="73"/>
      <c r="M2287" s="73"/>
      <c r="N2287" s="73"/>
      <c r="O2287" s="73"/>
      <c r="P2287" s="73"/>
      <c r="Q2287" s="73"/>
      <c r="R2287" s="73"/>
      <c r="S2287" s="73"/>
      <c r="T2287" s="73"/>
      <c r="U2287" s="73"/>
      <c r="V2287" s="73"/>
      <c r="W2287" s="73"/>
      <c r="GL2287" s="73"/>
      <c r="GM2287" s="73"/>
      <c r="GN2287" s="73"/>
      <c r="GO2287" s="73"/>
      <c r="GP2287" s="73"/>
      <c r="GQ2287" s="73"/>
      <c r="GR2287" s="73"/>
      <c r="GS2287" s="73"/>
      <c r="GT2287" s="73"/>
      <c r="GU2287" s="73"/>
      <c r="GV2287" s="73"/>
      <c r="GW2287" s="73"/>
      <c r="GX2287" s="73"/>
      <c r="GY2287" s="73"/>
      <c r="GZ2287" s="73"/>
      <c r="HA2287" s="73"/>
      <c r="HB2287" s="73"/>
      <c r="HC2287" s="73"/>
      <c r="HD2287" s="73"/>
      <c r="HE2287" s="73"/>
      <c r="HF2287" s="73"/>
      <c r="HG2287" s="73"/>
      <c r="HH2287" s="73"/>
      <c r="HI2287" s="73"/>
      <c r="HJ2287" s="73"/>
      <c r="HK2287" s="73"/>
      <c r="HL2287" s="73"/>
      <c r="HM2287" s="73"/>
      <c r="HN2287" s="73"/>
      <c r="HO2287" s="73"/>
      <c r="HP2287" s="73"/>
      <c r="HQ2287" s="73"/>
      <c r="HR2287" s="73"/>
      <c r="HS2287" s="73"/>
      <c r="HT2287" s="73"/>
      <c r="HU2287" s="73"/>
      <c r="HV2287" s="73"/>
      <c r="HW2287" s="73"/>
      <c r="HX2287" s="73"/>
      <c r="HY2287" s="73"/>
      <c r="HZ2287" s="73"/>
      <c r="IA2287" s="73"/>
      <c r="IB2287" s="73"/>
      <c r="IC2287" s="73"/>
      <c r="ID2287" s="73"/>
      <c r="IE2287" s="73"/>
      <c r="IF2287" s="73"/>
      <c r="IG2287" s="73"/>
      <c r="IH2287" s="73"/>
      <c r="II2287" s="73"/>
      <c r="IJ2287" s="73"/>
      <c r="IK2287" s="73"/>
      <c r="IL2287" s="73"/>
      <c r="IM2287" s="73"/>
      <c r="IN2287" s="73"/>
      <c r="IO2287" s="73"/>
      <c r="IP2287" s="73"/>
      <c r="IQ2287" s="73"/>
      <c r="IR2287" s="73"/>
      <c r="IS2287" s="73"/>
      <c r="IT2287" s="73"/>
      <c r="IU2287" s="73"/>
      <c r="IV2287" s="73"/>
      <c r="IW2287" s="73"/>
      <c r="IX2287" s="73"/>
      <c r="IY2287" s="73"/>
      <c r="IZ2287" s="73"/>
      <c r="JA2287" s="73"/>
      <c r="JB2287" s="73"/>
      <c r="JC2287" s="73"/>
    </row>
    <row r="2288" spans="2:263" s="72" customFormat="1">
      <c r="B2288" s="73"/>
      <c r="C2288" s="73"/>
      <c r="D2288" s="73"/>
      <c r="E2288" s="73"/>
      <c r="F2288" s="73"/>
      <c r="G2288" s="73"/>
      <c r="H2288" s="73"/>
      <c r="I2288" s="73"/>
      <c r="J2288" s="73"/>
      <c r="K2288" s="73"/>
      <c r="L2288" s="73"/>
      <c r="M2288" s="73"/>
      <c r="N2288" s="73"/>
      <c r="O2288" s="73"/>
      <c r="P2288" s="73"/>
      <c r="Q2288" s="73"/>
      <c r="R2288" s="73"/>
      <c r="S2288" s="73"/>
      <c r="T2288" s="73"/>
      <c r="U2288" s="73"/>
      <c r="V2288" s="73"/>
      <c r="W2288" s="73"/>
      <c r="GL2288" s="73"/>
      <c r="GM2288" s="73"/>
      <c r="GN2288" s="73"/>
      <c r="GO2288" s="73"/>
      <c r="GP2288" s="73"/>
      <c r="GQ2288" s="73"/>
      <c r="GR2288" s="73"/>
      <c r="GS2288" s="73"/>
      <c r="GT2288" s="73"/>
      <c r="GU2288" s="73"/>
      <c r="GV2288" s="73"/>
      <c r="GW2288" s="73"/>
      <c r="GX2288" s="73"/>
      <c r="GY2288" s="73"/>
      <c r="GZ2288" s="73"/>
      <c r="HA2288" s="73"/>
      <c r="HB2288" s="73"/>
      <c r="HC2288" s="73"/>
      <c r="HD2288" s="73"/>
      <c r="HE2288" s="73"/>
      <c r="HF2288" s="73"/>
      <c r="HG2288" s="73"/>
      <c r="HH2288" s="73"/>
      <c r="HI2288" s="73"/>
      <c r="HJ2288" s="73"/>
      <c r="HK2288" s="73"/>
      <c r="HL2288" s="73"/>
      <c r="HM2288" s="73"/>
      <c r="HN2288" s="73"/>
      <c r="HO2288" s="73"/>
      <c r="HP2288" s="73"/>
      <c r="HQ2288" s="73"/>
      <c r="HR2288" s="73"/>
      <c r="HS2288" s="73"/>
      <c r="HT2288" s="73"/>
      <c r="HU2288" s="73"/>
      <c r="HV2288" s="73"/>
      <c r="HW2288" s="73"/>
      <c r="HX2288" s="73"/>
      <c r="HY2288" s="73"/>
      <c r="HZ2288" s="73"/>
      <c r="IA2288" s="73"/>
      <c r="IB2288" s="73"/>
      <c r="IC2288" s="73"/>
      <c r="ID2288" s="73"/>
      <c r="IE2288" s="73"/>
      <c r="IF2288" s="73"/>
      <c r="IG2288" s="73"/>
      <c r="IH2288" s="73"/>
      <c r="II2288" s="73"/>
      <c r="IJ2288" s="73"/>
      <c r="IK2288" s="73"/>
      <c r="IL2288" s="73"/>
      <c r="IM2288" s="73"/>
      <c r="IN2288" s="73"/>
      <c r="IO2288" s="73"/>
      <c r="IP2288" s="73"/>
      <c r="IQ2288" s="73"/>
      <c r="IR2288" s="73"/>
      <c r="IS2288" s="73"/>
      <c r="IT2288" s="73"/>
      <c r="IU2288" s="73"/>
      <c r="IV2288" s="73"/>
      <c r="IW2288" s="73"/>
      <c r="IX2288" s="73"/>
      <c r="IY2288" s="73"/>
      <c r="IZ2288" s="73"/>
      <c r="JA2288" s="73"/>
      <c r="JB2288" s="73"/>
      <c r="JC2288" s="73"/>
    </row>
    <row r="2289" spans="2:263" s="72" customFormat="1">
      <c r="B2289" s="73"/>
      <c r="C2289" s="73"/>
      <c r="D2289" s="73"/>
      <c r="E2289" s="73"/>
      <c r="F2289" s="73"/>
      <c r="G2289" s="73"/>
      <c r="H2289" s="73"/>
      <c r="I2289" s="73"/>
      <c r="J2289" s="73"/>
      <c r="K2289" s="73"/>
      <c r="L2289" s="73"/>
      <c r="M2289" s="73"/>
      <c r="N2289" s="73"/>
      <c r="O2289" s="73"/>
      <c r="P2289" s="73"/>
      <c r="Q2289" s="73"/>
      <c r="R2289" s="73"/>
      <c r="S2289" s="73"/>
      <c r="T2289" s="73"/>
      <c r="U2289" s="73"/>
      <c r="V2289" s="73"/>
      <c r="W2289" s="73"/>
      <c r="GL2289" s="73"/>
      <c r="GM2289" s="73"/>
      <c r="GN2289" s="73"/>
      <c r="GO2289" s="73"/>
      <c r="GP2289" s="73"/>
      <c r="GQ2289" s="73"/>
      <c r="GR2289" s="73"/>
      <c r="GS2289" s="73"/>
      <c r="GT2289" s="73"/>
      <c r="GU2289" s="73"/>
      <c r="GV2289" s="73"/>
      <c r="GW2289" s="73"/>
      <c r="GX2289" s="73"/>
      <c r="GY2289" s="73"/>
      <c r="GZ2289" s="73"/>
      <c r="HA2289" s="73"/>
      <c r="HB2289" s="73"/>
      <c r="HC2289" s="73"/>
      <c r="HD2289" s="73"/>
      <c r="HE2289" s="73"/>
      <c r="HF2289" s="73"/>
      <c r="HG2289" s="73"/>
      <c r="HH2289" s="73"/>
      <c r="HI2289" s="73"/>
      <c r="HJ2289" s="73"/>
      <c r="HK2289" s="73"/>
      <c r="HL2289" s="73"/>
      <c r="HM2289" s="73"/>
      <c r="HN2289" s="73"/>
      <c r="HO2289" s="73"/>
      <c r="HP2289" s="73"/>
      <c r="HQ2289" s="73"/>
      <c r="HR2289" s="73"/>
      <c r="HS2289" s="73"/>
      <c r="HT2289" s="73"/>
      <c r="HU2289" s="73"/>
      <c r="HV2289" s="73"/>
      <c r="HW2289" s="73"/>
      <c r="HX2289" s="73"/>
      <c r="HY2289" s="73"/>
      <c r="HZ2289" s="73"/>
      <c r="IA2289" s="73"/>
      <c r="IB2289" s="73"/>
      <c r="IC2289" s="73"/>
      <c r="ID2289" s="73"/>
      <c r="IE2289" s="73"/>
      <c r="IF2289" s="73"/>
      <c r="IG2289" s="73"/>
      <c r="IH2289" s="73"/>
      <c r="II2289" s="73"/>
      <c r="IJ2289" s="73"/>
      <c r="IK2289" s="73"/>
      <c r="IL2289" s="73"/>
      <c r="IM2289" s="73"/>
      <c r="IN2289" s="73"/>
      <c r="IO2289" s="73"/>
      <c r="IP2289" s="73"/>
      <c r="IQ2289" s="73"/>
      <c r="IR2289" s="73"/>
      <c r="IS2289" s="73"/>
      <c r="IT2289" s="73"/>
      <c r="IU2289" s="73"/>
      <c r="IV2289" s="73"/>
      <c r="IW2289" s="73"/>
      <c r="IX2289" s="73"/>
      <c r="IY2289" s="73"/>
      <c r="IZ2289" s="73"/>
      <c r="JA2289" s="73"/>
      <c r="JB2289" s="73"/>
      <c r="JC2289" s="73"/>
    </row>
    <row r="2290" spans="2:263" s="72" customFormat="1">
      <c r="B2290" s="73"/>
      <c r="C2290" s="73"/>
      <c r="D2290" s="73"/>
      <c r="E2290" s="73"/>
      <c r="F2290" s="73"/>
      <c r="G2290" s="73"/>
      <c r="H2290" s="73"/>
      <c r="I2290" s="73"/>
      <c r="J2290" s="73"/>
      <c r="K2290" s="73"/>
      <c r="L2290" s="73"/>
      <c r="M2290" s="73"/>
      <c r="N2290" s="73"/>
      <c r="O2290" s="73"/>
      <c r="P2290" s="73"/>
      <c r="Q2290" s="73"/>
      <c r="R2290" s="73"/>
      <c r="S2290" s="73"/>
      <c r="T2290" s="73"/>
      <c r="U2290" s="73"/>
      <c r="V2290" s="73"/>
      <c r="W2290" s="73"/>
      <c r="GL2290" s="73"/>
      <c r="GM2290" s="73"/>
      <c r="GN2290" s="73"/>
      <c r="GO2290" s="73"/>
      <c r="GP2290" s="73"/>
      <c r="GQ2290" s="73"/>
      <c r="GR2290" s="73"/>
      <c r="GS2290" s="73"/>
      <c r="GT2290" s="73"/>
      <c r="GU2290" s="73"/>
      <c r="GV2290" s="73"/>
      <c r="GW2290" s="73"/>
      <c r="GX2290" s="73"/>
      <c r="GY2290" s="73"/>
      <c r="GZ2290" s="73"/>
      <c r="HA2290" s="73"/>
      <c r="HB2290" s="73"/>
      <c r="HC2290" s="73"/>
      <c r="HD2290" s="73"/>
      <c r="HE2290" s="73"/>
      <c r="HF2290" s="73"/>
      <c r="HG2290" s="73"/>
      <c r="HH2290" s="73"/>
      <c r="HI2290" s="73"/>
      <c r="HJ2290" s="73"/>
      <c r="HK2290" s="73"/>
      <c r="HL2290" s="73"/>
      <c r="HM2290" s="73"/>
      <c r="HN2290" s="73"/>
      <c r="HO2290" s="73"/>
      <c r="HP2290" s="73"/>
      <c r="HQ2290" s="73"/>
      <c r="HR2290" s="73"/>
      <c r="HS2290" s="73"/>
      <c r="HT2290" s="73"/>
      <c r="HU2290" s="73"/>
      <c r="HV2290" s="73"/>
      <c r="HW2290" s="73"/>
      <c r="HX2290" s="73"/>
      <c r="HY2290" s="73"/>
      <c r="HZ2290" s="73"/>
      <c r="IA2290" s="73"/>
      <c r="IB2290" s="73"/>
      <c r="IC2290" s="73"/>
      <c r="ID2290" s="73"/>
      <c r="IE2290" s="73"/>
      <c r="IF2290" s="73"/>
      <c r="IG2290" s="73"/>
      <c r="IH2290" s="73"/>
      <c r="II2290" s="73"/>
      <c r="IJ2290" s="73"/>
      <c r="IK2290" s="73"/>
      <c r="IL2290" s="73"/>
      <c r="IM2290" s="73"/>
      <c r="IN2290" s="73"/>
      <c r="IO2290" s="73"/>
      <c r="IP2290" s="73"/>
      <c r="IQ2290" s="73"/>
      <c r="IR2290" s="73"/>
      <c r="IS2290" s="73"/>
      <c r="IT2290" s="73"/>
      <c r="IU2290" s="73"/>
      <c r="IV2290" s="73"/>
      <c r="IW2290" s="73"/>
      <c r="IX2290" s="73"/>
      <c r="IY2290" s="73"/>
      <c r="IZ2290" s="73"/>
      <c r="JA2290" s="73"/>
      <c r="JB2290" s="73"/>
      <c r="JC2290" s="73"/>
    </row>
    <row r="2291" spans="2:263" s="72" customFormat="1">
      <c r="B2291" s="73"/>
      <c r="C2291" s="73"/>
      <c r="D2291" s="73"/>
      <c r="E2291" s="73"/>
      <c r="F2291" s="73"/>
      <c r="G2291" s="73"/>
      <c r="H2291" s="73"/>
      <c r="I2291" s="73"/>
      <c r="J2291" s="73"/>
      <c r="K2291" s="73"/>
      <c r="L2291" s="73"/>
      <c r="M2291" s="73"/>
      <c r="N2291" s="73"/>
      <c r="O2291" s="73"/>
      <c r="P2291" s="73"/>
      <c r="Q2291" s="73"/>
      <c r="R2291" s="73"/>
      <c r="S2291" s="73"/>
      <c r="T2291" s="73"/>
      <c r="U2291" s="73"/>
      <c r="V2291" s="73"/>
      <c r="W2291" s="73"/>
      <c r="GL2291" s="73"/>
      <c r="GM2291" s="73"/>
      <c r="GN2291" s="73"/>
      <c r="GO2291" s="73"/>
      <c r="GP2291" s="73"/>
      <c r="GQ2291" s="73"/>
      <c r="GR2291" s="73"/>
      <c r="GS2291" s="73"/>
      <c r="GT2291" s="73"/>
      <c r="GU2291" s="73"/>
      <c r="GV2291" s="73"/>
      <c r="GW2291" s="73"/>
      <c r="GX2291" s="73"/>
      <c r="GY2291" s="73"/>
      <c r="GZ2291" s="73"/>
      <c r="HA2291" s="73"/>
      <c r="HB2291" s="73"/>
      <c r="HC2291" s="73"/>
      <c r="HD2291" s="73"/>
      <c r="HE2291" s="73"/>
      <c r="HF2291" s="73"/>
      <c r="HG2291" s="73"/>
      <c r="HH2291" s="73"/>
      <c r="HI2291" s="73"/>
      <c r="HJ2291" s="73"/>
      <c r="HK2291" s="73"/>
      <c r="HL2291" s="73"/>
      <c r="HM2291" s="73"/>
      <c r="HN2291" s="73"/>
      <c r="HO2291" s="73"/>
      <c r="HP2291" s="73"/>
      <c r="HQ2291" s="73"/>
      <c r="HR2291" s="73"/>
      <c r="HS2291" s="73"/>
      <c r="HT2291" s="73"/>
      <c r="HU2291" s="73"/>
      <c r="HV2291" s="73"/>
      <c r="HW2291" s="73"/>
      <c r="HX2291" s="73"/>
      <c r="HY2291" s="73"/>
      <c r="HZ2291" s="73"/>
      <c r="IA2291" s="73"/>
      <c r="IB2291" s="73"/>
      <c r="IC2291" s="73"/>
      <c r="ID2291" s="73"/>
      <c r="IE2291" s="73"/>
      <c r="IF2291" s="73"/>
      <c r="IG2291" s="73"/>
      <c r="IH2291" s="73"/>
      <c r="II2291" s="73"/>
      <c r="IJ2291" s="73"/>
      <c r="IK2291" s="73"/>
      <c r="IL2291" s="73"/>
      <c r="IM2291" s="73"/>
      <c r="IN2291" s="73"/>
      <c r="IO2291" s="73"/>
      <c r="IP2291" s="73"/>
      <c r="IQ2291" s="73"/>
      <c r="IR2291" s="73"/>
      <c r="IS2291" s="73"/>
      <c r="IT2291" s="73"/>
      <c r="IU2291" s="73"/>
      <c r="IV2291" s="73"/>
      <c r="IW2291" s="73"/>
      <c r="IX2291" s="73"/>
      <c r="IY2291" s="73"/>
      <c r="IZ2291" s="73"/>
      <c r="JA2291" s="73"/>
      <c r="JB2291" s="73"/>
      <c r="JC2291" s="73"/>
    </row>
    <row r="2292" spans="2:263" s="72" customFormat="1">
      <c r="B2292" s="73"/>
      <c r="C2292" s="73"/>
      <c r="D2292" s="73"/>
      <c r="E2292" s="73"/>
      <c r="F2292" s="73"/>
      <c r="G2292" s="73"/>
      <c r="H2292" s="73"/>
      <c r="I2292" s="73"/>
      <c r="J2292" s="73"/>
      <c r="K2292" s="73"/>
      <c r="L2292" s="73"/>
      <c r="M2292" s="73"/>
      <c r="N2292" s="73"/>
      <c r="O2292" s="73"/>
      <c r="P2292" s="73"/>
      <c r="Q2292" s="73"/>
      <c r="R2292" s="73"/>
      <c r="S2292" s="73"/>
      <c r="T2292" s="73"/>
      <c r="U2292" s="73"/>
      <c r="V2292" s="73"/>
      <c r="W2292" s="73"/>
      <c r="GL2292" s="73"/>
      <c r="GM2292" s="73"/>
      <c r="GN2292" s="73"/>
      <c r="GO2292" s="73"/>
      <c r="GP2292" s="73"/>
      <c r="GQ2292" s="73"/>
      <c r="GR2292" s="73"/>
      <c r="GS2292" s="73"/>
      <c r="GT2292" s="73"/>
      <c r="GU2292" s="73"/>
      <c r="GV2292" s="73"/>
      <c r="GW2292" s="73"/>
      <c r="GX2292" s="73"/>
      <c r="GY2292" s="73"/>
      <c r="GZ2292" s="73"/>
      <c r="HA2292" s="73"/>
      <c r="HB2292" s="73"/>
      <c r="HC2292" s="73"/>
      <c r="HD2292" s="73"/>
      <c r="HE2292" s="73"/>
      <c r="HF2292" s="73"/>
      <c r="HG2292" s="73"/>
      <c r="HH2292" s="73"/>
      <c r="HI2292" s="73"/>
      <c r="HJ2292" s="73"/>
      <c r="HK2292" s="73"/>
      <c r="HL2292" s="73"/>
      <c r="HM2292" s="73"/>
      <c r="HN2292" s="73"/>
      <c r="HO2292" s="73"/>
      <c r="HP2292" s="73"/>
      <c r="HQ2292" s="73"/>
      <c r="HR2292" s="73"/>
      <c r="HS2292" s="73"/>
      <c r="HT2292" s="73"/>
      <c r="HU2292" s="73"/>
      <c r="HV2292" s="73"/>
      <c r="HW2292" s="73"/>
      <c r="HX2292" s="73"/>
      <c r="HY2292" s="73"/>
      <c r="HZ2292" s="73"/>
      <c r="IA2292" s="73"/>
      <c r="IB2292" s="73"/>
      <c r="IC2292" s="73"/>
      <c r="ID2292" s="73"/>
      <c r="IE2292" s="73"/>
      <c r="IF2292" s="73"/>
      <c r="IG2292" s="73"/>
      <c r="IH2292" s="73"/>
      <c r="II2292" s="73"/>
      <c r="IJ2292" s="73"/>
      <c r="IK2292" s="73"/>
      <c r="IL2292" s="73"/>
      <c r="IM2292" s="73"/>
      <c r="IN2292" s="73"/>
      <c r="IO2292" s="73"/>
      <c r="IP2292" s="73"/>
      <c r="IQ2292" s="73"/>
      <c r="IR2292" s="73"/>
      <c r="IS2292" s="73"/>
      <c r="IT2292" s="73"/>
      <c r="IU2292" s="73"/>
      <c r="IV2292" s="73"/>
      <c r="IW2292" s="73"/>
      <c r="IX2292" s="73"/>
      <c r="IY2292" s="73"/>
      <c r="IZ2292" s="73"/>
      <c r="JA2292" s="73"/>
      <c r="JB2292" s="73"/>
      <c r="JC2292" s="73"/>
    </row>
    <row r="2293" spans="2:263" s="72" customFormat="1">
      <c r="B2293" s="73"/>
      <c r="C2293" s="73"/>
      <c r="D2293" s="73"/>
      <c r="E2293" s="73"/>
      <c r="F2293" s="73"/>
      <c r="G2293" s="73"/>
      <c r="H2293" s="73"/>
      <c r="I2293" s="73"/>
      <c r="J2293" s="73"/>
      <c r="K2293" s="73"/>
      <c r="L2293" s="73"/>
      <c r="M2293" s="73"/>
      <c r="N2293" s="73"/>
      <c r="O2293" s="73"/>
      <c r="P2293" s="73"/>
      <c r="Q2293" s="73"/>
      <c r="R2293" s="73"/>
      <c r="S2293" s="73"/>
      <c r="T2293" s="73"/>
      <c r="U2293" s="73"/>
      <c r="V2293" s="73"/>
      <c r="W2293" s="73"/>
      <c r="GL2293" s="73"/>
      <c r="GM2293" s="73"/>
      <c r="GN2293" s="73"/>
      <c r="GO2293" s="73"/>
      <c r="GP2293" s="73"/>
      <c r="GQ2293" s="73"/>
      <c r="GR2293" s="73"/>
      <c r="GS2293" s="73"/>
      <c r="GT2293" s="73"/>
      <c r="GU2293" s="73"/>
      <c r="GV2293" s="73"/>
      <c r="GW2293" s="73"/>
      <c r="GX2293" s="73"/>
      <c r="GY2293" s="73"/>
      <c r="GZ2293" s="73"/>
      <c r="HA2293" s="73"/>
      <c r="HB2293" s="73"/>
      <c r="HC2293" s="73"/>
      <c r="HD2293" s="73"/>
      <c r="HE2293" s="73"/>
      <c r="HF2293" s="73"/>
      <c r="HG2293" s="73"/>
      <c r="HH2293" s="73"/>
      <c r="HI2293" s="73"/>
      <c r="HJ2293" s="73"/>
      <c r="HK2293" s="73"/>
      <c r="HL2293" s="73"/>
      <c r="HM2293" s="73"/>
      <c r="HN2293" s="73"/>
      <c r="HO2293" s="73"/>
      <c r="HP2293" s="73"/>
      <c r="HQ2293" s="73"/>
      <c r="HR2293" s="73"/>
      <c r="HS2293" s="73"/>
      <c r="HT2293" s="73"/>
      <c r="HU2293" s="73"/>
      <c r="HV2293" s="73"/>
      <c r="HW2293" s="73"/>
      <c r="HX2293" s="73"/>
      <c r="HY2293" s="73"/>
      <c r="HZ2293" s="73"/>
      <c r="IA2293" s="73"/>
      <c r="IB2293" s="73"/>
      <c r="IC2293" s="73"/>
      <c r="ID2293" s="73"/>
      <c r="IE2293" s="73"/>
      <c r="IF2293" s="73"/>
      <c r="IG2293" s="73"/>
      <c r="IH2293" s="73"/>
      <c r="II2293" s="73"/>
      <c r="IJ2293" s="73"/>
      <c r="IK2293" s="73"/>
      <c r="IL2293" s="73"/>
      <c r="IM2293" s="73"/>
      <c r="IN2293" s="73"/>
      <c r="IO2293" s="73"/>
      <c r="IP2293" s="73"/>
      <c r="IQ2293" s="73"/>
      <c r="IR2293" s="73"/>
      <c r="IS2293" s="73"/>
      <c r="IT2293" s="73"/>
      <c r="IU2293" s="73"/>
      <c r="IV2293" s="73"/>
      <c r="IW2293" s="73"/>
      <c r="IX2293" s="73"/>
      <c r="IY2293" s="73"/>
      <c r="IZ2293" s="73"/>
      <c r="JA2293" s="73"/>
      <c r="JB2293" s="73"/>
      <c r="JC2293" s="73"/>
    </row>
    <row r="2294" spans="2:263" s="72" customFormat="1">
      <c r="B2294" s="73"/>
      <c r="C2294" s="73"/>
      <c r="D2294" s="73"/>
      <c r="E2294" s="73"/>
      <c r="F2294" s="73"/>
      <c r="G2294" s="73"/>
      <c r="H2294" s="73"/>
      <c r="I2294" s="73"/>
      <c r="J2294" s="73"/>
      <c r="K2294" s="73"/>
      <c r="L2294" s="73"/>
      <c r="M2294" s="73"/>
      <c r="N2294" s="73"/>
      <c r="O2294" s="73"/>
      <c r="P2294" s="73"/>
      <c r="Q2294" s="73"/>
      <c r="R2294" s="73"/>
      <c r="S2294" s="73"/>
      <c r="T2294" s="73"/>
      <c r="U2294" s="73"/>
      <c r="V2294" s="73"/>
      <c r="W2294" s="73"/>
      <c r="GL2294" s="73"/>
      <c r="GM2294" s="73"/>
      <c r="GN2294" s="73"/>
      <c r="GO2294" s="73"/>
      <c r="GP2294" s="73"/>
      <c r="GQ2294" s="73"/>
      <c r="GR2294" s="73"/>
      <c r="GS2294" s="73"/>
      <c r="GT2294" s="73"/>
      <c r="GU2294" s="73"/>
      <c r="GV2294" s="73"/>
      <c r="GW2294" s="73"/>
      <c r="GX2294" s="73"/>
      <c r="GY2294" s="73"/>
      <c r="GZ2294" s="73"/>
      <c r="HA2294" s="73"/>
      <c r="HB2294" s="73"/>
      <c r="HC2294" s="73"/>
      <c r="HD2294" s="73"/>
      <c r="HE2294" s="73"/>
      <c r="HF2294" s="73"/>
      <c r="HG2294" s="73"/>
      <c r="HH2294" s="73"/>
      <c r="HI2294" s="73"/>
      <c r="HJ2294" s="73"/>
      <c r="HK2294" s="73"/>
      <c r="HL2294" s="73"/>
      <c r="HM2294" s="73"/>
      <c r="HN2294" s="73"/>
      <c r="HO2294" s="73"/>
      <c r="HP2294" s="73"/>
      <c r="HQ2294" s="73"/>
      <c r="HR2294" s="73"/>
      <c r="HS2294" s="73"/>
      <c r="HT2294" s="73"/>
      <c r="HU2294" s="73"/>
      <c r="HV2294" s="73"/>
      <c r="HW2294" s="73"/>
      <c r="HX2294" s="73"/>
      <c r="HY2294" s="73"/>
      <c r="HZ2294" s="73"/>
      <c r="IA2294" s="73"/>
      <c r="IB2294" s="73"/>
      <c r="IC2294" s="73"/>
      <c r="ID2294" s="73"/>
      <c r="IE2294" s="73"/>
      <c r="IF2294" s="73"/>
      <c r="IG2294" s="73"/>
      <c r="IH2294" s="73"/>
      <c r="II2294" s="73"/>
      <c r="IJ2294" s="73"/>
      <c r="IK2294" s="73"/>
      <c r="IL2294" s="73"/>
      <c r="IM2294" s="73"/>
      <c r="IN2294" s="73"/>
      <c r="IO2294" s="73"/>
      <c r="IP2294" s="73"/>
      <c r="IQ2294" s="73"/>
      <c r="IR2294" s="73"/>
      <c r="IS2294" s="73"/>
      <c r="IT2294" s="73"/>
      <c r="IU2294" s="73"/>
      <c r="IV2294" s="73"/>
      <c r="IW2294" s="73"/>
      <c r="IX2294" s="73"/>
      <c r="IY2294" s="73"/>
      <c r="IZ2294" s="73"/>
      <c r="JA2294" s="73"/>
      <c r="JB2294" s="73"/>
      <c r="JC2294" s="73"/>
    </row>
    <row r="2295" spans="2:263" s="72" customFormat="1">
      <c r="B2295" s="73"/>
      <c r="C2295" s="73"/>
      <c r="D2295" s="73"/>
      <c r="E2295" s="73"/>
      <c r="F2295" s="73"/>
      <c r="G2295" s="73"/>
      <c r="H2295" s="73"/>
      <c r="I2295" s="73"/>
      <c r="J2295" s="73"/>
      <c r="K2295" s="73"/>
      <c r="L2295" s="73"/>
      <c r="M2295" s="73"/>
      <c r="N2295" s="73"/>
      <c r="O2295" s="73"/>
      <c r="P2295" s="73"/>
      <c r="Q2295" s="73"/>
      <c r="R2295" s="73"/>
      <c r="S2295" s="73"/>
      <c r="T2295" s="73"/>
      <c r="U2295" s="73"/>
      <c r="V2295" s="73"/>
      <c r="W2295" s="73"/>
      <c r="GL2295" s="73"/>
      <c r="GM2295" s="73"/>
      <c r="GN2295" s="73"/>
      <c r="GO2295" s="73"/>
      <c r="GP2295" s="73"/>
      <c r="GQ2295" s="73"/>
      <c r="GR2295" s="73"/>
      <c r="GS2295" s="73"/>
      <c r="GT2295" s="73"/>
      <c r="GU2295" s="73"/>
      <c r="GV2295" s="73"/>
      <c r="GW2295" s="73"/>
      <c r="GX2295" s="73"/>
      <c r="GY2295" s="73"/>
      <c r="GZ2295" s="73"/>
      <c r="HA2295" s="73"/>
      <c r="HB2295" s="73"/>
      <c r="HC2295" s="73"/>
      <c r="HD2295" s="73"/>
      <c r="HE2295" s="73"/>
      <c r="HF2295" s="73"/>
      <c r="HG2295" s="73"/>
      <c r="HH2295" s="73"/>
      <c r="HI2295" s="73"/>
      <c r="HJ2295" s="73"/>
      <c r="HK2295" s="73"/>
      <c r="HL2295" s="73"/>
      <c r="HM2295" s="73"/>
      <c r="HN2295" s="73"/>
      <c r="HO2295" s="73"/>
      <c r="HP2295" s="73"/>
      <c r="HQ2295" s="73"/>
      <c r="HR2295" s="73"/>
      <c r="HS2295" s="73"/>
      <c r="HT2295" s="73"/>
      <c r="HU2295" s="73"/>
      <c r="HV2295" s="73"/>
      <c r="HW2295" s="73"/>
      <c r="HX2295" s="73"/>
      <c r="HY2295" s="73"/>
      <c r="HZ2295" s="73"/>
      <c r="IA2295" s="73"/>
      <c r="IB2295" s="73"/>
      <c r="IC2295" s="73"/>
      <c r="ID2295" s="73"/>
      <c r="IE2295" s="73"/>
      <c r="IF2295" s="73"/>
      <c r="IG2295" s="73"/>
      <c r="IH2295" s="73"/>
      <c r="II2295" s="73"/>
      <c r="IJ2295" s="73"/>
      <c r="IK2295" s="73"/>
      <c r="IL2295" s="73"/>
      <c r="IM2295" s="73"/>
      <c r="IN2295" s="73"/>
      <c r="IO2295" s="73"/>
      <c r="IP2295" s="73"/>
      <c r="IQ2295" s="73"/>
      <c r="IR2295" s="73"/>
      <c r="IS2295" s="73"/>
      <c r="IT2295" s="73"/>
      <c r="IU2295" s="73"/>
      <c r="IV2295" s="73"/>
      <c r="IW2295" s="73"/>
      <c r="IX2295" s="73"/>
      <c r="IY2295" s="73"/>
      <c r="IZ2295" s="73"/>
      <c r="JA2295" s="73"/>
      <c r="JB2295" s="73"/>
      <c r="JC2295" s="73"/>
    </row>
    <row r="2296" spans="2:263" s="72" customFormat="1">
      <c r="B2296" s="73"/>
      <c r="C2296" s="73"/>
      <c r="D2296" s="73"/>
      <c r="E2296" s="73"/>
      <c r="F2296" s="73"/>
      <c r="G2296" s="73"/>
      <c r="H2296" s="73"/>
      <c r="I2296" s="73"/>
      <c r="J2296" s="73"/>
      <c r="K2296" s="73"/>
      <c r="L2296" s="73"/>
      <c r="M2296" s="73"/>
      <c r="N2296" s="73"/>
      <c r="O2296" s="73"/>
      <c r="P2296" s="73"/>
      <c r="Q2296" s="73"/>
      <c r="R2296" s="73"/>
      <c r="S2296" s="73"/>
      <c r="T2296" s="73"/>
      <c r="U2296" s="73"/>
      <c r="V2296" s="73"/>
      <c r="W2296" s="73"/>
      <c r="GL2296" s="73"/>
      <c r="GM2296" s="73"/>
      <c r="GN2296" s="73"/>
      <c r="GO2296" s="73"/>
      <c r="GP2296" s="73"/>
      <c r="GQ2296" s="73"/>
      <c r="GR2296" s="73"/>
      <c r="GS2296" s="73"/>
      <c r="GT2296" s="73"/>
      <c r="GU2296" s="73"/>
      <c r="GV2296" s="73"/>
      <c r="GW2296" s="73"/>
      <c r="GX2296" s="73"/>
      <c r="GY2296" s="73"/>
      <c r="GZ2296" s="73"/>
      <c r="HA2296" s="73"/>
      <c r="HB2296" s="73"/>
      <c r="HC2296" s="73"/>
      <c r="HD2296" s="73"/>
      <c r="HE2296" s="73"/>
      <c r="HF2296" s="73"/>
      <c r="HG2296" s="73"/>
      <c r="HH2296" s="73"/>
      <c r="HI2296" s="73"/>
      <c r="HJ2296" s="73"/>
      <c r="HK2296" s="73"/>
      <c r="HL2296" s="73"/>
      <c r="HM2296" s="73"/>
      <c r="HN2296" s="73"/>
      <c r="HO2296" s="73"/>
      <c r="HP2296" s="73"/>
      <c r="HQ2296" s="73"/>
      <c r="HR2296" s="73"/>
      <c r="HS2296" s="73"/>
      <c r="HT2296" s="73"/>
      <c r="HU2296" s="73"/>
      <c r="HV2296" s="73"/>
      <c r="HW2296" s="73"/>
      <c r="HX2296" s="73"/>
      <c r="HY2296" s="73"/>
      <c r="HZ2296" s="73"/>
      <c r="IA2296" s="73"/>
      <c r="IB2296" s="73"/>
      <c r="IC2296" s="73"/>
      <c r="ID2296" s="73"/>
      <c r="IE2296" s="73"/>
      <c r="IF2296" s="73"/>
      <c r="IG2296" s="73"/>
      <c r="IH2296" s="73"/>
      <c r="II2296" s="73"/>
      <c r="IJ2296" s="73"/>
      <c r="IK2296" s="73"/>
      <c r="IL2296" s="73"/>
      <c r="IM2296" s="73"/>
      <c r="IN2296" s="73"/>
      <c r="IO2296" s="73"/>
      <c r="IP2296" s="73"/>
      <c r="IQ2296" s="73"/>
      <c r="IR2296" s="73"/>
      <c r="IS2296" s="73"/>
      <c r="IT2296" s="73"/>
      <c r="IU2296" s="73"/>
      <c r="IV2296" s="73"/>
      <c r="IW2296" s="73"/>
      <c r="IX2296" s="73"/>
      <c r="IY2296" s="73"/>
      <c r="IZ2296" s="73"/>
      <c r="JA2296" s="73"/>
      <c r="JB2296" s="73"/>
      <c r="JC2296" s="73"/>
    </row>
    <row r="2297" spans="2:263" s="72" customFormat="1">
      <c r="B2297" s="73"/>
      <c r="C2297" s="73"/>
      <c r="D2297" s="73"/>
      <c r="E2297" s="73"/>
      <c r="F2297" s="73"/>
      <c r="G2297" s="73"/>
      <c r="H2297" s="73"/>
      <c r="I2297" s="73"/>
      <c r="J2297" s="73"/>
      <c r="K2297" s="73"/>
      <c r="L2297" s="73"/>
      <c r="M2297" s="73"/>
      <c r="N2297" s="73"/>
      <c r="O2297" s="73"/>
      <c r="P2297" s="73"/>
      <c r="Q2297" s="73"/>
      <c r="R2297" s="73"/>
      <c r="S2297" s="73"/>
      <c r="T2297" s="73"/>
      <c r="U2297" s="73"/>
      <c r="V2297" s="73"/>
      <c r="W2297" s="73"/>
      <c r="GL2297" s="73"/>
      <c r="GM2297" s="73"/>
      <c r="GN2297" s="73"/>
      <c r="GO2297" s="73"/>
      <c r="GP2297" s="73"/>
      <c r="GQ2297" s="73"/>
      <c r="GR2297" s="73"/>
      <c r="GS2297" s="73"/>
      <c r="GT2297" s="73"/>
      <c r="GU2297" s="73"/>
      <c r="GV2297" s="73"/>
      <c r="GW2297" s="73"/>
      <c r="GX2297" s="73"/>
      <c r="GY2297" s="73"/>
      <c r="GZ2297" s="73"/>
      <c r="HA2297" s="73"/>
      <c r="HB2297" s="73"/>
      <c r="HC2297" s="73"/>
      <c r="HD2297" s="73"/>
      <c r="HE2297" s="73"/>
      <c r="HF2297" s="73"/>
      <c r="HG2297" s="73"/>
      <c r="HH2297" s="73"/>
      <c r="HI2297" s="73"/>
      <c r="HJ2297" s="73"/>
      <c r="HK2297" s="73"/>
      <c r="HL2297" s="73"/>
      <c r="HM2297" s="73"/>
      <c r="HN2297" s="73"/>
      <c r="HO2297" s="73"/>
      <c r="HP2297" s="73"/>
      <c r="HQ2297" s="73"/>
      <c r="HR2297" s="73"/>
      <c r="HS2297" s="73"/>
      <c r="HT2297" s="73"/>
      <c r="HU2297" s="73"/>
      <c r="HV2297" s="73"/>
      <c r="HW2297" s="73"/>
      <c r="HX2297" s="73"/>
      <c r="HY2297" s="73"/>
      <c r="HZ2297" s="73"/>
      <c r="IA2297" s="73"/>
      <c r="IB2297" s="73"/>
      <c r="IC2297" s="73"/>
      <c r="ID2297" s="73"/>
      <c r="IE2297" s="73"/>
      <c r="IF2297" s="73"/>
      <c r="IG2297" s="73"/>
      <c r="IH2297" s="73"/>
      <c r="II2297" s="73"/>
      <c r="IJ2297" s="73"/>
      <c r="IK2297" s="73"/>
      <c r="IL2297" s="73"/>
      <c r="IM2297" s="73"/>
      <c r="IN2297" s="73"/>
      <c r="IO2297" s="73"/>
      <c r="IP2297" s="73"/>
      <c r="IQ2297" s="73"/>
      <c r="IR2297" s="73"/>
      <c r="IS2297" s="73"/>
      <c r="IT2297" s="73"/>
      <c r="IU2297" s="73"/>
      <c r="IV2297" s="73"/>
      <c r="IW2297" s="73"/>
      <c r="IX2297" s="73"/>
      <c r="IY2297" s="73"/>
      <c r="IZ2297" s="73"/>
      <c r="JA2297" s="73"/>
      <c r="JB2297" s="73"/>
      <c r="JC2297" s="73"/>
    </row>
    <row r="2298" spans="2:263" s="72" customFormat="1">
      <c r="B2298" s="73"/>
      <c r="C2298" s="73"/>
      <c r="D2298" s="73"/>
      <c r="E2298" s="73"/>
      <c r="F2298" s="73"/>
      <c r="G2298" s="73"/>
      <c r="H2298" s="73"/>
      <c r="I2298" s="73"/>
      <c r="J2298" s="73"/>
      <c r="K2298" s="73"/>
      <c r="L2298" s="73"/>
      <c r="M2298" s="73"/>
      <c r="N2298" s="73"/>
      <c r="O2298" s="73"/>
      <c r="P2298" s="73"/>
      <c r="Q2298" s="73"/>
      <c r="R2298" s="73"/>
      <c r="S2298" s="73"/>
      <c r="T2298" s="73"/>
      <c r="U2298" s="73"/>
      <c r="V2298" s="73"/>
      <c r="W2298" s="73"/>
      <c r="GL2298" s="73"/>
      <c r="GM2298" s="73"/>
      <c r="GN2298" s="73"/>
      <c r="GO2298" s="73"/>
      <c r="GP2298" s="73"/>
      <c r="GQ2298" s="73"/>
      <c r="GR2298" s="73"/>
      <c r="GS2298" s="73"/>
      <c r="GT2298" s="73"/>
      <c r="GU2298" s="73"/>
      <c r="GV2298" s="73"/>
      <c r="GW2298" s="73"/>
      <c r="GX2298" s="73"/>
      <c r="GY2298" s="73"/>
      <c r="GZ2298" s="73"/>
      <c r="HA2298" s="73"/>
      <c r="HB2298" s="73"/>
      <c r="HC2298" s="73"/>
      <c r="HD2298" s="73"/>
      <c r="HE2298" s="73"/>
      <c r="HF2298" s="73"/>
      <c r="HG2298" s="73"/>
      <c r="HH2298" s="73"/>
      <c r="HI2298" s="73"/>
      <c r="HJ2298" s="73"/>
      <c r="HK2298" s="73"/>
      <c r="HL2298" s="73"/>
      <c r="HM2298" s="73"/>
      <c r="HN2298" s="73"/>
      <c r="HO2298" s="73"/>
      <c r="HP2298" s="73"/>
      <c r="HQ2298" s="73"/>
      <c r="HR2298" s="73"/>
      <c r="HS2298" s="73"/>
      <c r="HT2298" s="73"/>
      <c r="HU2298" s="73"/>
      <c r="HV2298" s="73"/>
      <c r="HW2298" s="73"/>
      <c r="HX2298" s="73"/>
      <c r="HY2298" s="73"/>
      <c r="HZ2298" s="73"/>
      <c r="IA2298" s="73"/>
      <c r="IB2298" s="73"/>
      <c r="IC2298" s="73"/>
      <c r="ID2298" s="73"/>
      <c r="IE2298" s="73"/>
      <c r="IF2298" s="73"/>
      <c r="IG2298" s="73"/>
      <c r="IH2298" s="73"/>
      <c r="II2298" s="73"/>
      <c r="IJ2298" s="73"/>
      <c r="IK2298" s="73"/>
      <c r="IL2298" s="73"/>
      <c r="IM2298" s="73"/>
      <c r="IN2298" s="73"/>
      <c r="IO2298" s="73"/>
      <c r="IP2298" s="73"/>
      <c r="IQ2298" s="73"/>
      <c r="IR2298" s="73"/>
      <c r="IS2298" s="73"/>
      <c r="IT2298" s="73"/>
      <c r="IU2298" s="73"/>
      <c r="IV2298" s="73"/>
      <c r="IW2298" s="73"/>
      <c r="IX2298" s="73"/>
      <c r="IY2298" s="73"/>
      <c r="IZ2298" s="73"/>
      <c r="JA2298" s="73"/>
      <c r="JB2298" s="73"/>
      <c r="JC2298" s="73"/>
    </row>
    <row r="2299" spans="2:263" s="72" customFormat="1">
      <c r="B2299" s="73"/>
      <c r="C2299" s="73"/>
      <c r="D2299" s="73"/>
      <c r="E2299" s="73"/>
      <c r="F2299" s="73"/>
      <c r="G2299" s="73"/>
      <c r="H2299" s="73"/>
      <c r="I2299" s="73"/>
      <c r="J2299" s="73"/>
      <c r="K2299" s="73"/>
      <c r="L2299" s="73"/>
      <c r="M2299" s="73"/>
      <c r="N2299" s="73"/>
      <c r="O2299" s="73"/>
      <c r="P2299" s="73"/>
      <c r="Q2299" s="73"/>
      <c r="R2299" s="73"/>
      <c r="S2299" s="73"/>
      <c r="T2299" s="73"/>
      <c r="U2299" s="73"/>
      <c r="V2299" s="73"/>
      <c r="W2299" s="73"/>
      <c r="GL2299" s="73"/>
      <c r="GM2299" s="73"/>
      <c r="GN2299" s="73"/>
      <c r="GO2299" s="73"/>
      <c r="GP2299" s="73"/>
      <c r="GQ2299" s="73"/>
      <c r="GR2299" s="73"/>
      <c r="GS2299" s="73"/>
      <c r="GT2299" s="73"/>
      <c r="GU2299" s="73"/>
      <c r="GV2299" s="73"/>
      <c r="GW2299" s="73"/>
      <c r="GX2299" s="73"/>
      <c r="GY2299" s="73"/>
      <c r="GZ2299" s="73"/>
      <c r="HA2299" s="73"/>
      <c r="HB2299" s="73"/>
      <c r="HC2299" s="73"/>
      <c r="HD2299" s="73"/>
      <c r="HE2299" s="73"/>
      <c r="HF2299" s="73"/>
      <c r="HG2299" s="73"/>
      <c r="HH2299" s="73"/>
      <c r="HI2299" s="73"/>
      <c r="HJ2299" s="73"/>
      <c r="HK2299" s="73"/>
      <c r="HL2299" s="73"/>
      <c r="HM2299" s="73"/>
      <c r="HN2299" s="73"/>
      <c r="HO2299" s="73"/>
      <c r="HP2299" s="73"/>
      <c r="HQ2299" s="73"/>
      <c r="HR2299" s="73"/>
      <c r="HS2299" s="73"/>
      <c r="HT2299" s="73"/>
      <c r="HU2299" s="73"/>
      <c r="HV2299" s="73"/>
      <c r="HW2299" s="73"/>
      <c r="HX2299" s="73"/>
      <c r="HY2299" s="73"/>
      <c r="HZ2299" s="73"/>
      <c r="IA2299" s="73"/>
      <c r="IB2299" s="73"/>
      <c r="IC2299" s="73"/>
      <c r="ID2299" s="73"/>
      <c r="IE2299" s="73"/>
      <c r="IF2299" s="73"/>
      <c r="IG2299" s="73"/>
      <c r="IH2299" s="73"/>
      <c r="II2299" s="73"/>
      <c r="IJ2299" s="73"/>
      <c r="IK2299" s="73"/>
      <c r="IL2299" s="73"/>
      <c r="IM2299" s="73"/>
      <c r="IN2299" s="73"/>
      <c r="IO2299" s="73"/>
      <c r="IP2299" s="73"/>
      <c r="IQ2299" s="73"/>
      <c r="IR2299" s="73"/>
      <c r="IS2299" s="73"/>
      <c r="IT2299" s="73"/>
      <c r="IU2299" s="73"/>
      <c r="IV2299" s="73"/>
      <c r="IW2299" s="73"/>
      <c r="IX2299" s="73"/>
      <c r="IY2299" s="73"/>
      <c r="IZ2299" s="73"/>
      <c r="JA2299" s="73"/>
      <c r="JB2299" s="73"/>
      <c r="JC2299" s="73"/>
    </row>
    <row r="2300" spans="2:263" s="72" customFormat="1">
      <c r="B2300" s="73"/>
      <c r="C2300" s="73"/>
      <c r="D2300" s="73"/>
      <c r="E2300" s="73"/>
      <c r="F2300" s="73"/>
      <c r="G2300" s="73"/>
      <c r="H2300" s="73"/>
      <c r="I2300" s="73"/>
      <c r="J2300" s="73"/>
      <c r="K2300" s="73"/>
      <c r="L2300" s="73"/>
      <c r="M2300" s="73"/>
      <c r="N2300" s="73"/>
      <c r="O2300" s="73"/>
      <c r="P2300" s="73"/>
      <c r="Q2300" s="73"/>
      <c r="R2300" s="73"/>
      <c r="S2300" s="73"/>
      <c r="T2300" s="73"/>
      <c r="U2300" s="73"/>
      <c r="V2300" s="73"/>
      <c r="W2300" s="73"/>
      <c r="GL2300" s="73"/>
      <c r="GM2300" s="73"/>
      <c r="GN2300" s="73"/>
      <c r="GO2300" s="73"/>
      <c r="GP2300" s="73"/>
      <c r="GQ2300" s="73"/>
      <c r="GR2300" s="73"/>
      <c r="GS2300" s="73"/>
      <c r="GT2300" s="73"/>
      <c r="GU2300" s="73"/>
      <c r="GV2300" s="73"/>
      <c r="GW2300" s="73"/>
      <c r="GX2300" s="73"/>
      <c r="GY2300" s="73"/>
      <c r="GZ2300" s="73"/>
      <c r="HA2300" s="73"/>
      <c r="HB2300" s="73"/>
      <c r="HC2300" s="73"/>
      <c r="HD2300" s="73"/>
      <c r="HE2300" s="73"/>
      <c r="HF2300" s="73"/>
      <c r="HG2300" s="73"/>
      <c r="HH2300" s="73"/>
      <c r="HI2300" s="73"/>
      <c r="HJ2300" s="73"/>
      <c r="HK2300" s="73"/>
      <c r="HL2300" s="73"/>
      <c r="HM2300" s="73"/>
      <c r="HN2300" s="73"/>
      <c r="HO2300" s="73"/>
      <c r="HP2300" s="73"/>
      <c r="HQ2300" s="73"/>
      <c r="HR2300" s="73"/>
      <c r="HS2300" s="73"/>
      <c r="HT2300" s="73"/>
      <c r="HU2300" s="73"/>
      <c r="HV2300" s="73"/>
      <c r="HW2300" s="73"/>
      <c r="HX2300" s="73"/>
      <c r="HY2300" s="73"/>
      <c r="HZ2300" s="73"/>
      <c r="IA2300" s="73"/>
      <c r="IB2300" s="73"/>
      <c r="IC2300" s="73"/>
      <c r="ID2300" s="73"/>
      <c r="IE2300" s="73"/>
      <c r="IF2300" s="73"/>
      <c r="IG2300" s="73"/>
      <c r="IH2300" s="73"/>
      <c r="II2300" s="73"/>
      <c r="IJ2300" s="73"/>
      <c r="IK2300" s="73"/>
      <c r="IL2300" s="73"/>
      <c r="IM2300" s="73"/>
      <c r="IN2300" s="73"/>
      <c r="IO2300" s="73"/>
      <c r="IP2300" s="73"/>
      <c r="IQ2300" s="73"/>
      <c r="IR2300" s="73"/>
      <c r="IS2300" s="73"/>
      <c r="IT2300" s="73"/>
      <c r="IU2300" s="73"/>
      <c r="IV2300" s="73"/>
      <c r="IW2300" s="73"/>
      <c r="IX2300" s="73"/>
      <c r="IY2300" s="73"/>
      <c r="IZ2300" s="73"/>
      <c r="JA2300" s="73"/>
      <c r="JB2300" s="73"/>
      <c r="JC2300" s="73"/>
    </row>
    <row r="2301" spans="2:263" s="72" customFormat="1">
      <c r="B2301" s="73"/>
      <c r="C2301" s="73"/>
      <c r="D2301" s="73"/>
      <c r="E2301" s="73"/>
      <c r="F2301" s="73"/>
      <c r="G2301" s="73"/>
      <c r="H2301" s="73"/>
      <c r="I2301" s="73"/>
      <c r="J2301" s="73"/>
      <c r="K2301" s="73"/>
      <c r="L2301" s="73"/>
      <c r="M2301" s="73"/>
      <c r="N2301" s="73"/>
      <c r="O2301" s="73"/>
      <c r="P2301" s="73"/>
      <c r="Q2301" s="73"/>
      <c r="R2301" s="73"/>
      <c r="S2301" s="73"/>
      <c r="T2301" s="73"/>
      <c r="U2301" s="73"/>
      <c r="V2301" s="73"/>
      <c r="W2301" s="73"/>
      <c r="GL2301" s="73"/>
      <c r="GM2301" s="73"/>
      <c r="GN2301" s="73"/>
      <c r="GO2301" s="73"/>
      <c r="GP2301" s="73"/>
      <c r="GQ2301" s="73"/>
      <c r="GR2301" s="73"/>
      <c r="GS2301" s="73"/>
      <c r="GT2301" s="73"/>
      <c r="GU2301" s="73"/>
      <c r="GV2301" s="73"/>
      <c r="GW2301" s="73"/>
      <c r="GX2301" s="73"/>
      <c r="GY2301" s="73"/>
      <c r="GZ2301" s="73"/>
      <c r="HA2301" s="73"/>
      <c r="HB2301" s="73"/>
      <c r="HC2301" s="73"/>
      <c r="HD2301" s="73"/>
      <c r="HE2301" s="73"/>
      <c r="HF2301" s="73"/>
      <c r="HG2301" s="73"/>
      <c r="HH2301" s="73"/>
      <c r="HI2301" s="73"/>
      <c r="HJ2301" s="73"/>
      <c r="HK2301" s="73"/>
      <c r="HL2301" s="73"/>
      <c r="HM2301" s="73"/>
      <c r="HN2301" s="73"/>
      <c r="HO2301" s="73"/>
      <c r="HP2301" s="73"/>
      <c r="HQ2301" s="73"/>
      <c r="HR2301" s="73"/>
      <c r="HS2301" s="73"/>
      <c r="HT2301" s="73"/>
      <c r="HU2301" s="73"/>
      <c r="HV2301" s="73"/>
      <c r="HW2301" s="73"/>
      <c r="HX2301" s="73"/>
      <c r="HY2301" s="73"/>
      <c r="HZ2301" s="73"/>
      <c r="IA2301" s="73"/>
      <c r="IB2301" s="73"/>
      <c r="IC2301" s="73"/>
      <c r="ID2301" s="73"/>
      <c r="IE2301" s="73"/>
      <c r="IF2301" s="73"/>
      <c r="IG2301" s="73"/>
      <c r="IH2301" s="73"/>
      <c r="II2301" s="73"/>
      <c r="IJ2301" s="73"/>
      <c r="IK2301" s="73"/>
      <c r="IL2301" s="73"/>
      <c r="IM2301" s="73"/>
      <c r="IN2301" s="73"/>
      <c r="IO2301" s="73"/>
      <c r="IP2301" s="73"/>
      <c r="IQ2301" s="73"/>
      <c r="IR2301" s="73"/>
      <c r="IS2301" s="73"/>
      <c r="IT2301" s="73"/>
      <c r="IU2301" s="73"/>
      <c r="IV2301" s="73"/>
      <c r="IW2301" s="73"/>
      <c r="IX2301" s="73"/>
      <c r="IY2301" s="73"/>
      <c r="IZ2301" s="73"/>
      <c r="JA2301" s="73"/>
      <c r="JB2301" s="73"/>
      <c r="JC2301" s="73"/>
    </row>
    <row r="2302" spans="2:263" s="72" customFormat="1">
      <c r="B2302" s="73"/>
      <c r="C2302" s="73"/>
      <c r="D2302" s="73"/>
      <c r="E2302" s="73"/>
      <c r="F2302" s="73"/>
      <c r="G2302" s="73"/>
      <c r="H2302" s="73"/>
      <c r="I2302" s="73"/>
      <c r="J2302" s="73"/>
      <c r="K2302" s="73"/>
      <c r="L2302" s="73"/>
      <c r="M2302" s="73"/>
      <c r="N2302" s="73"/>
      <c r="O2302" s="73"/>
      <c r="P2302" s="73"/>
      <c r="Q2302" s="73"/>
      <c r="R2302" s="73"/>
      <c r="S2302" s="73"/>
      <c r="T2302" s="73"/>
      <c r="U2302" s="73"/>
      <c r="V2302" s="73"/>
      <c r="W2302" s="73"/>
      <c r="GL2302" s="73"/>
      <c r="GM2302" s="73"/>
      <c r="GN2302" s="73"/>
      <c r="GO2302" s="73"/>
      <c r="GP2302" s="73"/>
      <c r="GQ2302" s="73"/>
      <c r="GR2302" s="73"/>
      <c r="GS2302" s="73"/>
      <c r="GT2302" s="73"/>
      <c r="GU2302" s="73"/>
      <c r="GV2302" s="73"/>
      <c r="GW2302" s="73"/>
      <c r="GX2302" s="73"/>
      <c r="GY2302" s="73"/>
      <c r="GZ2302" s="73"/>
      <c r="HA2302" s="73"/>
      <c r="HB2302" s="73"/>
      <c r="HC2302" s="73"/>
      <c r="HD2302" s="73"/>
      <c r="HE2302" s="73"/>
      <c r="HF2302" s="73"/>
      <c r="HG2302" s="73"/>
      <c r="HH2302" s="73"/>
      <c r="HI2302" s="73"/>
      <c r="HJ2302" s="73"/>
      <c r="HK2302" s="73"/>
      <c r="HL2302" s="73"/>
      <c r="HM2302" s="73"/>
      <c r="HN2302" s="73"/>
      <c r="HO2302" s="73"/>
      <c r="HP2302" s="73"/>
      <c r="HQ2302" s="73"/>
      <c r="HR2302" s="73"/>
      <c r="HS2302" s="73"/>
      <c r="HT2302" s="73"/>
      <c r="HU2302" s="73"/>
      <c r="HV2302" s="73"/>
      <c r="HW2302" s="73"/>
      <c r="HX2302" s="73"/>
      <c r="HY2302" s="73"/>
      <c r="HZ2302" s="73"/>
      <c r="IA2302" s="73"/>
      <c r="IB2302" s="73"/>
      <c r="IC2302" s="73"/>
      <c r="ID2302" s="73"/>
      <c r="IE2302" s="73"/>
      <c r="IF2302" s="73"/>
      <c r="IG2302" s="73"/>
      <c r="IH2302" s="73"/>
      <c r="II2302" s="73"/>
      <c r="IJ2302" s="73"/>
      <c r="IK2302" s="73"/>
      <c r="IL2302" s="73"/>
      <c r="IM2302" s="73"/>
      <c r="IN2302" s="73"/>
      <c r="IO2302" s="73"/>
      <c r="IP2302" s="73"/>
      <c r="IQ2302" s="73"/>
      <c r="IR2302" s="73"/>
      <c r="IS2302" s="73"/>
      <c r="IT2302" s="73"/>
      <c r="IU2302" s="73"/>
      <c r="IV2302" s="73"/>
      <c r="IW2302" s="73"/>
      <c r="IX2302" s="73"/>
      <c r="IY2302" s="73"/>
      <c r="IZ2302" s="73"/>
      <c r="JA2302" s="73"/>
      <c r="JB2302" s="73"/>
      <c r="JC2302" s="73"/>
    </row>
    <row r="2303" spans="2:263" s="72" customFormat="1">
      <c r="B2303" s="73"/>
      <c r="C2303" s="73"/>
      <c r="D2303" s="73"/>
      <c r="E2303" s="73"/>
      <c r="F2303" s="73"/>
      <c r="G2303" s="73"/>
      <c r="H2303" s="73"/>
      <c r="I2303" s="73"/>
      <c r="J2303" s="73"/>
      <c r="K2303" s="73"/>
      <c r="L2303" s="73"/>
      <c r="M2303" s="73"/>
      <c r="N2303" s="73"/>
      <c r="O2303" s="73"/>
      <c r="P2303" s="73"/>
      <c r="Q2303" s="73"/>
      <c r="R2303" s="73"/>
      <c r="S2303" s="73"/>
      <c r="T2303" s="73"/>
      <c r="U2303" s="73"/>
      <c r="V2303" s="73"/>
      <c r="W2303" s="73"/>
      <c r="GL2303" s="73"/>
      <c r="GM2303" s="73"/>
      <c r="GN2303" s="73"/>
      <c r="GO2303" s="73"/>
      <c r="GP2303" s="73"/>
      <c r="GQ2303" s="73"/>
      <c r="GR2303" s="73"/>
      <c r="GS2303" s="73"/>
      <c r="GT2303" s="73"/>
      <c r="GU2303" s="73"/>
      <c r="GV2303" s="73"/>
      <c r="GW2303" s="73"/>
      <c r="GX2303" s="73"/>
      <c r="GY2303" s="73"/>
      <c r="GZ2303" s="73"/>
      <c r="HA2303" s="73"/>
      <c r="HB2303" s="73"/>
      <c r="HC2303" s="73"/>
      <c r="HD2303" s="73"/>
      <c r="HE2303" s="73"/>
      <c r="HF2303" s="73"/>
      <c r="HG2303" s="73"/>
      <c r="HH2303" s="73"/>
      <c r="HI2303" s="73"/>
      <c r="HJ2303" s="73"/>
      <c r="HK2303" s="73"/>
      <c r="HL2303" s="73"/>
      <c r="HM2303" s="73"/>
      <c r="HN2303" s="73"/>
      <c r="HO2303" s="73"/>
      <c r="HP2303" s="73"/>
      <c r="HQ2303" s="73"/>
      <c r="HR2303" s="73"/>
      <c r="HS2303" s="73"/>
      <c r="HT2303" s="73"/>
      <c r="HU2303" s="73"/>
      <c r="HV2303" s="73"/>
      <c r="HW2303" s="73"/>
      <c r="HX2303" s="73"/>
      <c r="HY2303" s="73"/>
      <c r="HZ2303" s="73"/>
      <c r="IA2303" s="73"/>
      <c r="IB2303" s="73"/>
      <c r="IC2303" s="73"/>
      <c r="ID2303" s="73"/>
      <c r="IE2303" s="73"/>
      <c r="IF2303" s="73"/>
      <c r="IG2303" s="73"/>
      <c r="IH2303" s="73"/>
      <c r="II2303" s="73"/>
      <c r="IJ2303" s="73"/>
      <c r="IK2303" s="73"/>
      <c r="IL2303" s="73"/>
      <c r="IM2303" s="73"/>
      <c r="IN2303" s="73"/>
      <c r="IO2303" s="73"/>
      <c r="IP2303" s="73"/>
      <c r="IQ2303" s="73"/>
      <c r="IR2303" s="73"/>
      <c r="IS2303" s="73"/>
      <c r="IT2303" s="73"/>
      <c r="IU2303" s="73"/>
      <c r="IV2303" s="73"/>
      <c r="IW2303" s="73"/>
      <c r="IX2303" s="73"/>
      <c r="IY2303" s="73"/>
      <c r="IZ2303" s="73"/>
      <c r="JA2303" s="73"/>
      <c r="JB2303" s="73"/>
      <c r="JC2303" s="73"/>
    </row>
    <row r="2304" spans="2:263" s="72" customFormat="1">
      <c r="B2304" s="73"/>
      <c r="C2304" s="73"/>
      <c r="D2304" s="73"/>
      <c r="E2304" s="73"/>
      <c r="F2304" s="73"/>
      <c r="G2304" s="73"/>
      <c r="H2304" s="73"/>
      <c r="I2304" s="73"/>
      <c r="J2304" s="73"/>
      <c r="K2304" s="73"/>
      <c r="L2304" s="73"/>
      <c r="M2304" s="73"/>
      <c r="N2304" s="73"/>
      <c r="O2304" s="73"/>
      <c r="P2304" s="73"/>
      <c r="Q2304" s="73"/>
      <c r="R2304" s="73"/>
      <c r="S2304" s="73"/>
      <c r="T2304" s="73"/>
      <c r="U2304" s="73"/>
      <c r="V2304" s="73"/>
      <c r="W2304" s="73"/>
      <c r="GL2304" s="73"/>
      <c r="GM2304" s="73"/>
      <c r="GN2304" s="73"/>
      <c r="GO2304" s="73"/>
      <c r="GP2304" s="73"/>
      <c r="GQ2304" s="73"/>
      <c r="GR2304" s="73"/>
      <c r="GS2304" s="73"/>
      <c r="GT2304" s="73"/>
      <c r="GU2304" s="73"/>
      <c r="GV2304" s="73"/>
      <c r="GW2304" s="73"/>
      <c r="GX2304" s="73"/>
      <c r="GY2304" s="73"/>
      <c r="GZ2304" s="73"/>
      <c r="HA2304" s="73"/>
      <c r="HB2304" s="73"/>
      <c r="HC2304" s="73"/>
      <c r="HD2304" s="73"/>
      <c r="HE2304" s="73"/>
      <c r="HF2304" s="73"/>
      <c r="HG2304" s="73"/>
      <c r="HH2304" s="73"/>
      <c r="HI2304" s="73"/>
      <c r="HJ2304" s="73"/>
      <c r="HK2304" s="73"/>
      <c r="HL2304" s="73"/>
      <c r="HM2304" s="73"/>
      <c r="HN2304" s="73"/>
      <c r="HO2304" s="73"/>
      <c r="HP2304" s="73"/>
      <c r="HQ2304" s="73"/>
      <c r="HR2304" s="73"/>
      <c r="HS2304" s="73"/>
      <c r="HT2304" s="73"/>
      <c r="HU2304" s="73"/>
      <c r="HV2304" s="73"/>
      <c r="HW2304" s="73"/>
      <c r="HX2304" s="73"/>
      <c r="HY2304" s="73"/>
      <c r="HZ2304" s="73"/>
      <c r="IA2304" s="73"/>
      <c r="IB2304" s="73"/>
      <c r="IC2304" s="73"/>
      <c r="ID2304" s="73"/>
      <c r="IE2304" s="73"/>
      <c r="IF2304" s="73"/>
      <c r="IG2304" s="73"/>
      <c r="IH2304" s="73"/>
      <c r="II2304" s="73"/>
      <c r="IJ2304" s="73"/>
      <c r="IK2304" s="73"/>
      <c r="IL2304" s="73"/>
      <c r="IM2304" s="73"/>
      <c r="IN2304" s="73"/>
      <c r="IO2304" s="73"/>
      <c r="IP2304" s="73"/>
      <c r="IQ2304" s="73"/>
      <c r="IR2304" s="73"/>
      <c r="IS2304" s="73"/>
      <c r="IT2304" s="73"/>
      <c r="IU2304" s="73"/>
      <c r="IV2304" s="73"/>
      <c r="IW2304" s="73"/>
      <c r="IX2304" s="73"/>
      <c r="IY2304" s="73"/>
      <c r="IZ2304" s="73"/>
      <c r="JA2304" s="73"/>
      <c r="JB2304" s="73"/>
      <c r="JC2304" s="73"/>
    </row>
    <row r="2305" spans="2:263" s="72" customFormat="1">
      <c r="B2305" s="73"/>
      <c r="C2305" s="73"/>
      <c r="D2305" s="73"/>
      <c r="E2305" s="73"/>
      <c r="F2305" s="73"/>
      <c r="G2305" s="73"/>
      <c r="H2305" s="73"/>
      <c r="I2305" s="73"/>
      <c r="J2305" s="73"/>
      <c r="K2305" s="73"/>
      <c r="L2305" s="73"/>
      <c r="M2305" s="73"/>
      <c r="N2305" s="73"/>
      <c r="O2305" s="73"/>
      <c r="P2305" s="73"/>
      <c r="Q2305" s="73"/>
      <c r="R2305" s="73"/>
      <c r="S2305" s="73"/>
      <c r="T2305" s="73"/>
      <c r="U2305" s="73"/>
      <c r="V2305" s="73"/>
      <c r="W2305" s="73"/>
      <c r="GL2305" s="73"/>
      <c r="GM2305" s="73"/>
      <c r="GN2305" s="73"/>
      <c r="GO2305" s="73"/>
      <c r="GP2305" s="73"/>
      <c r="GQ2305" s="73"/>
      <c r="GR2305" s="73"/>
      <c r="GS2305" s="73"/>
      <c r="GT2305" s="73"/>
      <c r="GU2305" s="73"/>
      <c r="GV2305" s="73"/>
      <c r="GW2305" s="73"/>
      <c r="GX2305" s="73"/>
      <c r="GY2305" s="73"/>
      <c r="GZ2305" s="73"/>
      <c r="HA2305" s="73"/>
      <c r="HB2305" s="73"/>
      <c r="HC2305" s="73"/>
      <c r="HD2305" s="73"/>
      <c r="HE2305" s="73"/>
      <c r="HF2305" s="73"/>
      <c r="HG2305" s="73"/>
      <c r="HH2305" s="73"/>
      <c r="HI2305" s="73"/>
      <c r="HJ2305" s="73"/>
      <c r="HK2305" s="73"/>
      <c r="HL2305" s="73"/>
      <c r="HM2305" s="73"/>
      <c r="HN2305" s="73"/>
      <c r="HO2305" s="73"/>
      <c r="HP2305" s="73"/>
      <c r="HQ2305" s="73"/>
      <c r="HR2305" s="73"/>
      <c r="HS2305" s="73"/>
      <c r="HT2305" s="73"/>
      <c r="HU2305" s="73"/>
      <c r="HV2305" s="73"/>
      <c r="HW2305" s="73"/>
      <c r="HX2305" s="73"/>
      <c r="HY2305" s="73"/>
      <c r="HZ2305" s="73"/>
      <c r="IA2305" s="73"/>
      <c r="IB2305" s="73"/>
      <c r="IC2305" s="73"/>
      <c r="ID2305" s="73"/>
      <c r="IE2305" s="73"/>
      <c r="IF2305" s="73"/>
      <c r="IG2305" s="73"/>
      <c r="IH2305" s="73"/>
      <c r="II2305" s="73"/>
      <c r="IJ2305" s="73"/>
      <c r="IK2305" s="73"/>
      <c r="IL2305" s="73"/>
      <c r="IM2305" s="73"/>
      <c r="IN2305" s="73"/>
      <c r="IO2305" s="73"/>
      <c r="IP2305" s="73"/>
      <c r="IQ2305" s="73"/>
      <c r="IR2305" s="73"/>
      <c r="IS2305" s="73"/>
      <c r="IT2305" s="73"/>
      <c r="IU2305" s="73"/>
      <c r="IV2305" s="73"/>
      <c r="IW2305" s="73"/>
      <c r="IX2305" s="73"/>
      <c r="IY2305" s="73"/>
      <c r="IZ2305" s="73"/>
      <c r="JA2305" s="73"/>
      <c r="JB2305" s="73"/>
      <c r="JC2305" s="73"/>
    </row>
    <row r="2306" spans="2:263" s="72" customFormat="1">
      <c r="B2306" s="73"/>
      <c r="C2306" s="73"/>
      <c r="D2306" s="73"/>
      <c r="E2306" s="73"/>
      <c r="F2306" s="73"/>
      <c r="G2306" s="73"/>
      <c r="H2306" s="73"/>
      <c r="I2306" s="73"/>
      <c r="J2306" s="73"/>
      <c r="K2306" s="73"/>
      <c r="L2306" s="73"/>
      <c r="M2306" s="73"/>
      <c r="N2306" s="73"/>
      <c r="O2306" s="73"/>
      <c r="P2306" s="73"/>
      <c r="Q2306" s="73"/>
      <c r="R2306" s="73"/>
      <c r="S2306" s="73"/>
      <c r="T2306" s="73"/>
      <c r="U2306" s="73"/>
      <c r="V2306" s="73"/>
      <c r="W2306" s="73"/>
      <c r="GL2306" s="73"/>
      <c r="GM2306" s="73"/>
      <c r="GN2306" s="73"/>
      <c r="GO2306" s="73"/>
      <c r="GP2306" s="73"/>
      <c r="GQ2306" s="73"/>
      <c r="GR2306" s="73"/>
      <c r="GS2306" s="73"/>
      <c r="GT2306" s="73"/>
      <c r="GU2306" s="73"/>
      <c r="GV2306" s="73"/>
      <c r="GW2306" s="73"/>
      <c r="GX2306" s="73"/>
      <c r="GY2306" s="73"/>
      <c r="GZ2306" s="73"/>
      <c r="HA2306" s="73"/>
      <c r="HB2306" s="73"/>
      <c r="HC2306" s="73"/>
      <c r="HD2306" s="73"/>
      <c r="HE2306" s="73"/>
      <c r="HF2306" s="73"/>
      <c r="HG2306" s="73"/>
      <c r="HH2306" s="73"/>
      <c r="HI2306" s="73"/>
      <c r="HJ2306" s="73"/>
      <c r="HK2306" s="73"/>
      <c r="HL2306" s="73"/>
      <c r="HM2306" s="73"/>
      <c r="HN2306" s="73"/>
      <c r="HO2306" s="73"/>
      <c r="HP2306" s="73"/>
      <c r="HQ2306" s="73"/>
      <c r="HR2306" s="73"/>
      <c r="HS2306" s="73"/>
      <c r="HT2306" s="73"/>
      <c r="HU2306" s="73"/>
      <c r="HV2306" s="73"/>
      <c r="HW2306" s="73"/>
      <c r="HX2306" s="73"/>
      <c r="HY2306" s="73"/>
      <c r="HZ2306" s="73"/>
      <c r="IA2306" s="73"/>
      <c r="IB2306" s="73"/>
      <c r="IC2306" s="73"/>
      <c r="ID2306" s="73"/>
      <c r="IE2306" s="73"/>
      <c r="IF2306" s="73"/>
      <c r="IG2306" s="73"/>
      <c r="IH2306" s="73"/>
      <c r="II2306" s="73"/>
      <c r="IJ2306" s="73"/>
      <c r="IK2306" s="73"/>
      <c r="IL2306" s="73"/>
      <c r="IM2306" s="73"/>
      <c r="IN2306" s="73"/>
      <c r="IO2306" s="73"/>
      <c r="IP2306" s="73"/>
      <c r="IQ2306" s="73"/>
      <c r="IR2306" s="73"/>
      <c r="IS2306" s="73"/>
      <c r="IT2306" s="73"/>
      <c r="IU2306" s="73"/>
      <c r="IV2306" s="73"/>
      <c r="IW2306" s="73"/>
      <c r="IX2306" s="73"/>
      <c r="IY2306" s="73"/>
      <c r="IZ2306" s="73"/>
      <c r="JA2306" s="73"/>
      <c r="JB2306" s="73"/>
      <c r="JC2306" s="73"/>
    </row>
    <row r="2307" spans="2:263" s="72" customFormat="1">
      <c r="B2307" s="73"/>
      <c r="C2307" s="73"/>
      <c r="D2307" s="73"/>
      <c r="E2307" s="73"/>
      <c r="F2307" s="73"/>
      <c r="G2307" s="73"/>
      <c r="H2307" s="73"/>
      <c r="I2307" s="73"/>
      <c r="J2307" s="73"/>
      <c r="K2307" s="73"/>
      <c r="L2307" s="73"/>
      <c r="M2307" s="73"/>
      <c r="N2307" s="73"/>
      <c r="O2307" s="73"/>
      <c r="P2307" s="73"/>
      <c r="Q2307" s="73"/>
      <c r="R2307" s="73"/>
      <c r="S2307" s="73"/>
      <c r="T2307" s="73"/>
      <c r="U2307" s="73"/>
      <c r="V2307" s="73"/>
      <c r="W2307" s="73"/>
      <c r="GL2307" s="73"/>
      <c r="GM2307" s="73"/>
      <c r="GN2307" s="73"/>
      <c r="GO2307" s="73"/>
      <c r="GP2307" s="73"/>
      <c r="GQ2307" s="73"/>
      <c r="GR2307" s="73"/>
      <c r="GS2307" s="73"/>
      <c r="GT2307" s="73"/>
      <c r="GU2307" s="73"/>
      <c r="GV2307" s="73"/>
      <c r="GW2307" s="73"/>
      <c r="GX2307" s="73"/>
      <c r="GY2307" s="73"/>
      <c r="GZ2307" s="73"/>
      <c r="HA2307" s="73"/>
      <c r="HB2307" s="73"/>
      <c r="HC2307" s="73"/>
      <c r="HD2307" s="73"/>
      <c r="HE2307" s="73"/>
      <c r="HF2307" s="73"/>
      <c r="HG2307" s="73"/>
      <c r="HH2307" s="73"/>
      <c r="HI2307" s="73"/>
      <c r="HJ2307" s="73"/>
      <c r="HK2307" s="73"/>
      <c r="HL2307" s="73"/>
      <c r="HM2307" s="73"/>
      <c r="HN2307" s="73"/>
      <c r="HO2307" s="73"/>
      <c r="HP2307" s="73"/>
      <c r="HQ2307" s="73"/>
      <c r="HR2307" s="73"/>
      <c r="HS2307" s="73"/>
      <c r="HT2307" s="73"/>
      <c r="HU2307" s="73"/>
      <c r="HV2307" s="73"/>
      <c r="HW2307" s="73"/>
      <c r="HX2307" s="73"/>
      <c r="HY2307" s="73"/>
      <c r="HZ2307" s="73"/>
      <c r="IA2307" s="73"/>
      <c r="IB2307" s="73"/>
      <c r="IC2307" s="73"/>
      <c r="ID2307" s="73"/>
      <c r="IE2307" s="73"/>
      <c r="IF2307" s="73"/>
      <c r="IG2307" s="73"/>
      <c r="IH2307" s="73"/>
      <c r="II2307" s="73"/>
      <c r="IJ2307" s="73"/>
      <c r="IK2307" s="73"/>
      <c r="IL2307" s="73"/>
      <c r="IM2307" s="73"/>
      <c r="IN2307" s="73"/>
      <c r="IO2307" s="73"/>
      <c r="IP2307" s="73"/>
      <c r="IQ2307" s="73"/>
      <c r="IR2307" s="73"/>
      <c r="IS2307" s="73"/>
      <c r="IT2307" s="73"/>
      <c r="IU2307" s="73"/>
      <c r="IV2307" s="73"/>
      <c r="IW2307" s="73"/>
      <c r="IX2307" s="73"/>
      <c r="IY2307" s="73"/>
      <c r="IZ2307" s="73"/>
      <c r="JA2307" s="73"/>
      <c r="JB2307" s="73"/>
      <c r="JC2307" s="73"/>
    </row>
    <row r="2308" spans="2:263" s="72" customFormat="1">
      <c r="B2308" s="73"/>
      <c r="C2308" s="73"/>
      <c r="D2308" s="73"/>
      <c r="E2308" s="73"/>
      <c r="F2308" s="73"/>
      <c r="G2308" s="73"/>
      <c r="H2308" s="73"/>
      <c r="I2308" s="73"/>
      <c r="J2308" s="73"/>
      <c r="K2308" s="73"/>
      <c r="L2308" s="73"/>
      <c r="M2308" s="73"/>
      <c r="N2308" s="73"/>
      <c r="O2308" s="73"/>
      <c r="P2308" s="73"/>
      <c r="Q2308" s="73"/>
      <c r="R2308" s="73"/>
      <c r="S2308" s="73"/>
      <c r="T2308" s="73"/>
      <c r="U2308" s="73"/>
      <c r="V2308" s="73"/>
      <c r="W2308" s="73"/>
      <c r="GL2308" s="73"/>
      <c r="GM2308" s="73"/>
      <c r="GN2308" s="73"/>
      <c r="GO2308" s="73"/>
      <c r="GP2308" s="73"/>
      <c r="GQ2308" s="73"/>
      <c r="GR2308" s="73"/>
      <c r="GS2308" s="73"/>
      <c r="GT2308" s="73"/>
      <c r="GU2308" s="73"/>
      <c r="GV2308" s="73"/>
      <c r="GW2308" s="73"/>
      <c r="GX2308" s="73"/>
      <c r="GY2308" s="73"/>
      <c r="GZ2308" s="73"/>
      <c r="HA2308" s="73"/>
      <c r="HB2308" s="73"/>
      <c r="HC2308" s="73"/>
      <c r="HD2308" s="73"/>
      <c r="HE2308" s="73"/>
      <c r="HF2308" s="73"/>
      <c r="HG2308" s="73"/>
      <c r="HH2308" s="73"/>
      <c r="HI2308" s="73"/>
      <c r="HJ2308" s="73"/>
      <c r="HK2308" s="73"/>
      <c r="HL2308" s="73"/>
      <c r="HM2308" s="73"/>
      <c r="HN2308" s="73"/>
      <c r="HO2308" s="73"/>
      <c r="HP2308" s="73"/>
      <c r="HQ2308" s="73"/>
      <c r="HR2308" s="73"/>
      <c r="HS2308" s="73"/>
      <c r="HT2308" s="73"/>
      <c r="HU2308" s="73"/>
      <c r="HV2308" s="73"/>
      <c r="HW2308" s="73"/>
      <c r="HX2308" s="73"/>
      <c r="HY2308" s="73"/>
      <c r="HZ2308" s="73"/>
      <c r="IA2308" s="73"/>
      <c r="IB2308" s="73"/>
      <c r="IC2308" s="73"/>
      <c r="ID2308" s="73"/>
      <c r="IE2308" s="73"/>
      <c r="IF2308" s="73"/>
      <c r="IG2308" s="73"/>
      <c r="IH2308" s="73"/>
      <c r="II2308" s="73"/>
      <c r="IJ2308" s="73"/>
      <c r="IK2308" s="73"/>
      <c r="IL2308" s="73"/>
      <c r="IM2308" s="73"/>
      <c r="IN2308" s="73"/>
      <c r="IO2308" s="73"/>
      <c r="IP2308" s="73"/>
      <c r="IQ2308" s="73"/>
      <c r="IR2308" s="73"/>
      <c r="IS2308" s="73"/>
      <c r="IT2308" s="73"/>
      <c r="IU2308" s="73"/>
      <c r="IV2308" s="73"/>
      <c r="IW2308" s="73"/>
      <c r="IX2308" s="73"/>
      <c r="IY2308" s="73"/>
      <c r="IZ2308" s="73"/>
      <c r="JA2308" s="73"/>
      <c r="JB2308" s="73"/>
      <c r="JC2308" s="73"/>
    </row>
    <row r="2309" spans="2:263" s="72" customFormat="1">
      <c r="B2309" s="73"/>
      <c r="C2309" s="73"/>
      <c r="D2309" s="73"/>
      <c r="E2309" s="73"/>
      <c r="F2309" s="73"/>
      <c r="G2309" s="73"/>
      <c r="H2309" s="73"/>
      <c r="I2309" s="73"/>
      <c r="J2309" s="73"/>
      <c r="K2309" s="73"/>
      <c r="L2309" s="73"/>
      <c r="M2309" s="73"/>
      <c r="N2309" s="73"/>
      <c r="O2309" s="73"/>
      <c r="P2309" s="73"/>
      <c r="Q2309" s="73"/>
      <c r="R2309" s="73"/>
      <c r="S2309" s="73"/>
      <c r="T2309" s="73"/>
      <c r="U2309" s="73"/>
      <c r="V2309" s="73"/>
      <c r="W2309" s="73"/>
      <c r="GL2309" s="73"/>
      <c r="GM2309" s="73"/>
      <c r="GN2309" s="73"/>
      <c r="GO2309" s="73"/>
      <c r="GP2309" s="73"/>
      <c r="GQ2309" s="73"/>
      <c r="GR2309" s="73"/>
      <c r="GS2309" s="73"/>
      <c r="GT2309" s="73"/>
      <c r="GU2309" s="73"/>
      <c r="GV2309" s="73"/>
      <c r="GW2309" s="73"/>
      <c r="GX2309" s="73"/>
      <c r="GY2309" s="73"/>
      <c r="GZ2309" s="73"/>
      <c r="HA2309" s="73"/>
      <c r="HB2309" s="73"/>
      <c r="HC2309" s="73"/>
      <c r="HD2309" s="73"/>
      <c r="HE2309" s="73"/>
      <c r="HF2309" s="73"/>
      <c r="HG2309" s="73"/>
      <c r="HH2309" s="73"/>
      <c r="HI2309" s="73"/>
      <c r="HJ2309" s="73"/>
      <c r="HK2309" s="73"/>
      <c r="HL2309" s="73"/>
      <c r="HM2309" s="73"/>
      <c r="HN2309" s="73"/>
      <c r="HO2309" s="73"/>
      <c r="HP2309" s="73"/>
      <c r="HQ2309" s="73"/>
      <c r="HR2309" s="73"/>
      <c r="HS2309" s="73"/>
      <c r="HT2309" s="73"/>
      <c r="HU2309" s="73"/>
      <c r="HV2309" s="73"/>
      <c r="HW2309" s="73"/>
      <c r="HX2309" s="73"/>
      <c r="HY2309" s="73"/>
      <c r="HZ2309" s="73"/>
      <c r="IA2309" s="73"/>
      <c r="IB2309" s="73"/>
      <c r="IC2309" s="73"/>
      <c r="ID2309" s="73"/>
      <c r="IE2309" s="73"/>
      <c r="IF2309" s="73"/>
      <c r="IG2309" s="73"/>
      <c r="IH2309" s="73"/>
      <c r="II2309" s="73"/>
      <c r="IJ2309" s="73"/>
      <c r="IK2309" s="73"/>
      <c r="IL2309" s="73"/>
      <c r="IM2309" s="73"/>
      <c r="IN2309" s="73"/>
      <c r="IO2309" s="73"/>
      <c r="IP2309" s="73"/>
      <c r="IQ2309" s="73"/>
      <c r="IR2309" s="73"/>
      <c r="IS2309" s="73"/>
      <c r="IT2309" s="73"/>
      <c r="IU2309" s="73"/>
      <c r="IV2309" s="73"/>
      <c r="IW2309" s="73"/>
      <c r="IX2309" s="73"/>
      <c r="IY2309" s="73"/>
      <c r="IZ2309" s="73"/>
      <c r="JA2309" s="73"/>
      <c r="JB2309" s="73"/>
      <c r="JC2309" s="73"/>
    </row>
    <row r="2310" spans="2:263" s="72" customFormat="1">
      <c r="B2310" s="73"/>
      <c r="C2310" s="73"/>
      <c r="D2310" s="73"/>
      <c r="E2310" s="73"/>
      <c r="F2310" s="73"/>
      <c r="G2310" s="73"/>
      <c r="H2310" s="73"/>
      <c r="I2310" s="73"/>
      <c r="J2310" s="73"/>
      <c r="K2310" s="73"/>
      <c r="L2310" s="73"/>
      <c r="M2310" s="73"/>
      <c r="N2310" s="73"/>
      <c r="O2310" s="73"/>
      <c r="P2310" s="73"/>
      <c r="Q2310" s="73"/>
      <c r="R2310" s="73"/>
      <c r="S2310" s="73"/>
      <c r="T2310" s="73"/>
      <c r="U2310" s="73"/>
      <c r="V2310" s="73"/>
      <c r="W2310" s="73"/>
      <c r="GL2310" s="73"/>
      <c r="GM2310" s="73"/>
      <c r="GN2310" s="73"/>
      <c r="GO2310" s="73"/>
      <c r="GP2310" s="73"/>
      <c r="GQ2310" s="73"/>
      <c r="GR2310" s="73"/>
      <c r="GS2310" s="73"/>
      <c r="GT2310" s="73"/>
      <c r="GU2310" s="73"/>
      <c r="GV2310" s="73"/>
      <c r="GW2310" s="73"/>
      <c r="GX2310" s="73"/>
      <c r="GY2310" s="73"/>
      <c r="GZ2310" s="73"/>
      <c r="HA2310" s="73"/>
      <c r="HB2310" s="73"/>
      <c r="HC2310" s="73"/>
      <c r="HD2310" s="73"/>
      <c r="HE2310" s="73"/>
      <c r="HF2310" s="73"/>
      <c r="HG2310" s="73"/>
      <c r="HH2310" s="73"/>
      <c r="HI2310" s="73"/>
      <c r="HJ2310" s="73"/>
      <c r="HK2310" s="73"/>
      <c r="HL2310" s="73"/>
      <c r="HM2310" s="73"/>
      <c r="HN2310" s="73"/>
      <c r="HO2310" s="73"/>
      <c r="HP2310" s="73"/>
      <c r="HQ2310" s="73"/>
      <c r="HR2310" s="73"/>
      <c r="HS2310" s="73"/>
      <c r="HT2310" s="73"/>
      <c r="HU2310" s="73"/>
      <c r="HV2310" s="73"/>
      <c r="HW2310" s="73"/>
      <c r="HX2310" s="73"/>
      <c r="HY2310" s="73"/>
      <c r="HZ2310" s="73"/>
      <c r="IA2310" s="73"/>
      <c r="IB2310" s="73"/>
      <c r="IC2310" s="73"/>
      <c r="ID2310" s="73"/>
      <c r="IE2310" s="73"/>
      <c r="IF2310" s="73"/>
      <c r="IG2310" s="73"/>
      <c r="IH2310" s="73"/>
      <c r="II2310" s="73"/>
      <c r="IJ2310" s="73"/>
      <c r="IK2310" s="73"/>
      <c r="IL2310" s="73"/>
      <c r="IM2310" s="73"/>
      <c r="IN2310" s="73"/>
      <c r="IO2310" s="73"/>
      <c r="IP2310" s="73"/>
      <c r="IQ2310" s="73"/>
      <c r="IR2310" s="73"/>
      <c r="IS2310" s="73"/>
      <c r="IT2310" s="73"/>
      <c r="IU2310" s="73"/>
      <c r="IV2310" s="73"/>
      <c r="IW2310" s="73"/>
      <c r="IX2310" s="73"/>
      <c r="IY2310" s="73"/>
      <c r="IZ2310" s="73"/>
      <c r="JA2310" s="73"/>
      <c r="JB2310" s="73"/>
      <c r="JC2310" s="73"/>
    </row>
    <row r="2311" spans="2:263" s="72" customFormat="1">
      <c r="B2311" s="73"/>
      <c r="C2311" s="73"/>
      <c r="D2311" s="73"/>
      <c r="E2311" s="73"/>
      <c r="F2311" s="73"/>
      <c r="G2311" s="73"/>
      <c r="H2311" s="73"/>
      <c r="I2311" s="73"/>
      <c r="J2311" s="73"/>
      <c r="K2311" s="73"/>
      <c r="L2311" s="73"/>
      <c r="M2311" s="73"/>
      <c r="N2311" s="73"/>
      <c r="O2311" s="73"/>
      <c r="P2311" s="73"/>
      <c r="Q2311" s="73"/>
      <c r="R2311" s="73"/>
      <c r="S2311" s="73"/>
      <c r="T2311" s="73"/>
      <c r="U2311" s="73"/>
      <c r="V2311" s="73"/>
      <c r="W2311" s="73"/>
      <c r="GL2311" s="73"/>
      <c r="GM2311" s="73"/>
      <c r="GN2311" s="73"/>
      <c r="GO2311" s="73"/>
      <c r="GP2311" s="73"/>
      <c r="GQ2311" s="73"/>
      <c r="GR2311" s="73"/>
      <c r="GS2311" s="73"/>
      <c r="GT2311" s="73"/>
      <c r="GU2311" s="73"/>
      <c r="GV2311" s="73"/>
      <c r="GW2311" s="73"/>
      <c r="GX2311" s="73"/>
      <c r="GY2311" s="73"/>
      <c r="GZ2311" s="73"/>
      <c r="HA2311" s="73"/>
      <c r="HB2311" s="73"/>
      <c r="HC2311" s="73"/>
      <c r="HD2311" s="73"/>
      <c r="HE2311" s="73"/>
      <c r="HF2311" s="73"/>
      <c r="HG2311" s="73"/>
      <c r="HH2311" s="73"/>
      <c r="HI2311" s="73"/>
      <c r="HJ2311" s="73"/>
      <c r="HK2311" s="73"/>
      <c r="HL2311" s="73"/>
      <c r="HM2311" s="73"/>
      <c r="HN2311" s="73"/>
      <c r="HO2311" s="73"/>
      <c r="HP2311" s="73"/>
      <c r="HQ2311" s="73"/>
      <c r="HR2311" s="73"/>
      <c r="HS2311" s="73"/>
      <c r="HT2311" s="73"/>
      <c r="HU2311" s="73"/>
      <c r="HV2311" s="73"/>
      <c r="HW2311" s="73"/>
      <c r="HX2311" s="73"/>
      <c r="HY2311" s="73"/>
      <c r="HZ2311" s="73"/>
      <c r="IA2311" s="73"/>
      <c r="IB2311" s="73"/>
      <c r="IC2311" s="73"/>
      <c r="ID2311" s="73"/>
      <c r="IE2311" s="73"/>
      <c r="IF2311" s="73"/>
      <c r="IG2311" s="73"/>
      <c r="IH2311" s="73"/>
      <c r="II2311" s="73"/>
      <c r="IJ2311" s="73"/>
      <c r="IK2311" s="73"/>
      <c r="IL2311" s="73"/>
      <c r="IM2311" s="73"/>
      <c r="IN2311" s="73"/>
      <c r="IO2311" s="73"/>
      <c r="IP2311" s="73"/>
      <c r="IQ2311" s="73"/>
      <c r="IR2311" s="73"/>
      <c r="IS2311" s="73"/>
      <c r="IT2311" s="73"/>
      <c r="IU2311" s="73"/>
      <c r="IV2311" s="73"/>
      <c r="IW2311" s="73"/>
      <c r="IX2311" s="73"/>
      <c r="IY2311" s="73"/>
      <c r="IZ2311" s="73"/>
      <c r="JA2311" s="73"/>
      <c r="JB2311" s="73"/>
      <c r="JC2311" s="73"/>
    </row>
    <row r="2312" spans="2:263" s="72" customFormat="1">
      <c r="B2312" s="73"/>
      <c r="C2312" s="73"/>
      <c r="D2312" s="73"/>
      <c r="E2312" s="73"/>
      <c r="F2312" s="73"/>
      <c r="G2312" s="73"/>
      <c r="H2312" s="73"/>
      <c r="I2312" s="73"/>
      <c r="J2312" s="73"/>
      <c r="K2312" s="73"/>
      <c r="L2312" s="73"/>
      <c r="M2312" s="73"/>
      <c r="N2312" s="73"/>
      <c r="O2312" s="73"/>
      <c r="P2312" s="73"/>
      <c r="Q2312" s="73"/>
      <c r="R2312" s="73"/>
      <c r="S2312" s="73"/>
      <c r="T2312" s="73"/>
      <c r="U2312" s="73"/>
      <c r="V2312" s="73"/>
      <c r="W2312" s="73"/>
      <c r="GL2312" s="73"/>
      <c r="GM2312" s="73"/>
      <c r="GN2312" s="73"/>
      <c r="GO2312" s="73"/>
      <c r="GP2312" s="73"/>
      <c r="GQ2312" s="73"/>
      <c r="GR2312" s="73"/>
      <c r="GS2312" s="73"/>
      <c r="GT2312" s="73"/>
      <c r="GU2312" s="73"/>
      <c r="GV2312" s="73"/>
      <c r="GW2312" s="73"/>
      <c r="GX2312" s="73"/>
      <c r="GY2312" s="73"/>
      <c r="GZ2312" s="73"/>
      <c r="HA2312" s="73"/>
      <c r="HB2312" s="73"/>
      <c r="HC2312" s="73"/>
      <c r="HD2312" s="73"/>
      <c r="HE2312" s="73"/>
      <c r="HF2312" s="73"/>
      <c r="HG2312" s="73"/>
      <c r="HH2312" s="73"/>
      <c r="HI2312" s="73"/>
      <c r="HJ2312" s="73"/>
      <c r="HK2312" s="73"/>
      <c r="HL2312" s="73"/>
      <c r="HM2312" s="73"/>
      <c r="HN2312" s="73"/>
      <c r="HO2312" s="73"/>
      <c r="HP2312" s="73"/>
      <c r="HQ2312" s="73"/>
      <c r="HR2312" s="73"/>
      <c r="HS2312" s="73"/>
      <c r="HT2312" s="73"/>
      <c r="HU2312" s="73"/>
      <c r="HV2312" s="73"/>
      <c r="HW2312" s="73"/>
      <c r="HX2312" s="73"/>
      <c r="HY2312" s="73"/>
      <c r="HZ2312" s="73"/>
      <c r="IA2312" s="73"/>
      <c r="IB2312" s="73"/>
      <c r="IC2312" s="73"/>
      <c r="ID2312" s="73"/>
      <c r="IE2312" s="73"/>
      <c r="IF2312" s="73"/>
      <c r="IG2312" s="73"/>
      <c r="IH2312" s="73"/>
      <c r="II2312" s="73"/>
      <c r="IJ2312" s="73"/>
      <c r="IK2312" s="73"/>
      <c r="IL2312" s="73"/>
      <c r="IM2312" s="73"/>
      <c r="IN2312" s="73"/>
      <c r="IO2312" s="73"/>
      <c r="IP2312" s="73"/>
      <c r="IQ2312" s="73"/>
      <c r="IR2312" s="73"/>
      <c r="IS2312" s="73"/>
      <c r="IT2312" s="73"/>
      <c r="IU2312" s="73"/>
      <c r="IV2312" s="73"/>
      <c r="IW2312" s="73"/>
      <c r="IX2312" s="73"/>
      <c r="IY2312" s="73"/>
      <c r="IZ2312" s="73"/>
      <c r="JA2312" s="73"/>
      <c r="JB2312" s="73"/>
      <c r="JC2312" s="73"/>
    </row>
    <row r="2313" spans="2:263" s="72" customFormat="1">
      <c r="B2313" s="73"/>
      <c r="C2313" s="73"/>
      <c r="D2313" s="73"/>
      <c r="E2313" s="73"/>
      <c r="F2313" s="73"/>
      <c r="G2313" s="73"/>
      <c r="H2313" s="73"/>
      <c r="I2313" s="73"/>
      <c r="J2313" s="73"/>
      <c r="K2313" s="73"/>
      <c r="L2313" s="73"/>
      <c r="M2313" s="73"/>
      <c r="N2313" s="73"/>
      <c r="O2313" s="73"/>
      <c r="P2313" s="73"/>
      <c r="Q2313" s="73"/>
      <c r="R2313" s="73"/>
      <c r="S2313" s="73"/>
      <c r="T2313" s="73"/>
      <c r="U2313" s="73"/>
      <c r="V2313" s="73"/>
      <c r="W2313" s="73"/>
      <c r="GL2313" s="73"/>
      <c r="GM2313" s="73"/>
      <c r="GN2313" s="73"/>
      <c r="GO2313" s="73"/>
      <c r="GP2313" s="73"/>
      <c r="GQ2313" s="73"/>
      <c r="GR2313" s="73"/>
      <c r="GS2313" s="73"/>
      <c r="GT2313" s="73"/>
      <c r="GU2313" s="73"/>
      <c r="GV2313" s="73"/>
      <c r="GW2313" s="73"/>
      <c r="GX2313" s="73"/>
      <c r="GY2313" s="73"/>
      <c r="GZ2313" s="73"/>
      <c r="HA2313" s="73"/>
      <c r="HB2313" s="73"/>
      <c r="HC2313" s="73"/>
      <c r="HD2313" s="73"/>
      <c r="HE2313" s="73"/>
      <c r="HF2313" s="73"/>
      <c r="HG2313" s="73"/>
      <c r="HH2313" s="73"/>
      <c r="HI2313" s="73"/>
      <c r="HJ2313" s="73"/>
      <c r="HK2313" s="73"/>
      <c r="HL2313" s="73"/>
      <c r="HM2313" s="73"/>
      <c r="HN2313" s="73"/>
      <c r="HO2313" s="73"/>
      <c r="HP2313" s="73"/>
      <c r="HQ2313" s="73"/>
      <c r="HR2313" s="73"/>
      <c r="HS2313" s="73"/>
      <c r="HT2313" s="73"/>
      <c r="HU2313" s="73"/>
      <c r="HV2313" s="73"/>
      <c r="HW2313" s="73"/>
      <c r="HX2313" s="73"/>
      <c r="HY2313" s="73"/>
      <c r="HZ2313" s="73"/>
      <c r="IA2313" s="73"/>
      <c r="IB2313" s="73"/>
      <c r="IC2313" s="73"/>
      <c r="ID2313" s="73"/>
      <c r="IE2313" s="73"/>
      <c r="IF2313" s="73"/>
      <c r="IG2313" s="73"/>
      <c r="IH2313" s="73"/>
      <c r="II2313" s="73"/>
      <c r="IJ2313" s="73"/>
      <c r="IK2313" s="73"/>
      <c r="IL2313" s="73"/>
      <c r="IM2313" s="73"/>
      <c r="IN2313" s="73"/>
      <c r="IO2313" s="73"/>
      <c r="IP2313" s="73"/>
      <c r="IQ2313" s="73"/>
      <c r="IR2313" s="73"/>
      <c r="IS2313" s="73"/>
      <c r="IT2313" s="73"/>
      <c r="IU2313" s="73"/>
      <c r="IV2313" s="73"/>
      <c r="IW2313" s="73"/>
      <c r="IX2313" s="73"/>
      <c r="IY2313" s="73"/>
      <c r="IZ2313" s="73"/>
      <c r="JA2313" s="73"/>
      <c r="JB2313" s="73"/>
      <c r="JC2313" s="73"/>
    </row>
    <row r="2314" spans="2:263" s="72" customFormat="1">
      <c r="B2314" s="73"/>
      <c r="C2314" s="73"/>
      <c r="D2314" s="73"/>
      <c r="E2314" s="73"/>
      <c r="F2314" s="73"/>
      <c r="G2314" s="73"/>
      <c r="H2314" s="73"/>
      <c r="I2314" s="73"/>
      <c r="J2314" s="73"/>
      <c r="K2314" s="73"/>
      <c r="L2314" s="73"/>
      <c r="M2314" s="73"/>
      <c r="N2314" s="73"/>
      <c r="O2314" s="73"/>
      <c r="P2314" s="73"/>
      <c r="Q2314" s="73"/>
      <c r="R2314" s="73"/>
      <c r="S2314" s="73"/>
      <c r="T2314" s="73"/>
      <c r="U2314" s="73"/>
      <c r="V2314" s="73"/>
      <c r="W2314" s="73"/>
      <c r="GL2314" s="73"/>
      <c r="GM2314" s="73"/>
      <c r="GN2314" s="73"/>
      <c r="GO2314" s="73"/>
      <c r="GP2314" s="73"/>
      <c r="GQ2314" s="73"/>
      <c r="GR2314" s="73"/>
      <c r="GS2314" s="73"/>
      <c r="GT2314" s="73"/>
      <c r="GU2314" s="73"/>
      <c r="GV2314" s="73"/>
      <c r="GW2314" s="73"/>
      <c r="GX2314" s="73"/>
      <c r="GY2314" s="73"/>
      <c r="GZ2314" s="73"/>
      <c r="HA2314" s="73"/>
      <c r="HB2314" s="73"/>
      <c r="HC2314" s="73"/>
      <c r="HD2314" s="73"/>
      <c r="HE2314" s="73"/>
      <c r="HF2314" s="73"/>
      <c r="HG2314" s="73"/>
      <c r="HH2314" s="73"/>
      <c r="HI2314" s="73"/>
      <c r="HJ2314" s="73"/>
      <c r="HK2314" s="73"/>
      <c r="HL2314" s="73"/>
      <c r="HM2314" s="73"/>
      <c r="HN2314" s="73"/>
      <c r="HO2314" s="73"/>
      <c r="HP2314" s="73"/>
      <c r="HQ2314" s="73"/>
      <c r="HR2314" s="73"/>
      <c r="HS2314" s="73"/>
      <c r="HT2314" s="73"/>
      <c r="HU2314" s="73"/>
      <c r="HV2314" s="73"/>
      <c r="HW2314" s="73"/>
      <c r="HX2314" s="73"/>
      <c r="HY2314" s="73"/>
      <c r="HZ2314" s="73"/>
      <c r="IA2314" s="73"/>
      <c r="IB2314" s="73"/>
      <c r="IC2314" s="73"/>
      <c r="ID2314" s="73"/>
      <c r="IE2314" s="73"/>
      <c r="IF2314" s="73"/>
      <c r="IG2314" s="73"/>
      <c r="IH2314" s="73"/>
      <c r="II2314" s="73"/>
      <c r="IJ2314" s="73"/>
      <c r="IK2314" s="73"/>
      <c r="IL2314" s="73"/>
      <c r="IM2314" s="73"/>
      <c r="IN2314" s="73"/>
      <c r="IO2314" s="73"/>
      <c r="IP2314" s="73"/>
      <c r="IQ2314" s="73"/>
      <c r="IR2314" s="73"/>
      <c r="IS2314" s="73"/>
      <c r="IT2314" s="73"/>
      <c r="IU2314" s="73"/>
      <c r="IV2314" s="73"/>
      <c r="IW2314" s="73"/>
      <c r="IX2314" s="73"/>
      <c r="IY2314" s="73"/>
      <c r="IZ2314" s="73"/>
      <c r="JA2314" s="73"/>
      <c r="JB2314" s="73"/>
      <c r="JC2314" s="73"/>
    </row>
    <row r="2315" spans="2:263" s="72" customFormat="1">
      <c r="B2315" s="73"/>
      <c r="C2315" s="73"/>
      <c r="D2315" s="73"/>
      <c r="E2315" s="73"/>
      <c r="F2315" s="73"/>
      <c r="G2315" s="73"/>
      <c r="H2315" s="73"/>
      <c r="I2315" s="73"/>
      <c r="J2315" s="73"/>
      <c r="K2315" s="73"/>
      <c r="L2315" s="73"/>
      <c r="M2315" s="73"/>
      <c r="N2315" s="73"/>
      <c r="O2315" s="73"/>
      <c r="P2315" s="73"/>
      <c r="Q2315" s="73"/>
      <c r="R2315" s="73"/>
      <c r="S2315" s="73"/>
      <c r="T2315" s="73"/>
      <c r="U2315" s="73"/>
      <c r="V2315" s="73"/>
      <c r="W2315" s="73"/>
      <c r="GL2315" s="73"/>
      <c r="GM2315" s="73"/>
      <c r="GN2315" s="73"/>
      <c r="GO2315" s="73"/>
      <c r="GP2315" s="73"/>
      <c r="GQ2315" s="73"/>
      <c r="GR2315" s="73"/>
      <c r="GS2315" s="73"/>
      <c r="GT2315" s="73"/>
      <c r="GU2315" s="73"/>
      <c r="GV2315" s="73"/>
      <c r="GW2315" s="73"/>
      <c r="GX2315" s="73"/>
      <c r="GY2315" s="73"/>
      <c r="GZ2315" s="73"/>
      <c r="HA2315" s="73"/>
      <c r="HB2315" s="73"/>
      <c r="HC2315" s="73"/>
      <c r="HD2315" s="73"/>
      <c r="HE2315" s="73"/>
      <c r="HF2315" s="73"/>
      <c r="HG2315" s="73"/>
      <c r="HH2315" s="73"/>
      <c r="HI2315" s="73"/>
      <c r="HJ2315" s="73"/>
      <c r="HK2315" s="73"/>
      <c r="HL2315" s="73"/>
      <c r="HM2315" s="73"/>
      <c r="HN2315" s="73"/>
      <c r="HO2315" s="73"/>
      <c r="HP2315" s="73"/>
      <c r="HQ2315" s="73"/>
      <c r="HR2315" s="73"/>
      <c r="HS2315" s="73"/>
      <c r="HT2315" s="73"/>
      <c r="HU2315" s="73"/>
      <c r="HV2315" s="73"/>
      <c r="HW2315" s="73"/>
      <c r="HX2315" s="73"/>
      <c r="HY2315" s="73"/>
      <c r="HZ2315" s="73"/>
      <c r="IA2315" s="73"/>
      <c r="IB2315" s="73"/>
      <c r="IC2315" s="73"/>
      <c r="ID2315" s="73"/>
      <c r="IE2315" s="73"/>
      <c r="IF2315" s="73"/>
      <c r="IG2315" s="73"/>
      <c r="IH2315" s="73"/>
      <c r="II2315" s="73"/>
      <c r="IJ2315" s="73"/>
      <c r="IK2315" s="73"/>
      <c r="IL2315" s="73"/>
      <c r="IM2315" s="73"/>
      <c r="IN2315" s="73"/>
      <c r="IO2315" s="73"/>
      <c r="IP2315" s="73"/>
      <c r="IQ2315" s="73"/>
      <c r="IR2315" s="73"/>
      <c r="IS2315" s="73"/>
      <c r="IT2315" s="73"/>
      <c r="IU2315" s="73"/>
      <c r="IV2315" s="73"/>
      <c r="IW2315" s="73"/>
      <c r="IX2315" s="73"/>
      <c r="IY2315" s="73"/>
      <c r="IZ2315" s="73"/>
      <c r="JA2315" s="73"/>
      <c r="JB2315" s="73"/>
      <c r="JC2315" s="73"/>
    </row>
    <row r="2316" spans="2:263" s="72" customFormat="1">
      <c r="B2316" s="73"/>
      <c r="C2316" s="73"/>
      <c r="D2316" s="73"/>
      <c r="E2316" s="73"/>
      <c r="F2316" s="73"/>
      <c r="G2316" s="73"/>
      <c r="H2316" s="73"/>
      <c r="I2316" s="73"/>
      <c r="J2316" s="73"/>
      <c r="K2316" s="73"/>
      <c r="L2316" s="73"/>
      <c r="M2316" s="73"/>
      <c r="N2316" s="73"/>
      <c r="O2316" s="73"/>
      <c r="P2316" s="73"/>
      <c r="Q2316" s="73"/>
      <c r="R2316" s="73"/>
      <c r="S2316" s="73"/>
      <c r="T2316" s="73"/>
      <c r="U2316" s="73"/>
      <c r="V2316" s="73"/>
      <c r="W2316" s="73"/>
      <c r="GL2316" s="73"/>
      <c r="GM2316" s="73"/>
      <c r="GN2316" s="73"/>
      <c r="GO2316" s="73"/>
      <c r="GP2316" s="73"/>
      <c r="GQ2316" s="73"/>
      <c r="GR2316" s="73"/>
      <c r="GS2316" s="73"/>
      <c r="GT2316" s="73"/>
      <c r="GU2316" s="73"/>
      <c r="GV2316" s="73"/>
      <c r="GW2316" s="73"/>
      <c r="GX2316" s="73"/>
      <c r="GY2316" s="73"/>
      <c r="GZ2316" s="73"/>
      <c r="HA2316" s="73"/>
      <c r="HB2316" s="73"/>
      <c r="HC2316" s="73"/>
      <c r="HD2316" s="73"/>
      <c r="HE2316" s="73"/>
      <c r="HF2316" s="73"/>
      <c r="HG2316" s="73"/>
      <c r="HH2316" s="73"/>
      <c r="HI2316" s="73"/>
      <c r="HJ2316" s="73"/>
      <c r="HK2316" s="73"/>
      <c r="HL2316" s="73"/>
      <c r="HM2316" s="73"/>
      <c r="HN2316" s="73"/>
      <c r="HO2316" s="73"/>
      <c r="HP2316" s="73"/>
      <c r="HQ2316" s="73"/>
      <c r="HR2316" s="73"/>
      <c r="HS2316" s="73"/>
      <c r="HT2316" s="73"/>
      <c r="HU2316" s="73"/>
      <c r="HV2316" s="73"/>
      <c r="HW2316" s="73"/>
      <c r="HX2316" s="73"/>
      <c r="HY2316" s="73"/>
      <c r="HZ2316" s="73"/>
      <c r="IA2316" s="73"/>
      <c r="IB2316" s="73"/>
      <c r="IC2316" s="73"/>
      <c r="ID2316" s="73"/>
      <c r="IE2316" s="73"/>
      <c r="IF2316" s="73"/>
      <c r="IG2316" s="73"/>
      <c r="IH2316" s="73"/>
      <c r="II2316" s="73"/>
      <c r="IJ2316" s="73"/>
      <c r="IK2316" s="73"/>
      <c r="IL2316" s="73"/>
      <c r="IM2316" s="73"/>
      <c r="IN2316" s="73"/>
      <c r="IO2316" s="73"/>
      <c r="IP2316" s="73"/>
      <c r="IQ2316" s="73"/>
      <c r="IR2316" s="73"/>
      <c r="IS2316" s="73"/>
      <c r="IT2316" s="73"/>
      <c r="IU2316" s="73"/>
      <c r="IV2316" s="73"/>
      <c r="IW2316" s="73"/>
      <c r="IX2316" s="73"/>
      <c r="IY2316" s="73"/>
      <c r="IZ2316" s="73"/>
      <c r="JA2316" s="73"/>
      <c r="JB2316" s="73"/>
      <c r="JC2316" s="73"/>
    </row>
    <row r="2317" spans="2:263" s="72" customFormat="1">
      <c r="B2317" s="73"/>
      <c r="C2317" s="73"/>
      <c r="D2317" s="73"/>
      <c r="E2317" s="73"/>
      <c r="F2317" s="73"/>
      <c r="G2317" s="73"/>
      <c r="H2317" s="73"/>
      <c r="I2317" s="73"/>
      <c r="J2317" s="73"/>
      <c r="K2317" s="73"/>
      <c r="L2317" s="73"/>
      <c r="M2317" s="73"/>
      <c r="N2317" s="73"/>
      <c r="O2317" s="73"/>
      <c r="P2317" s="73"/>
      <c r="Q2317" s="73"/>
      <c r="R2317" s="73"/>
      <c r="S2317" s="73"/>
      <c r="T2317" s="73"/>
      <c r="U2317" s="73"/>
      <c r="V2317" s="73"/>
      <c r="W2317" s="73"/>
      <c r="GL2317" s="73"/>
      <c r="GM2317" s="73"/>
      <c r="GN2317" s="73"/>
      <c r="GO2317" s="73"/>
      <c r="GP2317" s="73"/>
      <c r="GQ2317" s="73"/>
      <c r="GR2317" s="73"/>
      <c r="GS2317" s="73"/>
      <c r="GT2317" s="73"/>
      <c r="GU2317" s="73"/>
      <c r="GV2317" s="73"/>
      <c r="GW2317" s="73"/>
      <c r="GX2317" s="73"/>
      <c r="GY2317" s="73"/>
      <c r="GZ2317" s="73"/>
      <c r="HA2317" s="73"/>
      <c r="HB2317" s="73"/>
      <c r="HC2317" s="73"/>
      <c r="HD2317" s="73"/>
      <c r="HE2317" s="73"/>
      <c r="HF2317" s="73"/>
      <c r="HG2317" s="73"/>
      <c r="HH2317" s="73"/>
      <c r="HI2317" s="73"/>
      <c r="HJ2317" s="73"/>
      <c r="HK2317" s="73"/>
      <c r="HL2317" s="73"/>
      <c r="HM2317" s="73"/>
      <c r="HN2317" s="73"/>
      <c r="HO2317" s="73"/>
      <c r="HP2317" s="73"/>
      <c r="HQ2317" s="73"/>
      <c r="HR2317" s="73"/>
      <c r="HS2317" s="73"/>
      <c r="HT2317" s="73"/>
      <c r="HU2317" s="73"/>
      <c r="HV2317" s="73"/>
      <c r="HW2317" s="73"/>
      <c r="HX2317" s="73"/>
      <c r="HY2317" s="73"/>
      <c r="HZ2317" s="73"/>
      <c r="IA2317" s="73"/>
      <c r="IB2317" s="73"/>
      <c r="IC2317" s="73"/>
      <c r="ID2317" s="73"/>
      <c r="IE2317" s="73"/>
      <c r="IF2317" s="73"/>
      <c r="IG2317" s="73"/>
      <c r="IH2317" s="73"/>
      <c r="II2317" s="73"/>
      <c r="IJ2317" s="73"/>
      <c r="IK2317" s="73"/>
      <c r="IL2317" s="73"/>
      <c r="IM2317" s="73"/>
      <c r="IN2317" s="73"/>
      <c r="IO2317" s="73"/>
      <c r="IP2317" s="73"/>
      <c r="IQ2317" s="73"/>
      <c r="IR2317" s="73"/>
      <c r="IS2317" s="73"/>
      <c r="IT2317" s="73"/>
      <c r="IU2317" s="73"/>
      <c r="IV2317" s="73"/>
      <c r="IW2317" s="73"/>
      <c r="IX2317" s="73"/>
      <c r="IY2317" s="73"/>
      <c r="IZ2317" s="73"/>
      <c r="JA2317" s="73"/>
      <c r="JB2317" s="73"/>
      <c r="JC2317" s="73"/>
    </row>
    <row r="2318" spans="2:263" s="72" customFormat="1">
      <c r="B2318" s="73"/>
      <c r="C2318" s="73"/>
      <c r="D2318" s="73"/>
      <c r="E2318" s="73"/>
      <c r="F2318" s="73"/>
      <c r="G2318" s="73"/>
      <c r="H2318" s="73"/>
      <c r="I2318" s="73"/>
      <c r="J2318" s="73"/>
      <c r="K2318" s="73"/>
      <c r="L2318" s="73"/>
      <c r="M2318" s="73"/>
      <c r="N2318" s="73"/>
      <c r="O2318" s="73"/>
      <c r="P2318" s="73"/>
      <c r="Q2318" s="73"/>
      <c r="R2318" s="73"/>
      <c r="S2318" s="73"/>
      <c r="T2318" s="73"/>
      <c r="U2318" s="73"/>
      <c r="V2318" s="73"/>
      <c r="W2318" s="73"/>
      <c r="GL2318" s="73"/>
      <c r="GM2318" s="73"/>
      <c r="GN2318" s="73"/>
      <c r="GO2318" s="73"/>
      <c r="GP2318" s="73"/>
      <c r="GQ2318" s="73"/>
      <c r="GR2318" s="73"/>
      <c r="GS2318" s="73"/>
      <c r="GT2318" s="73"/>
      <c r="GU2318" s="73"/>
      <c r="GV2318" s="73"/>
      <c r="GW2318" s="73"/>
      <c r="GX2318" s="73"/>
      <c r="GY2318" s="73"/>
      <c r="GZ2318" s="73"/>
      <c r="HA2318" s="73"/>
      <c r="HB2318" s="73"/>
      <c r="HC2318" s="73"/>
      <c r="HD2318" s="73"/>
      <c r="HE2318" s="73"/>
      <c r="HF2318" s="73"/>
      <c r="HG2318" s="73"/>
      <c r="HH2318" s="73"/>
      <c r="HI2318" s="73"/>
      <c r="HJ2318" s="73"/>
      <c r="HK2318" s="73"/>
      <c r="HL2318" s="73"/>
      <c r="HM2318" s="73"/>
      <c r="HN2318" s="73"/>
      <c r="HO2318" s="73"/>
      <c r="HP2318" s="73"/>
      <c r="HQ2318" s="73"/>
      <c r="HR2318" s="73"/>
      <c r="HS2318" s="73"/>
      <c r="HT2318" s="73"/>
      <c r="HU2318" s="73"/>
      <c r="HV2318" s="73"/>
      <c r="HW2318" s="73"/>
      <c r="HX2318" s="73"/>
      <c r="HY2318" s="73"/>
      <c r="HZ2318" s="73"/>
      <c r="IA2318" s="73"/>
      <c r="IB2318" s="73"/>
      <c r="IC2318" s="73"/>
      <c r="ID2318" s="73"/>
      <c r="IE2318" s="73"/>
      <c r="IF2318" s="73"/>
      <c r="IG2318" s="73"/>
      <c r="IH2318" s="73"/>
      <c r="II2318" s="73"/>
      <c r="IJ2318" s="73"/>
      <c r="IK2318" s="73"/>
      <c r="IL2318" s="73"/>
      <c r="IM2318" s="73"/>
      <c r="IN2318" s="73"/>
      <c r="IO2318" s="73"/>
      <c r="IP2318" s="73"/>
      <c r="IQ2318" s="73"/>
      <c r="IR2318" s="73"/>
      <c r="IS2318" s="73"/>
      <c r="IT2318" s="73"/>
      <c r="IU2318" s="73"/>
      <c r="IV2318" s="73"/>
      <c r="IW2318" s="73"/>
      <c r="IX2318" s="73"/>
      <c r="IY2318" s="73"/>
      <c r="IZ2318" s="73"/>
      <c r="JA2318" s="73"/>
      <c r="JB2318" s="73"/>
      <c r="JC2318" s="73"/>
    </row>
    <row r="2319" spans="2:263" s="72" customFormat="1">
      <c r="B2319" s="73"/>
      <c r="C2319" s="73"/>
      <c r="D2319" s="73"/>
      <c r="E2319" s="73"/>
      <c r="F2319" s="73"/>
      <c r="G2319" s="73"/>
      <c r="H2319" s="73"/>
      <c r="I2319" s="73"/>
      <c r="J2319" s="73"/>
      <c r="K2319" s="73"/>
      <c r="L2319" s="73"/>
      <c r="M2319" s="73"/>
      <c r="N2319" s="73"/>
      <c r="O2319" s="73"/>
      <c r="P2319" s="73"/>
      <c r="Q2319" s="73"/>
      <c r="R2319" s="73"/>
      <c r="S2319" s="73"/>
      <c r="T2319" s="73"/>
      <c r="U2319" s="73"/>
      <c r="V2319" s="73"/>
      <c r="W2319" s="73"/>
      <c r="GL2319" s="73"/>
      <c r="GM2319" s="73"/>
      <c r="GN2319" s="73"/>
      <c r="GO2319" s="73"/>
      <c r="GP2319" s="73"/>
      <c r="GQ2319" s="73"/>
      <c r="GR2319" s="73"/>
      <c r="GS2319" s="73"/>
      <c r="GT2319" s="73"/>
      <c r="GU2319" s="73"/>
      <c r="GV2319" s="73"/>
      <c r="GW2319" s="73"/>
      <c r="GX2319" s="73"/>
      <c r="GY2319" s="73"/>
      <c r="GZ2319" s="73"/>
      <c r="HA2319" s="73"/>
      <c r="HB2319" s="73"/>
      <c r="HC2319" s="73"/>
      <c r="HD2319" s="73"/>
      <c r="HE2319" s="73"/>
      <c r="HF2319" s="73"/>
      <c r="HG2319" s="73"/>
      <c r="HH2319" s="73"/>
      <c r="HI2319" s="73"/>
      <c r="HJ2319" s="73"/>
      <c r="HK2319" s="73"/>
      <c r="HL2319" s="73"/>
      <c r="HM2319" s="73"/>
      <c r="HN2319" s="73"/>
      <c r="HO2319" s="73"/>
      <c r="HP2319" s="73"/>
      <c r="HQ2319" s="73"/>
      <c r="HR2319" s="73"/>
      <c r="HS2319" s="73"/>
      <c r="HT2319" s="73"/>
      <c r="HU2319" s="73"/>
      <c r="HV2319" s="73"/>
      <c r="HW2319" s="73"/>
      <c r="HX2319" s="73"/>
      <c r="HY2319" s="73"/>
      <c r="HZ2319" s="73"/>
      <c r="IA2319" s="73"/>
      <c r="IB2319" s="73"/>
      <c r="IC2319" s="73"/>
      <c r="ID2319" s="73"/>
      <c r="IE2319" s="73"/>
      <c r="IF2319" s="73"/>
      <c r="IG2319" s="73"/>
      <c r="IH2319" s="73"/>
      <c r="II2319" s="73"/>
      <c r="IJ2319" s="73"/>
      <c r="IK2319" s="73"/>
      <c r="IL2319" s="73"/>
      <c r="IM2319" s="73"/>
      <c r="IN2319" s="73"/>
      <c r="IO2319" s="73"/>
      <c r="IP2319" s="73"/>
      <c r="IQ2319" s="73"/>
      <c r="IR2319" s="73"/>
      <c r="IS2319" s="73"/>
      <c r="IT2319" s="73"/>
      <c r="IU2319" s="73"/>
      <c r="IV2319" s="73"/>
      <c r="IW2319" s="73"/>
      <c r="IX2319" s="73"/>
      <c r="IY2319" s="73"/>
      <c r="IZ2319" s="73"/>
      <c r="JA2319" s="73"/>
      <c r="JB2319" s="73"/>
      <c r="JC2319" s="73"/>
    </row>
    <row r="2320" spans="2:263" s="72" customFormat="1">
      <c r="B2320" s="73"/>
      <c r="C2320" s="73"/>
      <c r="D2320" s="73"/>
      <c r="E2320" s="73"/>
      <c r="F2320" s="73"/>
      <c r="G2320" s="73"/>
      <c r="H2320" s="73"/>
      <c r="I2320" s="73"/>
      <c r="J2320" s="73"/>
      <c r="K2320" s="73"/>
      <c r="L2320" s="73"/>
      <c r="M2320" s="73"/>
      <c r="N2320" s="73"/>
      <c r="O2320" s="73"/>
      <c r="P2320" s="73"/>
      <c r="Q2320" s="73"/>
      <c r="R2320" s="73"/>
      <c r="S2320" s="73"/>
      <c r="T2320" s="73"/>
      <c r="U2320" s="73"/>
      <c r="V2320" s="73"/>
      <c r="W2320" s="73"/>
      <c r="GL2320" s="73"/>
      <c r="GM2320" s="73"/>
      <c r="GN2320" s="73"/>
      <c r="GO2320" s="73"/>
      <c r="GP2320" s="73"/>
      <c r="GQ2320" s="73"/>
      <c r="GR2320" s="73"/>
      <c r="GS2320" s="73"/>
      <c r="GT2320" s="73"/>
      <c r="GU2320" s="73"/>
      <c r="GV2320" s="73"/>
      <c r="GW2320" s="73"/>
      <c r="GX2320" s="73"/>
      <c r="GY2320" s="73"/>
      <c r="GZ2320" s="73"/>
      <c r="HA2320" s="73"/>
      <c r="HB2320" s="73"/>
      <c r="HC2320" s="73"/>
      <c r="HD2320" s="73"/>
      <c r="HE2320" s="73"/>
      <c r="HF2320" s="73"/>
      <c r="HG2320" s="73"/>
      <c r="HH2320" s="73"/>
      <c r="HI2320" s="73"/>
      <c r="HJ2320" s="73"/>
      <c r="HK2320" s="73"/>
      <c r="HL2320" s="73"/>
      <c r="HM2320" s="73"/>
      <c r="HN2320" s="73"/>
      <c r="HO2320" s="73"/>
      <c r="HP2320" s="73"/>
      <c r="HQ2320" s="73"/>
      <c r="HR2320" s="73"/>
      <c r="HS2320" s="73"/>
      <c r="HT2320" s="73"/>
      <c r="HU2320" s="73"/>
      <c r="HV2320" s="73"/>
      <c r="HW2320" s="73"/>
      <c r="HX2320" s="73"/>
      <c r="HY2320" s="73"/>
      <c r="HZ2320" s="73"/>
      <c r="IA2320" s="73"/>
      <c r="IB2320" s="73"/>
      <c r="IC2320" s="73"/>
      <c r="ID2320" s="73"/>
      <c r="IE2320" s="73"/>
      <c r="IF2320" s="73"/>
      <c r="IG2320" s="73"/>
      <c r="IH2320" s="73"/>
      <c r="II2320" s="73"/>
      <c r="IJ2320" s="73"/>
      <c r="IK2320" s="73"/>
      <c r="IL2320" s="73"/>
      <c r="IM2320" s="73"/>
      <c r="IN2320" s="73"/>
      <c r="IO2320" s="73"/>
      <c r="IP2320" s="73"/>
      <c r="IQ2320" s="73"/>
      <c r="IR2320" s="73"/>
      <c r="IS2320" s="73"/>
      <c r="IT2320" s="73"/>
      <c r="IU2320" s="73"/>
      <c r="IV2320" s="73"/>
      <c r="IW2320" s="73"/>
      <c r="IX2320" s="73"/>
      <c r="IY2320" s="73"/>
      <c r="IZ2320" s="73"/>
      <c r="JA2320" s="73"/>
      <c r="JB2320" s="73"/>
      <c r="JC2320" s="73"/>
    </row>
    <row r="2321" spans="2:263" s="72" customFormat="1">
      <c r="B2321" s="73"/>
      <c r="C2321" s="73"/>
      <c r="D2321" s="73"/>
      <c r="E2321" s="73"/>
      <c r="F2321" s="73"/>
      <c r="G2321" s="73"/>
      <c r="H2321" s="73"/>
      <c r="I2321" s="73"/>
      <c r="J2321" s="73"/>
      <c r="K2321" s="73"/>
      <c r="L2321" s="73"/>
      <c r="M2321" s="73"/>
      <c r="N2321" s="73"/>
      <c r="O2321" s="73"/>
      <c r="P2321" s="73"/>
      <c r="Q2321" s="73"/>
      <c r="R2321" s="73"/>
      <c r="S2321" s="73"/>
      <c r="T2321" s="73"/>
      <c r="U2321" s="73"/>
      <c r="V2321" s="73"/>
      <c r="W2321" s="73"/>
      <c r="GL2321" s="73"/>
      <c r="GM2321" s="73"/>
      <c r="GN2321" s="73"/>
      <c r="GO2321" s="73"/>
      <c r="GP2321" s="73"/>
      <c r="GQ2321" s="73"/>
      <c r="GR2321" s="73"/>
      <c r="GS2321" s="73"/>
      <c r="GT2321" s="73"/>
      <c r="GU2321" s="73"/>
      <c r="GV2321" s="73"/>
      <c r="GW2321" s="73"/>
      <c r="GX2321" s="73"/>
      <c r="GY2321" s="73"/>
      <c r="GZ2321" s="73"/>
      <c r="HA2321" s="73"/>
      <c r="HB2321" s="73"/>
      <c r="HC2321" s="73"/>
      <c r="HD2321" s="73"/>
      <c r="HE2321" s="73"/>
      <c r="HF2321" s="73"/>
      <c r="HG2321" s="73"/>
      <c r="HH2321" s="73"/>
      <c r="HI2321" s="73"/>
      <c r="HJ2321" s="73"/>
      <c r="HK2321" s="73"/>
      <c r="HL2321" s="73"/>
      <c r="HM2321" s="73"/>
      <c r="HN2321" s="73"/>
      <c r="HO2321" s="73"/>
      <c r="HP2321" s="73"/>
      <c r="HQ2321" s="73"/>
      <c r="HR2321" s="73"/>
      <c r="HS2321" s="73"/>
      <c r="HT2321" s="73"/>
      <c r="HU2321" s="73"/>
      <c r="HV2321" s="73"/>
      <c r="HW2321" s="73"/>
      <c r="HX2321" s="73"/>
      <c r="HY2321" s="73"/>
      <c r="HZ2321" s="73"/>
      <c r="IA2321" s="73"/>
      <c r="IB2321" s="73"/>
      <c r="IC2321" s="73"/>
      <c r="ID2321" s="73"/>
      <c r="IE2321" s="73"/>
      <c r="IF2321" s="73"/>
      <c r="IG2321" s="73"/>
      <c r="IH2321" s="73"/>
      <c r="II2321" s="73"/>
      <c r="IJ2321" s="73"/>
      <c r="IK2321" s="73"/>
      <c r="IL2321" s="73"/>
      <c r="IM2321" s="73"/>
      <c r="IN2321" s="73"/>
      <c r="IO2321" s="73"/>
      <c r="IP2321" s="73"/>
      <c r="IQ2321" s="73"/>
      <c r="IR2321" s="73"/>
      <c r="IS2321" s="73"/>
      <c r="IT2321" s="73"/>
      <c r="IU2321" s="73"/>
      <c r="IV2321" s="73"/>
      <c r="IW2321" s="73"/>
      <c r="IX2321" s="73"/>
      <c r="IY2321" s="73"/>
      <c r="IZ2321" s="73"/>
      <c r="JA2321" s="73"/>
      <c r="JB2321" s="73"/>
      <c r="JC2321" s="73"/>
    </row>
    <row r="2322" spans="2:263" s="72" customFormat="1">
      <c r="B2322" s="73"/>
      <c r="C2322" s="73"/>
      <c r="D2322" s="73"/>
      <c r="E2322" s="73"/>
      <c r="F2322" s="73"/>
      <c r="G2322" s="73"/>
      <c r="H2322" s="73"/>
      <c r="I2322" s="73"/>
      <c r="J2322" s="73"/>
      <c r="K2322" s="73"/>
      <c r="L2322" s="73"/>
      <c r="M2322" s="73"/>
      <c r="N2322" s="73"/>
      <c r="O2322" s="73"/>
      <c r="P2322" s="73"/>
      <c r="Q2322" s="73"/>
      <c r="R2322" s="73"/>
      <c r="S2322" s="73"/>
      <c r="T2322" s="73"/>
      <c r="U2322" s="73"/>
      <c r="V2322" s="73"/>
      <c r="W2322" s="73"/>
      <c r="GL2322" s="73"/>
      <c r="GM2322" s="73"/>
      <c r="GN2322" s="73"/>
      <c r="GO2322" s="73"/>
      <c r="GP2322" s="73"/>
      <c r="GQ2322" s="73"/>
      <c r="GR2322" s="73"/>
      <c r="GS2322" s="73"/>
      <c r="GT2322" s="73"/>
      <c r="GU2322" s="73"/>
      <c r="GV2322" s="73"/>
      <c r="GW2322" s="73"/>
      <c r="GX2322" s="73"/>
      <c r="GY2322" s="73"/>
      <c r="GZ2322" s="73"/>
      <c r="HA2322" s="73"/>
      <c r="HB2322" s="73"/>
      <c r="HC2322" s="73"/>
      <c r="HD2322" s="73"/>
      <c r="HE2322" s="73"/>
      <c r="HF2322" s="73"/>
      <c r="HG2322" s="73"/>
      <c r="HH2322" s="73"/>
      <c r="HI2322" s="73"/>
      <c r="HJ2322" s="73"/>
      <c r="HK2322" s="73"/>
      <c r="HL2322" s="73"/>
      <c r="HM2322" s="73"/>
      <c r="HN2322" s="73"/>
      <c r="HO2322" s="73"/>
      <c r="HP2322" s="73"/>
      <c r="HQ2322" s="73"/>
      <c r="HR2322" s="73"/>
      <c r="HS2322" s="73"/>
      <c r="HT2322" s="73"/>
      <c r="HU2322" s="73"/>
      <c r="HV2322" s="73"/>
      <c r="HW2322" s="73"/>
      <c r="HX2322" s="73"/>
      <c r="HY2322" s="73"/>
      <c r="HZ2322" s="73"/>
      <c r="IA2322" s="73"/>
      <c r="IB2322" s="73"/>
      <c r="IC2322" s="73"/>
      <c r="ID2322" s="73"/>
      <c r="IE2322" s="73"/>
      <c r="IF2322" s="73"/>
      <c r="IG2322" s="73"/>
      <c r="IH2322" s="73"/>
      <c r="II2322" s="73"/>
      <c r="IJ2322" s="73"/>
      <c r="IK2322" s="73"/>
      <c r="IL2322" s="73"/>
      <c r="IM2322" s="73"/>
      <c r="IN2322" s="73"/>
      <c r="IO2322" s="73"/>
      <c r="IP2322" s="73"/>
      <c r="IQ2322" s="73"/>
      <c r="IR2322" s="73"/>
      <c r="IS2322" s="73"/>
      <c r="IT2322" s="73"/>
      <c r="IU2322" s="73"/>
      <c r="IV2322" s="73"/>
      <c r="IW2322" s="73"/>
      <c r="IX2322" s="73"/>
      <c r="IY2322" s="73"/>
      <c r="IZ2322" s="73"/>
      <c r="JA2322" s="73"/>
      <c r="JB2322" s="73"/>
      <c r="JC2322" s="73"/>
    </row>
    <row r="2323" spans="2:263" s="72" customFormat="1">
      <c r="B2323" s="73"/>
      <c r="C2323" s="73"/>
      <c r="D2323" s="73"/>
      <c r="E2323" s="73"/>
      <c r="F2323" s="73"/>
      <c r="G2323" s="73"/>
      <c r="H2323" s="73"/>
      <c r="I2323" s="73"/>
      <c r="J2323" s="73"/>
      <c r="K2323" s="73"/>
      <c r="L2323" s="73"/>
      <c r="M2323" s="73"/>
      <c r="N2323" s="73"/>
      <c r="O2323" s="73"/>
      <c r="P2323" s="73"/>
      <c r="Q2323" s="73"/>
      <c r="R2323" s="73"/>
      <c r="S2323" s="73"/>
      <c r="T2323" s="73"/>
      <c r="U2323" s="73"/>
      <c r="V2323" s="73"/>
      <c r="W2323" s="73"/>
      <c r="GL2323" s="73"/>
      <c r="GM2323" s="73"/>
      <c r="GN2323" s="73"/>
      <c r="GO2323" s="73"/>
      <c r="GP2323" s="73"/>
      <c r="GQ2323" s="73"/>
      <c r="GR2323" s="73"/>
      <c r="GS2323" s="73"/>
      <c r="GT2323" s="73"/>
      <c r="GU2323" s="73"/>
      <c r="GV2323" s="73"/>
      <c r="GW2323" s="73"/>
      <c r="GX2323" s="73"/>
      <c r="GY2323" s="73"/>
      <c r="GZ2323" s="73"/>
      <c r="HA2323" s="73"/>
      <c r="HB2323" s="73"/>
      <c r="HC2323" s="73"/>
      <c r="HD2323" s="73"/>
      <c r="HE2323" s="73"/>
      <c r="HF2323" s="73"/>
      <c r="HG2323" s="73"/>
      <c r="HH2323" s="73"/>
      <c r="HI2323" s="73"/>
      <c r="HJ2323" s="73"/>
      <c r="HK2323" s="73"/>
      <c r="HL2323" s="73"/>
      <c r="HM2323" s="73"/>
      <c r="HN2323" s="73"/>
      <c r="HO2323" s="73"/>
      <c r="HP2323" s="73"/>
      <c r="HQ2323" s="73"/>
      <c r="HR2323" s="73"/>
      <c r="HS2323" s="73"/>
      <c r="HT2323" s="73"/>
      <c r="HU2323" s="73"/>
      <c r="HV2323" s="73"/>
      <c r="HW2323" s="73"/>
      <c r="HX2323" s="73"/>
      <c r="HY2323" s="73"/>
      <c r="HZ2323" s="73"/>
      <c r="IA2323" s="73"/>
      <c r="IB2323" s="73"/>
      <c r="IC2323" s="73"/>
      <c r="ID2323" s="73"/>
      <c r="IE2323" s="73"/>
      <c r="IF2323" s="73"/>
      <c r="IG2323" s="73"/>
      <c r="IH2323" s="73"/>
      <c r="II2323" s="73"/>
      <c r="IJ2323" s="73"/>
      <c r="IK2323" s="73"/>
      <c r="IL2323" s="73"/>
      <c r="IM2323" s="73"/>
      <c r="IN2323" s="73"/>
      <c r="IO2323" s="73"/>
      <c r="IP2323" s="73"/>
      <c r="IQ2323" s="73"/>
      <c r="IR2323" s="73"/>
      <c r="IS2323" s="73"/>
      <c r="IT2323" s="73"/>
      <c r="IU2323" s="73"/>
      <c r="IV2323" s="73"/>
      <c r="IW2323" s="73"/>
      <c r="IX2323" s="73"/>
      <c r="IY2323" s="73"/>
      <c r="IZ2323" s="73"/>
      <c r="JA2323" s="73"/>
      <c r="JB2323" s="73"/>
      <c r="JC2323" s="73"/>
    </row>
    <row r="2324" spans="2:263" s="72" customFormat="1">
      <c r="B2324" s="73"/>
      <c r="C2324" s="73"/>
      <c r="D2324" s="73"/>
      <c r="E2324" s="73"/>
      <c r="F2324" s="73"/>
      <c r="G2324" s="73"/>
      <c r="H2324" s="73"/>
      <c r="I2324" s="73"/>
      <c r="J2324" s="73"/>
      <c r="K2324" s="73"/>
      <c r="L2324" s="73"/>
      <c r="M2324" s="73"/>
      <c r="N2324" s="73"/>
      <c r="O2324" s="73"/>
      <c r="P2324" s="73"/>
      <c r="Q2324" s="73"/>
      <c r="R2324" s="73"/>
      <c r="S2324" s="73"/>
      <c r="T2324" s="73"/>
      <c r="U2324" s="73"/>
      <c r="V2324" s="73"/>
      <c r="W2324" s="73"/>
      <c r="GL2324" s="73"/>
      <c r="GM2324" s="73"/>
      <c r="GN2324" s="73"/>
      <c r="GO2324" s="73"/>
      <c r="GP2324" s="73"/>
      <c r="GQ2324" s="73"/>
      <c r="GR2324" s="73"/>
      <c r="GS2324" s="73"/>
      <c r="GT2324" s="73"/>
      <c r="GU2324" s="73"/>
      <c r="GV2324" s="73"/>
      <c r="GW2324" s="73"/>
      <c r="GX2324" s="73"/>
      <c r="GY2324" s="73"/>
      <c r="GZ2324" s="73"/>
      <c r="HA2324" s="73"/>
      <c r="HB2324" s="73"/>
      <c r="HC2324" s="73"/>
      <c r="HD2324" s="73"/>
      <c r="HE2324" s="73"/>
      <c r="HF2324" s="73"/>
      <c r="HG2324" s="73"/>
      <c r="HH2324" s="73"/>
      <c r="HI2324" s="73"/>
      <c r="HJ2324" s="73"/>
      <c r="HK2324" s="73"/>
      <c r="HL2324" s="73"/>
      <c r="HM2324" s="73"/>
      <c r="HN2324" s="73"/>
      <c r="HO2324" s="73"/>
      <c r="HP2324" s="73"/>
      <c r="HQ2324" s="73"/>
      <c r="HR2324" s="73"/>
      <c r="HS2324" s="73"/>
      <c r="HT2324" s="73"/>
      <c r="HU2324" s="73"/>
      <c r="HV2324" s="73"/>
      <c r="HW2324" s="73"/>
      <c r="HX2324" s="73"/>
      <c r="HY2324" s="73"/>
      <c r="HZ2324" s="73"/>
      <c r="IA2324" s="73"/>
      <c r="IB2324" s="73"/>
      <c r="IC2324" s="73"/>
      <c r="ID2324" s="73"/>
      <c r="IE2324" s="73"/>
      <c r="IF2324" s="73"/>
      <c r="IG2324" s="73"/>
      <c r="IH2324" s="73"/>
      <c r="II2324" s="73"/>
      <c r="IJ2324" s="73"/>
      <c r="IK2324" s="73"/>
      <c r="IL2324" s="73"/>
      <c r="IM2324" s="73"/>
      <c r="IN2324" s="73"/>
      <c r="IO2324" s="73"/>
      <c r="IP2324" s="73"/>
      <c r="IQ2324" s="73"/>
      <c r="IR2324" s="73"/>
      <c r="IS2324" s="73"/>
      <c r="IT2324" s="73"/>
      <c r="IU2324" s="73"/>
      <c r="IV2324" s="73"/>
      <c r="IW2324" s="73"/>
      <c r="IX2324" s="73"/>
      <c r="IY2324" s="73"/>
      <c r="IZ2324" s="73"/>
      <c r="JA2324" s="73"/>
      <c r="JB2324" s="73"/>
      <c r="JC2324" s="73"/>
    </row>
    <row r="2325" spans="2:263" s="72" customFormat="1">
      <c r="B2325" s="73"/>
      <c r="C2325" s="73"/>
      <c r="D2325" s="73"/>
      <c r="E2325" s="73"/>
      <c r="F2325" s="73"/>
      <c r="G2325" s="73"/>
      <c r="H2325" s="73"/>
      <c r="I2325" s="73"/>
      <c r="J2325" s="73"/>
      <c r="K2325" s="73"/>
      <c r="L2325" s="73"/>
      <c r="M2325" s="73"/>
      <c r="N2325" s="73"/>
      <c r="O2325" s="73"/>
      <c r="P2325" s="73"/>
      <c r="Q2325" s="73"/>
      <c r="R2325" s="73"/>
      <c r="S2325" s="73"/>
      <c r="T2325" s="73"/>
      <c r="U2325" s="73"/>
      <c r="V2325" s="73"/>
      <c r="W2325" s="73"/>
      <c r="GL2325" s="73"/>
      <c r="GM2325" s="73"/>
      <c r="GN2325" s="73"/>
      <c r="GO2325" s="73"/>
      <c r="GP2325" s="73"/>
      <c r="GQ2325" s="73"/>
      <c r="GR2325" s="73"/>
      <c r="GS2325" s="73"/>
      <c r="GT2325" s="73"/>
      <c r="GU2325" s="73"/>
      <c r="GV2325" s="73"/>
      <c r="GW2325" s="73"/>
      <c r="GX2325" s="73"/>
      <c r="GY2325" s="73"/>
      <c r="GZ2325" s="73"/>
      <c r="HA2325" s="73"/>
      <c r="HB2325" s="73"/>
      <c r="HC2325" s="73"/>
      <c r="HD2325" s="73"/>
      <c r="HE2325" s="73"/>
      <c r="HF2325" s="73"/>
      <c r="HG2325" s="73"/>
      <c r="HH2325" s="73"/>
      <c r="HI2325" s="73"/>
      <c r="HJ2325" s="73"/>
      <c r="HK2325" s="73"/>
      <c r="HL2325" s="73"/>
      <c r="HM2325" s="73"/>
      <c r="HN2325" s="73"/>
      <c r="HO2325" s="73"/>
      <c r="HP2325" s="73"/>
      <c r="HQ2325" s="73"/>
      <c r="HR2325" s="73"/>
      <c r="HS2325" s="73"/>
      <c r="HT2325" s="73"/>
      <c r="HU2325" s="73"/>
      <c r="HV2325" s="73"/>
      <c r="HW2325" s="73"/>
      <c r="HX2325" s="73"/>
      <c r="HY2325" s="73"/>
      <c r="HZ2325" s="73"/>
      <c r="IA2325" s="73"/>
      <c r="IB2325" s="73"/>
      <c r="IC2325" s="73"/>
      <c r="ID2325" s="73"/>
      <c r="IE2325" s="73"/>
      <c r="IF2325" s="73"/>
      <c r="IG2325" s="73"/>
      <c r="IH2325" s="73"/>
      <c r="II2325" s="73"/>
      <c r="IJ2325" s="73"/>
      <c r="IK2325" s="73"/>
      <c r="IL2325" s="73"/>
      <c r="IM2325" s="73"/>
      <c r="IN2325" s="73"/>
      <c r="IO2325" s="73"/>
      <c r="IP2325" s="73"/>
      <c r="IQ2325" s="73"/>
      <c r="IR2325" s="73"/>
      <c r="IS2325" s="73"/>
      <c r="IT2325" s="73"/>
      <c r="IU2325" s="73"/>
      <c r="IV2325" s="73"/>
      <c r="IW2325" s="73"/>
      <c r="IX2325" s="73"/>
      <c r="IY2325" s="73"/>
      <c r="IZ2325" s="73"/>
      <c r="JA2325" s="73"/>
      <c r="JB2325" s="73"/>
      <c r="JC2325" s="73"/>
    </row>
    <row r="2326" spans="2:263" s="72" customFormat="1">
      <c r="B2326" s="73"/>
      <c r="C2326" s="73"/>
      <c r="D2326" s="73"/>
      <c r="E2326" s="73"/>
      <c r="F2326" s="73"/>
      <c r="G2326" s="73"/>
      <c r="H2326" s="73"/>
      <c r="I2326" s="73"/>
      <c r="J2326" s="73"/>
      <c r="K2326" s="73"/>
      <c r="L2326" s="73"/>
      <c r="M2326" s="73"/>
      <c r="N2326" s="73"/>
      <c r="O2326" s="73"/>
      <c r="P2326" s="73"/>
      <c r="Q2326" s="73"/>
      <c r="R2326" s="73"/>
      <c r="S2326" s="73"/>
      <c r="T2326" s="73"/>
      <c r="U2326" s="73"/>
      <c r="V2326" s="73"/>
      <c r="W2326" s="73"/>
      <c r="GL2326" s="73"/>
      <c r="GM2326" s="73"/>
      <c r="GN2326" s="73"/>
      <c r="GO2326" s="73"/>
      <c r="GP2326" s="73"/>
      <c r="GQ2326" s="73"/>
      <c r="GR2326" s="73"/>
      <c r="GS2326" s="73"/>
      <c r="GT2326" s="73"/>
      <c r="GU2326" s="73"/>
      <c r="GV2326" s="73"/>
      <c r="GW2326" s="73"/>
      <c r="GX2326" s="73"/>
      <c r="GY2326" s="73"/>
      <c r="GZ2326" s="73"/>
      <c r="HA2326" s="73"/>
      <c r="HB2326" s="73"/>
      <c r="HC2326" s="73"/>
      <c r="HD2326" s="73"/>
      <c r="HE2326" s="73"/>
      <c r="HF2326" s="73"/>
      <c r="HG2326" s="73"/>
      <c r="HH2326" s="73"/>
      <c r="HI2326" s="73"/>
      <c r="HJ2326" s="73"/>
      <c r="HK2326" s="73"/>
      <c r="HL2326" s="73"/>
      <c r="HM2326" s="73"/>
      <c r="HN2326" s="73"/>
      <c r="HO2326" s="73"/>
      <c r="HP2326" s="73"/>
      <c r="HQ2326" s="73"/>
      <c r="HR2326" s="73"/>
      <c r="HS2326" s="73"/>
      <c r="HT2326" s="73"/>
      <c r="HU2326" s="73"/>
      <c r="HV2326" s="73"/>
      <c r="HW2326" s="73"/>
      <c r="HX2326" s="73"/>
      <c r="HY2326" s="73"/>
      <c r="HZ2326" s="73"/>
      <c r="IA2326" s="73"/>
      <c r="IB2326" s="73"/>
      <c r="IC2326" s="73"/>
      <c r="ID2326" s="73"/>
      <c r="IE2326" s="73"/>
      <c r="IF2326" s="73"/>
      <c r="IG2326" s="73"/>
      <c r="IH2326" s="73"/>
      <c r="II2326" s="73"/>
      <c r="IJ2326" s="73"/>
      <c r="IK2326" s="73"/>
      <c r="IL2326" s="73"/>
      <c r="IM2326" s="73"/>
      <c r="IN2326" s="73"/>
      <c r="IO2326" s="73"/>
      <c r="IP2326" s="73"/>
      <c r="IQ2326" s="73"/>
      <c r="IR2326" s="73"/>
      <c r="IS2326" s="73"/>
      <c r="IT2326" s="73"/>
      <c r="IU2326" s="73"/>
      <c r="IV2326" s="73"/>
      <c r="IW2326" s="73"/>
      <c r="IX2326" s="73"/>
      <c r="IY2326" s="73"/>
      <c r="IZ2326" s="73"/>
      <c r="JA2326" s="73"/>
      <c r="JB2326" s="73"/>
      <c r="JC2326" s="73"/>
    </row>
    <row r="2327" spans="2:263" s="72" customFormat="1">
      <c r="B2327" s="73"/>
      <c r="C2327" s="73"/>
      <c r="D2327" s="73"/>
      <c r="E2327" s="73"/>
      <c r="F2327" s="73"/>
      <c r="G2327" s="73"/>
      <c r="H2327" s="73"/>
      <c r="I2327" s="73"/>
      <c r="J2327" s="73"/>
      <c r="K2327" s="73"/>
      <c r="L2327" s="73"/>
      <c r="M2327" s="73"/>
      <c r="N2327" s="73"/>
      <c r="O2327" s="73"/>
      <c r="P2327" s="73"/>
      <c r="Q2327" s="73"/>
      <c r="R2327" s="73"/>
      <c r="S2327" s="73"/>
      <c r="T2327" s="73"/>
      <c r="U2327" s="73"/>
      <c r="V2327" s="73"/>
      <c r="W2327" s="73"/>
      <c r="GL2327" s="73"/>
      <c r="GM2327" s="73"/>
      <c r="GN2327" s="73"/>
      <c r="GO2327" s="73"/>
      <c r="GP2327" s="73"/>
      <c r="GQ2327" s="73"/>
      <c r="GR2327" s="73"/>
      <c r="GS2327" s="73"/>
      <c r="GT2327" s="73"/>
      <c r="GU2327" s="73"/>
      <c r="GV2327" s="73"/>
      <c r="GW2327" s="73"/>
      <c r="GX2327" s="73"/>
      <c r="GY2327" s="73"/>
      <c r="GZ2327" s="73"/>
      <c r="HA2327" s="73"/>
      <c r="HB2327" s="73"/>
      <c r="HC2327" s="73"/>
      <c r="HD2327" s="73"/>
      <c r="HE2327" s="73"/>
      <c r="HF2327" s="73"/>
      <c r="HG2327" s="73"/>
      <c r="HH2327" s="73"/>
      <c r="HI2327" s="73"/>
      <c r="HJ2327" s="73"/>
      <c r="HK2327" s="73"/>
      <c r="HL2327" s="73"/>
      <c r="HM2327" s="73"/>
      <c r="HN2327" s="73"/>
      <c r="HO2327" s="73"/>
      <c r="HP2327" s="73"/>
      <c r="HQ2327" s="73"/>
      <c r="HR2327" s="73"/>
      <c r="HS2327" s="73"/>
      <c r="HT2327" s="73"/>
      <c r="HU2327" s="73"/>
      <c r="HV2327" s="73"/>
      <c r="HW2327" s="73"/>
      <c r="HX2327" s="73"/>
      <c r="HY2327" s="73"/>
      <c r="HZ2327" s="73"/>
      <c r="IA2327" s="73"/>
      <c r="IB2327" s="73"/>
      <c r="IC2327" s="73"/>
      <c r="ID2327" s="73"/>
      <c r="IE2327" s="73"/>
      <c r="IF2327" s="73"/>
      <c r="IG2327" s="73"/>
      <c r="IH2327" s="73"/>
      <c r="II2327" s="73"/>
      <c r="IJ2327" s="73"/>
      <c r="IK2327" s="73"/>
      <c r="IL2327" s="73"/>
      <c r="IM2327" s="73"/>
      <c r="IN2327" s="73"/>
      <c r="IO2327" s="73"/>
      <c r="IP2327" s="73"/>
      <c r="IQ2327" s="73"/>
      <c r="IR2327" s="73"/>
      <c r="IS2327" s="73"/>
      <c r="IT2327" s="73"/>
      <c r="IU2327" s="73"/>
      <c r="IV2327" s="73"/>
      <c r="IW2327" s="73"/>
      <c r="IX2327" s="73"/>
      <c r="IY2327" s="73"/>
      <c r="IZ2327" s="73"/>
      <c r="JA2327" s="73"/>
      <c r="JB2327" s="73"/>
      <c r="JC2327" s="73"/>
    </row>
    <row r="2328" spans="2:263" s="72" customFormat="1">
      <c r="B2328" s="73"/>
      <c r="C2328" s="73"/>
      <c r="D2328" s="73"/>
      <c r="E2328" s="73"/>
      <c r="F2328" s="73"/>
      <c r="G2328" s="73"/>
      <c r="H2328" s="73"/>
      <c r="I2328" s="73"/>
      <c r="J2328" s="73"/>
      <c r="K2328" s="73"/>
      <c r="L2328" s="73"/>
      <c r="M2328" s="73"/>
      <c r="N2328" s="73"/>
      <c r="O2328" s="73"/>
      <c r="P2328" s="73"/>
      <c r="Q2328" s="73"/>
      <c r="R2328" s="73"/>
      <c r="S2328" s="73"/>
      <c r="T2328" s="73"/>
      <c r="U2328" s="73"/>
      <c r="V2328" s="73"/>
      <c r="W2328" s="73"/>
      <c r="GL2328" s="73"/>
      <c r="GM2328" s="73"/>
      <c r="GN2328" s="73"/>
      <c r="GO2328" s="73"/>
      <c r="GP2328" s="73"/>
      <c r="GQ2328" s="73"/>
      <c r="GR2328" s="73"/>
      <c r="GS2328" s="73"/>
      <c r="GT2328" s="73"/>
      <c r="GU2328" s="73"/>
      <c r="GV2328" s="73"/>
      <c r="GW2328" s="73"/>
      <c r="GX2328" s="73"/>
      <c r="GY2328" s="73"/>
      <c r="GZ2328" s="73"/>
      <c r="HA2328" s="73"/>
      <c r="HB2328" s="73"/>
      <c r="HC2328" s="73"/>
      <c r="HD2328" s="73"/>
      <c r="HE2328" s="73"/>
      <c r="HF2328" s="73"/>
      <c r="HG2328" s="73"/>
      <c r="HH2328" s="73"/>
      <c r="HI2328" s="73"/>
      <c r="HJ2328" s="73"/>
      <c r="HK2328" s="73"/>
      <c r="HL2328" s="73"/>
      <c r="HM2328" s="73"/>
      <c r="HN2328" s="73"/>
      <c r="HO2328" s="73"/>
      <c r="HP2328" s="73"/>
      <c r="HQ2328" s="73"/>
      <c r="HR2328" s="73"/>
      <c r="HS2328" s="73"/>
      <c r="HT2328" s="73"/>
      <c r="HU2328" s="73"/>
      <c r="HV2328" s="73"/>
      <c r="HW2328" s="73"/>
      <c r="HX2328" s="73"/>
      <c r="HY2328" s="73"/>
      <c r="HZ2328" s="73"/>
      <c r="IA2328" s="73"/>
      <c r="IB2328" s="73"/>
      <c r="IC2328" s="73"/>
      <c r="ID2328" s="73"/>
      <c r="IE2328" s="73"/>
      <c r="IF2328" s="73"/>
      <c r="IG2328" s="73"/>
      <c r="IH2328" s="73"/>
      <c r="II2328" s="73"/>
      <c r="IJ2328" s="73"/>
      <c r="IK2328" s="73"/>
      <c r="IL2328" s="73"/>
      <c r="IM2328" s="73"/>
      <c r="IN2328" s="73"/>
      <c r="IO2328" s="73"/>
      <c r="IP2328" s="73"/>
      <c r="IQ2328" s="73"/>
      <c r="IR2328" s="73"/>
      <c r="IS2328" s="73"/>
      <c r="IT2328" s="73"/>
      <c r="IU2328" s="73"/>
      <c r="IV2328" s="73"/>
      <c r="IW2328" s="73"/>
      <c r="IX2328" s="73"/>
      <c r="IY2328" s="73"/>
      <c r="IZ2328" s="73"/>
      <c r="JA2328" s="73"/>
      <c r="JB2328" s="73"/>
      <c r="JC2328" s="73"/>
    </row>
    <row r="2329" spans="2:263" s="72" customFormat="1">
      <c r="B2329" s="73"/>
      <c r="C2329" s="73"/>
      <c r="D2329" s="73"/>
      <c r="E2329" s="73"/>
      <c r="F2329" s="73"/>
      <c r="G2329" s="73"/>
      <c r="H2329" s="73"/>
      <c r="I2329" s="73"/>
      <c r="J2329" s="73"/>
      <c r="K2329" s="73"/>
      <c r="L2329" s="73"/>
      <c r="M2329" s="73"/>
      <c r="N2329" s="73"/>
      <c r="O2329" s="73"/>
      <c r="P2329" s="73"/>
      <c r="Q2329" s="73"/>
      <c r="R2329" s="73"/>
      <c r="S2329" s="73"/>
      <c r="T2329" s="73"/>
      <c r="U2329" s="73"/>
      <c r="V2329" s="73"/>
      <c r="W2329" s="73"/>
      <c r="GL2329" s="73"/>
      <c r="GM2329" s="73"/>
      <c r="GN2329" s="73"/>
      <c r="GO2329" s="73"/>
      <c r="GP2329" s="73"/>
      <c r="GQ2329" s="73"/>
      <c r="GR2329" s="73"/>
      <c r="GS2329" s="73"/>
      <c r="GT2329" s="73"/>
      <c r="GU2329" s="73"/>
      <c r="GV2329" s="73"/>
      <c r="GW2329" s="73"/>
      <c r="GX2329" s="73"/>
      <c r="GY2329" s="73"/>
      <c r="GZ2329" s="73"/>
      <c r="HA2329" s="73"/>
      <c r="HB2329" s="73"/>
      <c r="HC2329" s="73"/>
      <c r="HD2329" s="73"/>
      <c r="HE2329" s="73"/>
      <c r="HF2329" s="73"/>
      <c r="HG2329" s="73"/>
      <c r="HH2329" s="73"/>
      <c r="HI2329" s="73"/>
      <c r="HJ2329" s="73"/>
      <c r="HK2329" s="73"/>
      <c r="HL2329" s="73"/>
      <c r="HM2329" s="73"/>
      <c r="HN2329" s="73"/>
      <c r="HO2329" s="73"/>
      <c r="HP2329" s="73"/>
      <c r="HQ2329" s="73"/>
      <c r="HR2329" s="73"/>
      <c r="HS2329" s="73"/>
      <c r="HT2329" s="73"/>
      <c r="HU2329" s="73"/>
      <c r="HV2329" s="73"/>
      <c r="HW2329" s="73"/>
      <c r="HX2329" s="73"/>
      <c r="HY2329" s="73"/>
      <c r="HZ2329" s="73"/>
      <c r="IA2329" s="73"/>
      <c r="IB2329" s="73"/>
      <c r="IC2329" s="73"/>
      <c r="ID2329" s="73"/>
      <c r="IE2329" s="73"/>
      <c r="IF2329" s="73"/>
      <c r="IG2329" s="73"/>
      <c r="IH2329" s="73"/>
      <c r="II2329" s="73"/>
      <c r="IJ2329" s="73"/>
      <c r="IK2329" s="73"/>
      <c r="IL2329" s="73"/>
      <c r="IM2329" s="73"/>
      <c r="IN2329" s="73"/>
      <c r="IO2329" s="73"/>
      <c r="IP2329" s="73"/>
      <c r="IQ2329" s="73"/>
      <c r="IR2329" s="73"/>
      <c r="IS2329" s="73"/>
      <c r="IT2329" s="73"/>
      <c r="IU2329" s="73"/>
      <c r="IV2329" s="73"/>
      <c r="IW2329" s="73"/>
      <c r="IX2329" s="73"/>
      <c r="IY2329" s="73"/>
      <c r="IZ2329" s="73"/>
      <c r="JA2329" s="73"/>
      <c r="JB2329" s="73"/>
      <c r="JC2329" s="73"/>
    </row>
    <row r="2330" spans="2:263" s="72" customFormat="1">
      <c r="B2330" s="73"/>
      <c r="C2330" s="73"/>
      <c r="D2330" s="73"/>
      <c r="E2330" s="73"/>
      <c r="F2330" s="73"/>
      <c r="G2330" s="73"/>
      <c r="H2330" s="73"/>
      <c r="I2330" s="73"/>
      <c r="J2330" s="73"/>
      <c r="K2330" s="73"/>
      <c r="L2330" s="73"/>
      <c r="M2330" s="73"/>
      <c r="N2330" s="73"/>
      <c r="O2330" s="73"/>
      <c r="P2330" s="73"/>
      <c r="Q2330" s="73"/>
      <c r="R2330" s="73"/>
      <c r="S2330" s="73"/>
      <c r="T2330" s="73"/>
      <c r="U2330" s="73"/>
      <c r="V2330" s="73"/>
      <c r="W2330" s="73"/>
      <c r="GL2330" s="73"/>
      <c r="GM2330" s="73"/>
      <c r="GN2330" s="73"/>
      <c r="GO2330" s="73"/>
      <c r="GP2330" s="73"/>
      <c r="GQ2330" s="73"/>
      <c r="GR2330" s="73"/>
      <c r="GS2330" s="73"/>
      <c r="GT2330" s="73"/>
      <c r="GU2330" s="73"/>
      <c r="GV2330" s="73"/>
      <c r="GW2330" s="73"/>
      <c r="GX2330" s="73"/>
      <c r="GY2330" s="73"/>
      <c r="GZ2330" s="73"/>
      <c r="HA2330" s="73"/>
      <c r="HB2330" s="73"/>
      <c r="HC2330" s="73"/>
      <c r="HD2330" s="73"/>
      <c r="HE2330" s="73"/>
      <c r="HF2330" s="73"/>
      <c r="HG2330" s="73"/>
      <c r="HH2330" s="73"/>
      <c r="HI2330" s="73"/>
      <c r="HJ2330" s="73"/>
      <c r="HK2330" s="73"/>
      <c r="HL2330" s="73"/>
      <c r="HM2330" s="73"/>
      <c r="HN2330" s="73"/>
      <c r="HO2330" s="73"/>
      <c r="HP2330" s="73"/>
      <c r="HQ2330" s="73"/>
      <c r="HR2330" s="73"/>
      <c r="HS2330" s="73"/>
      <c r="HT2330" s="73"/>
      <c r="HU2330" s="73"/>
      <c r="HV2330" s="73"/>
      <c r="HW2330" s="73"/>
      <c r="HX2330" s="73"/>
      <c r="HY2330" s="73"/>
      <c r="HZ2330" s="73"/>
      <c r="IA2330" s="73"/>
      <c r="IB2330" s="73"/>
      <c r="IC2330" s="73"/>
      <c r="ID2330" s="73"/>
      <c r="IE2330" s="73"/>
      <c r="IF2330" s="73"/>
      <c r="IG2330" s="73"/>
      <c r="IH2330" s="73"/>
      <c r="II2330" s="73"/>
      <c r="IJ2330" s="73"/>
      <c r="IK2330" s="73"/>
      <c r="IL2330" s="73"/>
      <c r="IM2330" s="73"/>
      <c r="IN2330" s="73"/>
      <c r="IO2330" s="73"/>
      <c r="IP2330" s="73"/>
      <c r="IQ2330" s="73"/>
      <c r="IR2330" s="73"/>
      <c r="IS2330" s="73"/>
      <c r="IT2330" s="73"/>
      <c r="IU2330" s="73"/>
      <c r="IV2330" s="73"/>
      <c r="IW2330" s="73"/>
      <c r="IX2330" s="73"/>
      <c r="IY2330" s="73"/>
      <c r="IZ2330" s="73"/>
      <c r="JA2330" s="73"/>
      <c r="JB2330" s="73"/>
      <c r="JC2330" s="73"/>
    </row>
    <row r="2331" spans="2:263" s="72" customFormat="1">
      <c r="B2331" s="73"/>
      <c r="C2331" s="73"/>
      <c r="D2331" s="73"/>
      <c r="E2331" s="73"/>
      <c r="F2331" s="73"/>
      <c r="G2331" s="73"/>
      <c r="H2331" s="73"/>
      <c r="I2331" s="73"/>
      <c r="J2331" s="73"/>
      <c r="K2331" s="73"/>
      <c r="L2331" s="73"/>
      <c r="M2331" s="73"/>
      <c r="N2331" s="73"/>
      <c r="O2331" s="73"/>
      <c r="P2331" s="73"/>
      <c r="Q2331" s="73"/>
      <c r="R2331" s="73"/>
      <c r="S2331" s="73"/>
      <c r="T2331" s="73"/>
      <c r="U2331" s="73"/>
      <c r="V2331" s="73"/>
      <c r="W2331" s="73"/>
      <c r="GL2331" s="73"/>
      <c r="GM2331" s="73"/>
      <c r="GN2331" s="73"/>
      <c r="GO2331" s="73"/>
      <c r="GP2331" s="73"/>
      <c r="GQ2331" s="73"/>
      <c r="GR2331" s="73"/>
      <c r="GS2331" s="73"/>
      <c r="GT2331" s="73"/>
      <c r="GU2331" s="73"/>
      <c r="GV2331" s="73"/>
      <c r="GW2331" s="73"/>
      <c r="GX2331" s="73"/>
      <c r="GY2331" s="73"/>
      <c r="GZ2331" s="73"/>
      <c r="HA2331" s="73"/>
      <c r="HB2331" s="73"/>
      <c r="HC2331" s="73"/>
      <c r="HD2331" s="73"/>
      <c r="HE2331" s="73"/>
      <c r="HF2331" s="73"/>
      <c r="HG2331" s="73"/>
      <c r="HH2331" s="73"/>
      <c r="HI2331" s="73"/>
      <c r="HJ2331" s="73"/>
      <c r="HK2331" s="73"/>
      <c r="HL2331" s="73"/>
      <c r="HM2331" s="73"/>
      <c r="HN2331" s="73"/>
      <c r="HO2331" s="73"/>
      <c r="HP2331" s="73"/>
      <c r="HQ2331" s="73"/>
      <c r="HR2331" s="73"/>
      <c r="HS2331" s="73"/>
      <c r="HT2331" s="73"/>
      <c r="HU2331" s="73"/>
      <c r="HV2331" s="73"/>
      <c r="HW2331" s="73"/>
      <c r="HX2331" s="73"/>
      <c r="HY2331" s="73"/>
      <c r="HZ2331" s="73"/>
      <c r="IA2331" s="73"/>
      <c r="IB2331" s="73"/>
      <c r="IC2331" s="73"/>
      <c r="ID2331" s="73"/>
      <c r="IE2331" s="73"/>
      <c r="IF2331" s="73"/>
      <c r="IG2331" s="73"/>
      <c r="IH2331" s="73"/>
      <c r="II2331" s="73"/>
      <c r="IJ2331" s="73"/>
      <c r="IK2331" s="73"/>
      <c r="IL2331" s="73"/>
      <c r="IM2331" s="73"/>
      <c r="IN2331" s="73"/>
      <c r="IO2331" s="73"/>
      <c r="IP2331" s="73"/>
      <c r="IQ2331" s="73"/>
      <c r="IR2331" s="73"/>
      <c r="IS2331" s="73"/>
      <c r="IT2331" s="73"/>
      <c r="IU2331" s="73"/>
      <c r="IV2331" s="73"/>
      <c r="IW2331" s="73"/>
      <c r="IX2331" s="73"/>
      <c r="IY2331" s="73"/>
      <c r="IZ2331" s="73"/>
      <c r="JA2331" s="73"/>
      <c r="JB2331" s="73"/>
      <c r="JC2331" s="73"/>
    </row>
    <row r="2332" spans="2:263" s="72" customFormat="1">
      <c r="B2332" s="73"/>
      <c r="C2332" s="73"/>
      <c r="D2332" s="73"/>
      <c r="E2332" s="73"/>
      <c r="F2332" s="73"/>
      <c r="G2332" s="73"/>
      <c r="H2332" s="73"/>
      <c r="I2332" s="73"/>
      <c r="J2332" s="73"/>
      <c r="K2332" s="73"/>
      <c r="L2332" s="73"/>
      <c r="M2332" s="73"/>
      <c r="N2332" s="73"/>
      <c r="O2332" s="73"/>
      <c r="P2332" s="73"/>
      <c r="Q2332" s="73"/>
      <c r="R2332" s="73"/>
      <c r="S2332" s="73"/>
      <c r="T2332" s="73"/>
      <c r="U2332" s="73"/>
      <c r="V2332" s="73"/>
      <c r="W2332" s="73"/>
      <c r="GL2332" s="73"/>
      <c r="GM2332" s="73"/>
      <c r="GN2332" s="73"/>
      <c r="GO2332" s="73"/>
      <c r="GP2332" s="73"/>
      <c r="GQ2332" s="73"/>
      <c r="GR2332" s="73"/>
      <c r="GS2332" s="73"/>
      <c r="GT2332" s="73"/>
      <c r="GU2332" s="73"/>
      <c r="GV2332" s="73"/>
      <c r="GW2332" s="73"/>
      <c r="GX2332" s="73"/>
      <c r="GY2332" s="73"/>
      <c r="GZ2332" s="73"/>
      <c r="HA2332" s="73"/>
      <c r="HB2332" s="73"/>
      <c r="HC2332" s="73"/>
      <c r="HD2332" s="73"/>
      <c r="HE2332" s="73"/>
      <c r="HF2332" s="73"/>
      <c r="HG2332" s="73"/>
      <c r="HH2332" s="73"/>
      <c r="HI2332" s="73"/>
      <c r="HJ2332" s="73"/>
      <c r="HK2332" s="73"/>
      <c r="HL2332" s="73"/>
      <c r="HM2332" s="73"/>
      <c r="HN2332" s="73"/>
      <c r="HO2332" s="73"/>
      <c r="HP2332" s="73"/>
      <c r="HQ2332" s="73"/>
      <c r="HR2332" s="73"/>
      <c r="HS2332" s="73"/>
      <c r="HT2332" s="73"/>
      <c r="HU2332" s="73"/>
      <c r="HV2332" s="73"/>
      <c r="HW2332" s="73"/>
      <c r="HX2332" s="73"/>
      <c r="HY2332" s="73"/>
      <c r="HZ2332" s="73"/>
      <c r="IA2332" s="73"/>
      <c r="IB2332" s="73"/>
      <c r="IC2332" s="73"/>
      <c r="ID2332" s="73"/>
      <c r="IE2332" s="73"/>
      <c r="IF2332" s="73"/>
      <c r="IG2332" s="73"/>
      <c r="IH2332" s="73"/>
      <c r="II2332" s="73"/>
      <c r="IJ2332" s="73"/>
      <c r="IK2332" s="73"/>
      <c r="IL2332" s="73"/>
      <c r="IM2332" s="73"/>
      <c r="IN2332" s="73"/>
      <c r="IO2332" s="73"/>
      <c r="IP2332" s="73"/>
      <c r="IQ2332" s="73"/>
      <c r="IR2332" s="73"/>
      <c r="IS2332" s="73"/>
      <c r="IT2332" s="73"/>
      <c r="IU2332" s="73"/>
      <c r="IV2332" s="73"/>
      <c r="IW2332" s="73"/>
      <c r="IX2332" s="73"/>
      <c r="IY2332" s="73"/>
      <c r="IZ2332" s="73"/>
      <c r="JA2332" s="73"/>
      <c r="JB2332" s="73"/>
      <c r="JC2332" s="73"/>
    </row>
    <row r="2333" spans="2:263" s="72" customFormat="1">
      <c r="B2333" s="73"/>
      <c r="C2333" s="73"/>
      <c r="D2333" s="73"/>
      <c r="E2333" s="73"/>
      <c r="F2333" s="73"/>
      <c r="G2333" s="73"/>
      <c r="H2333" s="73"/>
      <c r="I2333" s="73"/>
      <c r="J2333" s="73"/>
      <c r="K2333" s="73"/>
      <c r="L2333" s="73"/>
      <c r="M2333" s="73"/>
      <c r="N2333" s="73"/>
      <c r="O2333" s="73"/>
      <c r="P2333" s="73"/>
      <c r="Q2333" s="73"/>
      <c r="R2333" s="73"/>
      <c r="S2333" s="73"/>
      <c r="T2333" s="73"/>
      <c r="U2333" s="73"/>
      <c r="V2333" s="73"/>
      <c r="W2333" s="73"/>
      <c r="GL2333" s="73"/>
      <c r="GM2333" s="73"/>
      <c r="GN2333" s="73"/>
      <c r="GO2333" s="73"/>
      <c r="GP2333" s="73"/>
      <c r="GQ2333" s="73"/>
      <c r="GR2333" s="73"/>
      <c r="GS2333" s="73"/>
      <c r="GT2333" s="73"/>
      <c r="GU2333" s="73"/>
      <c r="GV2333" s="73"/>
      <c r="GW2333" s="73"/>
      <c r="GX2333" s="73"/>
      <c r="GY2333" s="73"/>
      <c r="GZ2333" s="73"/>
      <c r="HA2333" s="73"/>
      <c r="HB2333" s="73"/>
      <c r="HC2333" s="73"/>
      <c r="HD2333" s="73"/>
      <c r="HE2333" s="73"/>
      <c r="HF2333" s="73"/>
      <c r="HG2333" s="73"/>
      <c r="HH2333" s="73"/>
      <c r="HI2333" s="73"/>
      <c r="HJ2333" s="73"/>
      <c r="HK2333" s="73"/>
      <c r="HL2333" s="73"/>
      <c r="HM2333" s="73"/>
      <c r="HN2333" s="73"/>
      <c r="HO2333" s="73"/>
      <c r="HP2333" s="73"/>
      <c r="HQ2333" s="73"/>
      <c r="HR2333" s="73"/>
      <c r="HS2333" s="73"/>
      <c r="HT2333" s="73"/>
      <c r="HU2333" s="73"/>
      <c r="HV2333" s="73"/>
      <c r="HW2333" s="73"/>
      <c r="HX2333" s="73"/>
      <c r="HY2333" s="73"/>
      <c r="HZ2333" s="73"/>
      <c r="IA2333" s="73"/>
      <c r="IB2333" s="73"/>
      <c r="IC2333" s="73"/>
      <c r="ID2333" s="73"/>
      <c r="IE2333" s="73"/>
      <c r="IF2333" s="73"/>
      <c r="IG2333" s="73"/>
      <c r="IH2333" s="73"/>
      <c r="II2333" s="73"/>
      <c r="IJ2333" s="73"/>
      <c r="IK2333" s="73"/>
      <c r="IL2333" s="73"/>
      <c r="IM2333" s="73"/>
      <c r="IN2333" s="73"/>
      <c r="IO2333" s="73"/>
      <c r="IP2333" s="73"/>
      <c r="IQ2333" s="73"/>
      <c r="IR2333" s="73"/>
      <c r="IS2333" s="73"/>
      <c r="IT2333" s="73"/>
      <c r="IU2333" s="73"/>
      <c r="IV2333" s="73"/>
      <c r="IW2333" s="73"/>
      <c r="IX2333" s="73"/>
      <c r="IY2333" s="73"/>
      <c r="IZ2333" s="73"/>
      <c r="JA2333" s="73"/>
      <c r="JB2333" s="73"/>
      <c r="JC2333" s="73"/>
    </row>
    <row r="2334" spans="2:263" s="72" customFormat="1">
      <c r="B2334" s="73"/>
      <c r="C2334" s="73"/>
      <c r="D2334" s="73"/>
      <c r="E2334" s="73"/>
      <c r="F2334" s="73"/>
      <c r="G2334" s="73"/>
      <c r="H2334" s="73"/>
      <c r="I2334" s="73"/>
      <c r="J2334" s="73"/>
      <c r="K2334" s="73"/>
      <c r="L2334" s="73"/>
      <c r="M2334" s="73"/>
      <c r="N2334" s="73"/>
      <c r="O2334" s="73"/>
      <c r="P2334" s="73"/>
      <c r="Q2334" s="73"/>
      <c r="R2334" s="73"/>
      <c r="S2334" s="73"/>
      <c r="T2334" s="73"/>
      <c r="U2334" s="73"/>
      <c r="V2334" s="73"/>
      <c r="W2334" s="73"/>
      <c r="GL2334" s="73"/>
      <c r="GM2334" s="73"/>
      <c r="GN2334" s="73"/>
      <c r="GO2334" s="73"/>
      <c r="GP2334" s="73"/>
      <c r="GQ2334" s="73"/>
      <c r="GR2334" s="73"/>
      <c r="GS2334" s="73"/>
      <c r="GT2334" s="73"/>
      <c r="GU2334" s="73"/>
      <c r="GV2334" s="73"/>
      <c r="GW2334" s="73"/>
      <c r="GX2334" s="73"/>
      <c r="GY2334" s="73"/>
      <c r="GZ2334" s="73"/>
      <c r="HA2334" s="73"/>
      <c r="HB2334" s="73"/>
      <c r="HC2334" s="73"/>
      <c r="HD2334" s="73"/>
      <c r="HE2334" s="73"/>
      <c r="HF2334" s="73"/>
      <c r="HG2334" s="73"/>
      <c r="HH2334" s="73"/>
      <c r="HI2334" s="73"/>
      <c r="HJ2334" s="73"/>
      <c r="HK2334" s="73"/>
      <c r="HL2334" s="73"/>
      <c r="HM2334" s="73"/>
      <c r="HN2334" s="73"/>
      <c r="HO2334" s="73"/>
      <c r="HP2334" s="73"/>
      <c r="HQ2334" s="73"/>
      <c r="HR2334" s="73"/>
      <c r="HS2334" s="73"/>
      <c r="HT2334" s="73"/>
      <c r="HU2334" s="73"/>
      <c r="HV2334" s="73"/>
      <c r="HW2334" s="73"/>
      <c r="HX2334" s="73"/>
      <c r="HY2334" s="73"/>
      <c r="HZ2334" s="73"/>
      <c r="IA2334" s="73"/>
      <c r="IB2334" s="73"/>
      <c r="IC2334" s="73"/>
      <c r="ID2334" s="73"/>
      <c r="IE2334" s="73"/>
      <c r="IF2334" s="73"/>
      <c r="IG2334" s="73"/>
      <c r="IH2334" s="73"/>
      <c r="II2334" s="73"/>
      <c r="IJ2334" s="73"/>
      <c r="IK2334" s="73"/>
      <c r="IL2334" s="73"/>
      <c r="IM2334" s="73"/>
      <c r="IN2334" s="73"/>
      <c r="IO2334" s="73"/>
      <c r="IP2334" s="73"/>
      <c r="IQ2334" s="73"/>
      <c r="IR2334" s="73"/>
      <c r="IS2334" s="73"/>
      <c r="IT2334" s="73"/>
      <c r="IU2334" s="73"/>
      <c r="IV2334" s="73"/>
      <c r="IW2334" s="73"/>
      <c r="IX2334" s="73"/>
      <c r="IY2334" s="73"/>
      <c r="IZ2334" s="73"/>
      <c r="JA2334" s="73"/>
      <c r="JB2334" s="73"/>
      <c r="JC2334" s="73"/>
    </row>
    <row r="2335" spans="2:263" s="72" customFormat="1">
      <c r="B2335" s="73"/>
      <c r="C2335" s="73"/>
      <c r="D2335" s="73"/>
      <c r="E2335" s="73"/>
      <c r="F2335" s="73"/>
      <c r="G2335" s="73"/>
      <c r="H2335" s="73"/>
      <c r="I2335" s="73"/>
      <c r="J2335" s="73"/>
      <c r="K2335" s="73"/>
      <c r="L2335" s="73"/>
      <c r="M2335" s="73"/>
      <c r="N2335" s="73"/>
      <c r="O2335" s="73"/>
      <c r="P2335" s="73"/>
      <c r="Q2335" s="73"/>
      <c r="R2335" s="73"/>
      <c r="S2335" s="73"/>
      <c r="T2335" s="73"/>
      <c r="U2335" s="73"/>
      <c r="V2335" s="73"/>
      <c r="W2335" s="73"/>
      <c r="GL2335" s="73"/>
      <c r="GM2335" s="73"/>
      <c r="GN2335" s="73"/>
      <c r="GO2335" s="73"/>
      <c r="GP2335" s="73"/>
      <c r="GQ2335" s="73"/>
      <c r="GR2335" s="73"/>
      <c r="GS2335" s="73"/>
      <c r="GT2335" s="73"/>
      <c r="GU2335" s="73"/>
      <c r="GV2335" s="73"/>
      <c r="GW2335" s="73"/>
      <c r="GX2335" s="73"/>
      <c r="GY2335" s="73"/>
      <c r="GZ2335" s="73"/>
      <c r="HA2335" s="73"/>
      <c r="HB2335" s="73"/>
      <c r="HC2335" s="73"/>
      <c r="HD2335" s="73"/>
      <c r="HE2335" s="73"/>
      <c r="HF2335" s="73"/>
      <c r="HG2335" s="73"/>
      <c r="HH2335" s="73"/>
      <c r="HI2335" s="73"/>
      <c r="HJ2335" s="73"/>
      <c r="HK2335" s="73"/>
      <c r="HL2335" s="73"/>
      <c r="HM2335" s="73"/>
      <c r="HN2335" s="73"/>
      <c r="HO2335" s="73"/>
      <c r="HP2335" s="73"/>
      <c r="HQ2335" s="73"/>
      <c r="HR2335" s="73"/>
      <c r="HS2335" s="73"/>
      <c r="HT2335" s="73"/>
      <c r="HU2335" s="73"/>
      <c r="HV2335" s="73"/>
      <c r="HW2335" s="73"/>
      <c r="HX2335" s="73"/>
      <c r="HY2335" s="73"/>
      <c r="HZ2335" s="73"/>
      <c r="IA2335" s="73"/>
      <c r="IB2335" s="73"/>
      <c r="IC2335" s="73"/>
      <c r="ID2335" s="73"/>
      <c r="IE2335" s="73"/>
      <c r="IF2335" s="73"/>
      <c r="IG2335" s="73"/>
      <c r="IH2335" s="73"/>
      <c r="II2335" s="73"/>
      <c r="IJ2335" s="73"/>
      <c r="IK2335" s="73"/>
      <c r="IL2335" s="73"/>
      <c r="IM2335" s="73"/>
      <c r="IN2335" s="73"/>
      <c r="IO2335" s="73"/>
      <c r="IP2335" s="73"/>
      <c r="IQ2335" s="73"/>
      <c r="IR2335" s="73"/>
      <c r="IS2335" s="73"/>
      <c r="IT2335" s="73"/>
      <c r="IU2335" s="73"/>
      <c r="IV2335" s="73"/>
      <c r="IW2335" s="73"/>
      <c r="IX2335" s="73"/>
      <c r="IY2335" s="73"/>
      <c r="IZ2335" s="73"/>
      <c r="JA2335" s="73"/>
      <c r="JB2335" s="73"/>
      <c r="JC2335" s="73"/>
    </row>
    <row r="2336" spans="2:263" s="72" customFormat="1">
      <c r="B2336" s="73"/>
      <c r="C2336" s="73"/>
      <c r="D2336" s="73"/>
      <c r="E2336" s="73"/>
      <c r="F2336" s="73"/>
      <c r="G2336" s="73"/>
      <c r="H2336" s="73"/>
      <c r="I2336" s="73"/>
      <c r="J2336" s="73"/>
      <c r="K2336" s="73"/>
      <c r="L2336" s="73"/>
      <c r="M2336" s="73"/>
      <c r="N2336" s="73"/>
      <c r="O2336" s="73"/>
      <c r="P2336" s="73"/>
      <c r="Q2336" s="73"/>
      <c r="R2336" s="73"/>
      <c r="S2336" s="73"/>
      <c r="T2336" s="73"/>
      <c r="U2336" s="73"/>
      <c r="V2336" s="73"/>
      <c r="W2336" s="73"/>
      <c r="GL2336" s="73"/>
      <c r="GM2336" s="73"/>
      <c r="GN2336" s="73"/>
      <c r="GO2336" s="73"/>
      <c r="GP2336" s="73"/>
      <c r="GQ2336" s="73"/>
      <c r="GR2336" s="73"/>
      <c r="GS2336" s="73"/>
      <c r="GT2336" s="73"/>
      <c r="GU2336" s="73"/>
      <c r="GV2336" s="73"/>
      <c r="GW2336" s="73"/>
      <c r="GX2336" s="73"/>
      <c r="GY2336" s="73"/>
      <c r="GZ2336" s="73"/>
      <c r="HA2336" s="73"/>
      <c r="HB2336" s="73"/>
      <c r="HC2336" s="73"/>
      <c r="HD2336" s="73"/>
      <c r="HE2336" s="73"/>
      <c r="HF2336" s="73"/>
      <c r="HG2336" s="73"/>
      <c r="HH2336" s="73"/>
      <c r="HI2336" s="73"/>
      <c r="HJ2336" s="73"/>
      <c r="HK2336" s="73"/>
      <c r="HL2336" s="73"/>
      <c r="HM2336" s="73"/>
      <c r="HN2336" s="73"/>
      <c r="HO2336" s="73"/>
      <c r="HP2336" s="73"/>
      <c r="HQ2336" s="73"/>
      <c r="HR2336" s="73"/>
      <c r="HS2336" s="73"/>
      <c r="HT2336" s="73"/>
      <c r="HU2336" s="73"/>
      <c r="HV2336" s="73"/>
      <c r="HW2336" s="73"/>
      <c r="HX2336" s="73"/>
      <c r="HY2336" s="73"/>
      <c r="HZ2336" s="73"/>
      <c r="IA2336" s="73"/>
      <c r="IB2336" s="73"/>
      <c r="IC2336" s="73"/>
      <c r="ID2336" s="73"/>
      <c r="IE2336" s="73"/>
      <c r="IF2336" s="73"/>
      <c r="IG2336" s="73"/>
      <c r="IH2336" s="73"/>
      <c r="II2336" s="73"/>
      <c r="IJ2336" s="73"/>
      <c r="IK2336" s="73"/>
      <c r="IL2336" s="73"/>
      <c r="IM2336" s="73"/>
      <c r="IN2336" s="73"/>
      <c r="IO2336" s="73"/>
      <c r="IP2336" s="73"/>
      <c r="IQ2336" s="73"/>
      <c r="IR2336" s="73"/>
      <c r="IS2336" s="73"/>
      <c r="IT2336" s="73"/>
      <c r="IU2336" s="73"/>
      <c r="IV2336" s="73"/>
      <c r="IW2336" s="73"/>
      <c r="IX2336" s="73"/>
      <c r="IY2336" s="73"/>
      <c r="IZ2336" s="73"/>
      <c r="JA2336" s="73"/>
      <c r="JB2336" s="73"/>
      <c r="JC2336" s="73"/>
    </row>
    <row r="2337" spans="2:263" s="72" customFormat="1">
      <c r="B2337" s="73"/>
      <c r="C2337" s="73"/>
      <c r="D2337" s="73"/>
      <c r="E2337" s="73"/>
      <c r="F2337" s="73"/>
      <c r="G2337" s="73"/>
      <c r="H2337" s="73"/>
      <c r="I2337" s="73"/>
      <c r="J2337" s="73"/>
      <c r="K2337" s="73"/>
      <c r="L2337" s="73"/>
      <c r="M2337" s="73"/>
      <c r="N2337" s="73"/>
      <c r="O2337" s="73"/>
      <c r="P2337" s="73"/>
      <c r="Q2337" s="73"/>
      <c r="R2337" s="73"/>
      <c r="S2337" s="73"/>
      <c r="T2337" s="73"/>
      <c r="U2337" s="73"/>
      <c r="V2337" s="73"/>
      <c r="W2337" s="73"/>
      <c r="GL2337" s="73"/>
      <c r="GM2337" s="73"/>
      <c r="GN2337" s="73"/>
      <c r="GO2337" s="73"/>
      <c r="GP2337" s="73"/>
      <c r="GQ2337" s="73"/>
      <c r="GR2337" s="73"/>
      <c r="GS2337" s="73"/>
      <c r="GT2337" s="73"/>
      <c r="GU2337" s="73"/>
      <c r="GV2337" s="73"/>
      <c r="GW2337" s="73"/>
      <c r="GX2337" s="73"/>
      <c r="GY2337" s="73"/>
      <c r="GZ2337" s="73"/>
      <c r="HA2337" s="73"/>
      <c r="HB2337" s="73"/>
      <c r="HC2337" s="73"/>
      <c r="HD2337" s="73"/>
      <c r="HE2337" s="73"/>
      <c r="HF2337" s="73"/>
      <c r="HG2337" s="73"/>
      <c r="HH2337" s="73"/>
      <c r="HI2337" s="73"/>
      <c r="HJ2337" s="73"/>
      <c r="HK2337" s="73"/>
      <c r="HL2337" s="73"/>
      <c r="HM2337" s="73"/>
      <c r="HN2337" s="73"/>
      <c r="HO2337" s="73"/>
      <c r="HP2337" s="73"/>
      <c r="HQ2337" s="73"/>
      <c r="HR2337" s="73"/>
      <c r="HS2337" s="73"/>
      <c r="HT2337" s="73"/>
      <c r="HU2337" s="73"/>
      <c r="HV2337" s="73"/>
      <c r="HW2337" s="73"/>
      <c r="HX2337" s="73"/>
      <c r="HY2337" s="73"/>
      <c r="HZ2337" s="73"/>
      <c r="IA2337" s="73"/>
      <c r="IB2337" s="73"/>
      <c r="IC2337" s="73"/>
      <c r="ID2337" s="73"/>
      <c r="IE2337" s="73"/>
      <c r="IF2337" s="73"/>
      <c r="IG2337" s="73"/>
      <c r="IH2337" s="73"/>
      <c r="II2337" s="73"/>
      <c r="IJ2337" s="73"/>
      <c r="IK2337" s="73"/>
      <c r="IL2337" s="73"/>
      <c r="IM2337" s="73"/>
      <c r="IN2337" s="73"/>
      <c r="IO2337" s="73"/>
      <c r="IP2337" s="73"/>
      <c r="IQ2337" s="73"/>
      <c r="IR2337" s="73"/>
      <c r="IS2337" s="73"/>
      <c r="IT2337" s="73"/>
      <c r="IU2337" s="73"/>
      <c r="IV2337" s="73"/>
      <c r="IW2337" s="73"/>
      <c r="IX2337" s="73"/>
      <c r="IY2337" s="73"/>
      <c r="IZ2337" s="73"/>
      <c r="JA2337" s="73"/>
      <c r="JB2337" s="73"/>
      <c r="JC2337" s="73"/>
    </row>
    <row r="2338" spans="2:263" s="72" customFormat="1">
      <c r="B2338" s="73"/>
      <c r="C2338" s="73"/>
      <c r="D2338" s="73"/>
      <c r="E2338" s="73"/>
      <c r="F2338" s="73"/>
      <c r="G2338" s="73"/>
      <c r="H2338" s="73"/>
      <c r="I2338" s="73"/>
      <c r="J2338" s="73"/>
      <c r="K2338" s="73"/>
      <c r="L2338" s="73"/>
      <c r="M2338" s="73"/>
      <c r="N2338" s="73"/>
      <c r="O2338" s="73"/>
      <c r="P2338" s="73"/>
      <c r="Q2338" s="73"/>
      <c r="R2338" s="73"/>
      <c r="S2338" s="73"/>
      <c r="T2338" s="73"/>
      <c r="U2338" s="73"/>
      <c r="V2338" s="73"/>
      <c r="W2338" s="73"/>
      <c r="GL2338" s="73"/>
      <c r="GM2338" s="73"/>
      <c r="GN2338" s="73"/>
      <c r="GO2338" s="73"/>
      <c r="GP2338" s="73"/>
      <c r="GQ2338" s="73"/>
      <c r="GR2338" s="73"/>
      <c r="GS2338" s="73"/>
      <c r="GT2338" s="73"/>
      <c r="GU2338" s="73"/>
      <c r="GV2338" s="73"/>
      <c r="GW2338" s="73"/>
      <c r="GX2338" s="73"/>
      <c r="GY2338" s="73"/>
      <c r="GZ2338" s="73"/>
      <c r="HA2338" s="73"/>
      <c r="HB2338" s="73"/>
      <c r="HC2338" s="73"/>
      <c r="HD2338" s="73"/>
      <c r="HE2338" s="73"/>
      <c r="HF2338" s="73"/>
      <c r="HG2338" s="73"/>
      <c r="HH2338" s="73"/>
      <c r="HI2338" s="73"/>
      <c r="HJ2338" s="73"/>
      <c r="HK2338" s="73"/>
      <c r="HL2338" s="73"/>
      <c r="HM2338" s="73"/>
      <c r="HN2338" s="73"/>
      <c r="HO2338" s="73"/>
      <c r="HP2338" s="73"/>
      <c r="HQ2338" s="73"/>
      <c r="HR2338" s="73"/>
      <c r="HS2338" s="73"/>
      <c r="HT2338" s="73"/>
      <c r="HU2338" s="73"/>
      <c r="HV2338" s="73"/>
      <c r="HW2338" s="73"/>
      <c r="HX2338" s="73"/>
      <c r="HY2338" s="73"/>
      <c r="HZ2338" s="73"/>
      <c r="IA2338" s="73"/>
      <c r="IB2338" s="73"/>
      <c r="IC2338" s="73"/>
      <c r="ID2338" s="73"/>
      <c r="IE2338" s="73"/>
      <c r="IF2338" s="73"/>
      <c r="IG2338" s="73"/>
      <c r="IH2338" s="73"/>
      <c r="II2338" s="73"/>
      <c r="IJ2338" s="73"/>
      <c r="IK2338" s="73"/>
      <c r="IL2338" s="73"/>
      <c r="IM2338" s="73"/>
      <c r="IN2338" s="73"/>
      <c r="IO2338" s="73"/>
      <c r="IP2338" s="73"/>
      <c r="IQ2338" s="73"/>
      <c r="IR2338" s="73"/>
      <c r="IS2338" s="73"/>
      <c r="IT2338" s="73"/>
      <c r="IU2338" s="73"/>
      <c r="IV2338" s="73"/>
      <c r="IW2338" s="73"/>
      <c r="IX2338" s="73"/>
      <c r="IY2338" s="73"/>
      <c r="IZ2338" s="73"/>
      <c r="JA2338" s="73"/>
      <c r="JB2338" s="73"/>
      <c r="JC2338" s="73"/>
    </row>
    <row r="2339" spans="2:263" s="72" customFormat="1">
      <c r="B2339" s="73"/>
      <c r="C2339" s="73"/>
      <c r="D2339" s="73"/>
      <c r="E2339" s="73"/>
      <c r="F2339" s="73"/>
      <c r="G2339" s="73"/>
      <c r="H2339" s="73"/>
      <c r="I2339" s="73"/>
      <c r="J2339" s="73"/>
      <c r="K2339" s="73"/>
      <c r="L2339" s="73"/>
      <c r="M2339" s="73"/>
      <c r="N2339" s="73"/>
      <c r="O2339" s="73"/>
      <c r="P2339" s="73"/>
      <c r="Q2339" s="73"/>
      <c r="R2339" s="73"/>
      <c r="S2339" s="73"/>
      <c r="T2339" s="73"/>
      <c r="U2339" s="73"/>
      <c r="V2339" s="73"/>
      <c r="W2339" s="73"/>
      <c r="GL2339" s="73"/>
      <c r="GM2339" s="73"/>
      <c r="GN2339" s="73"/>
      <c r="GO2339" s="73"/>
      <c r="GP2339" s="73"/>
      <c r="GQ2339" s="73"/>
      <c r="GR2339" s="73"/>
      <c r="GS2339" s="73"/>
      <c r="GT2339" s="73"/>
      <c r="GU2339" s="73"/>
      <c r="GV2339" s="73"/>
      <c r="GW2339" s="73"/>
      <c r="GX2339" s="73"/>
      <c r="GY2339" s="73"/>
      <c r="GZ2339" s="73"/>
      <c r="HA2339" s="73"/>
      <c r="HB2339" s="73"/>
      <c r="HC2339" s="73"/>
      <c r="HD2339" s="73"/>
      <c r="HE2339" s="73"/>
      <c r="HF2339" s="73"/>
      <c r="HG2339" s="73"/>
      <c r="HH2339" s="73"/>
      <c r="HI2339" s="73"/>
      <c r="HJ2339" s="73"/>
      <c r="HK2339" s="73"/>
      <c r="HL2339" s="73"/>
      <c r="HM2339" s="73"/>
      <c r="HN2339" s="73"/>
      <c r="HO2339" s="73"/>
      <c r="HP2339" s="73"/>
      <c r="HQ2339" s="73"/>
      <c r="HR2339" s="73"/>
      <c r="HS2339" s="73"/>
      <c r="HT2339" s="73"/>
      <c r="HU2339" s="73"/>
      <c r="HV2339" s="73"/>
      <c r="HW2339" s="73"/>
      <c r="HX2339" s="73"/>
      <c r="HY2339" s="73"/>
      <c r="HZ2339" s="73"/>
      <c r="IA2339" s="73"/>
      <c r="IB2339" s="73"/>
      <c r="IC2339" s="73"/>
      <c r="ID2339" s="73"/>
      <c r="IE2339" s="73"/>
      <c r="IF2339" s="73"/>
      <c r="IG2339" s="73"/>
      <c r="IH2339" s="73"/>
      <c r="II2339" s="73"/>
      <c r="IJ2339" s="73"/>
      <c r="IK2339" s="73"/>
      <c r="IL2339" s="73"/>
      <c r="IM2339" s="73"/>
      <c r="IN2339" s="73"/>
      <c r="IO2339" s="73"/>
      <c r="IP2339" s="73"/>
      <c r="IQ2339" s="73"/>
      <c r="IR2339" s="73"/>
      <c r="IS2339" s="73"/>
      <c r="IT2339" s="73"/>
      <c r="IU2339" s="73"/>
      <c r="IV2339" s="73"/>
      <c r="IW2339" s="73"/>
      <c r="IX2339" s="73"/>
      <c r="IY2339" s="73"/>
      <c r="IZ2339" s="73"/>
      <c r="JA2339" s="73"/>
      <c r="JB2339" s="73"/>
      <c r="JC2339" s="73"/>
    </row>
    <row r="2340" spans="2:263" s="72" customFormat="1">
      <c r="B2340" s="73"/>
      <c r="C2340" s="73"/>
      <c r="D2340" s="73"/>
      <c r="E2340" s="73"/>
      <c r="F2340" s="73"/>
      <c r="G2340" s="73"/>
      <c r="H2340" s="73"/>
      <c r="I2340" s="73"/>
      <c r="J2340" s="73"/>
      <c r="K2340" s="73"/>
      <c r="L2340" s="73"/>
      <c r="M2340" s="73"/>
      <c r="N2340" s="73"/>
      <c r="O2340" s="73"/>
      <c r="P2340" s="73"/>
      <c r="Q2340" s="73"/>
      <c r="R2340" s="73"/>
      <c r="S2340" s="73"/>
      <c r="T2340" s="73"/>
      <c r="U2340" s="73"/>
      <c r="V2340" s="73"/>
      <c r="W2340" s="73"/>
      <c r="GL2340" s="73"/>
      <c r="GM2340" s="73"/>
      <c r="GN2340" s="73"/>
      <c r="GO2340" s="73"/>
      <c r="GP2340" s="73"/>
      <c r="GQ2340" s="73"/>
      <c r="GR2340" s="73"/>
      <c r="GS2340" s="73"/>
      <c r="GT2340" s="73"/>
      <c r="GU2340" s="73"/>
      <c r="GV2340" s="73"/>
      <c r="GW2340" s="73"/>
      <c r="GX2340" s="73"/>
      <c r="GY2340" s="73"/>
      <c r="GZ2340" s="73"/>
      <c r="HA2340" s="73"/>
      <c r="HB2340" s="73"/>
      <c r="HC2340" s="73"/>
      <c r="HD2340" s="73"/>
      <c r="HE2340" s="73"/>
      <c r="HF2340" s="73"/>
      <c r="HG2340" s="73"/>
      <c r="HH2340" s="73"/>
      <c r="HI2340" s="73"/>
      <c r="HJ2340" s="73"/>
      <c r="HK2340" s="73"/>
      <c r="HL2340" s="73"/>
      <c r="HM2340" s="73"/>
      <c r="HN2340" s="73"/>
      <c r="HO2340" s="73"/>
      <c r="HP2340" s="73"/>
      <c r="HQ2340" s="73"/>
      <c r="HR2340" s="73"/>
      <c r="HS2340" s="73"/>
      <c r="HT2340" s="73"/>
      <c r="HU2340" s="73"/>
      <c r="HV2340" s="73"/>
      <c r="HW2340" s="73"/>
      <c r="HX2340" s="73"/>
      <c r="HY2340" s="73"/>
      <c r="HZ2340" s="73"/>
      <c r="IA2340" s="73"/>
      <c r="IB2340" s="73"/>
      <c r="IC2340" s="73"/>
      <c r="ID2340" s="73"/>
      <c r="IE2340" s="73"/>
      <c r="IF2340" s="73"/>
      <c r="IG2340" s="73"/>
      <c r="IH2340" s="73"/>
      <c r="II2340" s="73"/>
      <c r="IJ2340" s="73"/>
      <c r="IK2340" s="73"/>
      <c r="IL2340" s="73"/>
      <c r="IM2340" s="73"/>
      <c r="IN2340" s="73"/>
      <c r="IO2340" s="73"/>
      <c r="IP2340" s="73"/>
      <c r="IQ2340" s="73"/>
      <c r="IR2340" s="73"/>
      <c r="IS2340" s="73"/>
      <c r="IT2340" s="73"/>
      <c r="IU2340" s="73"/>
      <c r="IV2340" s="73"/>
      <c r="IW2340" s="73"/>
      <c r="IX2340" s="73"/>
      <c r="IY2340" s="73"/>
      <c r="IZ2340" s="73"/>
      <c r="JA2340" s="73"/>
      <c r="JB2340" s="73"/>
      <c r="JC2340" s="73"/>
    </row>
    <row r="2341" spans="2:263" s="72" customFormat="1">
      <c r="B2341" s="73"/>
      <c r="C2341" s="73"/>
      <c r="D2341" s="73"/>
      <c r="E2341" s="73"/>
      <c r="F2341" s="73"/>
      <c r="G2341" s="73"/>
      <c r="H2341" s="73"/>
      <c r="I2341" s="73"/>
      <c r="J2341" s="73"/>
      <c r="K2341" s="73"/>
      <c r="L2341" s="73"/>
      <c r="M2341" s="73"/>
      <c r="N2341" s="73"/>
      <c r="O2341" s="73"/>
      <c r="P2341" s="73"/>
      <c r="Q2341" s="73"/>
      <c r="R2341" s="73"/>
      <c r="S2341" s="73"/>
      <c r="T2341" s="73"/>
      <c r="U2341" s="73"/>
      <c r="V2341" s="73"/>
      <c r="W2341" s="73"/>
      <c r="GL2341" s="73"/>
      <c r="GM2341" s="73"/>
      <c r="GN2341" s="73"/>
      <c r="GO2341" s="73"/>
      <c r="GP2341" s="73"/>
      <c r="GQ2341" s="73"/>
      <c r="GR2341" s="73"/>
      <c r="GS2341" s="73"/>
      <c r="GT2341" s="73"/>
      <c r="GU2341" s="73"/>
      <c r="GV2341" s="73"/>
      <c r="GW2341" s="73"/>
      <c r="GX2341" s="73"/>
      <c r="GY2341" s="73"/>
      <c r="GZ2341" s="73"/>
      <c r="HA2341" s="73"/>
      <c r="HB2341" s="73"/>
      <c r="HC2341" s="73"/>
      <c r="HD2341" s="73"/>
      <c r="HE2341" s="73"/>
      <c r="HF2341" s="73"/>
      <c r="HG2341" s="73"/>
      <c r="HH2341" s="73"/>
      <c r="HI2341" s="73"/>
      <c r="HJ2341" s="73"/>
      <c r="HK2341" s="73"/>
      <c r="HL2341" s="73"/>
      <c r="HM2341" s="73"/>
      <c r="HN2341" s="73"/>
      <c r="HO2341" s="73"/>
      <c r="HP2341" s="73"/>
      <c r="HQ2341" s="73"/>
      <c r="HR2341" s="73"/>
      <c r="HS2341" s="73"/>
      <c r="HT2341" s="73"/>
      <c r="HU2341" s="73"/>
      <c r="HV2341" s="73"/>
      <c r="HW2341" s="73"/>
      <c r="HX2341" s="73"/>
      <c r="HY2341" s="73"/>
      <c r="HZ2341" s="73"/>
      <c r="IA2341" s="73"/>
      <c r="IB2341" s="73"/>
      <c r="IC2341" s="73"/>
      <c r="ID2341" s="73"/>
      <c r="IE2341" s="73"/>
      <c r="IF2341" s="73"/>
      <c r="IG2341" s="73"/>
      <c r="IH2341" s="73"/>
      <c r="II2341" s="73"/>
      <c r="IJ2341" s="73"/>
      <c r="IK2341" s="73"/>
      <c r="IL2341" s="73"/>
      <c r="IM2341" s="73"/>
      <c r="IN2341" s="73"/>
      <c r="IO2341" s="73"/>
      <c r="IP2341" s="73"/>
      <c r="IQ2341" s="73"/>
      <c r="IR2341" s="73"/>
      <c r="IS2341" s="73"/>
      <c r="IT2341" s="73"/>
      <c r="IU2341" s="73"/>
      <c r="IV2341" s="73"/>
      <c r="IW2341" s="73"/>
      <c r="IX2341" s="73"/>
      <c r="IY2341" s="73"/>
      <c r="IZ2341" s="73"/>
      <c r="JA2341" s="73"/>
      <c r="JB2341" s="73"/>
      <c r="JC2341" s="73"/>
    </row>
    <row r="2342" spans="2:263" s="72" customFormat="1">
      <c r="B2342" s="73"/>
      <c r="C2342" s="73"/>
      <c r="D2342" s="73"/>
      <c r="E2342" s="73"/>
      <c r="F2342" s="73"/>
      <c r="G2342" s="73"/>
      <c r="H2342" s="73"/>
      <c r="I2342" s="73"/>
      <c r="J2342" s="73"/>
      <c r="K2342" s="73"/>
      <c r="L2342" s="73"/>
      <c r="M2342" s="73"/>
      <c r="N2342" s="73"/>
      <c r="O2342" s="73"/>
      <c r="P2342" s="73"/>
      <c r="Q2342" s="73"/>
      <c r="R2342" s="73"/>
      <c r="S2342" s="73"/>
      <c r="T2342" s="73"/>
      <c r="U2342" s="73"/>
      <c r="V2342" s="73"/>
      <c r="W2342" s="73"/>
      <c r="GL2342" s="73"/>
      <c r="GM2342" s="73"/>
      <c r="GN2342" s="73"/>
      <c r="GO2342" s="73"/>
      <c r="GP2342" s="73"/>
      <c r="GQ2342" s="73"/>
      <c r="GR2342" s="73"/>
      <c r="GS2342" s="73"/>
      <c r="GT2342" s="73"/>
      <c r="GU2342" s="73"/>
      <c r="GV2342" s="73"/>
      <c r="GW2342" s="73"/>
      <c r="GX2342" s="73"/>
      <c r="GY2342" s="73"/>
      <c r="GZ2342" s="73"/>
      <c r="HA2342" s="73"/>
      <c r="HB2342" s="73"/>
      <c r="HC2342" s="73"/>
      <c r="HD2342" s="73"/>
      <c r="HE2342" s="73"/>
      <c r="HF2342" s="73"/>
      <c r="HG2342" s="73"/>
      <c r="HH2342" s="73"/>
      <c r="HI2342" s="73"/>
      <c r="HJ2342" s="73"/>
      <c r="HK2342" s="73"/>
      <c r="HL2342" s="73"/>
      <c r="HM2342" s="73"/>
      <c r="HN2342" s="73"/>
      <c r="HO2342" s="73"/>
      <c r="HP2342" s="73"/>
      <c r="HQ2342" s="73"/>
      <c r="HR2342" s="73"/>
      <c r="HS2342" s="73"/>
      <c r="HT2342" s="73"/>
      <c r="HU2342" s="73"/>
      <c r="HV2342" s="73"/>
      <c r="HW2342" s="73"/>
      <c r="HX2342" s="73"/>
      <c r="HY2342" s="73"/>
      <c r="HZ2342" s="73"/>
      <c r="IA2342" s="73"/>
      <c r="IB2342" s="73"/>
      <c r="IC2342" s="73"/>
      <c r="ID2342" s="73"/>
      <c r="IE2342" s="73"/>
      <c r="IF2342" s="73"/>
      <c r="IG2342" s="73"/>
      <c r="IH2342" s="73"/>
      <c r="II2342" s="73"/>
      <c r="IJ2342" s="73"/>
      <c r="IK2342" s="73"/>
      <c r="IL2342" s="73"/>
      <c r="IM2342" s="73"/>
      <c r="IN2342" s="73"/>
      <c r="IO2342" s="73"/>
      <c r="IP2342" s="73"/>
      <c r="IQ2342" s="73"/>
      <c r="IR2342" s="73"/>
      <c r="IS2342" s="73"/>
      <c r="IT2342" s="73"/>
      <c r="IU2342" s="73"/>
      <c r="IV2342" s="73"/>
      <c r="IW2342" s="73"/>
      <c r="IX2342" s="73"/>
      <c r="IY2342" s="73"/>
      <c r="IZ2342" s="73"/>
      <c r="JA2342" s="73"/>
      <c r="JB2342" s="73"/>
      <c r="JC2342" s="73"/>
    </row>
    <row r="2343" spans="2:263" s="72" customFormat="1">
      <c r="B2343" s="73"/>
      <c r="C2343" s="73"/>
      <c r="D2343" s="73"/>
      <c r="E2343" s="73"/>
      <c r="F2343" s="73"/>
      <c r="G2343" s="73"/>
      <c r="H2343" s="73"/>
      <c r="I2343" s="73"/>
      <c r="J2343" s="73"/>
      <c r="K2343" s="73"/>
      <c r="L2343" s="73"/>
      <c r="M2343" s="73"/>
      <c r="N2343" s="73"/>
      <c r="O2343" s="73"/>
      <c r="P2343" s="73"/>
      <c r="Q2343" s="73"/>
      <c r="R2343" s="73"/>
      <c r="S2343" s="73"/>
      <c r="T2343" s="73"/>
      <c r="U2343" s="73"/>
      <c r="V2343" s="73"/>
      <c r="W2343" s="73"/>
      <c r="GL2343" s="73"/>
      <c r="GM2343" s="73"/>
      <c r="GN2343" s="73"/>
      <c r="GO2343" s="73"/>
      <c r="GP2343" s="73"/>
      <c r="GQ2343" s="73"/>
      <c r="GR2343" s="73"/>
      <c r="GS2343" s="73"/>
      <c r="GT2343" s="73"/>
      <c r="GU2343" s="73"/>
      <c r="GV2343" s="73"/>
      <c r="GW2343" s="73"/>
      <c r="GX2343" s="73"/>
      <c r="GY2343" s="73"/>
      <c r="GZ2343" s="73"/>
      <c r="HA2343" s="73"/>
      <c r="HB2343" s="73"/>
      <c r="HC2343" s="73"/>
      <c r="HD2343" s="73"/>
      <c r="HE2343" s="73"/>
      <c r="HF2343" s="73"/>
      <c r="HG2343" s="73"/>
      <c r="HH2343" s="73"/>
      <c r="HI2343" s="73"/>
      <c r="HJ2343" s="73"/>
      <c r="HK2343" s="73"/>
      <c r="HL2343" s="73"/>
      <c r="HM2343" s="73"/>
      <c r="HN2343" s="73"/>
      <c r="HO2343" s="73"/>
      <c r="HP2343" s="73"/>
      <c r="HQ2343" s="73"/>
      <c r="HR2343" s="73"/>
      <c r="HS2343" s="73"/>
      <c r="HT2343" s="73"/>
      <c r="HU2343" s="73"/>
      <c r="HV2343" s="73"/>
      <c r="HW2343" s="73"/>
      <c r="HX2343" s="73"/>
      <c r="HY2343" s="73"/>
      <c r="HZ2343" s="73"/>
      <c r="IA2343" s="73"/>
      <c r="IB2343" s="73"/>
      <c r="IC2343" s="73"/>
      <c r="ID2343" s="73"/>
      <c r="IE2343" s="73"/>
      <c r="IF2343" s="73"/>
      <c r="IG2343" s="73"/>
      <c r="IH2343" s="73"/>
      <c r="II2343" s="73"/>
      <c r="IJ2343" s="73"/>
      <c r="IK2343" s="73"/>
      <c r="IL2343" s="73"/>
      <c r="IM2343" s="73"/>
      <c r="IN2343" s="73"/>
      <c r="IO2343" s="73"/>
      <c r="IP2343" s="73"/>
      <c r="IQ2343" s="73"/>
      <c r="IR2343" s="73"/>
      <c r="IS2343" s="73"/>
      <c r="IT2343" s="73"/>
      <c r="IU2343" s="73"/>
      <c r="IV2343" s="73"/>
      <c r="IW2343" s="73"/>
      <c r="IX2343" s="73"/>
      <c r="IY2343" s="73"/>
      <c r="IZ2343" s="73"/>
      <c r="JA2343" s="73"/>
      <c r="JB2343" s="73"/>
      <c r="JC2343" s="73"/>
    </row>
    <row r="2344" spans="2:263" s="72" customFormat="1">
      <c r="B2344" s="73"/>
      <c r="C2344" s="73"/>
      <c r="D2344" s="73"/>
      <c r="E2344" s="73"/>
      <c r="F2344" s="73"/>
      <c r="G2344" s="73"/>
      <c r="H2344" s="73"/>
      <c r="I2344" s="73"/>
      <c r="J2344" s="73"/>
      <c r="K2344" s="73"/>
      <c r="L2344" s="73"/>
      <c r="M2344" s="73"/>
      <c r="N2344" s="73"/>
      <c r="O2344" s="73"/>
      <c r="P2344" s="73"/>
      <c r="Q2344" s="73"/>
      <c r="R2344" s="73"/>
      <c r="S2344" s="73"/>
      <c r="T2344" s="73"/>
      <c r="U2344" s="73"/>
      <c r="V2344" s="73"/>
      <c r="W2344" s="73"/>
      <c r="GL2344" s="73"/>
      <c r="GM2344" s="73"/>
      <c r="GN2344" s="73"/>
      <c r="GO2344" s="73"/>
      <c r="GP2344" s="73"/>
      <c r="GQ2344" s="73"/>
      <c r="GR2344" s="73"/>
      <c r="GS2344" s="73"/>
      <c r="GT2344" s="73"/>
      <c r="GU2344" s="73"/>
      <c r="GV2344" s="73"/>
      <c r="GW2344" s="73"/>
      <c r="GX2344" s="73"/>
      <c r="GY2344" s="73"/>
      <c r="GZ2344" s="73"/>
      <c r="HA2344" s="73"/>
      <c r="HB2344" s="73"/>
      <c r="HC2344" s="73"/>
      <c r="HD2344" s="73"/>
      <c r="HE2344" s="73"/>
      <c r="HF2344" s="73"/>
      <c r="HG2344" s="73"/>
      <c r="HH2344" s="73"/>
      <c r="HI2344" s="73"/>
      <c r="HJ2344" s="73"/>
      <c r="HK2344" s="73"/>
      <c r="HL2344" s="73"/>
      <c r="HM2344" s="73"/>
      <c r="HN2344" s="73"/>
      <c r="HO2344" s="73"/>
      <c r="HP2344" s="73"/>
      <c r="HQ2344" s="73"/>
      <c r="HR2344" s="73"/>
      <c r="HS2344" s="73"/>
      <c r="HT2344" s="73"/>
      <c r="HU2344" s="73"/>
      <c r="HV2344" s="73"/>
      <c r="HW2344" s="73"/>
      <c r="HX2344" s="73"/>
      <c r="HY2344" s="73"/>
      <c r="HZ2344" s="73"/>
      <c r="IA2344" s="73"/>
      <c r="IB2344" s="73"/>
      <c r="IC2344" s="73"/>
      <c r="ID2344" s="73"/>
      <c r="IE2344" s="73"/>
      <c r="IF2344" s="73"/>
      <c r="IG2344" s="73"/>
      <c r="IH2344" s="73"/>
      <c r="II2344" s="73"/>
      <c r="IJ2344" s="73"/>
      <c r="IK2344" s="73"/>
      <c r="IL2344" s="73"/>
      <c r="IM2344" s="73"/>
      <c r="IN2344" s="73"/>
      <c r="IO2344" s="73"/>
      <c r="IP2344" s="73"/>
      <c r="IQ2344" s="73"/>
      <c r="IR2344" s="73"/>
      <c r="IS2344" s="73"/>
      <c r="IT2344" s="73"/>
      <c r="IU2344" s="73"/>
      <c r="IV2344" s="73"/>
      <c r="IW2344" s="73"/>
      <c r="IX2344" s="73"/>
      <c r="IY2344" s="73"/>
      <c r="IZ2344" s="73"/>
      <c r="JA2344" s="73"/>
      <c r="JB2344" s="73"/>
      <c r="JC2344" s="73"/>
    </row>
    <row r="2345" spans="2:263" s="72" customFormat="1">
      <c r="B2345" s="73"/>
      <c r="C2345" s="73"/>
      <c r="D2345" s="73"/>
      <c r="E2345" s="73"/>
      <c r="F2345" s="73"/>
      <c r="G2345" s="73"/>
      <c r="H2345" s="73"/>
      <c r="I2345" s="73"/>
      <c r="J2345" s="73"/>
      <c r="K2345" s="73"/>
      <c r="L2345" s="73"/>
      <c r="M2345" s="73"/>
      <c r="N2345" s="73"/>
      <c r="O2345" s="73"/>
      <c r="P2345" s="73"/>
      <c r="Q2345" s="73"/>
      <c r="R2345" s="73"/>
      <c r="S2345" s="73"/>
      <c r="T2345" s="73"/>
      <c r="U2345" s="73"/>
      <c r="V2345" s="73"/>
      <c r="W2345" s="73"/>
      <c r="GL2345" s="73"/>
      <c r="GM2345" s="73"/>
      <c r="GN2345" s="73"/>
      <c r="GO2345" s="73"/>
      <c r="GP2345" s="73"/>
      <c r="GQ2345" s="73"/>
      <c r="GR2345" s="73"/>
      <c r="GS2345" s="73"/>
      <c r="GT2345" s="73"/>
      <c r="GU2345" s="73"/>
      <c r="GV2345" s="73"/>
      <c r="GW2345" s="73"/>
      <c r="GX2345" s="73"/>
      <c r="GY2345" s="73"/>
      <c r="GZ2345" s="73"/>
      <c r="HA2345" s="73"/>
      <c r="HB2345" s="73"/>
      <c r="HC2345" s="73"/>
      <c r="HD2345" s="73"/>
      <c r="HE2345" s="73"/>
      <c r="HF2345" s="73"/>
      <c r="HG2345" s="73"/>
      <c r="HH2345" s="73"/>
      <c r="HI2345" s="73"/>
      <c r="HJ2345" s="73"/>
      <c r="HK2345" s="73"/>
      <c r="HL2345" s="73"/>
      <c r="HM2345" s="73"/>
      <c r="HN2345" s="73"/>
      <c r="HO2345" s="73"/>
      <c r="HP2345" s="73"/>
      <c r="HQ2345" s="73"/>
      <c r="HR2345" s="73"/>
      <c r="HS2345" s="73"/>
      <c r="HT2345" s="73"/>
      <c r="HU2345" s="73"/>
      <c r="HV2345" s="73"/>
      <c r="HW2345" s="73"/>
      <c r="HX2345" s="73"/>
      <c r="HY2345" s="73"/>
      <c r="HZ2345" s="73"/>
      <c r="IA2345" s="73"/>
      <c r="IB2345" s="73"/>
      <c r="IC2345" s="73"/>
      <c r="ID2345" s="73"/>
      <c r="IE2345" s="73"/>
      <c r="IF2345" s="73"/>
      <c r="IG2345" s="73"/>
      <c r="IH2345" s="73"/>
      <c r="II2345" s="73"/>
      <c r="IJ2345" s="73"/>
      <c r="IK2345" s="73"/>
      <c r="IL2345" s="73"/>
      <c r="IM2345" s="73"/>
      <c r="IN2345" s="73"/>
      <c r="IO2345" s="73"/>
      <c r="IP2345" s="73"/>
      <c r="IQ2345" s="73"/>
      <c r="IR2345" s="73"/>
      <c r="IS2345" s="73"/>
      <c r="IT2345" s="73"/>
      <c r="IU2345" s="73"/>
      <c r="IV2345" s="73"/>
      <c r="IW2345" s="73"/>
      <c r="IX2345" s="73"/>
      <c r="IY2345" s="73"/>
      <c r="IZ2345" s="73"/>
      <c r="JA2345" s="73"/>
      <c r="JB2345" s="73"/>
      <c r="JC2345" s="73"/>
    </row>
    <row r="2346" spans="2:263" s="72" customFormat="1">
      <c r="B2346" s="73"/>
      <c r="C2346" s="73"/>
      <c r="D2346" s="73"/>
      <c r="E2346" s="73"/>
      <c r="F2346" s="73"/>
      <c r="G2346" s="73"/>
      <c r="H2346" s="73"/>
      <c r="I2346" s="73"/>
      <c r="J2346" s="73"/>
      <c r="K2346" s="73"/>
      <c r="L2346" s="73"/>
      <c r="M2346" s="73"/>
      <c r="N2346" s="73"/>
      <c r="O2346" s="73"/>
      <c r="P2346" s="73"/>
      <c r="Q2346" s="73"/>
      <c r="R2346" s="73"/>
      <c r="S2346" s="73"/>
      <c r="T2346" s="73"/>
      <c r="U2346" s="73"/>
      <c r="V2346" s="73"/>
      <c r="W2346" s="73"/>
      <c r="GL2346" s="73"/>
      <c r="GM2346" s="73"/>
      <c r="GN2346" s="73"/>
      <c r="GO2346" s="73"/>
      <c r="GP2346" s="73"/>
      <c r="GQ2346" s="73"/>
      <c r="GR2346" s="73"/>
      <c r="GS2346" s="73"/>
      <c r="GT2346" s="73"/>
      <c r="GU2346" s="73"/>
      <c r="GV2346" s="73"/>
      <c r="GW2346" s="73"/>
      <c r="GX2346" s="73"/>
      <c r="GY2346" s="73"/>
      <c r="GZ2346" s="73"/>
      <c r="HA2346" s="73"/>
      <c r="HB2346" s="73"/>
      <c r="HC2346" s="73"/>
      <c r="HD2346" s="73"/>
      <c r="HE2346" s="73"/>
      <c r="HF2346" s="73"/>
      <c r="HG2346" s="73"/>
      <c r="HH2346" s="73"/>
      <c r="HI2346" s="73"/>
      <c r="HJ2346" s="73"/>
      <c r="HK2346" s="73"/>
      <c r="HL2346" s="73"/>
      <c r="HM2346" s="73"/>
      <c r="HN2346" s="73"/>
      <c r="HO2346" s="73"/>
      <c r="HP2346" s="73"/>
      <c r="HQ2346" s="73"/>
      <c r="HR2346" s="73"/>
      <c r="HS2346" s="73"/>
      <c r="HT2346" s="73"/>
      <c r="HU2346" s="73"/>
      <c r="HV2346" s="73"/>
      <c r="HW2346" s="73"/>
      <c r="HX2346" s="73"/>
      <c r="HY2346" s="73"/>
      <c r="HZ2346" s="73"/>
      <c r="IA2346" s="73"/>
      <c r="IB2346" s="73"/>
      <c r="IC2346" s="73"/>
      <c r="ID2346" s="73"/>
      <c r="IE2346" s="73"/>
      <c r="IF2346" s="73"/>
      <c r="IG2346" s="73"/>
      <c r="IH2346" s="73"/>
      <c r="II2346" s="73"/>
      <c r="IJ2346" s="73"/>
      <c r="IK2346" s="73"/>
      <c r="IL2346" s="73"/>
      <c r="IM2346" s="73"/>
      <c r="IN2346" s="73"/>
      <c r="IO2346" s="73"/>
      <c r="IP2346" s="73"/>
      <c r="IQ2346" s="73"/>
      <c r="IR2346" s="73"/>
      <c r="IS2346" s="73"/>
      <c r="IT2346" s="73"/>
      <c r="IU2346" s="73"/>
      <c r="IV2346" s="73"/>
      <c r="IW2346" s="73"/>
      <c r="IX2346" s="73"/>
      <c r="IY2346" s="73"/>
      <c r="IZ2346" s="73"/>
      <c r="JA2346" s="73"/>
      <c r="JB2346" s="73"/>
      <c r="JC2346" s="73"/>
    </row>
    <row r="2347" spans="2:263" s="72" customFormat="1">
      <c r="B2347" s="73"/>
      <c r="C2347" s="73"/>
      <c r="D2347" s="73"/>
      <c r="E2347" s="73"/>
      <c r="F2347" s="73"/>
      <c r="G2347" s="73"/>
      <c r="H2347" s="73"/>
      <c r="I2347" s="73"/>
      <c r="J2347" s="73"/>
      <c r="K2347" s="73"/>
      <c r="L2347" s="73"/>
      <c r="M2347" s="73"/>
      <c r="N2347" s="73"/>
      <c r="O2347" s="73"/>
      <c r="P2347" s="73"/>
      <c r="Q2347" s="73"/>
      <c r="R2347" s="73"/>
      <c r="S2347" s="73"/>
      <c r="T2347" s="73"/>
      <c r="U2347" s="73"/>
      <c r="V2347" s="73"/>
      <c r="W2347" s="73"/>
      <c r="GL2347" s="73"/>
      <c r="GM2347" s="73"/>
      <c r="GN2347" s="73"/>
      <c r="GO2347" s="73"/>
      <c r="GP2347" s="73"/>
      <c r="GQ2347" s="73"/>
      <c r="GR2347" s="73"/>
      <c r="GS2347" s="73"/>
      <c r="GT2347" s="73"/>
      <c r="GU2347" s="73"/>
      <c r="GV2347" s="73"/>
      <c r="GW2347" s="73"/>
      <c r="GX2347" s="73"/>
      <c r="GY2347" s="73"/>
      <c r="GZ2347" s="73"/>
      <c r="HA2347" s="73"/>
      <c r="HB2347" s="73"/>
      <c r="HC2347" s="73"/>
      <c r="HD2347" s="73"/>
      <c r="HE2347" s="73"/>
      <c r="HF2347" s="73"/>
      <c r="HG2347" s="73"/>
      <c r="HH2347" s="73"/>
      <c r="HI2347" s="73"/>
      <c r="HJ2347" s="73"/>
      <c r="HK2347" s="73"/>
      <c r="HL2347" s="73"/>
      <c r="HM2347" s="73"/>
      <c r="HN2347" s="73"/>
      <c r="HO2347" s="73"/>
      <c r="HP2347" s="73"/>
      <c r="HQ2347" s="73"/>
      <c r="HR2347" s="73"/>
      <c r="HS2347" s="73"/>
      <c r="HT2347" s="73"/>
      <c r="HU2347" s="73"/>
      <c r="HV2347" s="73"/>
      <c r="HW2347" s="73"/>
      <c r="HX2347" s="73"/>
      <c r="HY2347" s="73"/>
      <c r="HZ2347" s="73"/>
      <c r="IA2347" s="73"/>
      <c r="IB2347" s="73"/>
      <c r="IC2347" s="73"/>
      <c r="ID2347" s="73"/>
      <c r="IE2347" s="73"/>
      <c r="IF2347" s="73"/>
      <c r="IG2347" s="73"/>
      <c r="IH2347" s="73"/>
      <c r="II2347" s="73"/>
      <c r="IJ2347" s="73"/>
      <c r="IK2347" s="73"/>
      <c r="IL2347" s="73"/>
      <c r="IM2347" s="73"/>
      <c r="IN2347" s="73"/>
      <c r="IO2347" s="73"/>
      <c r="IP2347" s="73"/>
      <c r="IQ2347" s="73"/>
      <c r="IR2347" s="73"/>
      <c r="IS2347" s="73"/>
      <c r="IT2347" s="73"/>
      <c r="IU2347" s="73"/>
      <c r="IV2347" s="73"/>
      <c r="IW2347" s="73"/>
      <c r="IX2347" s="73"/>
      <c r="IY2347" s="73"/>
      <c r="IZ2347" s="73"/>
      <c r="JA2347" s="73"/>
      <c r="JB2347" s="73"/>
      <c r="JC2347" s="73"/>
    </row>
    <row r="2348" spans="2:263" s="72" customFormat="1">
      <c r="B2348" s="73"/>
      <c r="C2348" s="73"/>
      <c r="D2348" s="73"/>
      <c r="E2348" s="73"/>
      <c r="F2348" s="73"/>
      <c r="G2348" s="73"/>
      <c r="H2348" s="73"/>
      <c r="I2348" s="73"/>
      <c r="J2348" s="73"/>
      <c r="K2348" s="73"/>
      <c r="L2348" s="73"/>
      <c r="M2348" s="73"/>
      <c r="N2348" s="73"/>
      <c r="O2348" s="73"/>
      <c r="P2348" s="73"/>
      <c r="Q2348" s="73"/>
      <c r="R2348" s="73"/>
      <c r="S2348" s="73"/>
      <c r="T2348" s="73"/>
      <c r="U2348" s="73"/>
      <c r="V2348" s="73"/>
      <c r="W2348" s="73"/>
      <c r="GL2348" s="73"/>
      <c r="GM2348" s="73"/>
      <c r="GN2348" s="73"/>
      <c r="GO2348" s="73"/>
      <c r="GP2348" s="73"/>
      <c r="GQ2348" s="73"/>
      <c r="GR2348" s="73"/>
      <c r="GS2348" s="73"/>
      <c r="GT2348" s="73"/>
      <c r="GU2348" s="73"/>
      <c r="GV2348" s="73"/>
      <c r="GW2348" s="73"/>
      <c r="GX2348" s="73"/>
      <c r="GY2348" s="73"/>
      <c r="GZ2348" s="73"/>
      <c r="HA2348" s="73"/>
      <c r="HB2348" s="73"/>
      <c r="HC2348" s="73"/>
      <c r="HD2348" s="73"/>
      <c r="HE2348" s="73"/>
      <c r="HF2348" s="73"/>
      <c r="HG2348" s="73"/>
      <c r="HH2348" s="73"/>
      <c r="HI2348" s="73"/>
      <c r="HJ2348" s="73"/>
      <c r="HK2348" s="73"/>
      <c r="HL2348" s="73"/>
      <c r="HM2348" s="73"/>
      <c r="HN2348" s="73"/>
      <c r="HO2348" s="73"/>
      <c r="HP2348" s="73"/>
      <c r="HQ2348" s="73"/>
      <c r="HR2348" s="73"/>
      <c r="HS2348" s="73"/>
      <c r="HT2348" s="73"/>
      <c r="HU2348" s="73"/>
      <c r="HV2348" s="73"/>
      <c r="HW2348" s="73"/>
      <c r="HX2348" s="73"/>
      <c r="HY2348" s="73"/>
      <c r="HZ2348" s="73"/>
      <c r="IA2348" s="73"/>
      <c r="IB2348" s="73"/>
      <c r="IC2348" s="73"/>
      <c r="ID2348" s="73"/>
      <c r="IE2348" s="73"/>
      <c r="IF2348" s="73"/>
      <c r="IG2348" s="73"/>
      <c r="IH2348" s="73"/>
      <c r="II2348" s="73"/>
      <c r="IJ2348" s="73"/>
      <c r="IK2348" s="73"/>
      <c r="IL2348" s="73"/>
      <c r="IM2348" s="73"/>
      <c r="IN2348" s="73"/>
      <c r="IO2348" s="73"/>
      <c r="IP2348" s="73"/>
      <c r="IQ2348" s="73"/>
      <c r="IR2348" s="73"/>
      <c r="IS2348" s="73"/>
      <c r="IT2348" s="73"/>
      <c r="IU2348" s="73"/>
      <c r="IV2348" s="73"/>
      <c r="IW2348" s="73"/>
      <c r="IX2348" s="73"/>
      <c r="IY2348" s="73"/>
      <c r="IZ2348" s="73"/>
      <c r="JA2348" s="73"/>
      <c r="JB2348" s="73"/>
      <c r="JC2348" s="73"/>
    </row>
    <row r="2349" spans="2:263" s="72" customFormat="1">
      <c r="B2349" s="73"/>
      <c r="C2349" s="73"/>
      <c r="D2349" s="73"/>
      <c r="E2349" s="73"/>
      <c r="F2349" s="73"/>
      <c r="G2349" s="73"/>
      <c r="H2349" s="73"/>
      <c r="I2349" s="73"/>
      <c r="J2349" s="73"/>
      <c r="K2349" s="73"/>
      <c r="L2349" s="73"/>
      <c r="M2349" s="73"/>
      <c r="N2349" s="73"/>
      <c r="O2349" s="73"/>
      <c r="P2349" s="73"/>
      <c r="Q2349" s="73"/>
      <c r="R2349" s="73"/>
      <c r="S2349" s="73"/>
      <c r="T2349" s="73"/>
      <c r="U2349" s="73"/>
      <c r="V2349" s="73"/>
      <c r="W2349" s="73"/>
      <c r="GL2349" s="73"/>
      <c r="GM2349" s="73"/>
      <c r="GN2349" s="73"/>
      <c r="GO2349" s="73"/>
      <c r="GP2349" s="73"/>
      <c r="GQ2349" s="73"/>
      <c r="GR2349" s="73"/>
      <c r="GS2349" s="73"/>
      <c r="GT2349" s="73"/>
      <c r="GU2349" s="73"/>
      <c r="GV2349" s="73"/>
      <c r="GW2349" s="73"/>
      <c r="GX2349" s="73"/>
      <c r="GY2349" s="73"/>
      <c r="GZ2349" s="73"/>
      <c r="HA2349" s="73"/>
      <c r="HB2349" s="73"/>
      <c r="HC2349" s="73"/>
      <c r="HD2349" s="73"/>
      <c r="HE2349" s="73"/>
      <c r="HF2349" s="73"/>
      <c r="HG2349" s="73"/>
      <c r="HH2349" s="73"/>
      <c r="HI2349" s="73"/>
      <c r="HJ2349" s="73"/>
      <c r="HK2349" s="73"/>
      <c r="HL2349" s="73"/>
      <c r="HM2349" s="73"/>
      <c r="HN2349" s="73"/>
      <c r="HO2349" s="73"/>
      <c r="HP2349" s="73"/>
      <c r="HQ2349" s="73"/>
      <c r="HR2349" s="73"/>
      <c r="HS2349" s="73"/>
      <c r="HT2349" s="73"/>
      <c r="HU2349" s="73"/>
      <c r="HV2349" s="73"/>
      <c r="HW2349" s="73"/>
      <c r="HX2349" s="73"/>
      <c r="HY2349" s="73"/>
      <c r="HZ2349" s="73"/>
      <c r="IA2349" s="73"/>
      <c r="IB2349" s="73"/>
      <c r="IC2349" s="73"/>
      <c r="ID2349" s="73"/>
      <c r="IE2349" s="73"/>
      <c r="IF2349" s="73"/>
      <c r="IG2349" s="73"/>
      <c r="IH2349" s="73"/>
      <c r="II2349" s="73"/>
      <c r="IJ2349" s="73"/>
      <c r="IK2349" s="73"/>
      <c r="IL2349" s="73"/>
      <c r="IM2349" s="73"/>
      <c r="IN2349" s="73"/>
      <c r="IO2349" s="73"/>
      <c r="IP2349" s="73"/>
      <c r="IQ2349" s="73"/>
      <c r="IR2349" s="73"/>
      <c r="IS2349" s="73"/>
      <c r="IT2349" s="73"/>
      <c r="IU2349" s="73"/>
      <c r="IV2349" s="73"/>
      <c r="IW2349" s="73"/>
      <c r="IX2349" s="73"/>
      <c r="IY2349" s="73"/>
      <c r="IZ2349" s="73"/>
      <c r="JA2349" s="73"/>
      <c r="JB2349" s="73"/>
      <c r="JC2349" s="73"/>
    </row>
    <row r="2350" spans="2:263" s="72" customFormat="1">
      <c r="B2350" s="73"/>
      <c r="C2350" s="73"/>
      <c r="D2350" s="73"/>
      <c r="E2350" s="73"/>
      <c r="F2350" s="73"/>
      <c r="G2350" s="73"/>
      <c r="H2350" s="73"/>
      <c r="I2350" s="73"/>
      <c r="J2350" s="73"/>
      <c r="K2350" s="73"/>
      <c r="L2350" s="73"/>
      <c r="M2350" s="73"/>
      <c r="N2350" s="73"/>
      <c r="O2350" s="73"/>
      <c r="P2350" s="73"/>
      <c r="Q2350" s="73"/>
      <c r="R2350" s="73"/>
      <c r="S2350" s="73"/>
      <c r="T2350" s="73"/>
      <c r="U2350" s="73"/>
      <c r="V2350" s="73"/>
      <c r="W2350" s="73"/>
      <c r="GL2350" s="73"/>
      <c r="GM2350" s="73"/>
      <c r="GN2350" s="73"/>
      <c r="GO2350" s="73"/>
      <c r="GP2350" s="73"/>
      <c r="GQ2350" s="73"/>
      <c r="GR2350" s="73"/>
      <c r="GS2350" s="73"/>
      <c r="GT2350" s="73"/>
      <c r="GU2350" s="73"/>
      <c r="GV2350" s="73"/>
      <c r="GW2350" s="73"/>
      <c r="GX2350" s="73"/>
      <c r="GY2350" s="73"/>
      <c r="GZ2350" s="73"/>
      <c r="HA2350" s="73"/>
      <c r="HB2350" s="73"/>
      <c r="HC2350" s="73"/>
      <c r="HD2350" s="73"/>
      <c r="HE2350" s="73"/>
      <c r="HF2350" s="73"/>
      <c r="HG2350" s="73"/>
      <c r="HH2350" s="73"/>
      <c r="HI2350" s="73"/>
      <c r="HJ2350" s="73"/>
      <c r="HK2350" s="73"/>
      <c r="HL2350" s="73"/>
      <c r="HM2350" s="73"/>
      <c r="HN2350" s="73"/>
      <c r="HO2350" s="73"/>
      <c r="HP2350" s="73"/>
      <c r="HQ2350" s="73"/>
      <c r="HR2350" s="73"/>
      <c r="HS2350" s="73"/>
      <c r="HT2350" s="73"/>
      <c r="HU2350" s="73"/>
      <c r="HV2350" s="73"/>
      <c r="HW2350" s="73"/>
      <c r="HX2350" s="73"/>
      <c r="HY2350" s="73"/>
      <c r="HZ2350" s="73"/>
      <c r="IA2350" s="73"/>
      <c r="IB2350" s="73"/>
      <c r="IC2350" s="73"/>
      <c r="ID2350" s="73"/>
      <c r="IE2350" s="73"/>
      <c r="IF2350" s="73"/>
      <c r="IG2350" s="73"/>
      <c r="IH2350" s="73"/>
      <c r="II2350" s="73"/>
      <c r="IJ2350" s="73"/>
      <c r="IK2350" s="73"/>
      <c r="IL2350" s="73"/>
      <c r="IM2350" s="73"/>
      <c r="IN2350" s="73"/>
      <c r="IO2350" s="73"/>
      <c r="IP2350" s="73"/>
      <c r="IQ2350" s="73"/>
      <c r="IR2350" s="73"/>
      <c r="IS2350" s="73"/>
      <c r="IT2350" s="73"/>
      <c r="IU2350" s="73"/>
      <c r="IV2350" s="73"/>
      <c r="IW2350" s="73"/>
      <c r="IX2350" s="73"/>
      <c r="IY2350" s="73"/>
      <c r="IZ2350" s="73"/>
      <c r="JA2350" s="73"/>
      <c r="JB2350" s="73"/>
      <c r="JC2350" s="73"/>
    </row>
    <row r="2351" spans="2:263" s="72" customFormat="1">
      <c r="B2351" s="73"/>
      <c r="C2351" s="73"/>
      <c r="D2351" s="73"/>
      <c r="E2351" s="73"/>
      <c r="F2351" s="73"/>
      <c r="G2351" s="73"/>
      <c r="H2351" s="73"/>
      <c r="I2351" s="73"/>
      <c r="J2351" s="73"/>
      <c r="K2351" s="73"/>
      <c r="L2351" s="73"/>
      <c r="M2351" s="73"/>
      <c r="N2351" s="73"/>
      <c r="O2351" s="73"/>
      <c r="P2351" s="73"/>
      <c r="Q2351" s="73"/>
      <c r="R2351" s="73"/>
      <c r="S2351" s="73"/>
      <c r="T2351" s="73"/>
      <c r="U2351" s="73"/>
      <c r="V2351" s="73"/>
      <c r="W2351" s="73"/>
      <c r="GL2351" s="73"/>
      <c r="GM2351" s="73"/>
      <c r="GN2351" s="73"/>
      <c r="GO2351" s="73"/>
      <c r="GP2351" s="73"/>
      <c r="GQ2351" s="73"/>
      <c r="GR2351" s="73"/>
      <c r="GS2351" s="73"/>
      <c r="GT2351" s="73"/>
      <c r="GU2351" s="73"/>
      <c r="GV2351" s="73"/>
      <c r="GW2351" s="73"/>
      <c r="GX2351" s="73"/>
      <c r="GY2351" s="73"/>
      <c r="GZ2351" s="73"/>
      <c r="HA2351" s="73"/>
      <c r="HB2351" s="73"/>
      <c r="HC2351" s="73"/>
      <c r="HD2351" s="73"/>
      <c r="HE2351" s="73"/>
      <c r="HF2351" s="73"/>
      <c r="HG2351" s="73"/>
      <c r="HH2351" s="73"/>
      <c r="HI2351" s="73"/>
      <c r="HJ2351" s="73"/>
      <c r="HK2351" s="73"/>
      <c r="HL2351" s="73"/>
      <c r="HM2351" s="73"/>
      <c r="HN2351" s="73"/>
      <c r="HO2351" s="73"/>
      <c r="HP2351" s="73"/>
      <c r="HQ2351" s="73"/>
      <c r="HR2351" s="73"/>
      <c r="HS2351" s="73"/>
      <c r="HT2351" s="73"/>
      <c r="HU2351" s="73"/>
      <c r="HV2351" s="73"/>
      <c r="HW2351" s="73"/>
      <c r="HX2351" s="73"/>
      <c r="HY2351" s="73"/>
      <c r="HZ2351" s="73"/>
      <c r="IA2351" s="73"/>
      <c r="IB2351" s="73"/>
      <c r="IC2351" s="73"/>
      <c r="ID2351" s="73"/>
      <c r="IE2351" s="73"/>
      <c r="IF2351" s="73"/>
      <c r="IG2351" s="73"/>
      <c r="IH2351" s="73"/>
      <c r="II2351" s="73"/>
      <c r="IJ2351" s="73"/>
      <c r="IK2351" s="73"/>
      <c r="IL2351" s="73"/>
      <c r="IM2351" s="73"/>
      <c r="IN2351" s="73"/>
      <c r="IO2351" s="73"/>
      <c r="IP2351" s="73"/>
      <c r="IQ2351" s="73"/>
      <c r="IR2351" s="73"/>
      <c r="IS2351" s="73"/>
      <c r="IT2351" s="73"/>
      <c r="IU2351" s="73"/>
      <c r="IV2351" s="73"/>
      <c r="IW2351" s="73"/>
      <c r="IX2351" s="73"/>
      <c r="IY2351" s="73"/>
      <c r="IZ2351" s="73"/>
      <c r="JA2351" s="73"/>
      <c r="JB2351" s="73"/>
      <c r="JC2351" s="73"/>
    </row>
    <row r="2352" spans="2:263" s="72" customFormat="1">
      <c r="B2352" s="73"/>
      <c r="C2352" s="73"/>
      <c r="D2352" s="73"/>
      <c r="E2352" s="73"/>
      <c r="F2352" s="73"/>
      <c r="G2352" s="73"/>
      <c r="H2352" s="73"/>
      <c r="I2352" s="73"/>
      <c r="J2352" s="73"/>
      <c r="K2352" s="73"/>
      <c r="L2352" s="73"/>
      <c r="M2352" s="73"/>
      <c r="N2352" s="73"/>
      <c r="O2352" s="73"/>
      <c r="P2352" s="73"/>
      <c r="Q2352" s="73"/>
      <c r="R2352" s="73"/>
      <c r="S2352" s="73"/>
      <c r="T2352" s="73"/>
      <c r="U2352" s="73"/>
      <c r="V2352" s="73"/>
      <c r="W2352" s="73"/>
      <c r="GL2352" s="73"/>
      <c r="GM2352" s="73"/>
      <c r="GN2352" s="73"/>
      <c r="GO2352" s="73"/>
      <c r="GP2352" s="73"/>
      <c r="GQ2352" s="73"/>
      <c r="GR2352" s="73"/>
      <c r="GS2352" s="73"/>
      <c r="GT2352" s="73"/>
      <c r="GU2352" s="73"/>
      <c r="GV2352" s="73"/>
      <c r="GW2352" s="73"/>
      <c r="GX2352" s="73"/>
      <c r="GY2352" s="73"/>
      <c r="GZ2352" s="73"/>
      <c r="HA2352" s="73"/>
      <c r="HB2352" s="73"/>
      <c r="HC2352" s="73"/>
      <c r="HD2352" s="73"/>
      <c r="HE2352" s="73"/>
      <c r="HF2352" s="73"/>
      <c r="HG2352" s="73"/>
      <c r="HH2352" s="73"/>
      <c r="HI2352" s="73"/>
      <c r="HJ2352" s="73"/>
      <c r="HK2352" s="73"/>
      <c r="HL2352" s="73"/>
      <c r="HM2352" s="73"/>
      <c r="HN2352" s="73"/>
      <c r="HO2352" s="73"/>
      <c r="HP2352" s="73"/>
      <c r="HQ2352" s="73"/>
      <c r="HR2352" s="73"/>
      <c r="HS2352" s="73"/>
      <c r="HT2352" s="73"/>
      <c r="HU2352" s="73"/>
      <c r="HV2352" s="73"/>
      <c r="HW2352" s="73"/>
      <c r="HX2352" s="73"/>
      <c r="HY2352" s="73"/>
      <c r="HZ2352" s="73"/>
      <c r="IA2352" s="73"/>
      <c r="IB2352" s="73"/>
      <c r="IC2352" s="73"/>
      <c r="ID2352" s="73"/>
      <c r="IE2352" s="73"/>
      <c r="IF2352" s="73"/>
      <c r="IG2352" s="73"/>
      <c r="IH2352" s="73"/>
      <c r="II2352" s="73"/>
      <c r="IJ2352" s="73"/>
      <c r="IK2352" s="73"/>
      <c r="IL2352" s="73"/>
      <c r="IM2352" s="73"/>
      <c r="IN2352" s="73"/>
      <c r="IO2352" s="73"/>
      <c r="IP2352" s="73"/>
      <c r="IQ2352" s="73"/>
      <c r="IR2352" s="73"/>
      <c r="IS2352" s="73"/>
      <c r="IT2352" s="73"/>
      <c r="IU2352" s="73"/>
      <c r="IV2352" s="73"/>
      <c r="IW2352" s="73"/>
      <c r="IX2352" s="73"/>
      <c r="IY2352" s="73"/>
      <c r="IZ2352" s="73"/>
      <c r="JA2352" s="73"/>
      <c r="JB2352" s="73"/>
      <c r="JC2352" s="73"/>
    </row>
    <row r="2353" spans="2:263" s="72" customFormat="1">
      <c r="B2353" s="73"/>
      <c r="C2353" s="73"/>
      <c r="D2353" s="73"/>
      <c r="E2353" s="73"/>
      <c r="F2353" s="73"/>
      <c r="G2353" s="73"/>
      <c r="H2353" s="73"/>
      <c r="I2353" s="73"/>
      <c r="J2353" s="73"/>
      <c r="K2353" s="73"/>
      <c r="L2353" s="73"/>
      <c r="M2353" s="73"/>
      <c r="N2353" s="73"/>
      <c r="O2353" s="73"/>
      <c r="P2353" s="73"/>
      <c r="Q2353" s="73"/>
      <c r="R2353" s="73"/>
      <c r="S2353" s="73"/>
      <c r="T2353" s="73"/>
      <c r="U2353" s="73"/>
      <c r="V2353" s="73"/>
      <c r="W2353" s="73"/>
      <c r="GL2353" s="73"/>
      <c r="GM2353" s="73"/>
      <c r="GN2353" s="73"/>
      <c r="GO2353" s="73"/>
      <c r="GP2353" s="73"/>
      <c r="GQ2353" s="73"/>
      <c r="GR2353" s="73"/>
      <c r="GS2353" s="73"/>
      <c r="GT2353" s="73"/>
      <c r="GU2353" s="73"/>
      <c r="GV2353" s="73"/>
      <c r="GW2353" s="73"/>
      <c r="GX2353" s="73"/>
      <c r="GY2353" s="73"/>
      <c r="GZ2353" s="73"/>
      <c r="HA2353" s="73"/>
      <c r="HB2353" s="73"/>
      <c r="HC2353" s="73"/>
      <c r="HD2353" s="73"/>
      <c r="HE2353" s="73"/>
      <c r="HF2353" s="73"/>
      <c r="HG2353" s="73"/>
      <c r="HH2353" s="73"/>
      <c r="HI2353" s="73"/>
      <c r="HJ2353" s="73"/>
      <c r="HK2353" s="73"/>
      <c r="HL2353" s="73"/>
      <c r="HM2353" s="73"/>
      <c r="HN2353" s="73"/>
      <c r="HO2353" s="73"/>
      <c r="HP2353" s="73"/>
      <c r="HQ2353" s="73"/>
      <c r="HR2353" s="73"/>
      <c r="HS2353" s="73"/>
      <c r="HT2353" s="73"/>
      <c r="HU2353" s="73"/>
      <c r="HV2353" s="73"/>
      <c r="HW2353" s="73"/>
      <c r="HX2353" s="73"/>
      <c r="HY2353" s="73"/>
      <c r="HZ2353" s="73"/>
      <c r="IA2353" s="73"/>
      <c r="IB2353" s="73"/>
      <c r="IC2353" s="73"/>
      <c r="ID2353" s="73"/>
      <c r="IE2353" s="73"/>
      <c r="IF2353" s="73"/>
      <c r="IG2353" s="73"/>
      <c r="IH2353" s="73"/>
      <c r="II2353" s="73"/>
      <c r="IJ2353" s="73"/>
      <c r="IK2353" s="73"/>
      <c r="IL2353" s="73"/>
      <c r="IM2353" s="73"/>
      <c r="IN2353" s="73"/>
      <c r="IO2353" s="73"/>
      <c r="IP2353" s="73"/>
      <c r="IQ2353" s="73"/>
      <c r="IR2353" s="73"/>
      <c r="IS2353" s="73"/>
      <c r="IT2353" s="73"/>
      <c r="IU2353" s="73"/>
      <c r="IV2353" s="73"/>
      <c r="IW2353" s="73"/>
      <c r="IX2353" s="73"/>
      <c r="IY2353" s="73"/>
      <c r="IZ2353" s="73"/>
      <c r="JA2353" s="73"/>
      <c r="JB2353" s="73"/>
      <c r="JC2353" s="73"/>
    </row>
    <row r="2354" spans="2:263" s="72" customFormat="1">
      <c r="B2354" s="73"/>
      <c r="C2354" s="73"/>
      <c r="D2354" s="73"/>
      <c r="E2354" s="73"/>
      <c r="F2354" s="73"/>
      <c r="G2354" s="73"/>
      <c r="H2354" s="73"/>
      <c r="I2354" s="73"/>
      <c r="J2354" s="73"/>
      <c r="K2354" s="73"/>
      <c r="L2354" s="73"/>
      <c r="M2354" s="73"/>
      <c r="N2354" s="73"/>
      <c r="O2354" s="73"/>
      <c r="P2354" s="73"/>
      <c r="Q2354" s="73"/>
      <c r="R2354" s="73"/>
      <c r="S2354" s="73"/>
      <c r="T2354" s="73"/>
      <c r="U2354" s="73"/>
      <c r="V2354" s="73"/>
      <c r="W2354" s="73"/>
      <c r="GL2354" s="73"/>
      <c r="GM2354" s="73"/>
      <c r="GN2354" s="73"/>
      <c r="GO2354" s="73"/>
      <c r="GP2354" s="73"/>
      <c r="GQ2354" s="73"/>
      <c r="GR2354" s="73"/>
      <c r="GS2354" s="73"/>
      <c r="GT2354" s="73"/>
      <c r="GU2354" s="73"/>
      <c r="GV2354" s="73"/>
      <c r="GW2354" s="73"/>
      <c r="GX2354" s="73"/>
      <c r="GY2354" s="73"/>
      <c r="GZ2354" s="73"/>
      <c r="HA2354" s="73"/>
      <c r="HB2354" s="73"/>
      <c r="HC2354" s="73"/>
      <c r="HD2354" s="73"/>
      <c r="HE2354" s="73"/>
      <c r="HF2354" s="73"/>
      <c r="HG2354" s="73"/>
      <c r="HH2354" s="73"/>
      <c r="HI2354" s="73"/>
      <c r="HJ2354" s="73"/>
      <c r="HK2354" s="73"/>
      <c r="HL2354" s="73"/>
      <c r="HM2354" s="73"/>
      <c r="HN2354" s="73"/>
      <c r="HO2354" s="73"/>
      <c r="HP2354" s="73"/>
      <c r="HQ2354" s="73"/>
      <c r="HR2354" s="73"/>
      <c r="HS2354" s="73"/>
      <c r="HT2354" s="73"/>
      <c r="HU2354" s="73"/>
      <c r="HV2354" s="73"/>
      <c r="HW2354" s="73"/>
      <c r="HX2354" s="73"/>
      <c r="HY2354" s="73"/>
      <c r="HZ2354" s="73"/>
      <c r="IA2354" s="73"/>
      <c r="IB2354" s="73"/>
      <c r="IC2354" s="73"/>
      <c r="ID2354" s="73"/>
      <c r="IE2354" s="73"/>
      <c r="IF2354" s="73"/>
      <c r="IG2354" s="73"/>
      <c r="IH2354" s="73"/>
      <c r="II2354" s="73"/>
      <c r="IJ2354" s="73"/>
      <c r="IK2354" s="73"/>
      <c r="IL2354" s="73"/>
      <c r="IM2354" s="73"/>
      <c r="IN2354" s="73"/>
      <c r="IO2354" s="73"/>
      <c r="IP2354" s="73"/>
      <c r="IQ2354" s="73"/>
      <c r="IR2354" s="73"/>
      <c r="IS2354" s="73"/>
      <c r="IT2354" s="73"/>
      <c r="IU2354" s="73"/>
      <c r="IV2354" s="73"/>
      <c r="IW2354" s="73"/>
      <c r="IX2354" s="73"/>
      <c r="IY2354" s="73"/>
      <c r="IZ2354" s="73"/>
      <c r="JA2354" s="73"/>
      <c r="JB2354" s="73"/>
      <c r="JC2354" s="73"/>
    </row>
    <row r="2355" spans="2:263" s="72" customFormat="1">
      <c r="B2355" s="73"/>
      <c r="C2355" s="73"/>
      <c r="D2355" s="73"/>
      <c r="E2355" s="73"/>
      <c r="F2355" s="73"/>
      <c r="G2355" s="73"/>
      <c r="H2355" s="73"/>
      <c r="I2355" s="73"/>
      <c r="J2355" s="73"/>
      <c r="K2355" s="73"/>
      <c r="L2355" s="73"/>
      <c r="M2355" s="73"/>
      <c r="N2355" s="73"/>
      <c r="O2355" s="73"/>
      <c r="P2355" s="73"/>
      <c r="Q2355" s="73"/>
      <c r="R2355" s="73"/>
      <c r="S2355" s="73"/>
      <c r="T2355" s="73"/>
      <c r="U2355" s="73"/>
      <c r="V2355" s="73"/>
      <c r="W2355" s="73"/>
      <c r="GL2355" s="73"/>
      <c r="GM2355" s="73"/>
      <c r="GN2355" s="73"/>
      <c r="GO2355" s="73"/>
      <c r="GP2355" s="73"/>
      <c r="GQ2355" s="73"/>
      <c r="GR2355" s="73"/>
      <c r="GS2355" s="73"/>
      <c r="GT2355" s="73"/>
      <c r="GU2355" s="73"/>
      <c r="GV2355" s="73"/>
      <c r="GW2355" s="73"/>
      <c r="GX2355" s="73"/>
      <c r="GY2355" s="73"/>
      <c r="GZ2355" s="73"/>
      <c r="HA2355" s="73"/>
      <c r="HB2355" s="73"/>
      <c r="HC2355" s="73"/>
      <c r="HD2355" s="73"/>
      <c r="HE2355" s="73"/>
      <c r="HF2355" s="73"/>
      <c r="HG2355" s="73"/>
      <c r="HH2355" s="73"/>
      <c r="HI2355" s="73"/>
      <c r="HJ2355" s="73"/>
      <c r="HK2355" s="73"/>
      <c r="HL2355" s="73"/>
      <c r="HM2355" s="73"/>
      <c r="HN2355" s="73"/>
      <c r="HO2355" s="73"/>
      <c r="HP2355" s="73"/>
      <c r="HQ2355" s="73"/>
      <c r="HR2355" s="73"/>
      <c r="HS2355" s="73"/>
      <c r="HT2355" s="73"/>
      <c r="HU2355" s="73"/>
      <c r="HV2355" s="73"/>
      <c r="HW2355" s="73"/>
      <c r="HX2355" s="73"/>
      <c r="HY2355" s="73"/>
      <c r="HZ2355" s="73"/>
      <c r="IA2355" s="73"/>
      <c r="IB2355" s="73"/>
      <c r="IC2355" s="73"/>
      <c r="ID2355" s="73"/>
      <c r="IE2355" s="73"/>
      <c r="IF2355" s="73"/>
      <c r="IG2355" s="73"/>
      <c r="IH2355" s="73"/>
      <c r="II2355" s="73"/>
      <c r="IJ2355" s="73"/>
      <c r="IK2355" s="73"/>
      <c r="IL2355" s="73"/>
      <c r="IM2355" s="73"/>
      <c r="IN2355" s="73"/>
      <c r="IO2355" s="73"/>
      <c r="IP2355" s="73"/>
      <c r="IQ2355" s="73"/>
      <c r="IR2355" s="73"/>
      <c r="IS2355" s="73"/>
      <c r="IT2355" s="73"/>
      <c r="IU2355" s="73"/>
      <c r="IV2355" s="73"/>
      <c r="IW2355" s="73"/>
      <c r="IX2355" s="73"/>
      <c r="IY2355" s="73"/>
      <c r="IZ2355" s="73"/>
      <c r="JA2355" s="73"/>
      <c r="JB2355" s="73"/>
      <c r="JC2355" s="73"/>
    </row>
    <row r="2356" spans="2:263" s="72" customFormat="1">
      <c r="B2356" s="73"/>
      <c r="C2356" s="73"/>
      <c r="D2356" s="73"/>
      <c r="E2356" s="73"/>
      <c r="F2356" s="73"/>
      <c r="G2356" s="73"/>
      <c r="H2356" s="73"/>
      <c r="I2356" s="73"/>
      <c r="J2356" s="73"/>
      <c r="K2356" s="73"/>
      <c r="L2356" s="73"/>
      <c r="M2356" s="73"/>
      <c r="N2356" s="73"/>
      <c r="O2356" s="73"/>
      <c r="P2356" s="73"/>
      <c r="Q2356" s="73"/>
      <c r="R2356" s="73"/>
      <c r="S2356" s="73"/>
      <c r="T2356" s="73"/>
      <c r="U2356" s="73"/>
      <c r="V2356" s="73"/>
      <c r="W2356" s="73"/>
      <c r="GL2356" s="73"/>
      <c r="GM2356" s="73"/>
      <c r="GN2356" s="73"/>
      <c r="GO2356" s="73"/>
      <c r="GP2356" s="73"/>
      <c r="GQ2356" s="73"/>
      <c r="GR2356" s="73"/>
      <c r="GS2356" s="73"/>
      <c r="GT2356" s="73"/>
      <c r="GU2356" s="73"/>
      <c r="GV2356" s="73"/>
      <c r="GW2356" s="73"/>
      <c r="GX2356" s="73"/>
      <c r="GY2356" s="73"/>
      <c r="GZ2356" s="73"/>
      <c r="HA2356" s="73"/>
      <c r="HB2356" s="73"/>
      <c r="HC2356" s="73"/>
      <c r="HD2356" s="73"/>
      <c r="HE2356" s="73"/>
      <c r="HF2356" s="73"/>
      <c r="HG2356" s="73"/>
      <c r="HH2356" s="73"/>
      <c r="HI2356" s="73"/>
      <c r="HJ2356" s="73"/>
      <c r="HK2356" s="73"/>
      <c r="HL2356" s="73"/>
      <c r="HM2356" s="73"/>
      <c r="HN2356" s="73"/>
      <c r="HO2356" s="73"/>
      <c r="HP2356" s="73"/>
      <c r="HQ2356" s="73"/>
      <c r="HR2356" s="73"/>
      <c r="HS2356" s="73"/>
      <c r="HT2356" s="73"/>
      <c r="HU2356" s="73"/>
      <c r="HV2356" s="73"/>
      <c r="HW2356" s="73"/>
      <c r="HX2356" s="73"/>
      <c r="HY2356" s="73"/>
      <c r="HZ2356" s="73"/>
      <c r="IA2356" s="73"/>
      <c r="IB2356" s="73"/>
      <c r="IC2356" s="73"/>
      <c r="ID2356" s="73"/>
      <c r="IE2356" s="73"/>
      <c r="IF2356" s="73"/>
      <c r="IG2356" s="73"/>
      <c r="IH2356" s="73"/>
      <c r="II2356" s="73"/>
      <c r="IJ2356" s="73"/>
      <c r="IK2356" s="73"/>
      <c r="IL2356" s="73"/>
      <c r="IM2356" s="73"/>
      <c r="IN2356" s="73"/>
      <c r="IO2356" s="73"/>
      <c r="IP2356" s="73"/>
      <c r="IQ2356" s="73"/>
      <c r="IR2356" s="73"/>
      <c r="IS2356" s="73"/>
      <c r="IT2356" s="73"/>
      <c r="IU2356" s="73"/>
      <c r="IV2356" s="73"/>
      <c r="IW2356" s="73"/>
      <c r="IX2356" s="73"/>
      <c r="IY2356" s="73"/>
      <c r="IZ2356" s="73"/>
      <c r="JA2356" s="73"/>
      <c r="JB2356" s="73"/>
      <c r="JC2356" s="73"/>
    </row>
    <row r="2357" spans="2:263" s="72" customFormat="1">
      <c r="B2357" s="73"/>
      <c r="C2357" s="73"/>
      <c r="D2357" s="73"/>
      <c r="E2357" s="73"/>
      <c r="F2357" s="73"/>
      <c r="G2357" s="73"/>
      <c r="H2357" s="73"/>
      <c r="I2357" s="73"/>
      <c r="J2357" s="73"/>
      <c r="K2357" s="73"/>
      <c r="L2357" s="73"/>
      <c r="M2357" s="73"/>
      <c r="N2357" s="73"/>
      <c r="O2357" s="73"/>
      <c r="P2357" s="73"/>
      <c r="Q2357" s="73"/>
      <c r="R2357" s="73"/>
      <c r="S2357" s="73"/>
      <c r="T2357" s="73"/>
      <c r="U2357" s="73"/>
      <c r="V2357" s="73"/>
      <c r="W2357" s="73"/>
      <c r="GL2357" s="73"/>
      <c r="GM2357" s="73"/>
      <c r="GN2357" s="73"/>
      <c r="GO2357" s="73"/>
      <c r="GP2357" s="73"/>
      <c r="GQ2357" s="73"/>
      <c r="GR2357" s="73"/>
      <c r="GS2357" s="73"/>
      <c r="GT2357" s="73"/>
      <c r="GU2357" s="73"/>
      <c r="GV2357" s="73"/>
      <c r="GW2357" s="73"/>
      <c r="GX2357" s="73"/>
      <c r="GY2357" s="73"/>
      <c r="GZ2357" s="73"/>
      <c r="HA2357" s="73"/>
      <c r="HB2357" s="73"/>
      <c r="HC2357" s="73"/>
      <c r="HD2357" s="73"/>
      <c r="HE2357" s="73"/>
      <c r="HF2357" s="73"/>
      <c r="HG2357" s="73"/>
      <c r="HH2357" s="73"/>
      <c r="HI2357" s="73"/>
      <c r="HJ2357" s="73"/>
      <c r="HK2357" s="73"/>
      <c r="HL2357" s="73"/>
      <c r="HM2357" s="73"/>
      <c r="HN2357" s="73"/>
      <c r="HO2357" s="73"/>
      <c r="HP2357" s="73"/>
      <c r="HQ2357" s="73"/>
      <c r="HR2357" s="73"/>
      <c r="HS2357" s="73"/>
      <c r="HT2357" s="73"/>
      <c r="HU2357" s="73"/>
      <c r="HV2357" s="73"/>
      <c r="HW2357" s="73"/>
      <c r="HX2357" s="73"/>
      <c r="HY2357" s="73"/>
      <c r="HZ2357" s="73"/>
      <c r="IA2357" s="73"/>
      <c r="IB2357" s="73"/>
      <c r="IC2357" s="73"/>
      <c r="ID2357" s="73"/>
      <c r="IE2357" s="73"/>
      <c r="IF2357" s="73"/>
      <c r="IG2357" s="73"/>
      <c r="IH2357" s="73"/>
      <c r="II2357" s="73"/>
      <c r="IJ2357" s="73"/>
      <c r="IK2357" s="73"/>
      <c r="IL2357" s="73"/>
      <c r="IM2357" s="73"/>
      <c r="IN2357" s="73"/>
      <c r="IO2357" s="73"/>
      <c r="IP2357" s="73"/>
      <c r="IQ2357" s="73"/>
      <c r="IR2357" s="73"/>
      <c r="IS2357" s="73"/>
      <c r="IT2357" s="73"/>
      <c r="IU2357" s="73"/>
      <c r="IV2357" s="73"/>
      <c r="IW2357" s="73"/>
      <c r="IX2357" s="73"/>
      <c r="IY2357" s="73"/>
      <c r="IZ2357" s="73"/>
      <c r="JA2357" s="73"/>
      <c r="JB2357" s="73"/>
      <c r="JC2357" s="73"/>
    </row>
    <row r="2358" spans="2:263" s="72" customFormat="1">
      <c r="B2358" s="73"/>
      <c r="C2358" s="73"/>
      <c r="D2358" s="73"/>
      <c r="E2358" s="73"/>
      <c r="F2358" s="73"/>
      <c r="G2358" s="73"/>
      <c r="H2358" s="73"/>
      <c r="I2358" s="73"/>
      <c r="J2358" s="73"/>
      <c r="K2358" s="73"/>
      <c r="L2358" s="73"/>
      <c r="M2358" s="73"/>
      <c r="N2358" s="73"/>
      <c r="O2358" s="73"/>
      <c r="P2358" s="73"/>
      <c r="Q2358" s="73"/>
      <c r="R2358" s="73"/>
      <c r="S2358" s="73"/>
      <c r="T2358" s="73"/>
      <c r="U2358" s="73"/>
      <c r="V2358" s="73"/>
      <c r="W2358" s="73"/>
      <c r="GL2358" s="73"/>
      <c r="GM2358" s="73"/>
      <c r="GN2358" s="73"/>
      <c r="GO2358" s="73"/>
      <c r="GP2358" s="73"/>
      <c r="GQ2358" s="73"/>
      <c r="GR2358" s="73"/>
      <c r="GS2358" s="73"/>
      <c r="GT2358" s="73"/>
      <c r="GU2358" s="73"/>
      <c r="GV2358" s="73"/>
      <c r="GW2358" s="73"/>
      <c r="GX2358" s="73"/>
      <c r="GY2358" s="73"/>
      <c r="GZ2358" s="73"/>
      <c r="HA2358" s="73"/>
      <c r="HB2358" s="73"/>
      <c r="HC2358" s="73"/>
      <c r="HD2358" s="73"/>
      <c r="HE2358" s="73"/>
      <c r="HF2358" s="73"/>
      <c r="HG2358" s="73"/>
      <c r="HH2358" s="73"/>
      <c r="HI2358" s="73"/>
      <c r="HJ2358" s="73"/>
      <c r="HK2358" s="73"/>
      <c r="HL2358" s="73"/>
      <c r="HM2358" s="73"/>
      <c r="HN2358" s="73"/>
      <c r="HO2358" s="73"/>
      <c r="HP2358" s="73"/>
      <c r="HQ2358" s="73"/>
      <c r="HR2358" s="73"/>
      <c r="HS2358" s="73"/>
      <c r="HT2358" s="73"/>
      <c r="HU2358" s="73"/>
      <c r="HV2358" s="73"/>
      <c r="HW2358" s="73"/>
      <c r="HX2358" s="73"/>
      <c r="HY2358" s="73"/>
      <c r="HZ2358" s="73"/>
      <c r="IA2358" s="73"/>
      <c r="IB2358" s="73"/>
      <c r="IC2358" s="73"/>
      <c r="ID2358" s="73"/>
      <c r="IE2358" s="73"/>
      <c r="IF2358" s="73"/>
      <c r="IG2358" s="73"/>
      <c r="IH2358" s="73"/>
      <c r="II2358" s="73"/>
      <c r="IJ2358" s="73"/>
      <c r="IK2358" s="73"/>
      <c r="IL2358" s="73"/>
      <c r="IM2358" s="73"/>
      <c r="IN2358" s="73"/>
      <c r="IO2358" s="73"/>
      <c r="IP2358" s="73"/>
      <c r="IQ2358" s="73"/>
      <c r="IR2358" s="73"/>
      <c r="IS2358" s="73"/>
      <c r="IT2358" s="73"/>
      <c r="IU2358" s="73"/>
      <c r="IV2358" s="73"/>
      <c r="IW2358" s="73"/>
      <c r="IX2358" s="73"/>
      <c r="IY2358" s="73"/>
      <c r="IZ2358" s="73"/>
      <c r="JA2358" s="73"/>
      <c r="JB2358" s="73"/>
      <c r="JC2358" s="73"/>
    </row>
    <row r="2359" spans="2:263" s="72" customFormat="1">
      <c r="B2359" s="73"/>
      <c r="C2359" s="73"/>
      <c r="D2359" s="73"/>
      <c r="E2359" s="73"/>
      <c r="F2359" s="73"/>
      <c r="G2359" s="73"/>
      <c r="H2359" s="73"/>
      <c r="I2359" s="73"/>
      <c r="J2359" s="73"/>
      <c r="K2359" s="73"/>
      <c r="L2359" s="73"/>
      <c r="M2359" s="73"/>
      <c r="N2359" s="73"/>
      <c r="O2359" s="73"/>
      <c r="P2359" s="73"/>
      <c r="Q2359" s="73"/>
      <c r="R2359" s="73"/>
      <c r="S2359" s="73"/>
      <c r="T2359" s="73"/>
      <c r="U2359" s="73"/>
      <c r="V2359" s="73"/>
      <c r="W2359" s="73"/>
      <c r="GL2359" s="73"/>
      <c r="GM2359" s="73"/>
      <c r="GN2359" s="73"/>
      <c r="GO2359" s="73"/>
      <c r="GP2359" s="73"/>
      <c r="GQ2359" s="73"/>
      <c r="GR2359" s="73"/>
      <c r="GS2359" s="73"/>
      <c r="GT2359" s="73"/>
      <c r="GU2359" s="73"/>
      <c r="GV2359" s="73"/>
      <c r="GW2359" s="73"/>
      <c r="GX2359" s="73"/>
      <c r="GY2359" s="73"/>
      <c r="GZ2359" s="73"/>
      <c r="HA2359" s="73"/>
      <c r="HB2359" s="73"/>
      <c r="HC2359" s="73"/>
      <c r="HD2359" s="73"/>
      <c r="HE2359" s="73"/>
      <c r="HF2359" s="73"/>
      <c r="HG2359" s="73"/>
      <c r="HH2359" s="73"/>
      <c r="HI2359" s="73"/>
      <c r="HJ2359" s="73"/>
      <c r="HK2359" s="73"/>
      <c r="HL2359" s="73"/>
      <c r="HM2359" s="73"/>
      <c r="HN2359" s="73"/>
      <c r="HO2359" s="73"/>
      <c r="HP2359" s="73"/>
      <c r="HQ2359" s="73"/>
      <c r="HR2359" s="73"/>
      <c r="HS2359" s="73"/>
      <c r="HT2359" s="73"/>
      <c r="HU2359" s="73"/>
      <c r="HV2359" s="73"/>
      <c r="HW2359" s="73"/>
      <c r="HX2359" s="73"/>
      <c r="HY2359" s="73"/>
      <c r="HZ2359" s="73"/>
      <c r="IA2359" s="73"/>
      <c r="IB2359" s="73"/>
      <c r="IC2359" s="73"/>
      <c r="ID2359" s="73"/>
      <c r="IE2359" s="73"/>
      <c r="IF2359" s="73"/>
      <c r="IG2359" s="73"/>
      <c r="IH2359" s="73"/>
      <c r="II2359" s="73"/>
      <c r="IJ2359" s="73"/>
      <c r="IK2359" s="73"/>
      <c r="IL2359" s="73"/>
      <c r="IM2359" s="73"/>
      <c r="IN2359" s="73"/>
      <c r="IO2359" s="73"/>
      <c r="IP2359" s="73"/>
      <c r="IQ2359" s="73"/>
      <c r="IR2359" s="73"/>
      <c r="IS2359" s="73"/>
      <c r="IT2359" s="73"/>
      <c r="IU2359" s="73"/>
      <c r="IV2359" s="73"/>
      <c r="IW2359" s="73"/>
      <c r="IX2359" s="73"/>
      <c r="IY2359" s="73"/>
      <c r="IZ2359" s="73"/>
      <c r="JA2359" s="73"/>
      <c r="JB2359" s="73"/>
      <c r="JC2359" s="73"/>
    </row>
    <row r="2360" spans="2:263" s="72" customFormat="1">
      <c r="B2360" s="73"/>
      <c r="C2360" s="73"/>
      <c r="D2360" s="73"/>
      <c r="E2360" s="73"/>
      <c r="F2360" s="73"/>
      <c r="G2360" s="73"/>
      <c r="H2360" s="73"/>
      <c r="I2360" s="73"/>
      <c r="J2360" s="73"/>
      <c r="K2360" s="73"/>
      <c r="L2360" s="73"/>
      <c r="M2360" s="73"/>
      <c r="N2360" s="73"/>
      <c r="O2360" s="73"/>
      <c r="P2360" s="73"/>
      <c r="Q2360" s="73"/>
      <c r="R2360" s="73"/>
      <c r="S2360" s="73"/>
      <c r="T2360" s="73"/>
      <c r="U2360" s="73"/>
      <c r="V2360" s="73"/>
      <c r="W2360" s="73"/>
      <c r="GL2360" s="73"/>
      <c r="GM2360" s="73"/>
      <c r="GN2360" s="73"/>
      <c r="GO2360" s="73"/>
      <c r="GP2360" s="73"/>
      <c r="GQ2360" s="73"/>
      <c r="GR2360" s="73"/>
      <c r="GS2360" s="73"/>
      <c r="GT2360" s="73"/>
      <c r="GU2360" s="73"/>
      <c r="GV2360" s="73"/>
      <c r="GW2360" s="73"/>
      <c r="GX2360" s="73"/>
      <c r="GY2360" s="73"/>
      <c r="GZ2360" s="73"/>
      <c r="HA2360" s="73"/>
      <c r="HB2360" s="73"/>
      <c r="HC2360" s="73"/>
      <c r="HD2360" s="73"/>
      <c r="HE2360" s="73"/>
      <c r="HF2360" s="73"/>
      <c r="HG2360" s="73"/>
      <c r="HH2360" s="73"/>
      <c r="HI2360" s="73"/>
      <c r="HJ2360" s="73"/>
      <c r="HK2360" s="73"/>
      <c r="HL2360" s="73"/>
      <c r="HM2360" s="73"/>
      <c r="HN2360" s="73"/>
      <c r="HO2360" s="73"/>
      <c r="HP2360" s="73"/>
      <c r="HQ2360" s="73"/>
      <c r="HR2360" s="73"/>
      <c r="HS2360" s="73"/>
      <c r="HT2360" s="73"/>
      <c r="HU2360" s="73"/>
      <c r="HV2360" s="73"/>
      <c r="HW2360" s="73"/>
      <c r="HX2360" s="73"/>
      <c r="HY2360" s="73"/>
      <c r="HZ2360" s="73"/>
      <c r="IA2360" s="73"/>
      <c r="IB2360" s="73"/>
      <c r="IC2360" s="73"/>
      <c r="ID2360" s="73"/>
      <c r="IE2360" s="73"/>
      <c r="IF2360" s="73"/>
      <c r="IG2360" s="73"/>
      <c r="IH2360" s="73"/>
      <c r="II2360" s="73"/>
      <c r="IJ2360" s="73"/>
      <c r="IK2360" s="73"/>
      <c r="IL2360" s="73"/>
      <c r="IM2360" s="73"/>
      <c r="IN2360" s="73"/>
      <c r="IO2360" s="73"/>
      <c r="IP2360" s="73"/>
      <c r="IQ2360" s="73"/>
      <c r="IR2360" s="73"/>
      <c r="IS2360" s="73"/>
      <c r="IT2360" s="73"/>
      <c r="IU2360" s="73"/>
      <c r="IV2360" s="73"/>
      <c r="IW2360" s="73"/>
      <c r="IX2360" s="73"/>
      <c r="IY2360" s="73"/>
      <c r="IZ2360" s="73"/>
      <c r="JA2360" s="73"/>
      <c r="JB2360" s="73"/>
      <c r="JC2360" s="73"/>
    </row>
    <row r="2361" spans="2:263" s="72" customFormat="1">
      <c r="B2361" s="73"/>
      <c r="C2361" s="73"/>
      <c r="D2361" s="73"/>
      <c r="E2361" s="73"/>
      <c r="F2361" s="73"/>
      <c r="G2361" s="73"/>
      <c r="H2361" s="73"/>
      <c r="I2361" s="73"/>
      <c r="J2361" s="73"/>
      <c r="K2361" s="73"/>
      <c r="L2361" s="73"/>
      <c r="M2361" s="73"/>
      <c r="N2361" s="73"/>
      <c r="O2361" s="73"/>
      <c r="P2361" s="73"/>
      <c r="Q2361" s="73"/>
      <c r="R2361" s="73"/>
      <c r="S2361" s="73"/>
      <c r="T2361" s="73"/>
      <c r="U2361" s="73"/>
      <c r="V2361" s="73"/>
      <c r="W2361" s="73"/>
      <c r="GL2361" s="73"/>
      <c r="GM2361" s="73"/>
      <c r="GN2361" s="73"/>
      <c r="GO2361" s="73"/>
      <c r="GP2361" s="73"/>
      <c r="GQ2361" s="73"/>
      <c r="GR2361" s="73"/>
      <c r="GS2361" s="73"/>
      <c r="GT2361" s="73"/>
      <c r="GU2361" s="73"/>
      <c r="GV2361" s="73"/>
      <c r="GW2361" s="73"/>
      <c r="GX2361" s="73"/>
      <c r="GY2361" s="73"/>
      <c r="GZ2361" s="73"/>
      <c r="HA2361" s="73"/>
      <c r="HB2361" s="73"/>
      <c r="HC2361" s="73"/>
      <c r="HD2361" s="73"/>
      <c r="HE2361" s="73"/>
      <c r="HF2361" s="73"/>
      <c r="HG2361" s="73"/>
      <c r="HH2361" s="73"/>
      <c r="HI2361" s="73"/>
      <c r="HJ2361" s="73"/>
      <c r="HK2361" s="73"/>
      <c r="HL2361" s="73"/>
      <c r="HM2361" s="73"/>
      <c r="HN2361" s="73"/>
      <c r="HO2361" s="73"/>
      <c r="HP2361" s="73"/>
      <c r="HQ2361" s="73"/>
      <c r="HR2361" s="73"/>
      <c r="HS2361" s="73"/>
      <c r="HT2361" s="73"/>
      <c r="HU2361" s="73"/>
      <c r="HV2361" s="73"/>
      <c r="HW2361" s="73"/>
      <c r="HX2361" s="73"/>
      <c r="HY2361" s="73"/>
      <c r="HZ2361" s="73"/>
      <c r="IA2361" s="73"/>
      <c r="IB2361" s="73"/>
      <c r="IC2361" s="73"/>
      <c r="ID2361" s="73"/>
      <c r="IE2361" s="73"/>
      <c r="IF2361" s="73"/>
      <c r="IG2361" s="73"/>
      <c r="IH2361" s="73"/>
      <c r="II2361" s="73"/>
      <c r="IJ2361" s="73"/>
      <c r="IK2361" s="73"/>
      <c r="IL2361" s="73"/>
      <c r="IM2361" s="73"/>
      <c r="IN2361" s="73"/>
      <c r="IO2361" s="73"/>
      <c r="IP2361" s="73"/>
      <c r="IQ2361" s="73"/>
      <c r="IR2361" s="73"/>
      <c r="IS2361" s="73"/>
      <c r="IT2361" s="73"/>
      <c r="IU2361" s="73"/>
      <c r="IV2361" s="73"/>
      <c r="IW2361" s="73"/>
      <c r="IX2361" s="73"/>
      <c r="IY2361" s="73"/>
      <c r="IZ2361" s="73"/>
      <c r="JA2361" s="73"/>
      <c r="JB2361" s="73"/>
      <c r="JC2361" s="73"/>
    </row>
    <row r="2362" spans="2:263" s="72" customFormat="1">
      <c r="B2362" s="73"/>
      <c r="C2362" s="73"/>
      <c r="D2362" s="73"/>
      <c r="E2362" s="73"/>
      <c r="F2362" s="73"/>
      <c r="G2362" s="73"/>
      <c r="H2362" s="73"/>
      <c r="I2362" s="73"/>
      <c r="J2362" s="73"/>
      <c r="K2362" s="73"/>
      <c r="L2362" s="73"/>
      <c r="M2362" s="73"/>
      <c r="N2362" s="73"/>
      <c r="O2362" s="73"/>
      <c r="P2362" s="73"/>
      <c r="Q2362" s="73"/>
      <c r="R2362" s="73"/>
      <c r="S2362" s="73"/>
      <c r="T2362" s="73"/>
      <c r="U2362" s="73"/>
      <c r="V2362" s="73"/>
      <c r="W2362" s="73"/>
      <c r="GL2362" s="73"/>
      <c r="GM2362" s="73"/>
      <c r="GN2362" s="73"/>
      <c r="GO2362" s="73"/>
      <c r="GP2362" s="73"/>
      <c r="GQ2362" s="73"/>
      <c r="GR2362" s="73"/>
      <c r="GS2362" s="73"/>
      <c r="GT2362" s="73"/>
      <c r="GU2362" s="73"/>
      <c r="GV2362" s="73"/>
      <c r="GW2362" s="73"/>
      <c r="GX2362" s="73"/>
      <c r="GY2362" s="73"/>
      <c r="GZ2362" s="73"/>
      <c r="HA2362" s="73"/>
      <c r="HB2362" s="73"/>
      <c r="HC2362" s="73"/>
      <c r="HD2362" s="73"/>
      <c r="HE2362" s="73"/>
      <c r="HF2362" s="73"/>
      <c r="HG2362" s="73"/>
      <c r="HH2362" s="73"/>
      <c r="HI2362" s="73"/>
      <c r="HJ2362" s="73"/>
      <c r="HK2362" s="73"/>
      <c r="HL2362" s="73"/>
      <c r="HM2362" s="73"/>
      <c r="HN2362" s="73"/>
      <c r="HO2362" s="73"/>
      <c r="HP2362" s="73"/>
      <c r="HQ2362" s="73"/>
      <c r="HR2362" s="73"/>
      <c r="HS2362" s="73"/>
      <c r="HT2362" s="73"/>
      <c r="HU2362" s="73"/>
      <c r="HV2362" s="73"/>
      <c r="HW2362" s="73"/>
      <c r="HX2362" s="73"/>
      <c r="HY2362" s="73"/>
      <c r="HZ2362" s="73"/>
      <c r="IA2362" s="73"/>
      <c r="IB2362" s="73"/>
      <c r="IC2362" s="73"/>
      <c r="ID2362" s="73"/>
      <c r="IE2362" s="73"/>
      <c r="IF2362" s="73"/>
      <c r="IG2362" s="73"/>
      <c r="IH2362" s="73"/>
      <c r="II2362" s="73"/>
      <c r="IJ2362" s="73"/>
      <c r="IK2362" s="73"/>
      <c r="IL2362" s="73"/>
      <c r="IM2362" s="73"/>
      <c r="IN2362" s="73"/>
      <c r="IO2362" s="73"/>
      <c r="IP2362" s="73"/>
      <c r="IQ2362" s="73"/>
      <c r="IR2362" s="73"/>
      <c r="IS2362" s="73"/>
      <c r="IT2362" s="73"/>
      <c r="IU2362" s="73"/>
      <c r="IV2362" s="73"/>
      <c r="IW2362" s="73"/>
      <c r="IX2362" s="73"/>
      <c r="IY2362" s="73"/>
      <c r="IZ2362" s="73"/>
      <c r="JA2362" s="73"/>
      <c r="JB2362" s="73"/>
      <c r="JC2362" s="73"/>
    </row>
    <row r="2363" spans="2:263" s="72" customFormat="1">
      <c r="B2363" s="73"/>
      <c r="C2363" s="73"/>
      <c r="D2363" s="73"/>
      <c r="E2363" s="73"/>
      <c r="F2363" s="73"/>
      <c r="G2363" s="73"/>
      <c r="H2363" s="73"/>
      <c r="I2363" s="73"/>
      <c r="J2363" s="73"/>
      <c r="K2363" s="73"/>
      <c r="L2363" s="73"/>
      <c r="M2363" s="73"/>
      <c r="N2363" s="73"/>
      <c r="O2363" s="73"/>
      <c r="P2363" s="73"/>
      <c r="Q2363" s="73"/>
      <c r="R2363" s="73"/>
      <c r="S2363" s="73"/>
      <c r="T2363" s="73"/>
      <c r="U2363" s="73"/>
      <c r="V2363" s="73"/>
      <c r="W2363" s="73"/>
      <c r="GL2363" s="73"/>
      <c r="GM2363" s="73"/>
      <c r="GN2363" s="73"/>
      <c r="GO2363" s="73"/>
      <c r="GP2363" s="73"/>
      <c r="GQ2363" s="73"/>
      <c r="GR2363" s="73"/>
      <c r="GS2363" s="73"/>
      <c r="GT2363" s="73"/>
      <c r="GU2363" s="73"/>
      <c r="GV2363" s="73"/>
      <c r="GW2363" s="73"/>
      <c r="GX2363" s="73"/>
      <c r="GY2363" s="73"/>
      <c r="GZ2363" s="73"/>
      <c r="HA2363" s="73"/>
      <c r="HB2363" s="73"/>
      <c r="HC2363" s="73"/>
      <c r="HD2363" s="73"/>
      <c r="HE2363" s="73"/>
      <c r="HF2363" s="73"/>
      <c r="HG2363" s="73"/>
      <c r="HH2363" s="73"/>
      <c r="HI2363" s="73"/>
      <c r="HJ2363" s="73"/>
      <c r="HK2363" s="73"/>
      <c r="HL2363" s="73"/>
      <c r="HM2363" s="73"/>
      <c r="HN2363" s="73"/>
      <c r="HO2363" s="73"/>
      <c r="HP2363" s="73"/>
      <c r="HQ2363" s="73"/>
      <c r="HR2363" s="73"/>
      <c r="HS2363" s="73"/>
      <c r="HT2363" s="73"/>
      <c r="HU2363" s="73"/>
      <c r="HV2363" s="73"/>
      <c r="HW2363" s="73"/>
      <c r="HX2363" s="73"/>
      <c r="HY2363" s="73"/>
      <c r="HZ2363" s="73"/>
      <c r="IA2363" s="73"/>
      <c r="IB2363" s="73"/>
      <c r="IC2363" s="73"/>
      <c r="ID2363" s="73"/>
      <c r="IE2363" s="73"/>
      <c r="IF2363" s="73"/>
      <c r="IG2363" s="73"/>
      <c r="IH2363" s="73"/>
      <c r="II2363" s="73"/>
      <c r="IJ2363" s="73"/>
      <c r="IK2363" s="73"/>
      <c r="IL2363" s="73"/>
      <c r="IM2363" s="73"/>
      <c r="IN2363" s="73"/>
      <c r="IO2363" s="73"/>
      <c r="IP2363" s="73"/>
      <c r="IQ2363" s="73"/>
      <c r="IR2363" s="73"/>
      <c r="IS2363" s="73"/>
      <c r="IT2363" s="73"/>
      <c r="IU2363" s="73"/>
      <c r="IV2363" s="73"/>
      <c r="IW2363" s="73"/>
      <c r="IX2363" s="73"/>
      <c r="IY2363" s="73"/>
      <c r="IZ2363" s="73"/>
      <c r="JA2363" s="73"/>
      <c r="JB2363" s="73"/>
      <c r="JC2363" s="73"/>
    </row>
    <row r="2364" spans="2:263" s="72" customFormat="1">
      <c r="B2364" s="73"/>
      <c r="C2364" s="73"/>
      <c r="D2364" s="73"/>
      <c r="E2364" s="73"/>
      <c r="F2364" s="73"/>
      <c r="G2364" s="73"/>
      <c r="H2364" s="73"/>
      <c r="I2364" s="73"/>
      <c r="J2364" s="73"/>
      <c r="K2364" s="73"/>
      <c r="L2364" s="73"/>
      <c r="M2364" s="73"/>
      <c r="N2364" s="73"/>
      <c r="O2364" s="73"/>
      <c r="P2364" s="73"/>
      <c r="Q2364" s="73"/>
      <c r="R2364" s="73"/>
      <c r="S2364" s="73"/>
      <c r="T2364" s="73"/>
      <c r="U2364" s="73"/>
      <c r="V2364" s="73"/>
      <c r="W2364" s="73"/>
      <c r="GL2364" s="73"/>
      <c r="GM2364" s="73"/>
      <c r="GN2364" s="73"/>
      <c r="GO2364" s="73"/>
      <c r="GP2364" s="73"/>
      <c r="GQ2364" s="73"/>
      <c r="GR2364" s="73"/>
      <c r="GS2364" s="73"/>
      <c r="GT2364" s="73"/>
      <c r="GU2364" s="73"/>
      <c r="GV2364" s="73"/>
      <c r="GW2364" s="73"/>
      <c r="GX2364" s="73"/>
      <c r="GY2364" s="73"/>
      <c r="GZ2364" s="73"/>
      <c r="HA2364" s="73"/>
      <c r="HB2364" s="73"/>
      <c r="HC2364" s="73"/>
      <c r="HD2364" s="73"/>
      <c r="HE2364" s="73"/>
      <c r="HF2364" s="73"/>
      <c r="HG2364" s="73"/>
      <c r="HH2364" s="73"/>
      <c r="HI2364" s="73"/>
      <c r="HJ2364" s="73"/>
      <c r="HK2364" s="73"/>
      <c r="HL2364" s="73"/>
      <c r="HM2364" s="73"/>
      <c r="HN2364" s="73"/>
      <c r="HO2364" s="73"/>
      <c r="HP2364" s="73"/>
      <c r="HQ2364" s="73"/>
      <c r="HR2364" s="73"/>
      <c r="HS2364" s="73"/>
      <c r="HT2364" s="73"/>
      <c r="HU2364" s="73"/>
      <c r="HV2364" s="73"/>
      <c r="HW2364" s="73"/>
      <c r="HX2364" s="73"/>
      <c r="HY2364" s="73"/>
      <c r="HZ2364" s="73"/>
      <c r="IA2364" s="73"/>
      <c r="IB2364" s="73"/>
      <c r="IC2364" s="73"/>
      <c r="ID2364" s="73"/>
      <c r="IE2364" s="73"/>
      <c r="IF2364" s="73"/>
      <c r="IG2364" s="73"/>
      <c r="IH2364" s="73"/>
      <c r="II2364" s="73"/>
      <c r="IJ2364" s="73"/>
      <c r="IK2364" s="73"/>
      <c r="IL2364" s="73"/>
      <c r="IM2364" s="73"/>
      <c r="IN2364" s="73"/>
      <c r="IO2364" s="73"/>
      <c r="IP2364" s="73"/>
      <c r="IQ2364" s="73"/>
      <c r="IR2364" s="73"/>
      <c r="IS2364" s="73"/>
      <c r="IT2364" s="73"/>
      <c r="IU2364" s="73"/>
      <c r="IV2364" s="73"/>
      <c r="IW2364" s="73"/>
      <c r="IX2364" s="73"/>
      <c r="IY2364" s="73"/>
      <c r="IZ2364" s="73"/>
      <c r="JA2364" s="73"/>
      <c r="JB2364" s="73"/>
      <c r="JC2364" s="73"/>
    </row>
    <row r="2365" spans="2:263" s="72" customFormat="1">
      <c r="B2365" s="73"/>
      <c r="C2365" s="73"/>
      <c r="D2365" s="73"/>
      <c r="E2365" s="73"/>
      <c r="F2365" s="73"/>
      <c r="G2365" s="73"/>
      <c r="H2365" s="73"/>
      <c r="I2365" s="73"/>
      <c r="J2365" s="73"/>
      <c r="K2365" s="73"/>
      <c r="L2365" s="73"/>
      <c r="M2365" s="73"/>
      <c r="N2365" s="73"/>
      <c r="O2365" s="73"/>
      <c r="P2365" s="73"/>
      <c r="Q2365" s="73"/>
      <c r="R2365" s="73"/>
      <c r="S2365" s="73"/>
      <c r="T2365" s="73"/>
      <c r="U2365" s="73"/>
      <c r="V2365" s="73"/>
      <c r="W2365" s="73"/>
      <c r="GL2365" s="73"/>
      <c r="GM2365" s="73"/>
      <c r="GN2365" s="73"/>
      <c r="GO2365" s="73"/>
      <c r="GP2365" s="73"/>
      <c r="GQ2365" s="73"/>
      <c r="GR2365" s="73"/>
      <c r="GS2365" s="73"/>
      <c r="GT2365" s="73"/>
      <c r="GU2365" s="73"/>
      <c r="GV2365" s="73"/>
      <c r="GW2365" s="73"/>
      <c r="GX2365" s="73"/>
      <c r="GY2365" s="73"/>
      <c r="GZ2365" s="73"/>
      <c r="HA2365" s="73"/>
      <c r="HB2365" s="73"/>
      <c r="HC2365" s="73"/>
      <c r="HD2365" s="73"/>
      <c r="HE2365" s="73"/>
      <c r="HF2365" s="73"/>
      <c r="HG2365" s="73"/>
      <c r="HH2365" s="73"/>
      <c r="HI2365" s="73"/>
      <c r="HJ2365" s="73"/>
      <c r="HK2365" s="73"/>
      <c r="HL2365" s="73"/>
      <c r="HM2365" s="73"/>
      <c r="HN2365" s="73"/>
      <c r="HO2365" s="73"/>
      <c r="HP2365" s="73"/>
      <c r="HQ2365" s="73"/>
      <c r="HR2365" s="73"/>
      <c r="HS2365" s="73"/>
      <c r="HT2365" s="73"/>
      <c r="HU2365" s="73"/>
      <c r="HV2365" s="73"/>
      <c r="HW2365" s="73"/>
      <c r="HX2365" s="73"/>
      <c r="HY2365" s="73"/>
      <c r="HZ2365" s="73"/>
      <c r="IA2365" s="73"/>
      <c r="IB2365" s="73"/>
      <c r="IC2365" s="73"/>
      <c r="ID2365" s="73"/>
      <c r="IE2365" s="73"/>
      <c r="IF2365" s="73"/>
      <c r="IG2365" s="73"/>
      <c r="IH2365" s="73"/>
      <c r="II2365" s="73"/>
      <c r="IJ2365" s="73"/>
      <c r="IK2365" s="73"/>
      <c r="IL2365" s="73"/>
      <c r="IM2365" s="73"/>
      <c r="IN2365" s="73"/>
      <c r="IO2365" s="73"/>
      <c r="IP2365" s="73"/>
      <c r="IQ2365" s="73"/>
      <c r="IR2365" s="73"/>
      <c r="IS2365" s="73"/>
      <c r="IT2365" s="73"/>
      <c r="IU2365" s="73"/>
      <c r="IV2365" s="73"/>
      <c r="IW2365" s="73"/>
      <c r="IX2365" s="73"/>
      <c r="IY2365" s="73"/>
      <c r="IZ2365" s="73"/>
      <c r="JA2365" s="73"/>
      <c r="JB2365" s="73"/>
      <c r="JC2365" s="73"/>
    </row>
    <row r="2366" spans="2:263" s="72" customFormat="1">
      <c r="B2366" s="73"/>
      <c r="C2366" s="73"/>
      <c r="D2366" s="73"/>
      <c r="E2366" s="73"/>
      <c r="F2366" s="73"/>
      <c r="G2366" s="73"/>
      <c r="H2366" s="73"/>
      <c r="I2366" s="73"/>
      <c r="J2366" s="73"/>
      <c r="K2366" s="73"/>
      <c r="L2366" s="73"/>
      <c r="M2366" s="73"/>
      <c r="N2366" s="73"/>
      <c r="O2366" s="73"/>
      <c r="P2366" s="73"/>
      <c r="Q2366" s="73"/>
      <c r="R2366" s="73"/>
      <c r="S2366" s="73"/>
      <c r="T2366" s="73"/>
      <c r="U2366" s="73"/>
      <c r="V2366" s="73"/>
      <c r="W2366" s="73"/>
      <c r="GL2366" s="73"/>
      <c r="GM2366" s="73"/>
      <c r="GN2366" s="73"/>
      <c r="GO2366" s="73"/>
      <c r="GP2366" s="73"/>
      <c r="GQ2366" s="73"/>
      <c r="GR2366" s="73"/>
      <c r="GS2366" s="73"/>
      <c r="GT2366" s="73"/>
      <c r="GU2366" s="73"/>
      <c r="GV2366" s="73"/>
      <c r="GW2366" s="73"/>
      <c r="GX2366" s="73"/>
      <c r="GY2366" s="73"/>
      <c r="GZ2366" s="73"/>
      <c r="HA2366" s="73"/>
      <c r="HB2366" s="73"/>
      <c r="HC2366" s="73"/>
      <c r="HD2366" s="73"/>
      <c r="HE2366" s="73"/>
      <c r="HF2366" s="73"/>
      <c r="HG2366" s="73"/>
      <c r="HH2366" s="73"/>
      <c r="HI2366" s="73"/>
      <c r="HJ2366" s="73"/>
      <c r="HK2366" s="73"/>
      <c r="HL2366" s="73"/>
      <c r="HM2366" s="73"/>
      <c r="HN2366" s="73"/>
      <c r="HO2366" s="73"/>
      <c r="HP2366" s="73"/>
      <c r="HQ2366" s="73"/>
      <c r="HR2366" s="73"/>
      <c r="HS2366" s="73"/>
      <c r="HT2366" s="73"/>
      <c r="HU2366" s="73"/>
      <c r="HV2366" s="73"/>
      <c r="HW2366" s="73"/>
      <c r="HX2366" s="73"/>
      <c r="HY2366" s="73"/>
      <c r="HZ2366" s="73"/>
      <c r="IA2366" s="73"/>
      <c r="IB2366" s="73"/>
      <c r="IC2366" s="73"/>
      <c r="ID2366" s="73"/>
      <c r="IE2366" s="73"/>
      <c r="IF2366" s="73"/>
      <c r="IG2366" s="73"/>
      <c r="IH2366" s="73"/>
      <c r="II2366" s="73"/>
      <c r="IJ2366" s="73"/>
      <c r="IK2366" s="73"/>
      <c r="IL2366" s="73"/>
      <c r="IM2366" s="73"/>
      <c r="IN2366" s="73"/>
      <c r="IO2366" s="73"/>
      <c r="IP2366" s="73"/>
      <c r="IQ2366" s="73"/>
      <c r="IR2366" s="73"/>
      <c r="IS2366" s="73"/>
      <c r="IT2366" s="73"/>
      <c r="IU2366" s="73"/>
      <c r="IV2366" s="73"/>
      <c r="IW2366" s="73"/>
      <c r="IX2366" s="73"/>
      <c r="IY2366" s="73"/>
      <c r="IZ2366" s="73"/>
      <c r="JA2366" s="73"/>
      <c r="JB2366" s="73"/>
      <c r="JC2366" s="73"/>
    </row>
    <row r="2367" spans="2:263" s="72" customFormat="1">
      <c r="B2367" s="73"/>
      <c r="C2367" s="73"/>
      <c r="D2367" s="73"/>
      <c r="E2367" s="73"/>
      <c r="F2367" s="73"/>
      <c r="G2367" s="73"/>
      <c r="H2367" s="73"/>
      <c r="I2367" s="73"/>
      <c r="J2367" s="73"/>
      <c r="K2367" s="73"/>
      <c r="L2367" s="73"/>
      <c r="M2367" s="73"/>
      <c r="N2367" s="73"/>
      <c r="O2367" s="73"/>
      <c r="P2367" s="73"/>
      <c r="Q2367" s="73"/>
      <c r="R2367" s="73"/>
      <c r="S2367" s="73"/>
      <c r="T2367" s="73"/>
      <c r="U2367" s="73"/>
      <c r="V2367" s="73"/>
      <c r="W2367" s="73"/>
      <c r="GL2367" s="73"/>
      <c r="GM2367" s="73"/>
      <c r="GN2367" s="73"/>
      <c r="GO2367" s="73"/>
      <c r="GP2367" s="73"/>
      <c r="GQ2367" s="73"/>
      <c r="GR2367" s="73"/>
      <c r="GS2367" s="73"/>
      <c r="GT2367" s="73"/>
      <c r="GU2367" s="73"/>
      <c r="GV2367" s="73"/>
      <c r="GW2367" s="73"/>
      <c r="GX2367" s="73"/>
      <c r="GY2367" s="73"/>
      <c r="GZ2367" s="73"/>
      <c r="HA2367" s="73"/>
      <c r="HB2367" s="73"/>
      <c r="HC2367" s="73"/>
      <c r="HD2367" s="73"/>
      <c r="HE2367" s="73"/>
      <c r="HF2367" s="73"/>
      <c r="HG2367" s="73"/>
      <c r="HH2367" s="73"/>
      <c r="HI2367" s="73"/>
      <c r="HJ2367" s="73"/>
      <c r="HK2367" s="73"/>
      <c r="HL2367" s="73"/>
      <c r="HM2367" s="73"/>
      <c r="HN2367" s="73"/>
      <c r="HO2367" s="73"/>
      <c r="HP2367" s="73"/>
      <c r="HQ2367" s="73"/>
      <c r="HR2367" s="73"/>
      <c r="HS2367" s="73"/>
      <c r="HT2367" s="73"/>
      <c r="HU2367" s="73"/>
      <c r="HV2367" s="73"/>
      <c r="HW2367" s="73"/>
      <c r="HX2367" s="73"/>
      <c r="HY2367" s="73"/>
      <c r="HZ2367" s="73"/>
      <c r="IA2367" s="73"/>
      <c r="IB2367" s="73"/>
      <c r="IC2367" s="73"/>
      <c r="ID2367" s="73"/>
      <c r="IE2367" s="73"/>
      <c r="IF2367" s="73"/>
      <c r="IG2367" s="73"/>
      <c r="IH2367" s="73"/>
      <c r="II2367" s="73"/>
      <c r="IJ2367" s="73"/>
      <c r="IK2367" s="73"/>
      <c r="IL2367" s="73"/>
      <c r="IM2367" s="73"/>
      <c r="IN2367" s="73"/>
      <c r="IO2367" s="73"/>
      <c r="IP2367" s="73"/>
      <c r="IQ2367" s="73"/>
      <c r="IR2367" s="73"/>
      <c r="IS2367" s="73"/>
      <c r="IT2367" s="73"/>
      <c r="IU2367" s="73"/>
      <c r="IV2367" s="73"/>
      <c r="IW2367" s="73"/>
      <c r="IX2367" s="73"/>
      <c r="IY2367" s="73"/>
      <c r="IZ2367" s="73"/>
      <c r="JA2367" s="73"/>
      <c r="JB2367" s="73"/>
      <c r="JC2367" s="73"/>
    </row>
    <row r="2368" spans="2:263" s="72" customFormat="1">
      <c r="B2368" s="73"/>
      <c r="C2368" s="73"/>
      <c r="D2368" s="73"/>
      <c r="E2368" s="73"/>
      <c r="F2368" s="73"/>
      <c r="G2368" s="73"/>
      <c r="H2368" s="73"/>
      <c r="I2368" s="73"/>
      <c r="J2368" s="73"/>
      <c r="K2368" s="73"/>
      <c r="L2368" s="73"/>
      <c r="M2368" s="73"/>
      <c r="N2368" s="73"/>
      <c r="O2368" s="73"/>
      <c r="P2368" s="73"/>
      <c r="Q2368" s="73"/>
      <c r="R2368" s="73"/>
      <c r="S2368" s="73"/>
      <c r="T2368" s="73"/>
      <c r="U2368" s="73"/>
      <c r="V2368" s="73"/>
      <c r="W2368" s="73"/>
      <c r="GL2368" s="73"/>
      <c r="GM2368" s="73"/>
      <c r="GN2368" s="73"/>
      <c r="GO2368" s="73"/>
      <c r="GP2368" s="73"/>
      <c r="GQ2368" s="73"/>
      <c r="GR2368" s="73"/>
      <c r="GS2368" s="73"/>
      <c r="GT2368" s="73"/>
      <c r="GU2368" s="73"/>
      <c r="GV2368" s="73"/>
      <c r="GW2368" s="73"/>
      <c r="GX2368" s="73"/>
      <c r="GY2368" s="73"/>
      <c r="GZ2368" s="73"/>
      <c r="HA2368" s="73"/>
      <c r="HB2368" s="73"/>
      <c r="HC2368" s="73"/>
      <c r="HD2368" s="73"/>
      <c r="HE2368" s="73"/>
      <c r="HF2368" s="73"/>
      <c r="HG2368" s="73"/>
      <c r="HH2368" s="73"/>
      <c r="HI2368" s="73"/>
      <c r="HJ2368" s="73"/>
      <c r="HK2368" s="73"/>
      <c r="HL2368" s="73"/>
      <c r="HM2368" s="73"/>
      <c r="HN2368" s="73"/>
      <c r="HO2368" s="73"/>
      <c r="HP2368" s="73"/>
      <c r="HQ2368" s="73"/>
      <c r="HR2368" s="73"/>
      <c r="HS2368" s="73"/>
      <c r="HT2368" s="73"/>
      <c r="HU2368" s="73"/>
      <c r="HV2368" s="73"/>
      <c r="HW2368" s="73"/>
      <c r="HX2368" s="73"/>
      <c r="HY2368" s="73"/>
      <c r="HZ2368" s="73"/>
      <c r="IA2368" s="73"/>
      <c r="IB2368" s="73"/>
      <c r="IC2368" s="73"/>
      <c r="ID2368" s="73"/>
      <c r="IE2368" s="73"/>
      <c r="IF2368" s="73"/>
      <c r="IG2368" s="73"/>
      <c r="IH2368" s="73"/>
      <c r="II2368" s="73"/>
      <c r="IJ2368" s="73"/>
      <c r="IK2368" s="73"/>
      <c r="IL2368" s="73"/>
      <c r="IM2368" s="73"/>
      <c r="IN2368" s="73"/>
      <c r="IO2368" s="73"/>
      <c r="IP2368" s="73"/>
      <c r="IQ2368" s="73"/>
      <c r="IR2368" s="73"/>
      <c r="IS2368" s="73"/>
      <c r="IT2368" s="73"/>
      <c r="IU2368" s="73"/>
      <c r="IV2368" s="73"/>
      <c r="IW2368" s="73"/>
      <c r="IX2368" s="73"/>
      <c r="IY2368" s="73"/>
      <c r="IZ2368" s="73"/>
      <c r="JA2368" s="73"/>
      <c r="JB2368" s="73"/>
      <c r="JC2368" s="73"/>
    </row>
    <row r="2369" spans="2:263" s="72" customFormat="1">
      <c r="B2369" s="73"/>
      <c r="C2369" s="73"/>
      <c r="D2369" s="73"/>
      <c r="E2369" s="73"/>
      <c r="F2369" s="73"/>
      <c r="G2369" s="73"/>
      <c r="H2369" s="73"/>
      <c r="I2369" s="73"/>
      <c r="J2369" s="73"/>
      <c r="K2369" s="73"/>
      <c r="L2369" s="73"/>
      <c r="M2369" s="73"/>
      <c r="N2369" s="73"/>
      <c r="O2369" s="73"/>
      <c r="P2369" s="73"/>
      <c r="Q2369" s="73"/>
      <c r="R2369" s="73"/>
      <c r="S2369" s="73"/>
      <c r="T2369" s="73"/>
      <c r="U2369" s="73"/>
      <c r="V2369" s="73"/>
      <c r="W2369" s="73"/>
      <c r="GL2369" s="73"/>
      <c r="GM2369" s="73"/>
      <c r="GN2369" s="73"/>
      <c r="GO2369" s="73"/>
      <c r="GP2369" s="73"/>
      <c r="GQ2369" s="73"/>
      <c r="GR2369" s="73"/>
      <c r="GS2369" s="73"/>
      <c r="GT2369" s="73"/>
      <c r="GU2369" s="73"/>
      <c r="GV2369" s="73"/>
      <c r="GW2369" s="73"/>
      <c r="GX2369" s="73"/>
      <c r="GY2369" s="73"/>
      <c r="GZ2369" s="73"/>
      <c r="HA2369" s="73"/>
      <c r="HB2369" s="73"/>
      <c r="HC2369" s="73"/>
      <c r="HD2369" s="73"/>
      <c r="HE2369" s="73"/>
      <c r="HF2369" s="73"/>
      <c r="HG2369" s="73"/>
      <c r="HH2369" s="73"/>
      <c r="HI2369" s="73"/>
      <c r="HJ2369" s="73"/>
      <c r="HK2369" s="73"/>
      <c r="HL2369" s="73"/>
      <c r="HM2369" s="73"/>
      <c r="HN2369" s="73"/>
      <c r="HO2369" s="73"/>
      <c r="HP2369" s="73"/>
      <c r="HQ2369" s="73"/>
      <c r="HR2369" s="73"/>
      <c r="HS2369" s="73"/>
      <c r="HT2369" s="73"/>
      <c r="HU2369" s="73"/>
      <c r="HV2369" s="73"/>
      <c r="HW2369" s="73"/>
      <c r="HX2369" s="73"/>
      <c r="HY2369" s="73"/>
      <c r="HZ2369" s="73"/>
      <c r="IA2369" s="73"/>
      <c r="IB2369" s="73"/>
      <c r="IC2369" s="73"/>
      <c r="ID2369" s="73"/>
      <c r="IE2369" s="73"/>
      <c r="IF2369" s="73"/>
      <c r="IG2369" s="73"/>
      <c r="IH2369" s="73"/>
      <c r="II2369" s="73"/>
      <c r="IJ2369" s="73"/>
      <c r="IK2369" s="73"/>
      <c r="IL2369" s="73"/>
      <c r="IM2369" s="73"/>
      <c r="IN2369" s="73"/>
      <c r="IO2369" s="73"/>
      <c r="IP2369" s="73"/>
      <c r="IQ2369" s="73"/>
      <c r="IR2369" s="73"/>
      <c r="IS2369" s="73"/>
      <c r="IT2369" s="73"/>
      <c r="IU2369" s="73"/>
      <c r="IV2369" s="73"/>
      <c r="IW2369" s="73"/>
      <c r="IX2369" s="73"/>
      <c r="IY2369" s="73"/>
      <c r="IZ2369" s="73"/>
      <c r="JA2369" s="73"/>
      <c r="JB2369" s="73"/>
      <c r="JC2369" s="73"/>
    </row>
    <row r="2370" spans="2:263" s="72" customFormat="1">
      <c r="B2370" s="73"/>
      <c r="C2370" s="73"/>
      <c r="D2370" s="73"/>
      <c r="E2370" s="73"/>
      <c r="F2370" s="73"/>
      <c r="G2370" s="73"/>
      <c r="H2370" s="73"/>
      <c r="I2370" s="73"/>
      <c r="J2370" s="73"/>
      <c r="K2370" s="73"/>
      <c r="L2370" s="73"/>
      <c r="M2370" s="73"/>
      <c r="N2370" s="73"/>
      <c r="O2370" s="73"/>
      <c r="P2370" s="73"/>
      <c r="Q2370" s="73"/>
      <c r="R2370" s="73"/>
      <c r="S2370" s="73"/>
      <c r="T2370" s="73"/>
      <c r="U2370" s="73"/>
      <c r="V2370" s="73"/>
      <c r="W2370" s="73"/>
      <c r="GL2370" s="73"/>
      <c r="GM2370" s="73"/>
      <c r="GN2370" s="73"/>
      <c r="GO2370" s="73"/>
      <c r="GP2370" s="73"/>
      <c r="GQ2370" s="73"/>
      <c r="GR2370" s="73"/>
      <c r="GS2370" s="73"/>
      <c r="GT2370" s="73"/>
      <c r="GU2370" s="73"/>
      <c r="GV2370" s="73"/>
      <c r="GW2370" s="73"/>
      <c r="GX2370" s="73"/>
      <c r="GY2370" s="73"/>
      <c r="GZ2370" s="73"/>
      <c r="HA2370" s="73"/>
      <c r="HB2370" s="73"/>
      <c r="HC2370" s="73"/>
      <c r="HD2370" s="73"/>
      <c r="HE2370" s="73"/>
      <c r="HF2370" s="73"/>
      <c r="HG2370" s="73"/>
      <c r="HH2370" s="73"/>
      <c r="HI2370" s="73"/>
      <c r="HJ2370" s="73"/>
      <c r="HK2370" s="73"/>
      <c r="HL2370" s="73"/>
      <c r="HM2370" s="73"/>
      <c r="HN2370" s="73"/>
      <c r="HO2370" s="73"/>
      <c r="HP2370" s="73"/>
      <c r="HQ2370" s="73"/>
      <c r="HR2370" s="73"/>
      <c r="HS2370" s="73"/>
      <c r="HT2370" s="73"/>
      <c r="HU2370" s="73"/>
      <c r="HV2370" s="73"/>
      <c r="HW2370" s="73"/>
      <c r="HX2370" s="73"/>
      <c r="HY2370" s="73"/>
      <c r="HZ2370" s="73"/>
      <c r="IA2370" s="73"/>
      <c r="IB2370" s="73"/>
      <c r="IC2370" s="73"/>
      <c r="ID2370" s="73"/>
      <c r="IE2370" s="73"/>
      <c r="IF2370" s="73"/>
      <c r="IG2370" s="73"/>
      <c r="IH2370" s="73"/>
      <c r="II2370" s="73"/>
      <c r="IJ2370" s="73"/>
      <c r="IK2370" s="73"/>
      <c r="IL2370" s="73"/>
      <c r="IM2370" s="73"/>
      <c r="IN2370" s="73"/>
      <c r="IO2370" s="73"/>
      <c r="IP2370" s="73"/>
      <c r="IQ2370" s="73"/>
      <c r="IR2370" s="73"/>
      <c r="IS2370" s="73"/>
      <c r="IT2370" s="73"/>
      <c r="IU2370" s="73"/>
      <c r="IV2370" s="73"/>
      <c r="IW2370" s="73"/>
      <c r="IX2370" s="73"/>
      <c r="IY2370" s="73"/>
      <c r="IZ2370" s="73"/>
      <c r="JA2370" s="73"/>
      <c r="JB2370" s="73"/>
      <c r="JC2370" s="73"/>
    </row>
    <row r="2371" spans="2:263" s="72" customFormat="1">
      <c r="B2371" s="73"/>
      <c r="C2371" s="73"/>
      <c r="D2371" s="73"/>
      <c r="E2371" s="73"/>
      <c r="F2371" s="73"/>
      <c r="G2371" s="73"/>
      <c r="H2371" s="73"/>
      <c r="I2371" s="73"/>
      <c r="J2371" s="73"/>
      <c r="K2371" s="73"/>
      <c r="L2371" s="73"/>
      <c r="M2371" s="73"/>
      <c r="N2371" s="73"/>
      <c r="O2371" s="73"/>
      <c r="P2371" s="73"/>
      <c r="Q2371" s="73"/>
      <c r="R2371" s="73"/>
      <c r="S2371" s="73"/>
      <c r="T2371" s="73"/>
      <c r="U2371" s="73"/>
      <c r="V2371" s="73"/>
      <c r="W2371" s="73"/>
      <c r="GL2371" s="73"/>
      <c r="GM2371" s="73"/>
      <c r="GN2371" s="73"/>
      <c r="GO2371" s="73"/>
      <c r="GP2371" s="73"/>
      <c r="GQ2371" s="73"/>
      <c r="GR2371" s="73"/>
      <c r="GS2371" s="73"/>
      <c r="GT2371" s="73"/>
      <c r="GU2371" s="73"/>
      <c r="GV2371" s="73"/>
      <c r="GW2371" s="73"/>
      <c r="GX2371" s="73"/>
      <c r="GY2371" s="73"/>
      <c r="GZ2371" s="73"/>
      <c r="HA2371" s="73"/>
      <c r="HB2371" s="73"/>
      <c r="HC2371" s="73"/>
      <c r="HD2371" s="73"/>
      <c r="HE2371" s="73"/>
      <c r="HF2371" s="73"/>
      <c r="HG2371" s="73"/>
      <c r="HH2371" s="73"/>
      <c r="HI2371" s="73"/>
      <c r="HJ2371" s="73"/>
      <c r="HK2371" s="73"/>
      <c r="HL2371" s="73"/>
      <c r="HM2371" s="73"/>
      <c r="HN2371" s="73"/>
      <c r="HO2371" s="73"/>
      <c r="HP2371" s="73"/>
      <c r="HQ2371" s="73"/>
      <c r="HR2371" s="73"/>
      <c r="HS2371" s="73"/>
      <c r="HT2371" s="73"/>
      <c r="HU2371" s="73"/>
      <c r="HV2371" s="73"/>
      <c r="HW2371" s="73"/>
      <c r="HX2371" s="73"/>
      <c r="HY2371" s="73"/>
      <c r="HZ2371" s="73"/>
      <c r="IA2371" s="73"/>
      <c r="IB2371" s="73"/>
      <c r="IC2371" s="73"/>
      <c r="ID2371" s="73"/>
      <c r="IE2371" s="73"/>
      <c r="IF2371" s="73"/>
      <c r="IG2371" s="73"/>
      <c r="IH2371" s="73"/>
      <c r="II2371" s="73"/>
      <c r="IJ2371" s="73"/>
      <c r="IK2371" s="73"/>
      <c r="IL2371" s="73"/>
      <c r="IM2371" s="73"/>
      <c r="IN2371" s="73"/>
      <c r="IO2371" s="73"/>
      <c r="IP2371" s="73"/>
      <c r="IQ2371" s="73"/>
      <c r="IR2371" s="73"/>
      <c r="IS2371" s="73"/>
      <c r="IT2371" s="73"/>
      <c r="IU2371" s="73"/>
      <c r="IV2371" s="73"/>
      <c r="IW2371" s="73"/>
      <c r="IX2371" s="73"/>
      <c r="IY2371" s="73"/>
      <c r="IZ2371" s="73"/>
      <c r="JA2371" s="73"/>
      <c r="JB2371" s="73"/>
      <c r="JC2371" s="73"/>
    </row>
    <row r="2372" spans="2:263" s="72" customFormat="1">
      <c r="B2372" s="73"/>
      <c r="C2372" s="73"/>
      <c r="D2372" s="73"/>
      <c r="E2372" s="73"/>
      <c r="F2372" s="73"/>
      <c r="G2372" s="73"/>
      <c r="H2372" s="73"/>
      <c r="I2372" s="73"/>
      <c r="J2372" s="73"/>
      <c r="K2372" s="73"/>
      <c r="L2372" s="73"/>
      <c r="M2372" s="73"/>
      <c r="N2372" s="73"/>
      <c r="O2372" s="73"/>
      <c r="P2372" s="73"/>
      <c r="Q2372" s="73"/>
      <c r="R2372" s="73"/>
      <c r="S2372" s="73"/>
      <c r="T2372" s="73"/>
      <c r="U2372" s="73"/>
      <c r="V2372" s="73"/>
      <c r="W2372" s="73"/>
      <c r="GL2372" s="73"/>
      <c r="GM2372" s="73"/>
      <c r="GN2372" s="73"/>
      <c r="GO2372" s="73"/>
      <c r="GP2372" s="73"/>
      <c r="GQ2372" s="73"/>
      <c r="GR2372" s="73"/>
      <c r="GS2372" s="73"/>
      <c r="GT2372" s="73"/>
      <c r="GU2372" s="73"/>
      <c r="GV2372" s="73"/>
      <c r="GW2372" s="73"/>
      <c r="GX2372" s="73"/>
      <c r="GY2372" s="73"/>
      <c r="GZ2372" s="73"/>
      <c r="HA2372" s="73"/>
      <c r="HB2372" s="73"/>
      <c r="HC2372" s="73"/>
      <c r="HD2372" s="73"/>
      <c r="HE2372" s="73"/>
      <c r="HF2372" s="73"/>
      <c r="HG2372" s="73"/>
      <c r="HH2372" s="73"/>
      <c r="HI2372" s="73"/>
      <c r="HJ2372" s="73"/>
      <c r="HK2372" s="73"/>
      <c r="HL2372" s="73"/>
      <c r="HM2372" s="73"/>
      <c r="HN2372" s="73"/>
      <c r="HO2372" s="73"/>
      <c r="HP2372" s="73"/>
      <c r="HQ2372" s="73"/>
      <c r="HR2372" s="73"/>
      <c r="HS2372" s="73"/>
      <c r="HT2372" s="73"/>
      <c r="HU2372" s="73"/>
      <c r="HV2372" s="73"/>
      <c r="HW2372" s="73"/>
      <c r="HX2372" s="73"/>
      <c r="HY2372" s="73"/>
      <c r="HZ2372" s="73"/>
      <c r="IA2372" s="73"/>
      <c r="IB2372" s="73"/>
      <c r="IC2372" s="73"/>
      <c r="ID2372" s="73"/>
      <c r="IE2372" s="73"/>
      <c r="IF2372" s="73"/>
      <c r="IG2372" s="73"/>
      <c r="IH2372" s="73"/>
      <c r="II2372" s="73"/>
      <c r="IJ2372" s="73"/>
      <c r="IK2372" s="73"/>
      <c r="IL2372" s="73"/>
      <c r="IM2372" s="73"/>
      <c r="IN2372" s="73"/>
      <c r="IO2372" s="73"/>
      <c r="IP2372" s="73"/>
      <c r="IQ2372" s="73"/>
      <c r="IR2372" s="73"/>
      <c r="IS2372" s="73"/>
      <c r="IT2372" s="73"/>
      <c r="IU2372" s="73"/>
      <c r="IV2372" s="73"/>
      <c r="IW2372" s="73"/>
      <c r="IX2372" s="73"/>
      <c r="IY2372" s="73"/>
      <c r="IZ2372" s="73"/>
      <c r="JA2372" s="73"/>
      <c r="JB2372" s="73"/>
      <c r="JC2372" s="73"/>
    </row>
    <row r="2373" spans="2:263" s="72" customFormat="1">
      <c r="B2373" s="73"/>
      <c r="C2373" s="73"/>
      <c r="D2373" s="73"/>
      <c r="E2373" s="73"/>
      <c r="F2373" s="73"/>
      <c r="G2373" s="73"/>
      <c r="H2373" s="73"/>
      <c r="I2373" s="73"/>
      <c r="J2373" s="73"/>
      <c r="K2373" s="73"/>
      <c r="L2373" s="73"/>
      <c r="M2373" s="73"/>
      <c r="N2373" s="73"/>
      <c r="O2373" s="73"/>
      <c r="P2373" s="73"/>
      <c r="Q2373" s="73"/>
      <c r="R2373" s="73"/>
      <c r="S2373" s="73"/>
      <c r="T2373" s="73"/>
      <c r="U2373" s="73"/>
      <c r="V2373" s="73"/>
      <c r="W2373" s="73"/>
      <c r="GL2373" s="73"/>
      <c r="GM2373" s="73"/>
      <c r="GN2373" s="73"/>
      <c r="GO2373" s="73"/>
      <c r="GP2373" s="73"/>
      <c r="GQ2373" s="73"/>
      <c r="GR2373" s="73"/>
      <c r="GS2373" s="73"/>
      <c r="GT2373" s="73"/>
      <c r="GU2373" s="73"/>
      <c r="GV2373" s="73"/>
      <c r="GW2373" s="73"/>
      <c r="GX2373" s="73"/>
      <c r="GY2373" s="73"/>
      <c r="GZ2373" s="73"/>
      <c r="HA2373" s="73"/>
      <c r="HB2373" s="73"/>
      <c r="HC2373" s="73"/>
      <c r="HD2373" s="73"/>
      <c r="HE2373" s="73"/>
      <c r="HF2373" s="73"/>
      <c r="HG2373" s="73"/>
      <c r="HH2373" s="73"/>
      <c r="HI2373" s="73"/>
      <c r="HJ2373" s="73"/>
      <c r="HK2373" s="73"/>
      <c r="HL2373" s="73"/>
      <c r="HM2373" s="73"/>
      <c r="HN2373" s="73"/>
      <c r="HO2373" s="73"/>
      <c r="HP2373" s="73"/>
      <c r="HQ2373" s="73"/>
      <c r="HR2373" s="73"/>
      <c r="HS2373" s="73"/>
      <c r="HT2373" s="73"/>
      <c r="HU2373" s="73"/>
      <c r="HV2373" s="73"/>
      <c r="HW2373" s="73"/>
      <c r="HX2373" s="73"/>
      <c r="HY2373" s="73"/>
      <c r="HZ2373" s="73"/>
      <c r="IA2373" s="73"/>
      <c r="IB2373" s="73"/>
      <c r="IC2373" s="73"/>
      <c r="ID2373" s="73"/>
      <c r="IE2373" s="73"/>
      <c r="IF2373" s="73"/>
      <c r="IG2373" s="73"/>
      <c r="IH2373" s="73"/>
      <c r="II2373" s="73"/>
      <c r="IJ2373" s="73"/>
      <c r="IK2373" s="73"/>
      <c r="IL2373" s="73"/>
      <c r="IM2373" s="73"/>
      <c r="IN2373" s="73"/>
      <c r="IO2373" s="73"/>
      <c r="IP2373" s="73"/>
      <c r="IQ2373" s="73"/>
      <c r="IR2373" s="73"/>
      <c r="IS2373" s="73"/>
      <c r="IT2373" s="73"/>
      <c r="IU2373" s="73"/>
      <c r="IV2373" s="73"/>
      <c r="IW2373" s="73"/>
      <c r="IX2373" s="73"/>
      <c r="IY2373" s="73"/>
      <c r="IZ2373" s="73"/>
      <c r="JA2373" s="73"/>
      <c r="JB2373" s="73"/>
      <c r="JC2373" s="73"/>
    </row>
    <row r="2374" spans="2:263" s="72" customFormat="1">
      <c r="B2374" s="73"/>
      <c r="C2374" s="73"/>
      <c r="D2374" s="73"/>
      <c r="E2374" s="73"/>
      <c r="F2374" s="73"/>
      <c r="G2374" s="73"/>
      <c r="H2374" s="73"/>
      <c r="I2374" s="73"/>
      <c r="J2374" s="73"/>
      <c r="K2374" s="73"/>
      <c r="L2374" s="73"/>
      <c r="M2374" s="73"/>
      <c r="N2374" s="73"/>
      <c r="O2374" s="73"/>
      <c r="P2374" s="73"/>
      <c r="Q2374" s="73"/>
      <c r="R2374" s="73"/>
      <c r="S2374" s="73"/>
      <c r="T2374" s="73"/>
      <c r="U2374" s="73"/>
      <c r="V2374" s="73"/>
      <c r="W2374" s="73"/>
      <c r="GL2374" s="73"/>
      <c r="GM2374" s="73"/>
      <c r="GN2374" s="73"/>
      <c r="GO2374" s="73"/>
      <c r="GP2374" s="73"/>
      <c r="GQ2374" s="73"/>
      <c r="GR2374" s="73"/>
      <c r="GS2374" s="73"/>
      <c r="GT2374" s="73"/>
      <c r="GU2374" s="73"/>
      <c r="GV2374" s="73"/>
      <c r="GW2374" s="73"/>
      <c r="GX2374" s="73"/>
      <c r="GY2374" s="73"/>
      <c r="GZ2374" s="73"/>
      <c r="HA2374" s="73"/>
      <c r="HB2374" s="73"/>
      <c r="HC2374" s="73"/>
      <c r="HD2374" s="73"/>
      <c r="HE2374" s="73"/>
      <c r="HF2374" s="73"/>
      <c r="HG2374" s="73"/>
      <c r="HH2374" s="73"/>
      <c r="HI2374" s="73"/>
      <c r="HJ2374" s="73"/>
      <c r="HK2374" s="73"/>
      <c r="HL2374" s="73"/>
      <c r="HM2374" s="73"/>
      <c r="HN2374" s="73"/>
      <c r="HO2374" s="73"/>
      <c r="HP2374" s="73"/>
      <c r="HQ2374" s="73"/>
      <c r="HR2374" s="73"/>
      <c r="HS2374" s="73"/>
      <c r="HT2374" s="73"/>
      <c r="HU2374" s="73"/>
      <c r="HV2374" s="73"/>
      <c r="HW2374" s="73"/>
      <c r="HX2374" s="73"/>
      <c r="HY2374" s="73"/>
      <c r="HZ2374" s="73"/>
      <c r="IA2374" s="73"/>
      <c r="IB2374" s="73"/>
      <c r="IC2374" s="73"/>
      <c r="ID2374" s="73"/>
      <c r="IE2374" s="73"/>
      <c r="IF2374" s="73"/>
      <c r="IG2374" s="73"/>
      <c r="IH2374" s="73"/>
      <c r="II2374" s="73"/>
      <c r="IJ2374" s="73"/>
      <c r="IK2374" s="73"/>
      <c r="IL2374" s="73"/>
      <c r="IM2374" s="73"/>
      <c r="IN2374" s="73"/>
      <c r="IO2374" s="73"/>
      <c r="IP2374" s="73"/>
      <c r="IQ2374" s="73"/>
      <c r="IR2374" s="73"/>
      <c r="IS2374" s="73"/>
      <c r="IT2374" s="73"/>
      <c r="IU2374" s="73"/>
      <c r="IV2374" s="73"/>
      <c r="IW2374" s="73"/>
      <c r="IX2374" s="73"/>
      <c r="IY2374" s="73"/>
      <c r="IZ2374" s="73"/>
      <c r="JA2374" s="73"/>
      <c r="JB2374" s="73"/>
      <c r="JC2374" s="73"/>
    </row>
    <row r="2375" spans="2:263" s="72" customFormat="1">
      <c r="B2375" s="73"/>
      <c r="C2375" s="73"/>
      <c r="D2375" s="73"/>
      <c r="E2375" s="73"/>
      <c r="F2375" s="73"/>
      <c r="G2375" s="73"/>
      <c r="H2375" s="73"/>
      <c r="I2375" s="73"/>
      <c r="J2375" s="73"/>
      <c r="K2375" s="73"/>
      <c r="L2375" s="73"/>
      <c r="M2375" s="73"/>
      <c r="N2375" s="73"/>
      <c r="O2375" s="73"/>
      <c r="P2375" s="73"/>
      <c r="Q2375" s="73"/>
      <c r="R2375" s="73"/>
      <c r="S2375" s="73"/>
      <c r="T2375" s="73"/>
      <c r="U2375" s="73"/>
      <c r="V2375" s="73"/>
      <c r="W2375" s="73"/>
      <c r="GL2375" s="73"/>
      <c r="GM2375" s="73"/>
      <c r="GN2375" s="73"/>
      <c r="GO2375" s="73"/>
      <c r="GP2375" s="73"/>
      <c r="GQ2375" s="73"/>
      <c r="GR2375" s="73"/>
      <c r="GS2375" s="73"/>
      <c r="GT2375" s="73"/>
      <c r="GU2375" s="73"/>
      <c r="GV2375" s="73"/>
      <c r="GW2375" s="73"/>
      <c r="GX2375" s="73"/>
      <c r="GY2375" s="73"/>
      <c r="GZ2375" s="73"/>
      <c r="HA2375" s="73"/>
      <c r="HB2375" s="73"/>
      <c r="HC2375" s="73"/>
      <c r="HD2375" s="73"/>
      <c r="HE2375" s="73"/>
      <c r="HF2375" s="73"/>
      <c r="HG2375" s="73"/>
      <c r="HH2375" s="73"/>
      <c r="HI2375" s="73"/>
      <c r="HJ2375" s="73"/>
      <c r="HK2375" s="73"/>
      <c r="HL2375" s="73"/>
      <c r="HM2375" s="73"/>
      <c r="HN2375" s="73"/>
      <c r="HO2375" s="73"/>
      <c r="HP2375" s="73"/>
      <c r="HQ2375" s="73"/>
      <c r="HR2375" s="73"/>
      <c r="HS2375" s="73"/>
      <c r="HT2375" s="73"/>
      <c r="HU2375" s="73"/>
      <c r="HV2375" s="73"/>
      <c r="HW2375" s="73"/>
      <c r="HX2375" s="73"/>
      <c r="HY2375" s="73"/>
      <c r="HZ2375" s="73"/>
      <c r="IA2375" s="73"/>
      <c r="IB2375" s="73"/>
      <c r="IC2375" s="73"/>
      <c r="ID2375" s="73"/>
      <c r="IE2375" s="73"/>
      <c r="IF2375" s="73"/>
      <c r="IG2375" s="73"/>
      <c r="IH2375" s="73"/>
      <c r="II2375" s="73"/>
      <c r="IJ2375" s="73"/>
      <c r="IK2375" s="73"/>
      <c r="IL2375" s="73"/>
      <c r="IM2375" s="73"/>
      <c r="IN2375" s="73"/>
      <c r="IO2375" s="73"/>
      <c r="IP2375" s="73"/>
      <c r="IQ2375" s="73"/>
      <c r="IR2375" s="73"/>
      <c r="IS2375" s="73"/>
      <c r="IT2375" s="73"/>
      <c r="IU2375" s="73"/>
      <c r="IV2375" s="73"/>
      <c r="IW2375" s="73"/>
      <c r="IX2375" s="73"/>
      <c r="IY2375" s="73"/>
      <c r="IZ2375" s="73"/>
      <c r="JA2375" s="73"/>
      <c r="JB2375" s="73"/>
      <c r="JC2375" s="73"/>
    </row>
    <row r="2376" spans="2:263" s="72" customFormat="1">
      <c r="B2376" s="73"/>
      <c r="C2376" s="73"/>
      <c r="D2376" s="73"/>
      <c r="E2376" s="73"/>
      <c r="F2376" s="73"/>
      <c r="G2376" s="73"/>
      <c r="H2376" s="73"/>
      <c r="I2376" s="73"/>
      <c r="J2376" s="73"/>
      <c r="K2376" s="73"/>
      <c r="L2376" s="73"/>
      <c r="M2376" s="73"/>
      <c r="N2376" s="73"/>
      <c r="O2376" s="73"/>
      <c r="P2376" s="73"/>
      <c r="Q2376" s="73"/>
      <c r="R2376" s="73"/>
      <c r="S2376" s="73"/>
      <c r="T2376" s="73"/>
      <c r="U2376" s="73"/>
      <c r="V2376" s="73"/>
      <c r="W2376" s="73"/>
      <c r="GL2376" s="73"/>
      <c r="GM2376" s="73"/>
      <c r="GN2376" s="73"/>
      <c r="GO2376" s="73"/>
      <c r="GP2376" s="73"/>
      <c r="GQ2376" s="73"/>
      <c r="GR2376" s="73"/>
      <c r="GS2376" s="73"/>
      <c r="GT2376" s="73"/>
      <c r="GU2376" s="73"/>
      <c r="GV2376" s="73"/>
      <c r="GW2376" s="73"/>
      <c r="GX2376" s="73"/>
      <c r="GY2376" s="73"/>
      <c r="GZ2376" s="73"/>
      <c r="HA2376" s="73"/>
      <c r="HB2376" s="73"/>
      <c r="HC2376" s="73"/>
      <c r="HD2376" s="73"/>
      <c r="HE2376" s="73"/>
      <c r="HF2376" s="73"/>
      <c r="HG2376" s="73"/>
      <c r="HH2376" s="73"/>
      <c r="HI2376" s="73"/>
      <c r="HJ2376" s="73"/>
      <c r="HK2376" s="73"/>
      <c r="HL2376" s="73"/>
      <c r="HM2376" s="73"/>
      <c r="HN2376" s="73"/>
      <c r="HO2376" s="73"/>
      <c r="HP2376" s="73"/>
      <c r="HQ2376" s="73"/>
      <c r="HR2376" s="73"/>
      <c r="HS2376" s="73"/>
      <c r="HT2376" s="73"/>
      <c r="HU2376" s="73"/>
      <c r="HV2376" s="73"/>
      <c r="HW2376" s="73"/>
      <c r="HX2376" s="73"/>
      <c r="HY2376" s="73"/>
      <c r="HZ2376" s="73"/>
      <c r="IA2376" s="73"/>
      <c r="IB2376" s="73"/>
      <c r="IC2376" s="73"/>
      <c r="ID2376" s="73"/>
      <c r="IE2376" s="73"/>
      <c r="IF2376" s="73"/>
      <c r="IG2376" s="73"/>
      <c r="IH2376" s="73"/>
      <c r="II2376" s="73"/>
      <c r="IJ2376" s="73"/>
      <c r="IK2376" s="73"/>
      <c r="IL2376" s="73"/>
      <c r="IM2376" s="73"/>
      <c r="IN2376" s="73"/>
      <c r="IO2376" s="73"/>
      <c r="IP2376" s="73"/>
      <c r="IQ2376" s="73"/>
      <c r="IR2376" s="73"/>
      <c r="IS2376" s="73"/>
      <c r="IT2376" s="73"/>
      <c r="IU2376" s="73"/>
      <c r="IV2376" s="73"/>
      <c r="IW2376" s="73"/>
      <c r="IX2376" s="73"/>
      <c r="IY2376" s="73"/>
      <c r="IZ2376" s="73"/>
      <c r="JA2376" s="73"/>
      <c r="JB2376" s="73"/>
      <c r="JC2376" s="73"/>
    </row>
    <row r="2377" spans="2:263" s="72" customFormat="1">
      <c r="B2377" s="73"/>
      <c r="C2377" s="73"/>
      <c r="D2377" s="73"/>
      <c r="E2377" s="73"/>
      <c r="F2377" s="73"/>
      <c r="G2377" s="73"/>
      <c r="H2377" s="73"/>
      <c r="I2377" s="73"/>
      <c r="J2377" s="73"/>
      <c r="K2377" s="73"/>
      <c r="L2377" s="73"/>
      <c r="M2377" s="73"/>
      <c r="N2377" s="73"/>
      <c r="O2377" s="73"/>
      <c r="P2377" s="73"/>
      <c r="Q2377" s="73"/>
      <c r="R2377" s="73"/>
      <c r="S2377" s="73"/>
      <c r="T2377" s="73"/>
      <c r="U2377" s="73"/>
      <c r="V2377" s="73"/>
      <c r="W2377" s="73"/>
      <c r="GL2377" s="73"/>
      <c r="GM2377" s="73"/>
      <c r="GN2377" s="73"/>
      <c r="GO2377" s="73"/>
      <c r="GP2377" s="73"/>
      <c r="GQ2377" s="73"/>
      <c r="GR2377" s="73"/>
      <c r="GS2377" s="73"/>
      <c r="GT2377" s="73"/>
      <c r="GU2377" s="73"/>
      <c r="GV2377" s="73"/>
      <c r="GW2377" s="73"/>
      <c r="GX2377" s="73"/>
      <c r="GY2377" s="73"/>
      <c r="GZ2377" s="73"/>
      <c r="HA2377" s="73"/>
      <c r="HB2377" s="73"/>
      <c r="HC2377" s="73"/>
      <c r="HD2377" s="73"/>
      <c r="HE2377" s="73"/>
      <c r="HF2377" s="73"/>
      <c r="HG2377" s="73"/>
      <c r="HH2377" s="73"/>
      <c r="HI2377" s="73"/>
      <c r="HJ2377" s="73"/>
      <c r="HK2377" s="73"/>
      <c r="HL2377" s="73"/>
      <c r="HM2377" s="73"/>
      <c r="HN2377" s="73"/>
      <c r="HO2377" s="73"/>
      <c r="HP2377" s="73"/>
      <c r="HQ2377" s="73"/>
      <c r="HR2377" s="73"/>
      <c r="HS2377" s="73"/>
      <c r="HT2377" s="73"/>
      <c r="HU2377" s="73"/>
      <c r="HV2377" s="73"/>
      <c r="HW2377" s="73"/>
      <c r="HX2377" s="73"/>
      <c r="HY2377" s="73"/>
      <c r="HZ2377" s="73"/>
      <c r="IA2377" s="73"/>
      <c r="IB2377" s="73"/>
      <c r="IC2377" s="73"/>
      <c r="ID2377" s="73"/>
      <c r="IE2377" s="73"/>
      <c r="IF2377" s="73"/>
      <c r="IG2377" s="73"/>
      <c r="IH2377" s="73"/>
      <c r="II2377" s="73"/>
      <c r="IJ2377" s="73"/>
      <c r="IK2377" s="73"/>
      <c r="IL2377" s="73"/>
      <c r="IM2377" s="73"/>
      <c r="IN2377" s="73"/>
      <c r="IO2377" s="73"/>
      <c r="IP2377" s="73"/>
      <c r="IQ2377" s="73"/>
      <c r="IR2377" s="73"/>
      <c r="IS2377" s="73"/>
      <c r="IT2377" s="73"/>
      <c r="IU2377" s="73"/>
      <c r="IV2377" s="73"/>
      <c r="IW2377" s="73"/>
      <c r="IX2377" s="73"/>
      <c r="IY2377" s="73"/>
      <c r="IZ2377" s="73"/>
      <c r="JA2377" s="73"/>
      <c r="JB2377" s="73"/>
      <c r="JC2377" s="73"/>
    </row>
    <row r="2378" spans="2:263" s="72" customFormat="1">
      <c r="B2378" s="73"/>
      <c r="C2378" s="73"/>
      <c r="D2378" s="73"/>
      <c r="E2378" s="73"/>
      <c r="F2378" s="73"/>
      <c r="G2378" s="73"/>
      <c r="H2378" s="73"/>
      <c r="I2378" s="73"/>
      <c r="J2378" s="73"/>
      <c r="K2378" s="73"/>
      <c r="L2378" s="73"/>
      <c r="M2378" s="73"/>
      <c r="N2378" s="73"/>
      <c r="O2378" s="73"/>
      <c r="P2378" s="73"/>
      <c r="Q2378" s="73"/>
      <c r="R2378" s="73"/>
      <c r="S2378" s="73"/>
      <c r="T2378" s="73"/>
      <c r="U2378" s="73"/>
      <c r="V2378" s="73"/>
      <c r="W2378" s="73"/>
      <c r="GL2378" s="73"/>
      <c r="GM2378" s="73"/>
      <c r="GN2378" s="73"/>
      <c r="GO2378" s="73"/>
      <c r="GP2378" s="73"/>
      <c r="GQ2378" s="73"/>
      <c r="GR2378" s="73"/>
      <c r="GS2378" s="73"/>
      <c r="GT2378" s="73"/>
      <c r="GU2378" s="73"/>
      <c r="GV2378" s="73"/>
      <c r="GW2378" s="73"/>
      <c r="GX2378" s="73"/>
      <c r="GY2378" s="73"/>
      <c r="GZ2378" s="73"/>
      <c r="HA2378" s="73"/>
      <c r="HB2378" s="73"/>
      <c r="HC2378" s="73"/>
      <c r="HD2378" s="73"/>
      <c r="HE2378" s="73"/>
      <c r="HF2378" s="73"/>
      <c r="HG2378" s="73"/>
      <c r="HH2378" s="73"/>
      <c r="HI2378" s="73"/>
      <c r="HJ2378" s="73"/>
      <c r="HK2378" s="73"/>
      <c r="HL2378" s="73"/>
      <c r="HM2378" s="73"/>
      <c r="HN2378" s="73"/>
      <c r="HO2378" s="73"/>
      <c r="HP2378" s="73"/>
      <c r="HQ2378" s="73"/>
      <c r="HR2378" s="73"/>
      <c r="HS2378" s="73"/>
      <c r="HT2378" s="73"/>
      <c r="HU2378" s="73"/>
      <c r="HV2378" s="73"/>
      <c r="HW2378" s="73"/>
      <c r="HX2378" s="73"/>
      <c r="HY2378" s="73"/>
      <c r="HZ2378" s="73"/>
      <c r="IA2378" s="73"/>
      <c r="IB2378" s="73"/>
      <c r="IC2378" s="73"/>
      <c r="ID2378" s="73"/>
      <c r="IE2378" s="73"/>
      <c r="IF2378" s="73"/>
      <c r="IG2378" s="73"/>
      <c r="IH2378" s="73"/>
      <c r="II2378" s="73"/>
      <c r="IJ2378" s="73"/>
      <c r="IK2378" s="73"/>
      <c r="IL2378" s="73"/>
      <c r="IM2378" s="73"/>
      <c r="IN2378" s="73"/>
      <c r="IO2378" s="73"/>
      <c r="IP2378" s="73"/>
      <c r="IQ2378" s="73"/>
      <c r="IR2378" s="73"/>
      <c r="IS2378" s="73"/>
      <c r="IT2378" s="73"/>
      <c r="IU2378" s="73"/>
      <c r="IV2378" s="73"/>
      <c r="IW2378" s="73"/>
      <c r="IX2378" s="73"/>
      <c r="IY2378" s="73"/>
      <c r="IZ2378" s="73"/>
      <c r="JA2378" s="73"/>
      <c r="JB2378" s="73"/>
      <c r="JC2378" s="73"/>
    </row>
    <row r="2379" spans="2:263" s="72" customFormat="1">
      <c r="B2379" s="73"/>
      <c r="C2379" s="73"/>
      <c r="D2379" s="73"/>
      <c r="E2379" s="73"/>
      <c r="F2379" s="73"/>
      <c r="G2379" s="73"/>
      <c r="H2379" s="73"/>
      <c r="I2379" s="73"/>
      <c r="J2379" s="73"/>
      <c r="K2379" s="73"/>
      <c r="L2379" s="73"/>
      <c r="M2379" s="73"/>
      <c r="N2379" s="73"/>
      <c r="O2379" s="73"/>
      <c r="P2379" s="73"/>
      <c r="Q2379" s="73"/>
      <c r="R2379" s="73"/>
      <c r="S2379" s="73"/>
      <c r="T2379" s="73"/>
      <c r="U2379" s="73"/>
      <c r="V2379" s="73"/>
      <c r="W2379" s="73"/>
      <c r="GL2379" s="73"/>
      <c r="GM2379" s="73"/>
      <c r="GN2379" s="73"/>
      <c r="GO2379" s="73"/>
      <c r="GP2379" s="73"/>
      <c r="GQ2379" s="73"/>
      <c r="GR2379" s="73"/>
      <c r="GS2379" s="73"/>
      <c r="GT2379" s="73"/>
      <c r="GU2379" s="73"/>
      <c r="GV2379" s="73"/>
      <c r="GW2379" s="73"/>
      <c r="GX2379" s="73"/>
      <c r="GY2379" s="73"/>
      <c r="GZ2379" s="73"/>
      <c r="HA2379" s="73"/>
      <c r="HB2379" s="73"/>
      <c r="HC2379" s="73"/>
      <c r="HD2379" s="73"/>
      <c r="HE2379" s="73"/>
      <c r="HF2379" s="73"/>
      <c r="HG2379" s="73"/>
      <c r="HH2379" s="73"/>
      <c r="HI2379" s="73"/>
      <c r="HJ2379" s="73"/>
      <c r="HK2379" s="73"/>
      <c r="HL2379" s="73"/>
      <c r="HM2379" s="73"/>
      <c r="HN2379" s="73"/>
      <c r="HO2379" s="73"/>
      <c r="HP2379" s="73"/>
      <c r="HQ2379" s="73"/>
      <c r="HR2379" s="73"/>
      <c r="HS2379" s="73"/>
      <c r="HT2379" s="73"/>
      <c r="HU2379" s="73"/>
      <c r="HV2379" s="73"/>
      <c r="HW2379" s="73"/>
      <c r="HX2379" s="73"/>
      <c r="HY2379" s="73"/>
      <c r="HZ2379" s="73"/>
      <c r="IA2379" s="73"/>
      <c r="IB2379" s="73"/>
      <c r="IC2379" s="73"/>
      <c r="ID2379" s="73"/>
      <c r="IE2379" s="73"/>
      <c r="IF2379" s="73"/>
      <c r="IG2379" s="73"/>
      <c r="IH2379" s="73"/>
      <c r="II2379" s="73"/>
      <c r="IJ2379" s="73"/>
      <c r="IK2379" s="73"/>
      <c r="IL2379" s="73"/>
      <c r="IM2379" s="73"/>
      <c r="IN2379" s="73"/>
      <c r="IO2379" s="73"/>
      <c r="IP2379" s="73"/>
      <c r="IQ2379" s="73"/>
      <c r="IR2379" s="73"/>
      <c r="IS2379" s="73"/>
      <c r="IT2379" s="73"/>
      <c r="IU2379" s="73"/>
      <c r="IV2379" s="73"/>
      <c r="IW2379" s="73"/>
      <c r="IX2379" s="73"/>
      <c r="IY2379" s="73"/>
      <c r="IZ2379" s="73"/>
      <c r="JA2379" s="73"/>
      <c r="JB2379" s="73"/>
      <c r="JC2379" s="73"/>
    </row>
    <row r="2380" spans="2:263" s="72" customFormat="1">
      <c r="B2380" s="73"/>
      <c r="C2380" s="73"/>
      <c r="D2380" s="73"/>
      <c r="E2380" s="73"/>
      <c r="F2380" s="73"/>
      <c r="G2380" s="73"/>
      <c r="H2380" s="73"/>
      <c r="I2380" s="73"/>
      <c r="J2380" s="73"/>
      <c r="K2380" s="73"/>
      <c r="L2380" s="73"/>
      <c r="M2380" s="73"/>
      <c r="N2380" s="73"/>
      <c r="O2380" s="73"/>
      <c r="P2380" s="73"/>
      <c r="Q2380" s="73"/>
      <c r="R2380" s="73"/>
      <c r="S2380" s="73"/>
      <c r="T2380" s="73"/>
      <c r="U2380" s="73"/>
      <c r="V2380" s="73"/>
      <c r="W2380" s="73"/>
      <c r="GL2380" s="73"/>
      <c r="GM2380" s="73"/>
      <c r="GN2380" s="73"/>
      <c r="GO2380" s="73"/>
      <c r="GP2380" s="73"/>
      <c r="GQ2380" s="73"/>
      <c r="GR2380" s="73"/>
      <c r="GS2380" s="73"/>
      <c r="GT2380" s="73"/>
      <c r="GU2380" s="73"/>
      <c r="GV2380" s="73"/>
      <c r="GW2380" s="73"/>
      <c r="GX2380" s="73"/>
      <c r="GY2380" s="73"/>
      <c r="GZ2380" s="73"/>
      <c r="HA2380" s="73"/>
      <c r="HB2380" s="73"/>
      <c r="HC2380" s="73"/>
      <c r="HD2380" s="73"/>
      <c r="HE2380" s="73"/>
      <c r="HF2380" s="73"/>
      <c r="HG2380" s="73"/>
      <c r="HH2380" s="73"/>
      <c r="HI2380" s="73"/>
      <c r="HJ2380" s="73"/>
      <c r="HK2380" s="73"/>
      <c r="HL2380" s="73"/>
      <c r="HM2380" s="73"/>
      <c r="HN2380" s="73"/>
      <c r="HO2380" s="73"/>
      <c r="HP2380" s="73"/>
      <c r="HQ2380" s="73"/>
      <c r="HR2380" s="73"/>
      <c r="HS2380" s="73"/>
      <c r="HT2380" s="73"/>
      <c r="HU2380" s="73"/>
      <c r="HV2380" s="73"/>
      <c r="HW2380" s="73"/>
      <c r="HX2380" s="73"/>
      <c r="HY2380" s="73"/>
      <c r="HZ2380" s="73"/>
      <c r="IA2380" s="73"/>
      <c r="IB2380" s="73"/>
      <c r="IC2380" s="73"/>
      <c r="ID2380" s="73"/>
      <c r="IE2380" s="73"/>
      <c r="IF2380" s="73"/>
      <c r="IG2380" s="73"/>
      <c r="IH2380" s="73"/>
      <c r="II2380" s="73"/>
      <c r="IJ2380" s="73"/>
      <c r="IK2380" s="73"/>
      <c r="IL2380" s="73"/>
      <c r="IM2380" s="73"/>
      <c r="IN2380" s="73"/>
      <c r="IO2380" s="73"/>
      <c r="IP2380" s="73"/>
      <c r="IQ2380" s="73"/>
      <c r="IR2380" s="73"/>
      <c r="IS2380" s="73"/>
      <c r="IT2380" s="73"/>
      <c r="IU2380" s="73"/>
      <c r="IV2380" s="73"/>
      <c r="IW2380" s="73"/>
      <c r="IX2380" s="73"/>
      <c r="IY2380" s="73"/>
      <c r="IZ2380" s="73"/>
      <c r="JA2380" s="73"/>
      <c r="JB2380" s="73"/>
      <c r="JC2380" s="73"/>
    </row>
    <row r="2381" spans="2:263" s="72" customFormat="1">
      <c r="B2381" s="73"/>
      <c r="C2381" s="73"/>
      <c r="D2381" s="73"/>
      <c r="E2381" s="73"/>
      <c r="F2381" s="73"/>
      <c r="G2381" s="73"/>
      <c r="H2381" s="73"/>
      <c r="I2381" s="73"/>
      <c r="J2381" s="73"/>
      <c r="K2381" s="73"/>
      <c r="L2381" s="73"/>
      <c r="M2381" s="73"/>
      <c r="N2381" s="73"/>
      <c r="O2381" s="73"/>
      <c r="P2381" s="73"/>
      <c r="Q2381" s="73"/>
      <c r="R2381" s="73"/>
      <c r="S2381" s="73"/>
      <c r="T2381" s="73"/>
      <c r="U2381" s="73"/>
      <c r="V2381" s="73"/>
      <c r="W2381" s="73"/>
      <c r="GL2381" s="73"/>
      <c r="GM2381" s="73"/>
      <c r="GN2381" s="73"/>
      <c r="GO2381" s="73"/>
      <c r="GP2381" s="73"/>
      <c r="GQ2381" s="73"/>
      <c r="GR2381" s="73"/>
      <c r="GS2381" s="73"/>
      <c r="GT2381" s="73"/>
      <c r="GU2381" s="73"/>
      <c r="GV2381" s="73"/>
      <c r="GW2381" s="73"/>
      <c r="GX2381" s="73"/>
      <c r="GY2381" s="73"/>
      <c r="GZ2381" s="73"/>
      <c r="HA2381" s="73"/>
      <c r="HB2381" s="73"/>
      <c r="HC2381" s="73"/>
      <c r="HD2381" s="73"/>
      <c r="HE2381" s="73"/>
      <c r="HF2381" s="73"/>
      <c r="HG2381" s="73"/>
      <c r="HH2381" s="73"/>
      <c r="HI2381" s="73"/>
      <c r="HJ2381" s="73"/>
      <c r="HK2381" s="73"/>
      <c r="HL2381" s="73"/>
      <c r="HM2381" s="73"/>
      <c r="HN2381" s="73"/>
      <c r="HO2381" s="73"/>
      <c r="HP2381" s="73"/>
      <c r="HQ2381" s="73"/>
      <c r="HR2381" s="73"/>
      <c r="HS2381" s="73"/>
      <c r="HT2381" s="73"/>
      <c r="HU2381" s="73"/>
      <c r="HV2381" s="73"/>
      <c r="HW2381" s="73"/>
      <c r="HX2381" s="73"/>
      <c r="HY2381" s="73"/>
      <c r="HZ2381" s="73"/>
      <c r="IA2381" s="73"/>
      <c r="IB2381" s="73"/>
      <c r="IC2381" s="73"/>
      <c r="ID2381" s="73"/>
      <c r="IE2381" s="73"/>
      <c r="IF2381" s="73"/>
      <c r="IG2381" s="73"/>
      <c r="IH2381" s="73"/>
      <c r="II2381" s="73"/>
      <c r="IJ2381" s="73"/>
      <c r="IK2381" s="73"/>
      <c r="IL2381" s="73"/>
      <c r="IM2381" s="73"/>
      <c r="IN2381" s="73"/>
      <c r="IO2381" s="73"/>
      <c r="IP2381" s="73"/>
      <c r="IQ2381" s="73"/>
      <c r="IR2381" s="73"/>
      <c r="IS2381" s="73"/>
      <c r="IT2381" s="73"/>
      <c r="IU2381" s="73"/>
      <c r="IV2381" s="73"/>
      <c r="IW2381" s="73"/>
      <c r="IX2381" s="73"/>
      <c r="IY2381" s="73"/>
      <c r="IZ2381" s="73"/>
      <c r="JA2381" s="73"/>
      <c r="JB2381" s="73"/>
      <c r="JC2381" s="73"/>
    </row>
    <row r="2382" spans="2:263" s="72" customFormat="1">
      <c r="B2382" s="73"/>
      <c r="C2382" s="73"/>
      <c r="D2382" s="73"/>
      <c r="E2382" s="73"/>
      <c r="F2382" s="73"/>
      <c r="G2382" s="73"/>
      <c r="H2382" s="73"/>
      <c r="I2382" s="73"/>
      <c r="J2382" s="73"/>
      <c r="K2382" s="73"/>
      <c r="L2382" s="73"/>
      <c r="M2382" s="73"/>
      <c r="N2382" s="73"/>
      <c r="O2382" s="73"/>
      <c r="P2382" s="73"/>
      <c r="Q2382" s="73"/>
      <c r="R2382" s="73"/>
      <c r="S2382" s="73"/>
      <c r="T2382" s="73"/>
      <c r="U2382" s="73"/>
      <c r="V2382" s="73"/>
      <c r="W2382" s="73"/>
      <c r="GL2382" s="73"/>
      <c r="GM2382" s="73"/>
      <c r="GN2382" s="73"/>
      <c r="GO2382" s="73"/>
      <c r="GP2382" s="73"/>
      <c r="GQ2382" s="73"/>
      <c r="GR2382" s="73"/>
      <c r="GS2382" s="73"/>
      <c r="GT2382" s="73"/>
      <c r="GU2382" s="73"/>
      <c r="GV2382" s="73"/>
      <c r="GW2382" s="73"/>
      <c r="GX2382" s="73"/>
      <c r="GY2382" s="73"/>
      <c r="GZ2382" s="73"/>
      <c r="HA2382" s="73"/>
      <c r="HB2382" s="73"/>
      <c r="HC2382" s="73"/>
      <c r="HD2382" s="73"/>
      <c r="HE2382" s="73"/>
      <c r="HF2382" s="73"/>
      <c r="HG2382" s="73"/>
      <c r="HH2382" s="73"/>
      <c r="HI2382" s="73"/>
      <c r="HJ2382" s="73"/>
      <c r="HK2382" s="73"/>
      <c r="HL2382" s="73"/>
      <c r="HM2382" s="73"/>
      <c r="HN2382" s="73"/>
      <c r="HO2382" s="73"/>
      <c r="HP2382" s="73"/>
      <c r="HQ2382" s="73"/>
      <c r="HR2382" s="73"/>
      <c r="HS2382" s="73"/>
      <c r="HT2382" s="73"/>
      <c r="HU2382" s="73"/>
      <c r="HV2382" s="73"/>
      <c r="HW2382" s="73"/>
      <c r="HX2382" s="73"/>
      <c r="HY2382" s="73"/>
      <c r="HZ2382" s="73"/>
      <c r="IA2382" s="73"/>
      <c r="IB2382" s="73"/>
      <c r="IC2382" s="73"/>
      <c r="ID2382" s="73"/>
      <c r="IE2382" s="73"/>
      <c r="IF2382" s="73"/>
      <c r="IG2382" s="73"/>
      <c r="IH2382" s="73"/>
      <c r="II2382" s="73"/>
      <c r="IJ2382" s="73"/>
      <c r="IK2382" s="73"/>
      <c r="IL2382" s="73"/>
      <c r="IM2382" s="73"/>
      <c r="IN2382" s="73"/>
      <c r="IO2382" s="73"/>
      <c r="IP2382" s="73"/>
      <c r="IQ2382" s="73"/>
      <c r="IR2382" s="73"/>
      <c r="IS2382" s="73"/>
      <c r="IT2382" s="73"/>
      <c r="IU2382" s="73"/>
      <c r="IV2382" s="73"/>
      <c r="IW2382" s="73"/>
      <c r="IX2382" s="73"/>
      <c r="IY2382" s="73"/>
      <c r="IZ2382" s="73"/>
      <c r="JA2382" s="73"/>
      <c r="JB2382" s="73"/>
      <c r="JC2382" s="73"/>
    </row>
    <row r="2383" spans="2:263" s="72" customFormat="1">
      <c r="B2383" s="73"/>
      <c r="C2383" s="73"/>
      <c r="D2383" s="73"/>
      <c r="E2383" s="73"/>
      <c r="F2383" s="73"/>
      <c r="G2383" s="73"/>
      <c r="H2383" s="73"/>
      <c r="I2383" s="73"/>
      <c r="J2383" s="73"/>
      <c r="K2383" s="73"/>
      <c r="L2383" s="73"/>
      <c r="M2383" s="73"/>
      <c r="N2383" s="73"/>
      <c r="O2383" s="73"/>
      <c r="P2383" s="73"/>
      <c r="Q2383" s="73"/>
      <c r="R2383" s="73"/>
      <c r="S2383" s="73"/>
      <c r="T2383" s="73"/>
      <c r="U2383" s="73"/>
      <c r="V2383" s="73"/>
      <c r="W2383" s="73"/>
      <c r="GL2383" s="73"/>
      <c r="GM2383" s="73"/>
      <c r="GN2383" s="73"/>
      <c r="GO2383" s="73"/>
      <c r="GP2383" s="73"/>
      <c r="GQ2383" s="73"/>
      <c r="GR2383" s="73"/>
      <c r="GS2383" s="73"/>
      <c r="GT2383" s="73"/>
      <c r="GU2383" s="73"/>
      <c r="GV2383" s="73"/>
      <c r="GW2383" s="73"/>
      <c r="GX2383" s="73"/>
      <c r="GY2383" s="73"/>
      <c r="GZ2383" s="73"/>
      <c r="HA2383" s="73"/>
      <c r="HB2383" s="73"/>
      <c r="HC2383" s="73"/>
      <c r="HD2383" s="73"/>
      <c r="HE2383" s="73"/>
      <c r="HF2383" s="73"/>
      <c r="HG2383" s="73"/>
      <c r="HH2383" s="73"/>
      <c r="HI2383" s="73"/>
      <c r="HJ2383" s="73"/>
      <c r="HK2383" s="73"/>
      <c r="HL2383" s="73"/>
      <c r="HM2383" s="73"/>
      <c r="HN2383" s="73"/>
      <c r="HO2383" s="73"/>
      <c r="HP2383" s="73"/>
      <c r="HQ2383" s="73"/>
      <c r="HR2383" s="73"/>
      <c r="HS2383" s="73"/>
      <c r="HT2383" s="73"/>
      <c r="HU2383" s="73"/>
      <c r="HV2383" s="73"/>
      <c r="HW2383" s="73"/>
      <c r="HX2383" s="73"/>
      <c r="HY2383" s="73"/>
      <c r="HZ2383" s="73"/>
      <c r="IA2383" s="73"/>
      <c r="IB2383" s="73"/>
      <c r="IC2383" s="73"/>
      <c r="ID2383" s="73"/>
      <c r="IE2383" s="73"/>
      <c r="IF2383" s="73"/>
      <c r="IG2383" s="73"/>
      <c r="IH2383" s="73"/>
      <c r="II2383" s="73"/>
      <c r="IJ2383" s="73"/>
      <c r="IK2383" s="73"/>
      <c r="IL2383" s="73"/>
      <c r="IM2383" s="73"/>
      <c r="IN2383" s="73"/>
      <c r="IO2383" s="73"/>
      <c r="IP2383" s="73"/>
      <c r="IQ2383" s="73"/>
      <c r="IR2383" s="73"/>
      <c r="IS2383" s="73"/>
      <c r="IT2383" s="73"/>
      <c r="IU2383" s="73"/>
      <c r="IV2383" s="73"/>
      <c r="IW2383" s="73"/>
      <c r="IX2383" s="73"/>
      <c r="IY2383" s="73"/>
      <c r="IZ2383" s="73"/>
      <c r="JA2383" s="73"/>
      <c r="JB2383" s="73"/>
      <c r="JC2383" s="73"/>
    </row>
    <row r="2384" spans="2:263" s="72" customFormat="1">
      <c r="B2384" s="73"/>
      <c r="C2384" s="73"/>
      <c r="D2384" s="73"/>
      <c r="E2384" s="73"/>
      <c r="F2384" s="73"/>
      <c r="G2384" s="73"/>
      <c r="H2384" s="73"/>
      <c r="I2384" s="73"/>
      <c r="J2384" s="73"/>
      <c r="K2384" s="73"/>
      <c r="L2384" s="73"/>
      <c r="M2384" s="73"/>
      <c r="N2384" s="73"/>
      <c r="O2384" s="73"/>
      <c r="P2384" s="73"/>
      <c r="Q2384" s="73"/>
      <c r="R2384" s="73"/>
      <c r="S2384" s="73"/>
      <c r="T2384" s="73"/>
      <c r="U2384" s="73"/>
      <c r="V2384" s="73"/>
      <c r="W2384" s="73"/>
      <c r="GL2384" s="73"/>
      <c r="GM2384" s="73"/>
      <c r="GN2384" s="73"/>
      <c r="GO2384" s="73"/>
      <c r="GP2384" s="73"/>
      <c r="GQ2384" s="73"/>
      <c r="GR2384" s="73"/>
      <c r="GS2384" s="73"/>
      <c r="GT2384" s="73"/>
      <c r="GU2384" s="73"/>
      <c r="GV2384" s="73"/>
      <c r="GW2384" s="73"/>
      <c r="GX2384" s="73"/>
      <c r="GY2384" s="73"/>
      <c r="GZ2384" s="73"/>
      <c r="HA2384" s="73"/>
      <c r="HB2384" s="73"/>
      <c r="HC2384" s="73"/>
      <c r="HD2384" s="73"/>
      <c r="HE2384" s="73"/>
      <c r="HF2384" s="73"/>
      <c r="HG2384" s="73"/>
      <c r="HH2384" s="73"/>
      <c r="HI2384" s="73"/>
      <c r="HJ2384" s="73"/>
      <c r="HK2384" s="73"/>
      <c r="HL2384" s="73"/>
      <c r="HM2384" s="73"/>
      <c r="HN2384" s="73"/>
      <c r="HO2384" s="73"/>
      <c r="HP2384" s="73"/>
      <c r="HQ2384" s="73"/>
      <c r="HR2384" s="73"/>
      <c r="HS2384" s="73"/>
      <c r="HT2384" s="73"/>
      <c r="HU2384" s="73"/>
      <c r="HV2384" s="73"/>
      <c r="HW2384" s="73"/>
      <c r="HX2384" s="73"/>
      <c r="HY2384" s="73"/>
      <c r="HZ2384" s="73"/>
      <c r="IA2384" s="73"/>
      <c r="IB2384" s="73"/>
      <c r="IC2384" s="73"/>
      <c r="ID2384" s="73"/>
      <c r="IE2384" s="73"/>
      <c r="IF2384" s="73"/>
      <c r="IG2384" s="73"/>
      <c r="IH2384" s="73"/>
      <c r="II2384" s="73"/>
      <c r="IJ2384" s="73"/>
      <c r="IK2384" s="73"/>
      <c r="IL2384" s="73"/>
      <c r="IM2384" s="73"/>
      <c r="IN2384" s="73"/>
      <c r="IO2384" s="73"/>
      <c r="IP2384" s="73"/>
      <c r="IQ2384" s="73"/>
      <c r="IR2384" s="73"/>
      <c r="IS2384" s="73"/>
      <c r="IT2384" s="73"/>
      <c r="IU2384" s="73"/>
      <c r="IV2384" s="73"/>
      <c r="IW2384" s="73"/>
      <c r="IX2384" s="73"/>
      <c r="IY2384" s="73"/>
      <c r="IZ2384" s="73"/>
      <c r="JA2384" s="73"/>
      <c r="JB2384" s="73"/>
      <c r="JC2384" s="73"/>
    </row>
    <row r="2385" spans="2:263" s="72" customFormat="1">
      <c r="B2385" s="73"/>
      <c r="C2385" s="73"/>
      <c r="D2385" s="73"/>
      <c r="E2385" s="73"/>
      <c r="F2385" s="73"/>
      <c r="G2385" s="73"/>
      <c r="H2385" s="73"/>
      <c r="I2385" s="73"/>
      <c r="J2385" s="73"/>
      <c r="K2385" s="73"/>
      <c r="L2385" s="73"/>
      <c r="M2385" s="73"/>
      <c r="N2385" s="73"/>
      <c r="O2385" s="73"/>
      <c r="P2385" s="73"/>
      <c r="Q2385" s="73"/>
      <c r="R2385" s="73"/>
      <c r="S2385" s="73"/>
      <c r="T2385" s="73"/>
      <c r="U2385" s="73"/>
      <c r="V2385" s="73"/>
      <c r="W2385" s="73"/>
      <c r="GL2385" s="73"/>
      <c r="GM2385" s="73"/>
      <c r="GN2385" s="73"/>
      <c r="GO2385" s="73"/>
      <c r="GP2385" s="73"/>
      <c r="GQ2385" s="73"/>
      <c r="GR2385" s="73"/>
      <c r="GS2385" s="73"/>
      <c r="GT2385" s="73"/>
      <c r="GU2385" s="73"/>
      <c r="GV2385" s="73"/>
      <c r="GW2385" s="73"/>
      <c r="GX2385" s="73"/>
      <c r="GY2385" s="73"/>
      <c r="GZ2385" s="73"/>
      <c r="HA2385" s="73"/>
      <c r="HB2385" s="73"/>
      <c r="HC2385" s="73"/>
      <c r="HD2385" s="73"/>
      <c r="HE2385" s="73"/>
      <c r="HF2385" s="73"/>
      <c r="HG2385" s="73"/>
      <c r="HH2385" s="73"/>
      <c r="HI2385" s="73"/>
      <c r="HJ2385" s="73"/>
      <c r="HK2385" s="73"/>
      <c r="HL2385" s="73"/>
      <c r="HM2385" s="73"/>
      <c r="HN2385" s="73"/>
      <c r="HO2385" s="73"/>
      <c r="HP2385" s="73"/>
      <c r="HQ2385" s="73"/>
      <c r="HR2385" s="73"/>
      <c r="HS2385" s="73"/>
      <c r="HT2385" s="73"/>
      <c r="HU2385" s="73"/>
      <c r="HV2385" s="73"/>
      <c r="HW2385" s="73"/>
      <c r="HX2385" s="73"/>
      <c r="HY2385" s="73"/>
      <c r="HZ2385" s="73"/>
      <c r="IA2385" s="73"/>
      <c r="IB2385" s="73"/>
      <c r="IC2385" s="73"/>
      <c r="ID2385" s="73"/>
      <c r="IE2385" s="73"/>
      <c r="IF2385" s="73"/>
      <c r="IG2385" s="73"/>
      <c r="IH2385" s="73"/>
      <c r="II2385" s="73"/>
      <c r="IJ2385" s="73"/>
      <c r="IK2385" s="73"/>
      <c r="IL2385" s="73"/>
      <c r="IM2385" s="73"/>
      <c r="IN2385" s="73"/>
      <c r="IO2385" s="73"/>
      <c r="IP2385" s="73"/>
      <c r="IQ2385" s="73"/>
      <c r="IR2385" s="73"/>
      <c r="IS2385" s="73"/>
      <c r="IT2385" s="73"/>
      <c r="IU2385" s="73"/>
      <c r="IV2385" s="73"/>
      <c r="IW2385" s="73"/>
      <c r="IX2385" s="73"/>
      <c r="IY2385" s="73"/>
      <c r="IZ2385" s="73"/>
      <c r="JA2385" s="73"/>
      <c r="JB2385" s="73"/>
      <c r="JC2385" s="73"/>
    </row>
    <row r="2386" spans="2:263" s="72" customFormat="1">
      <c r="B2386" s="73"/>
      <c r="C2386" s="73"/>
      <c r="D2386" s="73"/>
      <c r="E2386" s="73"/>
      <c r="F2386" s="73"/>
      <c r="G2386" s="73"/>
      <c r="H2386" s="73"/>
      <c r="I2386" s="73"/>
      <c r="J2386" s="73"/>
      <c r="K2386" s="73"/>
      <c r="L2386" s="73"/>
      <c r="M2386" s="73"/>
      <c r="N2386" s="73"/>
      <c r="O2386" s="73"/>
      <c r="P2386" s="73"/>
      <c r="Q2386" s="73"/>
      <c r="R2386" s="73"/>
      <c r="S2386" s="73"/>
      <c r="T2386" s="73"/>
      <c r="U2386" s="73"/>
      <c r="V2386" s="73"/>
      <c r="W2386" s="73"/>
      <c r="GL2386" s="73"/>
      <c r="GM2386" s="73"/>
      <c r="GN2386" s="73"/>
      <c r="GO2386" s="73"/>
      <c r="GP2386" s="73"/>
      <c r="GQ2386" s="73"/>
      <c r="GR2386" s="73"/>
      <c r="GS2386" s="73"/>
      <c r="GT2386" s="73"/>
      <c r="GU2386" s="73"/>
      <c r="GV2386" s="73"/>
      <c r="GW2386" s="73"/>
      <c r="GX2386" s="73"/>
      <c r="GY2386" s="73"/>
      <c r="GZ2386" s="73"/>
      <c r="HA2386" s="73"/>
      <c r="HB2386" s="73"/>
      <c r="HC2386" s="73"/>
      <c r="HD2386" s="73"/>
      <c r="HE2386" s="73"/>
      <c r="HF2386" s="73"/>
      <c r="HG2386" s="73"/>
      <c r="HH2386" s="73"/>
      <c r="HI2386" s="73"/>
      <c r="HJ2386" s="73"/>
      <c r="HK2386" s="73"/>
      <c r="HL2386" s="73"/>
      <c r="HM2386" s="73"/>
      <c r="HN2386" s="73"/>
      <c r="HO2386" s="73"/>
      <c r="HP2386" s="73"/>
      <c r="HQ2386" s="73"/>
      <c r="HR2386" s="73"/>
      <c r="HS2386" s="73"/>
      <c r="HT2386" s="73"/>
      <c r="HU2386" s="73"/>
      <c r="HV2386" s="73"/>
      <c r="HW2386" s="73"/>
      <c r="HX2386" s="73"/>
      <c r="HY2386" s="73"/>
      <c r="HZ2386" s="73"/>
      <c r="IA2386" s="73"/>
      <c r="IB2386" s="73"/>
      <c r="IC2386" s="73"/>
      <c r="ID2386" s="73"/>
      <c r="IE2386" s="73"/>
      <c r="IF2386" s="73"/>
      <c r="IG2386" s="73"/>
      <c r="IH2386" s="73"/>
      <c r="II2386" s="73"/>
      <c r="IJ2386" s="73"/>
      <c r="IK2386" s="73"/>
      <c r="IL2386" s="73"/>
      <c r="IM2386" s="73"/>
      <c r="IN2386" s="73"/>
      <c r="IO2386" s="73"/>
      <c r="IP2386" s="73"/>
      <c r="IQ2386" s="73"/>
      <c r="IR2386" s="73"/>
      <c r="IS2386" s="73"/>
      <c r="IT2386" s="73"/>
      <c r="IU2386" s="73"/>
      <c r="IV2386" s="73"/>
      <c r="IW2386" s="73"/>
      <c r="IX2386" s="73"/>
      <c r="IY2386" s="73"/>
      <c r="IZ2386" s="73"/>
      <c r="JA2386" s="73"/>
      <c r="JB2386" s="73"/>
      <c r="JC2386" s="73"/>
    </row>
    <row r="2387" spans="2:263" s="72" customFormat="1">
      <c r="B2387" s="73"/>
      <c r="C2387" s="73"/>
      <c r="D2387" s="73"/>
      <c r="E2387" s="73"/>
      <c r="F2387" s="73"/>
      <c r="G2387" s="73"/>
      <c r="H2387" s="73"/>
      <c r="I2387" s="73"/>
      <c r="J2387" s="73"/>
      <c r="K2387" s="73"/>
      <c r="L2387" s="73"/>
      <c r="M2387" s="73"/>
      <c r="N2387" s="73"/>
      <c r="O2387" s="73"/>
      <c r="P2387" s="73"/>
      <c r="Q2387" s="73"/>
      <c r="R2387" s="73"/>
      <c r="S2387" s="73"/>
      <c r="T2387" s="73"/>
      <c r="U2387" s="73"/>
      <c r="V2387" s="73"/>
      <c r="W2387" s="73"/>
      <c r="GL2387" s="73"/>
      <c r="GM2387" s="73"/>
      <c r="GN2387" s="73"/>
      <c r="GO2387" s="73"/>
      <c r="GP2387" s="73"/>
      <c r="GQ2387" s="73"/>
      <c r="GR2387" s="73"/>
      <c r="GS2387" s="73"/>
      <c r="GT2387" s="73"/>
      <c r="GU2387" s="73"/>
      <c r="GV2387" s="73"/>
      <c r="GW2387" s="73"/>
      <c r="GX2387" s="73"/>
      <c r="GY2387" s="73"/>
      <c r="GZ2387" s="73"/>
      <c r="HA2387" s="73"/>
      <c r="HB2387" s="73"/>
      <c r="HC2387" s="73"/>
      <c r="HD2387" s="73"/>
      <c r="HE2387" s="73"/>
      <c r="HF2387" s="73"/>
      <c r="HG2387" s="73"/>
      <c r="HH2387" s="73"/>
      <c r="HI2387" s="73"/>
      <c r="HJ2387" s="73"/>
      <c r="HK2387" s="73"/>
      <c r="HL2387" s="73"/>
      <c r="HM2387" s="73"/>
      <c r="HN2387" s="73"/>
      <c r="HO2387" s="73"/>
      <c r="HP2387" s="73"/>
      <c r="HQ2387" s="73"/>
      <c r="HR2387" s="73"/>
      <c r="HS2387" s="73"/>
      <c r="HT2387" s="73"/>
      <c r="HU2387" s="73"/>
      <c r="HV2387" s="73"/>
      <c r="HW2387" s="73"/>
      <c r="HX2387" s="73"/>
      <c r="HY2387" s="73"/>
      <c r="HZ2387" s="73"/>
      <c r="IA2387" s="73"/>
      <c r="IB2387" s="73"/>
      <c r="IC2387" s="73"/>
      <c r="ID2387" s="73"/>
      <c r="IE2387" s="73"/>
      <c r="IF2387" s="73"/>
      <c r="IG2387" s="73"/>
      <c r="IH2387" s="73"/>
      <c r="II2387" s="73"/>
      <c r="IJ2387" s="73"/>
      <c r="IK2387" s="73"/>
      <c r="IL2387" s="73"/>
      <c r="IM2387" s="73"/>
      <c r="IN2387" s="73"/>
      <c r="IO2387" s="73"/>
      <c r="IP2387" s="73"/>
      <c r="IQ2387" s="73"/>
      <c r="IR2387" s="73"/>
      <c r="IS2387" s="73"/>
      <c r="IT2387" s="73"/>
      <c r="IU2387" s="73"/>
      <c r="IV2387" s="73"/>
      <c r="IW2387" s="73"/>
      <c r="IX2387" s="73"/>
      <c r="IY2387" s="73"/>
      <c r="IZ2387" s="73"/>
      <c r="JA2387" s="73"/>
      <c r="JB2387" s="73"/>
      <c r="JC2387" s="73"/>
    </row>
    <row r="2388" spans="2:263" s="72" customFormat="1">
      <c r="B2388" s="73"/>
      <c r="C2388" s="73"/>
      <c r="D2388" s="73"/>
      <c r="E2388" s="73"/>
      <c r="F2388" s="73"/>
      <c r="G2388" s="73"/>
      <c r="H2388" s="73"/>
      <c r="I2388" s="73"/>
      <c r="J2388" s="73"/>
      <c r="K2388" s="73"/>
      <c r="L2388" s="73"/>
      <c r="M2388" s="73"/>
      <c r="N2388" s="73"/>
      <c r="O2388" s="73"/>
      <c r="P2388" s="73"/>
      <c r="Q2388" s="73"/>
      <c r="R2388" s="73"/>
      <c r="S2388" s="73"/>
      <c r="T2388" s="73"/>
      <c r="U2388" s="73"/>
      <c r="V2388" s="73"/>
      <c r="W2388" s="73"/>
      <c r="GL2388" s="73"/>
      <c r="GM2388" s="73"/>
      <c r="GN2388" s="73"/>
      <c r="GO2388" s="73"/>
      <c r="GP2388" s="73"/>
      <c r="GQ2388" s="73"/>
      <c r="GR2388" s="73"/>
      <c r="GS2388" s="73"/>
      <c r="GT2388" s="73"/>
      <c r="GU2388" s="73"/>
      <c r="GV2388" s="73"/>
      <c r="GW2388" s="73"/>
      <c r="GX2388" s="73"/>
      <c r="GY2388" s="73"/>
      <c r="GZ2388" s="73"/>
      <c r="HA2388" s="73"/>
      <c r="HB2388" s="73"/>
      <c r="HC2388" s="73"/>
      <c r="HD2388" s="73"/>
      <c r="HE2388" s="73"/>
      <c r="HF2388" s="73"/>
      <c r="HG2388" s="73"/>
      <c r="HH2388" s="73"/>
      <c r="HI2388" s="73"/>
      <c r="HJ2388" s="73"/>
      <c r="HK2388" s="73"/>
      <c r="HL2388" s="73"/>
      <c r="HM2388" s="73"/>
      <c r="HN2388" s="73"/>
      <c r="HO2388" s="73"/>
      <c r="HP2388" s="73"/>
      <c r="HQ2388" s="73"/>
      <c r="HR2388" s="73"/>
      <c r="HS2388" s="73"/>
      <c r="HT2388" s="73"/>
      <c r="HU2388" s="73"/>
      <c r="HV2388" s="73"/>
      <c r="HW2388" s="73"/>
      <c r="HX2388" s="73"/>
      <c r="HY2388" s="73"/>
      <c r="HZ2388" s="73"/>
      <c r="IA2388" s="73"/>
      <c r="IB2388" s="73"/>
      <c r="IC2388" s="73"/>
      <c r="ID2388" s="73"/>
      <c r="IE2388" s="73"/>
      <c r="IF2388" s="73"/>
      <c r="IG2388" s="73"/>
      <c r="IH2388" s="73"/>
      <c r="II2388" s="73"/>
      <c r="IJ2388" s="73"/>
      <c r="IK2388" s="73"/>
      <c r="IL2388" s="73"/>
      <c r="IM2388" s="73"/>
      <c r="IN2388" s="73"/>
      <c r="IO2388" s="73"/>
      <c r="IP2388" s="73"/>
      <c r="IQ2388" s="73"/>
      <c r="IR2388" s="73"/>
      <c r="IS2388" s="73"/>
      <c r="IT2388" s="73"/>
      <c r="IU2388" s="73"/>
      <c r="IV2388" s="73"/>
      <c r="IW2388" s="73"/>
      <c r="IX2388" s="73"/>
      <c r="IY2388" s="73"/>
      <c r="IZ2388" s="73"/>
      <c r="JA2388" s="73"/>
      <c r="JB2388" s="73"/>
      <c r="JC2388" s="73"/>
    </row>
    <row r="2389" spans="2:263" s="72" customFormat="1">
      <c r="B2389" s="73"/>
      <c r="C2389" s="73"/>
      <c r="D2389" s="73"/>
      <c r="E2389" s="73"/>
      <c r="F2389" s="73"/>
      <c r="G2389" s="73"/>
      <c r="H2389" s="73"/>
      <c r="I2389" s="73"/>
      <c r="J2389" s="73"/>
      <c r="K2389" s="73"/>
      <c r="L2389" s="73"/>
      <c r="M2389" s="73"/>
      <c r="N2389" s="73"/>
      <c r="O2389" s="73"/>
      <c r="P2389" s="73"/>
      <c r="Q2389" s="73"/>
      <c r="R2389" s="73"/>
      <c r="S2389" s="73"/>
      <c r="T2389" s="73"/>
      <c r="U2389" s="73"/>
      <c r="V2389" s="73"/>
      <c r="W2389" s="73"/>
      <c r="GL2389" s="73"/>
      <c r="GM2389" s="73"/>
      <c r="GN2389" s="73"/>
      <c r="GO2389" s="73"/>
      <c r="GP2389" s="73"/>
      <c r="GQ2389" s="73"/>
      <c r="GR2389" s="73"/>
      <c r="GS2389" s="73"/>
      <c r="GT2389" s="73"/>
      <c r="GU2389" s="73"/>
      <c r="GV2389" s="73"/>
      <c r="GW2389" s="73"/>
      <c r="GX2389" s="73"/>
      <c r="GY2389" s="73"/>
      <c r="GZ2389" s="73"/>
      <c r="HA2389" s="73"/>
      <c r="HB2389" s="73"/>
      <c r="HC2389" s="73"/>
      <c r="HD2389" s="73"/>
      <c r="HE2389" s="73"/>
      <c r="HF2389" s="73"/>
      <c r="HG2389" s="73"/>
      <c r="HH2389" s="73"/>
      <c r="HI2389" s="73"/>
      <c r="HJ2389" s="73"/>
      <c r="HK2389" s="73"/>
      <c r="HL2389" s="73"/>
      <c r="HM2389" s="73"/>
      <c r="HN2389" s="73"/>
      <c r="HO2389" s="73"/>
      <c r="HP2389" s="73"/>
      <c r="HQ2389" s="73"/>
      <c r="HR2389" s="73"/>
      <c r="HS2389" s="73"/>
      <c r="HT2389" s="73"/>
      <c r="HU2389" s="73"/>
      <c r="HV2389" s="73"/>
      <c r="HW2389" s="73"/>
      <c r="HX2389" s="73"/>
      <c r="HY2389" s="73"/>
      <c r="HZ2389" s="73"/>
      <c r="IA2389" s="73"/>
      <c r="IB2389" s="73"/>
      <c r="IC2389" s="73"/>
      <c r="ID2389" s="73"/>
      <c r="IE2389" s="73"/>
      <c r="IF2389" s="73"/>
      <c r="IG2389" s="73"/>
      <c r="IH2389" s="73"/>
      <c r="II2389" s="73"/>
      <c r="IJ2389" s="73"/>
      <c r="IK2389" s="73"/>
      <c r="IL2389" s="73"/>
      <c r="IM2389" s="73"/>
      <c r="IN2389" s="73"/>
      <c r="IO2389" s="73"/>
      <c r="IP2389" s="73"/>
      <c r="IQ2389" s="73"/>
      <c r="IR2389" s="73"/>
      <c r="IS2389" s="73"/>
      <c r="IT2389" s="73"/>
      <c r="IU2389" s="73"/>
      <c r="IV2389" s="73"/>
      <c r="IW2389" s="73"/>
      <c r="IX2389" s="73"/>
      <c r="IY2389" s="73"/>
      <c r="IZ2389" s="73"/>
      <c r="JA2389" s="73"/>
      <c r="JB2389" s="73"/>
      <c r="JC2389" s="73"/>
    </row>
    <row r="2390" spans="2:263" s="72" customFormat="1">
      <c r="B2390" s="73"/>
      <c r="C2390" s="73"/>
      <c r="D2390" s="73"/>
      <c r="E2390" s="73"/>
      <c r="F2390" s="73"/>
      <c r="G2390" s="73"/>
      <c r="H2390" s="73"/>
      <c r="I2390" s="73"/>
      <c r="J2390" s="73"/>
      <c r="K2390" s="73"/>
      <c r="L2390" s="73"/>
      <c r="M2390" s="73"/>
      <c r="N2390" s="73"/>
      <c r="O2390" s="73"/>
      <c r="P2390" s="73"/>
      <c r="Q2390" s="73"/>
      <c r="R2390" s="73"/>
      <c r="S2390" s="73"/>
      <c r="T2390" s="73"/>
      <c r="U2390" s="73"/>
      <c r="V2390" s="73"/>
      <c r="W2390" s="73"/>
      <c r="GL2390" s="73"/>
      <c r="GM2390" s="73"/>
      <c r="GN2390" s="73"/>
      <c r="GO2390" s="73"/>
      <c r="GP2390" s="73"/>
      <c r="GQ2390" s="73"/>
      <c r="GR2390" s="73"/>
      <c r="GS2390" s="73"/>
      <c r="GT2390" s="73"/>
      <c r="GU2390" s="73"/>
      <c r="GV2390" s="73"/>
      <c r="GW2390" s="73"/>
      <c r="GX2390" s="73"/>
      <c r="GY2390" s="73"/>
      <c r="GZ2390" s="73"/>
      <c r="HA2390" s="73"/>
      <c r="HB2390" s="73"/>
      <c r="HC2390" s="73"/>
      <c r="HD2390" s="73"/>
      <c r="HE2390" s="73"/>
      <c r="HF2390" s="73"/>
      <c r="HG2390" s="73"/>
      <c r="HH2390" s="73"/>
      <c r="HI2390" s="73"/>
      <c r="HJ2390" s="73"/>
      <c r="HK2390" s="73"/>
      <c r="HL2390" s="73"/>
      <c r="HM2390" s="73"/>
      <c r="HN2390" s="73"/>
      <c r="HO2390" s="73"/>
      <c r="HP2390" s="73"/>
      <c r="HQ2390" s="73"/>
      <c r="HR2390" s="73"/>
      <c r="HS2390" s="73"/>
      <c r="HT2390" s="73"/>
      <c r="HU2390" s="73"/>
      <c r="HV2390" s="73"/>
      <c r="HW2390" s="73"/>
      <c r="HX2390" s="73"/>
      <c r="HY2390" s="73"/>
      <c r="HZ2390" s="73"/>
      <c r="IA2390" s="73"/>
      <c r="IB2390" s="73"/>
      <c r="IC2390" s="73"/>
      <c r="ID2390" s="73"/>
      <c r="IE2390" s="73"/>
      <c r="IF2390" s="73"/>
      <c r="IG2390" s="73"/>
      <c r="IH2390" s="73"/>
      <c r="II2390" s="73"/>
      <c r="IJ2390" s="73"/>
      <c r="IK2390" s="73"/>
      <c r="IL2390" s="73"/>
      <c r="IM2390" s="73"/>
      <c r="IN2390" s="73"/>
      <c r="IO2390" s="73"/>
      <c r="IP2390" s="73"/>
      <c r="IQ2390" s="73"/>
      <c r="IR2390" s="73"/>
      <c r="IS2390" s="73"/>
      <c r="IT2390" s="73"/>
      <c r="IU2390" s="73"/>
      <c r="IV2390" s="73"/>
      <c r="IW2390" s="73"/>
      <c r="IX2390" s="73"/>
      <c r="IY2390" s="73"/>
      <c r="IZ2390" s="73"/>
      <c r="JA2390" s="73"/>
      <c r="JB2390" s="73"/>
      <c r="JC2390" s="73"/>
    </row>
    <row r="2391" spans="2:263" s="72" customFormat="1">
      <c r="B2391" s="73"/>
      <c r="C2391" s="73"/>
      <c r="D2391" s="73"/>
      <c r="E2391" s="73"/>
      <c r="F2391" s="73"/>
      <c r="G2391" s="73"/>
      <c r="H2391" s="73"/>
      <c r="I2391" s="73"/>
      <c r="J2391" s="73"/>
      <c r="K2391" s="73"/>
      <c r="L2391" s="73"/>
      <c r="M2391" s="73"/>
      <c r="N2391" s="73"/>
      <c r="O2391" s="73"/>
      <c r="P2391" s="73"/>
      <c r="Q2391" s="73"/>
      <c r="R2391" s="73"/>
      <c r="S2391" s="73"/>
      <c r="T2391" s="73"/>
      <c r="U2391" s="73"/>
      <c r="V2391" s="73"/>
      <c r="W2391" s="73"/>
      <c r="GL2391" s="73"/>
      <c r="GM2391" s="73"/>
      <c r="GN2391" s="73"/>
      <c r="GO2391" s="73"/>
      <c r="GP2391" s="73"/>
      <c r="GQ2391" s="73"/>
      <c r="GR2391" s="73"/>
      <c r="GS2391" s="73"/>
      <c r="GT2391" s="73"/>
      <c r="GU2391" s="73"/>
      <c r="GV2391" s="73"/>
      <c r="GW2391" s="73"/>
      <c r="GX2391" s="73"/>
      <c r="GY2391" s="73"/>
      <c r="GZ2391" s="73"/>
      <c r="HA2391" s="73"/>
      <c r="HB2391" s="73"/>
      <c r="HC2391" s="73"/>
      <c r="HD2391" s="73"/>
      <c r="HE2391" s="73"/>
      <c r="HF2391" s="73"/>
      <c r="HG2391" s="73"/>
      <c r="HH2391" s="73"/>
      <c r="HI2391" s="73"/>
      <c r="HJ2391" s="73"/>
      <c r="HK2391" s="73"/>
      <c r="HL2391" s="73"/>
      <c r="HM2391" s="73"/>
      <c r="HN2391" s="73"/>
      <c r="HO2391" s="73"/>
      <c r="HP2391" s="73"/>
      <c r="HQ2391" s="73"/>
      <c r="HR2391" s="73"/>
      <c r="HS2391" s="73"/>
      <c r="HT2391" s="73"/>
      <c r="HU2391" s="73"/>
      <c r="HV2391" s="73"/>
      <c r="HW2391" s="73"/>
      <c r="HX2391" s="73"/>
      <c r="HY2391" s="73"/>
      <c r="HZ2391" s="73"/>
      <c r="IA2391" s="73"/>
      <c r="IB2391" s="73"/>
      <c r="IC2391" s="73"/>
      <c r="ID2391" s="73"/>
      <c r="IE2391" s="73"/>
      <c r="IF2391" s="73"/>
      <c r="IG2391" s="73"/>
      <c r="IH2391" s="73"/>
      <c r="II2391" s="73"/>
      <c r="IJ2391" s="73"/>
      <c r="IK2391" s="73"/>
      <c r="IL2391" s="73"/>
      <c r="IM2391" s="73"/>
      <c r="IN2391" s="73"/>
      <c r="IO2391" s="73"/>
      <c r="IP2391" s="73"/>
      <c r="IQ2391" s="73"/>
      <c r="IR2391" s="73"/>
      <c r="IS2391" s="73"/>
      <c r="IT2391" s="73"/>
      <c r="IU2391" s="73"/>
      <c r="IV2391" s="73"/>
      <c r="IW2391" s="73"/>
      <c r="IX2391" s="73"/>
      <c r="IY2391" s="73"/>
      <c r="IZ2391" s="73"/>
      <c r="JA2391" s="73"/>
      <c r="JB2391" s="73"/>
      <c r="JC2391" s="73"/>
    </row>
    <row r="2392" spans="2:263" s="72" customFormat="1">
      <c r="B2392" s="73"/>
      <c r="C2392" s="73"/>
      <c r="D2392" s="73"/>
      <c r="E2392" s="73"/>
      <c r="F2392" s="73"/>
      <c r="G2392" s="73"/>
      <c r="H2392" s="73"/>
      <c r="I2392" s="73"/>
      <c r="J2392" s="73"/>
      <c r="K2392" s="73"/>
      <c r="L2392" s="73"/>
      <c r="M2392" s="73"/>
      <c r="N2392" s="73"/>
      <c r="O2392" s="73"/>
      <c r="P2392" s="73"/>
      <c r="Q2392" s="73"/>
      <c r="R2392" s="73"/>
      <c r="S2392" s="73"/>
      <c r="T2392" s="73"/>
      <c r="U2392" s="73"/>
      <c r="V2392" s="73"/>
      <c r="W2392" s="73"/>
      <c r="GL2392" s="73"/>
      <c r="GM2392" s="73"/>
      <c r="GN2392" s="73"/>
      <c r="GO2392" s="73"/>
      <c r="GP2392" s="73"/>
      <c r="GQ2392" s="73"/>
      <c r="GR2392" s="73"/>
      <c r="GS2392" s="73"/>
      <c r="GT2392" s="73"/>
      <c r="GU2392" s="73"/>
      <c r="GV2392" s="73"/>
      <c r="GW2392" s="73"/>
      <c r="GX2392" s="73"/>
      <c r="GY2392" s="73"/>
      <c r="GZ2392" s="73"/>
      <c r="HA2392" s="73"/>
      <c r="HB2392" s="73"/>
      <c r="HC2392" s="73"/>
      <c r="HD2392" s="73"/>
      <c r="HE2392" s="73"/>
      <c r="HF2392" s="73"/>
      <c r="HG2392" s="73"/>
      <c r="HH2392" s="73"/>
      <c r="HI2392" s="73"/>
      <c r="HJ2392" s="73"/>
      <c r="HK2392" s="73"/>
      <c r="HL2392" s="73"/>
      <c r="HM2392" s="73"/>
      <c r="HN2392" s="73"/>
      <c r="HO2392" s="73"/>
      <c r="HP2392" s="73"/>
      <c r="HQ2392" s="73"/>
      <c r="HR2392" s="73"/>
      <c r="HS2392" s="73"/>
      <c r="HT2392" s="73"/>
      <c r="HU2392" s="73"/>
      <c r="HV2392" s="73"/>
      <c r="HW2392" s="73"/>
      <c r="HX2392" s="73"/>
      <c r="HY2392" s="73"/>
      <c r="HZ2392" s="73"/>
      <c r="IA2392" s="73"/>
      <c r="IB2392" s="73"/>
      <c r="IC2392" s="73"/>
      <c r="ID2392" s="73"/>
      <c r="IE2392" s="73"/>
      <c r="IF2392" s="73"/>
      <c r="IG2392" s="73"/>
      <c r="IH2392" s="73"/>
      <c r="II2392" s="73"/>
      <c r="IJ2392" s="73"/>
      <c r="IK2392" s="73"/>
      <c r="IL2392" s="73"/>
      <c r="IM2392" s="73"/>
      <c r="IN2392" s="73"/>
      <c r="IO2392" s="73"/>
      <c r="IP2392" s="73"/>
      <c r="IQ2392" s="73"/>
      <c r="IR2392" s="73"/>
      <c r="IS2392" s="73"/>
      <c r="IT2392" s="73"/>
      <c r="IU2392" s="73"/>
      <c r="IV2392" s="73"/>
      <c r="IW2392" s="73"/>
      <c r="IX2392" s="73"/>
      <c r="IY2392" s="73"/>
      <c r="IZ2392" s="73"/>
      <c r="JA2392" s="73"/>
      <c r="JB2392" s="73"/>
      <c r="JC2392" s="73"/>
    </row>
    <row r="2393" spans="2:263" s="72" customFormat="1">
      <c r="B2393" s="73"/>
      <c r="C2393" s="73"/>
      <c r="D2393" s="73"/>
      <c r="E2393" s="73"/>
      <c r="F2393" s="73"/>
      <c r="G2393" s="73"/>
      <c r="H2393" s="73"/>
      <c r="I2393" s="73"/>
      <c r="J2393" s="73"/>
      <c r="K2393" s="73"/>
      <c r="L2393" s="73"/>
      <c r="M2393" s="73"/>
      <c r="N2393" s="73"/>
      <c r="O2393" s="73"/>
      <c r="P2393" s="73"/>
      <c r="Q2393" s="73"/>
      <c r="R2393" s="73"/>
      <c r="S2393" s="73"/>
      <c r="T2393" s="73"/>
      <c r="U2393" s="73"/>
      <c r="V2393" s="73"/>
      <c r="W2393" s="73"/>
      <c r="GL2393" s="73"/>
      <c r="GM2393" s="73"/>
      <c r="GN2393" s="73"/>
      <c r="GO2393" s="73"/>
      <c r="GP2393" s="73"/>
      <c r="GQ2393" s="73"/>
      <c r="GR2393" s="73"/>
      <c r="GS2393" s="73"/>
      <c r="GT2393" s="73"/>
      <c r="GU2393" s="73"/>
      <c r="GV2393" s="73"/>
      <c r="GW2393" s="73"/>
      <c r="GX2393" s="73"/>
      <c r="GY2393" s="73"/>
      <c r="GZ2393" s="73"/>
      <c r="HA2393" s="73"/>
      <c r="HB2393" s="73"/>
      <c r="HC2393" s="73"/>
      <c r="HD2393" s="73"/>
      <c r="HE2393" s="73"/>
      <c r="HF2393" s="73"/>
      <c r="HG2393" s="73"/>
      <c r="HH2393" s="73"/>
      <c r="HI2393" s="73"/>
      <c r="HJ2393" s="73"/>
      <c r="HK2393" s="73"/>
      <c r="HL2393" s="73"/>
      <c r="HM2393" s="73"/>
      <c r="HN2393" s="73"/>
      <c r="HO2393" s="73"/>
      <c r="HP2393" s="73"/>
      <c r="HQ2393" s="73"/>
      <c r="HR2393" s="73"/>
      <c r="HS2393" s="73"/>
      <c r="HT2393" s="73"/>
      <c r="HU2393" s="73"/>
      <c r="HV2393" s="73"/>
      <c r="HW2393" s="73"/>
      <c r="HX2393" s="73"/>
      <c r="HY2393" s="73"/>
      <c r="HZ2393" s="73"/>
      <c r="IA2393" s="73"/>
      <c r="IB2393" s="73"/>
      <c r="IC2393" s="73"/>
      <c r="ID2393" s="73"/>
      <c r="IE2393" s="73"/>
      <c r="IF2393" s="73"/>
      <c r="IG2393" s="73"/>
      <c r="IH2393" s="73"/>
      <c r="II2393" s="73"/>
      <c r="IJ2393" s="73"/>
      <c r="IK2393" s="73"/>
      <c r="IL2393" s="73"/>
      <c r="IM2393" s="73"/>
      <c r="IN2393" s="73"/>
      <c r="IO2393" s="73"/>
      <c r="IP2393" s="73"/>
      <c r="IQ2393" s="73"/>
      <c r="IR2393" s="73"/>
      <c r="IS2393" s="73"/>
      <c r="IT2393" s="73"/>
      <c r="IU2393" s="73"/>
      <c r="IV2393" s="73"/>
      <c r="IW2393" s="73"/>
      <c r="IX2393" s="73"/>
      <c r="IY2393" s="73"/>
      <c r="IZ2393" s="73"/>
      <c r="JA2393" s="73"/>
      <c r="JB2393" s="73"/>
      <c r="JC2393" s="73"/>
    </row>
    <row r="2394" spans="2:263" s="72" customFormat="1">
      <c r="B2394" s="73"/>
      <c r="C2394" s="73"/>
      <c r="D2394" s="73"/>
      <c r="E2394" s="73"/>
      <c r="F2394" s="73"/>
      <c r="G2394" s="73"/>
      <c r="H2394" s="73"/>
      <c r="I2394" s="73"/>
      <c r="J2394" s="73"/>
      <c r="K2394" s="73"/>
      <c r="L2394" s="73"/>
      <c r="M2394" s="73"/>
      <c r="N2394" s="73"/>
      <c r="O2394" s="73"/>
      <c r="P2394" s="73"/>
      <c r="Q2394" s="73"/>
      <c r="R2394" s="73"/>
      <c r="S2394" s="73"/>
      <c r="T2394" s="73"/>
      <c r="U2394" s="73"/>
      <c r="V2394" s="73"/>
      <c r="W2394" s="73"/>
      <c r="GL2394" s="73"/>
      <c r="GM2394" s="73"/>
      <c r="GN2394" s="73"/>
      <c r="GO2394" s="73"/>
      <c r="GP2394" s="73"/>
      <c r="GQ2394" s="73"/>
      <c r="GR2394" s="73"/>
      <c r="GS2394" s="73"/>
      <c r="GT2394" s="73"/>
      <c r="GU2394" s="73"/>
      <c r="GV2394" s="73"/>
      <c r="GW2394" s="73"/>
      <c r="GX2394" s="73"/>
      <c r="GY2394" s="73"/>
      <c r="GZ2394" s="73"/>
      <c r="HA2394" s="73"/>
      <c r="HB2394" s="73"/>
      <c r="HC2394" s="73"/>
      <c r="HD2394" s="73"/>
      <c r="HE2394" s="73"/>
      <c r="HF2394" s="73"/>
      <c r="HG2394" s="73"/>
      <c r="HH2394" s="73"/>
      <c r="HI2394" s="73"/>
      <c r="HJ2394" s="73"/>
      <c r="HK2394" s="73"/>
      <c r="HL2394" s="73"/>
      <c r="HM2394" s="73"/>
      <c r="HN2394" s="73"/>
      <c r="HO2394" s="73"/>
      <c r="HP2394" s="73"/>
      <c r="HQ2394" s="73"/>
      <c r="HR2394" s="73"/>
      <c r="HS2394" s="73"/>
      <c r="HT2394" s="73"/>
      <c r="HU2394" s="73"/>
      <c r="HV2394" s="73"/>
      <c r="HW2394" s="73"/>
      <c r="HX2394" s="73"/>
      <c r="HY2394" s="73"/>
      <c r="HZ2394" s="73"/>
      <c r="IA2394" s="73"/>
      <c r="IB2394" s="73"/>
      <c r="IC2394" s="73"/>
      <c r="ID2394" s="73"/>
      <c r="IE2394" s="73"/>
      <c r="IF2394" s="73"/>
      <c r="IG2394" s="73"/>
      <c r="IH2394" s="73"/>
      <c r="II2394" s="73"/>
      <c r="IJ2394" s="73"/>
      <c r="IK2394" s="73"/>
      <c r="IL2394" s="73"/>
      <c r="IM2394" s="73"/>
      <c r="IN2394" s="73"/>
      <c r="IO2394" s="73"/>
      <c r="IP2394" s="73"/>
      <c r="IQ2394" s="73"/>
      <c r="IR2394" s="73"/>
      <c r="IS2394" s="73"/>
      <c r="IT2394" s="73"/>
      <c r="IU2394" s="73"/>
      <c r="IV2394" s="73"/>
      <c r="IW2394" s="73"/>
      <c r="IX2394" s="73"/>
      <c r="IY2394" s="73"/>
      <c r="IZ2394" s="73"/>
      <c r="JA2394" s="73"/>
      <c r="JB2394" s="73"/>
      <c r="JC2394" s="73"/>
    </row>
    <row r="2395" spans="2:263" s="72" customFormat="1">
      <c r="B2395" s="73"/>
      <c r="C2395" s="73"/>
      <c r="D2395" s="73"/>
      <c r="E2395" s="73"/>
      <c r="F2395" s="73"/>
      <c r="G2395" s="73"/>
      <c r="H2395" s="73"/>
      <c r="I2395" s="73"/>
      <c r="J2395" s="73"/>
      <c r="K2395" s="73"/>
      <c r="L2395" s="73"/>
      <c r="M2395" s="73"/>
      <c r="N2395" s="73"/>
      <c r="O2395" s="73"/>
      <c r="P2395" s="73"/>
      <c r="Q2395" s="73"/>
      <c r="R2395" s="73"/>
      <c r="S2395" s="73"/>
      <c r="T2395" s="73"/>
      <c r="U2395" s="73"/>
      <c r="V2395" s="73"/>
      <c r="W2395" s="73"/>
      <c r="GL2395" s="73"/>
      <c r="GM2395" s="73"/>
      <c r="GN2395" s="73"/>
      <c r="GO2395" s="73"/>
      <c r="GP2395" s="73"/>
      <c r="GQ2395" s="73"/>
      <c r="GR2395" s="73"/>
      <c r="GS2395" s="73"/>
      <c r="GT2395" s="73"/>
      <c r="GU2395" s="73"/>
      <c r="GV2395" s="73"/>
      <c r="GW2395" s="73"/>
      <c r="GX2395" s="73"/>
      <c r="GY2395" s="73"/>
      <c r="GZ2395" s="73"/>
      <c r="HA2395" s="73"/>
      <c r="HB2395" s="73"/>
      <c r="HC2395" s="73"/>
      <c r="HD2395" s="73"/>
      <c r="HE2395" s="73"/>
      <c r="HF2395" s="73"/>
      <c r="HG2395" s="73"/>
      <c r="HH2395" s="73"/>
      <c r="HI2395" s="73"/>
      <c r="HJ2395" s="73"/>
      <c r="HK2395" s="73"/>
      <c r="HL2395" s="73"/>
      <c r="HM2395" s="73"/>
      <c r="HN2395" s="73"/>
      <c r="HO2395" s="73"/>
      <c r="HP2395" s="73"/>
      <c r="HQ2395" s="73"/>
      <c r="HR2395" s="73"/>
      <c r="HS2395" s="73"/>
      <c r="HT2395" s="73"/>
      <c r="HU2395" s="73"/>
      <c r="HV2395" s="73"/>
      <c r="HW2395" s="73"/>
      <c r="HX2395" s="73"/>
      <c r="HY2395" s="73"/>
      <c r="HZ2395" s="73"/>
      <c r="IA2395" s="73"/>
      <c r="IB2395" s="73"/>
      <c r="IC2395" s="73"/>
      <c r="ID2395" s="73"/>
      <c r="IE2395" s="73"/>
      <c r="IF2395" s="73"/>
      <c r="IG2395" s="73"/>
      <c r="IH2395" s="73"/>
      <c r="II2395" s="73"/>
      <c r="IJ2395" s="73"/>
      <c r="IK2395" s="73"/>
      <c r="IL2395" s="73"/>
      <c r="IM2395" s="73"/>
      <c r="IN2395" s="73"/>
      <c r="IO2395" s="73"/>
      <c r="IP2395" s="73"/>
      <c r="IQ2395" s="73"/>
      <c r="IR2395" s="73"/>
      <c r="IS2395" s="73"/>
      <c r="IT2395" s="73"/>
      <c r="IU2395" s="73"/>
      <c r="IV2395" s="73"/>
      <c r="IW2395" s="73"/>
      <c r="IX2395" s="73"/>
      <c r="IY2395" s="73"/>
      <c r="IZ2395" s="73"/>
      <c r="JA2395" s="73"/>
      <c r="JB2395" s="73"/>
      <c r="JC2395" s="73"/>
    </row>
    <row r="2396" spans="2:263" s="72" customFormat="1">
      <c r="B2396" s="73"/>
      <c r="C2396" s="73"/>
      <c r="D2396" s="73"/>
      <c r="E2396" s="73"/>
      <c r="F2396" s="73"/>
      <c r="G2396" s="73"/>
      <c r="H2396" s="73"/>
      <c r="I2396" s="73"/>
      <c r="J2396" s="73"/>
      <c r="K2396" s="73"/>
      <c r="L2396" s="73"/>
      <c r="M2396" s="73"/>
      <c r="N2396" s="73"/>
      <c r="O2396" s="73"/>
      <c r="P2396" s="73"/>
      <c r="Q2396" s="73"/>
      <c r="R2396" s="73"/>
      <c r="S2396" s="73"/>
      <c r="T2396" s="73"/>
      <c r="U2396" s="73"/>
      <c r="V2396" s="73"/>
      <c r="W2396" s="73"/>
      <c r="GL2396" s="73"/>
      <c r="GM2396" s="73"/>
      <c r="GN2396" s="73"/>
      <c r="GO2396" s="73"/>
      <c r="GP2396" s="73"/>
      <c r="GQ2396" s="73"/>
      <c r="GR2396" s="73"/>
      <c r="GS2396" s="73"/>
      <c r="GT2396" s="73"/>
      <c r="GU2396" s="73"/>
      <c r="GV2396" s="73"/>
      <c r="GW2396" s="73"/>
      <c r="GX2396" s="73"/>
      <c r="GY2396" s="73"/>
      <c r="GZ2396" s="73"/>
      <c r="HA2396" s="73"/>
      <c r="HB2396" s="73"/>
      <c r="HC2396" s="73"/>
      <c r="HD2396" s="73"/>
      <c r="HE2396" s="73"/>
      <c r="HF2396" s="73"/>
      <c r="HG2396" s="73"/>
      <c r="HH2396" s="73"/>
      <c r="HI2396" s="73"/>
      <c r="HJ2396" s="73"/>
      <c r="HK2396" s="73"/>
      <c r="HL2396" s="73"/>
      <c r="HM2396" s="73"/>
      <c r="HN2396" s="73"/>
      <c r="HO2396" s="73"/>
      <c r="HP2396" s="73"/>
      <c r="HQ2396" s="73"/>
      <c r="HR2396" s="73"/>
      <c r="HS2396" s="73"/>
      <c r="HT2396" s="73"/>
      <c r="HU2396" s="73"/>
      <c r="HV2396" s="73"/>
      <c r="HW2396" s="73"/>
      <c r="HX2396" s="73"/>
      <c r="HY2396" s="73"/>
      <c r="HZ2396" s="73"/>
      <c r="IA2396" s="73"/>
      <c r="IB2396" s="73"/>
      <c r="IC2396" s="73"/>
      <c r="ID2396" s="73"/>
      <c r="IE2396" s="73"/>
      <c r="IF2396" s="73"/>
      <c r="IG2396" s="73"/>
      <c r="IH2396" s="73"/>
      <c r="II2396" s="73"/>
      <c r="IJ2396" s="73"/>
      <c r="IK2396" s="73"/>
      <c r="IL2396" s="73"/>
      <c r="IM2396" s="73"/>
      <c r="IN2396" s="73"/>
      <c r="IO2396" s="73"/>
      <c r="IP2396" s="73"/>
      <c r="IQ2396" s="73"/>
      <c r="IR2396" s="73"/>
      <c r="IS2396" s="73"/>
      <c r="IT2396" s="73"/>
      <c r="IU2396" s="73"/>
      <c r="IV2396" s="73"/>
      <c r="IW2396" s="73"/>
      <c r="IX2396" s="73"/>
      <c r="IY2396" s="73"/>
      <c r="IZ2396" s="73"/>
      <c r="JA2396" s="73"/>
      <c r="JB2396" s="73"/>
      <c r="JC2396" s="73"/>
    </row>
    <row r="2397" spans="2:263" s="72" customFormat="1">
      <c r="B2397" s="73"/>
      <c r="C2397" s="73"/>
      <c r="D2397" s="73"/>
      <c r="E2397" s="73"/>
      <c r="F2397" s="73"/>
      <c r="G2397" s="73"/>
      <c r="H2397" s="73"/>
      <c r="I2397" s="73"/>
      <c r="J2397" s="73"/>
      <c r="K2397" s="73"/>
      <c r="L2397" s="73"/>
      <c r="M2397" s="73"/>
      <c r="N2397" s="73"/>
      <c r="O2397" s="73"/>
      <c r="P2397" s="73"/>
      <c r="Q2397" s="73"/>
      <c r="R2397" s="73"/>
      <c r="S2397" s="73"/>
      <c r="T2397" s="73"/>
      <c r="U2397" s="73"/>
      <c r="V2397" s="73"/>
      <c r="W2397" s="73"/>
      <c r="GL2397" s="73"/>
      <c r="GM2397" s="73"/>
      <c r="GN2397" s="73"/>
      <c r="GO2397" s="73"/>
      <c r="GP2397" s="73"/>
      <c r="GQ2397" s="73"/>
      <c r="GR2397" s="73"/>
      <c r="GS2397" s="73"/>
      <c r="GT2397" s="73"/>
      <c r="GU2397" s="73"/>
      <c r="GV2397" s="73"/>
      <c r="GW2397" s="73"/>
      <c r="GX2397" s="73"/>
      <c r="GY2397" s="73"/>
      <c r="GZ2397" s="73"/>
      <c r="HA2397" s="73"/>
      <c r="HB2397" s="73"/>
      <c r="HC2397" s="73"/>
      <c r="HD2397" s="73"/>
      <c r="HE2397" s="73"/>
      <c r="HF2397" s="73"/>
      <c r="HG2397" s="73"/>
      <c r="HH2397" s="73"/>
      <c r="HI2397" s="73"/>
      <c r="HJ2397" s="73"/>
      <c r="HK2397" s="73"/>
      <c r="HL2397" s="73"/>
      <c r="HM2397" s="73"/>
      <c r="HN2397" s="73"/>
      <c r="HO2397" s="73"/>
      <c r="HP2397" s="73"/>
      <c r="HQ2397" s="73"/>
      <c r="HR2397" s="73"/>
      <c r="HS2397" s="73"/>
      <c r="HT2397" s="73"/>
      <c r="HU2397" s="73"/>
      <c r="HV2397" s="73"/>
      <c r="HW2397" s="73"/>
      <c r="HX2397" s="73"/>
      <c r="HY2397" s="73"/>
      <c r="HZ2397" s="73"/>
      <c r="IA2397" s="73"/>
      <c r="IB2397" s="73"/>
      <c r="IC2397" s="73"/>
      <c r="ID2397" s="73"/>
      <c r="IE2397" s="73"/>
      <c r="IF2397" s="73"/>
      <c r="IG2397" s="73"/>
      <c r="IH2397" s="73"/>
      <c r="II2397" s="73"/>
      <c r="IJ2397" s="73"/>
      <c r="IK2397" s="73"/>
      <c r="IL2397" s="73"/>
      <c r="IM2397" s="73"/>
      <c r="IN2397" s="73"/>
      <c r="IO2397" s="73"/>
      <c r="IP2397" s="73"/>
      <c r="IQ2397" s="73"/>
      <c r="IR2397" s="73"/>
      <c r="IS2397" s="73"/>
      <c r="IT2397" s="73"/>
      <c r="IU2397" s="73"/>
      <c r="IV2397" s="73"/>
      <c r="IW2397" s="73"/>
      <c r="IX2397" s="73"/>
      <c r="IY2397" s="73"/>
      <c r="IZ2397" s="73"/>
      <c r="JA2397" s="73"/>
      <c r="JB2397" s="73"/>
      <c r="JC2397" s="73"/>
    </row>
    <row r="2398" spans="2:263" s="72" customFormat="1">
      <c r="B2398" s="73"/>
      <c r="C2398" s="73"/>
      <c r="D2398" s="73"/>
      <c r="E2398" s="73"/>
      <c r="F2398" s="73"/>
      <c r="G2398" s="73"/>
      <c r="H2398" s="73"/>
      <c r="I2398" s="73"/>
      <c r="J2398" s="73"/>
      <c r="K2398" s="73"/>
      <c r="L2398" s="73"/>
      <c r="M2398" s="73"/>
      <c r="N2398" s="73"/>
      <c r="O2398" s="73"/>
      <c r="P2398" s="73"/>
      <c r="Q2398" s="73"/>
      <c r="R2398" s="73"/>
      <c r="S2398" s="73"/>
      <c r="T2398" s="73"/>
      <c r="U2398" s="73"/>
      <c r="V2398" s="73"/>
      <c r="W2398" s="73"/>
      <c r="GL2398" s="73"/>
      <c r="GM2398" s="73"/>
      <c r="GN2398" s="73"/>
      <c r="GO2398" s="73"/>
      <c r="GP2398" s="73"/>
      <c r="GQ2398" s="73"/>
      <c r="GR2398" s="73"/>
      <c r="GS2398" s="73"/>
      <c r="GT2398" s="73"/>
      <c r="GU2398" s="73"/>
      <c r="GV2398" s="73"/>
      <c r="GW2398" s="73"/>
      <c r="GX2398" s="73"/>
      <c r="GY2398" s="73"/>
      <c r="GZ2398" s="73"/>
      <c r="HA2398" s="73"/>
      <c r="HB2398" s="73"/>
      <c r="HC2398" s="73"/>
      <c r="HD2398" s="73"/>
      <c r="HE2398" s="73"/>
      <c r="HF2398" s="73"/>
      <c r="HG2398" s="73"/>
      <c r="HH2398" s="73"/>
      <c r="HI2398" s="73"/>
      <c r="HJ2398" s="73"/>
      <c r="HK2398" s="73"/>
      <c r="HL2398" s="73"/>
      <c r="HM2398" s="73"/>
      <c r="HN2398" s="73"/>
      <c r="HO2398" s="73"/>
      <c r="HP2398" s="73"/>
      <c r="HQ2398" s="73"/>
      <c r="HR2398" s="73"/>
      <c r="HS2398" s="73"/>
      <c r="HT2398" s="73"/>
      <c r="HU2398" s="73"/>
      <c r="HV2398" s="73"/>
      <c r="HW2398" s="73"/>
      <c r="HX2398" s="73"/>
      <c r="HY2398" s="73"/>
      <c r="HZ2398" s="73"/>
      <c r="IA2398" s="73"/>
      <c r="IB2398" s="73"/>
      <c r="IC2398" s="73"/>
      <c r="ID2398" s="73"/>
      <c r="IE2398" s="73"/>
      <c r="IF2398" s="73"/>
      <c r="IG2398" s="73"/>
      <c r="IH2398" s="73"/>
      <c r="II2398" s="73"/>
      <c r="IJ2398" s="73"/>
      <c r="IK2398" s="73"/>
      <c r="IL2398" s="73"/>
      <c r="IM2398" s="73"/>
      <c r="IN2398" s="73"/>
      <c r="IO2398" s="73"/>
      <c r="IP2398" s="73"/>
      <c r="IQ2398" s="73"/>
      <c r="IR2398" s="73"/>
      <c r="IS2398" s="73"/>
      <c r="IT2398" s="73"/>
      <c r="IU2398" s="73"/>
      <c r="IV2398" s="73"/>
      <c r="IW2398" s="73"/>
      <c r="IX2398" s="73"/>
      <c r="IY2398" s="73"/>
      <c r="IZ2398" s="73"/>
      <c r="JA2398" s="73"/>
      <c r="JB2398" s="73"/>
      <c r="JC2398" s="73"/>
    </row>
    <row r="2399" spans="2:263" s="72" customFormat="1">
      <c r="B2399" s="73"/>
      <c r="C2399" s="73"/>
      <c r="D2399" s="73"/>
      <c r="E2399" s="73"/>
      <c r="F2399" s="73"/>
      <c r="G2399" s="73"/>
      <c r="H2399" s="73"/>
      <c r="I2399" s="73"/>
      <c r="J2399" s="73"/>
      <c r="K2399" s="73"/>
      <c r="L2399" s="73"/>
      <c r="M2399" s="73"/>
      <c r="N2399" s="73"/>
      <c r="O2399" s="73"/>
      <c r="P2399" s="73"/>
      <c r="Q2399" s="73"/>
      <c r="R2399" s="73"/>
      <c r="S2399" s="73"/>
      <c r="T2399" s="73"/>
      <c r="U2399" s="73"/>
      <c r="V2399" s="73"/>
      <c r="W2399" s="73"/>
      <c r="GL2399" s="73"/>
      <c r="GM2399" s="73"/>
      <c r="GN2399" s="73"/>
      <c r="GO2399" s="73"/>
      <c r="GP2399" s="73"/>
      <c r="GQ2399" s="73"/>
      <c r="GR2399" s="73"/>
      <c r="GS2399" s="73"/>
      <c r="GT2399" s="73"/>
      <c r="GU2399" s="73"/>
      <c r="GV2399" s="73"/>
      <c r="GW2399" s="73"/>
      <c r="GX2399" s="73"/>
      <c r="GY2399" s="73"/>
      <c r="GZ2399" s="73"/>
      <c r="HA2399" s="73"/>
      <c r="HB2399" s="73"/>
      <c r="HC2399" s="73"/>
      <c r="HD2399" s="73"/>
      <c r="HE2399" s="73"/>
      <c r="HF2399" s="73"/>
      <c r="HG2399" s="73"/>
      <c r="HH2399" s="73"/>
      <c r="HI2399" s="73"/>
      <c r="HJ2399" s="73"/>
      <c r="HK2399" s="73"/>
      <c r="HL2399" s="73"/>
      <c r="HM2399" s="73"/>
      <c r="HN2399" s="73"/>
      <c r="HO2399" s="73"/>
      <c r="HP2399" s="73"/>
      <c r="HQ2399" s="73"/>
      <c r="HR2399" s="73"/>
      <c r="HS2399" s="73"/>
      <c r="HT2399" s="73"/>
      <c r="HU2399" s="73"/>
      <c r="HV2399" s="73"/>
      <c r="HW2399" s="73"/>
      <c r="HX2399" s="73"/>
      <c r="HY2399" s="73"/>
      <c r="HZ2399" s="73"/>
      <c r="IA2399" s="73"/>
      <c r="IB2399" s="73"/>
      <c r="IC2399" s="73"/>
      <c r="ID2399" s="73"/>
      <c r="IE2399" s="73"/>
      <c r="IF2399" s="73"/>
      <c r="IG2399" s="73"/>
      <c r="IH2399" s="73"/>
      <c r="II2399" s="73"/>
      <c r="IJ2399" s="73"/>
      <c r="IK2399" s="73"/>
      <c r="IL2399" s="73"/>
      <c r="IM2399" s="73"/>
      <c r="IN2399" s="73"/>
      <c r="IO2399" s="73"/>
      <c r="IP2399" s="73"/>
      <c r="IQ2399" s="73"/>
      <c r="IR2399" s="73"/>
      <c r="IS2399" s="73"/>
      <c r="IT2399" s="73"/>
      <c r="IU2399" s="73"/>
      <c r="IV2399" s="73"/>
      <c r="IW2399" s="73"/>
      <c r="IX2399" s="73"/>
      <c r="IY2399" s="73"/>
      <c r="IZ2399" s="73"/>
      <c r="JA2399" s="73"/>
      <c r="JB2399" s="73"/>
      <c r="JC2399" s="73"/>
    </row>
    <row r="2400" spans="2:263" s="72" customFormat="1">
      <c r="B2400" s="73"/>
      <c r="C2400" s="73"/>
      <c r="D2400" s="73"/>
      <c r="E2400" s="73"/>
      <c r="F2400" s="73"/>
      <c r="G2400" s="73"/>
      <c r="H2400" s="73"/>
      <c r="I2400" s="73"/>
      <c r="J2400" s="73"/>
      <c r="K2400" s="73"/>
      <c r="L2400" s="73"/>
      <c r="M2400" s="73"/>
      <c r="N2400" s="73"/>
      <c r="O2400" s="73"/>
      <c r="P2400" s="73"/>
      <c r="Q2400" s="73"/>
      <c r="R2400" s="73"/>
      <c r="S2400" s="73"/>
      <c r="T2400" s="73"/>
      <c r="U2400" s="73"/>
      <c r="V2400" s="73"/>
      <c r="W2400" s="73"/>
      <c r="GL2400" s="73"/>
      <c r="GM2400" s="73"/>
      <c r="GN2400" s="73"/>
      <c r="GO2400" s="73"/>
      <c r="GP2400" s="73"/>
      <c r="GQ2400" s="73"/>
      <c r="GR2400" s="73"/>
      <c r="GS2400" s="73"/>
      <c r="GT2400" s="73"/>
      <c r="GU2400" s="73"/>
      <c r="GV2400" s="73"/>
      <c r="GW2400" s="73"/>
      <c r="GX2400" s="73"/>
      <c r="GY2400" s="73"/>
      <c r="GZ2400" s="73"/>
      <c r="HA2400" s="73"/>
      <c r="HB2400" s="73"/>
      <c r="HC2400" s="73"/>
      <c r="HD2400" s="73"/>
      <c r="HE2400" s="73"/>
      <c r="HF2400" s="73"/>
      <c r="HG2400" s="73"/>
      <c r="HH2400" s="73"/>
      <c r="HI2400" s="73"/>
      <c r="HJ2400" s="73"/>
      <c r="HK2400" s="73"/>
      <c r="HL2400" s="73"/>
      <c r="HM2400" s="73"/>
      <c r="HN2400" s="73"/>
      <c r="HO2400" s="73"/>
      <c r="HP2400" s="73"/>
      <c r="HQ2400" s="73"/>
      <c r="HR2400" s="73"/>
      <c r="HS2400" s="73"/>
      <c r="HT2400" s="73"/>
      <c r="HU2400" s="73"/>
      <c r="HV2400" s="73"/>
      <c r="HW2400" s="73"/>
      <c r="HX2400" s="73"/>
      <c r="HY2400" s="73"/>
      <c r="HZ2400" s="73"/>
      <c r="IA2400" s="73"/>
      <c r="IB2400" s="73"/>
      <c r="IC2400" s="73"/>
      <c r="ID2400" s="73"/>
      <c r="IE2400" s="73"/>
      <c r="IF2400" s="73"/>
      <c r="IG2400" s="73"/>
      <c r="IH2400" s="73"/>
      <c r="II2400" s="73"/>
      <c r="IJ2400" s="73"/>
      <c r="IK2400" s="73"/>
      <c r="IL2400" s="73"/>
      <c r="IM2400" s="73"/>
      <c r="IN2400" s="73"/>
      <c r="IO2400" s="73"/>
      <c r="IP2400" s="73"/>
      <c r="IQ2400" s="73"/>
      <c r="IR2400" s="73"/>
      <c r="IS2400" s="73"/>
      <c r="IT2400" s="73"/>
      <c r="IU2400" s="73"/>
      <c r="IV2400" s="73"/>
      <c r="IW2400" s="73"/>
      <c r="IX2400" s="73"/>
      <c r="IY2400" s="73"/>
      <c r="IZ2400" s="73"/>
      <c r="JA2400" s="73"/>
      <c r="JB2400" s="73"/>
      <c r="JC2400" s="73"/>
    </row>
    <row r="2401" spans="2:263" s="72" customFormat="1">
      <c r="B2401" s="73"/>
      <c r="C2401" s="73"/>
      <c r="D2401" s="73"/>
      <c r="E2401" s="73"/>
      <c r="F2401" s="73"/>
      <c r="G2401" s="73"/>
      <c r="H2401" s="73"/>
      <c r="I2401" s="73"/>
      <c r="J2401" s="73"/>
      <c r="K2401" s="73"/>
      <c r="L2401" s="73"/>
      <c r="M2401" s="73"/>
      <c r="N2401" s="73"/>
      <c r="O2401" s="73"/>
      <c r="P2401" s="73"/>
      <c r="Q2401" s="73"/>
      <c r="R2401" s="73"/>
      <c r="S2401" s="73"/>
      <c r="T2401" s="73"/>
      <c r="U2401" s="73"/>
      <c r="V2401" s="73"/>
      <c r="W2401" s="73"/>
      <c r="GL2401" s="73"/>
      <c r="GM2401" s="73"/>
      <c r="GN2401" s="73"/>
      <c r="GO2401" s="73"/>
      <c r="GP2401" s="73"/>
      <c r="GQ2401" s="73"/>
      <c r="GR2401" s="73"/>
      <c r="GS2401" s="73"/>
      <c r="GT2401" s="73"/>
      <c r="GU2401" s="73"/>
      <c r="GV2401" s="73"/>
      <c r="GW2401" s="73"/>
      <c r="GX2401" s="73"/>
      <c r="GY2401" s="73"/>
      <c r="GZ2401" s="73"/>
      <c r="HA2401" s="73"/>
      <c r="HB2401" s="73"/>
      <c r="HC2401" s="73"/>
      <c r="HD2401" s="73"/>
      <c r="HE2401" s="73"/>
      <c r="HF2401" s="73"/>
      <c r="HG2401" s="73"/>
      <c r="HH2401" s="73"/>
      <c r="HI2401" s="73"/>
      <c r="HJ2401" s="73"/>
      <c r="HK2401" s="73"/>
      <c r="HL2401" s="73"/>
      <c r="HM2401" s="73"/>
      <c r="HN2401" s="73"/>
      <c r="HO2401" s="73"/>
      <c r="HP2401" s="73"/>
      <c r="HQ2401" s="73"/>
      <c r="HR2401" s="73"/>
      <c r="HS2401" s="73"/>
      <c r="HT2401" s="73"/>
      <c r="HU2401" s="73"/>
      <c r="HV2401" s="73"/>
      <c r="HW2401" s="73"/>
      <c r="HX2401" s="73"/>
      <c r="HY2401" s="73"/>
      <c r="HZ2401" s="73"/>
      <c r="IA2401" s="73"/>
      <c r="IB2401" s="73"/>
      <c r="IC2401" s="73"/>
      <c r="ID2401" s="73"/>
      <c r="IE2401" s="73"/>
      <c r="IF2401" s="73"/>
      <c r="IG2401" s="73"/>
      <c r="IH2401" s="73"/>
      <c r="II2401" s="73"/>
      <c r="IJ2401" s="73"/>
      <c r="IK2401" s="73"/>
      <c r="IL2401" s="73"/>
      <c r="IM2401" s="73"/>
      <c r="IN2401" s="73"/>
      <c r="IO2401" s="73"/>
      <c r="IP2401" s="73"/>
      <c r="IQ2401" s="73"/>
      <c r="IR2401" s="73"/>
      <c r="IS2401" s="73"/>
      <c r="IT2401" s="73"/>
      <c r="IU2401" s="73"/>
      <c r="IV2401" s="73"/>
      <c r="IW2401" s="73"/>
      <c r="IX2401" s="73"/>
      <c r="IY2401" s="73"/>
      <c r="IZ2401" s="73"/>
      <c r="JA2401" s="73"/>
      <c r="JB2401" s="73"/>
      <c r="JC2401" s="73"/>
    </row>
    <row r="2402" spans="2:263" s="72" customFormat="1">
      <c r="B2402" s="73"/>
      <c r="C2402" s="73"/>
      <c r="D2402" s="73"/>
      <c r="E2402" s="73"/>
      <c r="F2402" s="73"/>
      <c r="G2402" s="73"/>
      <c r="H2402" s="73"/>
      <c r="I2402" s="73"/>
      <c r="J2402" s="73"/>
      <c r="K2402" s="73"/>
      <c r="L2402" s="73"/>
      <c r="M2402" s="73"/>
      <c r="N2402" s="73"/>
      <c r="O2402" s="73"/>
      <c r="P2402" s="73"/>
      <c r="Q2402" s="73"/>
      <c r="R2402" s="73"/>
      <c r="S2402" s="73"/>
      <c r="T2402" s="73"/>
      <c r="U2402" s="73"/>
      <c r="V2402" s="73"/>
      <c r="W2402" s="73"/>
      <c r="GL2402" s="73"/>
      <c r="GM2402" s="73"/>
      <c r="GN2402" s="73"/>
      <c r="GO2402" s="73"/>
      <c r="GP2402" s="73"/>
      <c r="GQ2402" s="73"/>
      <c r="GR2402" s="73"/>
      <c r="GS2402" s="73"/>
      <c r="GT2402" s="73"/>
      <c r="GU2402" s="73"/>
      <c r="GV2402" s="73"/>
      <c r="GW2402" s="73"/>
      <c r="GX2402" s="73"/>
      <c r="GY2402" s="73"/>
      <c r="GZ2402" s="73"/>
      <c r="HA2402" s="73"/>
      <c r="HB2402" s="73"/>
      <c r="HC2402" s="73"/>
      <c r="HD2402" s="73"/>
      <c r="HE2402" s="73"/>
      <c r="HF2402" s="73"/>
      <c r="HG2402" s="73"/>
      <c r="HH2402" s="73"/>
      <c r="HI2402" s="73"/>
      <c r="HJ2402" s="73"/>
      <c r="HK2402" s="73"/>
      <c r="HL2402" s="73"/>
      <c r="HM2402" s="73"/>
      <c r="HN2402" s="73"/>
      <c r="HO2402" s="73"/>
      <c r="HP2402" s="73"/>
      <c r="HQ2402" s="73"/>
      <c r="HR2402" s="73"/>
      <c r="HS2402" s="73"/>
      <c r="HT2402" s="73"/>
      <c r="HU2402" s="73"/>
      <c r="HV2402" s="73"/>
      <c r="HW2402" s="73"/>
      <c r="HX2402" s="73"/>
      <c r="HY2402" s="73"/>
      <c r="HZ2402" s="73"/>
      <c r="IA2402" s="73"/>
      <c r="IB2402" s="73"/>
      <c r="IC2402" s="73"/>
      <c r="ID2402" s="73"/>
      <c r="IE2402" s="73"/>
      <c r="IF2402" s="73"/>
      <c r="IG2402" s="73"/>
      <c r="IH2402" s="73"/>
      <c r="II2402" s="73"/>
      <c r="IJ2402" s="73"/>
      <c r="IK2402" s="73"/>
      <c r="IL2402" s="73"/>
      <c r="IM2402" s="73"/>
      <c r="IN2402" s="73"/>
      <c r="IO2402" s="73"/>
      <c r="IP2402" s="73"/>
      <c r="IQ2402" s="73"/>
      <c r="IR2402" s="73"/>
      <c r="IS2402" s="73"/>
      <c r="IT2402" s="73"/>
      <c r="IU2402" s="73"/>
      <c r="IV2402" s="73"/>
      <c r="IW2402" s="73"/>
      <c r="IX2402" s="73"/>
      <c r="IY2402" s="73"/>
      <c r="IZ2402" s="73"/>
      <c r="JA2402" s="73"/>
      <c r="JB2402" s="73"/>
      <c r="JC2402" s="73"/>
    </row>
    <row r="2403" spans="2:263" s="72" customFormat="1">
      <c r="B2403" s="73"/>
      <c r="C2403" s="73"/>
      <c r="D2403" s="73"/>
      <c r="E2403" s="73"/>
      <c r="F2403" s="73"/>
      <c r="G2403" s="73"/>
      <c r="H2403" s="73"/>
      <c r="I2403" s="73"/>
      <c r="J2403" s="73"/>
      <c r="K2403" s="73"/>
      <c r="L2403" s="73"/>
      <c r="M2403" s="73"/>
      <c r="N2403" s="73"/>
      <c r="O2403" s="73"/>
      <c r="P2403" s="73"/>
      <c r="Q2403" s="73"/>
      <c r="R2403" s="73"/>
      <c r="S2403" s="73"/>
      <c r="T2403" s="73"/>
      <c r="U2403" s="73"/>
      <c r="V2403" s="73"/>
      <c r="W2403" s="73"/>
      <c r="GL2403" s="73"/>
      <c r="GM2403" s="73"/>
      <c r="GN2403" s="73"/>
      <c r="GO2403" s="73"/>
      <c r="GP2403" s="73"/>
      <c r="GQ2403" s="73"/>
      <c r="GR2403" s="73"/>
      <c r="GS2403" s="73"/>
      <c r="GT2403" s="73"/>
      <c r="GU2403" s="73"/>
      <c r="GV2403" s="73"/>
      <c r="GW2403" s="73"/>
      <c r="GX2403" s="73"/>
      <c r="GY2403" s="73"/>
      <c r="GZ2403" s="73"/>
      <c r="HA2403" s="73"/>
      <c r="HB2403" s="73"/>
      <c r="HC2403" s="73"/>
      <c r="HD2403" s="73"/>
      <c r="HE2403" s="73"/>
      <c r="HF2403" s="73"/>
      <c r="HG2403" s="73"/>
      <c r="HH2403" s="73"/>
      <c r="HI2403" s="73"/>
      <c r="HJ2403" s="73"/>
      <c r="HK2403" s="73"/>
      <c r="HL2403" s="73"/>
      <c r="HM2403" s="73"/>
      <c r="HN2403" s="73"/>
      <c r="HO2403" s="73"/>
      <c r="HP2403" s="73"/>
      <c r="HQ2403" s="73"/>
      <c r="HR2403" s="73"/>
      <c r="HS2403" s="73"/>
      <c r="HT2403" s="73"/>
      <c r="HU2403" s="73"/>
      <c r="HV2403" s="73"/>
      <c r="HW2403" s="73"/>
      <c r="HX2403" s="73"/>
      <c r="HY2403" s="73"/>
      <c r="HZ2403" s="73"/>
      <c r="IA2403" s="73"/>
      <c r="IB2403" s="73"/>
      <c r="IC2403" s="73"/>
      <c r="ID2403" s="73"/>
      <c r="IE2403" s="73"/>
      <c r="IF2403" s="73"/>
      <c r="IG2403" s="73"/>
      <c r="IH2403" s="73"/>
      <c r="II2403" s="73"/>
      <c r="IJ2403" s="73"/>
      <c r="IK2403" s="73"/>
      <c r="IL2403" s="73"/>
      <c r="IM2403" s="73"/>
      <c r="IN2403" s="73"/>
      <c r="IO2403" s="73"/>
      <c r="IP2403" s="73"/>
      <c r="IQ2403" s="73"/>
      <c r="IR2403" s="73"/>
      <c r="IS2403" s="73"/>
      <c r="IT2403" s="73"/>
      <c r="IU2403" s="73"/>
      <c r="IV2403" s="73"/>
      <c r="IW2403" s="73"/>
      <c r="IX2403" s="73"/>
      <c r="IY2403" s="73"/>
      <c r="IZ2403" s="73"/>
      <c r="JA2403" s="73"/>
      <c r="JB2403" s="73"/>
      <c r="JC2403" s="73"/>
    </row>
    <row r="2404" spans="2:263" s="72" customFormat="1">
      <c r="B2404" s="73"/>
      <c r="C2404" s="73"/>
      <c r="D2404" s="73"/>
      <c r="E2404" s="73"/>
      <c r="F2404" s="73"/>
      <c r="G2404" s="73"/>
      <c r="H2404" s="73"/>
      <c r="I2404" s="73"/>
      <c r="J2404" s="73"/>
      <c r="K2404" s="73"/>
      <c r="L2404" s="73"/>
      <c r="M2404" s="73"/>
      <c r="N2404" s="73"/>
      <c r="O2404" s="73"/>
      <c r="P2404" s="73"/>
      <c r="Q2404" s="73"/>
      <c r="R2404" s="73"/>
      <c r="S2404" s="73"/>
      <c r="T2404" s="73"/>
      <c r="U2404" s="73"/>
      <c r="V2404" s="73"/>
      <c r="W2404" s="73"/>
      <c r="GL2404" s="73"/>
      <c r="GM2404" s="73"/>
      <c r="GN2404" s="73"/>
      <c r="GO2404" s="73"/>
      <c r="GP2404" s="73"/>
      <c r="GQ2404" s="73"/>
      <c r="GR2404" s="73"/>
      <c r="GS2404" s="73"/>
      <c r="GT2404" s="73"/>
      <c r="GU2404" s="73"/>
      <c r="GV2404" s="73"/>
      <c r="GW2404" s="73"/>
      <c r="GX2404" s="73"/>
      <c r="GY2404" s="73"/>
      <c r="GZ2404" s="73"/>
      <c r="HA2404" s="73"/>
      <c r="HB2404" s="73"/>
      <c r="HC2404" s="73"/>
      <c r="HD2404" s="73"/>
      <c r="HE2404" s="73"/>
      <c r="HF2404" s="73"/>
      <c r="HG2404" s="73"/>
      <c r="HH2404" s="73"/>
      <c r="HI2404" s="73"/>
      <c r="HJ2404" s="73"/>
      <c r="HK2404" s="73"/>
      <c r="HL2404" s="73"/>
      <c r="HM2404" s="73"/>
      <c r="HN2404" s="73"/>
      <c r="HO2404" s="73"/>
      <c r="HP2404" s="73"/>
      <c r="HQ2404" s="73"/>
      <c r="HR2404" s="73"/>
      <c r="HS2404" s="73"/>
      <c r="HT2404" s="73"/>
      <c r="HU2404" s="73"/>
      <c r="HV2404" s="73"/>
      <c r="HW2404" s="73"/>
      <c r="HX2404" s="73"/>
      <c r="HY2404" s="73"/>
      <c r="HZ2404" s="73"/>
      <c r="IA2404" s="73"/>
      <c r="IB2404" s="73"/>
      <c r="IC2404" s="73"/>
      <c r="ID2404" s="73"/>
      <c r="IE2404" s="73"/>
      <c r="IF2404" s="73"/>
      <c r="IG2404" s="73"/>
      <c r="IH2404" s="73"/>
      <c r="II2404" s="73"/>
      <c r="IJ2404" s="73"/>
      <c r="IK2404" s="73"/>
      <c r="IL2404" s="73"/>
      <c r="IM2404" s="73"/>
      <c r="IN2404" s="73"/>
      <c r="IO2404" s="73"/>
      <c r="IP2404" s="73"/>
      <c r="IQ2404" s="73"/>
      <c r="IR2404" s="73"/>
      <c r="IS2404" s="73"/>
      <c r="IT2404" s="73"/>
      <c r="IU2404" s="73"/>
      <c r="IV2404" s="73"/>
      <c r="IW2404" s="73"/>
      <c r="IX2404" s="73"/>
      <c r="IY2404" s="73"/>
      <c r="IZ2404" s="73"/>
      <c r="JA2404" s="73"/>
      <c r="JB2404" s="73"/>
      <c r="JC2404" s="73"/>
    </row>
    <row r="2405" spans="2:263" s="72" customFormat="1">
      <c r="B2405" s="73"/>
      <c r="C2405" s="73"/>
      <c r="D2405" s="73"/>
      <c r="E2405" s="73"/>
      <c r="F2405" s="73"/>
      <c r="G2405" s="73"/>
      <c r="H2405" s="73"/>
      <c r="I2405" s="73"/>
      <c r="J2405" s="73"/>
      <c r="K2405" s="73"/>
      <c r="L2405" s="73"/>
      <c r="M2405" s="73"/>
      <c r="N2405" s="73"/>
      <c r="O2405" s="73"/>
      <c r="P2405" s="73"/>
      <c r="Q2405" s="73"/>
      <c r="R2405" s="73"/>
      <c r="S2405" s="73"/>
      <c r="T2405" s="73"/>
      <c r="U2405" s="73"/>
      <c r="V2405" s="73"/>
      <c r="W2405" s="73"/>
      <c r="GL2405" s="73"/>
      <c r="GM2405" s="73"/>
      <c r="GN2405" s="73"/>
      <c r="GO2405" s="73"/>
      <c r="GP2405" s="73"/>
      <c r="GQ2405" s="73"/>
      <c r="GR2405" s="73"/>
      <c r="GS2405" s="73"/>
      <c r="GT2405" s="73"/>
      <c r="GU2405" s="73"/>
      <c r="GV2405" s="73"/>
      <c r="GW2405" s="73"/>
      <c r="GX2405" s="73"/>
      <c r="GY2405" s="73"/>
      <c r="GZ2405" s="73"/>
      <c r="HA2405" s="73"/>
      <c r="HB2405" s="73"/>
      <c r="HC2405" s="73"/>
      <c r="HD2405" s="73"/>
      <c r="HE2405" s="73"/>
      <c r="HF2405" s="73"/>
      <c r="HG2405" s="73"/>
      <c r="HH2405" s="73"/>
      <c r="HI2405" s="73"/>
      <c r="HJ2405" s="73"/>
      <c r="HK2405" s="73"/>
      <c r="HL2405" s="73"/>
      <c r="HM2405" s="73"/>
      <c r="HN2405" s="73"/>
      <c r="HO2405" s="73"/>
      <c r="HP2405" s="73"/>
      <c r="HQ2405" s="73"/>
      <c r="HR2405" s="73"/>
      <c r="HS2405" s="73"/>
      <c r="HT2405" s="73"/>
      <c r="HU2405" s="73"/>
      <c r="HV2405" s="73"/>
      <c r="HW2405" s="73"/>
      <c r="HX2405" s="73"/>
      <c r="HY2405" s="73"/>
      <c r="HZ2405" s="73"/>
      <c r="IA2405" s="73"/>
      <c r="IB2405" s="73"/>
      <c r="IC2405" s="73"/>
      <c r="ID2405" s="73"/>
      <c r="IE2405" s="73"/>
      <c r="IF2405" s="73"/>
      <c r="IG2405" s="73"/>
      <c r="IH2405" s="73"/>
      <c r="II2405" s="73"/>
      <c r="IJ2405" s="73"/>
      <c r="IK2405" s="73"/>
      <c r="IL2405" s="73"/>
      <c r="IM2405" s="73"/>
      <c r="IN2405" s="73"/>
      <c r="IO2405" s="73"/>
      <c r="IP2405" s="73"/>
      <c r="IQ2405" s="73"/>
      <c r="IR2405" s="73"/>
      <c r="IS2405" s="73"/>
      <c r="IT2405" s="73"/>
      <c r="IU2405" s="73"/>
      <c r="IV2405" s="73"/>
      <c r="IW2405" s="73"/>
      <c r="IX2405" s="73"/>
      <c r="IY2405" s="73"/>
      <c r="IZ2405" s="73"/>
      <c r="JA2405" s="73"/>
      <c r="JB2405" s="73"/>
      <c r="JC2405" s="73"/>
    </row>
    <row r="2406" spans="2:263" s="72" customFormat="1">
      <c r="B2406" s="73"/>
      <c r="C2406" s="73"/>
      <c r="D2406" s="73"/>
      <c r="E2406" s="73"/>
      <c r="F2406" s="73"/>
      <c r="G2406" s="73"/>
      <c r="H2406" s="73"/>
      <c r="I2406" s="73"/>
      <c r="J2406" s="73"/>
      <c r="K2406" s="73"/>
      <c r="L2406" s="73"/>
      <c r="M2406" s="73"/>
      <c r="N2406" s="73"/>
      <c r="O2406" s="73"/>
      <c r="P2406" s="73"/>
      <c r="Q2406" s="73"/>
      <c r="R2406" s="73"/>
      <c r="S2406" s="73"/>
      <c r="T2406" s="73"/>
      <c r="U2406" s="73"/>
      <c r="V2406" s="73"/>
      <c r="W2406" s="73"/>
      <c r="GL2406" s="73"/>
      <c r="GM2406" s="73"/>
      <c r="GN2406" s="73"/>
      <c r="GO2406" s="73"/>
      <c r="GP2406" s="73"/>
      <c r="GQ2406" s="73"/>
      <c r="GR2406" s="73"/>
      <c r="GS2406" s="73"/>
      <c r="GT2406" s="73"/>
      <c r="GU2406" s="73"/>
      <c r="GV2406" s="73"/>
      <c r="GW2406" s="73"/>
      <c r="GX2406" s="73"/>
      <c r="GY2406" s="73"/>
      <c r="GZ2406" s="73"/>
      <c r="HA2406" s="73"/>
      <c r="HB2406" s="73"/>
      <c r="HC2406" s="73"/>
      <c r="HD2406" s="73"/>
      <c r="HE2406" s="73"/>
      <c r="HF2406" s="73"/>
      <c r="HG2406" s="73"/>
      <c r="HH2406" s="73"/>
      <c r="HI2406" s="73"/>
      <c r="HJ2406" s="73"/>
      <c r="HK2406" s="73"/>
      <c r="HL2406" s="73"/>
      <c r="HM2406" s="73"/>
      <c r="HN2406" s="73"/>
      <c r="HO2406" s="73"/>
      <c r="HP2406" s="73"/>
      <c r="HQ2406" s="73"/>
      <c r="HR2406" s="73"/>
      <c r="HS2406" s="73"/>
      <c r="HT2406" s="73"/>
      <c r="HU2406" s="73"/>
      <c r="HV2406" s="73"/>
      <c r="HW2406" s="73"/>
      <c r="HX2406" s="73"/>
      <c r="HY2406" s="73"/>
      <c r="HZ2406" s="73"/>
      <c r="IA2406" s="73"/>
      <c r="IB2406" s="73"/>
      <c r="IC2406" s="73"/>
      <c r="ID2406" s="73"/>
      <c r="IE2406" s="73"/>
      <c r="IF2406" s="73"/>
      <c r="IG2406" s="73"/>
      <c r="IH2406" s="73"/>
      <c r="II2406" s="73"/>
      <c r="IJ2406" s="73"/>
      <c r="IK2406" s="73"/>
      <c r="IL2406" s="73"/>
      <c r="IM2406" s="73"/>
      <c r="IN2406" s="73"/>
      <c r="IO2406" s="73"/>
      <c r="IP2406" s="73"/>
      <c r="IQ2406" s="73"/>
      <c r="IR2406" s="73"/>
      <c r="IS2406" s="73"/>
      <c r="IT2406" s="73"/>
      <c r="IU2406" s="73"/>
      <c r="IV2406" s="73"/>
      <c r="IW2406" s="73"/>
      <c r="IX2406" s="73"/>
      <c r="IY2406" s="73"/>
      <c r="IZ2406" s="73"/>
      <c r="JA2406" s="73"/>
      <c r="JB2406" s="73"/>
      <c r="JC2406" s="73"/>
    </row>
    <row r="2407" spans="2:263" s="72" customFormat="1">
      <c r="B2407" s="73"/>
      <c r="C2407" s="73"/>
      <c r="D2407" s="73"/>
      <c r="E2407" s="73"/>
      <c r="F2407" s="73"/>
      <c r="G2407" s="73"/>
      <c r="H2407" s="73"/>
      <c r="I2407" s="73"/>
      <c r="J2407" s="73"/>
      <c r="K2407" s="73"/>
      <c r="L2407" s="73"/>
      <c r="M2407" s="73"/>
      <c r="N2407" s="73"/>
      <c r="O2407" s="73"/>
      <c r="P2407" s="73"/>
      <c r="Q2407" s="73"/>
      <c r="R2407" s="73"/>
      <c r="S2407" s="73"/>
      <c r="T2407" s="73"/>
      <c r="U2407" s="73"/>
      <c r="V2407" s="73"/>
      <c r="W2407" s="73"/>
      <c r="GL2407" s="73"/>
      <c r="GM2407" s="73"/>
      <c r="GN2407" s="73"/>
      <c r="GO2407" s="73"/>
      <c r="GP2407" s="73"/>
      <c r="GQ2407" s="73"/>
      <c r="GR2407" s="73"/>
      <c r="GS2407" s="73"/>
      <c r="GT2407" s="73"/>
      <c r="GU2407" s="73"/>
      <c r="GV2407" s="73"/>
      <c r="GW2407" s="73"/>
      <c r="GX2407" s="73"/>
      <c r="GY2407" s="73"/>
      <c r="GZ2407" s="73"/>
      <c r="HA2407" s="73"/>
      <c r="HB2407" s="73"/>
      <c r="HC2407" s="73"/>
      <c r="HD2407" s="73"/>
      <c r="HE2407" s="73"/>
      <c r="HF2407" s="73"/>
      <c r="HG2407" s="73"/>
      <c r="HH2407" s="73"/>
      <c r="HI2407" s="73"/>
      <c r="HJ2407" s="73"/>
      <c r="HK2407" s="73"/>
      <c r="HL2407" s="73"/>
      <c r="HM2407" s="73"/>
      <c r="HN2407" s="73"/>
      <c r="HO2407" s="73"/>
      <c r="HP2407" s="73"/>
      <c r="HQ2407" s="73"/>
      <c r="HR2407" s="73"/>
      <c r="HS2407" s="73"/>
      <c r="HT2407" s="73"/>
      <c r="HU2407" s="73"/>
      <c r="HV2407" s="73"/>
      <c r="HW2407" s="73"/>
      <c r="HX2407" s="73"/>
      <c r="HY2407" s="73"/>
      <c r="HZ2407" s="73"/>
      <c r="IA2407" s="73"/>
      <c r="IB2407" s="73"/>
      <c r="IC2407" s="73"/>
      <c r="ID2407" s="73"/>
      <c r="IE2407" s="73"/>
      <c r="IF2407" s="73"/>
      <c r="IG2407" s="73"/>
      <c r="IH2407" s="73"/>
      <c r="II2407" s="73"/>
      <c r="IJ2407" s="73"/>
      <c r="IK2407" s="73"/>
      <c r="IL2407" s="73"/>
      <c r="IM2407" s="73"/>
      <c r="IN2407" s="73"/>
      <c r="IO2407" s="73"/>
      <c r="IP2407" s="73"/>
      <c r="IQ2407" s="73"/>
      <c r="IR2407" s="73"/>
      <c r="IS2407" s="73"/>
      <c r="IT2407" s="73"/>
      <c r="IU2407" s="73"/>
      <c r="IV2407" s="73"/>
      <c r="IW2407" s="73"/>
      <c r="IX2407" s="73"/>
      <c r="IY2407" s="73"/>
      <c r="IZ2407" s="73"/>
      <c r="JA2407" s="73"/>
      <c r="JB2407" s="73"/>
      <c r="JC2407" s="73"/>
    </row>
    <row r="2408" spans="2:263" s="72" customFormat="1">
      <c r="B2408" s="73"/>
      <c r="C2408" s="73"/>
      <c r="D2408" s="73"/>
      <c r="E2408" s="73"/>
      <c r="F2408" s="73"/>
      <c r="G2408" s="73"/>
      <c r="H2408" s="73"/>
      <c r="I2408" s="73"/>
      <c r="J2408" s="73"/>
      <c r="K2408" s="73"/>
      <c r="L2408" s="73"/>
      <c r="M2408" s="73"/>
      <c r="N2408" s="73"/>
      <c r="O2408" s="73"/>
      <c r="P2408" s="73"/>
      <c r="Q2408" s="73"/>
      <c r="R2408" s="73"/>
      <c r="S2408" s="73"/>
      <c r="T2408" s="73"/>
      <c r="U2408" s="73"/>
      <c r="V2408" s="73"/>
      <c r="W2408" s="73"/>
      <c r="GL2408" s="73"/>
      <c r="GM2408" s="73"/>
      <c r="GN2408" s="73"/>
      <c r="GO2408" s="73"/>
      <c r="GP2408" s="73"/>
      <c r="GQ2408" s="73"/>
      <c r="GR2408" s="73"/>
      <c r="GS2408" s="73"/>
      <c r="GT2408" s="73"/>
      <c r="GU2408" s="73"/>
      <c r="GV2408" s="73"/>
      <c r="GW2408" s="73"/>
      <c r="GX2408" s="73"/>
      <c r="GY2408" s="73"/>
      <c r="GZ2408" s="73"/>
      <c r="HA2408" s="73"/>
      <c r="HB2408" s="73"/>
      <c r="HC2408" s="73"/>
      <c r="HD2408" s="73"/>
      <c r="HE2408" s="73"/>
      <c r="HF2408" s="73"/>
      <c r="HG2408" s="73"/>
      <c r="HH2408" s="73"/>
      <c r="HI2408" s="73"/>
      <c r="HJ2408" s="73"/>
      <c r="HK2408" s="73"/>
      <c r="HL2408" s="73"/>
      <c r="HM2408" s="73"/>
      <c r="HN2408" s="73"/>
      <c r="HO2408" s="73"/>
      <c r="HP2408" s="73"/>
      <c r="HQ2408" s="73"/>
      <c r="HR2408" s="73"/>
      <c r="HS2408" s="73"/>
      <c r="HT2408" s="73"/>
      <c r="HU2408" s="73"/>
      <c r="HV2408" s="73"/>
      <c r="HW2408" s="73"/>
      <c r="HX2408" s="73"/>
      <c r="HY2408" s="73"/>
      <c r="HZ2408" s="73"/>
      <c r="IA2408" s="73"/>
      <c r="IB2408" s="73"/>
      <c r="IC2408" s="73"/>
      <c r="ID2408" s="73"/>
      <c r="IE2408" s="73"/>
      <c r="IF2408" s="73"/>
      <c r="IG2408" s="73"/>
      <c r="IH2408" s="73"/>
      <c r="II2408" s="73"/>
      <c r="IJ2408" s="73"/>
      <c r="IK2408" s="73"/>
      <c r="IL2408" s="73"/>
      <c r="IM2408" s="73"/>
      <c r="IN2408" s="73"/>
      <c r="IO2408" s="73"/>
      <c r="IP2408" s="73"/>
      <c r="IQ2408" s="73"/>
      <c r="IR2408" s="73"/>
      <c r="IS2408" s="73"/>
      <c r="IT2408" s="73"/>
      <c r="IU2408" s="73"/>
      <c r="IV2408" s="73"/>
      <c r="IW2408" s="73"/>
      <c r="IX2408" s="73"/>
      <c r="IY2408" s="73"/>
      <c r="IZ2408" s="73"/>
      <c r="JA2408" s="73"/>
      <c r="JB2408" s="73"/>
      <c r="JC2408" s="73"/>
    </row>
    <row r="2409" spans="2:263" s="72" customFormat="1">
      <c r="B2409" s="73"/>
      <c r="C2409" s="73"/>
      <c r="D2409" s="73"/>
      <c r="E2409" s="73"/>
      <c r="F2409" s="73"/>
      <c r="G2409" s="73"/>
      <c r="H2409" s="73"/>
      <c r="I2409" s="73"/>
      <c r="J2409" s="73"/>
      <c r="K2409" s="73"/>
      <c r="L2409" s="73"/>
      <c r="M2409" s="73"/>
      <c r="N2409" s="73"/>
      <c r="O2409" s="73"/>
      <c r="P2409" s="73"/>
      <c r="Q2409" s="73"/>
      <c r="R2409" s="73"/>
      <c r="S2409" s="73"/>
      <c r="T2409" s="73"/>
      <c r="U2409" s="73"/>
      <c r="V2409" s="73"/>
      <c r="W2409" s="73"/>
      <c r="GL2409" s="73"/>
      <c r="GM2409" s="73"/>
      <c r="GN2409" s="73"/>
      <c r="GO2409" s="73"/>
      <c r="GP2409" s="73"/>
      <c r="GQ2409" s="73"/>
      <c r="GR2409" s="73"/>
      <c r="GS2409" s="73"/>
      <c r="GT2409" s="73"/>
      <c r="GU2409" s="73"/>
      <c r="GV2409" s="73"/>
      <c r="GW2409" s="73"/>
      <c r="GX2409" s="73"/>
      <c r="GY2409" s="73"/>
      <c r="GZ2409" s="73"/>
      <c r="HA2409" s="73"/>
      <c r="HB2409" s="73"/>
      <c r="HC2409" s="73"/>
      <c r="HD2409" s="73"/>
      <c r="HE2409" s="73"/>
      <c r="HF2409" s="73"/>
      <c r="HG2409" s="73"/>
      <c r="HH2409" s="73"/>
      <c r="HI2409" s="73"/>
      <c r="HJ2409" s="73"/>
      <c r="HK2409" s="73"/>
      <c r="HL2409" s="73"/>
      <c r="HM2409" s="73"/>
      <c r="HN2409" s="73"/>
      <c r="HO2409" s="73"/>
      <c r="HP2409" s="73"/>
      <c r="HQ2409" s="73"/>
      <c r="HR2409" s="73"/>
      <c r="HS2409" s="73"/>
      <c r="HT2409" s="73"/>
      <c r="HU2409" s="73"/>
      <c r="HV2409" s="73"/>
      <c r="HW2409" s="73"/>
      <c r="HX2409" s="73"/>
      <c r="HY2409" s="73"/>
      <c r="HZ2409" s="73"/>
      <c r="IA2409" s="73"/>
      <c r="IB2409" s="73"/>
      <c r="IC2409" s="73"/>
      <c r="ID2409" s="73"/>
      <c r="IE2409" s="73"/>
      <c r="IF2409" s="73"/>
      <c r="IG2409" s="73"/>
      <c r="IH2409" s="73"/>
      <c r="II2409" s="73"/>
      <c r="IJ2409" s="73"/>
      <c r="IK2409" s="73"/>
      <c r="IL2409" s="73"/>
      <c r="IM2409" s="73"/>
      <c r="IN2409" s="73"/>
      <c r="IO2409" s="73"/>
      <c r="IP2409" s="73"/>
      <c r="IQ2409" s="73"/>
      <c r="IR2409" s="73"/>
      <c r="IS2409" s="73"/>
      <c r="IT2409" s="73"/>
      <c r="IU2409" s="73"/>
      <c r="IV2409" s="73"/>
      <c r="IW2409" s="73"/>
      <c r="IX2409" s="73"/>
      <c r="IY2409" s="73"/>
      <c r="IZ2409" s="73"/>
      <c r="JA2409" s="73"/>
      <c r="JB2409" s="73"/>
      <c r="JC2409" s="73"/>
    </row>
    <row r="2410" spans="2:263" s="72" customFormat="1">
      <c r="B2410" s="73"/>
      <c r="C2410" s="73"/>
      <c r="D2410" s="73"/>
      <c r="E2410" s="73"/>
      <c r="F2410" s="73"/>
      <c r="G2410" s="73"/>
      <c r="H2410" s="73"/>
      <c r="I2410" s="73"/>
      <c r="J2410" s="73"/>
      <c r="K2410" s="73"/>
      <c r="L2410" s="73"/>
      <c r="M2410" s="73"/>
      <c r="N2410" s="73"/>
      <c r="O2410" s="73"/>
      <c r="P2410" s="73"/>
      <c r="Q2410" s="73"/>
      <c r="R2410" s="73"/>
      <c r="S2410" s="73"/>
      <c r="T2410" s="73"/>
      <c r="U2410" s="73"/>
      <c r="V2410" s="73"/>
      <c r="W2410" s="73"/>
      <c r="GL2410" s="73"/>
      <c r="GM2410" s="73"/>
      <c r="GN2410" s="73"/>
      <c r="GO2410" s="73"/>
      <c r="GP2410" s="73"/>
      <c r="GQ2410" s="73"/>
      <c r="GR2410" s="73"/>
      <c r="GS2410" s="73"/>
      <c r="GT2410" s="73"/>
      <c r="GU2410" s="73"/>
      <c r="GV2410" s="73"/>
      <c r="GW2410" s="73"/>
      <c r="GX2410" s="73"/>
      <c r="GY2410" s="73"/>
      <c r="GZ2410" s="73"/>
      <c r="HA2410" s="73"/>
      <c r="HB2410" s="73"/>
      <c r="HC2410" s="73"/>
      <c r="HD2410" s="73"/>
      <c r="HE2410" s="73"/>
      <c r="HF2410" s="73"/>
      <c r="HG2410" s="73"/>
      <c r="HH2410" s="73"/>
      <c r="HI2410" s="73"/>
      <c r="HJ2410" s="73"/>
      <c r="HK2410" s="73"/>
      <c r="HL2410" s="73"/>
      <c r="HM2410" s="73"/>
      <c r="HN2410" s="73"/>
      <c r="HO2410" s="73"/>
      <c r="HP2410" s="73"/>
      <c r="HQ2410" s="73"/>
      <c r="HR2410" s="73"/>
      <c r="HS2410" s="73"/>
      <c r="HT2410" s="73"/>
      <c r="HU2410" s="73"/>
      <c r="HV2410" s="73"/>
      <c r="HW2410" s="73"/>
      <c r="HX2410" s="73"/>
      <c r="HY2410" s="73"/>
      <c r="HZ2410" s="73"/>
      <c r="IA2410" s="73"/>
      <c r="IB2410" s="73"/>
      <c r="IC2410" s="73"/>
      <c r="ID2410" s="73"/>
      <c r="IE2410" s="73"/>
      <c r="IF2410" s="73"/>
      <c r="IG2410" s="73"/>
      <c r="IH2410" s="73"/>
      <c r="II2410" s="73"/>
      <c r="IJ2410" s="73"/>
      <c r="IK2410" s="73"/>
      <c r="IL2410" s="73"/>
      <c r="IM2410" s="73"/>
      <c r="IN2410" s="73"/>
      <c r="IO2410" s="73"/>
      <c r="IP2410" s="73"/>
      <c r="IQ2410" s="73"/>
      <c r="IR2410" s="73"/>
      <c r="IS2410" s="73"/>
      <c r="IT2410" s="73"/>
      <c r="IU2410" s="73"/>
      <c r="IV2410" s="73"/>
      <c r="IW2410" s="73"/>
      <c r="IX2410" s="73"/>
      <c r="IY2410" s="73"/>
      <c r="IZ2410" s="73"/>
      <c r="JA2410" s="73"/>
      <c r="JB2410" s="73"/>
      <c r="JC2410" s="73"/>
    </row>
    <row r="2411" spans="2:263" s="72" customFormat="1">
      <c r="B2411" s="73"/>
      <c r="C2411" s="73"/>
      <c r="D2411" s="73"/>
      <c r="E2411" s="73"/>
      <c r="F2411" s="73"/>
      <c r="G2411" s="73"/>
      <c r="H2411" s="73"/>
      <c r="I2411" s="73"/>
      <c r="J2411" s="73"/>
      <c r="K2411" s="73"/>
      <c r="L2411" s="73"/>
      <c r="M2411" s="73"/>
      <c r="N2411" s="73"/>
      <c r="O2411" s="73"/>
      <c r="P2411" s="73"/>
      <c r="Q2411" s="73"/>
      <c r="R2411" s="73"/>
      <c r="S2411" s="73"/>
      <c r="T2411" s="73"/>
      <c r="U2411" s="73"/>
      <c r="V2411" s="73"/>
      <c r="W2411" s="73"/>
      <c r="GL2411" s="73"/>
      <c r="GM2411" s="73"/>
      <c r="GN2411" s="73"/>
      <c r="GO2411" s="73"/>
      <c r="GP2411" s="73"/>
      <c r="GQ2411" s="73"/>
      <c r="GR2411" s="73"/>
      <c r="GS2411" s="73"/>
      <c r="GT2411" s="73"/>
      <c r="GU2411" s="73"/>
      <c r="GV2411" s="73"/>
      <c r="GW2411" s="73"/>
      <c r="GX2411" s="73"/>
      <c r="GY2411" s="73"/>
      <c r="GZ2411" s="73"/>
      <c r="HA2411" s="73"/>
      <c r="HB2411" s="73"/>
      <c r="HC2411" s="73"/>
      <c r="HD2411" s="73"/>
      <c r="HE2411" s="73"/>
      <c r="HF2411" s="73"/>
      <c r="HG2411" s="73"/>
      <c r="HH2411" s="73"/>
      <c r="HI2411" s="73"/>
      <c r="HJ2411" s="73"/>
      <c r="HK2411" s="73"/>
      <c r="HL2411" s="73"/>
      <c r="HM2411" s="73"/>
      <c r="HN2411" s="73"/>
      <c r="HO2411" s="73"/>
      <c r="HP2411" s="73"/>
      <c r="HQ2411" s="73"/>
      <c r="HR2411" s="73"/>
      <c r="HS2411" s="73"/>
      <c r="HT2411" s="73"/>
      <c r="HU2411" s="73"/>
      <c r="HV2411" s="73"/>
      <c r="HW2411" s="73"/>
      <c r="HX2411" s="73"/>
      <c r="HY2411" s="73"/>
      <c r="HZ2411" s="73"/>
      <c r="IA2411" s="73"/>
      <c r="IB2411" s="73"/>
      <c r="IC2411" s="73"/>
      <c r="ID2411" s="73"/>
      <c r="IE2411" s="73"/>
      <c r="IF2411" s="73"/>
      <c r="IG2411" s="73"/>
      <c r="IH2411" s="73"/>
      <c r="II2411" s="73"/>
      <c r="IJ2411" s="73"/>
      <c r="IK2411" s="73"/>
      <c r="IL2411" s="73"/>
      <c r="IM2411" s="73"/>
      <c r="IN2411" s="73"/>
      <c r="IO2411" s="73"/>
      <c r="IP2411" s="73"/>
      <c r="IQ2411" s="73"/>
      <c r="IR2411" s="73"/>
      <c r="IS2411" s="73"/>
      <c r="IT2411" s="73"/>
      <c r="IU2411" s="73"/>
      <c r="IV2411" s="73"/>
      <c r="IW2411" s="73"/>
      <c r="IX2411" s="73"/>
      <c r="IY2411" s="73"/>
      <c r="IZ2411" s="73"/>
      <c r="JA2411" s="73"/>
      <c r="JB2411" s="73"/>
      <c r="JC2411" s="73"/>
    </row>
    <row r="2412" spans="2:263" s="72" customFormat="1">
      <c r="B2412" s="73"/>
      <c r="C2412" s="73"/>
      <c r="D2412" s="73"/>
      <c r="E2412" s="73"/>
      <c r="F2412" s="73"/>
      <c r="G2412" s="73"/>
      <c r="H2412" s="73"/>
      <c r="I2412" s="73"/>
      <c r="J2412" s="73"/>
      <c r="K2412" s="73"/>
      <c r="L2412" s="73"/>
      <c r="M2412" s="73"/>
      <c r="N2412" s="73"/>
      <c r="O2412" s="73"/>
      <c r="P2412" s="73"/>
      <c r="Q2412" s="73"/>
      <c r="R2412" s="73"/>
      <c r="S2412" s="73"/>
      <c r="T2412" s="73"/>
      <c r="U2412" s="73"/>
      <c r="V2412" s="73"/>
      <c r="W2412" s="73"/>
      <c r="GL2412" s="73"/>
      <c r="GM2412" s="73"/>
      <c r="GN2412" s="73"/>
      <c r="GO2412" s="73"/>
      <c r="GP2412" s="73"/>
      <c r="GQ2412" s="73"/>
      <c r="GR2412" s="73"/>
      <c r="GS2412" s="73"/>
      <c r="GT2412" s="73"/>
      <c r="GU2412" s="73"/>
      <c r="GV2412" s="73"/>
      <c r="GW2412" s="73"/>
      <c r="GX2412" s="73"/>
      <c r="GY2412" s="73"/>
      <c r="GZ2412" s="73"/>
      <c r="HA2412" s="73"/>
      <c r="HB2412" s="73"/>
      <c r="HC2412" s="73"/>
      <c r="HD2412" s="73"/>
      <c r="HE2412" s="73"/>
      <c r="HF2412" s="73"/>
      <c r="HG2412" s="73"/>
      <c r="HH2412" s="73"/>
      <c r="HI2412" s="73"/>
      <c r="HJ2412" s="73"/>
      <c r="HK2412" s="73"/>
      <c r="HL2412" s="73"/>
      <c r="HM2412" s="73"/>
      <c r="HN2412" s="73"/>
      <c r="HO2412" s="73"/>
      <c r="HP2412" s="73"/>
      <c r="HQ2412" s="73"/>
      <c r="HR2412" s="73"/>
      <c r="HS2412" s="73"/>
      <c r="HT2412" s="73"/>
      <c r="HU2412" s="73"/>
      <c r="HV2412" s="73"/>
      <c r="HW2412" s="73"/>
      <c r="HX2412" s="73"/>
      <c r="HY2412" s="73"/>
      <c r="HZ2412" s="73"/>
      <c r="IA2412" s="73"/>
      <c r="IB2412" s="73"/>
      <c r="IC2412" s="73"/>
      <c r="ID2412" s="73"/>
      <c r="IE2412" s="73"/>
      <c r="IF2412" s="73"/>
      <c r="IG2412" s="73"/>
      <c r="IH2412" s="73"/>
      <c r="II2412" s="73"/>
      <c r="IJ2412" s="73"/>
      <c r="IK2412" s="73"/>
      <c r="IL2412" s="73"/>
      <c r="IM2412" s="73"/>
      <c r="IN2412" s="73"/>
      <c r="IO2412" s="73"/>
      <c r="IP2412" s="73"/>
      <c r="IQ2412" s="73"/>
      <c r="IR2412" s="73"/>
      <c r="IS2412" s="73"/>
      <c r="IT2412" s="73"/>
      <c r="IU2412" s="73"/>
      <c r="IV2412" s="73"/>
      <c r="IW2412" s="73"/>
      <c r="IX2412" s="73"/>
      <c r="IY2412" s="73"/>
      <c r="IZ2412" s="73"/>
      <c r="JA2412" s="73"/>
      <c r="JB2412" s="73"/>
      <c r="JC2412" s="73"/>
    </row>
    <row r="2413" spans="2:263" s="72" customFormat="1">
      <c r="B2413" s="73"/>
      <c r="C2413" s="73"/>
      <c r="D2413" s="73"/>
      <c r="E2413" s="73"/>
      <c r="F2413" s="73"/>
      <c r="G2413" s="73"/>
      <c r="H2413" s="73"/>
      <c r="I2413" s="73"/>
      <c r="J2413" s="73"/>
      <c r="K2413" s="73"/>
      <c r="L2413" s="73"/>
      <c r="M2413" s="73"/>
      <c r="N2413" s="73"/>
      <c r="O2413" s="73"/>
      <c r="P2413" s="73"/>
      <c r="Q2413" s="73"/>
      <c r="R2413" s="73"/>
      <c r="S2413" s="73"/>
      <c r="T2413" s="73"/>
      <c r="U2413" s="73"/>
      <c r="V2413" s="73"/>
      <c r="W2413" s="73"/>
      <c r="GL2413" s="73"/>
      <c r="GM2413" s="73"/>
      <c r="GN2413" s="73"/>
      <c r="GO2413" s="73"/>
      <c r="GP2413" s="73"/>
      <c r="GQ2413" s="73"/>
      <c r="GR2413" s="73"/>
      <c r="GS2413" s="73"/>
      <c r="GT2413" s="73"/>
      <c r="GU2413" s="73"/>
      <c r="GV2413" s="73"/>
      <c r="GW2413" s="73"/>
      <c r="GX2413" s="73"/>
      <c r="GY2413" s="73"/>
      <c r="GZ2413" s="73"/>
      <c r="HA2413" s="73"/>
      <c r="HB2413" s="73"/>
      <c r="HC2413" s="73"/>
      <c r="HD2413" s="73"/>
      <c r="HE2413" s="73"/>
      <c r="HF2413" s="73"/>
      <c r="HG2413" s="73"/>
      <c r="HH2413" s="73"/>
      <c r="HI2413" s="73"/>
      <c r="HJ2413" s="73"/>
      <c r="HK2413" s="73"/>
      <c r="HL2413" s="73"/>
      <c r="HM2413" s="73"/>
      <c r="HN2413" s="73"/>
      <c r="HO2413" s="73"/>
      <c r="HP2413" s="73"/>
      <c r="HQ2413" s="73"/>
      <c r="HR2413" s="73"/>
      <c r="HS2413" s="73"/>
      <c r="HT2413" s="73"/>
      <c r="HU2413" s="73"/>
      <c r="HV2413" s="73"/>
      <c r="HW2413" s="73"/>
      <c r="HX2413" s="73"/>
      <c r="HY2413" s="73"/>
      <c r="HZ2413" s="73"/>
      <c r="IA2413" s="73"/>
      <c r="IB2413" s="73"/>
      <c r="IC2413" s="73"/>
      <c r="ID2413" s="73"/>
      <c r="IE2413" s="73"/>
      <c r="IF2413" s="73"/>
      <c r="IG2413" s="73"/>
      <c r="IH2413" s="73"/>
      <c r="II2413" s="73"/>
      <c r="IJ2413" s="73"/>
      <c r="IK2413" s="73"/>
      <c r="IL2413" s="73"/>
      <c r="IM2413" s="73"/>
      <c r="IN2413" s="73"/>
      <c r="IO2413" s="73"/>
      <c r="IP2413" s="73"/>
      <c r="IQ2413" s="73"/>
      <c r="IR2413" s="73"/>
      <c r="IS2413" s="73"/>
      <c r="IT2413" s="73"/>
      <c r="IU2413" s="73"/>
      <c r="IV2413" s="73"/>
      <c r="IW2413" s="73"/>
      <c r="IX2413" s="73"/>
      <c r="IY2413" s="73"/>
      <c r="IZ2413" s="73"/>
      <c r="JA2413" s="73"/>
      <c r="JB2413" s="73"/>
      <c r="JC2413" s="73"/>
    </row>
    <row r="2414" spans="2:263" s="72" customFormat="1">
      <c r="B2414" s="73"/>
      <c r="C2414" s="73"/>
      <c r="D2414" s="73"/>
      <c r="E2414" s="73"/>
      <c r="F2414" s="73"/>
      <c r="G2414" s="73"/>
      <c r="H2414" s="73"/>
      <c r="I2414" s="73"/>
      <c r="J2414" s="73"/>
      <c r="K2414" s="73"/>
      <c r="L2414" s="73"/>
      <c r="M2414" s="73"/>
      <c r="N2414" s="73"/>
      <c r="O2414" s="73"/>
      <c r="P2414" s="73"/>
      <c r="Q2414" s="73"/>
      <c r="R2414" s="73"/>
      <c r="S2414" s="73"/>
      <c r="T2414" s="73"/>
      <c r="U2414" s="73"/>
      <c r="V2414" s="73"/>
      <c r="W2414" s="73"/>
      <c r="GL2414" s="73"/>
      <c r="GM2414" s="73"/>
      <c r="GN2414" s="73"/>
      <c r="GO2414" s="73"/>
      <c r="GP2414" s="73"/>
      <c r="GQ2414" s="73"/>
      <c r="GR2414" s="73"/>
      <c r="GS2414" s="73"/>
      <c r="GT2414" s="73"/>
      <c r="GU2414" s="73"/>
      <c r="GV2414" s="73"/>
      <c r="GW2414" s="73"/>
      <c r="GX2414" s="73"/>
      <c r="GY2414" s="73"/>
      <c r="GZ2414" s="73"/>
      <c r="HA2414" s="73"/>
      <c r="HB2414" s="73"/>
      <c r="HC2414" s="73"/>
      <c r="HD2414" s="73"/>
      <c r="HE2414" s="73"/>
      <c r="HF2414" s="73"/>
      <c r="HG2414" s="73"/>
      <c r="HH2414" s="73"/>
      <c r="HI2414" s="73"/>
      <c r="HJ2414" s="73"/>
      <c r="HK2414" s="73"/>
      <c r="HL2414" s="73"/>
      <c r="HM2414" s="73"/>
      <c r="HN2414" s="73"/>
      <c r="HO2414" s="73"/>
      <c r="HP2414" s="73"/>
      <c r="HQ2414" s="73"/>
      <c r="HR2414" s="73"/>
      <c r="HS2414" s="73"/>
      <c r="HT2414" s="73"/>
      <c r="HU2414" s="73"/>
      <c r="HV2414" s="73"/>
      <c r="HW2414" s="73"/>
      <c r="HX2414" s="73"/>
      <c r="HY2414" s="73"/>
      <c r="HZ2414" s="73"/>
      <c r="IA2414" s="73"/>
      <c r="IB2414" s="73"/>
      <c r="IC2414" s="73"/>
      <c r="ID2414" s="73"/>
      <c r="IE2414" s="73"/>
      <c r="IF2414" s="73"/>
      <c r="IG2414" s="73"/>
      <c r="IH2414" s="73"/>
      <c r="II2414" s="73"/>
      <c r="IJ2414" s="73"/>
      <c r="IK2414" s="73"/>
      <c r="IL2414" s="73"/>
      <c r="IM2414" s="73"/>
      <c r="IN2414" s="73"/>
      <c r="IO2414" s="73"/>
      <c r="IP2414" s="73"/>
      <c r="IQ2414" s="73"/>
      <c r="IR2414" s="73"/>
      <c r="IS2414" s="73"/>
      <c r="IT2414" s="73"/>
      <c r="IU2414" s="73"/>
      <c r="IV2414" s="73"/>
      <c r="IW2414" s="73"/>
      <c r="IX2414" s="73"/>
      <c r="IY2414" s="73"/>
      <c r="IZ2414" s="73"/>
      <c r="JA2414" s="73"/>
      <c r="JB2414" s="73"/>
      <c r="JC2414" s="73"/>
    </row>
    <row r="2415" spans="2:263" s="72" customFormat="1">
      <c r="B2415" s="73"/>
      <c r="C2415" s="73"/>
      <c r="D2415" s="73"/>
      <c r="E2415" s="73"/>
      <c r="F2415" s="73"/>
      <c r="G2415" s="73"/>
      <c r="H2415" s="73"/>
      <c r="I2415" s="73"/>
      <c r="J2415" s="73"/>
      <c r="K2415" s="73"/>
      <c r="L2415" s="73"/>
      <c r="M2415" s="73"/>
      <c r="N2415" s="73"/>
      <c r="O2415" s="73"/>
      <c r="P2415" s="73"/>
      <c r="Q2415" s="73"/>
      <c r="R2415" s="73"/>
      <c r="S2415" s="73"/>
      <c r="T2415" s="73"/>
      <c r="U2415" s="73"/>
      <c r="V2415" s="73"/>
      <c r="W2415" s="73"/>
      <c r="GL2415" s="73"/>
      <c r="GM2415" s="73"/>
      <c r="GN2415" s="73"/>
      <c r="GO2415" s="73"/>
      <c r="GP2415" s="73"/>
      <c r="GQ2415" s="73"/>
      <c r="GR2415" s="73"/>
      <c r="GS2415" s="73"/>
      <c r="GT2415" s="73"/>
      <c r="GU2415" s="73"/>
      <c r="GV2415" s="73"/>
      <c r="GW2415" s="73"/>
      <c r="GX2415" s="73"/>
      <c r="GY2415" s="73"/>
      <c r="GZ2415" s="73"/>
      <c r="HA2415" s="73"/>
      <c r="HB2415" s="73"/>
      <c r="HC2415" s="73"/>
      <c r="HD2415" s="73"/>
      <c r="HE2415" s="73"/>
      <c r="HF2415" s="73"/>
      <c r="HG2415" s="73"/>
      <c r="HH2415" s="73"/>
      <c r="HI2415" s="73"/>
      <c r="HJ2415" s="73"/>
      <c r="HK2415" s="73"/>
      <c r="HL2415" s="73"/>
      <c r="HM2415" s="73"/>
      <c r="HN2415" s="73"/>
      <c r="HO2415" s="73"/>
      <c r="HP2415" s="73"/>
      <c r="HQ2415" s="73"/>
      <c r="HR2415" s="73"/>
      <c r="HS2415" s="73"/>
      <c r="HT2415" s="73"/>
      <c r="HU2415" s="73"/>
      <c r="HV2415" s="73"/>
      <c r="HW2415" s="73"/>
      <c r="HX2415" s="73"/>
      <c r="HY2415" s="73"/>
      <c r="HZ2415" s="73"/>
      <c r="IA2415" s="73"/>
      <c r="IB2415" s="73"/>
      <c r="IC2415" s="73"/>
      <c r="ID2415" s="73"/>
      <c r="IE2415" s="73"/>
      <c r="IF2415" s="73"/>
      <c r="IG2415" s="73"/>
      <c r="IH2415" s="73"/>
      <c r="II2415" s="73"/>
      <c r="IJ2415" s="73"/>
      <c r="IK2415" s="73"/>
      <c r="IL2415" s="73"/>
      <c r="IM2415" s="73"/>
      <c r="IN2415" s="73"/>
      <c r="IO2415" s="73"/>
      <c r="IP2415" s="73"/>
      <c r="IQ2415" s="73"/>
      <c r="IR2415" s="73"/>
      <c r="IS2415" s="73"/>
      <c r="IT2415" s="73"/>
      <c r="IU2415" s="73"/>
      <c r="IV2415" s="73"/>
      <c r="IW2415" s="73"/>
      <c r="IX2415" s="73"/>
      <c r="IY2415" s="73"/>
      <c r="IZ2415" s="73"/>
      <c r="JA2415" s="73"/>
      <c r="JB2415" s="73"/>
      <c r="JC2415" s="73"/>
    </row>
    <row r="2416" spans="2:263" s="72" customFormat="1">
      <c r="B2416" s="73"/>
      <c r="C2416" s="73"/>
      <c r="D2416" s="73"/>
      <c r="E2416" s="73"/>
      <c r="F2416" s="73"/>
      <c r="G2416" s="73"/>
      <c r="H2416" s="73"/>
      <c r="I2416" s="73"/>
      <c r="J2416" s="73"/>
      <c r="K2416" s="73"/>
      <c r="L2416" s="73"/>
      <c r="M2416" s="73"/>
      <c r="N2416" s="73"/>
      <c r="O2416" s="73"/>
      <c r="P2416" s="73"/>
      <c r="Q2416" s="73"/>
      <c r="R2416" s="73"/>
      <c r="S2416" s="73"/>
      <c r="T2416" s="73"/>
      <c r="U2416" s="73"/>
      <c r="V2416" s="73"/>
      <c r="W2416" s="73"/>
      <c r="GL2416" s="73"/>
      <c r="GM2416" s="73"/>
      <c r="GN2416" s="73"/>
      <c r="GO2416" s="73"/>
      <c r="GP2416" s="73"/>
      <c r="GQ2416" s="73"/>
      <c r="GR2416" s="73"/>
      <c r="GS2416" s="73"/>
      <c r="GT2416" s="73"/>
      <c r="GU2416" s="73"/>
      <c r="GV2416" s="73"/>
      <c r="GW2416" s="73"/>
      <c r="GX2416" s="73"/>
      <c r="GY2416" s="73"/>
      <c r="GZ2416" s="73"/>
      <c r="HA2416" s="73"/>
      <c r="HB2416" s="73"/>
      <c r="HC2416" s="73"/>
      <c r="HD2416" s="73"/>
      <c r="HE2416" s="73"/>
      <c r="HF2416" s="73"/>
      <c r="HG2416" s="73"/>
      <c r="HH2416" s="73"/>
      <c r="HI2416" s="73"/>
      <c r="HJ2416" s="73"/>
      <c r="HK2416" s="73"/>
      <c r="HL2416" s="73"/>
      <c r="HM2416" s="73"/>
      <c r="HN2416" s="73"/>
      <c r="HO2416" s="73"/>
      <c r="HP2416" s="73"/>
      <c r="HQ2416" s="73"/>
      <c r="HR2416" s="73"/>
      <c r="HS2416" s="73"/>
      <c r="HT2416" s="73"/>
      <c r="HU2416" s="73"/>
      <c r="HV2416" s="73"/>
      <c r="HW2416" s="73"/>
      <c r="HX2416" s="73"/>
      <c r="HY2416" s="73"/>
      <c r="HZ2416" s="73"/>
      <c r="IA2416" s="73"/>
      <c r="IB2416" s="73"/>
      <c r="IC2416" s="73"/>
      <c r="ID2416" s="73"/>
      <c r="IE2416" s="73"/>
      <c r="IF2416" s="73"/>
      <c r="IG2416" s="73"/>
      <c r="IH2416" s="73"/>
      <c r="II2416" s="73"/>
      <c r="IJ2416" s="73"/>
      <c r="IK2416" s="73"/>
      <c r="IL2416" s="73"/>
      <c r="IM2416" s="73"/>
      <c r="IN2416" s="73"/>
      <c r="IO2416" s="73"/>
      <c r="IP2416" s="73"/>
      <c r="IQ2416" s="73"/>
      <c r="IR2416" s="73"/>
      <c r="IS2416" s="73"/>
      <c r="IT2416" s="73"/>
      <c r="IU2416" s="73"/>
      <c r="IV2416" s="73"/>
      <c r="IW2416" s="73"/>
      <c r="IX2416" s="73"/>
      <c r="IY2416" s="73"/>
      <c r="IZ2416" s="73"/>
      <c r="JA2416" s="73"/>
      <c r="JB2416" s="73"/>
      <c r="JC2416" s="73"/>
    </row>
    <row r="2417" spans="2:263" s="72" customFormat="1">
      <c r="B2417" s="73"/>
      <c r="C2417" s="73"/>
      <c r="D2417" s="73"/>
      <c r="E2417" s="73"/>
      <c r="F2417" s="73"/>
      <c r="G2417" s="73"/>
      <c r="H2417" s="73"/>
      <c r="I2417" s="73"/>
      <c r="J2417" s="73"/>
      <c r="K2417" s="73"/>
      <c r="L2417" s="73"/>
      <c r="M2417" s="73"/>
      <c r="N2417" s="73"/>
      <c r="O2417" s="73"/>
      <c r="P2417" s="73"/>
      <c r="Q2417" s="73"/>
      <c r="R2417" s="73"/>
      <c r="S2417" s="73"/>
      <c r="T2417" s="73"/>
      <c r="U2417" s="73"/>
      <c r="V2417" s="73"/>
      <c r="W2417" s="73"/>
      <c r="GL2417" s="73"/>
      <c r="GM2417" s="73"/>
      <c r="GN2417" s="73"/>
      <c r="GO2417" s="73"/>
      <c r="GP2417" s="73"/>
      <c r="GQ2417" s="73"/>
      <c r="GR2417" s="73"/>
      <c r="GS2417" s="73"/>
      <c r="GT2417" s="73"/>
      <c r="GU2417" s="73"/>
      <c r="GV2417" s="73"/>
      <c r="GW2417" s="73"/>
      <c r="GX2417" s="73"/>
      <c r="GY2417" s="73"/>
      <c r="GZ2417" s="73"/>
      <c r="HA2417" s="73"/>
      <c r="HB2417" s="73"/>
      <c r="HC2417" s="73"/>
      <c r="HD2417" s="73"/>
      <c r="HE2417" s="73"/>
      <c r="HF2417" s="73"/>
      <c r="HG2417" s="73"/>
      <c r="HH2417" s="73"/>
      <c r="HI2417" s="73"/>
      <c r="HJ2417" s="73"/>
      <c r="HK2417" s="73"/>
      <c r="HL2417" s="73"/>
      <c r="HM2417" s="73"/>
      <c r="HN2417" s="73"/>
      <c r="HO2417" s="73"/>
      <c r="HP2417" s="73"/>
      <c r="HQ2417" s="73"/>
      <c r="HR2417" s="73"/>
      <c r="HS2417" s="73"/>
      <c r="HT2417" s="73"/>
      <c r="HU2417" s="73"/>
      <c r="HV2417" s="73"/>
      <c r="HW2417" s="73"/>
      <c r="HX2417" s="73"/>
      <c r="HY2417" s="73"/>
      <c r="HZ2417" s="73"/>
      <c r="IA2417" s="73"/>
      <c r="IB2417" s="73"/>
      <c r="IC2417" s="73"/>
      <c r="ID2417" s="73"/>
      <c r="IE2417" s="73"/>
      <c r="IF2417" s="73"/>
      <c r="IG2417" s="73"/>
      <c r="IH2417" s="73"/>
      <c r="II2417" s="73"/>
      <c r="IJ2417" s="73"/>
      <c r="IK2417" s="73"/>
      <c r="IL2417" s="73"/>
      <c r="IM2417" s="73"/>
      <c r="IN2417" s="73"/>
      <c r="IO2417" s="73"/>
      <c r="IP2417" s="73"/>
      <c r="IQ2417" s="73"/>
      <c r="IR2417" s="73"/>
      <c r="IS2417" s="73"/>
      <c r="IT2417" s="73"/>
      <c r="IU2417" s="73"/>
      <c r="IV2417" s="73"/>
      <c r="IW2417" s="73"/>
      <c r="IX2417" s="73"/>
      <c r="IY2417" s="73"/>
      <c r="IZ2417" s="73"/>
      <c r="JA2417" s="73"/>
      <c r="JB2417" s="73"/>
      <c r="JC2417" s="73"/>
    </row>
    <row r="2418" spans="2:263" s="72" customFormat="1">
      <c r="B2418" s="73"/>
      <c r="C2418" s="73"/>
      <c r="D2418" s="73"/>
      <c r="E2418" s="73"/>
      <c r="F2418" s="73"/>
      <c r="G2418" s="73"/>
      <c r="H2418" s="73"/>
      <c r="I2418" s="73"/>
      <c r="J2418" s="73"/>
      <c r="K2418" s="73"/>
      <c r="L2418" s="73"/>
      <c r="M2418" s="73"/>
      <c r="N2418" s="73"/>
      <c r="O2418" s="73"/>
      <c r="P2418" s="73"/>
      <c r="Q2418" s="73"/>
      <c r="R2418" s="73"/>
      <c r="S2418" s="73"/>
      <c r="T2418" s="73"/>
      <c r="U2418" s="73"/>
      <c r="V2418" s="73"/>
      <c r="W2418" s="73"/>
      <c r="GL2418" s="73"/>
      <c r="GM2418" s="73"/>
      <c r="GN2418" s="73"/>
      <c r="GO2418" s="73"/>
      <c r="GP2418" s="73"/>
      <c r="GQ2418" s="73"/>
      <c r="GR2418" s="73"/>
      <c r="GS2418" s="73"/>
      <c r="GT2418" s="73"/>
      <c r="GU2418" s="73"/>
      <c r="GV2418" s="73"/>
      <c r="GW2418" s="73"/>
      <c r="GX2418" s="73"/>
      <c r="GY2418" s="73"/>
      <c r="GZ2418" s="73"/>
      <c r="HA2418" s="73"/>
      <c r="HB2418" s="73"/>
      <c r="HC2418" s="73"/>
      <c r="HD2418" s="73"/>
      <c r="HE2418" s="73"/>
      <c r="HF2418" s="73"/>
      <c r="HG2418" s="73"/>
      <c r="HH2418" s="73"/>
      <c r="HI2418" s="73"/>
      <c r="HJ2418" s="73"/>
      <c r="HK2418" s="73"/>
      <c r="HL2418" s="73"/>
      <c r="HM2418" s="73"/>
      <c r="HN2418" s="73"/>
      <c r="HO2418" s="73"/>
      <c r="HP2418" s="73"/>
      <c r="HQ2418" s="73"/>
      <c r="HR2418" s="73"/>
      <c r="HS2418" s="73"/>
      <c r="HT2418" s="73"/>
      <c r="HU2418" s="73"/>
      <c r="HV2418" s="73"/>
      <c r="HW2418" s="73"/>
      <c r="HX2418" s="73"/>
      <c r="HY2418" s="73"/>
      <c r="HZ2418" s="73"/>
      <c r="IA2418" s="73"/>
      <c r="IB2418" s="73"/>
      <c r="IC2418" s="73"/>
      <c r="ID2418" s="73"/>
      <c r="IE2418" s="73"/>
      <c r="IF2418" s="73"/>
      <c r="IG2418" s="73"/>
      <c r="IH2418" s="73"/>
      <c r="II2418" s="73"/>
      <c r="IJ2418" s="73"/>
      <c r="IK2418" s="73"/>
      <c r="IL2418" s="73"/>
      <c r="IM2418" s="73"/>
      <c r="IN2418" s="73"/>
      <c r="IO2418" s="73"/>
      <c r="IP2418" s="73"/>
      <c r="IQ2418" s="73"/>
      <c r="IR2418" s="73"/>
      <c r="IS2418" s="73"/>
      <c r="IT2418" s="73"/>
      <c r="IU2418" s="73"/>
      <c r="IV2418" s="73"/>
      <c r="IW2418" s="73"/>
      <c r="IX2418" s="73"/>
      <c r="IY2418" s="73"/>
      <c r="IZ2418" s="73"/>
      <c r="JA2418" s="73"/>
      <c r="JB2418" s="73"/>
      <c r="JC2418" s="73"/>
    </row>
    <row r="2419" spans="2:263" s="72" customFormat="1">
      <c r="B2419" s="73"/>
      <c r="C2419" s="73"/>
      <c r="D2419" s="73"/>
      <c r="E2419" s="73"/>
      <c r="F2419" s="73"/>
      <c r="G2419" s="73"/>
      <c r="H2419" s="73"/>
      <c r="I2419" s="73"/>
      <c r="J2419" s="73"/>
      <c r="K2419" s="73"/>
      <c r="L2419" s="73"/>
      <c r="M2419" s="73"/>
      <c r="N2419" s="73"/>
      <c r="O2419" s="73"/>
      <c r="P2419" s="73"/>
      <c r="Q2419" s="73"/>
      <c r="R2419" s="73"/>
      <c r="S2419" s="73"/>
      <c r="T2419" s="73"/>
      <c r="U2419" s="73"/>
      <c r="V2419" s="73"/>
      <c r="W2419" s="73"/>
      <c r="GL2419" s="73"/>
      <c r="GM2419" s="73"/>
      <c r="GN2419" s="73"/>
      <c r="GO2419" s="73"/>
      <c r="GP2419" s="73"/>
      <c r="GQ2419" s="73"/>
      <c r="GR2419" s="73"/>
      <c r="GS2419" s="73"/>
      <c r="GT2419" s="73"/>
      <c r="GU2419" s="73"/>
      <c r="GV2419" s="73"/>
      <c r="GW2419" s="73"/>
      <c r="GX2419" s="73"/>
      <c r="GY2419" s="73"/>
      <c r="GZ2419" s="73"/>
      <c r="HA2419" s="73"/>
      <c r="HB2419" s="73"/>
      <c r="HC2419" s="73"/>
      <c r="HD2419" s="73"/>
      <c r="HE2419" s="73"/>
      <c r="HF2419" s="73"/>
      <c r="HG2419" s="73"/>
      <c r="HH2419" s="73"/>
      <c r="HI2419" s="73"/>
      <c r="HJ2419" s="73"/>
      <c r="HK2419" s="73"/>
      <c r="HL2419" s="73"/>
      <c r="HM2419" s="73"/>
      <c r="HN2419" s="73"/>
      <c r="HO2419" s="73"/>
      <c r="HP2419" s="73"/>
      <c r="HQ2419" s="73"/>
      <c r="HR2419" s="73"/>
      <c r="HS2419" s="73"/>
      <c r="HT2419" s="73"/>
      <c r="HU2419" s="73"/>
      <c r="HV2419" s="73"/>
      <c r="HW2419" s="73"/>
      <c r="HX2419" s="73"/>
      <c r="HY2419" s="73"/>
      <c r="HZ2419" s="73"/>
      <c r="IA2419" s="73"/>
      <c r="IB2419" s="73"/>
      <c r="IC2419" s="73"/>
      <c r="ID2419" s="73"/>
      <c r="IE2419" s="73"/>
      <c r="IF2419" s="73"/>
      <c r="IG2419" s="73"/>
      <c r="IH2419" s="73"/>
      <c r="II2419" s="73"/>
      <c r="IJ2419" s="73"/>
      <c r="IK2419" s="73"/>
      <c r="IL2419" s="73"/>
      <c r="IM2419" s="73"/>
      <c r="IN2419" s="73"/>
      <c r="IO2419" s="73"/>
      <c r="IP2419" s="73"/>
      <c r="IQ2419" s="73"/>
      <c r="IR2419" s="73"/>
      <c r="IS2419" s="73"/>
      <c r="IT2419" s="73"/>
      <c r="IU2419" s="73"/>
      <c r="IV2419" s="73"/>
      <c r="IW2419" s="73"/>
      <c r="IX2419" s="73"/>
      <c r="IY2419" s="73"/>
      <c r="IZ2419" s="73"/>
      <c r="JA2419" s="73"/>
      <c r="JB2419" s="73"/>
      <c r="JC2419" s="73"/>
    </row>
    <row r="2420" spans="2:263" s="72" customFormat="1">
      <c r="B2420" s="73"/>
      <c r="C2420" s="73"/>
      <c r="D2420" s="73"/>
      <c r="E2420" s="73"/>
      <c r="F2420" s="73"/>
      <c r="G2420" s="73"/>
      <c r="H2420" s="73"/>
      <c r="I2420" s="73"/>
      <c r="J2420" s="73"/>
      <c r="K2420" s="73"/>
      <c r="L2420" s="73"/>
      <c r="M2420" s="73"/>
      <c r="N2420" s="73"/>
      <c r="O2420" s="73"/>
      <c r="P2420" s="73"/>
      <c r="Q2420" s="73"/>
      <c r="R2420" s="73"/>
      <c r="S2420" s="73"/>
      <c r="T2420" s="73"/>
      <c r="U2420" s="73"/>
      <c r="V2420" s="73"/>
      <c r="W2420" s="73"/>
      <c r="GL2420" s="73"/>
      <c r="GM2420" s="73"/>
      <c r="GN2420" s="73"/>
      <c r="GO2420" s="73"/>
      <c r="GP2420" s="73"/>
      <c r="GQ2420" s="73"/>
      <c r="GR2420" s="73"/>
      <c r="GS2420" s="73"/>
      <c r="GT2420" s="73"/>
      <c r="GU2420" s="73"/>
      <c r="GV2420" s="73"/>
      <c r="GW2420" s="73"/>
      <c r="GX2420" s="73"/>
      <c r="GY2420" s="73"/>
      <c r="GZ2420" s="73"/>
      <c r="HA2420" s="73"/>
      <c r="HB2420" s="73"/>
      <c r="HC2420" s="73"/>
      <c r="HD2420" s="73"/>
      <c r="HE2420" s="73"/>
      <c r="HF2420" s="73"/>
      <c r="HG2420" s="73"/>
      <c r="HH2420" s="73"/>
      <c r="HI2420" s="73"/>
      <c r="HJ2420" s="73"/>
      <c r="HK2420" s="73"/>
      <c r="HL2420" s="73"/>
      <c r="HM2420" s="73"/>
      <c r="HN2420" s="73"/>
      <c r="HO2420" s="73"/>
      <c r="HP2420" s="73"/>
      <c r="HQ2420" s="73"/>
      <c r="HR2420" s="73"/>
      <c r="HS2420" s="73"/>
      <c r="HT2420" s="73"/>
      <c r="HU2420" s="73"/>
      <c r="HV2420" s="73"/>
      <c r="HW2420" s="73"/>
      <c r="HX2420" s="73"/>
      <c r="HY2420" s="73"/>
      <c r="HZ2420" s="73"/>
      <c r="IA2420" s="73"/>
      <c r="IB2420" s="73"/>
      <c r="IC2420" s="73"/>
      <c r="ID2420" s="73"/>
      <c r="IE2420" s="73"/>
      <c r="IF2420" s="73"/>
      <c r="IG2420" s="73"/>
      <c r="IH2420" s="73"/>
      <c r="II2420" s="73"/>
      <c r="IJ2420" s="73"/>
      <c r="IK2420" s="73"/>
      <c r="IL2420" s="73"/>
      <c r="IM2420" s="73"/>
      <c r="IN2420" s="73"/>
      <c r="IO2420" s="73"/>
      <c r="IP2420" s="73"/>
      <c r="IQ2420" s="73"/>
      <c r="IR2420" s="73"/>
      <c r="IS2420" s="73"/>
      <c r="IT2420" s="73"/>
      <c r="IU2420" s="73"/>
      <c r="IV2420" s="73"/>
      <c r="IW2420" s="73"/>
      <c r="IX2420" s="73"/>
      <c r="IY2420" s="73"/>
      <c r="IZ2420" s="73"/>
      <c r="JA2420" s="73"/>
      <c r="JB2420" s="73"/>
      <c r="JC2420" s="73"/>
    </row>
    <row r="2421" spans="2:263" s="72" customFormat="1">
      <c r="B2421" s="73"/>
      <c r="C2421" s="73"/>
      <c r="D2421" s="73"/>
      <c r="E2421" s="73"/>
      <c r="F2421" s="73"/>
      <c r="G2421" s="73"/>
      <c r="H2421" s="73"/>
      <c r="I2421" s="73"/>
      <c r="J2421" s="73"/>
      <c r="K2421" s="73"/>
      <c r="L2421" s="73"/>
      <c r="M2421" s="73"/>
      <c r="N2421" s="73"/>
      <c r="O2421" s="73"/>
      <c r="P2421" s="73"/>
      <c r="Q2421" s="73"/>
      <c r="R2421" s="73"/>
      <c r="S2421" s="73"/>
      <c r="T2421" s="73"/>
      <c r="U2421" s="73"/>
      <c r="V2421" s="73"/>
      <c r="W2421" s="73"/>
      <c r="GL2421" s="73"/>
      <c r="GM2421" s="73"/>
      <c r="GN2421" s="73"/>
      <c r="GO2421" s="73"/>
      <c r="GP2421" s="73"/>
      <c r="GQ2421" s="73"/>
      <c r="GR2421" s="73"/>
      <c r="GS2421" s="73"/>
      <c r="GT2421" s="73"/>
      <c r="GU2421" s="73"/>
      <c r="GV2421" s="73"/>
      <c r="GW2421" s="73"/>
      <c r="GX2421" s="73"/>
      <c r="GY2421" s="73"/>
      <c r="GZ2421" s="73"/>
      <c r="HA2421" s="73"/>
      <c r="HB2421" s="73"/>
      <c r="HC2421" s="73"/>
      <c r="HD2421" s="73"/>
      <c r="HE2421" s="73"/>
      <c r="HF2421" s="73"/>
      <c r="HG2421" s="73"/>
      <c r="HH2421" s="73"/>
      <c r="HI2421" s="73"/>
      <c r="HJ2421" s="73"/>
      <c r="HK2421" s="73"/>
      <c r="HL2421" s="73"/>
      <c r="HM2421" s="73"/>
      <c r="HN2421" s="73"/>
      <c r="HO2421" s="73"/>
      <c r="HP2421" s="73"/>
      <c r="HQ2421" s="73"/>
      <c r="HR2421" s="73"/>
      <c r="HS2421" s="73"/>
      <c r="HT2421" s="73"/>
      <c r="HU2421" s="73"/>
      <c r="HV2421" s="73"/>
      <c r="HW2421" s="73"/>
      <c r="HX2421" s="73"/>
      <c r="HY2421" s="73"/>
      <c r="HZ2421" s="73"/>
      <c r="IA2421" s="73"/>
      <c r="IB2421" s="73"/>
      <c r="IC2421" s="73"/>
      <c r="ID2421" s="73"/>
      <c r="IE2421" s="73"/>
      <c r="IF2421" s="73"/>
      <c r="IG2421" s="73"/>
      <c r="IH2421" s="73"/>
      <c r="II2421" s="73"/>
      <c r="IJ2421" s="73"/>
      <c r="IK2421" s="73"/>
      <c r="IL2421" s="73"/>
      <c r="IM2421" s="73"/>
      <c r="IN2421" s="73"/>
      <c r="IO2421" s="73"/>
      <c r="IP2421" s="73"/>
      <c r="IQ2421" s="73"/>
      <c r="IR2421" s="73"/>
      <c r="IS2421" s="73"/>
      <c r="IT2421" s="73"/>
      <c r="IU2421" s="73"/>
      <c r="IV2421" s="73"/>
      <c r="IW2421" s="73"/>
      <c r="IX2421" s="73"/>
      <c r="IY2421" s="73"/>
      <c r="IZ2421" s="73"/>
      <c r="JA2421" s="73"/>
      <c r="JB2421" s="73"/>
      <c r="JC2421" s="73"/>
    </row>
    <row r="2422" spans="2:263" s="72" customFormat="1">
      <c r="B2422" s="73"/>
      <c r="C2422" s="73"/>
      <c r="D2422" s="73"/>
      <c r="E2422" s="73"/>
      <c r="F2422" s="73"/>
      <c r="G2422" s="73"/>
      <c r="H2422" s="73"/>
      <c r="I2422" s="73"/>
      <c r="J2422" s="73"/>
      <c r="K2422" s="73"/>
      <c r="L2422" s="73"/>
      <c r="M2422" s="73"/>
      <c r="N2422" s="73"/>
      <c r="O2422" s="73"/>
      <c r="P2422" s="73"/>
      <c r="Q2422" s="73"/>
      <c r="R2422" s="73"/>
      <c r="S2422" s="73"/>
      <c r="T2422" s="73"/>
      <c r="U2422" s="73"/>
      <c r="V2422" s="73"/>
      <c r="W2422" s="73"/>
      <c r="GL2422" s="73"/>
      <c r="GM2422" s="73"/>
      <c r="GN2422" s="73"/>
      <c r="GO2422" s="73"/>
      <c r="GP2422" s="73"/>
      <c r="GQ2422" s="73"/>
      <c r="GR2422" s="73"/>
      <c r="GS2422" s="73"/>
      <c r="GT2422" s="73"/>
      <c r="GU2422" s="73"/>
      <c r="GV2422" s="73"/>
      <c r="GW2422" s="73"/>
      <c r="GX2422" s="73"/>
      <c r="GY2422" s="73"/>
      <c r="GZ2422" s="73"/>
      <c r="HA2422" s="73"/>
      <c r="HB2422" s="73"/>
      <c r="HC2422" s="73"/>
      <c r="HD2422" s="73"/>
      <c r="HE2422" s="73"/>
      <c r="HF2422" s="73"/>
      <c r="HG2422" s="73"/>
      <c r="HH2422" s="73"/>
      <c r="HI2422" s="73"/>
      <c r="HJ2422" s="73"/>
      <c r="HK2422" s="73"/>
      <c r="HL2422" s="73"/>
      <c r="HM2422" s="73"/>
      <c r="HN2422" s="73"/>
      <c r="HO2422" s="73"/>
      <c r="HP2422" s="73"/>
      <c r="HQ2422" s="73"/>
      <c r="HR2422" s="73"/>
      <c r="HS2422" s="73"/>
      <c r="HT2422" s="73"/>
      <c r="HU2422" s="73"/>
      <c r="HV2422" s="73"/>
      <c r="HW2422" s="73"/>
      <c r="HX2422" s="73"/>
      <c r="HY2422" s="73"/>
      <c r="HZ2422" s="73"/>
      <c r="IA2422" s="73"/>
      <c r="IB2422" s="73"/>
      <c r="IC2422" s="73"/>
      <c r="ID2422" s="73"/>
      <c r="IE2422" s="73"/>
      <c r="IF2422" s="73"/>
      <c r="IG2422" s="73"/>
      <c r="IH2422" s="73"/>
      <c r="II2422" s="73"/>
      <c r="IJ2422" s="73"/>
      <c r="IK2422" s="73"/>
      <c r="IL2422" s="73"/>
      <c r="IM2422" s="73"/>
      <c r="IN2422" s="73"/>
      <c r="IO2422" s="73"/>
      <c r="IP2422" s="73"/>
      <c r="IQ2422" s="73"/>
      <c r="IR2422" s="73"/>
      <c r="IS2422" s="73"/>
      <c r="IT2422" s="73"/>
      <c r="IU2422" s="73"/>
      <c r="IV2422" s="73"/>
      <c r="IW2422" s="73"/>
      <c r="IX2422" s="73"/>
      <c r="IY2422" s="73"/>
      <c r="IZ2422" s="73"/>
      <c r="JA2422" s="73"/>
      <c r="JB2422" s="73"/>
      <c r="JC2422" s="73"/>
    </row>
    <row r="2423" spans="2:263" s="72" customFormat="1">
      <c r="B2423" s="73"/>
      <c r="C2423" s="73"/>
      <c r="D2423" s="73"/>
      <c r="E2423" s="73"/>
      <c r="F2423" s="73"/>
      <c r="G2423" s="73"/>
      <c r="H2423" s="73"/>
      <c r="I2423" s="73"/>
      <c r="J2423" s="73"/>
      <c r="K2423" s="73"/>
      <c r="L2423" s="73"/>
      <c r="M2423" s="73"/>
      <c r="N2423" s="73"/>
      <c r="O2423" s="73"/>
      <c r="P2423" s="73"/>
      <c r="Q2423" s="73"/>
      <c r="R2423" s="73"/>
      <c r="S2423" s="73"/>
      <c r="T2423" s="73"/>
      <c r="U2423" s="73"/>
      <c r="V2423" s="73"/>
      <c r="W2423" s="73"/>
      <c r="GL2423" s="73"/>
      <c r="GM2423" s="73"/>
      <c r="GN2423" s="73"/>
      <c r="GO2423" s="73"/>
      <c r="GP2423" s="73"/>
      <c r="GQ2423" s="73"/>
      <c r="GR2423" s="73"/>
      <c r="GS2423" s="73"/>
      <c r="GT2423" s="73"/>
      <c r="GU2423" s="73"/>
      <c r="GV2423" s="73"/>
      <c r="GW2423" s="73"/>
      <c r="GX2423" s="73"/>
      <c r="GY2423" s="73"/>
      <c r="GZ2423" s="73"/>
      <c r="HA2423" s="73"/>
      <c r="HB2423" s="73"/>
      <c r="HC2423" s="73"/>
      <c r="HD2423" s="73"/>
      <c r="HE2423" s="73"/>
      <c r="HF2423" s="73"/>
      <c r="HG2423" s="73"/>
      <c r="HH2423" s="73"/>
      <c r="HI2423" s="73"/>
      <c r="HJ2423" s="73"/>
      <c r="HK2423" s="73"/>
      <c r="HL2423" s="73"/>
      <c r="HM2423" s="73"/>
      <c r="HN2423" s="73"/>
      <c r="HO2423" s="73"/>
      <c r="HP2423" s="73"/>
      <c r="HQ2423" s="73"/>
      <c r="HR2423" s="73"/>
      <c r="HS2423" s="73"/>
      <c r="HT2423" s="73"/>
      <c r="HU2423" s="73"/>
      <c r="HV2423" s="73"/>
      <c r="HW2423" s="73"/>
      <c r="HX2423" s="73"/>
      <c r="HY2423" s="73"/>
      <c r="HZ2423" s="73"/>
      <c r="IA2423" s="73"/>
      <c r="IB2423" s="73"/>
      <c r="IC2423" s="73"/>
      <c r="ID2423" s="73"/>
      <c r="IE2423" s="73"/>
      <c r="IF2423" s="73"/>
      <c r="IG2423" s="73"/>
      <c r="IH2423" s="73"/>
      <c r="II2423" s="73"/>
      <c r="IJ2423" s="73"/>
      <c r="IK2423" s="73"/>
      <c r="IL2423" s="73"/>
      <c r="IM2423" s="73"/>
      <c r="IN2423" s="73"/>
      <c r="IO2423" s="73"/>
      <c r="IP2423" s="73"/>
      <c r="IQ2423" s="73"/>
      <c r="IR2423" s="73"/>
      <c r="IS2423" s="73"/>
      <c r="IT2423" s="73"/>
      <c r="IU2423" s="73"/>
      <c r="IV2423" s="73"/>
      <c r="IW2423" s="73"/>
      <c r="IX2423" s="73"/>
      <c r="IY2423" s="73"/>
      <c r="IZ2423" s="73"/>
      <c r="JA2423" s="73"/>
      <c r="JB2423" s="73"/>
      <c r="JC2423" s="73"/>
    </row>
    <row r="2424" spans="2:263" s="72" customFormat="1">
      <c r="B2424" s="73"/>
      <c r="C2424" s="73"/>
      <c r="D2424" s="73"/>
      <c r="E2424" s="73"/>
      <c r="F2424" s="73"/>
      <c r="G2424" s="73"/>
      <c r="H2424" s="73"/>
      <c r="I2424" s="73"/>
      <c r="J2424" s="73"/>
      <c r="K2424" s="73"/>
      <c r="L2424" s="73"/>
      <c r="M2424" s="73"/>
      <c r="N2424" s="73"/>
      <c r="O2424" s="73"/>
      <c r="P2424" s="73"/>
      <c r="Q2424" s="73"/>
      <c r="R2424" s="73"/>
      <c r="S2424" s="73"/>
      <c r="T2424" s="73"/>
      <c r="U2424" s="73"/>
      <c r="V2424" s="73"/>
      <c r="W2424" s="73"/>
      <c r="GL2424" s="73"/>
      <c r="GM2424" s="73"/>
      <c r="GN2424" s="73"/>
      <c r="GO2424" s="73"/>
      <c r="GP2424" s="73"/>
      <c r="GQ2424" s="73"/>
      <c r="GR2424" s="73"/>
      <c r="GS2424" s="73"/>
      <c r="GT2424" s="73"/>
      <c r="GU2424" s="73"/>
      <c r="GV2424" s="73"/>
      <c r="GW2424" s="73"/>
      <c r="GX2424" s="73"/>
      <c r="GY2424" s="73"/>
      <c r="GZ2424" s="73"/>
      <c r="HA2424" s="73"/>
      <c r="HB2424" s="73"/>
      <c r="HC2424" s="73"/>
      <c r="HD2424" s="73"/>
      <c r="HE2424" s="73"/>
      <c r="HF2424" s="73"/>
      <c r="HG2424" s="73"/>
      <c r="HH2424" s="73"/>
      <c r="HI2424" s="73"/>
      <c r="HJ2424" s="73"/>
      <c r="HK2424" s="73"/>
      <c r="HL2424" s="73"/>
      <c r="HM2424" s="73"/>
      <c r="HN2424" s="73"/>
      <c r="HO2424" s="73"/>
      <c r="HP2424" s="73"/>
      <c r="HQ2424" s="73"/>
      <c r="HR2424" s="73"/>
      <c r="HS2424" s="73"/>
      <c r="HT2424" s="73"/>
      <c r="HU2424" s="73"/>
      <c r="HV2424" s="73"/>
      <c r="HW2424" s="73"/>
      <c r="HX2424" s="73"/>
      <c r="HY2424" s="73"/>
      <c r="HZ2424" s="73"/>
      <c r="IA2424" s="73"/>
      <c r="IB2424" s="73"/>
      <c r="IC2424" s="73"/>
      <c r="ID2424" s="73"/>
      <c r="IE2424" s="73"/>
      <c r="IF2424" s="73"/>
      <c r="IG2424" s="73"/>
      <c r="IH2424" s="73"/>
      <c r="II2424" s="73"/>
      <c r="IJ2424" s="73"/>
      <c r="IK2424" s="73"/>
      <c r="IL2424" s="73"/>
      <c r="IM2424" s="73"/>
      <c r="IN2424" s="73"/>
      <c r="IO2424" s="73"/>
      <c r="IP2424" s="73"/>
      <c r="IQ2424" s="73"/>
      <c r="IR2424" s="73"/>
      <c r="IS2424" s="73"/>
      <c r="IT2424" s="73"/>
      <c r="IU2424" s="73"/>
      <c r="IV2424" s="73"/>
      <c r="IW2424" s="73"/>
      <c r="IX2424" s="73"/>
      <c r="IY2424" s="73"/>
      <c r="IZ2424" s="73"/>
      <c r="JA2424" s="73"/>
      <c r="JB2424" s="73"/>
      <c r="JC2424" s="73"/>
    </row>
    <row r="2425" spans="2:263" s="72" customFormat="1">
      <c r="B2425" s="73"/>
      <c r="C2425" s="73"/>
      <c r="D2425" s="73"/>
      <c r="E2425" s="73"/>
      <c r="F2425" s="73"/>
      <c r="G2425" s="73"/>
      <c r="H2425" s="73"/>
      <c r="I2425" s="73"/>
      <c r="J2425" s="73"/>
      <c r="K2425" s="73"/>
      <c r="L2425" s="73"/>
      <c r="M2425" s="73"/>
      <c r="N2425" s="73"/>
      <c r="O2425" s="73"/>
      <c r="P2425" s="73"/>
      <c r="Q2425" s="73"/>
      <c r="R2425" s="73"/>
      <c r="S2425" s="73"/>
      <c r="T2425" s="73"/>
      <c r="U2425" s="73"/>
      <c r="V2425" s="73"/>
      <c r="W2425" s="73"/>
      <c r="GL2425" s="73"/>
      <c r="GM2425" s="73"/>
      <c r="GN2425" s="73"/>
      <c r="GO2425" s="73"/>
      <c r="GP2425" s="73"/>
      <c r="GQ2425" s="73"/>
      <c r="GR2425" s="73"/>
      <c r="GS2425" s="73"/>
      <c r="GT2425" s="73"/>
      <c r="GU2425" s="73"/>
      <c r="GV2425" s="73"/>
      <c r="GW2425" s="73"/>
      <c r="GX2425" s="73"/>
      <c r="GY2425" s="73"/>
      <c r="GZ2425" s="73"/>
      <c r="HA2425" s="73"/>
      <c r="HB2425" s="73"/>
      <c r="HC2425" s="73"/>
      <c r="HD2425" s="73"/>
      <c r="HE2425" s="73"/>
      <c r="HF2425" s="73"/>
      <c r="HG2425" s="73"/>
      <c r="HH2425" s="73"/>
      <c r="HI2425" s="73"/>
      <c r="HJ2425" s="73"/>
      <c r="HK2425" s="73"/>
      <c r="HL2425" s="73"/>
      <c r="HM2425" s="73"/>
      <c r="HN2425" s="73"/>
      <c r="HO2425" s="73"/>
      <c r="HP2425" s="73"/>
      <c r="HQ2425" s="73"/>
      <c r="HR2425" s="73"/>
      <c r="HS2425" s="73"/>
      <c r="HT2425" s="73"/>
      <c r="HU2425" s="73"/>
      <c r="HV2425" s="73"/>
      <c r="HW2425" s="73"/>
      <c r="HX2425" s="73"/>
      <c r="HY2425" s="73"/>
      <c r="HZ2425" s="73"/>
      <c r="IA2425" s="73"/>
      <c r="IB2425" s="73"/>
      <c r="IC2425" s="73"/>
      <c r="ID2425" s="73"/>
      <c r="IE2425" s="73"/>
      <c r="IF2425" s="73"/>
      <c r="IG2425" s="73"/>
      <c r="IH2425" s="73"/>
      <c r="II2425" s="73"/>
      <c r="IJ2425" s="73"/>
      <c r="IK2425" s="73"/>
      <c r="IL2425" s="73"/>
      <c r="IM2425" s="73"/>
      <c r="IN2425" s="73"/>
      <c r="IO2425" s="73"/>
      <c r="IP2425" s="73"/>
      <c r="IQ2425" s="73"/>
      <c r="IR2425" s="73"/>
      <c r="IS2425" s="73"/>
      <c r="IT2425" s="73"/>
      <c r="IU2425" s="73"/>
      <c r="IV2425" s="73"/>
      <c r="IW2425" s="73"/>
      <c r="IX2425" s="73"/>
      <c r="IY2425" s="73"/>
      <c r="IZ2425" s="73"/>
      <c r="JA2425" s="73"/>
      <c r="JB2425" s="73"/>
      <c r="JC2425" s="73"/>
    </row>
    <row r="2426" spans="2:263" s="72" customFormat="1">
      <c r="B2426" s="73"/>
      <c r="C2426" s="73"/>
      <c r="D2426" s="73"/>
      <c r="E2426" s="73"/>
      <c r="F2426" s="73"/>
      <c r="G2426" s="73"/>
      <c r="H2426" s="73"/>
      <c r="I2426" s="73"/>
      <c r="J2426" s="73"/>
      <c r="K2426" s="73"/>
      <c r="L2426" s="73"/>
      <c r="M2426" s="73"/>
      <c r="N2426" s="73"/>
      <c r="O2426" s="73"/>
      <c r="P2426" s="73"/>
      <c r="Q2426" s="73"/>
      <c r="R2426" s="73"/>
      <c r="S2426" s="73"/>
      <c r="T2426" s="73"/>
      <c r="U2426" s="73"/>
      <c r="V2426" s="73"/>
      <c r="W2426" s="73"/>
      <c r="GL2426" s="73"/>
      <c r="GM2426" s="73"/>
      <c r="GN2426" s="73"/>
      <c r="GO2426" s="73"/>
      <c r="GP2426" s="73"/>
      <c r="GQ2426" s="73"/>
      <c r="GR2426" s="73"/>
      <c r="GS2426" s="73"/>
      <c r="GT2426" s="73"/>
      <c r="GU2426" s="73"/>
      <c r="GV2426" s="73"/>
      <c r="GW2426" s="73"/>
      <c r="GX2426" s="73"/>
      <c r="GY2426" s="73"/>
      <c r="GZ2426" s="73"/>
      <c r="HA2426" s="73"/>
      <c r="HB2426" s="73"/>
      <c r="HC2426" s="73"/>
      <c r="HD2426" s="73"/>
      <c r="HE2426" s="73"/>
      <c r="HF2426" s="73"/>
      <c r="HG2426" s="73"/>
      <c r="HH2426" s="73"/>
      <c r="HI2426" s="73"/>
      <c r="HJ2426" s="73"/>
      <c r="HK2426" s="73"/>
      <c r="HL2426" s="73"/>
      <c r="HM2426" s="73"/>
      <c r="HN2426" s="73"/>
      <c r="HO2426" s="73"/>
      <c r="HP2426" s="73"/>
      <c r="HQ2426" s="73"/>
      <c r="HR2426" s="73"/>
      <c r="HS2426" s="73"/>
      <c r="HT2426" s="73"/>
      <c r="HU2426" s="73"/>
      <c r="HV2426" s="73"/>
      <c r="HW2426" s="73"/>
      <c r="HX2426" s="73"/>
      <c r="HY2426" s="73"/>
      <c r="HZ2426" s="73"/>
      <c r="IA2426" s="73"/>
      <c r="IB2426" s="73"/>
      <c r="IC2426" s="73"/>
      <c r="ID2426" s="73"/>
      <c r="IE2426" s="73"/>
      <c r="IF2426" s="73"/>
      <c r="IG2426" s="73"/>
      <c r="IH2426" s="73"/>
      <c r="II2426" s="73"/>
      <c r="IJ2426" s="73"/>
      <c r="IK2426" s="73"/>
      <c r="IL2426" s="73"/>
      <c r="IM2426" s="73"/>
      <c r="IN2426" s="73"/>
      <c r="IO2426" s="73"/>
      <c r="IP2426" s="73"/>
      <c r="IQ2426" s="73"/>
      <c r="IR2426" s="73"/>
      <c r="IS2426" s="73"/>
      <c r="IT2426" s="73"/>
      <c r="IU2426" s="73"/>
      <c r="IV2426" s="73"/>
      <c r="IW2426" s="73"/>
      <c r="IX2426" s="73"/>
      <c r="IY2426" s="73"/>
      <c r="IZ2426" s="73"/>
      <c r="JA2426" s="73"/>
      <c r="JB2426" s="73"/>
      <c r="JC2426" s="73"/>
    </row>
    <row r="2427" spans="2:263" s="72" customFormat="1">
      <c r="B2427" s="73"/>
      <c r="C2427" s="73"/>
      <c r="D2427" s="73"/>
      <c r="E2427" s="73"/>
      <c r="F2427" s="73"/>
      <c r="G2427" s="73"/>
      <c r="H2427" s="73"/>
      <c r="I2427" s="73"/>
      <c r="J2427" s="73"/>
      <c r="K2427" s="73"/>
      <c r="L2427" s="73"/>
      <c r="M2427" s="73"/>
      <c r="N2427" s="73"/>
      <c r="O2427" s="73"/>
      <c r="P2427" s="73"/>
      <c r="Q2427" s="73"/>
      <c r="R2427" s="73"/>
      <c r="S2427" s="73"/>
      <c r="T2427" s="73"/>
      <c r="U2427" s="73"/>
      <c r="V2427" s="73"/>
      <c r="W2427" s="73"/>
      <c r="GL2427" s="73"/>
      <c r="GM2427" s="73"/>
      <c r="GN2427" s="73"/>
      <c r="GO2427" s="73"/>
      <c r="GP2427" s="73"/>
      <c r="GQ2427" s="73"/>
      <c r="GR2427" s="73"/>
      <c r="GS2427" s="73"/>
      <c r="GT2427" s="73"/>
      <c r="GU2427" s="73"/>
      <c r="GV2427" s="73"/>
      <c r="GW2427" s="73"/>
      <c r="GX2427" s="73"/>
      <c r="GY2427" s="73"/>
      <c r="GZ2427" s="73"/>
      <c r="HA2427" s="73"/>
      <c r="HB2427" s="73"/>
      <c r="HC2427" s="73"/>
      <c r="HD2427" s="73"/>
      <c r="HE2427" s="73"/>
      <c r="HF2427" s="73"/>
      <c r="HG2427" s="73"/>
      <c r="HH2427" s="73"/>
      <c r="HI2427" s="73"/>
      <c r="HJ2427" s="73"/>
      <c r="HK2427" s="73"/>
      <c r="HL2427" s="73"/>
      <c r="HM2427" s="73"/>
      <c r="HN2427" s="73"/>
      <c r="HO2427" s="73"/>
      <c r="HP2427" s="73"/>
      <c r="HQ2427" s="73"/>
      <c r="HR2427" s="73"/>
      <c r="HS2427" s="73"/>
      <c r="HT2427" s="73"/>
      <c r="HU2427" s="73"/>
      <c r="HV2427" s="73"/>
      <c r="HW2427" s="73"/>
      <c r="HX2427" s="73"/>
      <c r="HY2427" s="73"/>
      <c r="HZ2427" s="73"/>
      <c r="IA2427" s="73"/>
      <c r="IB2427" s="73"/>
      <c r="IC2427" s="73"/>
      <c r="ID2427" s="73"/>
      <c r="IE2427" s="73"/>
      <c r="IF2427" s="73"/>
      <c r="IG2427" s="73"/>
      <c r="IH2427" s="73"/>
      <c r="II2427" s="73"/>
      <c r="IJ2427" s="73"/>
      <c r="IK2427" s="73"/>
      <c r="IL2427" s="73"/>
      <c r="IM2427" s="73"/>
      <c r="IN2427" s="73"/>
      <c r="IO2427" s="73"/>
      <c r="IP2427" s="73"/>
      <c r="IQ2427" s="73"/>
      <c r="IR2427" s="73"/>
      <c r="IS2427" s="73"/>
      <c r="IT2427" s="73"/>
      <c r="IU2427" s="73"/>
      <c r="IV2427" s="73"/>
      <c r="IW2427" s="73"/>
      <c r="IX2427" s="73"/>
      <c r="IY2427" s="73"/>
      <c r="IZ2427" s="73"/>
      <c r="JA2427" s="73"/>
      <c r="JB2427" s="73"/>
      <c r="JC2427" s="73"/>
    </row>
    <row r="2428" spans="2:263" s="72" customFormat="1">
      <c r="B2428" s="73"/>
      <c r="C2428" s="73"/>
      <c r="D2428" s="73"/>
      <c r="E2428" s="73"/>
      <c r="F2428" s="73"/>
      <c r="G2428" s="73"/>
      <c r="H2428" s="73"/>
      <c r="I2428" s="73"/>
      <c r="J2428" s="73"/>
      <c r="K2428" s="73"/>
      <c r="L2428" s="73"/>
      <c r="M2428" s="73"/>
      <c r="N2428" s="73"/>
      <c r="O2428" s="73"/>
      <c r="P2428" s="73"/>
      <c r="Q2428" s="73"/>
      <c r="R2428" s="73"/>
      <c r="S2428" s="73"/>
      <c r="T2428" s="73"/>
      <c r="U2428" s="73"/>
      <c r="V2428" s="73"/>
      <c r="W2428" s="73"/>
      <c r="GL2428" s="73"/>
      <c r="GM2428" s="73"/>
      <c r="GN2428" s="73"/>
      <c r="GO2428" s="73"/>
      <c r="GP2428" s="73"/>
      <c r="GQ2428" s="73"/>
      <c r="GR2428" s="73"/>
      <c r="GS2428" s="73"/>
      <c r="GT2428" s="73"/>
      <c r="GU2428" s="73"/>
      <c r="GV2428" s="73"/>
      <c r="GW2428" s="73"/>
      <c r="GX2428" s="73"/>
      <c r="GY2428" s="73"/>
      <c r="GZ2428" s="73"/>
      <c r="HA2428" s="73"/>
      <c r="HB2428" s="73"/>
      <c r="HC2428" s="73"/>
      <c r="HD2428" s="73"/>
      <c r="HE2428" s="73"/>
      <c r="HF2428" s="73"/>
      <c r="HG2428" s="73"/>
      <c r="HH2428" s="73"/>
      <c r="HI2428" s="73"/>
      <c r="HJ2428" s="73"/>
      <c r="HK2428" s="73"/>
      <c r="HL2428" s="73"/>
      <c r="HM2428" s="73"/>
      <c r="HN2428" s="73"/>
      <c r="HO2428" s="73"/>
      <c r="HP2428" s="73"/>
      <c r="HQ2428" s="73"/>
      <c r="HR2428" s="73"/>
      <c r="HS2428" s="73"/>
      <c r="HT2428" s="73"/>
      <c r="HU2428" s="73"/>
      <c r="HV2428" s="73"/>
      <c r="HW2428" s="73"/>
      <c r="HX2428" s="73"/>
      <c r="HY2428" s="73"/>
      <c r="HZ2428" s="73"/>
      <c r="IA2428" s="73"/>
      <c r="IB2428" s="73"/>
      <c r="IC2428" s="73"/>
      <c r="ID2428" s="73"/>
      <c r="IE2428" s="73"/>
      <c r="IF2428" s="73"/>
      <c r="IG2428" s="73"/>
      <c r="IH2428" s="73"/>
      <c r="II2428" s="73"/>
      <c r="IJ2428" s="73"/>
      <c r="IK2428" s="73"/>
      <c r="IL2428" s="73"/>
      <c r="IM2428" s="73"/>
      <c r="IN2428" s="73"/>
      <c r="IO2428" s="73"/>
      <c r="IP2428" s="73"/>
      <c r="IQ2428" s="73"/>
      <c r="IR2428" s="73"/>
      <c r="IS2428" s="73"/>
      <c r="IT2428" s="73"/>
      <c r="IU2428" s="73"/>
      <c r="IV2428" s="73"/>
      <c r="IW2428" s="73"/>
      <c r="IX2428" s="73"/>
      <c r="IY2428" s="73"/>
      <c r="IZ2428" s="73"/>
      <c r="JA2428" s="73"/>
      <c r="JB2428" s="73"/>
      <c r="JC2428" s="73"/>
    </row>
    <row r="2429" spans="2:263" s="72" customFormat="1">
      <c r="B2429" s="73"/>
      <c r="C2429" s="73"/>
      <c r="D2429" s="73"/>
      <c r="E2429" s="73"/>
      <c r="F2429" s="73"/>
      <c r="G2429" s="73"/>
      <c r="H2429" s="73"/>
      <c r="I2429" s="73"/>
      <c r="J2429" s="73"/>
      <c r="K2429" s="73"/>
      <c r="L2429" s="73"/>
      <c r="M2429" s="73"/>
      <c r="N2429" s="73"/>
      <c r="O2429" s="73"/>
      <c r="P2429" s="73"/>
      <c r="Q2429" s="73"/>
      <c r="R2429" s="73"/>
      <c r="S2429" s="73"/>
      <c r="T2429" s="73"/>
      <c r="U2429" s="73"/>
      <c r="V2429" s="73"/>
      <c r="W2429" s="73"/>
      <c r="GL2429" s="73"/>
      <c r="GM2429" s="73"/>
      <c r="GN2429" s="73"/>
      <c r="GO2429" s="73"/>
      <c r="GP2429" s="73"/>
      <c r="GQ2429" s="73"/>
      <c r="GR2429" s="73"/>
      <c r="GS2429" s="73"/>
      <c r="GT2429" s="73"/>
      <c r="GU2429" s="73"/>
      <c r="GV2429" s="73"/>
      <c r="GW2429" s="73"/>
      <c r="GX2429" s="73"/>
      <c r="GY2429" s="73"/>
      <c r="GZ2429" s="73"/>
      <c r="HA2429" s="73"/>
      <c r="HB2429" s="73"/>
      <c r="HC2429" s="73"/>
      <c r="HD2429" s="73"/>
      <c r="HE2429" s="73"/>
      <c r="HF2429" s="73"/>
      <c r="HG2429" s="73"/>
      <c r="HH2429" s="73"/>
      <c r="HI2429" s="73"/>
      <c r="HJ2429" s="73"/>
      <c r="HK2429" s="73"/>
      <c r="HL2429" s="73"/>
      <c r="HM2429" s="73"/>
      <c r="HN2429" s="73"/>
      <c r="HO2429" s="73"/>
      <c r="HP2429" s="73"/>
      <c r="HQ2429" s="73"/>
      <c r="HR2429" s="73"/>
      <c r="HS2429" s="73"/>
      <c r="HT2429" s="73"/>
      <c r="HU2429" s="73"/>
      <c r="HV2429" s="73"/>
      <c r="HW2429" s="73"/>
      <c r="HX2429" s="73"/>
      <c r="HY2429" s="73"/>
      <c r="HZ2429" s="73"/>
      <c r="IA2429" s="73"/>
      <c r="IB2429" s="73"/>
      <c r="IC2429" s="73"/>
      <c r="ID2429" s="73"/>
      <c r="IE2429" s="73"/>
      <c r="IF2429" s="73"/>
      <c r="IG2429" s="73"/>
      <c r="IH2429" s="73"/>
      <c r="II2429" s="73"/>
      <c r="IJ2429" s="73"/>
      <c r="IK2429" s="73"/>
      <c r="IL2429" s="73"/>
      <c r="IM2429" s="73"/>
      <c r="IN2429" s="73"/>
      <c r="IO2429" s="73"/>
      <c r="IP2429" s="73"/>
      <c r="IQ2429" s="73"/>
      <c r="IR2429" s="73"/>
      <c r="IS2429" s="73"/>
      <c r="IT2429" s="73"/>
      <c r="IU2429" s="73"/>
      <c r="IV2429" s="73"/>
      <c r="IW2429" s="73"/>
      <c r="IX2429" s="73"/>
      <c r="IY2429" s="73"/>
      <c r="IZ2429" s="73"/>
      <c r="JA2429" s="73"/>
      <c r="JB2429" s="73"/>
      <c r="JC2429" s="73"/>
    </row>
    <row r="2430" spans="2:263" s="72" customFormat="1">
      <c r="B2430" s="73"/>
      <c r="C2430" s="73"/>
      <c r="D2430" s="73"/>
      <c r="E2430" s="73"/>
      <c r="F2430" s="73"/>
      <c r="G2430" s="73"/>
      <c r="H2430" s="73"/>
      <c r="I2430" s="73"/>
      <c r="J2430" s="73"/>
      <c r="K2430" s="73"/>
      <c r="L2430" s="73"/>
      <c r="M2430" s="73"/>
      <c r="N2430" s="73"/>
      <c r="O2430" s="73"/>
      <c r="P2430" s="73"/>
      <c r="Q2430" s="73"/>
      <c r="R2430" s="73"/>
      <c r="S2430" s="73"/>
      <c r="T2430" s="73"/>
      <c r="U2430" s="73"/>
      <c r="V2430" s="73"/>
      <c r="W2430" s="73"/>
      <c r="GL2430" s="73"/>
      <c r="GM2430" s="73"/>
      <c r="GN2430" s="73"/>
      <c r="GO2430" s="73"/>
      <c r="GP2430" s="73"/>
      <c r="GQ2430" s="73"/>
      <c r="GR2430" s="73"/>
      <c r="GS2430" s="73"/>
      <c r="GT2430" s="73"/>
      <c r="GU2430" s="73"/>
      <c r="GV2430" s="73"/>
      <c r="GW2430" s="73"/>
      <c r="GX2430" s="73"/>
      <c r="GY2430" s="73"/>
      <c r="GZ2430" s="73"/>
      <c r="HA2430" s="73"/>
      <c r="HB2430" s="73"/>
      <c r="HC2430" s="73"/>
      <c r="HD2430" s="73"/>
      <c r="HE2430" s="73"/>
      <c r="HF2430" s="73"/>
      <c r="HG2430" s="73"/>
      <c r="HH2430" s="73"/>
      <c r="HI2430" s="73"/>
      <c r="HJ2430" s="73"/>
      <c r="HK2430" s="73"/>
      <c r="HL2430" s="73"/>
      <c r="HM2430" s="73"/>
      <c r="HN2430" s="73"/>
      <c r="HO2430" s="73"/>
      <c r="HP2430" s="73"/>
      <c r="HQ2430" s="73"/>
      <c r="HR2430" s="73"/>
      <c r="HS2430" s="73"/>
      <c r="HT2430" s="73"/>
      <c r="HU2430" s="73"/>
      <c r="HV2430" s="73"/>
      <c r="HW2430" s="73"/>
      <c r="HX2430" s="73"/>
      <c r="HY2430" s="73"/>
      <c r="HZ2430" s="73"/>
      <c r="IA2430" s="73"/>
      <c r="IB2430" s="73"/>
      <c r="IC2430" s="73"/>
      <c r="ID2430" s="73"/>
      <c r="IE2430" s="73"/>
      <c r="IF2430" s="73"/>
      <c r="IG2430" s="73"/>
      <c r="IH2430" s="73"/>
      <c r="II2430" s="73"/>
      <c r="IJ2430" s="73"/>
      <c r="IK2430" s="73"/>
      <c r="IL2430" s="73"/>
      <c r="IM2430" s="73"/>
      <c r="IN2430" s="73"/>
      <c r="IO2430" s="73"/>
      <c r="IP2430" s="73"/>
      <c r="IQ2430" s="73"/>
      <c r="IR2430" s="73"/>
      <c r="IS2430" s="73"/>
      <c r="IT2430" s="73"/>
      <c r="IU2430" s="73"/>
      <c r="IV2430" s="73"/>
      <c r="IW2430" s="73"/>
      <c r="IX2430" s="73"/>
      <c r="IY2430" s="73"/>
      <c r="IZ2430" s="73"/>
      <c r="JA2430" s="73"/>
      <c r="JB2430" s="73"/>
      <c r="JC2430" s="73"/>
    </row>
    <row r="2431" spans="2:263" s="72" customFormat="1">
      <c r="B2431" s="73"/>
      <c r="C2431" s="73"/>
      <c r="D2431" s="73"/>
      <c r="E2431" s="73"/>
      <c r="F2431" s="73"/>
      <c r="G2431" s="73"/>
      <c r="H2431" s="73"/>
      <c r="I2431" s="73"/>
      <c r="J2431" s="73"/>
      <c r="K2431" s="73"/>
      <c r="L2431" s="73"/>
      <c r="M2431" s="73"/>
      <c r="N2431" s="73"/>
      <c r="O2431" s="73"/>
      <c r="P2431" s="73"/>
      <c r="Q2431" s="73"/>
      <c r="R2431" s="73"/>
      <c r="S2431" s="73"/>
      <c r="T2431" s="73"/>
      <c r="U2431" s="73"/>
      <c r="V2431" s="73"/>
      <c r="W2431" s="73"/>
      <c r="GL2431" s="73"/>
      <c r="GM2431" s="73"/>
      <c r="GN2431" s="73"/>
      <c r="GO2431" s="73"/>
      <c r="GP2431" s="73"/>
      <c r="GQ2431" s="73"/>
      <c r="GR2431" s="73"/>
      <c r="GS2431" s="73"/>
      <c r="GT2431" s="73"/>
      <c r="GU2431" s="73"/>
      <c r="GV2431" s="73"/>
      <c r="GW2431" s="73"/>
      <c r="GX2431" s="73"/>
      <c r="GY2431" s="73"/>
      <c r="GZ2431" s="73"/>
      <c r="HA2431" s="73"/>
      <c r="HB2431" s="73"/>
      <c r="HC2431" s="73"/>
      <c r="HD2431" s="73"/>
      <c r="HE2431" s="73"/>
      <c r="HF2431" s="73"/>
      <c r="HG2431" s="73"/>
      <c r="HH2431" s="73"/>
      <c r="HI2431" s="73"/>
      <c r="HJ2431" s="73"/>
      <c r="HK2431" s="73"/>
      <c r="HL2431" s="73"/>
      <c r="HM2431" s="73"/>
      <c r="HN2431" s="73"/>
      <c r="HO2431" s="73"/>
      <c r="HP2431" s="73"/>
      <c r="HQ2431" s="73"/>
      <c r="HR2431" s="73"/>
      <c r="HS2431" s="73"/>
      <c r="HT2431" s="73"/>
      <c r="HU2431" s="73"/>
      <c r="HV2431" s="73"/>
      <c r="HW2431" s="73"/>
      <c r="HX2431" s="73"/>
      <c r="HY2431" s="73"/>
      <c r="HZ2431" s="73"/>
      <c r="IA2431" s="73"/>
      <c r="IB2431" s="73"/>
      <c r="IC2431" s="73"/>
      <c r="ID2431" s="73"/>
      <c r="IE2431" s="73"/>
      <c r="IF2431" s="73"/>
      <c r="IG2431" s="73"/>
      <c r="IH2431" s="73"/>
      <c r="II2431" s="73"/>
      <c r="IJ2431" s="73"/>
      <c r="IK2431" s="73"/>
      <c r="IL2431" s="73"/>
      <c r="IM2431" s="73"/>
      <c r="IN2431" s="73"/>
      <c r="IO2431" s="73"/>
      <c r="IP2431" s="73"/>
      <c r="IQ2431" s="73"/>
      <c r="IR2431" s="73"/>
      <c r="IS2431" s="73"/>
      <c r="IT2431" s="73"/>
      <c r="IU2431" s="73"/>
      <c r="IV2431" s="73"/>
      <c r="IW2431" s="73"/>
      <c r="IX2431" s="73"/>
      <c r="IY2431" s="73"/>
      <c r="IZ2431" s="73"/>
      <c r="JA2431" s="73"/>
      <c r="JB2431" s="73"/>
      <c r="JC2431" s="73"/>
    </row>
    <row r="2432" spans="2:263" s="72" customFormat="1">
      <c r="B2432" s="73"/>
      <c r="C2432" s="73"/>
      <c r="D2432" s="73"/>
      <c r="E2432" s="73"/>
      <c r="F2432" s="73"/>
      <c r="G2432" s="73"/>
      <c r="H2432" s="73"/>
      <c r="I2432" s="73"/>
      <c r="J2432" s="73"/>
      <c r="K2432" s="73"/>
      <c r="L2432" s="73"/>
      <c r="M2432" s="73"/>
      <c r="N2432" s="73"/>
      <c r="O2432" s="73"/>
      <c r="P2432" s="73"/>
      <c r="Q2432" s="73"/>
      <c r="R2432" s="73"/>
      <c r="S2432" s="73"/>
      <c r="T2432" s="73"/>
      <c r="U2432" s="73"/>
      <c r="V2432" s="73"/>
      <c r="W2432" s="73"/>
      <c r="GL2432" s="73"/>
      <c r="GM2432" s="73"/>
      <c r="GN2432" s="73"/>
      <c r="GO2432" s="73"/>
      <c r="GP2432" s="73"/>
      <c r="GQ2432" s="73"/>
      <c r="GR2432" s="73"/>
      <c r="GS2432" s="73"/>
      <c r="GT2432" s="73"/>
      <c r="GU2432" s="73"/>
      <c r="GV2432" s="73"/>
      <c r="GW2432" s="73"/>
      <c r="GX2432" s="73"/>
      <c r="GY2432" s="73"/>
      <c r="GZ2432" s="73"/>
      <c r="HA2432" s="73"/>
      <c r="HB2432" s="73"/>
      <c r="HC2432" s="73"/>
      <c r="HD2432" s="73"/>
      <c r="HE2432" s="73"/>
      <c r="HF2432" s="73"/>
      <c r="HG2432" s="73"/>
      <c r="HH2432" s="73"/>
      <c r="HI2432" s="73"/>
      <c r="HJ2432" s="73"/>
      <c r="HK2432" s="73"/>
      <c r="HL2432" s="73"/>
      <c r="HM2432" s="73"/>
      <c r="HN2432" s="73"/>
      <c r="HO2432" s="73"/>
      <c r="HP2432" s="73"/>
      <c r="HQ2432" s="73"/>
      <c r="HR2432" s="73"/>
      <c r="HS2432" s="73"/>
      <c r="HT2432" s="73"/>
      <c r="HU2432" s="73"/>
      <c r="HV2432" s="73"/>
      <c r="HW2432" s="73"/>
      <c r="HX2432" s="73"/>
      <c r="HY2432" s="73"/>
      <c r="HZ2432" s="73"/>
      <c r="IA2432" s="73"/>
      <c r="IB2432" s="73"/>
      <c r="IC2432" s="73"/>
      <c r="ID2432" s="73"/>
      <c r="IE2432" s="73"/>
      <c r="IF2432" s="73"/>
      <c r="IG2432" s="73"/>
      <c r="IH2432" s="73"/>
      <c r="II2432" s="73"/>
      <c r="IJ2432" s="73"/>
      <c r="IK2432" s="73"/>
      <c r="IL2432" s="73"/>
      <c r="IM2432" s="73"/>
      <c r="IN2432" s="73"/>
      <c r="IO2432" s="73"/>
      <c r="IP2432" s="73"/>
      <c r="IQ2432" s="73"/>
      <c r="IR2432" s="73"/>
      <c r="IS2432" s="73"/>
      <c r="IT2432" s="73"/>
      <c r="IU2432" s="73"/>
      <c r="IV2432" s="73"/>
      <c r="IW2432" s="73"/>
      <c r="IX2432" s="73"/>
      <c r="IY2432" s="73"/>
      <c r="IZ2432" s="73"/>
      <c r="JA2432" s="73"/>
      <c r="JB2432" s="73"/>
      <c r="JC2432" s="73"/>
    </row>
    <row r="2433" spans="2:263" s="72" customFormat="1">
      <c r="B2433" s="73"/>
      <c r="C2433" s="73"/>
      <c r="D2433" s="73"/>
      <c r="E2433" s="73"/>
      <c r="F2433" s="73"/>
      <c r="G2433" s="73"/>
      <c r="H2433" s="73"/>
      <c r="I2433" s="73"/>
      <c r="J2433" s="73"/>
      <c r="K2433" s="73"/>
      <c r="L2433" s="73"/>
      <c r="M2433" s="73"/>
      <c r="N2433" s="73"/>
      <c r="O2433" s="73"/>
      <c r="P2433" s="73"/>
      <c r="Q2433" s="73"/>
      <c r="R2433" s="73"/>
      <c r="S2433" s="73"/>
      <c r="T2433" s="73"/>
      <c r="U2433" s="73"/>
      <c r="V2433" s="73"/>
      <c r="W2433" s="73"/>
      <c r="GL2433" s="73"/>
      <c r="GM2433" s="73"/>
      <c r="GN2433" s="73"/>
      <c r="GO2433" s="73"/>
      <c r="GP2433" s="73"/>
      <c r="GQ2433" s="73"/>
      <c r="GR2433" s="73"/>
      <c r="GS2433" s="73"/>
      <c r="GT2433" s="73"/>
      <c r="GU2433" s="73"/>
      <c r="GV2433" s="73"/>
      <c r="GW2433" s="73"/>
      <c r="GX2433" s="73"/>
      <c r="GY2433" s="73"/>
      <c r="GZ2433" s="73"/>
      <c r="HA2433" s="73"/>
      <c r="HB2433" s="73"/>
      <c r="HC2433" s="73"/>
      <c r="HD2433" s="73"/>
      <c r="HE2433" s="73"/>
      <c r="HF2433" s="73"/>
      <c r="HG2433" s="73"/>
      <c r="HH2433" s="73"/>
      <c r="HI2433" s="73"/>
      <c r="HJ2433" s="73"/>
      <c r="HK2433" s="73"/>
      <c r="HL2433" s="73"/>
      <c r="HM2433" s="73"/>
      <c r="HN2433" s="73"/>
      <c r="HO2433" s="73"/>
      <c r="HP2433" s="73"/>
      <c r="HQ2433" s="73"/>
      <c r="HR2433" s="73"/>
      <c r="HS2433" s="73"/>
      <c r="HT2433" s="73"/>
      <c r="HU2433" s="73"/>
      <c r="HV2433" s="73"/>
      <c r="HW2433" s="73"/>
      <c r="HX2433" s="73"/>
      <c r="HY2433" s="73"/>
      <c r="HZ2433" s="73"/>
      <c r="IA2433" s="73"/>
      <c r="IB2433" s="73"/>
      <c r="IC2433" s="73"/>
      <c r="ID2433" s="73"/>
      <c r="IE2433" s="73"/>
      <c r="IF2433" s="73"/>
      <c r="IG2433" s="73"/>
      <c r="IH2433" s="73"/>
      <c r="II2433" s="73"/>
      <c r="IJ2433" s="73"/>
      <c r="IK2433" s="73"/>
      <c r="IL2433" s="73"/>
      <c r="IM2433" s="73"/>
      <c r="IN2433" s="73"/>
      <c r="IO2433" s="73"/>
      <c r="IP2433" s="73"/>
      <c r="IQ2433" s="73"/>
      <c r="IR2433" s="73"/>
      <c r="IS2433" s="73"/>
      <c r="IT2433" s="73"/>
      <c r="IU2433" s="73"/>
      <c r="IV2433" s="73"/>
      <c r="IW2433" s="73"/>
      <c r="IX2433" s="73"/>
      <c r="IY2433" s="73"/>
      <c r="IZ2433" s="73"/>
      <c r="JA2433" s="73"/>
      <c r="JB2433" s="73"/>
      <c r="JC2433" s="73"/>
    </row>
    <row r="2434" spans="2:263" s="72" customFormat="1">
      <c r="B2434" s="73"/>
      <c r="C2434" s="73"/>
      <c r="D2434" s="73"/>
      <c r="E2434" s="73"/>
      <c r="F2434" s="73"/>
      <c r="G2434" s="73"/>
      <c r="H2434" s="73"/>
      <c r="I2434" s="73"/>
      <c r="J2434" s="73"/>
      <c r="K2434" s="73"/>
      <c r="L2434" s="73"/>
      <c r="M2434" s="73"/>
      <c r="N2434" s="73"/>
      <c r="O2434" s="73"/>
      <c r="P2434" s="73"/>
      <c r="Q2434" s="73"/>
      <c r="R2434" s="73"/>
      <c r="S2434" s="73"/>
      <c r="T2434" s="73"/>
      <c r="U2434" s="73"/>
      <c r="V2434" s="73"/>
      <c r="W2434" s="73"/>
      <c r="GL2434" s="73"/>
      <c r="GM2434" s="73"/>
      <c r="GN2434" s="73"/>
      <c r="GO2434" s="73"/>
      <c r="GP2434" s="73"/>
      <c r="GQ2434" s="73"/>
      <c r="GR2434" s="73"/>
      <c r="GS2434" s="73"/>
      <c r="GT2434" s="73"/>
      <c r="GU2434" s="73"/>
      <c r="GV2434" s="73"/>
      <c r="GW2434" s="73"/>
      <c r="GX2434" s="73"/>
      <c r="GY2434" s="73"/>
      <c r="GZ2434" s="73"/>
      <c r="HA2434" s="73"/>
      <c r="HB2434" s="73"/>
      <c r="HC2434" s="73"/>
      <c r="HD2434" s="73"/>
      <c r="HE2434" s="73"/>
      <c r="HF2434" s="73"/>
      <c r="HG2434" s="73"/>
      <c r="HH2434" s="73"/>
      <c r="HI2434" s="73"/>
      <c r="HJ2434" s="73"/>
      <c r="HK2434" s="73"/>
      <c r="HL2434" s="73"/>
      <c r="HM2434" s="73"/>
      <c r="HN2434" s="73"/>
      <c r="HO2434" s="73"/>
      <c r="HP2434" s="73"/>
      <c r="HQ2434" s="73"/>
      <c r="HR2434" s="73"/>
      <c r="HS2434" s="73"/>
      <c r="HT2434" s="73"/>
      <c r="HU2434" s="73"/>
      <c r="HV2434" s="73"/>
      <c r="HW2434" s="73"/>
      <c r="HX2434" s="73"/>
      <c r="HY2434" s="73"/>
      <c r="HZ2434" s="73"/>
      <c r="IA2434" s="73"/>
      <c r="IB2434" s="73"/>
      <c r="IC2434" s="73"/>
      <c r="ID2434" s="73"/>
      <c r="IE2434" s="73"/>
      <c r="IF2434" s="73"/>
      <c r="IG2434" s="73"/>
      <c r="IH2434" s="73"/>
      <c r="II2434" s="73"/>
      <c r="IJ2434" s="73"/>
      <c r="IK2434" s="73"/>
      <c r="IL2434" s="73"/>
      <c r="IM2434" s="73"/>
      <c r="IN2434" s="73"/>
      <c r="IO2434" s="73"/>
      <c r="IP2434" s="73"/>
      <c r="IQ2434" s="73"/>
      <c r="IR2434" s="73"/>
      <c r="IS2434" s="73"/>
      <c r="IT2434" s="73"/>
      <c r="IU2434" s="73"/>
      <c r="IV2434" s="73"/>
      <c r="IW2434" s="73"/>
      <c r="IX2434" s="73"/>
      <c r="IY2434" s="73"/>
      <c r="IZ2434" s="73"/>
      <c r="JA2434" s="73"/>
      <c r="JB2434" s="73"/>
      <c r="JC2434" s="73"/>
    </row>
    <row r="2435" spans="2:263" s="72" customFormat="1">
      <c r="B2435" s="73"/>
      <c r="C2435" s="73"/>
      <c r="D2435" s="73"/>
      <c r="E2435" s="73"/>
      <c r="F2435" s="73"/>
      <c r="G2435" s="73"/>
      <c r="H2435" s="73"/>
      <c r="I2435" s="73"/>
      <c r="J2435" s="73"/>
      <c r="K2435" s="73"/>
      <c r="L2435" s="73"/>
      <c r="M2435" s="73"/>
      <c r="N2435" s="73"/>
      <c r="O2435" s="73"/>
      <c r="P2435" s="73"/>
      <c r="Q2435" s="73"/>
      <c r="R2435" s="73"/>
      <c r="S2435" s="73"/>
      <c r="T2435" s="73"/>
      <c r="U2435" s="73"/>
      <c r="V2435" s="73"/>
      <c r="W2435" s="73"/>
      <c r="GL2435" s="73"/>
      <c r="GM2435" s="73"/>
      <c r="GN2435" s="73"/>
      <c r="GO2435" s="73"/>
      <c r="GP2435" s="73"/>
      <c r="GQ2435" s="73"/>
      <c r="GR2435" s="73"/>
      <c r="GS2435" s="73"/>
      <c r="GT2435" s="73"/>
      <c r="GU2435" s="73"/>
      <c r="GV2435" s="73"/>
      <c r="GW2435" s="73"/>
      <c r="GX2435" s="73"/>
      <c r="GY2435" s="73"/>
      <c r="GZ2435" s="73"/>
      <c r="HA2435" s="73"/>
      <c r="HB2435" s="73"/>
      <c r="HC2435" s="73"/>
      <c r="HD2435" s="73"/>
      <c r="HE2435" s="73"/>
      <c r="HF2435" s="73"/>
      <c r="HG2435" s="73"/>
      <c r="HH2435" s="73"/>
      <c r="HI2435" s="73"/>
      <c r="HJ2435" s="73"/>
      <c r="HK2435" s="73"/>
      <c r="HL2435" s="73"/>
      <c r="HM2435" s="73"/>
      <c r="HN2435" s="73"/>
      <c r="HO2435" s="73"/>
      <c r="HP2435" s="73"/>
      <c r="HQ2435" s="73"/>
      <c r="HR2435" s="73"/>
      <c r="HS2435" s="73"/>
      <c r="HT2435" s="73"/>
      <c r="HU2435" s="73"/>
      <c r="HV2435" s="73"/>
      <c r="HW2435" s="73"/>
      <c r="HX2435" s="73"/>
      <c r="HY2435" s="73"/>
      <c r="HZ2435" s="73"/>
      <c r="IA2435" s="73"/>
      <c r="IB2435" s="73"/>
      <c r="IC2435" s="73"/>
      <c r="ID2435" s="73"/>
      <c r="IE2435" s="73"/>
      <c r="IF2435" s="73"/>
      <c r="IG2435" s="73"/>
      <c r="IH2435" s="73"/>
      <c r="II2435" s="73"/>
      <c r="IJ2435" s="73"/>
      <c r="IK2435" s="73"/>
      <c r="IL2435" s="73"/>
      <c r="IM2435" s="73"/>
      <c r="IN2435" s="73"/>
      <c r="IO2435" s="73"/>
      <c r="IP2435" s="73"/>
      <c r="IQ2435" s="73"/>
      <c r="IR2435" s="73"/>
      <c r="IS2435" s="73"/>
      <c r="IT2435" s="73"/>
      <c r="IU2435" s="73"/>
      <c r="IV2435" s="73"/>
      <c r="IW2435" s="73"/>
      <c r="IX2435" s="73"/>
      <c r="IY2435" s="73"/>
      <c r="IZ2435" s="73"/>
      <c r="JA2435" s="73"/>
      <c r="JB2435" s="73"/>
      <c r="JC2435" s="73"/>
    </row>
    <row r="2436" spans="2:263" s="72" customFormat="1">
      <c r="B2436" s="73"/>
      <c r="C2436" s="73"/>
      <c r="D2436" s="73"/>
      <c r="E2436" s="73"/>
      <c r="F2436" s="73"/>
      <c r="G2436" s="73"/>
      <c r="H2436" s="73"/>
      <c r="I2436" s="73"/>
      <c r="J2436" s="73"/>
      <c r="K2436" s="73"/>
      <c r="L2436" s="73"/>
      <c r="M2436" s="73"/>
      <c r="N2436" s="73"/>
      <c r="O2436" s="73"/>
      <c r="P2436" s="73"/>
      <c r="Q2436" s="73"/>
      <c r="R2436" s="73"/>
      <c r="S2436" s="73"/>
      <c r="T2436" s="73"/>
      <c r="U2436" s="73"/>
      <c r="V2436" s="73"/>
      <c r="W2436" s="73"/>
      <c r="GL2436" s="73"/>
      <c r="GM2436" s="73"/>
      <c r="GN2436" s="73"/>
      <c r="GO2436" s="73"/>
      <c r="GP2436" s="73"/>
      <c r="GQ2436" s="73"/>
      <c r="GR2436" s="73"/>
      <c r="GS2436" s="73"/>
      <c r="GT2436" s="73"/>
      <c r="GU2436" s="73"/>
      <c r="GV2436" s="73"/>
      <c r="GW2436" s="73"/>
      <c r="GX2436" s="73"/>
      <c r="GY2436" s="73"/>
      <c r="GZ2436" s="73"/>
      <c r="HA2436" s="73"/>
      <c r="HB2436" s="73"/>
      <c r="HC2436" s="73"/>
      <c r="HD2436" s="73"/>
      <c r="HE2436" s="73"/>
      <c r="HF2436" s="73"/>
      <c r="HG2436" s="73"/>
      <c r="HH2436" s="73"/>
      <c r="HI2436" s="73"/>
      <c r="HJ2436" s="73"/>
      <c r="HK2436" s="73"/>
      <c r="HL2436" s="73"/>
      <c r="HM2436" s="73"/>
      <c r="HN2436" s="73"/>
      <c r="HO2436" s="73"/>
      <c r="HP2436" s="73"/>
      <c r="HQ2436" s="73"/>
      <c r="HR2436" s="73"/>
      <c r="HS2436" s="73"/>
      <c r="HT2436" s="73"/>
      <c r="HU2436" s="73"/>
      <c r="HV2436" s="73"/>
      <c r="HW2436" s="73"/>
      <c r="HX2436" s="73"/>
      <c r="HY2436" s="73"/>
      <c r="HZ2436" s="73"/>
      <c r="IA2436" s="73"/>
      <c r="IB2436" s="73"/>
      <c r="IC2436" s="73"/>
      <c r="ID2436" s="73"/>
      <c r="IE2436" s="73"/>
      <c r="IF2436" s="73"/>
      <c r="IG2436" s="73"/>
      <c r="IH2436" s="73"/>
      <c r="II2436" s="73"/>
      <c r="IJ2436" s="73"/>
      <c r="IK2436" s="73"/>
      <c r="IL2436" s="73"/>
      <c r="IM2436" s="73"/>
      <c r="IN2436" s="73"/>
      <c r="IO2436" s="73"/>
      <c r="IP2436" s="73"/>
      <c r="IQ2436" s="73"/>
      <c r="IR2436" s="73"/>
      <c r="IS2436" s="73"/>
      <c r="IT2436" s="73"/>
      <c r="IU2436" s="73"/>
      <c r="IV2436" s="73"/>
      <c r="IW2436" s="73"/>
      <c r="IX2436" s="73"/>
      <c r="IY2436" s="73"/>
      <c r="IZ2436" s="73"/>
      <c r="JA2436" s="73"/>
      <c r="JB2436" s="73"/>
      <c r="JC2436" s="73"/>
    </row>
    <row r="2437" spans="2:263" s="72" customFormat="1">
      <c r="B2437" s="73"/>
      <c r="C2437" s="73"/>
      <c r="D2437" s="73"/>
      <c r="E2437" s="73"/>
      <c r="F2437" s="73"/>
      <c r="G2437" s="73"/>
      <c r="H2437" s="73"/>
      <c r="I2437" s="73"/>
      <c r="J2437" s="73"/>
      <c r="K2437" s="73"/>
      <c r="L2437" s="73"/>
      <c r="M2437" s="73"/>
      <c r="N2437" s="73"/>
      <c r="O2437" s="73"/>
      <c r="P2437" s="73"/>
      <c r="Q2437" s="73"/>
      <c r="R2437" s="73"/>
      <c r="S2437" s="73"/>
      <c r="T2437" s="73"/>
      <c r="U2437" s="73"/>
      <c r="V2437" s="73"/>
      <c r="W2437" s="73"/>
      <c r="GL2437" s="73"/>
      <c r="GM2437" s="73"/>
      <c r="GN2437" s="73"/>
      <c r="GO2437" s="73"/>
      <c r="GP2437" s="73"/>
      <c r="GQ2437" s="73"/>
      <c r="GR2437" s="73"/>
      <c r="GS2437" s="73"/>
      <c r="GT2437" s="73"/>
      <c r="GU2437" s="73"/>
      <c r="GV2437" s="73"/>
      <c r="GW2437" s="73"/>
      <c r="GX2437" s="73"/>
      <c r="GY2437" s="73"/>
      <c r="GZ2437" s="73"/>
      <c r="HA2437" s="73"/>
      <c r="HB2437" s="73"/>
      <c r="HC2437" s="73"/>
      <c r="HD2437" s="73"/>
      <c r="HE2437" s="73"/>
      <c r="HF2437" s="73"/>
      <c r="HG2437" s="73"/>
      <c r="HH2437" s="73"/>
      <c r="HI2437" s="73"/>
      <c r="HJ2437" s="73"/>
      <c r="HK2437" s="73"/>
      <c r="HL2437" s="73"/>
      <c r="HM2437" s="73"/>
      <c r="HN2437" s="73"/>
      <c r="HO2437" s="73"/>
      <c r="HP2437" s="73"/>
      <c r="HQ2437" s="73"/>
      <c r="HR2437" s="73"/>
      <c r="HS2437" s="73"/>
      <c r="HT2437" s="73"/>
      <c r="HU2437" s="73"/>
      <c r="HV2437" s="73"/>
      <c r="HW2437" s="73"/>
      <c r="HX2437" s="73"/>
      <c r="HY2437" s="73"/>
      <c r="HZ2437" s="73"/>
      <c r="IA2437" s="73"/>
      <c r="IB2437" s="73"/>
      <c r="IC2437" s="73"/>
      <c r="ID2437" s="73"/>
      <c r="IE2437" s="73"/>
      <c r="IF2437" s="73"/>
      <c r="IG2437" s="73"/>
      <c r="IH2437" s="73"/>
      <c r="II2437" s="73"/>
      <c r="IJ2437" s="73"/>
      <c r="IK2437" s="73"/>
      <c r="IL2437" s="73"/>
      <c r="IM2437" s="73"/>
      <c r="IN2437" s="73"/>
      <c r="IO2437" s="73"/>
      <c r="IP2437" s="73"/>
      <c r="IQ2437" s="73"/>
      <c r="IR2437" s="73"/>
      <c r="IS2437" s="73"/>
      <c r="IT2437" s="73"/>
      <c r="IU2437" s="73"/>
      <c r="IV2437" s="73"/>
      <c r="IW2437" s="73"/>
      <c r="IX2437" s="73"/>
      <c r="IY2437" s="73"/>
      <c r="IZ2437" s="73"/>
      <c r="JA2437" s="73"/>
      <c r="JB2437" s="73"/>
      <c r="JC2437" s="73"/>
    </row>
    <row r="2438" spans="2:263" s="72" customFormat="1">
      <c r="B2438" s="73"/>
      <c r="C2438" s="73"/>
      <c r="D2438" s="73"/>
      <c r="E2438" s="73"/>
      <c r="F2438" s="73"/>
      <c r="G2438" s="73"/>
      <c r="H2438" s="73"/>
      <c r="I2438" s="73"/>
      <c r="J2438" s="73"/>
      <c r="K2438" s="73"/>
      <c r="L2438" s="73"/>
      <c r="M2438" s="73"/>
      <c r="N2438" s="73"/>
      <c r="O2438" s="73"/>
      <c r="P2438" s="73"/>
      <c r="Q2438" s="73"/>
      <c r="R2438" s="73"/>
      <c r="S2438" s="73"/>
      <c r="T2438" s="73"/>
      <c r="U2438" s="73"/>
      <c r="V2438" s="73"/>
      <c r="W2438" s="73"/>
      <c r="GL2438" s="73"/>
      <c r="GM2438" s="73"/>
      <c r="GN2438" s="73"/>
      <c r="GO2438" s="73"/>
      <c r="GP2438" s="73"/>
      <c r="GQ2438" s="73"/>
      <c r="GR2438" s="73"/>
      <c r="GS2438" s="73"/>
      <c r="GT2438" s="73"/>
      <c r="GU2438" s="73"/>
      <c r="GV2438" s="73"/>
      <c r="GW2438" s="73"/>
      <c r="GX2438" s="73"/>
      <c r="GY2438" s="73"/>
      <c r="GZ2438" s="73"/>
      <c r="HA2438" s="73"/>
      <c r="HB2438" s="73"/>
      <c r="HC2438" s="73"/>
      <c r="HD2438" s="73"/>
      <c r="HE2438" s="73"/>
      <c r="HF2438" s="73"/>
      <c r="HG2438" s="73"/>
      <c r="HH2438" s="73"/>
      <c r="HI2438" s="73"/>
      <c r="HJ2438" s="73"/>
      <c r="HK2438" s="73"/>
      <c r="HL2438" s="73"/>
      <c r="HM2438" s="73"/>
      <c r="HN2438" s="73"/>
      <c r="HO2438" s="73"/>
      <c r="HP2438" s="73"/>
      <c r="HQ2438" s="73"/>
      <c r="HR2438" s="73"/>
      <c r="HS2438" s="73"/>
      <c r="HT2438" s="73"/>
      <c r="HU2438" s="73"/>
      <c r="HV2438" s="73"/>
      <c r="HW2438" s="73"/>
      <c r="HX2438" s="73"/>
      <c r="HY2438" s="73"/>
      <c r="HZ2438" s="73"/>
      <c r="IA2438" s="73"/>
      <c r="IB2438" s="73"/>
      <c r="IC2438" s="73"/>
      <c r="ID2438" s="73"/>
      <c r="IE2438" s="73"/>
      <c r="IF2438" s="73"/>
      <c r="IG2438" s="73"/>
      <c r="IH2438" s="73"/>
      <c r="II2438" s="73"/>
      <c r="IJ2438" s="73"/>
      <c r="IK2438" s="73"/>
      <c r="IL2438" s="73"/>
      <c r="IM2438" s="73"/>
      <c r="IN2438" s="73"/>
      <c r="IO2438" s="73"/>
      <c r="IP2438" s="73"/>
      <c r="IQ2438" s="73"/>
      <c r="IR2438" s="73"/>
      <c r="IS2438" s="73"/>
      <c r="IT2438" s="73"/>
      <c r="IU2438" s="73"/>
      <c r="IV2438" s="73"/>
      <c r="IW2438" s="73"/>
      <c r="IX2438" s="73"/>
      <c r="IY2438" s="73"/>
      <c r="IZ2438" s="73"/>
      <c r="JA2438" s="73"/>
      <c r="JB2438" s="73"/>
      <c r="JC2438" s="73"/>
    </row>
    <row r="2439" spans="2:263" s="72" customFormat="1">
      <c r="B2439" s="73"/>
      <c r="C2439" s="73"/>
      <c r="D2439" s="73"/>
      <c r="E2439" s="73"/>
      <c r="F2439" s="73"/>
      <c r="G2439" s="73"/>
      <c r="H2439" s="73"/>
      <c r="I2439" s="73"/>
      <c r="J2439" s="73"/>
      <c r="K2439" s="73"/>
      <c r="L2439" s="73"/>
      <c r="M2439" s="73"/>
      <c r="N2439" s="73"/>
      <c r="O2439" s="73"/>
      <c r="P2439" s="73"/>
      <c r="Q2439" s="73"/>
      <c r="R2439" s="73"/>
      <c r="S2439" s="73"/>
      <c r="T2439" s="73"/>
      <c r="U2439" s="73"/>
      <c r="V2439" s="73"/>
      <c r="W2439" s="73"/>
      <c r="GL2439" s="73"/>
      <c r="GM2439" s="73"/>
      <c r="GN2439" s="73"/>
      <c r="GO2439" s="73"/>
      <c r="GP2439" s="73"/>
      <c r="GQ2439" s="73"/>
      <c r="GR2439" s="73"/>
      <c r="GS2439" s="73"/>
      <c r="GT2439" s="73"/>
      <c r="GU2439" s="73"/>
      <c r="GV2439" s="73"/>
      <c r="GW2439" s="73"/>
      <c r="GX2439" s="73"/>
      <c r="GY2439" s="73"/>
      <c r="GZ2439" s="73"/>
      <c r="HA2439" s="73"/>
      <c r="HB2439" s="73"/>
      <c r="HC2439" s="73"/>
      <c r="HD2439" s="73"/>
      <c r="HE2439" s="73"/>
      <c r="HF2439" s="73"/>
      <c r="HG2439" s="73"/>
      <c r="HH2439" s="73"/>
      <c r="HI2439" s="73"/>
      <c r="HJ2439" s="73"/>
      <c r="HK2439" s="73"/>
      <c r="HL2439" s="73"/>
      <c r="HM2439" s="73"/>
      <c r="HN2439" s="73"/>
      <c r="HO2439" s="73"/>
      <c r="HP2439" s="73"/>
      <c r="HQ2439" s="73"/>
      <c r="HR2439" s="73"/>
      <c r="HS2439" s="73"/>
      <c r="HT2439" s="73"/>
      <c r="HU2439" s="73"/>
      <c r="HV2439" s="73"/>
      <c r="HW2439" s="73"/>
      <c r="HX2439" s="73"/>
      <c r="HY2439" s="73"/>
      <c r="HZ2439" s="73"/>
      <c r="IA2439" s="73"/>
      <c r="IB2439" s="73"/>
      <c r="IC2439" s="73"/>
      <c r="ID2439" s="73"/>
      <c r="IE2439" s="73"/>
      <c r="IF2439" s="73"/>
      <c r="IG2439" s="73"/>
      <c r="IH2439" s="73"/>
      <c r="II2439" s="73"/>
      <c r="IJ2439" s="73"/>
      <c r="IK2439" s="73"/>
      <c r="IL2439" s="73"/>
      <c r="IM2439" s="73"/>
      <c r="IN2439" s="73"/>
      <c r="IO2439" s="73"/>
      <c r="IP2439" s="73"/>
      <c r="IQ2439" s="73"/>
      <c r="IR2439" s="73"/>
      <c r="IS2439" s="73"/>
      <c r="IT2439" s="73"/>
      <c r="IU2439" s="73"/>
      <c r="IV2439" s="73"/>
      <c r="IW2439" s="73"/>
      <c r="IX2439" s="73"/>
      <c r="IY2439" s="73"/>
      <c r="IZ2439" s="73"/>
      <c r="JA2439" s="73"/>
      <c r="JB2439" s="73"/>
      <c r="JC2439" s="73"/>
    </row>
    <row r="2440" spans="2:263" s="72" customFormat="1">
      <c r="B2440" s="73"/>
      <c r="C2440" s="73"/>
      <c r="D2440" s="73"/>
      <c r="E2440" s="73"/>
      <c r="F2440" s="73"/>
      <c r="G2440" s="73"/>
      <c r="H2440" s="73"/>
      <c r="I2440" s="73"/>
      <c r="J2440" s="73"/>
      <c r="K2440" s="73"/>
      <c r="L2440" s="73"/>
      <c r="M2440" s="73"/>
      <c r="N2440" s="73"/>
      <c r="O2440" s="73"/>
      <c r="P2440" s="73"/>
      <c r="Q2440" s="73"/>
      <c r="R2440" s="73"/>
      <c r="S2440" s="73"/>
      <c r="T2440" s="73"/>
      <c r="U2440" s="73"/>
      <c r="V2440" s="73"/>
      <c r="W2440" s="73"/>
      <c r="GL2440" s="73"/>
      <c r="GM2440" s="73"/>
      <c r="GN2440" s="73"/>
      <c r="GO2440" s="73"/>
      <c r="GP2440" s="73"/>
      <c r="GQ2440" s="73"/>
      <c r="GR2440" s="73"/>
      <c r="GS2440" s="73"/>
      <c r="GT2440" s="73"/>
      <c r="GU2440" s="73"/>
      <c r="GV2440" s="73"/>
      <c r="GW2440" s="73"/>
      <c r="GX2440" s="73"/>
      <c r="GY2440" s="73"/>
      <c r="GZ2440" s="73"/>
      <c r="HA2440" s="73"/>
      <c r="HB2440" s="73"/>
      <c r="HC2440" s="73"/>
      <c r="HD2440" s="73"/>
      <c r="HE2440" s="73"/>
      <c r="HF2440" s="73"/>
      <c r="HG2440" s="73"/>
      <c r="HH2440" s="73"/>
      <c r="HI2440" s="73"/>
      <c r="HJ2440" s="73"/>
      <c r="HK2440" s="73"/>
      <c r="HL2440" s="73"/>
      <c r="HM2440" s="73"/>
      <c r="HN2440" s="73"/>
      <c r="HO2440" s="73"/>
      <c r="HP2440" s="73"/>
      <c r="HQ2440" s="73"/>
      <c r="HR2440" s="73"/>
      <c r="HS2440" s="73"/>
      <c r="HT2440" s="73"/>
      <c r="HU2440" s="73"/>
      <c r="HV2440" s="73"/>
      <c r="HW2440" s="73"/>
      <c r="HX2440" s="73"/>
      <c r="HY2440" s="73"/>
      <c r="HZ2440" s="73"/>
      <c r="IA2440" s="73"/>
      <c r="IB2440" s="73"/>
      <c r="IC2440" s="73"/>
      <c r="ID2440" s="73"/>
      <c r="IE2440" s="73"/>
      <c r="IF2440" s="73"/>
      <c r="IG2440" s="73"/>
      <c r="IH2440" s="73"/>
      <c r="II2440" s="73"/>
      <c r="IJ2440" s="73"/>
      <c r="IK2440" s="73"/>
      <c r="IL2440" s="73"/>
      <c r="IM2440" s="73"/>
      <c r="IN2440" s="73"/>
      <c r="IO2440" s="73"/>
      <c r="IP2440" s="73"/>
      <c r="IQ2440" s="73"/>
      <c r="IR2440" s="73"/>
      <c r="IS2440" s="73"/>
      <c r="IT2440" s="73"/>
      <c r="IU2440" s="73"/>
      <c r="IV2440" s="73"/>
      <c r="IW2440" s="73"/>
      <c r="IX2440" s="73"/>
      <c r="IY2440" s="73"/>
      <c r="IZ2440" s="73"/>
      <c r="JA2440" s="73"/>
      <c r="JB2440" s="73"/>
      <c r="JC2440" s="73"/>
    </row>
    <row r="2441" spans="2:263" s="72" customFormat="1">
      <c r="B2441" s="73"/>
      <c r="C2441" s="73"/>
      <c r="D2441" s="73"/>
      <c r="E2441" s="73"/>
      <c r="F2441" s="73"/>
      <c r="G2441" s="73"/>
      <c r="H2441" s="73"/>
      <c r="I2441" s="73"/>
      <c r="J2441" s="73"/>
      <c r="K2441" s="73"/>
      <c r="L2441" s="73"/>
      <c r="M2441" s="73"/>
      <c r="N2441" s="73"/>
      <c r="O2441" s="73"/>
      <c r="P2441" s="73"/>
      <c r="Q2441" s="73"/>
      <c r="R2441" s="73"/>
      <c r="S2441" s="73"/>
      <c r="T2441" s="73"/>
      <c r="U2441" s="73"/>
      <c r="V2441" s="73"/>
      <c r="W2441" s="73"/>
      <c r="GL2441" s="73"/>
      <c r="GM2441" s="73"/>
      <c r="GN2441" s="73"/>
      <c r="GO2441" s="73"/>
      <c r="GP2441" s="73"/>
      <c r="GQ2441" s="73"/>
      <c r="GR2441" s="73"/>
      <c r="GS2441" s="73"/>
      <c r="GT2441" s="73"/>
      <c r="GU2441" s="73"/>
      <c r="GV2441" s="73"/>
      <c r="GW2441" s="73"/>
      <c r="GX2441" s="73"/>
      <c r="GY2441" s="73"/>
      <c r="GZ2441" s="73"/>
      <c r="HA2441" s="73"/>
      <c r="HB2441" s="73"/>
      <c r="HC2441" s="73"/>
      <c r="HD2441" s="73"/>
      <c r="HE2441" s="73"/>
      <c r="HF2441" s="73"/>
      <c r="HG2441" s="73"/>
      <c r="HH2441" s="73"/>
      <c r="HI2441" s="73"/>
      <c r="HJ2441" s="73"/>
      <c r="HK2441" s="73"/>
      <c r="HL2441" s="73"/>
      <c r="HM2441" s="73"/>
      <c r="HN2441" s="73"/>
      <c r="HO2441" s="73"/>
      <c r="HP2441" s="73"/>
      <c r="HQ2441" s="73"/>
      <c r="HR2441" s="73"/>
      <c r="HS2441" s="73"/>
      <c r="HT2441" s="73"/>
      <c r="HU2441" s="73"/>
      <c r="HV2441" s="73"/>
      <c r="HW2441" s="73"/>
      <c r="HX2441" s="73"/>
      <c r="HY2441" s="73"/>
      <c r="HZ2441" s="73"/>
      <c r="IA2441" s="73"/>
      <c r="IB2441" s="73"/>
      <c r="IC2441" s="73"/>
      <c r="ID2441" s="73"/>
      <c r="IE2441" s="73"/>
      <c r="IF2441" s="73"/>
      <c r="IG2441" s="73"/>
      <c r="IH2441" s="73"/>
      <c r="II2441" s="73"/>
      <c r="IJ2441" s="73"/>
      <c r="IK2441" s="73"/>
      <c r="IL2441" s="73"/>
      <c r="IM2441" s="73"/>
      <c r="IN2441" s="73"/>
      <c r="IO2441" s="73"/>
      <c r="IP2441" s="73"/>
      <c r="IQ2441" s="73"/>
      <c r="IR2441" s="73"/>
      <c r="IS2441" s="73"/>
      <c r="IT2441" s="73"/>
      <c r="IU2441" s="73"/>
      <c r="IV2441" s="73"/>
      <c r="IW2441" s="73"/>
      <c r="IX2441" s="73"/>
      <c r="IY2441" s="73"/>
      <c r="IZ2441" s="73"/>
      <c r="JA2441" s="73"/>
      <c r="JB2441" s="73"/>
      <c r="JC2441" s="73"/>
    </row>
    <row r="2442" spans="2:263" s="72" customFormat="1">
      <c r="B2442" s="73"/>
      <c r="C2442" s="73"/>
      <c r="D2442" s="73"/>
      <c r="E2442" s="73"/>
      <c r="F2442" s="73"/>
      <c r="G2442" s="73"/>
      <c r="H2442" s="73"/>
      <c r="I2442" s="73"/>
      <c r="J2442" s="73"/>
      <c r="K2442" s="73"/>
      <c r="L2442" s="73"/>
      <c r="M2442" s="73"/>
      <c r="N2442" s="73"/>
      <c r="O2442" s="73"/>
      <c r="P2442" s="73"/>
      <c r="Q2442" s="73"/>
      <c r="R2442" s="73"/>
      <c r="S2442" s="73"/>
      <c r="T2442" s="73"/>
      <c r="U2442" s="73"/>
      <c r="V2442" s="73"/>
      <c r="W2442" s="73"/>
      <c r="GL2442" s="73"/>
      <c r="GM2442" s="73"/>
      <c r="GN2442" s="73"/>
      <c r="GO2442" s="73"/>
      <c r="GP2442" s="73"/>
      <c r="GQ2442" s="73"/>
      <c r="GR2442" s="73"/>
      <c r="GS2442" s="73"/>
      <c r="GT2442" s="73"/>
      <c r="GU2442" s="73"/>
      <c r="GV2442" s="73"/>
      <c r="GW2442" s="73"/>
      <c r="GX2442" s="73"/>
      <c r="GY2442" s="73"/>
      <c r="GZ2442" s="73"/>
      <c r="HA2442" s="73"/>
      <c r="HB2442" s="73"/>
      <c r="HC2442" s="73"/>
      <c r="HD2442" s="73"/>
      <c r="HE2442" s="73"/>
      <c r="HF2442" s="73"/>
      <c r="HG2442" s="73"/>
      <c r="HH2442" s="73"/>
      <c r="HI2442" s="73"/>
      <c r="HJ2442" s="73"/>
      <c r="HK2442" s="73"/>
      <c r="HL2442" s="73"/>
      <c r="HM2442" s="73"/>
      <c r="HN2442" s="73"/>
      <c r="HO2442" s="73"/>
      <c r="HP2442" s="73"/>
      <c r="HQ2442" s="73"/>
      <c r="HR2442" s="73"/>
      <c r="HS2442" s="73"/>
      <c r="HT2442" s="73"/>
      <c r="HU2442" s="73"/>
      <c r="HV2442" s="73"/>
      <c r="HW2442" s="73"/>
      <c r="HX2442" s="73"/>
      <c r="HY2442" s="73"/>
      <c r="HZ2442" s="73"/>
      <c r="IA2442" s="73"/>
      <c r="IB2442" s="73"/>
      <c r="IC2442" s="73"/>
      <c r="ID2442" s="73"/>
      <c r="IE2442" s="73"/>
      <c r="IF2442" s="73"/>
      <c r="IG2442" s="73"/>
      <c r="IH2442" s="73"/>
      <c r="II2442" s="73"/>
      <c r="IJ2442" s="73"/>
      <c r="IK2442" s="73"/>
      <c r="IL2442" s="73"/>
      <c r="IM2442" s="73"/>
      <c r="IN2442" s="73"/>
      <c r="IO2442" s="73"/>
      <c r="IP2442" s="73"/>
      <c r="IQ2442" s="73"/>
      <c r="IR2442" s="73"/>
      <c r="IS2442" s="73"/>
      <c r="IT2442" s="73"/>
      <c r="IU2442" s="73"/>
      <c r="IV2442" s="73"/>
      <c r="IW2442" s="73"/>
      <c r="IX2442" s="73"/>
      <c r="IY2442" s="73"/>
      <c r="IZ2442" s="73"/>
      <c r="JA2442" s="73"/>
      <c r="JB2442" s="73"/>
      <c r="JC2442" s="73"/>
    </row>
    <row r="2443" spans="2:263" s="72" customFormat="1">
      <c r="B2443" s="73"/>
      <c r="C2443" s="73"/>
      <c r="D2443" s="73"/>
      <c r="E2443" s="73"/>
      <c r="F2443" s="73"/>
      <c r="G2443" s="73"/>
      <c r="H2443" s="73"/>
      <c r="I2443" s="73"/>
      <c r="J2443" s="73"/>
      <c r="K2443" s="73"/>
      <c r="L2443" s="73"/>
      <c r="M2443" s="73"/>
      <c r="N2443" s="73"/>
      <c r="O2443" s="73"/>
      <c r="P2443" s="73"/>
      <c r="Q2443" s="73"/>
      <c r="R2443" s="73"/>
      <c r="S2443" s="73"/>
      <c r="T2443" s="73"/>
      <c r="U2443" s="73"/>
      <c r="V2443" s="73"/>
      <c r="W2443" s="73"/>
      <c r="GL2443" s="73"/>
      <c r="GM2443" s="73"/>
      <c r="GN2443" s="73"/>
      <c r="GO2443" s="73"/>
      <c r="GP2443" s="73"/>
      <c r="GQ2443" s="73"/>
      <c r="GR2443" s="73"/>
      <c r="GS2443" s="73"/>
      <c r="GT2443" s="73"/>
      <c r="GU2443" s="73"/>
      <c r="GV2443" s="73"/>
      <c r="GW2443" s="73"/>
      <c r="GX2443" s="73"/>
      <c r="GY2443" s="73"/>
      <c r="GZ2443" s="73"/>
      <c r="HA2443" s="73"/>
      <c r="HB2443" s="73"/>
      <c r="HC2443" s="73"/>
      <c r="HD2443" s="73"/>
      <c r="HE2443" s="73"/>
      <c r="HF2443" s="73"/>
      <c r="HG2443" s="73"/>
      <c r="HH2443" s="73"/>
      <c r="HI2443" s="73"/>
      <c r="HJ2443" s="73"/>
      <c r="HK2443" s="73"/>
      <c r="HL2443" s="73"/>
      <c r="HM2443" s="73"/>
      <c r="HN2443" s="73"/>
      <c r="HO2443" s="73"/>
      <c r="HP2443" s="73"/>
      <c r="HQ2443" s="73"/>
      <c r="HR2443" s="73"/>
      <c r="HS2443" s="73"/>
      <c r="HT2443" s="73"/>
      <c r="HU2443" s="73"/>
      <c r="HV2443" s="73"/>
      <c r="HW2443" s="73"/>
      <c r="HX2443" s="73"/>
      <c r="HY2443" s="73"/>
      <c r="HZ2443" s="73"/>
      <c r="IA2443" s="73"/>
      <c r="IB2443" s="73"/>
      <c r="IC2443" s="73"/>
      <c r="ID2443" s="73"/>
      <c r="IE2443" s="73"/>
      <c r="IF2443" s="73"/>
      <c r="IG2443" s="73"/>
      <c r="IH2443" s="73"/>
      <c r="II2443" s="73"/>
      <c r="IJ2443" s="73"/>
      <c r="IK2443" s="73"/>
      <c r="IL2443" s="73"/>
      <c r="IM2443" s="73"/>
      <c r="IN2443" s="73"/>
      <c r="IO2443" s="73"/>
      <c r="IP2443" s="73"/>
      <c r="IQ2443" s="73"/>
      <c r="IR2443" s="73"/>
      <c r="IS2443" s="73"/>
      <c r="IT2443" s="73"/>
      <c r="IU2443" s="73"/>
      <c r="IV2443" s="73"/>
      <c r="IW2443" s="73"/>
      <c r="IX2443" s="73"/>
      <c r="IY2443" s="73"/>
      <c r="IZ2443" s="73"/>
      <c r="JA2443" s="73"/>
      <c r="JB2443" s="73"/>
      <c r="JC2443" s="73"/>
    </row>
    <row r="2444" spans="2:263" s="72" customFormat="1">
      <c r="B2444" s="73"/>
      <c r="C2444" s="73"/>
      <c r="D2444" s="73"/>
      <c r="E2444" s="73"/>
      <c r="F2444" s="73"/>
      <c r="G2444" s="73"/>
      <c r="H2444" s="73"/>
      <c r="I2444" s="73"/>
      <c r="J2444" s="73"/>
      <c r="K2444" s="73"/>
      <c r="L2444" s="73"/>
      <c r="M2444" s="73"/>
      <c r="N2444" s="73"/>
      <c r="O2444" s="73"/>
      <c r="P2444" s="73"/>
      <c r="Q2444" s="73"/>
      <c r="R2444" s="73"/>
      <c r="S2444" s="73"/>
      <c r="T2444" s="73"/>
      <c r="U2444" s="73"/>
      <c r="V2444" s="73"/>
      <c r="W2444" s="73"/>
      <c r="GL2444" s="73"/>
      <c r="GM2444" s="73"/>
      <c r="GN2444" s="73"/>
      <c r="GO2444" s="73"/>
      <c r="GP2444" s="73"/>
      <c r="GQ2444" s="73"/>
      <c r="GR2444" s="73"/>
      <c r="GS2444" s="73"/>
      <c r="GT2444" s="73"/>
      <c r="GU2444" s="73"/>
      <c r="GV2444" s="73"/>
      <c r="GW2444" s="73"/>
      <c r="GX2444" s="73"/>
      <c r="GY2444" s="73"/>
      <c r="GZ2444" s="73"/>
      <c r="HA2444" s="73"/>
      <c r="HB2444" s="73"/>
      <c r="HC2444" s="73"/>
      <c r="HD2444" s="73"/>
      <c r="HE2444" s="73"/>
      <c r="HF2444" s="73"/>
      <c r="HG2444" s="73"/>
      <c r="HH2444" s="73"/>
      <c r="HI2444" s="73"/>
      <c r="HJ2444" s="73"/>
      <c r="HK2444" s="73"/>
      <c r="HL2444" s="73"/>
      <c r="HM2444" s="73"/>
      <c r="HN2444" s="73"/>
      <c r="HO2444" s="73"/>
      <c r="HP2444" s="73"/>
      <c r="HQ2444" s="73"/>
      <c r="HR2444" s="73"/>
      <c r="HS2444" s="73"/>
      <c r="HT2444" s="73"/>
      <c r="HU2444" s="73"/>
      <c r="HV2444" s="73"/>
      <c r="HW2444" s="73"/>
      <c r="HX2444" s="73"/>
      <c r="HY2444" s="73"/>
      <c r="HZ2444" s="73"/>
      <c r="IA2444" s="73"/>
      <c r="IB2444" s="73"/>
      <c r="IC2444" s="73"/>
      <c r="ID2444" s="73"/>
      <c r="IE2444" s="73"/>
      <c r="IF2444" s="73"/>
      <c r="IG2444" s="73"/>
      <c r="IH2444" s="73"/>
      <c r="II2444" s="73"/>
      <c r="IJ2444" s="73"/>
      <c r="IK2444" s="73"/>
      <c r="IL2444" s="73"/>
      <c r="IM2444" s="73"/>
      <c r="IN2444" s="73"/>
      <c r="IO2444" s="73"/>
      <c r="IP2444" s="73"/>
      <c r="IQ2444" s="73"/>
      <c r="IR2444" s="73"/>
      <c r="IS2444" s="73"/>
      <c r="IT2444" s="73"/>
      <c r="IU2444" s="73"/>
      <c r="IV2444" s="73"/>
      <c r="IW2444" s="73"/>
      <c r="IX2444" s="73"/>
      <c r="IY2444" s="73"/>
      <c r="IZ2444" s="73"/>
      <c r="JA2444" s="73"/>
      <c r="JB2444" s="73"/>
      <c r="JC2444" s="73"/>
    </row>
    <row r="2445" spans="2:263" s="72" customFormat="1">
      <c r="B2445" s="73"/>
      <c r="C2445" s="73"/>
      <c r="D2445" s="73"/>
      <c r="E2445" s="73"/>
      <c r="F2445" s="73"/>
      <c r="G2445" s="73"/>
      <c r="H2445" s="73"/>
      <c r="I2445" s="73"/>
      <c r="J2445" s="73"/>
      <c r="K2445" s="73"/>
      <c r="L2445" s="73"/>
      <c r="M2445" s="73"/>
      <c r="N2445" s="73"/>
      <c r="O2445" s="73"/>
      <c r="P2445" s="73"/>
      <c r="Q2445" s="73"/>
      <c r="R2445" s="73"/>
      <c r="S2445" s="73"/>
      <c r="T2445" s="73"/>
      <c r="U2445" s="73"/>
      <c r="V2445" s="73"/>
      <c r="W2445" s="73"/>
      <c r="GL2445" s="73"/>
      <c r="GM2445" s="73"/>
      <c r="GN2445" s="73"/>
      <c r="GO2445" s="73"/>
      <c r="GP2445" s="73"/>
      <c r="GQ2445" s="73"/>
      <c r="GR2445" s="73"/>
      <c r="GS2445" s="73"/>
      <c r="GT2445" s="73"/>
      <c r="GU2445" s="73"/>
      <c r="GV2445" s="73"/>
      <c r="GW2445" s="73"/>
      <c r="GX2445" s="73"/>
      <c r="GY2445" s="73"/>
      <c r="GZ2445" s="73"/>
      <c r="HA2445" s="73"/>
      <c r="HB2445" s="73"/>
      <c r="HC2445" s="73"/>
      <c r="HD2445" s="73"/>
      <c r="HE2445" s="73"/>
      <c r="HF2445" s="73"/>
      <c r="HG2445" s="73"/>
      <c r="HH2445" s="73"/>
      <c r="HI2445" s="73"/>
      <c r="HJ2445" s="73"/>
      <c r="HK2445" s="73"/>
      <c r="HL2445" s="73"/>
      <c r="HM2445" s="73"/>
      <c r="HN2445" s="73"/>
      <c r="HO2445" s="73"/>
      <c r="HP2445" s="73"/>
      <c r="HQ2445" s="73"/>
      <c r="HR2445" s="73"/>
      <c r="HS2445" s="73"/>
      <c r="HT2445" s="73"/>
      <c r="HU2445" s="73"/>
      <c r="HV2445" s="73"/>
      <c r="HW2445" s="73"/>
      <c r="HX2445" s="73"/>
      <c r="HY2445" s="73"/>
      <c r="HZ2445" s="73"/>
      <c r="IA2445" s="73"/>
      <c r="IB2445" s="73"/>
      <c r="IC2445" s="73"/>
      <c r="ID2445" s="73"/>
      <c r="IE2445" s="73"/>
      <c r="IF2445" s="73"/>
      <c r="IG2445" s="73"/>
      <c r="IH2445" s="73"/>
      <c r="II2445" s="73"/>
      <c r="IJ2445" s="73"/>
      <c r="IK2445" s="73"/>
      <c r="IL2445" s="73"/>
      <c r="IM2445" s="73"/>
      <c r="IN2445" s="73"/>
      <c r="IO2445" s="73"/>
      <c r="IP2445" s="73"/>
      <c r="IQ2445" s="73"/>
      <c r="IR2445" s="73"/>
      <c r="IS2445" s="73"/>
      <c r="IT2445" s="73"/>
      <c r="IU2445" s="73"/>
      <c r="IV2445" s="73"/>
      <c r="IW2445" s="73"/>
      <c r="IX2445" s="73"/>
      <c r="IY2445" s="73"/>
      <c r="IZ2445" s="73"/>
      <c r="JA2445" s="73"/>
      <c r="JB2445" s="73"/>
      <c r="JC2445" s="73"/>
    </row>
    <row r="2446" spans="2:263" s="72" customFormat="1">
      <c r="B2446" s="73"/>
      <c r="C2446" s="73"/>
      <c r="D2446" s="73"/>
      <c r="E2446" s="73"/>
      <c r="F2446" s="73"/>
      <c r="G2446" s="73"/>
      <c r="H2446" s="73"/>
      <c r="I2446" s="73"/>
      <c r="J2446" s="73"/>
      <c r="K2446" s="73"/>
      <c r="L2446" s="73"/>
      <c r="M2446" s="73"/>
      <c r="N2446" s="73"/>
      <c r="O2446" s="73"/>
      <c r="P2446" s="73"/>
      <c r="Q2446" s="73"/>
      <c r="R2446" s="73"/>
      <c r="S2446" s="73"/>
      <c r="T2446" s="73"/>
      <c r="U2446" s="73"/>
      <c r="V2446" s="73"/>
      <c r="W2446" s="73"/>
      <c r="GL2446" s="73"/>
      <c r="GM2446" s="73"/>
      <c r="GN2446" s="73"/>
      <c r="GO2446" s="73"/>
      <c r="GP2446" s="73"/>
      <c r="GQ2446" s="73"/>
      <c r="GR2446" s="73"/>
      <c r="GS2446" s="73"/>
      <c r="GT2446" s="73"/>
      <c r="GU2446" s="73"/>
      <c r="GV2446" s="73"/>
      <c r="GW2446" s="73"/>
      <c r="GX2446" s="73"/>
      <c r="GY2446" s="73"/>
      <c r="GZ2446" s="73"/>
      <c r="HA2446" s="73"/>
      <c r="HB2446" s="73"/>
      <c r="HC2446" s="73"/>
      <c r="HD2446" s="73"/>
      <c r="HE2446" s="73"/>
      <c r="HF2446" s="73"/>
      <c r="HG2446" s="73"/>
      <c r="HH2446" s="73"/>
      <c r="HI2446" s="73"/>
      <c r="HJ2446" s="73"/>
      <c r="HK2446" s="73"/>
      <c r="HL2446" s="73"/>
      <c r="HM2446" s="73"/>
      <c r="HN2446" s="73"/>
      <c r="HO2446" s="73"/>
      <c r="HP2446" s="73"/>
      <c r="HQ2446" s="73"/>
      <c r="HR2446" s="73"/>
      <c r="HS2446" s="73"/>
      <c r="HT2446" s="73"/>
      <c r="HU2446" s="73"/>
      <c r="HV2446" s="73"/>
      <c r="HW2446" s="73"/>
      <c r="HX2446" s="73"/>
      <c r="HY2446" s="73"/>
      <c r="HZ2446" s="73"/>
      <c r="IA2446" s="73"/>
      <c r="IB2446" s="73"/>
      <c r="IC2446" s="73"/>
      <c r="ID2446" s="73"/>
      <c r="IE2446" s="73"/>
      <c r="IF2446" s="73"/>
      <c r="IG2446" s="73"/>
      <c r="IH2446" s="73"/>
      <c r="II2446" s="73"/>
      <c r="IJ2446" s="73"/>
      <c r="IK2446" s="73"/>
      <c r="IL2446" s="73"/>
      <c r="IM2446" s="73"/>
      <c r="IN2446" s="73"/>
      <c r="IO2446" s="73"/>
      <c r="IP2446" s="73"/>
      <c r="IQ2446" s="73"/>
      <c r="IR2446" s="73"/>
      <c r="IS2446" s="73"/>
      <c r="IT2446" s="73"/>
      <c r="IU2446" s="73"/>
      <c r="IV2446" s="73"/>
      <c r="IW2446" s="73"/>
      <c r="IX2446" s="73"/>
      <c r="IY2446" s="73"/>
      <c r="IZ2446" s="73"/>
      <c r="JA2446" s="73"/>
      <c r="JB2446" s="73"/>
      <c r="JC2446" s="73"/>
    </row>
    <row r="2447" spans="2:263" s="72" customFormat="1">
      <c r="B2447" s="73"/>
      <c r="C2447" s="73"/>
      <c r="D2447" s="73"/>
      <c r="E2447" s="73"/>
      <c r="F2447" s="73"/>
      <c r="G2447" s="73"/>
      <c r="H2447" s="73"/>
      <c r="I2447" s="73"/>
      <c r="J2447" s="73"/>
      <c r="K2447" s="73"/>
      <c r="L2447" s="73"/>
      <c r="M2447" s="73"/>
      <c r="N2447" s="73"/>
      <c r="O2447" s="73"/>
      <c r="P2447" s="73"/>
      <c r="Q2447" s="73"/>
      <c r="R2447" s="73"/>
      <c r="S2447" s="73"/>
      <c r="T2447" s="73"/>
      <c r="U2447" s="73"/>
      <c r="V2447" s="73"/>
      <c r="W2447" s="73"/>
      <c r="GL2447" s="73"/>
      <c r="GM2447" s="73"/>
      <c r="GN2447" s="73"/>
      <c r="GO2447" s="73"/>
      <c r="GP2447" s="73"/>
      <c r="GQ2447" s="73"/>
      <c r="GR2447" s="73"/>
      <c r="GS2447" s="73"/>
      <c r="GT2447" s="73"/>
      <c r="GU2447" s="73"/>
      <c r="GV2447" s="73"/>
      <c r="GW2447" s="73"/>
      <c r="GX2447" s="73"/>
      <c r="GY2447" s="73"/>
      <c r="GZ2447" s="73"/>
      <c r="HA2447" s="73"/>
      <c r="HB2447" s="73"/>
      <c r="HC2447" s="73"/>
      <c r="HD2447" s="73"/>
      <c r="HE2447" s="73"/>
      <c r="HF2447" s="73"/>
      <c r="HG2447" s="73"/>
      <c r="HH2447" s="73"/>
      <c r="HI2447" s="73"/>
      <c r="HJ2447" s="73"/>
      <c r="HK2447" s="73"/>
      <c r="HL2447" s="73"/>
      <c r="HM2447" s="73"/>
      <c r="HN2447" s="73"/>
      <c r="HO2447" s="73"/>
      <c r="HP2447" s="73"/>
      <c r="HQ2447" s="73"/>
      <c r="HR2447" s="73"/>
      <c r="HS2447" s="73"/>
      <c r="HT2447" s="73"/>
      <c r="HU2447" s="73"/>
      <c r="HV2447" s="73"/>
      <c r="HW2447" s="73"/>
      <c r="HX2447" s="73"/>
      <c r="HY2447" s="73"/>
      <c r="HZ2447" s="73"/>
      <c r="IA2447" s="73"/>
      <c r="IB2447" s="73"/>
      <c r="IC2447" s="73"/>
      <c r="ID2447" s="73"/>
      <c r="IE2447" s="73"/>
      <c r="IF2447" s="73"/>
      <c r="IG2447" s="73"/>
      <c r="IH2447" s="73"/>
      <c r="II2447" s="73"/>
      <c r="IJ2447" s="73"/>
      <c r="IK2447" s="73"/>
      <c r="IL2447" s="73"/>
      <c r="IM2447" s="73"/>
      <c r="IN2447" s="73"/>
      <c r="IO2447" s="73"/>
      <c r="IP2447" s="73"/>
      <c r="IQ2447" s="73"/>
      <c r="IR2447" s="73"/>
      <c r="IS2447" s="73"/>
      <c r="IT2447" s="73"/>
      <c r="IU2447" s="73"/>
      <c r="IV2447" s="73"/>
      <c r="IW2447" s="73"/>
      <c r="IX2447" s="73"/>
      <c r="IY2447" s="73"/>
      <c r="IZ2447" s="73"/>
      <c r="JA2447" s="73"/>
      <c r="JB2447" s="73"/>
      <c r="JC2447" s="73"/>
    </row>
    <row r="2448" spans="2:263" s="72" customFormat="1">
      <c r="B2448" s="73"/>
      <c r="C2448" s="73"/>
      <c r="D2448" s="73"/>
      <c r="E2448" s="73"/>
      <c r="F2448" s="73"/>
      <c r="G2448" s="73"/>
      <c r="H2448" s="73"/>
      <c r="I2448" s="73"/>
      <c r="J2448" s="73"/>
      <c r="K2448" s="73"/>
      <c r="L2448" s="73"/>
      <c r="M2448" s="73"/>
      <c r="N2448" s="73"/>
      <c r="O2448" s="73"/>
      <c r="P2448" s="73"/>
      <c r="Q2448" s="73"/>
      <c r="R2448" s="73"/>
      <c r="S2448" s="73"/>
      <c r="T2448" s="73"/>
      <c r="U2448" s="73"/>
      <c r="V2448" s="73"/>
      <c r="W2448" s="73"/>
      <c r="GL2448" s="73"/>
      <c r="GM2448" s="73"/>
      <c r="GN2448" s="73"/>
      <c r="GO2448" s="73"/>
      <c r="GP2448" s="73"/>
      <c r="GQ2448" s="73"/>
      <c r="GR2448" s="73"/>
      <c r="GS2448" s="73"/>
      <c r="GT2448" s="73"/>
      <c r="GU2448" s="73"/>
      <c r="GV2448" s="73"/>
      <c r="GW2448" s="73"/>
      <c r="GX2448" s="73"/>
      <c r="GY2448" s="73"/>
      <c r="GZ2448" s="73"/>
      <c r="HA2448" s="73"/>
      <c r="HB2448" s="73"/>
      <c r="HC2448" s="73"/>
      <c r="HD2448" s="73"/>
      <c r="HE2448" s="73"/>
      <c r="HF2448" s="73"/>
      <c r="HG2448" s="73"/>
      <c r="HH2448" s="73"/>
      <c r="HI2448" s="73"/>
      <c r="HJ2448" s="73"/>
      <c r="HK2448" s="73"/>
      <c r="HL2448" s="73"/>
      <c r="HM2448" s="73"/>
      <c r="HN2448" s="73"/>
      <c r="HO2448" s="73"/>
      <c r="HP2448" s="73"/>
      <c r="HQ2448" s="73"/>
      <c r="HR2448" s="73"/>
      <c r="HS2448" s="73"/>
      <c r="HT2448" s="73"/>
      <c r="HU2448" s="73"/>
      <c r="HV2448" s="73"/>
      <c r="HW2448" s="73"/>
      <c r="HX2448" s="73"/>
      <c r="HY2448" s="73"/>
      <c r="HZ2448" s="73"/>
      <c r="IA2448" s="73"/>
      <c r="IB2448" s="73"/>
      <c r="IC2448" s="73"/>
      <c r="ID2448" s="73"/>
      <c r="IE2448" s="73"/>
      <c r="IF2448" s="73"/>
      <c r="IG2448" s="73"/>
      <c r="IH2448" s="73"/>
      <c r="II2448" s="73"/>
      <c r="IJ2448" s="73"/>
      <c r="IK2448" s="73"/>
      <c r="IL2448" s="73"/>
      <c r="IM2448" s="73"/>
      <c r="IN2448" s="73"/>
      <c r="IO2448" s="73"/>
      <c r="IP2448" s="73"/>
      <c r="IQ2448" s="73"/>
      <c r="IR2448" s="73"/>
      <c r="IS2448" s="73"/>
      <c r="IT2448" s="73"/>
      <c r="IU2448" s="73"/>
      <c r="IV2448" s="73"/>
      <c r="IW2448" s="73"/>
      <c r="IX2448" s="73"/>
      <c r="IY2448" s="73"/>
      <c r="IZ2448" s="73"/>
      <c r="JA2448" s="73"/>
      <c r="JB2448" s="73"/>
      <c r="JC2448" s="73"/>
    </row>
    <row r="2449" spans="2:263" s="72" customFormat="1">
      <c r="B2449" s="73"/>
      <c r="C2449" s="73"/>
      <c r="D2449" s="73"/>
      <c r="E2449" s="73"/>
      <c r="F2449" s="73"/>
      <c r="G2449" s="73"/>
      <c r="H2449" s="73"/>
      <c r="I2449" s="73"/>
      <c r="J2449" s="73"/>
      <c r="K2449" s="73"/>
      <c r="L2449" s="73"/>
      <c r="M2449" s="73"/>
      <c r="N2449" s="73"/>
      <c r="O2449" s="73"/>
      <c r="P2449" s="73"/>
      <c r="Q2449" s="73"/>
      <c r="R2449" s="73"/>
      <c r="S2449" s="73"/>
      <c r="T2449" s="73"/>
      <c r="U2449" s="73"/>
      <c r="V2449" s="73"/>
      <c r="W2449" s="73"/>
      <c r="GL2449" s="73"/>
      <c r="GM2449" s="73"/>
      <c r="GN2449" s="73"/>
      <c r="GO2449" s="73"/>
      <c r="GP2449" s="73"/>
      <c r="GQ2449" s="73"/>
      <c r="GR2449" s="73"/>
      <c r="GS2449" s="73"/>
      <c r="GT2449" s="73"/>
      <c r="GU2449" s="73"/>
      <c r="GV2449" s="73"/>
      <c r="GW2449" s="73"/>
      <c r="GX2449" s="73"/>
      <c r="GY2449" s="73"/>
      <c r="GZ2449" s="73"/>
      <c r="HA2449" s="73"/>
      <c r="HB2449" s="73"/>
      <c r="HC2449" s="73"/>
      <c r="HD2449" s="73"/>
      <c r="HE2449" s="73"/>
      <c r="HF2449" s="73"/>
      <c r="HG2449" s="73"/>
      <c r="HH2449" s="73"/>
      <c r="HI2449" s="73"/>
      <c r="HJ2449" s="73"/>
      <c r="HK2449" s="73"/>
      <c r="HL2449" s="73"/>
      <c r="HM2449" s="73"/>
      <c r="HN2449" s="73"/>
      <c r="HO2449" s="73"/>
      <c r="HP2449" s="73"/>
      <c r="HQ2449" s="73"/>
      <c r="HR2449" s="73"/>
      <c r="HS2449" s="73"/>
      <c r="HT2449" s="73"/>
      <c r="HU2449" s="73"/>
      <c r="HV2449" s="73"/>
      <c r="HW2449" s="73"/>
      <c r="HX2449" s="73"/>
      <c r="HY2449" s="73"/>
      <c r="HZ2449" s="73"/>
      <c r="IA2449" s="73"/>
      <c r="IB2449" s="73"/>
      <c r="IC2449" s="73"/>
      <c r="ID2449" s="73"/>
      <c r="IE2449" s="73"/>
      <c r="IF2449" s="73"/>
      <c r="IG2449" s="73"/>
      <c r="IH2449" s="73"/>
      <c r="II2449" s="73"/>
      <c r="IJ2449" s="73"/>
      <c r="IK2449" s="73"/>
      <c r="IL2449" s="73"/>
      <c r="IM2449" s="73"/>
      <c r="IN2449" s="73"/>
      <c r="IO2449" s="73"/>
      <c r="IP2449" s="73"/>
      <c r="IQ2449" s="73"/>
      <c r="IR2449" s="73"/>
      <c r="IS2449" s="73"/>
      <c r="IT2449" s="73"/>
      <c r="IU2449" s="73"/>
      <c r="IV2449" s="73"/>
      <c r="IW2449" s="73"/>
      <c r="IX2449" s="73"/>
      <c r="IY2449" s="73"/>
      <c r="IZ2449" s="73"/>
      <c r="JA2449" s="73"/>
      <c r="JB2449" s="73"/>
      <c r="JC2449" s="73"/>
    </row>
    <row r="2450" spans="2:263" s="72" customFormat="1">
      <c r="B2450" s="73"/>
      <c r="C2450" s="73"/>
      <c r="D2450" s="73"/>
      <c r="E2450" s="73"/>
      <c r="F2450" s="73"/>
      <c r="G2450" s="73"/>
      <c r="H2450" s="73"/>
      <c r="I2450" s="73"/>
      <c r="J2450" s="73"/>
      <c r="K2450" s="73"/>
      <c r="L2450" s="73"/>
      <c r="M2450" s="73"/>
      <c r="N2450" s="73"/>
      <c r="O2450" s="73"/>
      <c r="P2450" s="73"/>
      <c r="Q2450" s="73"/>
      <c r="R2450" s="73"/>
      <c r="S2450" s="73"/>
      <c r="T2450" s="73"/>
      <c r="U2450" s="73"/>
      <c r="V2450" s="73"/>
      <c r="W2450" s="73"/>
      <c r="GL2450" s="73"/>
      <c r="GM2450" s="73"/>
      <c r="GN2450" s="73"/>
      <c r="GO2450" s="73"/>
      <c r="GP2450" s="73"/>
      <c r="GQ2450" s="73"/>
      <c r="GR2450" s="73"/>
      <c r="GS2450" s="73"/>
      <c r="GT2450" s="73"/>
      <c r="GU2450" s="73"/>
      <c r="GV2450" s="73"/>
      <c r="GW2450" s="73"/>
      <c r="GX2450" s="73"/>
      <c r="GY2450" s="73"/>
      <c r="GZ2450" s="73"/>
      <c r="HA2450" s="73"/>
      <c r="HB2450" s="73"/>
      <c r="HC2450" s="73"/>
      <c r="HD2450" s="73"/>
      <c r="HE2450" s="73"/>
      <c r="HF2450" s="73"/>
      <c r="HG2450" s="73"/>
      <c r="HH2450" s="73"/>
      <c r="HI2450" s="73"/>
      <c r="HJ2450" s="73"/>
      <c r="HK2450" s="73"/>
      <c r="HL2450" s="73"/>
      <c r="HM2450" s="73"/>
      <c r="HN2450" s="73"/>
      <c r="HO2450" s="73"/>
      <c r="HP2450" s="73"/>
      <c r="HQ2450" s="73"/>
      <c r="HR2450" s="73"/>
      <c r="HS2450" s="73"/>
      <c r="HT2450" s="73"/>
      <c r="HU2450" s="73"/>
      <c r="HV2450" s="73"/>
      <c r="HW2450" s="73"/>
      <c r="HX2450" s="73"/>
      <c r="HY2450" s="73"/>
      <c r="HZ2450" s="73"/>
      <c r="IA2450" s="73"/>
      <c r="IB2450" s="73"/>
      <c r="IC2450" s="73"/>
      <c r="ID2450" s="73"/>
      <c r="IE2450" s="73"/>
      <c r="IF2450" s="73"/>
      <c r="IG2450" s="73"/>
      <c r="IH2450" s="73"/>
      <c r="II2450" s="73"/>
      <c r="IJ2450" s="73"/>
      <c r="IK2450" s="73"/>
      <c r="IL2450" s="73"/>
      <c r="IM2450" s="73"/>
      <c r="IN2450" s="73"/>
      <c r="IO2450" s="73"/>
      <c r="IP2450" s="73"/>
      <c r="IQ2450" s="73"/>
      <c r="IR2450" s="73"/>
      <c r="IS2450" s="73"/>
      <c r="IT2450" s="73"/>
      <c r="IU2450" s="73"/>
      <c r="IV2450" s="73"/>
      <c r="IW2450" s="73"/>
      <c r="IX2450" s="73"/>
      <c r="IY2450" s="73"/>
      <c r="IZ2450" s="73"/>
      <c r="JA2450" s="73"/>
      <c r="JB2450" s="73"/>
      <c r="JC2450" s="73"/>
    </row>
    <row r="2451" spans="2:263" s="72" customFormat="1">
      <c r="B2451" s="73"/>
      <c r="C2451" s="73"/>
      <c r="D2451" s="73"/>
      <c r="E2451" s="73"/>
      <c r="F2451" s="73"/>
      <c r="G2451" s="73"/>
      <c r="H2451" s="73"/>
      <c r="I2451" s="73"/>
      <c r="J2451" s="73"/>
      <c r="K2451" s="73"/>
      <c r="L2451" s="73"/>
      <c r="M2451" s="73"/>
      <c r="N2451" s="73"/>
      <c r="O2451" s="73"/>
      <c r="P2451" s="73"/>
      <c r="Q2451" s="73"/>
      <c r="R2451" s="73"/>
      <c r="S2451" s="73"/>
      <c r="T2451" s="73"/>
      <c r="U2451" s="73"/>
      <c r="V2451" s="73"/>
      <c r="W2451" s="73"/>
      <c r="GL2451" s="73"/>
      <c r="GM2451" s="73"/>
      <c r="GN2451" s="73"/>
      <c r="GO2451" s="73"/>
      <c r="GP2451" s="73"/>
      <c r="GQ2451" s="73"/>
      <c r="GR2451" s="73"/>
      <c r="GS2451" s="73"/>
      <c r="GT2451" s="73"/>
      <c r="GU2451" s="73"/>
      <c r="GV2451" s="73"/>
      <c r="GW2451" s="73"/>
      <c r="GX2451" s="73"/>
      <c r="GY2451" s="73"/>
      <c r="GZ2451" s="73"/>
      <c r="HA2451" s="73"/>
      <c r="HB2451" s="73"/>
      <c r="HC2451" s="73"/>
      <c r="HD2451" s="73"/>
      <c r="HE2451" s="73"/>
      <c r="HF2451" s="73"/>
      <c r="HG2451" s="73"/>
      <c r="HH2451" s="73"/>
      <c r="HI2451" s="73"/>
      <c r="HJ2451" s="73"/>
      <c r="HK2451" s="73"/>
      <c r="HL2451" s="73"/>
      <c r="HM2451" s="73"/>
      <c r="HN2451" s="73"/>
      <c r="HO2451" s="73"/>
      <c r="HP2451" s="73"/>
      <c r="HQ2451" s="73"/>
      <c r="HR2451" s="73"/>
      <c r="HS2451" s="73"/>
      <c r="HT2451" s="73"/>
      <c r="HU2451" s="73"/>
      <c r="HV2451" s="73"/>
      <c r="HW2451" s="73"/>
      <c r="HX2451" s="73"/>
      <c r="HY2451" s="73"/>
      <c r="HZ2451" s="73"/>
      <c r="IA2451" s="73"/>
      <c r="IB2451" s="73"/>
      <c r="IC2451" s="73"/>
      <c r="ID2451" s="73"/>
      <c r="IE2451" s="73"/>
      <c r="IF2451" s="73"/>
      <c r="IG2451" s="73"/>
      <c r="IH2451" s="73"/>
      <c r="II2451" s="73"/>
      <c r="IJ2451" s="73"/>
      <c r="IK2451" s="73"/>
      <c r="IL2451" s="73"/>
      <c r="IM2451" s="73"/>
      <c r="IN2451" s="73"/>
      <c r="IO2451" s="73"/>
      <c r="IP2451" s="73"/>
      <c r="IQ2451" s="73"/>
      <c r="IR2451" s="73"/>
      <c r="IS2451" s="73"/>
      <c r="IT2451" s="73"/>
      <c r="IU2451" s="73"/>
      <c r="IV2451" s="73"/>
      <c r="IW2451" s="73"/>
      <c r="IX2451" s="73"/>
      <c r="IY2451" s="73"/>
      <c r="IZ2451" s="73"/>
      <c r="JA2451" s="73"/>
      <c r="JB2451" s="73"/>
      <c r="JC2451" s="73"/>
    </row>
    <row r="2452" spans="2:263" s="72" customFormat="1">
      <c r="B2452" s="73"/>
      <c r="C2452" s="73"/>
      <c r="D2452" s="73"/>
      <c r="E2452" s="73"/>
      <c r="F2452" s="73"/>
      <c r="G2452" s="73"/>
      <c r="H2452" s="73"/>
      <c r="I2452" s="73"/>
      <c r="J2452" s="73"/>
      <c r="K2452" s="73"/>
      <c r="L2452" s="73"/>
      <c r="M2452" s="73"/>
      <c r="N2452" s="73"/>
      <c r="O2452" s="73"/>
      <c r="P2452" s="73"/>
      <c r="Q2452" s="73"/>
      <c r="R2452" s="73"/>
      <c r="S2452" s="73"/>
      <c r="T2452" s="73"/>
      <c r="U2452" s="73"/>
      <c r="V2452" s="73"/>
      <c r="W2452" s="73"/>
      <c r="GL2452" s="73"/>
      <c r="GM2452" s="73"/>
      <c r="GN2452" s="73"/>
      <c r="GO2452" s="73"/>
      <c r="GP2452" s="73"/>
      <c r="GQ2452" s="73"/>
      <c r="GR2452" s="73"/>
      <c r="GS2452" s="73"/>
      <c r="GT2452" s="73"/>
      <c r="GU2452" s="73"/>
      <c r="GV2452" s="73"/>
      <c r="GW2452" s="73"/>
      <c r="GX2452" s="73"/>
      <c r="GY2452" s="73"/>
      <c r="GZ2452" s="73"/>
      <c r="HA2452" s="73"/>
      <c r="HB2452" s="73"/>
      <c r="HC2452" s="73"/>
      <c r="HD2452" s="73"/>
      <c r="HE2452" s="73"/>
      <c r="HF2452" s="73"/>
      <c r="HG2452" s="73"/>
      <c r="HH2452" s="73"/>
      <c r="HI2452" s="73"/>
      <c r="HJ2452" s="73"/>
      <c r="HK2452" s="73"/>
      <c r="HL2452" s="73"/>
      <c r="HM2452" s="73"/>
      <c r="HN2452" s="73"/>
      <c r="HO2452" s="73"/>
      <c r="HP2452" s="73"/>
      <c r="HQ2452" s="73"/>
      <c r="HR2452" s="73"/>
      <c r="HS2452" s="73"/>
      <c r="HT2452" s="73"/>
      <c r="HU2452" s="73"/>
      <c r="HV2452" s="73"/>
      <c r="HW2452" s="73"/>
      <c r="HX2452" s="73"/>
      <c r="HY2452" s="73"/>
      <c r="HZ2452" s="73"/>
      <c r="IA2452" s="73"/>
      <c r="IB2452" s="73"/>
      <c r="IC2452" s="73"/>
      <c r="ID2452" s="73"/>
      <c r="IE2452" s="73"/>
      <c r="IF2452" s="73"/>
      <c r="IG2452" s="73"/>
      <c r="IH2452" s="73"/>
      <c r="II2452" s="73"/>
      <c r="IJ2452" s="73"/>
      <c r="IK2452" s="73"/>
      <c r="IL2452" s="73"/>
      <c r="IM2452" s="73"/>
      <c r="IN2452" s="73"/>
      <c r="IO2452" s="73"/>
      <c r="IP2452" s="73"/>
      <c r="IQ2452" s="73"/>
      <c r="IR2452" s="73"/>
      <c r="IS2452" s="73"/>
      <c r="IT2452" s="73"/>
      <c r="IU2452" s="73"/>
      <c r="IV2452" s="73"/>
      <c r="IW2452" s="73"/>
      <c r="IX2452" s="73"/>
      <c r="IY2452" s="73"/>
      <c r="IZ2452" s="73"/>
      <c r="JA2452" s="73"/>
      <c r="JB2452" s="73"/>
      <c r="JC2452" s="73"/>
    </row>
    <row r="2453" spans="2:263" s="72" customFormat="1">
      <c r="B2453" s="73"/>
      <c r="C2453" s="73"/>
      <c r="D2453" s="73"/>
      <c r="E2453" s="73"/>
      <c r="F2453" s="73"/>
      <c r="G2453" s="73"/>
      <c r="H2453" s="73"/>
      <c r="I2453" s="73"/>
      <c r="J2453" s="73"/>
      <c r="K2453" s="73"/>
      <c r="L2453" s="73"/>
      <c r="M2453" s="73"/>
      <c r="N2453" s="73"/>
      <c r="O2453" s="73"/>
      <c r="P2453" s="73"/>
      <c r="Q2453" s="73"/>
      <c r="R2453" s="73"/>
      <c r="S2453" s="73"/>
      <c r="T2453" s="73"/>
      <c r="U2453" s="73"/>
      <c r="V2453" s="73"/>
      <c r="W2453" s="73"/>
      <c r="GL2453" s="73"/>
      <c r="GM2453" s="73"/>
      <c r="GN2453" s="73"/>
      <c r="GO2453" s="73"/>
      <c r="GP2453" s="73"/>
      <c r="GQ2453" s="73"/>
      <c r="GR2453" s="73"/>
      <c r="GS2453" s="73"/>
      <c r="GT2453" s="73"/>
      <c r="GU2453" s="73"/>
      <c r="GV2453" s="73"/>
      <c r="GW2453" s="73"/>
      <c r="GX2453" s="73"/>
      <c r="GY2453" s="73"/>
      <c r="GZ2453" s="73"/>
      <c r="HA2453" s="73"/>
      <c r="HB2453" s="73"/>
      <c r="HC2453" s="73"/>
      <c r="HD2453" s="73"/>
      <c r="HE2453" s="73"/>
      <c r="HF2453" s="73"/>
      <c r="HG2453" s="73"/>
      <c r="HH2453" s="73"/>
      <c r="HI2453" s="73"/>
      <c r="HJ2453" s="73"/>
      <c r="HK2453" s="73"/>
      <c r="HL2453" s="73"/>
      <c r="HM2453" s="73"/>
      <c r="HN2453" s="73"/>
      <c r="HO2453" s="73"/>
      <c r="HP2453" s="73"/>
      <c r="HQ2453" s="73"/>
      <c r="HR2453" s="73"/>
      <c r="HS2453" s="73"/>
      <c r="HT2453" s="73"/>
      <c r="HU2453" s="73"/>
      <c r="HV2453" s="73"/>
      <c r="HW2453" s="73"/>
      <c r="HX2453" s="73"/>
      <c r="HY2453" s="73"/>
      <c r="HZ2453" s="73"/>
      <c r="IA2453" s="73"/>
      <c r="IB2453" s="73"/>
      <c r="IC2453" s="73"/>
      <c r="ID2453" s="73"/>
      <c r="IE2453" s="73"/>
      <c r="IF2453" s="73"/>
      <c r="IG2453" s="73"/>
      <c r="IH2453" s="73"/>
      <c r="II2453" s="73"/>
      <c r="IJ2453" s="73"/>
      <c r="IK2453" s="73"/>
      <c r="IL2453" s="73"/>
      <c r="IM2453" s="73"/>
      <c r="IN2453" s="73"/>
      <c r="IO2453" s="73"/>
      <c r="IP2453" s="73"/>
      <c r="IQ2453" s="73"/>
      <c r="IR2453" s="73"/>
      <c r="IS2453" s="73"/>
      <c r="IT2453" s="73"/>
      <c r="IU2453" s="73"/>
      <c r="IV2453" s="73"/>
      <c r="IW2453" s="73"/>
      <c r="IX2453" s="73"/>
      <c r="IY2453" s="73"/>
      <c r="IZ2453" s="73"/>
      <c r="JA2453" s="73"/>
      <c r="JB2453" s="73"/>
      <c r="JC2453" s="73"/>
    </row>
    <row r="2454" spans="2:263" s="72" customFormat="1">
      <c r="B2454" s="73"/>
      <c r="C2454" s="73"/>
      <c r="D2454" s="73"/>
      <c r="E2454" s="73"/>
      <c r="F2454" s="73"/>
      <c r="G2454" s="73"/>
      <c r="H2454" s="73"/>
      <c r="I2454" s="73"/>
      <c r="J2454" s="73"/>
      <c r="K2454" s="73"/>
      <c r="L2454" s="73"/>
      <c r="M2454" s="73"/>
      <c r="N2454" s="73"/>
      <c r="O2454" s="73"/>
      <c r="P2454" s="73"/>
      <c r="Q2454" s="73"/>
      <c r="R2454" s="73"/>
      <c r="S2454" s="73"/>
      <c r="T2454" s="73"/>
      <c r="U2454" s="73"/>
      <c r="V2454" s="73"/>
      <c r="W2454" s="73"/>
      <c r="GL2454" s="73"/>
      <c r="GM2454" s="73"/>
      <c r="GN2454" s="73"/>
      <c r="GO2454" s="73"/>
      <c r="GP2454" s="73"/>
      <c r="GQ2454" s="73"/>
      <c r="GR2454" s="73"/>
      <c r="GS2454" s="73"/>
      <c r="GT2454" s="73"/>
      <c r="GU2454" s="73"/>
      <c r="GV2454" s="73"/>
      <c r="GW2454" s="73"/>
      <c r="GX2454" s="73"/>
      <c r="GY2454" s="73"/>
      <c r="GZ2454" s="73"/>
      <c r="HA2454" s="73"/>
      <c r="HB2454" s="73"/>
      <c r="HC2454" s="73"/>
      <c r="HD2454" s="73"/>
      <c r="HE2454" s="73"/>
      <c r="HF2454" s="73"/>
      <c r="HG2454" s="73"/>
      <c r="HH2454" s="73"/>
      <c r="HI2454" s="73"/>
      <c r="HJ2454" s="73"/>
      <c r="HK2454" s="73"/>
      <c r="HL2454" s="73"/>
      <c r="HM2454" s="73"/>
      <c r="HN2454" s="73"/>
      <c r="HO2454" s="73"/>
      <c r="HP2454" s="73"/>
      <c r="HQ2454" s="73"/>
      <c r="HR2454" s="73"/>
      <c r="HS2454" s="73"/>
      <c r="HT2454" s="73"/>
      <c r="HU2454" s="73"/>
      <c r="HV2454" s="73"/>
      <c r="HW2454" s="73"/>
      <c r="HX2454" s="73"/>
      <c r="HY2454" s="73"/>
      <c r="HZ2454" s="73"/>
      <c r="IA2454" s="73"/>
      <c r="IB2454" s="73"/>
      <c r="IC2454" s="73"/>
      <c r="ID2454" s="73"/>
      <c r="IE2454" s="73"/>
      <c r="IF2454" s="73"/>
      <c r="IG2454" s="73"/>
      <c r="IH2454" s="73"/>
      <c r="II2454" s="73"/>
      <c r="IJ2454" s="73"/>
      <c r="IK2454" s="73"/>
      <c r="IL2454" s="73"/>
      <c r="IM2454" s="73"/>
      <c r="IN2454" s="73"/>
      <c r="IO2454" s="73"/>
      <c r="IP2454" s="73"/>
      <c r="IQ2454" s="73"/>
      <c r="IR2454" s="73"/>
      <c r="IS2454" s="73"/>
      <c r="IT2454" s="73"/>
      <c r="IU2454" s="73"/>
      <c r="IV2454" s="73"/>
      <c r="IW2454" s="73"/>
      <c r="IX2454" s="73"/>
      <c r="IY2454" s="73"/>
      <c r="IZ2454" s="73"/>
      <c r="JA2454" s="73"/>
      <c r="JB2454" s="73"/>
      <c r="JC2454" s="73"/>
    </row>
    <row r="2455" spans="2:263" s="72" customFormat="1">
      <c r="B2455" s="73"/>
      <c r="C2455" s="73"/>
      <c r="D2455" s="73"/>
      <c r="E2455" s="73"/>
      <c r="F2455" s="73"/>
      <c r="G2455" s="73"/>
      <c r="H2455" s="73"/>
      <c r="I2455" s="73"/>
      <c r="J2455" s="73"/>
      <c r="K2455" s="73"/>
      <c r="L2455" s="73"/>
      <c r="M2455" s="73"/>
      <c r="N2455" s="73"/>
      <c r="O2455" s="73"/>
      <c r="P2455" s="73"/>
      <c r="Q2455" s="73"/>
      <c r="R2455" s="73"/>
      <c r="S2455" s="73"/>
      <c r="T2455" s="73"/>
      <c r="U2455" s="73"/>
      <c r="V2455" s="73"/>
      <c r="W2455" s="73"/>
      <c r="GL2455" s="73"/>
      <c r="GM2455" s="73"/>
      <c r="GN2455" s="73"/>
      <c r="GO2455" s="73"/>
      <c r="GP2455" s="73"/>
      <c r="GQ2455" s="73"/>
      <c r="GR2455" s="73"/>
      <c r="GS2455" s="73"/>
      <c r="GT2455" s="73"/>
      <c r="GU2455" s="73"/>
      <c r="GV2455" s="73"/>
      <c r="GW2455" s="73"/>
      <c r="GX2455" s="73"/>
      <c r="GY2455" s="73"/>
      <c r="GZ2455" s="73"/>
      <c r="HA2455" s="73"/>
      <c r="HB2455" s="73"/>
      <c r="HC2455" s="73"/>
      <c r="HD2455" s="73"/>
      <c r="HE2455" s="73"/>
      <c r="HF2455" s="73"/>
      <c r="HG2455" s="73"/>
      <c r="HH2455" s="73"/>
      <c r="HI2455" s="73"/>
      <c r="HJ2455" s="73"/>
      <c r="HK2455" s="73"/>
      <c r="HL2455" s="73"/>
      <c r="HM2455" s="73"/>
      <c r="HN2455" s="73"/>
      <c r="HO2455" s="73"/>
      <c r="HP2455" s="73"/>
      <c r="HQ2455" s="73"/>
      <c r="HR2455" s="73"/>
      <c r="HS2455" s="73"/>
      <c r="HT2455" s="73"/>
      <c r="HU2455" s="73"/>
      <c r="HV2455" s="73"/>
      <c r="HW2455" s="73"/>
      <c r="HX2455" s="73"/>
      <c r="HY2455" s="73"/>
      <c r="HZ2455" s="73"/>
      <c r="IA2455" s="73"/>
      <c r="IB2455" s="73"/>
      <c r="IC2455" s="73"/>
      <c r="ID2455" s="73"/>
      <c r="IE2455" s="73"/>
      <c r="IF2455" s="73"/>
      <c r="IG2455" s="73"/>
      <c r="IH2455" s="73"/>
      <c r="II2455" s="73"/>
      <c r="IJ2455" s="73"/>
      <c r="IK2455" s="73"/>
      <c r="IL2455" s="73"/>
      <c r="IM2455" s="73"/>
      <c r="IN2455" s="73"/>
      <c r="IO2455" s="73"/>
      <c r="IP2455" s="73"/>
      <c r="IQ2455" s="73"/>
      <c r="IR2455" s="73"/>
      <c r="IS2455" s="73"/>
      <c r="IT2455" s="73"/>
      <c r="IU2455" s="73"/>
      <c r="IV2455" s="73"/>
      <c r="IW2455" s="73"/>
      <c r="IX2455" s="73"/>
      <c r="IY2455" s="73"/>
      <c r="IZ2455" s="73"/>
      <c r="JA2455" s="73"/>
      <c r="JB2455" s="73"/>
      <c r="JC2455" s="73"/>
    </row>
    <row r="2456" spans="2:263" s="72" customFormat="1">
      <c r="B2456" s="73"/>
      <c r="C2456" s="73"/>
      <c r="D2456" s="73"/>
      <c r="E2456" s="73"/>
      <c r="F2456" s="73"/>
      <c r="G2456" s="73"/>
      <c r="H2456" s="73"/>
      <c r="I2456" s="73"/>
      <c r="J2456" s="73"/>
      <c r="K2456" s="73"/>
      <c r="L2456" s="73"/>
      <c r="M2456" s="73"/>
      <c r="N2456" s="73"/>
      <c r="O2456" s="73"/>
      <c r="P2456" s="73"/>
      <c r="Q2456" s="73"/>
      <c r="R2456" s="73"/>
      <c r="S2456" s="73"/>
      <c r="T2456" s="73"/>
      <c r="U2456" s="73"/>
      <c r="V2456" s="73"/>
      <c r="W2456" s="73"/>
      <c r="GL2456" s="73"/>
      <c r="GM2456" s="73"/>
      <c r="GN2456" s="73"/>
      <c r="GO2456" s="73"/>
      <c r="GP2456" s="73"/>
      <c r="GQ2456" s="73"/>
      <c r="GR2456" s="73"/>
      <c r="GS2456" s="73"/>
      <c r="GT2456" s="73"/>
      <c r="GU2456" s="73"/>
      <c r="GV2456" s="73"/>
      <c r="GW2456" s="73"/>
      <c r="GX2456" s="73"/>
      <c r="GY2456" s="73"/>
      <c r="GZ2456" s="73"/>
      <c r="HA2456" s="73"/>
      <c r="HB2456" s="73"/>
      <c r="HC2456" s="73"/>
      <c r="HD2456" s="73"/>
      <c r="HE2456" s="73"/>
      <c r="HF2456" s="73"/>
      <c r="HG2456" s="73"/>
      <c r="HH2456" s="73"/>
      <c r="HI2456" s="73"/>
      <c r="HJ2456" s="73"/>
      <c r="HK2456" s="73"/>
      <c r="HL2456" s="73"/>
      <c r="HM2456" s="73"/>
      <c r="HN2456" s="73"/>
      <c r="HO2456" s="73"/>
      <c r="HP2456" s="73"/>
      <c r="HQ2456" s="73"/>
      <c r="HR2456" s="73"/>
      <c r="HS2456" s="73"/>
      <c r="HT2456" s="73"/>
      <c r="HU2456" s="73"/>
      <c r="HV2456" s="73"/>
      <c r="HW2456" s="73"/>
      <c r="HX2456" s="73"/>
      <c r="HY2456" s="73"/>
      <c r="HZ2456" s="73"/>
      <c r="IA2456" s="73"/>
      <c r="IB2456" s="73"/>
      <c r="IC2456" s="73"/>
      <c r="ID2456" s="73"/>
      <c r="IE2456" s="73"/>
      <c r="IF2456" s="73"/>
      <c r="IG2456" s="73"/>
      <c r="IH2456" s="73"/>
      <c r="II2456" s="73"/>
      <c r="IJ2456" s="73"/>
      <c r="IK2456" s="73"/>
      <c r="IL2456" s="73"/>
      <c r="IM2456" s="73"/>
      <c r="IN2456" s="73"/>
      <c r="IO2456" s="73"/>
      <c r="IP2456" s="73"/>
      <c r="IQ2456" s="73"/>
      <c r="IR2456" s="73"/>
      <c r="IS2456" s="73"/>
      <c r="IT2456" s="73"/>
      <c r="IU2456" s="73"/>
      <c r="IV2456" s="73"/>
      <c r="IW2456" s="73"/>
      <c r="IX2456" s="73"/>
      <c r="IY2456" s="73"/>
      <c r="IZ2456" s="73"/>
      <c r="JA2456" s="73"/>
      <c r="JB2456" s="73"/>
      <c r="JC2456" s="73"/>
    </row>
    <row r="2457" spans="2:263" s="72" customFormat="1">
      <c r="B2457" s="73"/>
      <c r="C2457" s="73"/>
      <c r="D2457" s="73"/>
      <c r="E2457" s="73"/>
      <c r="F2457" s="73"/>
      <c r="G2457" s="73"/>
      <c r="H2457" s="73"/>
      <c r="I2457" s="73"/>
      <c r="J2457" s="73"/>
      <c r="K2457" s="73"/>
      <c r="L2457" s="73"/>
      <c r="M2457" s="73"/>
      <c r="N2457" s="73"/>
      <c r="O2457" s="73"/>
      <c r="P2457" s="73"/>
      <c r="Q2457" s="73"/>
      <c r="R2457" s="73"/>
      <c r="S2457" s="73"/>
      <c r="T2457" s="73"/>
      <c r="U2457" s="73"/>
      <c r="V2457" s="73"/>
      <c r="W2457" s="73"/>
      <c r="GL2457" s="73"/>
      <c r="GM2457" s="73"/>
      <c r="GN2457" s="73"/>
      <c r="GO2457" s="73"/>
      <c r="GP2457" s="73"/>
      <c r="GQ2457" s="73"/>
      <c r="GR2457" s="73"/>
      <c r="GS2457" s="73"/>
      <c r="GT2457" s="73"/>
      <c r="GU2457" s="73"/>
      <c r="GV2457" s="73"/>
      <c r="GW2457" s="73"/>
      <c r="GX2457" s="73"/>
      <c r="GY2457" s="73"/>
      <c r="GZ2457" s="73"/>
      <c r="HA2457" s="73"/>
      <c r="HB2457" s="73"/>
      <c r="HC2457" s="73"/>
      <c r="HD2457" s="73"/>
      <c r="HE2457" s="73"/>
      <c r="HF2457" s="73"/>
      <c r="HG2457" s="73"/>
      <c r="HH2457" s="73"/>
      <c r="HI2457" s="73"/>
      <c r="HJ2457" s="73"/>
      <c r="HK2457" s="73"/>
      <c r="HL2457" s="73"/>
      <c r="HM2457" s="73"/>
      <c r="HN2457" s="73"/>
      <c r="HO2457" s="73"/>
      <c r="HP2457" s="73"/>
      <c r="HQ2457" s="73"/>
      <c r="HR2457" s="73"/>
      <c r="HS2457" s="73"/>
      <c r="HT2457" s="73"/>
      <c r="HU2457" s="73"/>
      <c r="HV2457" s="73"/>
      <c r="HW2457" s="73"/>
      <c r="HX2457" s="73"/>
      <c r="HY2457" s="73"/>
      <c r="HZ2457" s="73"/>
      <c r="IA2457" s="73"/>
      <c r="IB2457" s="73"/>
      <c r="IC2457" s="73"/>
      <c r="ID2457" s="73"/>
      <c r="IE2457" s="73"/>
      <c r="IF2457" s="73"/>
      <c r="IG2457" s="73"/>
      <c r="IH2457" s="73"/>
      <c r="II2457" s="73"/>
      <c r="IJ2457" s="73"/>
      <c r="IK2457" s="73"/>
      <c r="IL2457" s="73"/>
      <c r="IM2457" s="73"/>
      <c r="IN2457" s="73"/>
      <c r="IO2457" s="73"/>
      <c r="IP2457" s="73"/>
      <c r="IQ2457" s="73"/>
      <c r="IR2457" s="73"/>
      <c r="IS2457" s="73"/>
      <c r="IT2457" s="73"/>
      <c r="IU2457" s="73"/>
      <c r="IV2457" s="73"/>
      <c r="IW2457" s="73"/>
      <c r="IX2457" s="73"/>
      <c r="IY2457" s="73"/>
      <c r="IZ2457" s="73"/>
      <c r="JA2457" s="73"/>
      <c r="JB2457" s="73"/>
      <c r="JC2457" s="73"/>
    </row>
    <row r="2458" spans="2:263" s="72" customFormat="1">
      <c r="B2458" s="73"/>
      <c r="C2458" s="73"/>
      <c r="D2458" s="73"/>
      <c r="E2458" s="73"/>
      <c r="F2458" s="73"/>
      <c r="G2458" s="73"/>
      <c r="H2458" s="73"/>
      <c r="I2458" s="73"/>
      <c r="J2458" s="73"/>
      <c r="K2458" s="73"/>
      <c r="L2458" s="73"/>
      <c r="M2458" s="73"/>
      <c r="N2458" s="73"/>
      <c r="O2458" s="73"/>
      <c r="P2458" s="73"/>
      <c r="Q2458" s="73"/>
      <c r="R2458" s="73"/>
      <c r="S2458" s="73"/>
      <c r="T2458" s="73"/>
      <c r="U2458" s="73"/>
      <c r="V2458" s="73"/>
      <c r="W2458" s="73"/>
      <c r="GL2458" s="73"/>
      <c r="GM2458" s="73"/>
      <c r="GN2458" s="73"/>
      <c r="GO2458" s="73"/>
      <c r="GP2458" s="73"/>
      <c r="GQ2458" s="73"/>
      <c r="GR2458" s="73"/>
      <c r="GS2458" s="73"/>
      <c r="GT2458" s="73"/>
      <c r="GU2458" s="73"/>
      <c r="GV2458" s="73"/>
      <c r="GW2458" s="73"/>
      <c r="GX2458" s="73"/>
      <c r="GY2458" s="73"/>
      <c r="GZ2458" s="73"/>
      <c r="HA2458" s="73"/>
      <c r="HB2458" s="73"/>
      <c r="HC2458" s="73"/>
      <c r="HD2458" s="73"/>
      <c r="HE2458" s="73"/>
      <c r="HF2458" s="73"/>
      <c r="HG2458" s="73"/>
      <c r="HH2458" s="73"/>
      <c r="HI2458" s="73"/>
      <c r="HJ2458" s="73"/>
      <c r="HK2458" s="73"/>
      <c r="HL2458" s="73"/>
      <c r="HM2458" s="73"/>
      <c r="HN2458" s="73"/>
      <c r="HO2458" s="73"/>
      <c r="HP2458" s="73"/>
      <c r="HQ2458" s="73"/>
      <c r="HR2458" s="73"/>
      <c r="HS2458" s="73"/>
      <c r="HT2458" s="73"/>
      <c r="HU2458" s="73"/>
      <c r="HV2458" s="73"/>
      <c r="HW2458" s="73"/>
      <c r="HX2458" s="73"/>
      <c r="HY2458" s="73"/>
      <c r="HZ2458" s="73"/>
      <c r="IA2458" s="73"/>
      <c r="IB2458" s="73"/>
      <c r="IC2458" s="73"/>
      <c r="ID2458" s="73"/>
      <c r="IE2458" s="73"/>
      <c r="IF2458" s="73"/>
      <c r="IG2458" s="73"/>
      <c r="IH2458" s="73"/>
      <c r="II2458" s="73"/>
      <c r="IJ2458" s="73"/>
      <c r="IK2458" s="73"/>
      <c r="IL2458" s="73"/>
      <c r="IM2458" s="73"/>
      <c r="IN2458" s="73"/>
      <c r="IO2458" s="73"/>
      <c r="IP2458" s="73"/>
      <c r="IQ2458" s="73"/>
      <c r="IR2458" s="73"/>
      <c r="IS2458" s="73"/>
      <c r="IT2458" s="73"/>
      <c r="IU2458" s="73"/>
      <c r="IV2458" s="73"/>
      <c r="IW2458" s="73"/>
      <c r="IX2458" s="73"/>
      <c r="IY2458" s="73"/>
      <c r="IZ2458" s="73"/>
      <c r="JA2458" s="73"/>
      <c r="JB2458" s="73"/>
      <c r="JC2458" s="73"/>
    </row>
    <row r="2459" spans="2:263" s="72" customFormat="1">
      <c r="B2459" s="73"/>
      <c r="C2459" s="73"/>
      <c r="D2459" s="73"/>
      <c r="E2459" s="73"/>
      <c r="F2459" s="73"/>
      <c r="G2459" s="73"/>
      <c r="H2459" s="73"/>
      <c r="I2459" s="73"/>
      <c r="J2459" s="73"/>
      <c r="K2459" s="73"/>
      <c r="L2459" s="73"/>
      <c r="M2459" s="73"/>
      <c r="N2459" s="73"/>
      <c r="O2459" s="73"/>
      <c r="P2459" s="73"/>
      <c r="Q2459" s="73"/>
      <c r="R2459" s="73"/>
      <c r="S2459" s="73"/>
      <c r="T2459" s="73"/>
      <c r="U2459" s="73"/>
      <c r="V2459" s="73"/>
      <c r="W2459" s="73"/>
      <c r="GL2459" s="73"/>
      <c r="GM2459" s="73"/>
      <c r="GN2459" s="73"/>
      <c r="GO2459" s="73"/>
      <c r="GP2459" s="73"/>
      <c r="GQ2459" s="73"/>
      <c r="GR2459" s="73"/>
      <c r="GS2459" s="73"/>
      <c r="GT2459" s="73"/>
      <c r="GU2459" s="73"/>
      <c r="GV2459" s="73"/>
      <c r="GW2459" s="73"/>
      <c r="GX2459" s="73"/>
      <c r="GY2459" s="73"/>
      <c r="GZ2459" s="73"/>
      <c r="HA2459" s="73"/>
      <c r="HB2459" s="73"/>
      <c r="HC2459" s="73"/>
      <c r="HD2459" s="73"/>
      <c r="HE2459" s="73"/>
      <c r="HF2459" s="73"/>
      <c r="HG2459" s="73"/>
      <c r="HH2459" s="73"/>
      <c r="HI2459" s="73"/>
      <c r="HJ2459" s="73"/>
      <c r="HK2459" s="73"/>
      <c r="HL2459" s="73"/>
      <c r="HM2459" s="73"/>
      <c r="HN2459" s="73"/>
      <c r="HO2459" s="73"/>
      <c r="HP2459" s="73"/>
      <c r="HQ2459" s="73"/>
      <c r="HR2459" s="73"/>
      <c r="HS2459" s="73"/>
      <c r="HT2459" s="73"/>
      <c r="HU2459" s="73"/>
      <c r="HV2459" s="73"/>
      <c r="HW2459" s="73"/>
      <c r="HX2459" s="73"/>
      <c r="HY2459" s="73"/>
      <c r="HZ2459" s="73"/>
      <c r="IA2459" s="73"/>
      <c r="IB2459" s="73"/>
      <c r="IC2459" s="73"/>
      <c r="ID2459" s="73"/>
      <c r="IE2459" s="73"/>
      <c r="IF2459" s="73"/>
      <c r="IG2459" s="73"/>
      <c r="IH2459" s="73"/>
      <c r="II2459" s="73"/>
      <c r="IJ2459" s="73"/>
      <c r="IK2459" s="73"/>
      <c r="IL2459" s="73"/>
      <c r="IM2459" s="73"/>
      <c r="IN2459" s="73"/>
      <c r="IO2459" s="73"/>
      <c r="IP2459" s="73"/>
      <c r="IQ2459" s="73"/>
      <c r="IR2459" s="73"/>
      <c r="IS2459" s="73"/>
      <c r="IT2459" s="73"/>
      <c r="IU2459" s="73"/>
      <c r="IV2459" s="73"/>
      <c r="IW2459" s="73"/>
      <c r="IX2459" s="73"/>
      <c r="IY2459" s="73"/>
      <c r="IZ2459" s="73"/>
      <c r="JA2459" s="73"/>
      <c r="JB2459" s="73"/>
      <c r="JC2459" s="73"/>
    </row>
    <row r="2460" spans="2:263" s="72" customFormat="1">
      <c r="B2460" s="73"/>
      <c r="C2460" s="73"/>
      <c r="D2460" s="73"/>
      <c r="E2460" s="73"/>
      <c r="F2460" s="73"/>
      <c r="G2460" s="73"/>
      <c r="H2460" s="73"/>
      <c r="I2460" s="73"/>
      <c r="J2460" s="73"/>
      <c r="K2460" s="73"/>
      <c r="L2460" s="73"/>
      <c r="M2460" s="73"/>
      <c r="N2460" s="73"/>
      <c r="O2460" s="73"/>
      <c r="P2460" s="73"/>
      <c r="Q2460" s="73"/>
      <c r="R2460" s="73"/>
      <c r="S2460" s="73"/>
      <c r="T2460" s="73"/>
      <c r="U2460" s="73"/>
      <c r="V2460" s="73"/>
      <c r="W2460" s="73"/>
      <c r="GL2460" s="73"/>
      <c r="GM2460" s="73"/>
      <c r="GN2460" s="73"/>
      <c r="GO2460" s="73"/>
      <c r="GP2460" s="73"/>
      <c r="GQ2460" s="73"/>
      <c r="GR2460" s="73"/>
      <c r="GS2460" s="73"/>
      <c r="GT2460" s="73"/>
      <c r="GU2460" s="73"/>
      <c r="GV2460" s="73"/>
      <c r="GW2460" s="73"/>
      <c r="GX2460" s="73"/>
      <c r="GY2460" s="73"/>
      <c r="GZ2460" s="73"/>
      <c r="HA2460" s="73"/>
      <c r="HB2460" s="73"/>
      <c r="HC2460" s="73"/>
      <c r="HD2460" s="73"/>
      <c r="HE2460" s="73"/>
      <c r="HF2460" s="73"/>
      <c r="HG2460" s="73"/>
      <c r="HH2460" s="73"/>
      <c r="HI2460" s="73"/>
      <c r="HJ2460" s="73"/>
      <c r="HK2460" s="73"/>
      <c r="HL2460" s="73"/>
      <c r="HM2460" s="73"/>
      <c r="HN2460" s="73"/>
      <c r="HO2460" s="73"/>
      <c r="HP2460" s="73"/>
      <c r="HQ2460" s="73"/>
      <c r="HR2460" s="73"/>
      <c r="HS2460" s="73"/>
      <c r="HT2460" s="73"/>
      <c r="HU2460" s="73"/>
      <c r="HV2460" s="73"/>
      <c r="HW2460" s="73"/>
      <c r="HX2460" s="73"/>
      <c r="HY2460" s="73"/>
      <c r="HZ2460" s="73"/>
      <c r="IA2460" s="73"/>
      <c r="IB2460" s="73"/>
      <c r="IC2460" s="73"/>
      <c r="ID2460" s="73"/>
      <c r="IE2460" s="73"/>
      <c r="IF2460" s="73"/>
      <c r="IG2460" s="73"/>
      <c r="IH2460" s="73"/>
      <c r="II2460" s="73"/>
      <c r="IJ2460" s="73"/>
      <c r="IK2460" s="73"/>
      <c r="IL2460" s="73"/>
      <c r="IM2460" s="73"/>
      <c r="IN2460" s="73"/>
      <c r="IO2460" s="73"/>
      <c r="IP2460" s="73"/>
      <c r="IQ2460" s="73"/>
      <c r="IR2460" s="73"/>
      <c r="IS2460" s="73"/>
      <c r="IT2460" s="73"/>
      <c r="IU2460" s="73"/>
      <c r="IV2460" s="73"/>
      <c r="IW2460" s="73"/>
      <c r="IX2460" s="73"/>
      <c r="IY2460" s="73"/>
      <c r="IZ2460" s="73"/>
      <c r="JA2460" s="73"/>
      <c r="JB2460" s="73"/>
      <c r="JC2460" s="73"/>
    </row>
    <row r="2461" spans="2:263" s="72" customFormat="1">
      <c r="B2461" s="73"/>
      <c r="C2461" s="73"/>
      <c r="D2461" s="73"/>
      <c r="E2461" s="73"/>
      <c r="F2461" s="73"/>
      <c r="G2461" s="73"/>
      <c r="H2461" s="73"/>
      <c r="I2461" s="73"/>
      <c r="J2461" s="73"/>
      <c r="K2461" s="73"/>
      <c r="L2461" s="73"/>
      <c r="M2461" s="73"/>
      <c r="N2461" s="73"/>
      <c r="O2461" s="73"/>
      <c r="P2461" s="73"/>
      <c r="Q2461" s="73"/>
      <c r="R2461" s="73"/>
      <c r="S2461" s="73"/>
      <c r="T2461" s="73"/>
      <c r="U2461" s="73"/>
      <c r="V2461" s="73"/>
      <c r="W2461" s="73"/>
      <c r="GL2461" s="73"/>
      <c r="GM2461" s="73"/>
      <c r="GN2461" s="73"/>
      <c r="GO2461" s="73"/>
      <c r="GP2461" s="73"/>
      <c r="GQ2461" s="73"/>
      <c r="GR2461" s="73"/>
      <c r="GS2461" s="73"/>
      <c r="GT2461" s="73"/>
      <c r="GU2461" s="73"/>
      <c r="GV2461" s="73"/>
      <c r="GW2461" s="73"/>
      <c r="GX2461" s="73"/>
      <c r="GY2461" s="73"/>
      <c r="GZ2461" s="73"/>
      <c r="HA2461" s="73"/>
      <c r="HB2461" s="73"/>
      <c r="HC2461" s="73"/>
      <c r="HD2461" s="73"/>
      <c r="HE2461" s="73"/>
      <c r="HF2461" s="73"/>
      <c r="HG2461" s="73"/>
      <c r="HH2461" s="73"/>
      <c r="HI2461" s="73"/>
      <c r="HJ2461" s="73"/>
      <c r="HK2461" s="73"/>
      <c r="HL2461" s="73"/>
      <c r="HM2461" s="73"/>
      <c r="HN2461" s="73"/>
      <c r="HO2461" s="73"/>
      <c r="HP2461" s="73"/>
      <c r="HQ2461" s="73"/>
      <c r="HR2461" s="73"/>
      <c r="HS2461" s="73"/>
      <c r="HT2461" s="73"/>
      <c r="HU2461" s="73"/>
      <c r="HV2461" s="73"/>
      <c r="HW2461" s="73"/>
      <c r="HX2461" s="73"/>
      <c r="HY2461" s="73"/>
      <c r="HZ2461" s="73"/>
      <c r="IA2461" s="73"/>
      <c r="IB2461" s="73"/>
      <c r="IC2461" s="73"/>
      <c r="ID2461" s="73"/>
      <c r="IE2461" s="73"/>
      <c r="IF2461" s="73"/>
      <c r="IG2461" s="73"/>
      <c r="IH2461" s="73"/>
      <c r="II2461" s="73"/>
      <c r="IJ2461" s="73"/>
      <c r="IK2461" s="73"/>
      <c r="IL2461" s="73"/>
      <c r="IM2461" s="73"/>
      <c r="IN2461" s="73"/>
      <c r="IO2461" s="73"/>
      <c r="IP2461" s="73"/>
      <c r="IQ2461" s="73"/>
      <c r="IR2461" s="73"/>
      <c r="IS2461" s="73"/>
      <c r="IT2461" s="73"/>
      <c r="IU2461" s="73"/>
      <c r="IV2461" s="73"/>
      <c r="IW2461" s="73"/>
      <c r="IX2461" s="73"/>
      <c r="IY2461" s="73"/>
      <c r="IZ2461" s="73"/>
      <c r="JA2461" s="73"/>
      <c r="JB2461" s="73"/>
      <c r="JC2461" s="73"/>
    </row>
    <row r="2462" spans="2:263" s="72" customFormat="1">
      <c r="B2462" s="73"/>
      <c r="C2462" s="73"/>
      <c r="D2462" s="73"/>
      <c r="E2462" s="73"/>
      <c r="F2462" s="73"/>
      <c r="G2462" s="73"/>
      <c r="H2462" s="73"/>
      <c r="I2462" s="73"/>
      <c r="J2462" s="73"/>
      <c r="K2462" s="73"/>
      <c r="L2462" s="73"/>
      <c r="M2462" s="73"/>
      <c r="N2462" s="73"/>
      <c r="O2462" s="73"/>
      <c r="P2462" s="73"/>
      <c r="Q2462" s="73"/>
      <c r="R2462" s="73"/>
      <c r="S2462" s="73"/>
      <c r="T2462" s="73"/>
      <c r="U2462" s="73"/>
      <c r="V2462" s="73"/>
      <c r="W2462" s="73"/>
      <c r="GL2462" s="73"/>
      <c r="GM2462" s="73"/>
      <c r="GN2462" s="73"/>
      <c r="GO2462" s="73"/>
      <c r="GP2462" s="73"/>
      <c r="GQ2462" s="73"/>
      <c r="GR2462" s="73"/>
      <c r="GS2462" s="73"/>
      <c r="GT2462" s="73"/>
      <c r="GU2462" s="73"/>
      <c r="GV2462" s="73"/>
      <c r="GW2462" s="73"/>
      <c r="GX2462" s="73"/>
      <c r="GY2462" s="73"/>
      <c r="GZ2462" s="73"/>
      <c r="HA2462" s="73"/>
      <c r="HB2462" s="73"/>
      <c r="HC2462" s="73"/>
      <c r="HD2462" s="73"/>
      <c r="HE2462" s="73"/>
      <c r="HF2462" s="73"/>
      <c r="HG2462" s="73"/>
      <c r="HH2462" s="73"/>
      <c r="HI2462" s="73"/>
      <c r="HJ2462" s="73"/>
      <c r="HK2462" s="73"/>
      <c r="HL2462" s="73"/>
      <c r="HM2462" s="73"/>
      <c r="HN2462" s="73"/>
      <c r="HO2462" s="73"/>
      <c r="HP2462" s="73"/>
      <c r="HQ2462" s="73"/>
      <c r="HR2462" s="73"/>
      <c r="HS2462" s="73"/>
      <c r="HT2462" s="73"/>
      <c r="HU2462" s="73"/>
      <c r="HV2462" s="73"/>
      <c r="HW2462" s="73"/>
      <c r="HX2462" s="73"/>
      <c r="HY2462" s="73"/>
      <c r="HZ2462" s="73"/>
      <c r="IA2462" s="73"/>
      <c r="IB2462" s="73"/>
      <c r="IC2462" s="73"/>
      <c r="ID2462" s="73"/>
      <c r="IE2462" s="73"/>
      <c r="IF2462" s="73"/>
      <c r="IG2462" s="73"/>
      <c r="IH2462" s="73"/>
      <c r="II2462" s="73"/>
      <c r="IJ2462" s="73"/>
      <c r="IK2462" s="73"/>
      <c r="IL2462" s="73"/>
      <c r="IM2462" s="73"/>
      <c r="IN2462" s="73"/>
      <c r="IO2462" s="73"/>
      <c r="IP2462" s="73"/>
      <c r="IQ2462" s="73"/>
      <c r="IR2462" s="73"/>
      <c r="IS2462" s="73"/>
      <c r="IT2462" s="73"/>
      <c r="IU2462" s="73"/>
      <c r="IV2462" s="73"/>
      <c r="IW2462" s="73"/>
      <c r="IX2462" s="73"/>
      <c r="IY2462" s="73"/>
      <c r="IZ2462" s="73"/>
      <c r="JA2462" s="73"/>
      <c r="JB2462" s="73"/>
      <c r="JC2462" s="73"/>
    </row>
    <row r="2463" spans="2:263" s="72" customFormat="1">
      <c r="B2463" s="73"/>
      <c r="C2463" s="73"/>
      <c r="D2463" s="73"/>
      <c r="E2463" s="73"/>
      <c r="F2463" s="73"/>
      <c r="G2463" s="73"/>
      <c r="H2463" s="73"/>
      <c r="I2463" s="73"/>
      <c r="J2463" s="73"/>
      <c r="K2463" s="73"/>
      <c r="L2463" s="73"/>
      <c r="M2463" s="73"/>
      <c r="N2463" s="73"/>
      <c r="O2463" s="73"/>
      <c r="P2463" s="73"/>
      <c r="Q2463" s="73"/>
      <c r="R2463" s="73"/>
      <c r="S2463" s="73"/>
      <c r="T2463" s="73"/>
      <c r="U2463" s="73"/>
      <c r="V2463" s="73"/>
      <c r="W2463" s="73"/>
      <c r="GL2463" s="73"/>
      <c r="GM2463" s="73"/>
      <c r="GN2463" s="73"/>
      <c r="GO2463" s="73"/>
      <c r="GP2463" s="73"/>
      <c r="GQ2463" s="73"/>
      <c r="GR2463" s="73"/>
      <c r="GS2463" s="73"/>
      <c r="GT2463" s="73"/>
      <c r="GU2463" s="73"/>
      <c r="GV2463" s="73"/>
      <c r="GW2463" s="73"/>
      <c r="GX2463" s="73"/>
      <c r="GY2463" s="73"/>
      <c r="GZ2463" s="73"/>
      <c r="HA2463" s="73"/>
      <c r="HB2463" s="73"/>
      <c r="HC2463" s="73"/>
      <c r="HD2463" s="73"/>
      <c r="HE2463" s="73"/>
      <c r="HF2463" s="73"/>
      <c r="HG2463" s="73"/>
      <c r="HH2463" s="73"/>
      <c r="HI2463" s="73"/>
      <c r="HJ2463" s="73"/>
      <c r="HK2463" s="73"/>
      <c r="HL2463" s="73"/>
      <c r="HM2463" s="73"/>
      <c r="HN2463" s="73"/>
      <c r="HO2463" s="73"/>
      <c r="HP2463" s="73"/>
      <c r="HQ2463" s="73"/>
      <c r="HR2463" s="73"/>
      <c r="HS2463" s="73"/>
      <c r="HT2463" s="73"/>
      <c r="HU2463" s="73"/>
      <c r="HV2463" s="73"/>
      <c r="HW2463" s="73"/>
      <c r="HX2463" s="73"/>
      <c r="HY2463" s="73"/>
      <c r="HZ2463" s="73"/>
      <c r="IA2463" s="73"/>
      <c r="IB2463" s="73"/>
      <c r="IC2463" s="73"/>
      <c r="ID2463" s="73"/>
      <c r="IE2463" s="73"/>
      <c r="IF2463" s="73"/>
      <c r="IG2463" s="73"/>
      <c r="IH2463" s="73"/>
      <c r="II2463" s="73"/>
      <c r="IJ2463" s="73"/>
      <c r="IK2463" s="73"/>
      <c r="IL2463" s="73"/>
      <c r="IM2463" s="73"/>
      <c r="IN2463" s="73"/>
      <c r="IO2463" s="73"/>
      <c r="IP2463" s="73"/>
      <c r="IQ2463" s="73"/>
      <c r="IR2463" s="73"/>
      <c r="IS2463" s="73"/>
      <c r="IT2463" s="73"/>
      <c r="IU2463" s="73"/>
      <c r="IV2463" s="73"/>
      <c r="IW2463" s="73"/>
      <c r="IX2463" s="73"/>
      <c r="IY2463" s="73"/>
      <c r="IZ2463" s="73"/>
      <c r="JA2463" s="73"/>
      <c r="JB2463" s="73"/>
      <c r="JC2463" s="73"/>
    </row>
    <row r="2464" spans="2:263" s="72" customFormat="1">
      <c r="B2464" s="73"/>
      <c r="C2464" s="73"/>
      <c r="D2464" s="73"/>
      <c r="E2464" s="73"/>
      <c r="F2464" s="73"/>
      <c r="G2464" s="73"/>
      <c r="H2464" s="73"/>
      <c r="I2464" s="73"/>
      <c r="J2464" s="73"/>
      <c r="K2464" s="73"/>
      <c r="L2464" s="73"/>
      <c r="M2464" s="73"/>
      <c r="N2464" s="73"/>
      <c r="O2464" s="73"/>
      <c r="P2464" s="73"/>
      <c r="Q2464" s="73"/>
      <c r="R2464" s="73"/>
      <c r="S2464" s="73"/>
      <c r="T2464" s="73"/>
      <c r="U2464" s="73"/>
      <c r="V2464" s="73"/>
      <c r="W2464" s="73"/>
      <c r="GL2464" s="73"/>
      <c r="GM2464" s="73"/>
      <c r="GN2464" s="73"/>
      <c r="GO2464" s="73"/>
      <c r="GP2464" s="73"/>
      <c r="GQ2464" s="73"/>
      <c r="GR2464" s="73"/>
      <c r="GS2464" s="73"/>
      <c r="GT2464" s="73"/>
      <c r="GU2464" s="73"/>
      <c r="GV2464" s="73"/>
      <c r="GW2464" s="73"/>
      <c r="GX2464" s="73"/>
      <c r="GY2464" s="73"/>
      <c r="GZ2464" s="73"/>
      <c r="HA2464" s="73"/>
      <c r="HB2464" s="73"/>
      <c r="HC2464" s="73"/>
      <c r="HD2464" s="73"/>
      <c r="HE2464" s="73"/>
      <c r="HF2464" s="73"/>
      <c r="HG2464" s="73"/>
      <c r="HH2464" s="73"/>
      <c r="HI2464" s="73"/>
      <c r="HJ2464" s="73"/>
      <c r="HK2464" s="73"/>
      <c r="HL2464" s="73"/>
      <c r="HM2464" s="73"/>
      <c r="HN2464" s="73"/>
      <c r="HO2464" s="73"/>
      <c r="HP2464" s="73"/>
      <c r="HQ2464" s="73"/>
      <c r="HR2464" s="73"/>
      <c r="HS2464" s="73"/>
      <c r="HT2464" s="73"/>
      <c r="HU2464" s="73"/>
      <c r="HV2464" s="73"/>
      <c r="HW2464" s="73"/>
      <c r="HX2464" s="73"/>
      <c r="HY2464" s="73"/>
      <c r="HZ2464" s="73"/>
      <c r="IA2464" s="73"/>
      <c r="IB2464" s="73"/>
      <c r="IC2464" s="73"/>
      <c r="ID2464" s="73"/>
      <c r="IE2464" s="73"/>
      <c r="IF2464" s="73"/>
      <c r="IG2464" s="73"/>
      <c r="IH2464" s="73"/>
      <c r="II2464" s="73"/>
      <c r="IJ2464" s="73"/>
      <c r="IK2464" s="73"/>
      <c r="IL2464" s="73"/>
      <c r="IM2464" s="73"/>
      <c r="IN2464" s="73"/>
      <c r="IO2464" s="73"/>
      <c r="IP2464" s="73"/>
      <c r="IQ2464" s="73"/>
      <c r="IR2464" s="73"/>
      <c r="IS2464" s="73"/>
      <c r="IT2464" s="73"/>
      <c r="IU2464" s="73"/>
      <c r="IV2464" s="73"/>
      <c r="IW2464" s="73"/>
      <c r="IX2464" s="73"/>
      <c r="IY2464" s="73"/>
      <c r="IZ2464" s="73"/>
      <c r="JA2464" s="73"/>
      <c r="JB2464" s="73"/>
      <c r="JC2464" s="73"/>
    </row>
    <row r="2465" spans="2:263" s="72" customFormat="1">
      <c r="B2465" s="73"/>
      <c r="C2465" s="73"/>
      <c r="D2465" s="73"/>
      <c r="E2465" s="73"/>
      <c r="F2465" s="73"/>
      <c r="G2465" s="73"/>
      <c r="H2465" s="73"/>
      <c r="I2465" s="73"/>
      <c r="J2465" s="73"/>
      <c r="K2465" s="73"/>
      <c r="L2465" s="73"/>
      <c r="M2465" s="73"/>
      <c r="N2465" s="73"/>
      <c r="O2465" s="73"/>
      <c r="P2465" s="73"/>
      <c r="Q2465" s="73"/>
      <c r="R2465" s="73"/>
      <c r="S2465" s="73"/>
      <c r="T2465" s="73"/>
      <c r="U2465" s="73"/>
      <c r="V2465" s="73"/>
      <c r="W2465" s="73"/>
      <c r="GL2465" s="73"/>
      <c r="GM2465" s="73"/>
      <c r="GN2465" s="73"/>
      <c r="GO2465" s="73"/>
      <c r="GP2465" s="73"/>
      <c r="GQ2465" s="73"/>
      <c r="GR2465" s="73"/>
      <c r="GS2465" s="73"/>
      <c r="GT2465" s="73"/>
      <c r="GU2465" s="73"/>
      <c r="GV2465" s="73"/>
      <c r="GW2465" s="73"/>
      <c r="GX2465" s="73"/>
      <c r="GY2465" s="73"/>
      <c r="GZ2465" s="73"/>
      <c r="HA2465" s="73"/>
      <c r="HB2465" s="73"/>
      <c r="HC2465" s="73"/>
      <c r="HD2465" s="73"/>
      <c r="HE2465" s="73"/>
      <c r="HF2465" s="73"/>
      <c r="HG2465" s="73"/>
      <c r="HH2465" s="73"/>
      <c r="HI2465" s="73"/>
      <c r="HJ2465" s="73"/>
      <c r="HK2465" s="73"/>
      <c r="HL2465" s="73"/>
      <c r="HM2465" s="73"/>
      <c r="HN2465" s="73"/>
      <c r="HO2465" s="73"/>
      <c r="HP2465" s="73"/>
      <c r="HQ2465" s="73"/>
      <c r="HR2465" s="73"/>
      <c r="HS2465" s="73"/>
      <c r="HT2465" s="73"/>
      <c r="HU2465" s="73"/>
      <c r="HV2465" s="73"/>
      <c r="HW2465" s="73"/>
      <c r="HX2465" s="73"/>
      <c r="HY2465" s="73"/>
      <c r="HZ2465" s="73"/>
      <c r="IA2465" s="73"/>
      <c r="IB2465" s="73"/>
      <c r="IC2465" s="73"/>
      <c r="ID2465" s="73"/>
      <c r="IE2465" s="73"/>
      <c r="IF2465" s="73"/>
      <c r="IG2465" s="73"/>
      <c r="IH2465" s="73"/>
      <c r="II2465" s="73"/>
      <c r="IJ2465" s="73"/>
      <c r="IK2465" s="73"/>
      <c r="IL2465" s="73"/>
      <c r="IM2465" s="73"/>
      <c r="IN2465" s="73"/>
      <c r="IO2465" s="73"/>
      <c r="IP2465" s="73"/>
      <c r="IQ2465" s="73"/>
      <c r="IR2465" s="73"/>
      <c r="IS2465" s="73"/>
      <c r="IT2465" s="73"/>
      <c r="IU2465" s="73"/>
      <c r="IV2465" s="73"/>
      <c r="IW2465" s="73"/>
      <c r="IX2465" s="73"/>
      <c r="IY2465" s="73"/>
      <c r="IZ2465" s="73"/>
      <c r="JA2465" s="73"/>
      <c r="JB2465" s="73"/>
      <c r="JC2465" s="73"/>
    </row>
    <row r="2466" spans="2:263" s="72" customFormat="1">
      <c r="B2466" s="73"/>
      <c r="C2466" s="73"/>
      <c r="D2466" s="73"/>
      <c r="E2466" s="73"/>
      <c r="F2466" s="73"/>
      <c r="G2466" s="73"/>
      <c r="H2466" s="73"/>
      <c r="I2466" s="73"/>
      <c r="J2466" s="73"/>
      <c r="K2466" s="73"/>
      <c r="L2466" s="73"/>
      <c r="M2466" s="73"/>
      <c r="N2466" s="73"/>
      <c r="O2466" s="73"/>
      <c r="P2466" s="73"/>
      <c r="Q2466" s="73"/>
      <c r="R2466" s="73"/>
      <c r="S2466" s="73"/>
      <c r="T2466" s="73"/>
      <c r="U2466" s="73"/>
      <c r="V2466" s="73"/>
      <c r="W2466" s="73"/>
      <c r="GL2466" s="73"/>
      <c r="GM2466" s="73"/>
      <c r="GN2466" s="73"/>
      <c r="GO2466" s="73"/>
      <c r="GP2466" s="73"/>
      <c r="GQ2466" s="73"/>
      <c r="GR2466" s="73"/>
      <c r="GS2466" s="73"/>
      <c r="GT2466" s="73"/>
      <c r="GU2466" s="73"/>
      <c r="GV2466" s="73"/>
      <c r="GW2466" s="73"/>
      <c r="GX2466" s="73"/>
      <c r="GY2466" s="73"/>
      <c r="GZ2466" s="73"/>
      <c r="HA2466" s="73"/>
      <c r="HB2466" s="73"/>
      <c r="HC2466" s="73"/>
      <c r="HD2466" s="73"/>
      <c r="HE2466" s="73"/>
      <c r="HF2466" s="73"/>
      <c r="HG2466" s="73"/>
      <c r="HH2466" s="73"/>
      <c r="HI2466" s="73"/>
      <c r="HJ2466" s="73"/>
      <c r="HK2466" s="73"/>
      <c r="HL2466" s="73"/>
      <c r="HM2466" s="73"/>
      <c r="HN2466" s="73"/>
      <c r="HO2466" s="73"/>
      <c r="HP2466" s="73"/>
      <c r="HQ2466" s="73"/>
      <c r="HR2466" s="73"/>
      <c r="HS2466" s="73"/>
      <c r="HT2466" s="73"/>
      <c r="HU2466" s="73"/>
      <c r="HV2466" s="73"/>
      <c r="HW2466" s="73"/>
      <c r="HX2466" s="73"/>
      <c r="HY2466" s="73"/>
      <c r="HZ2466" s="73"/>
      <c r="IA2466" s="73"/>
      <c r="IB2466" s="73"/>
      <c r="IC2466" s="73"/>
      <c r="ID2466" s="73"/>
      <c r="IE2466" s="73"/>
      <c r="IF2466" s="73"/>
      <c r="IG2466" s="73"/>
      <c r="IH2466" s="73"/>
      <c r="II2466" s="73"/>
      <c r="IJ2466" s="73"/>
      <c r="IK2466" s="73"/>
      <c r="IL2466" s="73"/>
      <c r="IM2466" s="73"/>
      <c r="IN2466" s="73"/>
      <c r="IO2466" s="73"/>
      <c r="IP2466" s="73"/>
      <c r="IQ2466" s="73"/>
      <c r="IR2466" s="73"/>
      <c r="IS2466" s="73"/>
      <c r="IT2466" s="73"/>
      <c r="IU2466" s="73"/>
      <c r="IV2466" s="73"/>
      <c r="IW2466" s="73"/>
      <c r="IX2466" s="73"/>
      <c r="IY2466" s="73"/>
      <c r="IZ2466" s="73"/>
      <c r="JA2466" s="73"/>
      <c r="JB2466" s="73"/>
      <c r="JC2466" s="73"/>
    </row>
    <row r="2467" spans="2:263" s="72" customFormat="1">
      <c r="B2467" s="73"/>
      <c r="C2467" s="73"/>
      <c r="D2467" s="73"/>
      <c r="E2467" s="73"/>
      <c r="F2467" s="73"/>
      <c r="G2467" s="73"/>
      <c r="H2467" s="73"/>
      <c r="I2467" s="73"/>
      <c r="J2467" s="73"/>
      <c r="K2467" s="73"/>
      <c r="L2467" s="73"/>
      <c r="M2467" s="73"/>
      <c r="N2467" s="73"/>
      <c r="O2467" s="73"/>
      <c r="P2467" s="73"/>
      <c r="Q2467" s="73"/>
      <c r="R2467" s="73"/>
      <c r="S2467" s="73"/>
      <c r="T2467" s="73"/>
      <c r="U2467" s="73"/>
      <c r="V2467" s="73"/>
      <c r="W2467" s="73"/>
      <c r="GL2467" s="73"/>
      <c r="GM2467" s="73"/>
      <c r="GN2467" s="73"/>
      <c r="GO2467" s="73"/>
      <c r="GP2467" s="73"/>
      <c r="GQ2467" s="73"/>
      <c r="GR2467" s="73"/>
      <c r="GS2467" s="73"/>
      <c r="GT2467" s="73"/>
      <c r="GU2467" s="73"/>
      <c r="GV2467" s="73"/>
      <c r="GW2467" s="73"/>
      <c r="GX2467" s="73"/>
      <c r="GY2467" s="73"/>
      <c r="GZ2467" s="73"/>
      <c r="HA2467" s="73"/>
      <c r="HB2467" s="73"/>
      <c r="HC2467" s="73"/>
      <c r="HD2467" s="73"/>
      <c r="HE2467" s="73"/>
      <c r="HF2467" s="73"/>
      <c r="HG2467" s="73"/>
      <c r="HH2467" s="73"/>
      <c r="HI2467" s="73"/>
      <c r="HJ2467" s="73"/>
      <c r="HK2467" s="73"/>
      <c r="HL2467" s="73"/>
      <c r="HM2467" s="73"/>
      <c r="HN2467" s="73"/>
      <c r="HO2467" s="73"/>
      <c r="HP2467" s="73"/>
      <c r="HQ2467" s="73"/>
      <c r="HR2467" s="73"/>
      <c r="HS2467" s="73"/>
      <c r="HT2467" s="73"/>
      <c r="HU2467" s="73"/>
      <c r="HV2467" s="73"/>
      <c r="HW2467" s="73"/>
      <c r="HX2467" s="73"/>
      <c r="HY2467" s="73"/>
      <c r="HZ2467" s="73"/>
      <c r="IA2467" s="73"/>
      <c r="IB2467" s="73"/>
      <c r="IC2467" s="73"/>
      <c r="ID2467" s="73"/>
      <c r="IE2467" s="73"/>
      <c r="IF2467" s="73"/>
      <c r="IG2467" s="73"/>
      <c r="IH2467" s="73"/>
      <c r="II2467" s="73"/>
      <c r="IJ2467" s="73"/>
      <c r="IK2467" s="73"/>
      <c r="IL2467" s="73"/>
      <c r="IM2467" s="73"/>
      <c r="IN2467" s="73"/>
      <c r="IO2467" s="73"/>
      <c r="IP2467" s="73"/>
      <c r="IQ2467" s="73"/>
      <c r="IR2467" s="73"/>
      <c r="IS2467" s="73"/>
      <c r="IT2467" s="73"/>
      <c r="IU2467" s="73"/>
      <c r="IV2467" s="73"/>
      <c r="IW2467" s="73"/>
      <c r="IX2467" s="73"/>
      <c r="IY2467" s="73"/>
      <c r="IZ2467" s="73"/>
      <c r="JA2467" s="73"/>
      <c r="JB2467" s="73"/>
      <c r="JC2467" s="73"/>
    </row>
    <row r="2468" spans="2:263" s="72" customFormat="1">
      <c r="B2468" s="73"/>
      <c r="C2468" s="73"/>
      <c r="D2468" s="73"/>
      <c r="E2468" s="73"/>
      <c r="F2468" s="73"/>
      <c r="G2468" s="73"/>
      <c r="H2468" s="73"/>
      <c r="I2468" s="73"/>
      <c r="J2468" s="73"/>
      <c r="K2468" s="73"/>
      <c r="L2468" s="73"/>
      <c r="M2468" s="73"/>
      <c r="N2468" s="73"/>
      <c r="O2468" s="73"/>
      <c r="P2468" s="73"/>
      <c r="Q2468" s="73"/>
      <c r="R2468" s="73"/>
      <c r="S2468" s="73"/>
      <c r="T2468" s="73"/>
      <c r="U2468" s="73"/>
      <c r="V2468" s="73"/>
      <c r="W2468" s="73"/>
      <c r="GL2468" s="73"/>
      <c r="GM2468" s="73"/>
      <c r="GN2468" s="73"/>
      <c r="GO2468" s="73"/>
      <c r="GP2468" s="73"/>
      <c r="GQ2468" s="73"/>
      <c r="GR2468" s="73"/>
      <c r="GS2468" s="73"/>
      <c r="GT2468" s="73"/>
      <c r="GU2468" s="73"/>
      <c r="GV2468" s="73"/>
      <c r="GW2468" s="73"/>
      <c r="GX2468" s="73"/>
      <c r="GY2468" s="73"/>
      <c r="GZ2468" s="73"/>
      <c r="HA2468" s="73"/>
      <c r="HB2468" s="73"/>
      <c r="HC2468" s="73"/>
      <c r="HD2468" s="73"/>
      <c r="HE2468" s="73"/>
      <c r="HF2468" s="73"/>
      <c r="HG2468" s="73"/>
      <c r="HH2468" s="73"/>
      <c r="HI2468" s="73"/>
      <c r="HJ2468" s="73"/>
      <c r="HK2468" s="73"/>
      <c r="HL2468" s="73"/>
      <c r="HM2468" s="73"/>
      <c r="HN2468" s="73"/>
      <c r="HO2468" s="73"/>
      <c r="HP2468" s="73"/>
      <c r="HQ2468" s="73"/>
      <c r="HR2468" s="73"/>
      <c r="HS2468" s="73"/>
      <c r="HT2468" s="73"/>
      <c r="HU2468" s="73"/>
      <c r="HV2468" s="73"/>
      <c r="HW2468" s="73"/>
      <c r="HX2468" s="73"/>
      <c r="HY2468" s="73"/>
      <c r="HZ2468" s="73"/>
      <c r="IA2468" s="73"/>
      <c r="IB2468" s="73"/>
      <c r="IC2468" s="73"/>
      <c r="ID2468" s="73"/>
      <c r="IE2468" s="73"/>
      <c r="IF2468" s="73"/>
      <c r="IG2468" s="73"/>
      <c r="IH2468" s="73"/>
      <c r="II2468" s="73"/>
      <c r="IJ2468" s="73"/>
      <c r="IK2468" s="73"/>
      <c r="IL2468" s="73"/>
      <c r="IM2468" s="73"/>
      <c r="IN2468" s="73"/>
      <c r="IO2468" s="73"/>
      <c r="IP2468" s="73"/>
      <c r="IQ2468" s="73"/>
      <c r="IR2468" s="73"/>
      <c r="IS2468" s="73"/>
      <c r="IT2468" s="73"/>
      <c r="IU2468" s="73"/>
      <c r="IV2468" s="73"/>
      <c r="IW2468" s="73"/>
      <c r="IX2468" s="73"/>
      <c r="IY2468" s="73"/>
      <c r="IZ2468" s="73"/>
      <c r="JA2468" s="73"/>
      <c r="JB2468" s="73"/>
      <c r="JC2468" s="73"/>
    </row>
    <row r="2469" spans="2:263" s="72" customFormat="1">
      <c r="B2469" s="73"/>
      <c r="C2469" s="73"/>
      <c r="D2469" s="73"/>
      <c r="E2469" s="73"/>
      <c r="F2469" s="73"/>
      <c r="G2469" s="73"/>
      <c r="H2469" s="73"/>
      <c r="I2469" s="73"/>
      <c r="J2469" s="73"/>
      <c r="K2469" s="73"/>
      <c r="L2469" s="73"/>
      <c r="M2469" s="73"/>
      <c r="N2469" s="73"/>
      <c r="O2469" s="73"/>
      <c r="P2469" s="73"/>
      <c r="Q2469" s="73"/>
      <c r="R2469" s="73"/>
      <c r="S2469" s="73"/>
      <c r="T2469" s="73"/>
      <c r="U2469" s="73"/>
      <c r="V2469" s="73"/>
      <c r="W2469" s="73"/>
      <c r="GL2469" s="73"/>
      <c r="GM2469" s="73"/>
      <c r="GN2469" s="73"/>
      <c r="GO2469" s="73"/>
      <c r="GP2469" s="73"/>
      <c r="GQ2469" s="73"/>
      <c r="GR2469" s="73"/>
      <c r="GS2469" s="73"/>
      <c r="GT2469" s="73"/>
      <c r="GU2469" s="73"/>
      <c r="GV2469" s="73"/>
      <c r="GW2469" s="73"/>
      <c r="GX2469" s="73"/>
      <c r="GY2469" s="73"/>
      <c r="GZ2469" s="73"/>
      <c r="HA2469" s="73"/>
      <c r="HB2469" s="73"/>
      <c r="HC2469" s="73"/>
      <c r="HD2469" s="73"/>
      <c r="HE2469" s="73"/>
      <c r="HF2469" s="73"/>
      <c r="HG2469" s="73"/>
      <c r="HH2469" s="73"/>
      <c r="HI2469" s="73"/>
      <c r="HJ2469" s="73"/>
      <c r="HK2469" s="73"/>
      <c r="HL2469" s="73"/>
      <c r="HM2469" s="73"/>
      <c r="HN2469" s="73"/>
      <c r="HO2469" s="73"/>
      <c r="HP2469" s="73"/>
      <c r="HQ2469" s="73"/>
      <c r="HR2469" s="73"/>
      <c r="HS2469" s="73"/>
      <c r="HT2469" s="73"/>
      <c r="HU2469" s="73"/>
      <c r="HV2469" s="73"/>
      <c r="HW2469" s="73"/>
      <c r="HX2469" s="73"/>
      <c r="HY2469" s="73"/>
      <c r="HZ2469" s="73"/>
      <c r="IA2469" s="73"/>
      <c r="IB2469" s="73"/>
      <c r="IC2469" s="73"/>
      <c r="ID2469" s="73"/>
      <c r="IE2469" s="73"/>
      <c r="IF2469" s="73"/>
      <c r="IG2469" s="73"/>
      <c r="IH2469" s="73"/>
      <c r="II2469" s="73"/>
      <c r="IJ2469" s="73"/>
      <c r="IK2469" s="73"/>
      <c r="IL2469" s="73"/>
      <c r="IM2469" s="73"/>
      <c r="IN2469" s="73"/>
      <c r="IO2469" s="73"/>
      <c r="IP2469" s="73"/>
      <c r="IQ2469" s="73"/>
      <c r="IR2469" s="73"/>
      <c r="IS2469" s="73"/>
      <c r="IT2469" s="73"/>
      <c r="IU2469" s="73"/>
      <c r="IV2469" s="73"/>
      <c r="IW2469" s="73"/>
      <c r="IX2469" s="73"/>
      <c r="IY2469" s="73"/>
      <c r="IZ2469" s="73"/>
      <c r="JA2469" s="73"/>
      <c r="JB2469" s="73"/>
      <c r="JC2469" s="73"/>
    </row>
    <row r="2470" spans="2:263" s="72" customFormat="1">
      <c r="B2470" s="73"/>
      <c r="C2470" s="73"/>
      <c r="D2470" s="73"/>
      <c r="E2470" s="73"/>
      <c r="F2470" s="73"/>
      <c r="G2470" s="73"/>
      <c r="H2470" s="73"/>
      <c r="I2470" s="73"/>
      <c r="J2470" s="73"/>
      <c r="K2470" s="73"/>
      <c r="L2470" s="73"/>
      <c r="M2470" s="73"/>
      <c r="N2470" s="73"/>
      <c r="O2470" s="73"/>
      <c r="P2470" s="73"/>
      <c r="Q2470" s="73"/>
      <c r="R2470" s="73"/>
      <c r="S2470" s="73"/>
      <c r="T2470" s="73"/>
      <c r="U2470" s="73"/>
      <c r="V2470" s="73"/>
      <c r="W2470" s="73"/>
      <c r="GL2470" s="73"/>
      <c r="GM2470" s="73"/>
      <c r="GN2470" s="73"/>
      <c r="GO2470" s="73"/>
      <c r="GP2470" s="73"/>
      <c r="GQ2470" s="73"/>
      <c r="GR2470" s="73"/>
      <c r="GS2470" s="73"/>
      <c r="GT2470" s="73"/>
      <c r="GU2470" s="73"/>
      <c r="GV2470" s="73"/>
      <c r="GW2470" s="73"/>
      <c r="GX2470" s="73"/>
      <c r="GY2470" s="73"/>
      <c r="GZ2470" s="73"/>
      <c r="HA2470" s="73"/>
      <c r="HB2470" s="73"/>
      <c r="HC2470" s="73"/>
      <c r="HD2470" s="73"/>
      <c r="HE2470" s="73"/>
      <c r="HF2470" s="73"/>
      <c r="HG2470" s="73"/>
      <c r="HH2470" s="73"/>
      <c r="HI2470" s="73"/>
      <c r="HJ2470" s="73"/>
      <c r="HK2470" s="73"/>
      <c r="HL2470" s="73"/>
      <c r="HM2470" s="73"/>
      <c r="HN2470" s="73"/>
      <c r="HO2470" s="73"/>
      <c r="HP2470" s="73"/>
      <c r="HQ2470" s="73"/>
      <c r="HR2470" s="73"/>
      <c r="HS2470" s="73"/>
      <c r="HT2470" s="73"/>
      <c r="HU2470" s="73"/>
      <c r="HV2470" s="73"/>
      <c r="HW2470" s="73"/>
      <c r="HX2470" s="73"/>
      <c r="HY2470" s="73"/>
      <c r="HZ2470" s="73"/>
      <c r="IA2470" s="73"/>
      <c r="IB2470" s="73"/>
      <c r="IC2470" s="73"/>
      <c r="ID2470" s="73"/>
      <c r="IE2470" s="73"/>
      <c r="IF2470" s="73"/>
      <c r="IG2470" s="73"/>
      <c r="IH2470" s="73"/>
      <c r="II2470" s="73"/>
      <c r="IJ2470" s="73"/>
      <c r="IK2470" s="73"/>
      <c r="IL2470" s="73"/>
      <c r="IM2470" s="73"/>
      <c r="IN2470" s="73"/>
      <c r="IO2470" s="73"/>
      <c r="IP2470" s="73"/>
      <c r="IQ2470" s="73"/>
      <c r="IR2470" s="73"/>
      <c r="IS2470" s="73"/>
      <c r="IT2470" s="73"/>
      <c r="IU2470" s="73"/>
      <c r="IV2470" s="73"/>
      <c r="IW2470" s="73"/>
      <c r="IX2470" s="73"/>
      <c r="IY2470" s="73"/>
      <c r="IZ2470" s="73"/>
      <c r="JA2470" s="73"/>
      <c r="JB2470" s="73"/>
      <c r="JC2470" s="73"/>
    </row>
    <row r="2471" spans="2:263" s="72" customFormat="1">
      <c r="B2471" s="73"/>
      <c r="C2471" s="73"/>
      <c r="D2471" s="73"/>
      <c r="E2471" s="73"/>
      <c r="F2471" s="73"/>
      <c r="G2471" s="73"/>
      <c r="H2471" s="73"/>
      <c r="I2471" s="73"/>
      <c r="J2471" s="73"/>
      <c r="K2471" s="73"/>
      <c r="L2471" s="73"/>
      <c r="M2471" s="73"/>
      <c r="N2471" s="73"/>
      <c r="O2471" s="73"/>
      <c r="P2471" s="73"/>
      <c r="Q2471" s="73"/>
      <c r="R2471" s="73"/>
      <c r="S2471" s="73"/>
      <c r="T2471" s="73"/>
      <c r="U2471" s="73"/>
      <c r="V2471" s="73"/>
      <c r="W2471" s="73"/>
      <c r="GL2471" s="73"/>
      <c r="GM2471" s="73"/>
      <c r="GN2471" s="73"/>
      <c r="GO2471" s="73"/>
      <c r="GP2471" s="73"/>
      <c r="GQ2471" s="73"/>
      <c r="GR2471" s="73"/>
      <c r="GS2471" s="73"/>
      <c r="GT2471" s="73"/>
      <c r="GU2471" s="73"/>
      <c r="GV2471" s="73"/>
      <c r="GW2471" s="73"/>
      <c r="GX2471" s="73"/>
      <c r="GY2471" s="73"/>
      <c r="GZ2471" s="73"/>
      <c r="HA2471" s="73"/>
      <c r="HB2471" s="73"/>
      <c r="HC2471" s="73"/>
      <c r="HD2471" s="73"/>
      <c r="HE2471" s="73"/>
      <c r="HF2471" s="73"/>
      <c r="HG2471" s="73"/>
      <c r="HH2471" s="73"/>
      <c r="HI2471" s="73"/>
      <c r="HJ2471" s="73"/>
      <c r="HK2471" s="73"/>
      <c r="HL2471" s="73"/>
      <c r="HM2471" s="73"/>
      <c r="HN2471" s="73"/>
      <c r="HO2471" s="73"/>
      <c r="HP2471" s="73"/>
      <c r="HQ2471" s="73"/>
      <c r="HR2471" s="73"/>
      <c r="HS2471" s="73"/>
      <c r="HT2471" s="73"/>
      <c r="HU2471" s="73"/>
      <c r="HV2471" s="73"/>
      <c r="HW2471" s="73"/>
      <c r="HX2471" s="73"/>
      <c r="HY2471" s="73"/>
      <c r="HZ2471" s="73"/>
      <c r="IA2471" s="73"/>
      <c r="IB2471" s="73"/>
      <c r="IC2471" s="73"/>
      <c r="ID2471" s="73"/>
      <c r="IE2471" s="73"/>
      <c r="IF2471" s="73"/>
      <c r="IG2471" s="73"/>
      <c r="IH2471" s="73"/>
      <c r="II2471" s="73"/>
      <c r="IJ2471" s="73"/>
      <c r="IK2471" s="73"/>
      <c r="IL2471" s="73"/>
      <c r="IM2471" s="73"/>
      <c r="IN2471" s="73"/>
      <c r="IO2471" s="73"/>
      <c r="IP2471" s="73"/>
      <c r="IQ2471" s="73"/>
      <c r="IR2471" s="73"/>
      <c r="IS2471" s="73"/>
      <c r="IT2471" s="73"/>
      <c r="IU2471" s="73"/>
      <c r="IV2471" s="73"/>
      <c r="IW2471" s="73"/>
      <c r="IX2471" s="73"/>
      <c r="IY2471" s="73"/>
      <c r="IZ2471" s="73"/>
      <c r="JA2471" s="73"/>
      <c r="JB2471" s="73"/>
      <c r="JC2471" s="73"/>
    </row>
    <row r="2472" spans="2:263" s="72" customFormat="1">
      <c r="B2472" s="73"/>
      <c r="C2472" s="73"/>
      <c r="D2472" s="73"/>
      <c r="E2472" s="73"/>
      <c r="F2472" s="73"/>
      <c r="G2472" s="73"/>
      <c r="H2472" s="73"/>
      <c r="I2472" s="73"/>
      <c r="J2472" s="73"/>
      <c r="K2472" s="73"/>
      <c r="L2472" s="73"/>
      <c r="M2472" s="73"/>
      <c r="N2472" s="73"/>
      <c r="O2472" s="73"/>
      <c r="P2472" s="73"/>
      <c r="Q2472" s="73"/>
      <c r="R2472" s="73"/>
      <c r="S2472" s="73"/>
      <c r="T2472" s="73"/>
      <c r="U2472" s="73"/>
      <c r="V2472" s="73"/>
      <c r="W2472" s="73"/>
      <c r="GL2472" s="73"/>
      <c r="GM2472" s="73"/>
      <c r="GN2472" s="73"/>
      <c r="GO2472" s="73"/>
      <c r="GP2472" s="73"/>
      <c r="GQ2472" s="73"/>
      <c r="GR2472" s="73"/>
      <c r="GS2472" s="73"/>
      <c r="GT2472" s="73"/>
      <c r="GU2472" s="73"/>
      <c r="GV2472" s="73"/>
      <c r="GW2472" s="73"/>
      <c r="GX2472" s="73"/>
      <c r="GY2472" s="73"/>
      <c r="GZ2472" s="73"/>
      <c r="HA2472" s="73"/>
      <c r="HB2472" s="73"/>
      <c r="HC2472" s="73"/>
      <c r="HD2472" s="73"/>
      <c r="HE2472" s="73"/>
      <c r="HF2472" s="73"/>
      <c r="HG2472" s="73"/>
      <c r="HH2472" s="73"/>
      <c r="HI2472" s="73"/>
      <c r="HJ2472" s="73"/>
      <c r="HK2472" s="73"/>
      <c r="HL2472" s="73"/>
      <c r="HM2472" s="73"/>
      <c r="HN2472" s="73"/>
      <c r="HO2472" s="73"/>
      <c r="HP2472" s="73"/>
      <c r="HQ2472" s="73"/>
      <c r="HR2472" s="73"/>
      <c r="HS2472" s="73"/>
      <c r="HT2472" s="73"/>
      <c r="HU2472" s="73"/>
      <c r="HV2472" s="73"/>
      <c r="HW2472" s="73"/>
      <c r="HX2472" s="73"/>
      <c r="HY2472" s="73"/>
      <c r="HZ2472" s="73"/>
      <c r="IA2472" s="73"/>
      <c r="IB2472" s="73"/>
      <c r="IC2472" s="73"/>
      <c r="ID2472" s="73"/>
      <c r="IE2472" s="73"/>
      <c r="IF2472" s="73"/>
      <c r="IG2472" s="73"/>
      <c r="IH2472" s="73"/>
      <c r="II2472" s="73"/>
      <c r="IJ2472" s="73"/>
      <c r="IK2472" s="73"/>
      <c r="IL2472" s="73"/>
      <c r="IM2472" s="73"/>
      <c r="IN2472" s="73"/>
      <c r="IO2472" s="73"/>
      <c r="IP2472" s="73"/>
      <c r="IQ2472" s="73"/>
      <c r="IR2472" s="73"/>
      <c r="IS2472" s="73"/>
      <c r="IT2472" s="73"/>
      <c r="IU2472" s="73"/>
      <c r="IV2472" s="73"/>
      <c r="IW2472" s="73"/>
      <c r="IX2472" s="73"/>
      <c r="IY2472" s="73"/>
      <c r="IZ2472" s="73"/>
      <c r="JA2472" s="73"/>
      <c r="JB2472" s="73"/>
      <c r="JC2472" s="73"/>
    </row>
    <row r="2473" spans="2:263" s="72" customFormat="1">
      <c r="B2473" s="73"/>
      <c r="C2473" s="73"/>
      <c r="D2473" s="73"/>
      <c r="E2473" s="73"/>
      <c r="F2473" s="73"/>
      <c r="G2473" s="73"/>
      <c r="H2473" s="73"/>
      <c r="I2473" s="73"/>
      <c r="J2473" s="73"/>
      <c r="K2473" s="73"/>
      <c r="L2473" s="73"/>
      <c r="M2473" s="73"/>
      <c r="N2473" s="73"/>
      <c r="O2473" s="73"/>
      <c r="P2473" s="73"/>
      <c r="Q2473" s="73"/>
      <c r="R2473" s="73"/>
      <c r="S2473" s="73"/>
      <c r="T2473" s="73"/>
      <c r="U2473" s="73"/>
      <c r="V2473" s="73"/>
      <c r="W2473" s="73"/>
      <c r="GL2473" s="73"/>
      <c r="GM2473" s="73"/>
      <c r="GN2473" s="73"/>
      <c r="GO2473" s="73"/>
      <c r="GP2473" s="73"/>
      <c r="GQ2473" s="73"/>
      <c r="GR2473" s="73"/>
      <c r="GS2473" s="73"/>
      <c r="GT2473" s="73"/>
      <c r="GU2473" s="73"/>
      <c r="GV2473" s="73"/>
      <c r="GW2473" s="73"/>
      <c r="GX2473" s="73"/>
      <c r="GY2473" s="73"/>
      <c r="GZ2473" s="73"/>
      <c r="HA2473" s="73"/>
      <c r="HB2473" s="73"/>
      <c r="HC2473" s="73"/>
      <c r="HD2473" s="73"/>
      <c r="HE2473" s="73"/>
      <c r="HF2473" s="73"/>
      <c r="HG2473" s="73"/>
      <c r="HH2473" s="73"/>
      <c r="HI2473" s="73"/>
      <c r="HJ2473" s="73"/>
      <c r="HK2473" s="73"/>
      <c r="HL2473" s="73"/>
      <c r="HM2473" s="73"/>
      <c r="HN2473" s="73"/>
      <c r="HO2473" s="73"/>
      <c r="HP2473" s="73"/>
      <c r="HQ2473" s="73"/>
      <c r="HR2473" s="73"/>
      <c r="HS2473" s="73"/>
      <c r="HT2473" s="73"/>
      <c r="HU2473" s="73"/>
      <c r="HV2473" s="73"/>
      <c r="HW2473" s="73"/>
      <c r="HX2473" s="73"/>
      <c r="HY2473" s="73"/>
      <c r="HZ2473" s="73"/>
      <c r="IA2473" s="73"/>
      <c r="IB2473" s="73"/>
      <c r="IC2473" s="73"/>
      <c r="ID2473" s="73"/>
      <c r="IE2473" s="73"/>
      <c r="IF2473" s="73"/>
      <c r="IG2473" s="73"/>
      <c r="IH2473" s="73"/>
      <c r="II2473" s="73"/>
      <c r="IJ2473" s="73"/>
      <c r="IK2473" s="73"/>
      <c r="IL2473" s="73"/>
      <c r="IM2473" s="73"/>
      <c r="IN2473" s="73"/>
      <c r="IO2473" s="73"/>
      <c r="IP2473" s="73"/>
      <c r="IQ2473" s="73"/>
      <c r="IR2473" s="73"/>
      <c r="IS2473" s="73"/>
      <c r="IT2473" s="73"/>
      <c r="IU2473" s="73"/>
      <c r="IV2473" s="73"/>
      <c r="IW2473" s="73"/>
      <c r="IX2473" s="73"/>
      <c r="IY2473" s="73"/>
      <c r="IZ2473" s="73"/>
      <c r="JA2473" s="73"/>
      <c r="JB2473" s="73"/>
      <c r="JC2473" s="73"/>
    </row>
    <row r="2474" spans="2:263" s="72" customFormat="1">
      <c r="B2474" s="73"/>
      <c r="C2474" s="73"/>
      <c r="D2474" s="73"/>
      <c r="E2474" s="73"/>
      <c r="F2474" s="73"/>
      <c r="G2474" s="73"/>
      <c r="H2474" s="73"/>
      <c r="I2474" s="73"/>
      <c r="J2474" s="73"/>
      <c r="K2474" s="73"/>
      <c r="L2474" s="73"/>
      <c r="M2474" s="73"/>
      <c r="N2474" s="73"/>
      <c r="O2474" s="73"/>
      <c r="P2474" s="73"/>
      <c r="Q2474" s="73"/>
      <c r="R2474" s="73"/>
      <c r="S2474" s="73"/>
      <c r="T2474" s="73"/>
      <c r="U2474" s="73"/>
      <c r="V2474" s="73"/>
      <c r="W2474" s="73"/>
      <c r="GL2474" s="73"/>
      <c r="GM2474" s="73"/>
      <c r="GN2474" s="73"/>
      <c r="GO2474" s="73"/>
      <c r="GP2474" s="73"/>
      <c r="GQ2474" s="73"/>
      <c r="GR2474" s="73"/>
      <c r="GS2474" s="73"/>
      <c r="GT2474" s="73"/>
      <c r="GU2474" s="73"/>
      <c r="GV2474" s="73"/>
      <c r="GW2474" s="73"/>
      <c r="GX2474" s="73"/>
      <c r="GY2474" s="73"/>
      <c r="GZ2474" s="73"/>
      <c r="HA2474" s="73"/>
      <c r="HB2474" s="73"/>
      <c r="HC2474" s="73"/>
      <c r="HD2474" s="73"/>
      <c r="HE2474" s="73"/>
      <c r="HF2474" s="73"/>
      <c r="HG2474" s="73"/>
      <c r="HH2474" s="73"/>
      <c r="HI2474" s="73"/>
      <c r="HJ2474" s="73"/>
      <c r="HK2474" s="73"/>
      <c r="HL2474" s="73"/>
      <c r="HM2474" s="73"/>
      <c r="HN2474" s="73"/>
      <c r="HO2474" s="73"/>
      <c r="HP2474" s="73"/>
      <c r="HQ2474" s="73"/>
      <c r="HR2474" s="73"/>
      <c r="HS2474" s="73"/>
      <c r="HT2474" s="73"/>
      <c r="HU2474" s="73"/>
      <c r="HV2474" s="73"/>
      <c r="HW2474" s="73"/>
      <c r="HX2474" s="73"/>
      <c r="HY2474" s="73"/>
      <c r="HZ2474" s="73"/>
      <c r="IA2474" s="73"/>
      <c r="IB2474" s="73"/>
      <c r="IC2474" s="73"/>
      <c r="ID2474" s="73"/>
      <c r="IE2474" s="73"/>
      <c r="IF2474" s="73"/>
      <c r="IG2474" s="73"/>
      <c r="IH2474" s="73"/>
      <c r="II2474" s="73"/>
      <c r="IJ2474" s="73"/>
      <c r="IK2474" s="73"/>
      <c r="IL2474" s="73"/>
      <c r="IM2474" s="73"/>
      <c r="IN2474" s="73"/>
      <c r="IO2474" s="73"/>
      <c r="IP2474" s="73"/>
      <c r="IQ2474" s="73"/>
      <c r="IR2474" s="73"/>
      <c r="IS2474" s="73"/>
      <c r="IT2474" s="73"/>
      <c r="IU2474" s="73"/>
      <c r="IV2474" s="73"/>
      <c r="IW2474" s="73"/>
      <c r="IX2474" s="73"/>
      <c r="IY2474" s="73"/>
      <c r="IZ2474" s="73"/>
      <c r="JA2474" s="73"/>
      <c r="JB2474" s="73"/>
      <c r="JC2474" s="73"/>
    </row>
    <row r="2475" spans="2:263" s="72" customFormat="1">
      <c r="B2475" s="73"/>
      <c r="C2475" s="73"/>
      <c r="D2475" s="73"/>
      <c r="E2475" s="73"/>
      <c r="F2475" s="73"/>
      <c r="G2475" s="73"/>
      <c r="H2475" s="73"/>
      <c r="I2475" s="73"/>
      <c r="J2475" s="73"/>
      <c r="K2475" s="73"/>
      <c r="L2475" s="73"/>
      <c r="M2475" s="73"/>
      <c r="N2475" s="73"/>
      <c r="O2475" s="73"/>
      <c r="P2475" s="73"/>
      <c r="Q2475" s="73"/>
      <c r="R2475" s="73"/>
      <c r="S2475" s="73"/>
      <c r="T2475" s="73"/>
      <c r="U2475" s="73"/>
      <c r="V2475" s="73"/>
      <c r="W2475" s="73"/>
      <c r="GL2475" s="73"/>
      <c r="GM2475" s="73"/>
      <c r="GN2475" s="73"/>
      <c r="GO2475" s="73"/>
      <c r="GP2475" s="73"/>
      <c r="GQ2475" s="73"/>
      <c r="GR2475" s="73"/>
      <c r="GS2475" s="73"/>
      <c r="GT2475" s="73"/>
      <c r="GU2475" s="73"/>
      <c r="GV2475" s="73"/>
      <c r="GW2475" s="73"/>
      <c r="GX2475" s="73"/>
      <c r="GY2475" s="73"/>
      <c r="GZ2475" s="73"/>
      <c r="HA2475" s="73"/>
      <c r="HB2475" s="73"/>
      <c r="HC2475" s="73"/>
      <c r="HD2475" s="73"/>
      <c r="HE2475" s="73"/>
      <c r="HF2475" s="73"/>
      <c r="HG2475" s="73"/>
      <c r="HH2475" s="73"/>
      <c r="HI2475" s="73"/>
      <c r="HJ2475" s="73"/>
      <c r="HK2475" s="73"/>
      <c r="HL2475" s="73"/>
      <c r="HM2475" s="73"/>
      <c r="HN2475" s="73"/>
      <c r="HO2475" s="73"/>
      <c r="HP2475" s="73"/>
      <c r="HQ2475" s="73"/>
      <c r="HR2475" s="73"/>
      <c r="HS2475" s="73"/>
      <c r="HT2475" s="73"/>
      <c r="HU2475" s="73"/>
      <c r="HV2475" s="73"/>
      <c r="HW2475" s="73"/>
      <c r="HX2475" s="73"/>
      <c r="HY2475" s="73"/>
      <c r="HZ2475" s="73"/>
      <c r="IA2475" s="73"/>
      <c r="IB2475" s="73"/>
      <c r="IC2475" s="73"/>
      <c r="ID2475" s="73"/>
      <c r="IE2475" s="73"/>
      <c r="IF2475" s="73"/>
      <c r="IG2475" s="73"/>
      <c r="IH2475" s="73"/>
      <c r="II2475" s="73"/>
      <c r="IJ2475" s="73"/>
      <c r="IK2475" s="73"/>
      <c r="IL2475" s="73"/>
      <c r="IM2475" s="73"/>
      <c r="IN2475" s="73"/>
      <c r="IO2475" s="73"/>
      <c r="IP2475" s="73"/>
      <c r="IQ2475" s="73"/>
      <c r="IR2475" s="73"/>
      <c r="IS2475" s="73"/>
      <c r="IT2475" s="73"/>
      <c r="IU2475" s="73"/>
      <c r="IV2475" s="73"/>
      <c r="IW2475" s="73"/>
      <c r="IX2475" s="73"/>
      <c r="IY2475" s="73"/>
      <c r="IZ2475" s="73"/>
      <c r="JA2475" s="73"/>
      <c r="JB2475" s="73"/>
      <c r="JC2475" s="73"/>
    </row>
    <row r="2476" spans="2:263" s="72" customFormat="1">
      <c r="B2476" s="73"/>
      <c r="C2476" s="73"/>
      <c r="D2476" s="73"/>
      <c r="E2476" s="73"/>
      <c r="F2476" s="73"/>
      <c r="G2476" s="73"/>
      <c r="H2476" s="73"/>
      <c r="I2476" s="73"/>
      <c r="J2476" s="73"/>
      <c r="K2476" s="73"/>
      <c r="L2476" s="73"/>
      <c r="M2476" s="73"/>
      <c r="N2476" s="73"/>
      <c r="O2476" s="73"/>
      <c r="P2476" s="73"/>
      <c r="Q2476" s="73"/>
      <c r="R2476" s="73"/>
      <c r="S2476" s="73"/>
      <c r="T2476" s="73"/>
      <c r="U2476" s="73"/>
      <c r="V2476" s="73"/>
      <c r="W2476" s="73"/>
      <c r="GL2476" s="73"/>
      <c r="GM2476" s="73"/>
      <c r="GN2476" s="73"/>
      <c r="GO2476" s="73"/>
      <c r="GP2476" s="73"/>
      <c r="GQ2476" s="73"/>
      <c r="GR2476" s="73"/>
      <c r="GS2476" s="73"/>
      <c r="GT2476" s="73"/>
      <c r="GU2476" s="73"/>
      <c r="GV2476" s="73"/>
      <c r="GW2476" s="73"/>
      <c r="GX2476" s="73"/>
      <c r="GY2476" s="73"/>
      <c r="GZ2476" s="73"/>
      <c r="HA2476" s="73"/>
      <c r="HB2476" s="73"/>
      <c r="HC2476" s="73"/>
      <c r="HD2476" s="73"/>
      <c r="HE2476" s="73"/>
      <c r="HF2476" s="73"/>
      <c r="HG2476" s="73"/>
      <c r="HH2476" s="73"/>
      <c r="HI2476" s="73"/>
      <c r="HJ2476" s="73"/>
      <c r="HK2476" s="73"/>
      <c r="HL2476" s="73"/>
      <c r="HM2476" s="73"/>
      <c r="HN2476" s="73"/>
      <c r="HO2476" s="73"/>
      <c r="HP2476" s="73"/>
      <c r="HQ2476" s="73"/>
      <c r="HR2476" s="73"/>
      <c r="HS2476" s="73"/>
      <c r="HT2476" s="73"/>
      <c r="HU2476" s="73"/>
      <c r="HV2476" s="73"/>
      <c r="HW2476" s="73"/>
      <c r="HX2476" s="73"/>
      <c r="HY2476" s="73"/>
      <c r="HZ2476" s="73"/>
      <c r="IA2476" s="73"/>
      <c r="IB2476" s="73"/>
      <c r="IC2476" s="73"/>
      <c r="ID2476" s="73"/>
      <c r="IE2476" s="73"/>
      <c r="IF2476" s="73"/>
      <c r="IG2476" s="73"/>
      <c r="IH2476" s="73"/>
      <c r="II2476" s="73"/>
      <c r="IJ2476" s="73"/>
      <c r="IK2476" s="73"/>
      <c r="IL2476" s="73"/>
      <c r="IM2476" s="73"/>
      <c r="IN2476" s="73"/>
      <c r="IO2476" s="73"/>
      <c r="IP2476" s="73"/>
      <c r="IQ2476" s="73"/>
      <c r="IR2476" s="73"/>
      <c r="IS2476" s="73"/>
      <c r="IT2476" s="73"/>
      <c r="IU2476" s="73"/>
      <c r="IV2476" s="73"/>
      <c r="IW2476" s="73"/>
      <c r="IX2476" s="73"/>
      <c r="IY2476" s="73"/>
      <c r="IZ2476" s="73"/>
      <c r="JA2476" s="73"/>
      <c r="JB2476" s="73"/>
      <c r="JC2476" s="73"/>
    </row>
    <row r="2477" spans="2:263" s="72" customFormat="1">
      <c r="B2477" s="73"/>
      <c r="C2477" s="73"/>
      <c r="D2477" s="73"/>
      <c r="E2477" s="73"/>
      <c r="F2477" s="73"/>
      <c r="G2477" s="73"/>
      <c r="H2477" s="73"/>
      <c r="I2477" s="73"/>
      <c r="J2477" s="73"/>
      <c r="K2477" s="73"/>
      <c r="L2477" s="73"/>
      <c r="M2477" s="73"/>
      <c r="N2477" s="73"/>
      <c r="O2477" s="73"/>
      <c r="P2477" s="73"/>
      <c r="Q2477" s="73"/>
      <c r="R2477" s="73"/>
      <c r="S2477" s="73"/>
      <c r="T2477" s="73"/>
      <c r="U2477" s="73"/>
      <c r="V2477" s="73"/>
      <c r="W2477" s="73"/>
      <c r="GL2477" s="73"/>
      <c r="GM2477" s="73"/>
      <c r="GN2477" s="73"/>
      <c r="GO2477" s="73"/>
      <c r="GP2477" s="73"/>
      <c r="GQ2477" s="73"/>
      <c r="GR2477" s="73"/>
      <c r="GS2477" s="73"/>
      <c r="GT2477" s="73"/>
      <c r="GU2477" s="73"/>
      <c r="GV2477" s="73"/>
      <c r="GW2477" s="73"/>
      <c r="GX2477" s="73"/>
      <c r="GY2477" s="73"/>
      <c r="GZ2477" s="73"/>
      <c r="HA2477" s="73"/>
      <c r="HB2477" s="73"/>
      <c r="HC2477" s="73"/>
      <c r="HD2477" s="73"/>
      <c r="HE2477" s="73"/>
      <c r="HF2477" s="73"/>
      <c r="HG2477" s="73"/>
      <c r="HH2477" s="73"/>
      <c r="HI2477" s="73"/>
      <c r="HJ2477" s="73"/>
      <c r="HK2477" s="73"/>
      <c r="HL2477" s="73"/>
      <c r="HM2477" s="73"/>
      <c r="HN2477" s="73"/>
      <c r="HO2477" s="73"/>
      <c r="HP2477" s="73"/>
      <c r="HQ2477" s="73"/>
      <c r="HR2477" s="73"/>
      <c r="HS2477" s="73"/>
      <c r="HT2477" s="73"/>
      <c r="HU2477" s="73"/>
      <c r="HV2477" s="73"/>
      <c r="HW2477" s="73"/>
      <c r="HX2477" s="73"/>
      <c r="HY2477" s="73"/>
      <c r="HZ2477" s="73"/>
      <c r="IA2477" s="73"/>
      <c r="IB2477" s="73"/>
      <c r="IC2477" s="73"/>
      <c r="ID2477" s="73"/>
      <c r="IE2477" s="73"/>
      <c r="IF2477" s="73"/>
      <c r="IG2477" s="73"/>
      <c r="IH2477" s="73"/>
      <c r="II2477" s="73"/>
      <c r="IJ2477" s="73"/>
      <c r="IK2477" s="73"/>
      <c r="IL2477" s="73"/>
      <c r="IM2477" s="73"/>
      <c r="IN2477" s="73"/>
      <c r="IO2477" s="73"/>
      <c r="IP2477" s="73"/>
      <c r="IQ2477" s="73"/>
      <c r="IR2477" s="73"/>
      <c r="IS2477" s="73"/>
      <c r="IT2477" s="73"/>
      <c r="IU2477" s="73"/>
      <c r="IV2477" s="73"/>
      <c r="IW2477" s="73"/>
      <c r="IX2477" s="73"/>
      <c r="IY2477" s="73"/>
      <c r="IZ2477" s="73"/>
      <c r="JA2477" s="73"/>
      <c r="JB2477" s="73"/>
      <c r="JC2477" s="73"/>
    </row>
    <row r="2478" spans="2:263" s="72" customFormat="1">
      <c r="B2478" s="73"/>
      <c r="C2478" s="73"/>
      <c r="D2478" s="73"/>
      <c r="E2478" s="73"/>
      <c r="F2478" s="73"/>
      <c r="G2478" s="73"/>
      <c r="H2478" s="73"/>
      <c r="I2478" s="73"/>
      <c r="J2478" s="73"/>
      <c r="K2478" s="73"/>
      <c r="L2478" s="73"/>
      <c r="M2478" s="73"/>
      <c r="N2478" s="73"/>
      <c r="O2478" s="73"/>
      <c r="P2478" s="73"/>
      <c r="Q2478" s="73"/>
      <c r="R2478" s="73"/>
      <c r="S2478" s="73"/>
      <c r="T2478" s="73"/>
      <c r="U2478" s="73"/>
      <c r="V2478" s="73"/>
      <c r="W2478" s="73"/>
      <c r="GL2478" s="73"/>
      <c r="GM2478" s="73"/>
      <c r="GN2478" s="73"/>
      <c r="GO2478" s="73"/>
      <c r="GP2478" s="73"/>
      <c r="GQ2478" s="73"/>
      <c r="GR2478" s="73"/>
      <c r="GS2478" s="73"/>
      <c r="GT2478" s="73"/>
      <c r="GU2478" s="73"/>
      <c r="GV2478" s="73"/>
      <c r="GW2478" s="73"/>
      <c r="GX2478" s="73"/>
      <c r="GY2478" s="73"/>
      <c r="GZ2478" s="73"/>
      <c r="HA2478" s="73"/>
      <c r="HB2478" s="73"/>
      <c r="HC2478" s="73"/>
      <c r="HD2478" s="73"/>
      <c r="HE2478" s="73"/>
      <c r="HF2478" s="73"/>
      <c r="HG2478" s="73"/>
      <c r="HH2478" s="73"/>
      <c r="HI2478" s="73"/>
      <c r="HJ2478" s="73"/>
      <c r="HK2478" s="73"/>
      <c r="HL2478" s="73"/>
      <c r="HM2478" s="73"/>
      <c r="HN2478" s="73"/>
      <c r="HO2478" s="73"/>
      <c r="HP2478" s="73"/>
      <c r="HQ2478" s="73"/>
      <c r="HR2478" s="73"/>
      <c r="HS2478" s="73"/>
      <c r="HT2478" s="73"/>
      <c r="HU2478" s="73"/>
      <c r="HV2478" s="73"/>
      <c r="HW2478" s="73"/>
      <c r="HX2478" s="73"/>
      <c r="HY2478" s="73"/>
      <c r="HZ2478" s="73"/>
      <c r="IA2478" s="73"/>
      <c r="IB2478" s="73"/>
      <c r="IC2478" s="73"/>
      <c r="ID2478" s="73"/>
      <c r="IE2478" s="73"/>
      <c r="IF2478" s="73"/>
      <c r="IG2478" s="73"/>
      <c r="IH2478" s="73"/>
      <c r="II2478" s="73"/>
      <c r="IJ2478" s="73"/>
      <c r="IK2478" s="73"/>
      <c r="IL2478" s="73"/>
      <c r="IM2478" s="73"/>
      <c r="IN2478" s="73"/>
      <c r="IO2478" s="73"/>
      <c r="IP2478" s="73"/>
      <c r="IQ2478" s="73"/>
      <c r="IR2478" s="73"/>
      <c r="IS2478" s="73"/>
      <c r="IT2478" s="73"/>
      <c r="IU2478" s="73"/>
      <c r="IV2478" s="73"/>
      <c r="IW2478" s="73"/>
      <c r="IX2478" s="73"/>
      <c r="IY2478" s="73"/>
      <c r="IZ2478" s="73"/>
      <c r="JA2478" s="73"/>
      <c r="JB2478" s="73"/>
      <c r="JC2478" s="73"/>
    </row>
    <row r="2479" spans="2:263" s="72" customFormat="1">
      <c r="B2479" s="73"/>
      <c r="C2479" s="73"/>
      <c r="D2479" s="73"/>
      <c r="E2479" s="73"/>
      <c r="F2479" s="73"/>
      <c r="G2479" s="73"/>
      <c r="H2479" s="73"/>
      <c r="I2479" s="73"/>
      <c r="J2479" s="73"/>
      <c r="K2479" s="73"/>
      <c r="L2479" s="73"/>
      <c r="M2479" s="73"/>
      <c r="N2479" s="73"/>
      <c r="O2479" s="73"/>
      <c r="P2479" s="73"/>
      <c r="Q2479" s="73"/>
      <c r="R2479" s="73"/>
      <c r="S2479" s="73"/>
      <c r="T2479" s="73"/>
      <c r="U2479" s="73"/>
      <c r="V2479" s="73"/>
      <c r="W2479" s="73"/>
      <c r="GL2479" s="73"/>
      <c r="GM2479" s="73"/>
      <c r="GN2479" s="73"/>
      <c r="GO2479" s="73"/>
      <c r="GP2479" s="73"/>
      <c r="GQ2479" s="73"/>
      <c r="GR2479" s="73"/>
      <c r="GS2479" s="73"/>
      <c r="GT2479" s="73"/>
      <c r="GU2479" s="73"/>
      <c r="GV2479" s="73"/>
      <c r="GW2479" s="73"/>
      <c r="GX2479" s="73"/>
      <c r="GY2479" s="73"/>
      <c r="GZ2479" s="73"/>
      <c r="HA2479" s="73"/>
      <c r="HB2479" s="73"/>
      <c r="HC2479" s="73"/>
      <c r="HD2479" s="73"/>
      <c r="HE2479" s="73"/>
      <c r="HF2479" s="73"/>
      <c r="HG2479" s="73"/>
      <c r="HH2479" s="73"/>
      <c r="HI2479" s="73"/>
      <c r="HJ2479" s="73"/>
      <c r="HK2479" s="73"/>
      <c r="HL2479" s="73"/>
      <c r="HM2479" s="73"/>
      <c r="HN2479" s="73"/>
      <c r="HO2479" s="73"/>
      <c r="HP2479" s="73"/>
      <c r="HQ2479" s="73"/>
      <c r="HR2479" s="73"/>
      <c r="HS2479" s="73"/>
      <c r="HT2479" s="73"/>
      <c r="HU2479" s="73"/>
      <c r="HV2479" s="73"/>
      <c r="HW2479" s="73"/>
      <c r="HX2479" s="73"/>
      <c r="HY2479" s="73"/>
      <c r="HZ2479" s="73"/>
      <c r="IA2479" s="73"/>
      <c r="IB2479" s="73"/>
      <c r="IC2479" s="73"/>
      <c r="ID2479" s="73"/>
      <c r="IE2479" s="73"/>
      <c r="IF2479" s="73"/>
      <c r="IG2479" s="73"/>
      <c r="IH2479" s="73"/>
      <c r="II2479" s="73"/>
      <c r="IJ2479" s="73"/>
      <c r="IK2479" s="73"/>
      <c r="IL2479" s="73"/>
      <c r="IM2479" s="73"/>
      <c r="IN2479" s="73"/>
      <c r="IO2479" s="73"/>
      <c r="IP2479" s="73"/>
      <c r="IQ2479" s="73"/>
      <c r="IR2479" s="73"/>
      <c r="IS2479" s="73"/>
      <c r="IT2479" s="73"/>
      <c r="IU2479" s="73"/>
      <c r="IV2479" s="73"/>
      <c r="IW2479" s="73"/>
      <c r="IX2479" s="73"/>
      <c r="IY2479" s="73"/>
      <c r="IZ2479" s="73"/>
      <c r="JA2479" s="73"/>
      <c r="JB2479" s="73"/>
      <c r="JC2479" s="73"/>
    </row>
    <row r="2480" spans="2:263" s="72" customFormat="1">
      <c r="B2480" s="73"/>
      <c r="C2480" s="73"/>
      <c r="D2480" s="73"/>
      <c r="E2480" s="73"/>
      <c r="F2480" s="73"/>
      <c r="G2480" s="73"/>
      <c r="H2480" s="73"/>
      <c r="I2480" s="73"/>
      <c r="J2480" s="73"/>
      <c r="K2480" s="73"/>
      <c r="L2480" s="73"/>
      <c r="M2480" s="73"/>
      <c r="N2480" s="73"/>
      <c r="O2480" s="73"/>
      <c r="P2480" s="73"/>
      <c r="Q2480" s="73"/>
      <c r="R2480" s="73"/>
      <c r="S2480" s="73"/>
      <c r="T2480" s="73"/>
      <c r="U2480" s="73"/>
      <c r="V2480" s="73"/>
      <c r="W2480" s="73"/>
      <c r="GL2480" s="73"/>
      <c r="GM2480" s="73"/>
      <c r="GN2480" s="73"/>
      <c r="GO2480" s="73"/>
      <c r="GP2480" s="73"/>
      <c r="GQ2480" s="73"/>
      <c r="GR2480" s="73"/>
      <c r="GS2480" s="73"/>
      <c r="GT2480" s="73"/>
      <c r="GU2480" s="73"/>
      <c r="GV2480" s="73"/>
      <c r="GW2480" s="73"/>
      <c r="GX2480" s="73"/>
      <c r="GY2480" s="73"/>
      <c r="GZ2480" s="73"/>
      <c r="HA2480" s="73"/>
      <c r="HB2480" s="73"/>
      <c r="HC2480" s="73"/>
      <c r="HD2480" s="73"/>
      <c r="HE2480" s="73"/>
      <c r="HF2480" s="73"/>
      <c r="HG2480" s="73"/>
      <c r="HH2480" s="73"/>
      <c r="HI2480" s="73"/>
      <c r="HJ2480" s="73"/>
      <c r="HK2480" s="73"/>
      <c r="HL2480" s="73"/>
      <c r="HM2480" s="73"/>
      <c r="HN2480" s="73"/>
      <c r="HO2480" s="73"/>
      <c r="HP2480" s="73"/>
      <c r="HQ2480" s="73"/>
      <c r="HR2480" s="73"/>
      <c r="HS2480" s="73"/>
      <c r="HT2480" s="73"/>
      <c r="HU2480" s="73"/>
      <c r="HV2480" s="73"/>
      <c r="HW2480" s="73"/>
      <c r="HX2480" s="73"/>
      <c r="HY2480" s="73"/>
      <c r="HZ2480" s="73"/>
      <c r="IA2480" s="73"/>
      <c r="IB2480" s="73"/>
      <c r="IC2480" s="73"/>
      <c r="ID2480" s="73"/>
      <c r="IE2480" s="73"/>
      <c r="IF2480" s="73"/>
      <c r="IG2480" s="73"/>
      <c r="IH2480" s="73"/>
      <c r="II2480" s="73"/>
      <c r="IJ2480" s="73"/>
      <c r="IK2480" s="73"/>
      <c r="IL2480" s="73"/>
      <c r="IM2480" s="73"/>
      <c r="IN2480" s="73"/>
      <c r="IO2480" s="73"/>
      <c r="IP2480" s="73"/>
      <c r="IQ2480" s="73"/>
      <c r="IR2480" s="73"/>
      <c r="IS2480" s="73"/>
      <c r="IT2480" s="73"/>
      <c r="IU2480" s="73"/>
      <c r="IV2480" s="73"/>
      <c r="IW2480" s="73"/>
      <c r="IX2480" s="73"/>
      <c r="IY2480" s="73"/>
      <c r="IZ2480" s="73"/>
      <c r="JA2480" s="73"/>
      <c r="JB2480" s="73"/>
      <c r="JC2480" s="73"/>
    </row>
    <row r="2481" spans="2:263" s="72" customFormat="1">
      <c r="B2481" s="73"/>
      <c r="C2481" s="73"/>
      <c r="D2481" s="73"/>
      <c r="E2481" s="73"/>
      <c r="F2481" s="73"/>
      <c r="G2481" s="73"/>
      <c r="H2481" s="73"/>
      <c r="I2481" s="73"/>
      <c r="J2481" s="73"/>
      <c r="K2481" s="73"/>
      <c r="L2481" s="73"/>
      <c r="M2481" s="73"/>
      <c r="N2481" s="73"/>
      <c r="O2481" s="73"/>
      <c r="P2481" s="73"/>
      <c r="Q2481" s="73"/>
      <c r="R2481" s="73"/>
      <c r="S2481" s="73"/>
      <c r="T2481" s="73"/>
      <c r="U2481" s="73"/>
      <c r="V2481" s="73"/>
      <c r="W2481" s="73"/>
      <c r="GL2481" s="73"/>
      <c r="GM2481" s="73"/>
      <c r="GN2481" s="73"/>
      <c r="GO2481" s="73"/>
      <c r="GP2481" s="73"/>
      <c r="GQ2481" s="73"/>
      <c r="GR2481" s="73"/>
      <c r="GS2481" s="73"/>
      <c r="GT2481" s="73"/>
      <c r="GU2481" s="73"/>
      <c r="GV2481" s="73"/>
      <c r="GW2481" s="73"/>
      <c r="GX2481" s="73"/>
      <c r="GY2481" s="73"/>
      <c r="GZ2481" s="73"/>
      <c r="HA2481" s="73"/>
      <c r="HB2481" s="73"/>
      <c r="HC2481" s="73"/>
      <c r="HD2481" s="73"/>
      <c r="HE2481" s="73"/>
      <c r="HF2481" s="73"/>
      <c r="HG2481" s="73"/>
      <c r="HH2481" s="73"/>
      <c r="HI2481" s="73"/>
      <c r="HJ2481" s="73"/>
      <c r="HK2481" s="73"/>
      <c r="HL2481" s="73"/>
      <c r="HM2481" s="73"/>
      <c r="HN2481" s="73"/>
      <c r="HO2481" s="73"/>
      <c r="HP2481" s="73"/>
      <c r="HQ2481" s="73"/>
      <c r="HR2481" s="73"/>
      <c r="HS2481" s="73"/>
      <c r="HT2481" s="73"/>
      <c r="HU2481" s="73"/>
      <c r="HV2481" s="73"/>
      <c r="HW2481" s="73"/>
      <c r="HX2481" s="73"/>
      <c r="HY2481" s="73"/>
      <c r="HZ2481" s="73"/>
      <c r="IA2481" s="73"/>
      <c r="IB2481" s="73"/>
      <c r="IC2481" s="73"/>
      <c r="ID2481" s="73"/>
      <c r="IE2481" s="73"/>
      <c r="IF2481" s="73"/>
      <c r="IG2481" s="73"/>
      <c r="IH2481" s="73"/>
      <c r="II2481" s="73"/>
      <c r="IJ2481" s="73"/>
      <c r="IK2481" s="73"/>
      <c r="IL2481" s="73"/>
      <c r="IM2481" s="73"/>
      <c r="IN2481" s="73"/>
      <c r="IO2481" s="73"/>
      <c r="IP2481" s="73"/>
      <c r="IQ2481" s="73"/>
      <c r="IR2481" s="73"/>
      <c r="IS2481" s="73"/>
      <c r="IT2481" s="73"/>
      <c r="IU2481" s="73"/>
      <c r="IV2481" s="73"/>
      <c r="IW2481" s="73"/>
      <c r="IX2481" s="73"/>
      <c r="IY2481" s="73"/>
      <c r="IZ2481" s="73"/>
      <c r="JA2481" s="73"/>
      <c r="JB2481" s="73"/>
      <c r="JC2481" s="73"/>
    </row>
    <row r="2482" spans="2:263" s="72" customFormat="1">
      <c r="B2482" s="73"/>
      <c r="C2482" s="73"/>
      <c r="D2482" s="73"/>
      <c r="E2482" s="73"/>
      <c r="F2482" s="73"/>
      <c r="G2482" s="73"/>
      <c r="H2482" s="73"/>
      <c r="I2482" s="73"/>
      <c r="J2482" s="73"/>
      <c r="K2482" s="73"/>
      <c r="L2482" s="73"/>
      <c r="M2482" s="73"/>
      <c r="N2482" s="73"/>
      <c r="O2482" s="73"/>
      <c r="P2482" s="73"/>
      <c r="Q2482" s="73"/>
      <c r="R2482" s="73"/>
      <c r="S2482" s="73"/>
      <c r="T2482" s="73"/>
      <c r="U2482" s="73"/>
      <c r="V2482" s="73"/>
      <c r="W2482" s="73"/>
      <c r="GL2482" s="73"/>
      <c r="GM2482" s="73"/>
      <c r="GN2482" s="73"/>
      <c r="GO2482" s="73"/>
      <c r="GP2482" s="73"/>
      <c r="GQ2482" s="73"/>
      <c r="GR2482" s="73"/>
      <c r="GS2482" s="73"/>
      <c r="GT2482" s="73"/>
      <c r="GU2482" s="73"/>
      <c r="GV2482" s="73"/>
      <c r="GW2482" s="73"/>
      <c r="GX2482" s="73"/>
      <c r="GY2482" s="73"/>
      <c r="GZ2482" s="73"/>
      <c r="HA2482" s="73"/>
      <c r="HB2482" s="73"/>
      <c r="HC2482" s="73"/>
      <c r="HD2482" s="73"/>
      <c r="HE2482" s="73"/>
      <c r="HF2482" s="73"/>
      <c r="HG2482" s="73"/>
      <c r="HH2482" s="73"/>
      <c r="HI2482" s="73"/>
      <c r="HJ2482" s="73"/>
      <c r="HK2482" s="73"/>
      <c r="HL2482" s="73"/>
      <c r="HM2482" s="73"/>
      <c r="HN2482" s="73"/>
      <c r="HO2482" s="73"/>
      <c r="HP2482" s="73"/>
      <c r="HQ2482" s="73"/>
      <c r="HR2482" s="73"/>
      <c r="HS2482" s="73"/>
      <c r="HT2482" s="73"/>
      <c r="HU2482" s="73"/>
      <c r="HV2482" s="73"/>
      <c r="HW2482" s="73"/>
      <c r="HX2482" s="73"/>
      <c r="HY2482" s="73"/>
      <c r="HZ2482" s="73"/>
      <c r="IA2482" s="73"/>
      <c r="IB2482" s="73"/>
      <c r="IC2482" s="73"/>
      <c r="ID2482" s="73"/>
      <c r="IE2482" s="73"/>
      <c r="IF2482" s="73"/>
      <c r="IG2482" s="73"/>
      <c r="IH2482" s="73"/>
      <c r="II2482" s="73"/>
      <c r="IJ2482" s="73"/>
      <c r="IK2482" s="73"/>
      <c r="IL2482" s="73"/>
      <c r="IM2482" s="73"/>
      <c r="IN2482" s="73"/>
      <c r="IO2482" s="73"/>
      <c r="IP2482" s="73"/>
      <c r="IQ2482" s="73"/>
      <c r="IR2482" s="73"/>
      <c r="IS2482" s="73"/>
      <c r="IT2482" s="73"/>
      <c r="IU2482" s="73"/>
      <c r="IV2482" s="73"/>
      <c r="IW2482" s="73"/>
      <c r="IX2482" s="73"/>
      <c r="IY2482" s="73"/>
      <c r="IZ2482" s="73"/>
      <c r="JA2482" s="73"/>
      <c r="JB2482" s="73"/>
      <c r="JC2482" s="73"/>
    </row>
    <row r="2483" spans="2:263" s="72" customFormat="1">
      <c r="B2483" s="73"/>
      <c r="C2483" s="73"/>
      <c r="D2483" s="73"/>
      <c r="E2483" s="73"/>
      <c r="F2483" s="73"/>
      <c r="G2483" s="73"/>
      <c r="H2483" s="73"/>
      <c r="I2483" s="73"/>
      <c r="J2483" s="73"/>
      <c r="K2483" s="73"/>
      <c r="L2483" s="73"/>
      <c r="M2483" s="73"/>
      <c r="N2483" s="73"/>
      <c r="O2483" s="73"/>
      <c r="P2483" s="73"/>
      <c r="Q2483" s="73"/>
      <c r="R2483" s="73"/>
      <c r="S2483" s="73"/>
      <c r="T2483" s="73"/>
      <c r="U2483" s="73"/>
      <c r="V2483" s="73"/>
      <c r="W2483" s="73"/>
      <c r="GL2483" s="73"/>
      <c r="GM2483" s="73"/>
      <c r="GN2483" s="73"/>
      <c r="GO2483" s="73"/>
      <c r="GP2483" s="73"/>
      <c r="GQ2483" s="73"/>
      <c r="GR2483" s="73"/>
      <c r="GS2483" s="73"/>
      <c r="GT2483" s="73"/>
      <c r="GU2483" s="73"/>
      <c r="GV2483" s="73"/>
      <c r="GW2483" s="73"/>
      <c r="GX2483" s="73"/>
      <c r="GY2483" s="73"/>
      <c r="GZ2483" s="73"/>
      <c r="HA2483" s="73"/>
      <c r="HB2483" s="73"/>
      <c r="HC2483" s="73"/>
      <c r="HD2483" s="73"/>
      <c r="HE2483" s="73"/>
      <c r="HF2483" s="73"/>
      <c r="HG2483" s="73"/>
      <c r="HH2483" s="73"/>
      <c r="HI2483" s="73"/>
      <c r="HJ2483" s="73"/>
      <c r="HK2483" s="73"/>
      <c r="HL2483" s="73"/>
      <c r="HM2483" s="73"/>
      <c r="HN2483" s="73"/>
      <c r="HO2483" s="73"/>
      <c r="HP2483" s="73"/>
      <c r="HQ2483" s="73"/>
      <c r="HR2483" s="73"/>
      <c r="HS2483" s="73"/>
      <c r="HT2483" s="73"/>
      <c r="HU2483" s="73"/>
      <c r="HV2483" s="73"/>
      <c r="HW2483" s="73"/>
      <c r="HX2483" s="73"/>
      <c r="HY2483" s="73"/>
      <c r="HZ2483" s="73"/>
      <c r="IA2483" s="73"/>
      <c r="IB2483" s="73"/>
      <c r="IC2483" s="73"/>
      <c r="ID2483" s="73"/>
      <c r="IE2483" s="73"/>
      <c r="IF2483" s="73"/>
      <c r="IG2483" s="73"/>
      <c r="IH2483" s="73"/>
      <c r="II2483" s="73"/>
      <c r="IJ2483" s="73"/>
      <c r="IK2483" s="73"/>
      <c r="IL2483" s="73"/>
      <c r="IM2483" s="73"/>
      <c r="IN2483" s="73"/>
      <c r="IO2483" s="73"/>
      <c r="IP2483" s="73"/>
      <c r="IQ2483" s="73"/>
      <c r="IR2483" s="73"/>
      <c r="IS2483" s="73"/>
      <c r="IT2483" s="73"/>
      <c r="IU2483" s="73"/>
      <c r="IV2483" s="73"/>
      <c r="IW2483" s="73"/>
      <c r="IX2483" s="73"/>
      <c r="IY2483" s="73"/>
      <c r="IZ2483" s="73"/>
      <c r="JA2483" s="73"/>
      <c r="JB2483" s="73"/>
      <c r="JC2483" s="73"/>
    </row>
    <row r="2484" spans="2:263" s="72" customFormat="1">
      <c r="B2484" s="73"/>
      <c r="C2484" s="73"/>
      <c r="D2484" s="73"/>
      <c r="E2484" s="73"/>
      <c r="F2484" s="73"/>
      <c r="G2484" s="73"/>
      <c r="H2484" s="73"/>
      <c r="I2484" s="73"/>
      <c r="J2484" s="73"/>
      <c r="K2484" s="73"/>
      <c r="L2484" s="73"/>
      <c r="M2484" s="73"/>
      <c r="N2484" s="73"/>
      <c r="O2484" s="73"/>
      <c r="P2484" s="73"/>
      <c r="Q2484" s="73"/>
      <c r="R2484" s="73"/>
      <c r="S2484" s="73"/>
      <c r="T2484" s="73"/>
      <c r="U2484" s="73"/>
      <c r="V2484" s="73"/>
      <c r="W2484" s="73"/>
      <c r="GL2484" s="73"/>
      <c r="GM2484" s="73"/>
      <c r="GN2484" s="73"/>
      <c r="GO2484" s="73"/>
      <c r="GP2484" s="73"/>
      <c r="GQ2484" s="73"/>
      <c r="GR2484" s="73"/>
      <c r="GS2484" s="73"/>
      <c r="GT2484" s="73"/>
      <c r="GU2484" s="73"/>
      <c r="GV2484" s="73"/>
      <c r="GW2484" s="73"/>
      <c r="GX2484" s="73"/>
      <c r="GY2484" s="73"/>
      <c r="GZ2484" s="73"/>
      <c r="HA2484" s="73"/>
      <c r="HB2484" s="73"/>
      <c r="HC2484" s="73"/>
      <c r="HD2484" s="73"/>
      <c r="HE2484" s="73"/>
      <c r="HF2484" s="73"/>
      <c r="HG2484" s="73"/>
      <c r="HH2484" s="73"/>
      <c r="HI2484" s="73"/>
      <c r="HJ2484" s="73"/>
      <c r="HK2484" s="73"/>
      <c r="HL2484" s="73"/>
      <c r="HM2484" s="73"/>
      <c r="HN2484" s="73"/>
      <c r="HO2484" s="73"/>
      <c r="HP2484" s="73"/>
      <c r="HQ2484" s="73"/>
      <c r="HR2484" s="73"/>
      <c r="HS2484" s="73"/>
      <c r="HT2484" s="73"/>
      <c r="HU2484" s="73"/>
      <c r="HV2484" s="73"/>
      <c r="HW2484" s="73"/>
      <c r="HX2484" s="73"/>
      <c r="HY2484" s="73"/>
      <c r="HZ2484" s="73"/>
      <c r="IA2484" s="73"/>
      <c r="IB2484" s="73"/>
      <c r="IC2484" s="73"/>
      <c r="ID2484" s="73"/>
      <c r="IE2484" s="73"/>
      <c r="IF2484" s="73"/>
      <c r="IG2484" s="73"/>
      <c r="IH2484" s="73"/>
      <c r="II2484" s="73"/>
      <c r="IJ2484" s="73"/>
      <c r="IK2484" s="73"/>
      <c r="IL2484" s="73"/>
      <c r="IM2484" s="73"/>
      <c r="IN2484" s="73"/>
      <c r="IO2484" s="73"/>
      <c r="IP2484" s="73"/>
      <c r="IQ2484" s="73"/>
      <c r="IR2484" s="73"/>
      <c r="IS2484" s="73"/>
      <c r="IT2484" s="73"/>
      <c r="IU2484" s="73"/>
      <c r="IV2484" s="73"/>
      <c r="IW2484" s="73"/>
      <c r="IX2484" s="73"/>
      <c r="IY2484" s="73"/>
      <c r="IZ2484" s="73"/>
      <c r="JA2484" s="73"/>
      <c r="JB2484" s="73"/>
      <c r="JC2484" s="73"/>
    </row>
    <row r="2485" spans="2:263" s="72" customFormat="1">
      <c r="B2485" s="73"/>
      <c r="C2485" s="73"/>
      <c r="D2485" s="73"/>
      <c r="E2485" s="73"/>
      <c r="F2485" s="73"/>
      <c r="G2485" s="73"/>
      <c r="H2485" s="73"/>
      <c r="I2485" s="73"/>
      <c r="J2485" s="73"/>
      <c r="K2485" s="73"/>
      <c r="L2485" s="73"/>
      <c r="M2485" s="73"/>
      <c r="N2485" s="73"/>
      <c r="O2485" s="73"/>
      <c r="P2485" s="73"/>
      <c r="Q2485" s="73"/>
      <c r="R2485" s="73"/>
      <c r="S2485" s="73"/>
      <c r="T2485" s="73"/>
      <c r="U2485" s="73"/>
      <c r="V2485" s="73"/>
      <c r="W2485" s="73"/>
      <c r="GL2485" s="73"/>
      <c r="GM2485" s="73"/>
      <c r="GN2485" s="73"/>
      <c r="GO2485" s="73"/>
      <c r="GP2485" s="73"/>
      <c r="GQ2485" s="73"/>
      <c r="GR2485" s="73"/>
      <c r="GS2485" s="73"/>
      <c r="GT2485" s="73"/>
      <c r="GU2485" s="73"/>
      <c r="GV2485" s="73"/>
      <c r="GW2485" s="73"/>
      <c r="GX2485" s="73"/>
      <c r="GY2485" s="73"/>
      <c r="GZ2485" s="73"/>
      <c r="HA2485" s="73"/>
      <c r="HB2485" s="73"/>
      <c r="HC2485" s="73"/>
      <c r="HD2485" s="73"/>
      <c r="HE2485" s="73"/>
      <c r="HF2485" s="73"/>
      <c r="HG2485" s="73"/>
      <c r="HH2485" s="73"/>
      <c r="HI2485" s="73"/>
      <c r="HJ2485" s="73"/>
      <c r="HK2485" s="73"/>
      <c r="HL2485" s="73"/>
      <c r="HM2485" s="73"/>
      <c r="HN2485" s="73"/>
      <c r="HO2485" s="73"/>
      <c r="HP2485" s="73"/>
      <c r="HQ2485" s="73"/>
      <c r="HR2485" s="73"/>
      <c r="HS2485" s="73"/>
      <c r="HT2485" s="73"/>
      <c r="HU2485" s="73"/>
      <c r="HV2485" s="73"/>
      <c r="HW2485" s="73"/>
      <c r="HX2485" s="73"/>
      <c r="HY2485" s="73"/>
      <c r="HZ2485" s="73"/>
      <c r="IA2485" s="73"/>
      <c r="IB2485" s="73"/>
      <c r="IC2485" s="73"/>
      <c r="ID2485" s="73"/>
      <c r="IE2485" s="73"/>
      <c r="IF2485" s="73"/>
      <c r="IG2485" s="73"/>
      <c r="IH2485" s="73"/>
      <c r="II2485" s="73"/>
      <c r="IJ2485" s="73"/>
      <c r="IK2485" s="73"/>
      <c r="IL2485" s="73"/>
      <c r="IM2485" s="73"/>
      <c r="IN2485" s="73"/>
      <c r="IO2485" s="73"/>
      <c r="IP2485" s="73"/>
      <c r="IQ2485" s="73"/>
      <c r="IR2485" s="73"/>
      <c r="IS2485" s="73"/>
      <c r="IT2485" s="73"/>
      <c r="IU2485" s="73"/>
      <c r="IV2485" s="73"/>
      <c r="IW2485" s="73"/>
      <c r="IX2485" s="73"/>
      <c r="IY2485" s="73"/>
      <c r="IZ2485" s="73"/>
      <c r="JA2485" s="73"/>
      <c r="JB2485" s="73"/>
      <c r="JC2485" s="73"/>
    </row>
    <row r="2486" spans="2:263" s="72" customFormat="1">
      <c r="B2486" s="73"/>
      <c r="C2486" s="73"/>
      <c r="D2486" s="73"/>
      <c r="E2486" s="73"/>
      <c r="F2486" s="73"/>
      <c r="G2486" s="73"/>
      <c r="H2486" s="73"/>
      <c r="I2486" s="73"/>
      <c r="J2486" s="73"/>
      <c r="K2486" s="73"/>
      <c r="L2486" s="73"/>
      <c r="M2486" s="73"/>
      <c r="N2486" s="73"/>
      <c r="O2486" s="73"/>
      <c r="P2486" s="73"/>
      <c r="Q2486" s="73"/>
      <c r="R2486" s="73"/>
      <c r="S2486" s="73"/>
      <c r="T2486" s="73"/>
      <c r="U2486" s="73"/>
      <c r="V2486" s="73"/>
      <c r="W2486" s="73"/>
      <c r="GL2486" s="73"/>
      <c r="GM2486" s="73"/>
      <c r="GN2486" s="73"/>
      <c r="GO2486" s="73"/>
      <c r="GP2486" s="73"/>
      <c r="GQ2486" s="73"/>
      <c r="GR2486" s="73"/>
      <c r="GS2486" s="73"/>
      <c r="GT2486" s="73"/>
      <c r="GU2486" s="73"/>
      <c r="GV2486" s="73"/>
      <c r="GW2486" s="73"/>
      <c r="GX2486" s="73"/>
      <c r="GY2486" s="73"/>
      <c r="GZ2486" s="73"/>
      <c r="HA2486" s="73"/>
      <c r="HB2486" s="73"/>
      <c r="HC2486" s="73"/>
      <c r="HD2486" s="73"/>
      <c r="HE2486" s="73"/>
      <c r="HF2486" s="73"/>
      <c r="HG2486" s="73"/>
      <c r="HH2486" s="73"/>
      <c r="HI2486" s="73"/>
      <c r="HJ2486" s="73"/>
      <c r="HK2486" s="73"/>
      <c r="HL2486" s="73"/>
      <c r="HM2486" s="73"/>
      <c r="HN2486" s="73"/>
      <c r="HO2486" s="73"/>
      <c r="HP2486" s="73"/>
      <c r="HQ2486" s="73"/>
      <c r="HR2486" s="73"/>
      <c r="HS2486" s="73"/>
      <c r="HT2486" s="73"/>
      <c r="HU2486" s="73"/>
      <c r="HV2486" s="73"/>
      <c r="HW2486" s="73"/>
      <c r="HX2486" s="73"/>
      <c r="HY2486" s="73"/>
      <c r="HZ2486" s="73"/>
      <c r="IA2486" s="73"/>
      <c r="IB2486" s="73"/>
      <c r="IC2486" s="73"/>
      <c r="ID2486" s="73"/>
      <c r="IE2486" s="73"/>
      <c r="IF2486" s="73"/>
      <c r="IG2486" s="73"/>
      <c r="IH2486" s="73"/>
      <c r="II2486" s="73"/>
      <c r="IJ2486" s="73"/>
      <c r="IK2486" s="73"/>
      <c r="IL2486" s="73"/>
      <c r="IM2486" s="73"/>
      <c r="IN2486" s="73"/>
      <c r="IO2486" s="73"/>
      <c r="IP2486" s="73"/>
      <c r="IQ2486" s="73"/>
      <c r="IR2486" s="73"/>
      <c r="IS2486" s="73"/>
      <c r="IT2486" s="73"/>
      <c r="IU2486" s="73"/>
      <c r="IV2486" s="73"/>
      <c r="IW2486" s="73"/>
      <c r="IX2486" s="73"/>
      <c r="IY2486" s="73"/>
      <c r="IZ2486" s="73"/>
      <c r="JA2486" s="73"/>
      <c r="JB2486" s="73"/>
      <c r="JC2486" s="73"/>
    </row>
    <row r="2487" spans="2:263" s="72" customFormat="1">
      <c r="B2487" s="73"/>
      <c r="C2487" s="73"/>
      <c r="D2487" s="73"/>
      <c r="E2487" s="73"/>
      <c r="F2487" s="73"/>
      <c r="G2487" s="73"/>
      <c r="H2487" s="73"/>
      <c r="I2487" s="73"/>
      <c r="J2487" s="73"/>
      <c r="K2487" s="73"/>
      <c r="L2487" s="73"/>
      <c r="M2487" s="73"/>
      <c r="N2487" s="73"/>
      <c r="O2487" s="73"/>
      <c r="P2487" s="73"/>
      <c r="Q2487" s="73"/>
      <c r="R2487" s="73"/>
      <c r="S2487" s="73"/>
      <c r="T2487" s="73"/>
      <c r="U2487" s="73"/>
      <c r="V2487" s="73"/>
      <c r="W2487" s="73"/>
      <c r="GL2487" s="73"/>
      <c r="GM2487" s="73"/>
      <c r="GN2487" s="73"/>
      <c r="GO2487" s="73"/>
      <c r="GP2487" s="73"/>
      <c r="GQ2487" s="73"/>
      <c r="GR2487" s="73"/>
      <c r="GS2487" s="73"/>
      <c r="GT2487" s="73"/>
      <c r="GU2487" s="73"/>
      <c r="GV2487" s="73"/>
      <c r="GW2487" s="73"/>
      <c r="GX2487" s="73"/>
      <c r="GY2487" s="73"/>
      <c r="GZ2487" s="73"/>
      <c r="HA2487" s="73"/>
      <c r="HB2487" s="73"/>
      <c r="HC2487" s="73"/>
      <c r="HD2487" s="73"/>
      <c r="HE2487" s="73"/>
      <c r="HF2487" s="73"/>
      <c r="HG2487" s="73"/>
      <c r="HH2487" s="73"/>
      <c r="HI2487" s="73"/>
      <c r="HJ2487" s="73"/>
      <c r="HK2487" s="73"/>
      <c r="HL2487" s="73"/>
      <c r="HM2487" s="73"/>
      <c r="HN2487" s="73"/>
      <c r="HO2487" s="73"/>
      <c r="HP2487" s="73"/>
      <c r="HQ2487" s="73"/>
      <c r="HR2487" s="73"/>
      <c r="HS2487" s="73"/>
      <c r="HT2487" s="73"/>
      <c r="HU2487" s="73"/>
      <c r="HV2487" s="73"/>
      <c r="HW2487" s="73"/>
      <c r="HX2487" s="73"/>
      <c r="HY2487" s="73"/>
      <c r="HZ2487" s="73"/>
      <c r="IA2487" s="73"/>
      <c r="IB2487" s="73"/>
      <c r="IC2487" s="73"/>
      <c r="ID2487" s="73"/>
      <c r="IE2487" s="73"/>
      <c r="IF2487" s="73"/>
      <c r="IG2487" s="73"/>
      <c r="IH2487" s="73"/>
      <c r="II2487" s="73"/>
      <c r="IJ2487" s="73"/>
      <c r="IK2487" s="73"/>
      <c r="IL2487" s="73"/>
      <c r="IM2487" s="73"/>
      <c r="IN2487" s="73"/>
      <c r="IO2487" s="73"/>
      <c r="IP2487" s="73"/>
      <c r="IQ2487" s="73"/>
      <c r="IR2487" s="73"/>
      <c r="IS2487" s="73"/>
      <c r="IT2487" s="73"/>
      <c r="IU2487" s="73"/>
      <c r="IV2487" s="73"/>
      <c r="IW2487" s="73"/>
      <c r="IX2487" s="73"/>
      <c r="IY2487" s="73"/>
      <c r="IZ2487" s="73"/>
      <c r="JA2487" s="73"/>
      <c r="JB2487" s="73"/>
      <c r="JC2487" s="73"/>
    </row>
    <row r="2488" spans="2:263" s="72" customFormat="1">
      <c r="B2488" s="73"/>
      <c r="C2488" s="73"/>
      <c r="D2488" s="73"/>
      <c r="E2488" s="73"/>
      <c r="F2488" s="73"/>
      <c r="G2488" s="73"/>
      <c r="H2488" s="73"/>
      <c r="I2488" s="73"/>
      <c r="J2488" s="73"/>
      <c r="K2488" s="73"/>
      <c r="L2488" s="73"/>
      <c r="M2488" s="73"/>
      <c r="N2488" s="73"/>
      <c r="O2488" s="73"/>
      <c r="P2488" s="73"/>
      <c r="Q2488" s="73"/>
      <c r="R2488" s="73"/>
      <c r="S2488" s="73"/>
      <c r="T2488" s="73"/>
      <c r="U2488" s="73"/>
      <c r="V2488" s="73"/>
      <c r="W2488" s="73"/>
      <c r="GL2488" s="73"/>
      <c r="GM2488" s="73"/>
      <c r="GN2488" s="73"/>
      <c r="GO2488" s="73"/>
      <c r="GP2488" s="73"/>
      <c r="GQ2488" s="73"/>
      <c r="GR2488" s="73"/>
      <c r="GS2488" s="73"/>
      <c r="GT2488" s="73"/>
      <c r="GU2488" s="73"/>
      <c r="GV2488" s="73"/>
      <c r="GW2488" s="73"/>
      <c r="GX2488" s="73"/>
      <c r="GY2488" s="73"/>
      <c r="GZ2488" s="73"/>
      <c r="HA2488" s="73"/>
      <c r="HB2488" s="73"/>
      <c r="HC2488" s="73"/>
      <c r="HD2488" s="73"/>
      <c r="HE2488" s="73"/>
      <c r="HF2488" s="73"/>
      <c r="HG2488" s="73"/>
      <c r="HH2488" s="73"/>
      <c r="HI2488" s="73"/>
      <c r="HJ2488" s="73"/>
      <c r="HK2488" s="73"/>
      <c r="HL2488" s="73"/>
      <c r="HM2488" s="73"/>
      <c r="HN2488" s="73"/>
      <c r="HO2488" s="73"/>
      <c r="HP2488" s="73"/>
      <c r="HQ2488" s="73"/>
      <c r="HR2488" s="73"/>
      <c r="HS2488" s="73"/>
      <c r="HT2488" s="73"/>
      <c r="HU2488" s="73"/>
      <c r="HV2488" s="73"/>
      <c r="HW2488" s="73"/>
      <c r="HX2488" s="73"/>
      <c r="HY2488" s="73"/>
      <c r="HZ2488" s="73"/>
      <c r="IA2488" s="73"/>
      <c r="IB2488" s="73"/>
      <c r="IC2488" s="73"/>
      <c r="ID2488" s="73"/>
      <c r="IE2488" s="73"/>
      <c r="IF2488" s="73"/>
      <c r="IG2488" s="73"/>
      <c r="IH2488" s="73"/>
      <c r="II2488" s="73"/>
      <c r="IJ2488" s="73"/>
      <c r="IK2488" s="73"/>
      <c r="IL2488" s="73"/>
      <c r="IM2488" s="73"/>
      <c r="IN2488" s="73"/>
      <c r="IO2488" s="73"/>
      <c r="IP2488" s="73"/>
      <c r="IQ2488" s="73"/>
      <c r="IR2488" s="73"/>
      <c r="IS2488" s="73"/>
      <c r="IT2488" s="73"/>
      <c r="IU2488" s="73"/>
      <c r="IV2488" s="73"/>
      <c r="IW2488" s="73"/>
      <c r="IX2488" s="73"/>
      <c r="IY2488" s="73"/>
      <c r="IZ2488" s="73"/>
      <c r="JA2488" s="73"/>
      <c r="JB2488" s="73"/>
      <c r="JC2488" s="73"/>
    </row>
    <row r="2489" spans="2:263" s="72" customFormat="1">
      <c r="B2489" s="73"/>
      <c r="C2489" s="73"/>
      <c r="D2489" s="73"/>
      <c r="E2489" s="73"/>
      <c r="F2489" s="73"/>
      <c r="G2489" s="73"/>
      <c r="H2489" s="73"/>
      <c r="I2489" s="73"/>
      <c r="J2489" s="73"/>
      <c r="K2489" s="73"/>
      <c r="L2489" s="73"/>
      <c r="M2489" s="73"/>
      <c r="N2489" s="73"/>
      <c r="O2489" s="73"/>
      <c r="P2489" s="73"/>
      <c r="Q2489" s="73"/>
      <c r="R2489" s="73"/>
      <c r="S2489" s="73"/>
      <c r="T2489" s="73"/>
      <c r="U2489" s="73"/>
      <c r="V2489" s="73"/>
      <c r="W2489" s="73"/>
      <c r="GL2489" s="73"/>
      <c r="GM2489" s="73"/>
      <c r="GN2489" s="73"/>
      <c r="GO2489" s="73"/>
      <c r="GP2489" s="73"/>
      <c r="GQ2489" s="73"/>
      <c r="GR2489" s="73"/>
      <c r="GS2489" s="73"/>
      <c r="GT2489" s="73"/>
      <c r="GU2489" s="73"/>
      <c r="GV2489" s="73"/>
      <c r="GW2489" s="73"/>
      <c r="GX2489" s="73"/>
      <c r="GY2489" s="73"/>
      <c r="GZ2489" s="73"/>
      <c r="HA2489" s="73"/>
      <c r="HB2489" s="73"/>
      <c r="HC2489" s="73"/>
      <c r="HD2489" s="73"/>
      <c r="HE2489" s="73"/>
      <c r="HF2489" s="73"/>
      <c r="HG2489" s="73"/>
      <c r="HH2489" s="73"/>
      <c r="HI2489" s="73"/>
      <c r="HJ2489" s="73"/>
      <c r="HK2489" s="73"/>
      <c r="HL2489" s="73"/>
      <c r="HM2489" s="73"/>
      <c r="HN2489" s="73"/>
      <c r="HO2489" s="73"/>
      <c r="HP2489" s="73"/>
      <c r="HQ2489" s="73"/>
      <c r="HR2489" s="73"/>
      <c r="HS2489" s="73"/>
      <c r="HT2489" s="73"/>
      <c r="HU2489" s="73"/>
      <c r="HV2489" s="73"/>
      <c r="HW2489" s="73"/>
      <c r="HX2489" s="73"/>
      <c r="HY2489" s="73"/>
      <c r="HZ2489" s="73"/>
      <c r="IA2489" s="73"/>
      <c r="IB2489" s="73"/>
      <c r="IC2489" s="73"/>
      <c r="ID2489" s="73"/>
      <c r="IE2489" s="73"/>
      <c r="IF2489" s="73"/>
      <c r="IG2489" s="73"/>
      <c r="IH2489" s="73"/>
      <c r="II2489" s="73"/>
      <c r="IJ2489" s="73"/>
      <c r="IK2489" s="73"/>
      <c r="IL2489" s="73"/>
      <c r="IM2489" s="73"/>
      <c r="IN2489" s="73"/>
      <c r="IO2489" s="73"/>
      <c r="IP2489" s="73"/>
      <c r="IQ2489" s="73"/>
      <c r="IR2489" s="73"/>
      <c r="IS2489" s="73"/>
      <c r="IT2489" s="73"/>
      <c r="IU2489" s="73"/>
      <c r="IV2489" s="73"/>
      <c r="IW2489" s="73"/>
      <c r="IX2489" s="73"/>
      <c r="IY2489" s="73"/>
      <c r="IZ2489" s="73"/>
      <c r="JA2489" s="73"/>
      <c r="JB2489" s="73"/>
      <c r="JC2489" s="73"/>
    </row>
    <row r="2490" spans="2:263" s="72" customFormat="1">
      <c r="B2490" s="73"/>
      <c r="C2490" s="73"/>
      <c r="D2490" s="73"/>
      <c r="E2490" s="73"/>
      <c r="F2490" s="73"/>
      <c r="G2490" s="73"/>
      <c r="H2490" s="73"/>
      <c r="I2490" s="73"/>
      <c r="J2490" s="73"/>
      <c r="K2490" s="73"/>
      <c r="L2490" s="73"/>
      <c r="M2490" s="73"/>
      <c r="N2490" s="73"/>
      <c r="O2490" s="73"/>
      <c r="P2490" s="73"/>
      <c r="Q2490" s="73"/>
      <c r="R2490" s="73"/>
      <c r="S2490" s="73"/>
      <c r="T2490" s="73"/>
      <c r="U2490" s="73"/>
      <c r="V2490" s="73"/>
      <c r="W2490" s="73"/>
      <c r="GL2490" s="73"/>
      <c r="GM2490" s="73"/>
      <c r="GN2490" s="73"/>
      <c r="GO2490" s="73"/>
      <c r="GP2490" s="73"/>
      <c r="GQ2490" s="73"/>
      <c r="GR2490" s="73"/>
      <c r="GS2490" s="73"/>
      <c r="GT2490" s="73"/>
      <c r="GU2490" s="73"/>
      <c r="GV2490" s="73"/>
      <c r="GW2490" s="73"/>
      <c r="GX2490" s="73"/>
      <c r="GY2490" s="73"/>
      <c r="GZ2490" s="73"/>
      <c r="HA2490" s="73"/>
      <c r="HB2490" s="73"/>
      <c r="HC2490" s="73"/>
      <c r="HD2490" s="73"/>
      <c r="HE2490" s="73"/>
      <c r="HF2490" s="73"/>
      <c r="HG2490" s="73"/>
      <c r="HH2490" s="73"/>
      <c r="HI2490" s="73"/>
      <c r="HJ2490" s="73"/>
      <c r="HK2490" s="73"/>
      <c r="HL2490" s="73"/>
      <c r="HM2490" s="73"/>
      <c r="HN2490" s="73"/>
      <c r="HO2490" s="73"/>
      <c r="HP2490" s="73"/>
      <c r="HQ2490" s="73"/>
      <c r="HR2490" s="73"/>
      <c r="HS2490" s="73"/>
      <c r="HT2490" s="73"/>
      <c r="HU2490" s="73"/>
      <c r="HV2490" s="73"/>
      <c r="HW2490" s="73"/>
      <c r="HX2490" s="73"/>
      <c r="HY2490" s="73"/>
      <c r="HZ2490" s="73"/>
      <c r="IA2490" s="73"/>
      <c r="IB2490" s="73"/>
      <c r="IC2490" s="73"/>
      <c r="ID2490" s="73"/>
      <c r="IE2490" s="73"/>
      <c r="IF2490" s="73"/>
      <c r="IG2490" s="73"/>
      <c r="IH2490" s="73"/>
      <c r="II2490" s="73"/>
      <c r="IJ2490" s="73"/>
      <c r="IK2490" s="73"/>
      <c r="IL2490" s="73"/>
      <c r="IM2490" s="73"/>
      <c r="IN2490" s="73"/>
      <c r="IO2490" s="73"/>
      <c r="IP2490" s="73"/>
      <c r="IQ2490" s="73"/>
      <c r="IR2490" s="73"/>
      <c r="IS2490" s="73"/>
      <c r="IT2490" s="73"/>
      <c r="IU2490" s="73"/>
      <c r="IV2490" s="73"/>
      <c r="IW2490" s="73"/>
      <c r="IX2490" s="73"/>
      <c r="IY2490" s="73"/>
      <c r="IZ2490" s="73"/>
      <c r="JA2490" s="73"/>
      <c r="JB2490" s="73"/>
      <c r="JC2490" s="73"/>
    </row>
    <row r="2491" spans="2:263" s="72" customFormat="1">
      <c r="B2491" s="73"/>
      <c r="C2491" s="73"/>
      <c r="D2491" s="73"/>
      <c r="E2491" s="73"/>
      <c r="F2491" s="73"/>
      <c r="G2491" s="73"/>
      <c r="H2491" s="73"/>
      <c r="I2491" s="73"/>
      <c r="J2491" s="73"/>
      <c r="K2491" s="73"/>
      <c r="L2491" s="73"/>
      <c r="M2491" s="73"/>
      <c r="N2491" s="73"/>
      <c r="O2491" s="73"/>
      <c r="P2491" s="73"/>
      <c r="Q2491" s="73"/>
      <c r="R2491" s="73"/>
      <c r="S2491" s="73"/>
      <c r="T2491" s="73"/>
      <c r="U2491" s="73"/>
      <c r="V2491" s="73"/>
      <c r="W2491" s="73"/>
      <c r="GL2491" s="73"/>
      <c r="GM2491" s="73"/>
      <c r="GN2491" s="73"/>
      <c r="GO2491" s="73"/>
      <c r="GP2491" s="73"/>
      <c r="GQ2491" s="73"/>
      <c r="GR2491" s="73"/>
      <c r="GS2491" s="73"/>
      <c r="GT2491" s="73"/>
      <c r="GU2491" s="73"/>
      <c r="GV2491" s="73"/>
      <c r="GW2491" s="73"/>
      <c r="GX2491" s="73"/>
      <c r="GY2491" s="73"/>
      <c r="GZ2491" s="73"/>
      <c r="HA2491" s="73"/>
      <c r="HB2491" s="73"/>
      <c r="HC2491" s="73"/>
      <c r="HD2491" s="73"/>
      <c r="HE2491" s="73"/>
      <c r="HF2491" s="73"/>
      <c r="HG2491" s="73"/>
      <c r="HH2491" s="73"/>
      <c r="HI2491" s="73"/>
      <c r="HJ2491" s="73"/>
      <c r="HK2491" s="73"/>
      <c r="HL2491" s="73"/>
      <c r="HM2491" s="73"/>
      <c r="HN2491" s="73"/>
      <c r="HO2491" s="73"/>
      <c r="HP2491" s="73"/>
      <c r="HQ2491" s="73"/>
      <c r="HR2491" s="73"/>
      <c r="HS2491" s="73"/>
      <c r="HT2491" s="73"/>
      <c r="HU2491" s="73"/>
      <c r="HV2491" s="73"/>
      <c r="HW2491" s="73"/>
      <c r="HX2491" s="73"/>
      <c r="HY2491" s="73"/>
      <c r="HZ2491" s="73"/>
      <c r="IA2491" s="73"/>
      <c r="IB2491" s="73"/>
      <c r="IC2491" s="73"/>
      <c r="ID2491" s="73"/>
      <c r="IE2491" s="73"/>
      <c r="IF2491" s="73"/>
      <c r="IG2491" s="73"/>
      <c r="IH2491" s="73"/>
      <c r="II2491" s="73"/>
      <c r="IJ2491" s="73"/>
      <c r="IK2491" s="73"/>
      <c r="IL2491" s="73"/>
      <c r="IM2491" s="73"/>
      <c r="IN2491" s="73"/>
      <c r="IO2491" s="73"/>
      <c r="IP2491" s="73"/>
      <c r="IQ2491" s="73"/>
      <c r="IR2491" s="73"/>
      <c r="IS2491" s="73"/>
      <c r="IT2491" s="73"/>
      <c r="IU2491" s="73"/>
      <c r="IV2491" s="73"/>
      <c r="IW2491" s="73"/>
      <c r="IX2491" s="73"/>
      <c r="IY2491" s="73"/>
      <c r="IZ2491" s="73"/>
      <c r="JA2491" s="73"/>
      <c r="JB2491" s="73"/>
      <c r="JC2491" s="73"/>
    </row>
    <row r="2492" spans="2:263" s="72" customFormat="1">
      <c r="B2492" s="73"/>
      <c r="C2492" s="73"/>
      <c r="D2492" s="73"/>
      <c r="E2492" s="73"/>
      <c r="F2492" s="73"/>
      <c r="G2492" s="73"/>
      <c r="H2492" s="73"/>
      <c r="I2492" s="73"/>
      <c r="J2492" s="73"/>
      <c r="K2492" s="73"/>
      <c r="L2492" s="73"/>
      <c r="M2492" s="73"/>
      <c r="N2492" s="73"/>
      <c r="O2492" s="73"/>
      <c r="P2492" s="73"/>
      <c r="Q2492" s="73"/>
      <c r="R2492" s="73"/>
      <c r="S2492" s="73"/>
      <c r="T2492" s="73"/>
      <c r="U2492" s="73"/>
      <c r="V2492" s="73"/>
      <c r="W2492" s="73"/>
      <c r="GL2492" s="73"/>
      <c r="GM2492" s="73"/>
      <c r="GN2492" s="73"/>
      <c r="GO2492" s="73"/>
      <c r="GP2492" s="73"/>
      <c r="GQ2492" s="73"/>
      <c r="GR2492" s="73"/>
      <c r="GS2492" s="73"/>
      <c r="GT2492" s="73"/>
      <c r="GU2492" s="73"/>
      <c r="GV2492" s="73"/>
      <c r="GW2492" s="73"/>
      <c r="GX2492" s="73"/>
      <c r="GY2492" s="73"/>
      <c r="GZ2492" s="73"/>
      <c r="HA2492" s="73"/>
      <c r="HB2492" s="73"/>
      <c r="HC2492" s="73"/>
      <c r="HD2492" s="73"/>
      <c r="HE2492" s="73"/>
      <c r="HF2492" s="73"/>
      <c r="HG2492" s="73"/>
      <c r="HH2492" s="73"/>
      <c r="HI2492" s="73"/>
      <c r="HJ2492" s="73"/>
      <c r="HK2492" s="73"/>
      <c r="HL2492" s="73"/>
      <c r="HM2492" s="73"/>
      <c r="HN2492" s="73"/>
      <c r="HO2492" s="73"/>
      <c r="HP2492" s="73"/>
      <c r="HQ2492" s="73"/>
      <c r="HR2492" s="73"/>
      <c r="HS2492" s="73"/>
      <c r="HT2492" s="73"/>
      <c r="HU2492" s="73"/>
      <c r="HV2492" s="73"/>
      <c r="HW2492" s="73"/>
      <c r="HX2492" s="73"/>
      <c r="HY2492" s="73"/>
      <c r="HZ2492" s="73"/>
      <c r="IA2492" s="73"/>
      <c r="IB2492" s="73"/>
      <c r="IC2492" s="73"/>
      <c r="ID2492" s="73"/>
      <c r="IE2492" s="73"/>
      <c r="IF2492" s="73"/>
      <c r="IG2492" s="73"/>
      <c r="IH2492" s="73"/>
      <c r="II2492" s="73"/>
      <c r="IJ2492" s="73"/>
      <c r="IK2492" s="73"/>
      <c r="IL2492" s="73"/>
      <c r="IM2492" s="73"/>
      <c r="IN2492" s="73"/>
      <c r="IO2492" s="73"/>
      <c r="IP2492" s="73"/>
      <c r="IQ2492" s="73"/>
      <c r="IR2492" s="73"/>
      <c r="IS2492" s="73"/>
      <c r="IT2492" s="73"/>
      <c r="IU2492" s="73"/>
      <c r="IV2492" s="73"/>
      <c r="IW2492" s="73"/>
      <c r="IX2492" s="73"/>
      <c r="IY2492" s="73"/>
      <c r="IZ2492" s="73"/>
      <c r="JA2492" s="73"/>
      <c r="JB2492" s="73"/>
      <c r="JC2492" s="73"/>
    </row>
    <row r="2493" spans="2:263" s="72" customFormat="1">
      <c r="B2493" s="73"/>
      <c r="C2493" s="73"/>
      <c r="D2493" s="73"/>
      <c r="E2493" s="73"/>
      <c r="F2493" s="73"/>
      <c r="G2493" s="73"/>
      <c r="H2493" s="73"/>
      <c r="I2493" s="73"/>
      <c r="J2493" s="73"/>
      <c r="K2493" s="73"/>
      <c r="L2493" s="73"/>
      <c r="M2493" s="73"/>
      <c r="N2493" s="73"/>
      <c r="O2493" s="73"/>
      <c r="P2493" s="73"/>
      <c r="Q2493" s="73"/>
      <c r="R2493" s="73"/>
      <c r="S2493" s="73"/>
      <c r="T2493" s="73"/>
      <c r="U2493" s="73"/>
      <c r="V2493" s="73"/>
      <c r="W2493" s="73"/>
      <c r="GL2493" s="73"/>
      <c r="GM2493" s="73"/>
      <c r="GN2493" s="73"/>
      <c r="GO2493" s="73"/>
      <c r="GP2493" s="73"/>
      <c r="GQ2493" s="73"/>
      <c r="GR2493" s="73"/>
      <c r="GS2493" s="73"/>
      <c r="GT2493" s="73"/>
      <c r="GU2493" s="73"/>
      <c r="GV2493" s="73"/>
      <c r="GW2493" s="73"/>
      <c r="GX2493" s="73"/>
      <c r="GY2493" s="73"/>
      <c r="GZ2493" s="73"/>
      <c r="HA2493" s="73"/>
      <c r="HB2493" s="73"/>
      <c r="HC2493" s="73"/>
      <c r="HD2493" s="73"/>
      <c r="HE2493" s="73"/>
      <c r="HF2493" s="73"/>
      <c r="HG2493" s="73"/>
      <c r="HH2493" s="73"/>
      <c r="HI2493" s="73"/>
      <c r="HJ2493" s="73"/>
      <c r="HK2493" s="73"/>
      <c r="HL2493" s="73"/>
      <c r="HM2493" s="73"/>
      <c r="HN2493" s="73"/>
      <c r="HO2493" s="73"/>
      <c r="HP2493" s="73"/>
      <c r="HQ2493" s="73"/>
      <c r="HR2493" s="73"/>
      <c r="HS2493" s="73"/>
      <c r="HT2493" s="73"/>
      <c r="HU2493" s="73"/>
      <c r="HV2493" s="73"/>
      <c r="HW2493" s="73"/>
      <c r="HX2493" s="73"/>
      <c r="HY2493" s="73"/>
      <c r="HZ2493" s="73"/>
      <c r="IA2493" s="73"/>
      <c r="IB2493" s="73"/>
      <c r="IC2493" s="73"/>
      <c r="ID2493" s="73"/>
      <c r="IE2493" s="73"/>
      <c r="IF2493" s="73"/>
      <c r="IG2493" s="73"/>
      <c r="IH2493" s="73"/>
      <c r="II2493" s="73"/>
      <c r="IJ2493" s="73"/>
      <c r="IK2493" s="73"/>
      <c r="IL2493" s="73"/>
      <c r="IM2493" s="73"/>
      <c r="IN2493" s="73"/>
      <c r="IO2493" s="73"/>
      <c r="IP2493" s="73"/>
      <c r="IQ2493" s="73"/>
      <c r="IR2493" s="73"/>
      <c r="IS2493" s="73"/>
      <c r="IT2493" s="73"/>
      <c r="IU2493" s="73"/>
      <c r="IV2493" s="73"/>
      <c r="IW2493" s="73"/>
      <c r="IX2493" s="73"/>
      <c r="IY2493" s="73"/>
      <c r="IZ2493" s="73"/>
      <c r="JA2493" s="73"/>
      <c r="JB2493" s="73"/>
      <c r="JC2493" s="73"/>
    </row>
    <row r="2494" spans="2:263" s="72" customFormat="1">
      <c r="B2494" s="73"/>
      <c r="C2494" s="73"/>
      <c r="D2494" s="73"/>
      <c r="E2494" s="73"/>
      <c r="F2494" s="73"/>
      <c r="G2494" s="73"/>
      <c r="H2494" s="73"/>
      <c r="I2494" s="73"/>
      <c r="J2494" s="73"/>
      <c r="K2494" s="73"/>
      <c r="L2494" s="73"/>
      <c r="M2494" s="73"/>
      <c r="N2494" s="73"/>
      <c r="O2494" s="73"/>
      <c r="P2494" s="73"/>
      <c r="Q2494" s="73"/>
      <c r="R2494" s="73"/>
      <c r="S2494" s="73"/>
      <c r="T2494" s="73"/>
      <c r="U2494" s="73"/>
      <c r="V2494" s="73"/>
      <c r="W2494" s="73"/>
      <c r="GL2494" s="73"/>
      <c r="GM2494" s="73"/>
      <c r="GN2494" s="73"/>
      <c r="GO2494" s="73"/>
      <c r="GP2494" s="73"/>
      <c r="GQ2494" s="73"/>
      <c r="GR2494" s="73"/>
      <c r="GS2494" s="73"/>
      <c r="GT2494" s="73"/>
      <c r="GU2494" s="73"/>
      <c r="GV2494" s="73"/>
      <c r="GW2494" s="73"/>
      <c r="GX2494" s="73"/>
      <c r="GY2494" s="73"/>
      <c r="GZ2494" s="73"/>
      <c r="HA2494" s="73"/>
      <c r="HB2494" s="73"/>
      <c r="HC2494" s="73"/>
      <c r="HD2494" s="73"/>
      <c r="HE2494" s="73"/>
      <c r="HF2494" s="73"/>
      <c r="HG2494" s="73"/>
      <c r="HH2494" s="73"/>
      <c r="HI2494" s="73"/>
      <c r="HJ2494" s="73"/>
      <c r="HK2494" s="73"/>
      <c r="HL2494" s="73"/>
      <c r="HM2494" s="73"/>
      <c r="HN2494" s="73"/>
      <c r="HO2494" s="73"/>
      <c r="HP2494" s="73"/>
      <c r="HQ2494" s="73"/>
      <c r="HR2494" s="73"/>
      <c r="HS2494" s="73"/>
      <c r="HT2494" s="73"/>
      <c r="HU2494" s="73"/>
      <c r="HV2494" s="73"/>
      <c r="HW2494" s="73"/>
      <c r="HX2494" s="73"/>
      <c r="HY2494" s="73"/>
      <c r="HZ2494" s="73"/>
      <c r="IA2494" s="73"/>
      <c r="IB2494" s="73"/>
      <c r="IC2494" s="73"/>
      <c r="ID2494" s="73"/>
      <c r="IE2494" s="73"/>
      <c r="IF2494" s="73"/>
      <c r="IG2494" s="73"/>
      <c r="IH2494" s="73"/>
      <c r="II2494" s="73"/>
      <c r="IJ2494" s="73"/>
      <c r="IK2494" s="73"/>
      <c r="IL2494" s="73"/>
      <c r="IM2494" s="73"/>
      <c r="IN2494" s="73"/>
      <c r="IO2494" s="73"/>
      <c r="IP2494" s="73"/>
      <c r="IQ2494" s="73"/>
      <c r="IR2494" s="73"/>
      <c r="IS2494" s="73"/>
      <c r="IT2494" s="73"/>
      <c r="IU2494" s="73"/>
      <c r="IV2494" s="73"/>
      <c r="IW2494" s="73"/>
      <c r="IX2494" s="73"/>
      <c r="IY2494" s="73"/>
      <c r="IZ2494" s="73"/>
      <c r="JA2494" s="73"/>
      <c r="JB2494" s="73"/>
      <c r="JC2494" s="73"/>
    </row>
    <row r="2495" spans="2:263" s="72" customFormat="1">
      <c r="B2495" s="73"/>
      <c r="C2495" s="73"/>
      <c r="D2495" s="73"/>
      <c r="E2495" s="73"/>
      <c r="F2495" s="73"/>
      <c r="G2495" s="73"/>
      <c r="H2495" s="73"/>
      <c r="I2495" s="73"/>
      <c r="J2495" s="73"/>
      <c r="K2495" s="73"/>
      <c r="L2495" s="73"/>
      <c r="M2495" s="73"/>
      <c r="N2495" s="73"/>
      <c r="O2495" s="73"/>
      <c r="P2495" s="73"/>
      <c r="Q2495" s="73"/>
      <c r="R2495" s="73"/>
      <c r="S2495" s="73"/>
      <c r="T2495" s="73"/>
      <c r="U2495" s="73"/>
      <c r="V2495" s="73"/>
      <c r="W2495" s="73"/>
      <c r="GL2495" s="73"/>
      <c r="GM2495" s="73"/>
      <c r="GN2495" s="73"/>
      <c r="GO2495" s="73"/>
      <c r="GP2495" s="73"/>
      <c r="GQ2495" s="73"/>
      <c r="GR2495" s="73"/>
      <c r="GS2495" s="73"/>
      <c r="GT2495" s="73"/>
      <c r="GU2495" s="73"/>
      <c r="GV2495" s="73"/>
      <c r="GW2495" s="73"/>
      <c r="GX2495" s="73"/>
      <c r="GY2495" s="73"/>
      <c r="GZ2495" s="73"/>
      <c r="HA2495" s="73"/>
      <c r="HB2495" s="73"/>
      <c r="HC2495" s="73"/>
      <c r="HD2495" s="73"/>
      <c r="HE2495" s="73"/>
      <c r="HF2495" s="73"/>
      <c r="HG2495" s="73"/>
      <c r="HH2495" s="73"/>
      <c r="HI2495" s="73"/>
      <c r="HJ2495" s="73"/>
      <c r="HK2495" s="73"/>
      <c r="HL2495" s="73"/>
      <c r="HM2495" s="73"/>
      <c r="HN2495" s="73"/>
      <c r="HO2495" s="73"/>
      <c r="HP2495" s="73"/>
      <c r="HQ2495" s="73"/>
      <c r="HR2495" s="73"/>
      <c r="HS2495" s="73"/>
      <c r="HT2495" s="73"/>
      <c r="HU2495" s="73"/>
      <c r="HV2495" s="73"/>
      <c r="HW2495" s="73"/>
      <c r="HX2495" s="73"/>
      <c r="HY2495" s="73"/>
      <c r="HZ2495" s="73"/>
      <c r="IA2495" s="73"/>
      <c r="IB2495" s="73"/>
      <c r="IC2495" s="73"/>
      <c r="ID2495" s="73"/>
      <c r="IE2495" s="73"/>
      <c r="IF2495" s="73"/>
      <c r="IG2495" s="73"/>
      <c r="IH2495" s="73"/>
      <c r="II2495" s="73"/>
      <c r="IJ2495" s="73"/>
      <c r="IK2495" s="73"/>
      <c r="IL2495" s="73"/>
      <c r="IM2495" s="73"/>
      <c r="IN2495" s="73"/>
      <c r="IO2495" s="73"/>
      <c r="IP2495" s="73"/>
      <c r="IQ2495" s="73"/>
      <c r="IR2495" s="73"/>
      <c r="IS2495" s="73"/>
      <c r="IT2495" s="73"/>
      <c r="IU2495" s="73"/>
      <c r="IV2495" s="73"/>
      <c r="IW2495" s="73"/>
      <c r="IX2495" s="73"/>
      <c r="IY2495" s="73"/>
      <c r="IZ2495" s="73"/>
      <c r="JA2495" s="73"/>
      <c r="JB2495" s="73"/>
      <c r="JC2495" s="73"/>
    </row>
    <row r="2496" spans="2:263" s="72" customFormat="1">
      <c r="B2496" s="73"/>
      <c r="C2496" s="73"/>
      <c r="D2496" s="73"/>
      <c r="E2496" s="73"/>
      <c r="F2496" s="73"/>
      <c r="G2496" s="73"/>
      <c r="H2496" s="73"/>
      <c r="I2496" s="73"/>
      <c r="J2496" s="73"/>
      <c r="K2496" s="73"/>
      <c r="L2496" s="73"/>
      <c r="M2496" s="73"/>
      <c r="N2496" s="73"/>
      <c r="O2496" s="73"/>
      <c r="P2496" s="73"/>
      <c r="Q2496" s="73"/>
      <c r="R2496" s="73"/>
      <c r="S2496" s="73"/>
      <c r="T2496" s="73"/>
      <c r="U2496" s="73"/>
      <c r="V2496" s="73"/>
      <c r="W2496" s="73"/>
      <c r="GL2496" s="73"/>
      <c r="GM2496" s="73"/>
      <c r="GN2496" s="73"/>
      <c r="GO2496" s="73"/>
      <c r="GP2496" s="73"/>
      <c r="GQ2496" s="73"/>
      <c r="GR2496" s="73"/>
      <c r="GS2496" s="73"/>
      <c r="GT2496" s="73"/>
      <c r="GU2496" s="73"/>
      <c r="GV2496" s="73"/>
      <c r="GW2496" s="73"/>
      <c r="GX2496" s="73"/>
      <c r="GY2496" s="73"/>
      <c r="GZ2496" s="73"/>
      <c r="HA2496" s="73"/>
      <c r="HB2496" s="73"/>
      <c r="HC2496" s="73"/>
      <c r="HD2496" s="73"/>
      <c r="HE2496" s="73"/>
      <c r="HF2496" s="73"/>
      <c r="HG2496" s="73"/>
      <c r="HH2496" s="73"/>
      <c r="HI2496" s="73"/>
      <c r="HJ2496" s="73"/>
      <c r="HK2496" s="73"/>
      <c r="HL2496" s="73"/>
      <c r="HM2496" s="73"/>
      <c r="HN2496" s="73"/>
      <c r="HO2496" s="73"/>
      <c r="HP2496" s="73"/>
      <c r="HQ2496" s="73"/>
      <c r="HR2496" s="73"/>
      <c r="HS2496" s="73"/>
      <c r="HT2496" s="73"/>
      <c r="HU2496" s="73"/>
      <c r="HV2496" s="73"/>
      <c r="HW2496" s="73"/>
      <c r="HX2496" s="73"/>
      <c r="HY2496" s="73"/>
      <c r="HZ2496" s="73"/>
      <c r="IA2496" s="73"/>
      <c r="IB2496" s="73"/>
      <c r="IC2496" s="73"/>
      <c r="ID2496" s="73"/>
      <c r="IE2496" s="73"/>
      <c r="IF2496" s="73"/>
      <c r="IG2496" s="73"/>
      <c r="IH2496" s="73"/>
      <c r="II2496" s="73"/>
      <c r="IJ2496" s="73"/>
      <c r="IK2496" s="73"/>
      <c r="IL2496" s="73"/>
      <c r="IM2496" s="73"/>
      <c r="IN2496" s="73"/>
      <c r="IO2496" s="73"/>
      <c r="IP2496" s="73"/>
      <c r="IQ2496" s="73"/>
      <c r="IR2496" s="73"/>
      <c r="IS2496" s="73"/>
      <c r="IT2496" s="73"/>
      <c r="IU2496" s="73"/>
      <c r="IV2496" s="73"/>
      <c r="IW2496" s="73"/>
      <c r="IX2496" s="73"/>
      <c r="IY2496" s="73"/>
      <c r="IZ2496" s="73"/>
      <c r="JA2496" s="73"/>
      <c r="JB2496" s="73"/>
      <c r="JC2496" s="73"/>
    </row>
    <row r="2497" spans="2:263" s="72" customFormat="1">
      <c r="B2497" s="73"/>
      <c r="C2497" s="73"/>
      <c r="D2497" s="73"/>
      <c r="E2497" s="73"/>
      <c r="F2497" s="73"/>
      <c r="G2497" s="73"/>
      <c r="H2497" s="73"/>
      <c r="I2497" s="73"/>
      <c r="J2497" s="73"/>
      <c r="K2497" s="73"/>
      <c r="L2497" s="73"/>
      <c r="M2497" s="73"/>
      <c r="N2497" s="73"/>
      <c r="O2497" s="73"/>
      <c r="P2497" s="73"/>
      <c r="Q2497" s="73"/>
      <c r="R2497" s="73"/>
      <c r="S2497" s="73"/>
      <c r="T2497" s="73"/>
      <c r="U2497" s="73"/>
      <c r="V2497" s="73"/>
      <c r="W2497" s="73"/>
      <c r="GL2497" s="73"/>
      <c r="GM2497" s="73"/>
      <c r="GN2497" s="73"/>
      <c r="GO2497" s="73"/>
      <c r="GP2497" s="73"/>
      <c r="GQ2497" s="73"/>
      <c r="GR2497" s="73"/>
      <c r="GS2497" s="73"/>
      <c r="GT2497" s="73"/>
      <c r="GU2497" s="73"/>
      <c r="GV2497" s="73"/>
      <c r="GW2497" s="73"/>
      <c r="GX2497" s="73"/>
      <c r="GY2497" s="73"/>
      <c r="GZ2497" s="73"/>
      <c r="HA2497" s="73"/>
      <c r="HB2497" s="73"/>
      <c r="HC2497" s="73"/>
      <c r="HD2497" s="73"/>
      <c r="HE2497" s="73"/>
      <c r="HF2497" s="73"/>
      <c r="HG2497" s="73"/>
      <c r="HH2497" s="73"/>
      <c r="HI2497" s="73"/>
      <c r="HJ2497" s="73"/>
      <c r="HK2497" s="73"/>
      <c r="HL2497" s="73"/>
      <c r="HM2497" s="73"/>
      <c r="HN2497" s="73"/>
      <c r="HO2497" s="73"/>
      <c r="HP2497" s="73"/>
      <c r="HQ2497" s="73"/>
      <c r="HR2497" s="73"/>
      <c r="HS2497" s="73"/>
      <c r="HT2497" s="73"/>
      <c r="HU2497" s="73"/>
      <c r="HV2497" s="73"/>
      <c r="HW2497" s="73"/>
      <c r="HX2497" s="73"/>
      <c r="HY2497" s="73"/>
      <c r="HZ2497" s="73"/>
      <c r="IA2497" s="73"/>
      <c r="IB2497" s="73"/>
      <c r="IC2497" s="73"/>
      <c r="ID2497" s="73"/>
      <c r="IE2497" s="73"/>
      <c r="IF2497" s="73"/>
      <c r="IG2497" s="73"/>
      <c r="IH2497" s="73"/>
      <c r="II2497" s="73"/>
      <c r="IJ2497" s="73"/>
      <c r="IK2497" s="73"/>
      <c r="IL2497" s="73"/>
      <c r="IM2497" s="73"/>
      <c r="IN2497" s="73"/>
      <c r="IO2497" s="73"/>
      <c r="IP2497" s="73"/>
      <c r="IQ2497" s="73"/>
      <c r="IR2497" s="73"/>
      <c r="IS2497" s="73"/>
      <c r="IT2497" s="73"/>
      <c r="IU2497" s="73"/>
      <c r="IV2497" s="73"/>
      <c r="IW2497" s="73"/>
      <c r="IX2497" s="73"/>
      <c r="IY2497" s="73"/>
      <c r="IZ2497" s="73"/>
      <c r="JA2497" s="73"/>
      <c r="JB2497" s="73"/>
      <c r="JC2497" s="73"/>
    </row>
    <row r="2498" spans="2:263" s="72" customFormat="1">
      <c r="B2498" s="73"/>
      <c r="C2498" s="73"/>
      <c r="D2498" s="73"/>
      <c r="E2498" s="73"/>
      <c r="F2498" s="73"/>
      <c r="G2498" s="73"/>
      <c r="H2498" s="73"/>
      <c r="I2498" s="73"/>
      <c r="J2498" s="73"/>
      <c r="K2498" s="73"/>
      <c r="L2498" s="73"/>
      <c r="M2498" s="73"/>
      <c r="N2498" s="73"/>
      <c r="O2498" s="73"/>
      <c r="P2498" s="73"/>
      <c r="Q2498" s="73"/>
      <c r="R2498" s="73"/>
      <c r="S2498" s="73"/>
      <c r="T2498" s="73"/>
      <c r="U2498" s="73"/>
      <c r="V2498" s="73"/>
      <c r="W2498" s="73"/>
      <c r="GL2498" s="73"/>
      <c r="GM2498" s="73"/>
      <c r="GN2498" s="73"/>
      <c r="GO2498" s="73"/>
      <c r="GP2498" s="73"/>
      <c r="GQ2498" s="73"/>
      <c r="GR2498" s="73"/>
      <c r="GS2498" s="73"/>
      <c r="GT2498" s="73"/>
      <c r="GU2498" s="73"/>
      <c r="GV2498" s="73"/>
      <c r="GW2498" s="73"/>
      <c r="GX2498" s="73"/>
      <c r="GY2498" s="73"/>
      <c r="GZ2498" s="73"/>
      <c r="HA2498" s="73"/>
      <c r="HB2498" s="73"/>
      <c r="HC2498" s="73"/>
      <c r="HD2498" s="73"/>
      <c r="HE2498" s="73"/>
      <c r="HF2498" s="73"/>
      <c r="HG2498" s="73"/>
      <c r="HH2498" s="73"/>
      <c r="HI2498" s="73"/>
      <c r="HJ2498" s="73"/>
      <c r="HK2498" s="73"/>
      <c r="HL2498" s="73"/>
      <c r="HM2498" s="73"/>
      <c r="HN2498" s="73"/>
      <c r="HO2498" s="73"/>
      <c r="HP2498" s="73"/>
      <c r="HQ2498" s="73"/>
      <c r="HR2498" s="73"/>
      <c r="HS2498" s="73"/>
      <c r="HT2498" s="73"/>
      <c r="HU2498" s="73"/>
      <c r="HV2498" s="73"/>
      <c r="HW2498" s="73"/>
      <c r="HX2498" s="73"/>
      <c r="HY2498" s="73"/>
      <c r="HZ2498" s="73"/>
      <c r="IA2498" s="73"/>
      <c r="IB2498" s="73"/>
      <c r="IC2498" s="73"/>
      <c r="ID2498" s="73"/>
      <c r="IE2498" s="73"/>
      <c r="IF2498" s="73"/>
      <c r="IG2498" s="73"/>
      <c r="IH2498" s="73"/>
      <c r="II2498" s="73"/>
      <c r="IJ2498" s="73"/>
      <c r="IK2498" s="73"/>
      <c r="IL2498" s="73"/>
      <c r="IM2498" s="73"/>
      <c r="IN2498" s="73"/>
      <c r="IO2498" s="73"/>
      <c r="IP2498" s="73"/>
      <c r="IQ2498" s="73"/>
      <c r="IR2498" s="73"/>
      <c r="IS2498" s="73"/>
      <c r="IT2498" s="73"/>
      <c r="IU2498" s="73"/>
      <c r="IV2498" s="73"/>
      <c r="IW2498" s="73"/>
      <c r="IX2498" s="73"/>
      <c r="IY2498" s="73"/>
      <c r="IZ2498" s="73"/>
      <c r="JA2498" s="73"/>
      <c r="JB2498" s="73"/>
      <c r="JC2498" s="73"/>
    </row>
    <row r="2499" spans="2:263" s="72" customFormat="1">
      <c r="B2499" s="73"/>
      <c r="C2499" s="73"/>
      <c r="D2499" s="73"/>
      <c r="E2499" s="73"/>
      <c r="F2499" s="73"/>
      <c r="G2499" s="73"/>
      <c r="H2499" s="73"/>
      <c r="I2499" s="73"/>
      <c r="J2499" s="73"/>
      <c r="K2499" s="73"/>
      <c r="L2499" s="73"/>
      <c r="M2499" s="73"/>
      <c r="N2499" s="73"/>
      <c r="O2499" s="73"/>
      <c r="P2499" s="73"/>
      <c r="Q2499" s="73"/>
      <c r="R2499" s="73"/>
      <c r="S2499" s="73"/>
      <c r="T2499" s="73"/>
      <c r="U2499" s="73"/>
      <c r="V2499" s="73"/>
      <c r="W2499" s="73"/>
      <c r="GL2499" s="73"/>
      <c r="GM2499" s="73"/>
      <c r="GN2499" s="73"/>
      <c r="GO2499" s="73"/>
      <c r="GP2499" s="73"/>
      <c r="GQ2499" s="73"/>
      <c r="GR2499" s="73"/>
      <c r="GS2499" s="73"/>
      <c r="GT2499" s="73"/>
      <c r="GU2499" s="73"/>
      <c r="GV2499" s="73"/>
      <c r="GW2499" s="73"/>
      <c r="GX2499" s="73"/>
      <c r="GY2499" s="73"/>
      <c r="GZ2499" s="73"/>
      <c r="HA2499" s="73"/>
      <c r="HB2499" s="73"/>
      <c r="HC2499" s="73"/>
      <c r="HD2499" s="73"/>
      <c r="HE2499" s="73"/>
      <c r="HF2499" s="73"/>
      <c r="HG2499" s="73"/>
      <c r="HH2499" s="73"/>
      <c r="HI2499" s="73"/>
      <c r="HJ2499" s="73"/>
      <c r="HK2499" s="73"/>
      <c r="HL2499" s="73"/>
      <c r="HM2499" s="73"/>
      <c r="HN2499" s="73"/>
      <c r="HO2499" s="73"/>
      <c r="HP2499" s="73"/>
      <c r="HQ2499" s="73"/>
      <c r="HR2499" s="73"/>
      <c r="HS2499" s="73"/>
      <c r="HT2499" s="73"/>
      <c r="HU2499" s="73"/>
      <c r="HV2499" s="73"/>
      <c r="HW2499" s="73"/>
      <c r="HX2499" s="73"/>
      <c r="HY2499" s="73"/>
      <c r="HZ2499" s="73"/>
      <c r="IA2499" s="73"/>
      <c r="IB2499" s="73"/>
      <c r="IC2499" s="73"/>
      <c r="ID2499" s="73"/>
      <c r="IE2499" s="73"/>
      <c r="IF2499" s="73"/>
      <c r="IG2499" s="73"/>
      <c r="IH2499" s="73"/>
      <c r="II2499" s="73"/>
      <c r="IJ2499" s="73"/>
      <c r="IK2499" s="73"/>
      <c r="IL2499" s="73"/>
      <c r="IM2499" s="73"/>
      <c r="IN2499" s="73"/>
      <c r="IO2499" s="73"/>
      <c r="IP2499" s="73"/>
      <c r="IQ2499" s="73"/>
      <c r="IR2499" s="73"/>
      <c r="IS2499" s="73"/>
      <c r="IT2499" s="73"/>
      <c r="IU2499" s="73"/>
      <c r="IV2499" s="73"/>
      <c r="IW2499" s="73"/>
      <c r="IX2499" s="73"/>
      <c r="IY2499" s="73"/>
      <c r="IZ2499" s="73"/>
      <c r="JA2499" s="73"/>
      <c r="JB2499" s="73"/>
      <c r="JC2499" s="73"/>
    </row>
    <row r="2500" spans="2:263" s="72" customFormat="1">
      <c r="B2500" s="73"/>
      <c r="C2500" s="73"/>
      <c r="D2500" s="73"/>
      <c r="E2500" s="73"/>
      <c r="F2500" s="73"/>
      <c r="G2500" s="73"/>
      <c r="H2500" s="73"/>
      <c r="I2500" s="73"/>
      <c r="J2500" s="73"/>
      <c r="K2500" s="73"/>
      <c r="L2500" s="73"/>
      <c r="M2500" s="73"/>
      <c r="N2500" s="73"/>
      <c r="O2500" s="73"/>
      <c r="P2500" s="73"/>
      <c r="Q2500" s="73"/>
      <c r="R2500" s="73"/>
      <c r="S2500" s="73"/>
      <c r="T2500" s="73"/>
      <c r="U2500" s="73"/>
      <c r="V2500" s="73"/>
      <c r="W2500" s="73"/>
      <c r="GL2500" s="73"/>
      <c r="GM2500" s="73"/>
      <c r="GN2500" s="73"/>
      <c r="GO2500" s="73"/>
      <c r="GP2500" s="73"/>
      <c r="GQ2500" s="73"/>
      <c r="GR2500" s="73"/>
      <c r="GS2500" s="73"/>
      <c r="GT2500" s="73"/>
      <c r="GU2500" s="73"/>
      <c r="GV2500" s="73"/>
      <c r="GW2500" s="73"/>
      <c r="GX2500" s="73"/>
      <c r="GY2500" s="73"/>
      <c r="GZ2500" s="73"/>
      <c r="HA2500" s="73"/>
      <c r="HB2500" s="73"/>
      <c r="HC2500" s="73"/>
      <c r="HD2500" s="73"/>
      <c r="HE2500" s="73"/>
      <c r="HF2500" s="73"/>
      <c r="HG2500" s="73"/>
      <c r="HH2500" s="73"/>
      <c r="HI2500" s="73"/>
      <c r="HJ2500" s="73"/>
      <c r="HK2500" s="73"/>
      <c r="HL2500" s="73"/>
      <c r="HM2500" s="73"/>
      <c r="HN2500" s="73"/>
      <c r="HO2500" s="73"/>
      <c r="HP2500" s="73"/>
      <c r="HQ2500" s="73"/>
      <c r="HR2500" s="73"/>
      <c r="HS2500" s="73"/>
      <c r="HT2500" s="73"/>
      <c r="HU2500" s="73"/>
      <c r="HV2500" s="73"/>
      <c r="HW2500" s="73"/>
      <c r="HX2500" s="73"/>
      <c r="HY2500" s="73"/>
      <c r="HZ2500" s="73"/>
      <c r="IA2500" s="73"/>
      <c r="IB2500" s="73"/>
      <c r="IC2500" s="73"/>
      <c r="ID2500" s="73"/>
      <c r="IE2500" s="73"/>
      <c r="IF2500" s="73"/>
      <c r="IG2500" s="73"/>
      <c r="IH2500" s="73"/>
      <c r="II2500" s="73"/>
      <c r="IJ2500" s="73"/>
      <c r="IK2500" s="73"/>
      <c r="IL2500" s="73"/>
      <c r="IM2500" s="73"/>
      <c r="IN2500" s="73"/>
      <c r="IO2500" s="73"/>
      <c r="IP2500" s="73"/>
      <c r="IQ2500" s="73"/>
      <c r="IR2500" s="73"/>
      <c r="IS2500" s="73"/>
      <c r="IT2500" s="73"/>
      <c r="IU2500" s="73"/>
      <c r="IV2500" s="73"/>
      <c r="IW2500" s="73"/>
      <c r="IX2500" s="73"/>
      <c r="IY2500" s="73"/>
      <c r="IZ2500" s="73"/>
      <c r="JA2500" s="73"/>
      <c r="JB2500" s="73"/>
      <c r="JC2500" s="73"/>
    </row>
    <row r="2501" spans="2:263" s="72" customFormat="1">
      <c r="B2501" s="73"/>
      <c r="C2501" s="73"/>
      <c r="D2501" s="73"/>
      <c r="E2501" s="73"/>
      <c r="F2501" s="73"/>
      <c r="G2501" s="73"/>
      <c r="H2501" s="73"/>
      <c r="I2501" s="73"/>
      <c r="J2501" s="73"/>
      <c r="K2501" s="73"/>
      <c r="L2501" s="73"/>
      <c r="M2501" s="73"/>
      <c r="N2501" s="73"/>
      <c r="O2501" s="73"/>
      <c r="P2501" s="73"/>
      <c r="Q2501" s="73"/>
      <c r="R2501" s="73"/>
      <c r="S2501" s="73"/>
      <c r="T2501" s="73"/>
      <c r="U2501" s="73"/>
      <c r="V2501" s="73"/>
      <c r="W2501" s="73"/>
      <c r="GL2501" s="73"/>
      <c r="GM2501" s="73"/>
      <c r="GN2501" s="73"/>
      <c r="GO2501" s="73"/>
      <c r="GP2501" s="73"/>
      <c r="GQ2501" s="73"/>
      <c r="GR2501" s="73"/>
      <c r="GS2501" s="73"/>
      <c r="GT2501" s="73"/>
      <c r="GU2501" s="73"/>
      <c r="GV2501" s="73"/>
      <c r="GW2501" s="73"/>
      <c r="GX2501" s="73"/>
      <c r="GY2501" s="73"/>
      <c r="GZ2501" s="73"/>
      <c r="HA2501" s="73"/>
      <c r="HB2501" s="73"/>
      <c r="HC2501" s="73"/>
      <c r="HD2501" s="73"/>
      <c r="HE2501" s="73"/>
      <c r="HF2501" s="73"/>
      <c r="HG2501" s="73"/>
      <c r="HH2501" s="73"/>
      <c r="HI2501" s="73"/>
      <c r="HJ2501" s="73"/>
      <c r="HK2501" s="73"/>
      <c r="HL2501" s="73"/>
      <c r="HM2501" s="73"/>
      <c r="HN2501" s="73"/>
      <c r="HO2501" s="73"/>
      <c r="HP2501" s="73"/>
      <c r="HQ2501" s="73"/>
      <c r="HR2501" s="73"/>
      <c r="HS2501" s="73"/>
      <c r="HT2501" s="73"/>
      <c r="HU2501" s="73"/>
      <c r="HV2501" s="73"/>
      <c r="HW2501" s="73"/>
      <c r="HX2501" s="73"/>
      <c r="HY2501" s="73"/>
      <c r="HZ2501" s="73"/>
      <c r="IA2501" s="73"/>
      <c r="IB2501" s="73"/>
      <c r="IC2501" s="73"/>
      <c r="ID2501" s="73"/>
      <c r="IE2501" s="73"/>
      <c r="IF2501" s="73"/>
      <c r="IG2501" s="73"/>
      <c r="IH2501" s="73"/>
      <c r="II2501" s="73"/>
      <c r="IJ2501" s="73"/>
      <c r="IK2501" s="73"/>
      <c r="IL2501" s="73"/>
      <c r="IM2501" s="73"/>
      <c r="IN2501" s="73"/>
      <c r="IO2501" s="73"/>
      <c r="IP2501" s="73"/>
      <c r="IQ2501" s="73"/>
      <c r="IR2501" s="73"/>
      <c r="IS2501" s="73"/>
      <c r="IT2501" s="73"/>
      <c r="IU2501" s="73"/>
      <c r="IV2501" s="73"/>
      <c r="IW2501" s="73"/>
      <c r="IX2501" s="73"/>
      <c r="IY2501" s="73"/>
      <c r="IZ2501" s="73"/>
      <c r="JA2501" s="73"/>
      <c r="JB2501" s="73"/>
      <c r="JC2501" s="73"/>
    </row>
    <row r="2502" spans="2:263" s="72" customFormat="1">
      <c r="B2502" s="73"/>
      <c r="C2502" s="73"/>
      <c r="D2502" s="73"/>
      <c r="E2502" s="73"/>
      <c r="F2502" s="73"/>
      <c r="G2502" s="73"/>
      <c r="H2502" s="73"/>
      <c r="I2502" s="73"/>
      <c r="J2502" s="73"/>
      <c r="K2502" s="73"/>
      <c r="L2502" s="73"/>
      <c r="M2502" s="73"/>
      <c r="N2502" s="73"/>
      <c r="O2502" s="73"/>
      <c r="P2502" s="73"/>
      <c r="Q2502" s="73"/>
      <c r="R2502" s="73"/>
      <c r="S2502" s="73"/>
      <c r="T2502" s="73"/>
      <c r="U2502" s="73"/>
      <c r="V2502" s="73"/>
      <c r="W2502" s="73"/>
      <c r="GL2502" s="73"/>
      <c r="GM2502" s="73"/>
      <c r="GN2502" s="73"/>
      <c r="GO2502" s="73"/>
      <c r="GP2502" s="73"/>
      <c r="GQ2502" s="73"/>
      <c r="GR2502" s="73"/>
      <c r="GS2502" s="73"/>
      <c r="GT2502" s="73"/>
      <c r="GU2502" s="73"/>
      <c r="GV2502" s="73"/>
      <c r="GW2502" s="73"/>
      <c r="GX2502" s="73"/>
      <c r="GY2502" s="73"/>
      <c r="GZ2502" s="73"/>
      <c r="HA2502" s="73"/>
      <c r="HB2502" s="73"/>
      <c r="HC2502" s="73"/>
      <c r="HD2502" s="73"/>
      <c r="HE2502" s="73"/>
      <c r="HF2502" s="73"/>
      <c r="HG2502" s="73"/>
      <c r="HH2502" s="73"/>
      <c r="HI2502" s="73"/>
      <c r="HJ2502" s="73"/>
      <c r="HK2502" s="73"/>
      <c r="HL2502" s="73"/>
      <c r="HM2502" s="73"/>
      <c r="HN2502" s="73"/>
      <c r="HO2502" s="73"/>
      <c r="HP2502" s="73"/>
      <c r="HQ2502" s="73"/>
      <c r="HR2502" s="73"/>
      <c r="HS2502" s="73"/>
      <c r="HT2502" s="73"/>
      <c r="HU2502" s="73"/>
      <c r="HV2502" s="73"/>
      <c r="HW2502" s="73"/>
      <c r="HX2502" s="73"/>
      <c r="HY2502" s="73"/>
      <c r="HZ2502" s="73"/>
      <c r="IA2502" s="73"/>
      <c r="IB2502" s="73"/>
      <c r="IC2502" s="73"/>
      <c r="ID2502" s="73"/>
      <c r="IE2502" s="73"/>
      <c r="IF2502" s="73"/>
      <c r="IG2502" s="73"/>
      <c r="IH2502" s="73"/>
      <c r="II2502" s="73"/>
      <c r="IJ2502" s="73"/>
      <c r="IK2502" s="73"/>
      <c r="IL2502" s="73"/>
      <c r="IM2502" s="73"/>
      <c r="IN2502" s="73"/>
      <c r="IO2502" s="73"/>
      <c r="IP2502" s="73"/>
      <c r="IQ2502" s="73"/>
      <c r="IR2502" s="73"/>
      <c r="IS2502" s="73"/>
      <c r="IT2502" s="73"/>
      <c r="IU2502" s="73"/>
      <c r="IV2502" s="73"/>
      <c r="IW2502" s="73"/>
      <c r="IX2502" s="73"/>
      <c r="IY2502" s="73"/>
      <c r="IZ2502" s="73"/>
      <c r="JA2502" s="73"/>
      <c r="JB2502" s="73"/>
      <c r="JC2502" s="73"/>
    </row>
    <row r="2503" spans="2:263" s="72" customFormat="1">
      <c r="B2503" s="73"/>
      <c r="C2503" s="73"/>
      <c r="D2503" s="73"/>
      <c r="E2503" s="73"/>
      <c r="F2503" s="73"/>
      <c r="G2503" s="73"/>
      <c r="H2503" s="73"/>
      <c r="I2503" s="73"/>
      <c r="J2503" s="73"/>
      <c r="K2503" s="73"/>
      <c r="L2503" s="73"/>
      <c r="M2503" s="73"/>
      <c r="N2503" s="73"/>
      <c r="O2503" s="73"/>
      <c r="P2503" s="73"/>
      <c r="Q2503" s="73"/>
      <c r="R2503" s="73"/>
      <c r="S2503" s="73"/>
      <c r="T2503" s="73"/>
      <c r="U2503" s="73"/>
      <c r="V2503" s="73"/>
      <c r="W2503" s="73"/>
      <c r="GL2503" s="73"/>
      <c r="GM2503" s="73"/>
      <c r="GN2503" s="73"/>
      <c r="GO2503" s="73"/>
      <c r="GP2503" s="73"/>
      <c r="GQ2503" s="73"/>
      <c r="GR2503" s="73"/>
      <c r="GS2503" s="73"/>
      <c r="GT2503" s="73"/>
      <c r="GU2503" s="73"/>
      <c r="GV2503" s="73"/>
      <c r="GW2503" s="73"/>
      <c r="GX2503" s="73"/>
      <c r="GY2503" s="73"/>
      <c r="GZ2503" s="73"/>
      <c r="HA2503" s="73"/>
      <c r="HB2503" s="73"/>
      <c r="HC2503" s="73"/>
      <c r="HD2503" s="73"/>
      <c r="HE2503" s="73"/>
      <c r="HF2503" s="73"/>
      <c r="HG2503" s="73"/>
      <c r="HH2503" s="73"/>
      <c r="HI2503" s="73"/>
      <c r="HJ2503" s="73"/>
      <c r="HK2503" s="73"/>
      <c r="HL2503" s="73"/>
      <c r="HM2503" s="73"/>
      <c r="HN2503" s="73"/>
      <c r="HO2503" s="73"/>
      <c r="HP2503" s="73"/>
      <c r="HQ2503" s="73"/>
      <c r="HR2503" s="73"/>
      <c r="HS2503" s="73"/>
      <c r="HT2503" s="73"/>
      <c r="HU2503" s="73"/>
      <c r="HV2503" s="73"/>
      <c r="HW2503" s="73"/>
      <c r="HX2503" s="73"/>
      <c r="HY2503" s="73"/>
      <c r="HZ2503" s="73"/>
      <c r="IA2503" s="73"/>
      <c r="IB2503" s="73"/>
      <c r="IC2503" s="73"/>
      <c r="ID2503" s="73"/>
      <c r="IE2503" s="73"/>
      <c r="IF2503" s="73"/>
      <c r="IG2503" s="73"/>
      <c r="IH2503" s="73"/>
      <c r="II2503" s="73"/>
      <c r="IJ2503" s="73"/>
      <c r="IK2503" s="73"/>
      <c r="IL2503" s="73"/>
      <c r="IM2503" s="73"/>
      <c r="IN2503" s="73"/>
      <c r="IO2503" s="73"/>
      <c r="IP2503" s="73"/>
      <c r="IQ2503" s="73"/>
      <c r="IR2503" s="73"/>
      <c r="IS2503" s="73"/>
      <c r="IT2503" s="73"/>
      <c r="IU2503" s="73"/>
      <c r="IV2503" s="73"/>
      <c r="IW2503" s="73"/>
      <c r="IX2503" s="73"/>
      <c r="IY2503" s="73"/>
      <c r="IZ2503" s="73"/>
      <c r="JA2503" s="73"/>
      <c r="JB2503" s="73"/>
      <c r="JC2503" s="73"/>
    </row>
    <row r="2504" spans="2:263" s="72" customFormat="1">
      <c r="B2504" s="73"/>
      <c r="C2504" s="73"/>
      <c r="D2504" s="73"/>
      <c r="E2504" s="73"/>
      <c r="F2504" s="73"/>
      <c r="G2504" s="73"/>
      <c r="H2504" s="73"/>
      <c r="I2504" s="73"/>
      <c r="J2504" s="73"/>
      <c r="K2504" s="73"/>
      <c r="L2504" s="73"/>
      <c r="M2504" s="73"/>
      <c r="N2504" s="73"/>
      <c r="O2504" s="73"/>
      <c r="P2504" s="73"/>
      <c r="Q2504" s="73"/>
      <c r="R2504" s="73"/>
      <c r="S2504" s="73"/>
      <c r="T2504" s="73"/>
      <c r="U2504" s="73"/>
      <c r="V2504" s="73"/>
      <c r="W2504" s="73"/>
      <c r="GL2504" s="73"/>
      <c r="GM2504" s="73"/>
      <c r="GN2504" s="73"/>
      <c r="GO2504" s="73"/>
      <c r="GP2504" s="73"/>
      <c r="GQ2504" s="73"/>
      <c r="GR2504" s="73"/>
      <c r="GS2504" s="73"/>
      <c r="GT2504" s="73"/>
      <c r="GU2504" s="73"/>
      <c r="GV2504" s="73"/>
      <c r="GW2504" s="73"/>
      <c r="GX2504" s="73"/>
      <c r="GY2504" s="73"/>
      <c r="GZ2504" s="73"/>
      <c r="HA2504" s="73"/>
      <c r="HB2504" s="73"/>
      <c r="HC2504" s="73"/>
      <c r="HD2504" s="73"/>
      <c r="HE2504" s="73"/>
      <c r="HF2504" s="73"/>
      <c r="HG2504" s="73"/>
      <c r="HH2504" s="73"/>
      <c r="HI2504" s="73"/>
      <c r="HJ2504" s="73"/>
      <c r="HK2504" s="73"/>
      <c r="HL2504" s="73"/>
      <c r="HM2504" s="73"/>
      <c r="HN2504" s="73"/>
      <c r="HO2504" s="73"/>
      <c r="HP2504" s="73"/>
      <c r="HQ2504" s="73"/>
      <c r="HR2504" s="73"/>
      <c r="HS2504" s="73"/>
      <c r="HT2504" s="73"/>
      <c r="HU2504" s="73"/>
      <c r="HV2504" s="73"/>
      <c r="HW2504" s="73"/>
      <c r="HX2504" s="73"/>
      <c r="HY2504" s="73"/>
      <c r="HZ2504" s="73"/>
      <c r="IA2504" s="73"/>
      <c r="IB2504" s="73"/>
      <c r="IC2504" s="73"/>
      <c r="ID2504" s="73"/>
      <c r="IE2504" s="73"/>
      <c r="IF2504" s="73"/>
      <c r="IG2504" s="73"/>
      <c r="IH2504" s="73"/>
      <c r="II2504" s="73"/>
      <c r="IJ2504" s="73"/>
      <c r="IK2504" s="73"/>
      <c r="IL2504" s="73"/>
      <c r="IM2504" s="73"/>
      <c r="IN2504" s="73"/>
      <c r="IO2504" s="73"/>
      <c r="IP2504" s="73"/>
      <c r="IQ2504" s="73"/>
      <c r="IR2504" s="73"/>
      <c r="IS2504" s="73"/>
      <c r="IT2504" s="73"/>
      <c r="IU2504" s="73"/>
      <c r="IV2504" s="73"/>
      <c r="IW2504" s="73"/>
      <c r="IX2504" s="73"/>
      <c r="IY2504" s="73"/>
      <c r="IZ2504" s="73"/>
      <c r="JA2504" s="73"/>
      <c r="JB2504" s="73"/>
      <c r="JC2504" s="73"/>
    </row>
    <row r="2505" spans="2:263" s="72" customFormat="1">
      <c r="B2505" s="73"/>
      <c r="C2505" s="73"/>
      <c r="D2505" s="73"/>
      <c r="E2505" s="73"/>
      <c r="F2505" s="73"/>
      <c r="G2505" s="73"/>
      <c r="H2505" s="73"/>
      <c r="I2505" s="73"/>
      <c r="J2505" s="73"/>
      <c r="K2505" s="73"/>
      <c r="L2505" s="73"/>
      <c r="M2505" s="73"/>
      <c r="N2505" s="73"/>
      <c r="O2505" s="73"/>
      <c r="P2505" s="73"/>
      <c r="Q2505" s="73"/>
      <c r="R2505" s="73"/>
      <c r="S2505" s="73"/>
      <c r="T2505" s="73"/>
      <c r="U2505" s="73"/>
      <c r="V2505" s="73"/>
      <c r="W2505" s="73"/>
      <c r="GL2505" s="73"/>
      <c r="GM2505" s="73"/>
      <c r="GN2505" s="73"/>
      <c r="GO2505" s="73"/>
      <c r="GP2505" s="73"/>
      <c r="GQ2505" s="73"/>
      <c r="GR2505" s="73"/>
      <c r="GS2505" s="73"/>
      <c r="GT2505" s="73"/>
      <c r="GU2505" s="73"/>
      <c r="GV2505" s="73"/>
      <c r="GW2505" s="73"/>
      <c r="GX2505" s="73"/>
      <c r="GY2505" s="73"/>
      <c r="GZ2505" s="73"/>
      <c r="HA2505" s="73"/>
      <c r="HB2505" s="73"/>
      <c r="HC2505" s="73"/>
      <c r="HD2505" s="73"/>
      <c r="HE2505" s="73"/>
      <c r="HF2505" s="73"/>
      <c r="HG2505" s="73"/>
      <c r="HH2505" s="73"/>
      <c r="HI2505" s="73"/>
      <c r="HJ2505" s="73"/>
      <c r="HK2505" s="73"/>
      <c r="HL2505" s="73"/>
      <c r="HM2505" s="73"/>
      <c r="HN2505" s="73"/>
      <c r="HO2505" s="73"/>
      <c r="HP2505" s="73"/>
      <c r="HQ2505" s="73"/>
      <c r="HR2505" s="73"/>
      <c r="HS2505" s="73"/>
      <c r="HT2505" s="73"/>
      <c r="HU2505" s="73"/>
      <c r="HV2505" s="73"/>
      <c r="HW2505" s="73"/>
      <c r="HX2505" s="73"/>
      <c r="HY2505" s="73"/>
      <c r="HZ2505" s="73"/>
      <c r="IA2505" s="73"/>
      <c r="IB2505" s="73"/>
      <c r="IC2505" s="73"/>
      <c r="ID2505" s="73"/>
      <c r="IE2505" s="73"/>
      <c r="IF2505" s="73"/>
      <c r="IG2505" s="73"/>
      <c r="IH2505" s="73"/>
      <c r="II2505" s="73"/>
      <c r="IJ2505" s="73"/>
      <c r="IK2505" s="73"/>
      <c r="IL2505" s="73"/>
      <c r="IM2505" s="73"/>
      <c r="IN2505" s="73"/>
      <c r="IO2505" s="73"/>
      <c r="IP2505" s="73"/>
      <c r="IQ2505" s="73"/>
      <c r="IR2505" s="73"/>
      <c r="IS2505" s="73"/>
      <c r="IT2505" s="73"/>
      <c r="IU2505" s="73"/>
      <c r="IV2505" s="73"/>
      <c r="IW2505" s="73"/>
      <c r="IX2505" s="73"/>
      <c r="IY2505" s="73"/>
      <c r="IZ2505" s="73"/>
      <c r="JA2505" s="73"/>
      <c r="JB2505" s="73"/>
      <c r="JC2505" s="73"/>
    </row>
    <row r="2506" spans="2:263" s="72" customFormat="1">
      <c r="B2506" s="73"/>
      <c r="C2506" s="73"/>
      <c r="D2506" s="73"/>
      <c r="E2506" s="73"/>
      <c r="F2506" s="73"/>
      <c r="G2506" s="73"/>
      <c r="H2506" s="73"/>
      <c r="I2506" s="73"/>
      <c r="J2506" s="73"/>
      <c r="K2506" s="73"/>
      <c r="L2506" s="73"/>
      <c r="M2506" s="73"/>
      <c r="N2506" s="73"/>
      <c r="O2506" s="73"/>
      <c r="P2506" s="73"/>
      <c r="Q2506" s="73"/>
      <c r="R2506" s="73"/>
      <c r="S2506" s="73"/>
      <c r="T2506" s="73"/>
      <c r="U2506" s="73"/>
      <c r="V2506" s="73"/>
      <c r="W2506" s="73"/>
      <c r="GL2506" s="73"/>
      <c r="GM2506" s="73"/>
      <c r="GN2506" s="73"/>
      <c r="GO2506" s="73"/>
      <c r="GP2506" s="73"/>
      <c r="GQ2506" s="73"/>
      <c r="GR2506" s="73"/>
      <c r="GS2506" s="73"/>
      <c r="GT2506" s="73"/>
      <c r="GU2506" s="73"/>
      <c r="GV2506" s="73"/>
      <c r="GW2506" s="73"/>
      <c r="GX2506" s="73"/>
      <c r="GY2506" s="73"/>
      <c r="GZ2506" s="73"/>
      <c r="HA2506" s="73"/>
      <c r="HB2506" s="73"/>
      <c r="HC2506" s="73"/>
      <c r="HD2506" s="73"/>
      <c r="HE2506" s="73"/>
      <c r="HF2506" s="73"/>
      <c r="HG2506" s="73"/>
      <c r="HH2506" s="73"/>
      <c r="HI2506" s="73"/>
      <c r="HJ2506" s="73"/>
      <c r="HK2506" s="73"/>
      <c r="HL2506" s="73"/>
      <c r="HM2506" s="73"/>
      <c r="HN2506" s="73"/>
      <c r="HO2506" s="73"/>
      <c r="HP2506" s="73"/>
      <c r="HQ2506" s="73"/>
      <c r="HR2506" s="73"/>
      <c r="HS2506" s="73"/>
      <c r="HT2506" s="73"/>
      <c r="HU2506" s="73"/>
      <c r="HV2506" s="73"/>
      <c r="HW2506" s="73"/>
      <c r="HX2506" s="73"/>
      <c r="HY2506" s="73"/>
      <c r="HZ2506" s="73"/>
      <c r="IA2506" s="73"/>
      <c r="IB2506" s="73"/>
      <c r="IC2506" s="73"/>
      <c r="ID2506" s="73"/>
      <c r="IE2506" s="73"/>
      <c r="IF2506" s="73"/>
      <c r="IG2506" s="73"/>
      <c r="IH2506" s="73"/>
      <c r="II2506" s="73"/>
      <c r="IJ2506" s="73"/>
      <c r="IK2506" s="73"/>
      <c r="IL2506" s="73"/>
      <c r="IM2506" s="73"/>
      <c r="IN2506" s="73"/>
      <c r="IO2506" s="73"/>
      <c r="IP2506" s="73"/>
      <c r="IQ2506" s="73"/>
      <c r="IR2506" s="73"/>
      <c r="IS2506" s="73"/>
      <c r="IT2506" s="73"/>
      <c r="IU2506" s="73"/>
      <c r="IV2506" s="73"/>
      <c r="IW2506" s="73"/>
      <c r="IX2506" s="73"/>
      <c r="IY2506" s="73"/>
      <c r="IZ2506" s="73"/>
      <c r="JA2506" s="73"/>
      <c r="JB2506" s="73"/>
      <c r="JC2506" s="73"/>
    </row>
    <row r="2507" spans="2:263" s="72" customFormat="1">
      <c r="B2507" s="73"/>
      <c r="C2507" s="73"/>
      <c r="D2507" s="73"/>
      <c r="E2507" s="73"/>
      <c r="F2507" s="73"/>
      <c r="G2507" s="73"/>
      <c r="H2507" s="73"/>
      <c r="I2507" s="73"/>
      <c r="J2507" s="73"/>
      <c r="K2507" s="73"/>
      <c r="L2507" s="73"/>
      <c r="M2507" s="73"/>
      <c r="N2507" s="73"/>
      <c r="O2507" s="73"/>
      <c r="P2507" s="73"/>
      <c r="Q2507" s="73"/>
      <c r="R2507" s="73"/>
      <c r="S2507" s="73"/>
      <c r="T2507" s="73"/>
      <c r="U2507" s="73"/>
      <c r="V2507" s="73"/>
      <c r="W2507" s="73"/>
      <c r="GL2507" s="73"/>
      <c r="GM2507" s="73"/>
      <c r="GN2507" s="73"/>
      <c r="GO2507" s="73"/>
      <c r="GP2507" s="73"/>
      <c r="GQ2507" s="73"/>
      <c r="GR2507" s="73"/>
      <c r="GS2507" s="73"/>
      <c r="GT2507" s="73"/>
      <c r="GU2507" s="73"/>
      <c r="GV2507" s="73"/>
      <c r="GW2507" s="73"/>
      <c r="GX2507" s="73"/>
      <c r="GY2507" s="73"/>
      <c r="GZ2507" s="73"/>
      <c r="HA2507" s="73"/>
      <c r="HB2507" s="73"/>
      <c r="HC2507" s="73"/>
      <c r="HD2507" s="73"/>
      <c r="HE2507" s="73"/>
      <c r="HF2507" s="73"/>
      <c r="HG2507" s="73"/>
      <c r="HH2507" s="73"/>
      <c r="HI2507" s="73"/>
      <c r="HJ2507" s="73"/>
      <c r="HK2507" s="73"/>
      <c r="HL2507" s="73"/>
      <c r="HM2507" s="73"/>
      <c r="HN2507" s="73"/>
      <c r="HO2507" s="73"/>
      <c r="HP2507" s="73"/>
      <c r="HQ2507" s="73"/>
      <c r="HR2507" s="73"/>
      <c r="HS2507" s="73"/>
      <c r="HT2507" s="73"/>
      <c r="HU2507" s="73"/>
      <c r="HV2507" s="73"/>
      <c r="HW2507" s="73"/>
      <c r="HX2507" s="73"/>
      <c r="HY2507" s="73"/>
      <c r="HZ2507" s="73"/>
      <c r="IA2507" s="73"/>
      <c r="IB2507" s="73"/>
      <c r="IC2507" s="73"/>
      <c r="ID2507" s="73"/>
      <c r="IE2507" s="73"/>
      <c r="IF2507" s="73"/>
      <c r="IG2507" s="73"/>
      <c r="IH2507" s="73"/>
      <c r="II2507" s="73"/>
      <c r="IJ2507" s="73"/>
      <c r="IK2507" s="73"/>
      <c r="IL2507" s="73"/>
      <c r="IM2507" s="73"/>
      <c r="IN2507" s="73"/>
      <c r="IO2507" s="73"/>
      <c r="IP2507" s="73"/>
      <c r="IQ2507" s="73"/>
      <c r="IR2507" s="73"/>
      <c r="IS2507" s="73"/>
      <c r="IT2507" s="73"/>
      <c r="IU2507" s="73"/>
      <c r="IV2507" s="73"/>
      <c r="IW2507" s="73"/>
      <c r="IX2507" s="73"/>
      <c r="IY2507" s="73"/>
      <c r="IZ2507" s="73"/>
      <c r="JA2507" s="73"/>
      <c r="JB2507" s="73"/>
      <c r="JC2507" s="73"/>
    </row>
    <row r="2508" spans="2:263" s="72" customFormat="1">
      <c r="B2508" s="73"/>
      <c r="C2508" s="73"/>
      <c r="D2508" s="73"/>
      <c r="E2508" s="73"/>
      <c r="F2508" s="73"/>
      <c r="G2508" s="73"/>
      <c r="H2508" s="73"/>
      <c r="I2508" s="73"/>
      <c r="J2508" s="73"/>
      <c r="K2508" s="73"/>
      <c r="L2508" s="73"/>
      <c r="M2508" s="73"/>
      <c r="N2508" s="73"/>
      <c r="O2508" s="73"/>
      <c r="P2508" s="73"/>
      <c r="Q2508" s="73"/>
      <c r="R2508" s="73"/>
      <c r="S2508" s="73"/>
      <c r="T2508" s="73"/>
      <c r="U2508" s="73"/>
      <c r="V2508" s="73"/>
      <c r="W2508" s="73"/>
      <c r="GL2508" s="73"/>
      <c r="GM2508" s="73"/>
      <c r="GN2508" s="73"/>
      <c r="GO2508" s="73"/>
      <c r="GP2508" s="73"/>
      <c r="GQ2508" s="73"/>
      <c r="GR2508" s="73"/>
      <c r="GS2508" s="73"/>
      <c r="GT2508" s="73"/>
      <c r="GU2508" s="73"/>
      <c r="GV2508" s="73"/>
      <c r="GW2508" s="73"/>
      <c r="GX2508" s="73"/>
      <c r="GY2508" s="73"/>
      <c r="GZ2508" s="73"/>
      <c r="HA2508" s="73"/>
      <c r="HB2508" s="73"/>
      <c r="HC2508" s="73"/>
      <c r="HD2508" s="73"/>
      <c r="HE2508" s="73"/>
      <c r="HF2508" s="73"/>
      <c r="HG2508" s="73"/>
      <c r="HH2508" s="73"/>
      <c r="HI2508" s="73"/>
      <c r="HJ2508" s="73"/>
      <c r="HK2508" s="73"/>
      <c r="HL2508" s="73"/>
      <c r="HM2508" s="73"/>
      <c r="HN2508" s="73"/>
      <c r="HO2508" s="73"/>
      <c r="HP2508" s="73"/>
      <c r="HQ2508" s="73"/>
      <c r="HR2508" s="73"/>
      <c r="HS2508" s="73"/>
      <c r="HT2508" s="73"/>
      <c r="HU2508" s="73"/>
      <c r="HV2508" s="73"/>
      <c r="HW2508" s="73"/>
      <c r="HX2508" s="73"/>
      <c r="HY2508" s="73"/>
      <c r="HZ2508" s="73"/>
      <c r="IA2508" s="73"/>
      <c r="IB2508" s="73"/>
      <c r="IC2508" s="73"/>
      <c r="ID2508" s="73"/>
      <c r="IE2508" s="73"/>
      <c r="IF2508" s="73"/>
      <c r="IG2508" s="73"/>
      <c r="IH2508" s="73"/>
      <c r="II2508" s="73"/>
      <c r="IJ2508" s="73"/>
      <c r="IK2508" s="73"/>
      <c r="IL2508" s="73"/>
      <c r="IM2508" s="73"/>
      <c r="IN2508" s="73"/>
      <c r="IO2508" s="73"/>
      <c r="IP2508" s="73"/>
      <c r="IQ2508" s="73"/>
      <c r="IR2508" s="73"/>
      <c r="IS2508" s="73"/>
      <c r="IT2508" s="73"/>
      <c r="IU2508" s="73"/>
      <c r="IV2508" s="73"/>
      <c r="IW2508" s="73"/>
      <c r="IX2508" s="73"/>
      <c r="IY2508" s="73"/>
      <c r="IZ2508" s="73"/>
      <c r="JA2508" s="73"/>
      <c r="JB2508" s="73"/>
      <c r="JC2508" s="73"/>
    </row>
    <row r="2509" spans="2:263" s="72" customFormat="1">
      <c r="B2509" s="73"/>
      <c r="C2509" s="73"/>
      <c r="D2509" s="73"/>
      <c r="E2509" s="73"/>
      <c r="F2509" s="73"/>
      <c r="G2509" s="73"/>
      <c r="H2509" s="73"/>
      <c r="I2509" s="73"/>
      <c r="J2509" s="73"/>
      <c r="K2509" s="73"/>
      <c r="L2509" s="73"/>
      <c r="M2509" s="73"/>
      <c r="N2509" s="73"/>
      <c r="O2509" s="73"/>
      <c r="P2509" s="73"/>
      <c r="Q2509" s="73"/>
      <c r="R2509" s="73"/>
      <c r="S2509" s="73"/>
      <c r="T2509" s="73"/>
      <c r="U2509" s="73"/>
      <c r="V2509" s="73"/>
      <c r="W2509" s="73"/>
      <c r="GL2509" s="73"/>
      <c r="GM2509" s="73"/>
      <c r="GN2509" s="73"/>
      <c r="GO2509" s="73"/>
      <c r="GP2509" s="73"/>
      <c r="GQ2509" s="73"/>
      <c r="GR2509" s="73"/>
      <c r="GS2509" s="73"/>
      <c r="GT2509" s="73"/>
      <c r="GU2509" s="73"/>
      <c r="GV2509" s="73"/>
      <c r="GW2509" s="73"/>
      <c r="GX2509" s="73"/>
      <c r="GY2509" s="73"/>
      <c r="GZ2509" s="73"/>
      <c r="HA2509" s="73"/>
      <c r="HB2509" s="73"/>
      <c r="HC2509" s="73"/>
      <c r="HD2509" s="73"/>
      <c r="HE2509" s="73"/>
      <c r="HF2509" s="73"/>
      <c r="HG2509" s="73"/>
      <c r="HH2509" s="73"/>
      <c r="HI2509" s="73"/>
      <c r="HJ2509" s="73"/>
      <c r="HK2509" s="73"/>
      <c r="HL2509" s="73"/>
      <c r="HM2509" s="73"/>
      <c r="HN2509" s="73"/>
      <c r="HO2509" s="73"/>
      <c r="HP2509" s="73"/>
      <c r="HQ2509" s="73"/>
      <c r="HR2509" s="73"/>
      <c r="HS2509" s="73"/>
      <c r="HT2509" s="73"/>
      <c r="HU2509" s="73"/>
      <c r="HV2509" s="73"/>
      <c r="HW2509" s="73"/>
      <c r="HX2509" s="73"/>
      <c r="HY2509" s="73"/>
      <c r="HZ2509" s="73"/>
      <c r="IA2509" s="73"/>
      <c r="IB2509" s="73"/>
      <c r="IC2509" s="73"/>
      <c r="ID2509" s="73"/>
      <c r="IE2509" s="73"/>
      <c r="IF2509" s="73"/>
      <c r="IG2509" s="73"/>
      <c r="IH2509" s="73"/>
      <c r="II2509" s="73"/>
      <c r="IJ2509" s="73"/>
      <c r="IK2509" s="73"/>
      <c r="IL2509" s="73"/>
      <c r="IM2509" s="73"/>
      <c r="IN2509" s="73"/>
      <c r="IO2509" s="73"/>
      <c r="IP2509" s="73"/>
      <c r="IQ2509" s="73"/>
      <c r="IR2509" s="73"/>
      <c r="IS2509" s="73"/>
      <c r="IT2509" s="73"/>
      <c r="IU2509" s="73"/>
      <c r="IV2509" s="73"/>
      <c r="IW2509" s="73"/>
      <c r="IX2509" s="73"/>
      <c r="IY2509" s="73"/>
      <c r="IZ2509" s="73"/>
      <c r="JA2509" s="73"/>
      <c r="JB2509" s="73"/>
      <c r="JC2509" s="73"/>
    </row>
    <row r="2510" spans="2:263" s="72" customFormat="1">
      <c r="B2510" s="73"/>
      <c r="C2510" s="73"/>
      <c r="D2510" s="73"/>
      <c r="E2510" s="73"/>
      <c r="F2510" s="73"/>
      <c r="G2510" s="73"/>
      <c r="H2510" s="73"/>
      <c r="I2510" s="73"/>
      <c r="J2510" s="73"/>
      <c r="K2510" s="73"/>
      <c r="L2510" s="73"/>
      <c r="M2510" s="73"/>
      <c r="N2510" s="73"/>
      <c r="O2510" s="73"/>
      <c r="P2510" s="73"/>
      <c r="Q2510" s="73"/>
      <c r="R2510" s="73"/>
      <c r="S2510" s="73"/>
      <c r="T2510" s="73"/>
      <c r="U2510" s="73"/>
      <c r="V2510" s="73"/>
      <c r="W2510" s="73"/>
      <c r="GL2510" s="73"/>
      <c r="GM2510" s="73"/>
      <c r="GN2510" s="73"/>
      <c r="GO2510" s="73"/>
      <c r="GP2510" s="73"/>
      <c r="GQ2510" s="73"/>
      <c r="GR2510" s="73"/>
      <c r="GS2510" s="73"/>
      <c r="GT2510" s="73"/>
      <c r="GU2510" s="73"/>
      <c r="GV2510" s="73"/>
      <c r="GW2510" s="73"/>
      <c r="GX2510" s="73"/>
      <c r="GY2510" s="73"/>
      <c r="GZ2510" s="73"/>
      <c r="HA2510" s="73"/>
      <c r="HB2510" s="73"/>
      <c r="HC2510" s="73"/>
      <c r="HD2510" s="73"/>
      <c r="HE2510" s="73"/>
      <c r="HF2510" s="73"/>
      <c r="HG2510" s="73"/>
      <c r="HH2510" s="73"/>
      <c r="HI2510" s="73"/>
      <c r="HJ2510" s="73"/>
      <c r="HK2510" s="73"/>
      <c r="HL2510" s="73"/>
      <c r="HM2510" s="73"/>
      <c r="HN2510" s="73"/>
      <c r="HO2510" s="73"/>
      <c r="HP2510" s="73"/>
      <c r="HQ2510" s="73"/>
      <c r="HR2510" s="73"/>
      <c r="HS2510" s="73"/>
      <c r="HT2510" s="73"/>
      <c r="HU2510" s="73"/>
      <c r="HV2510" s="73"/>
      <c r="HW2510" s="73"/>
      <c r="HX2510" s="73"/>
      <c r="HY2510" s="73"/>
      <c r="HZ2510" s="73"/>
      <c r="IA2510" s="73"/>
      <c r="IB2510" s="73"/>
      <c r="IC2510" s="73"/>
      <c r="ID2510" s="73"/>
      <c r="IE2510" s="73"/>
      <c r="IF2510" s="73"/>
      <c r="IG2510" s="73"/>
      <c r="IH2510" s="73"/>
      <c r="II2510" s="73"/>
      <c r="IJ2510" s="73"/>
      <c r="IK2510" s="73"/>
      <c r="IL2510" s="73"/>
      <c r="IM2510" s="73"/>
      <c r="IN2510" s="73"/>
      <c r="IO2510" s="73"/>
      <c r="IP2510" s="73"/>
      <c r="IQ2510" s="73"/>
      <c r="IR2510" s="73"/>
      <c r="IS2510" s="73"/>
      <c r="IT2510" s="73"/>
      <c r="IU2510" s="73"/>
      <c r="IV2510" s="73"/>
      <c r="IW2510" s="73"/>
      <c r="IX2510" s="73"/>
      <c r="IY2510" s="73"/>
      <c r="IZ2510" s="73"/>
      <c r="JA2510" s="73"/>
      <c r="JB2510" s="73"/>
      <c r="JC2510" s="73"/>
    </row>
    <row r="2511" spans="2:263" s="72" customFormat="1">
      <c r="B2511" s="73"/>
      <c r="C2511" s="73"/>
      <c r="D2511" s="73"/>
      <c r="E2511" s="73"/>
      <c r="F2511" s="73"/>
      <c r="G2511" s="73"/>
      <c r="H2511" s="73"/>
      <c r="I2511" s="73"/>
      <c r="J2511" s="73"/>
      <c r="K2511" s="73"/>
      <c r="L2511" s="73"/>
      <c r="M2511" s="73"/>
      <c r="N2511" s="73"/>
      <c r="O2511" s="73"/>
      <c r="P2511" s="73"/>
      <c r="Q2511" s="73"/>
      <c r="R2511" s="73"/>
      <c r="S2511" s="73"/>
      <c r="T2511" s="73"/>
      <c r="U2511" s="73"/>
      <c r="V2511" s="73"/>
      <c r="W2511" s="73"/>
      <c r="GL2511" s="73"/>
      <c r="GM2511" s="73"/>
      <c r="GN2511" s="73"/>
      <c r="GO2511" s="73"/>
      <c r="GP2511" s="73"/>
      <c r="GQ2511" s="73"/>
      <c r="GR2511" s="73"/>
      <c r="GS2511" s="73"/>
      <c r="GT2511" s="73"/>
      <c r="GU2511" s="73"/>
      <c r="GV2511" s="73"/>
      <c r="GW2511" s="73"/>
      <c r="GX2511" s="73"/>
      <c r="GY2511" s="73"/>
      <c r="GZ2511" s="73"/>
      <c r="HA2511" s="73"/>
      <c r="HB2511" s="73"/>
      <c r="HC2511" s="73"/>
      <c r="HD2511" s="73"/>
      <c r="HE2511" s="73"/>
      <c r="HF2511" s="73"/>
      <c r="HG2511" s="73"/>
      <c r="HH2511" s="73"/>
      <c r="HI2511" s="73"/>
      <c r="HJ2511" s="73"/>
      <c r="HK2511" s="73"/>
      <c r="HL2511" s="73"/>
      <c r="HM2511" s="73"/>
      <c r="HN2511" s="73"/>
      <c r="HO2511" s="73"/>
      <c r="HP2511" s="73"/>
      <c r="HQ2511" s="73"/>
      <c r="HR2511" s="73"/>
      <c r="HS2511" s="73"/>
      <c r="HT2511" s="73"/>
      <c r="HU2511" s="73"/>
      <c r="HV2511" s="73"/>
      <c r="HW2511" s="73"/>
      <c r="HX2511" s="73"/>
      <c r="HY2511" s="73"/>
      <c r="HZ2511" s="73"/>
      <c r="IA2511" s="73"/>
      <c r="IB2511" s="73"/>
      <c r="IC2511" s="73"/>
      <c r="ID2511" s="73"/>
      <c r="IE2511" s="73"/>
      <c r="IF2511" s="73"/>
      <c r="IG2511" s="73"/>
      <c r="IH2511" s="73"/>
      <c r="II2511" s="73"/>
      <c r="IJ2511" s="73"/>
      <c r="IK2511" s="73"/>
      <c r="IL2511" s="73"/>
      <c r="IM2511" s="73"/>
      <c r="IN2511" s="73"/>
      <c r="IO2511" s="73"/>
      <c r="IP2511" s="73"/>
      <c r="IQ2511" s="73"/>
      <c r="IR2511" s="73"/>
      <c r="IS2511" s="73"/>
      <c r="IT2511" s="73"/>
      <c r="IU2511" s="73"/>
      <c r="IV2511" s="73"/>
      <c r="IW2511" s="73"/>
      <c r="IX2511" s="73"/>
      <c r="IY2511" s="73"/>
      <c r="IZ2511" s="73"/>
      <c r="JA2511" s="73"/>
      <c r="JB2511" s="73"/>
      <c r="JC2511" s="73"/>
    </row>
    <row r="2512" spans="2:263" s="72" customFormat="1">
      <c r="B2512" s="73"/>
      <c r="C2512" s="73"/>
      <c r="D2512" s="73"/>
      <c r="E2512" s="73"/>
      <c r="F2512" s="73"/>
      <c r="G2512" s="73"/>
      <c r="H2512" s="73"/>
      <c r="I2512" s="73"/>
      <c r="J2512" s="73"/>
      <c r="K2512" s="73"/>
      <c r="L2512" s="73"/>
      <c r="M2512" s="73"/>
      <c r="N2512" s="73"/>
      <c r="O2512" s="73"/>
      <c r="P2512" s="73"/>
      <c r="Q2512" s="73"/>
      <c r="R2512" s="73"/>
      <c r="S2512" s="73"/>
      <c r="T2512" s="73"/>
      <c r="U2512" s="73"/>
      <c r="V2512" s="73"/>
      <c r="W2512" s="73"/>
      <c r="GL2512" s="73"/>
      <c r="GM2512" s="73"/>
      <c r="GN2512" s="73"/>
      <c r="GO2512" s="73"/>
      <c r="GP2512" s="73"/>
      <c r="GQ2512" s="73"/>
      <c r="GR2512" s="73"/>
      <c r="GS2512" s="73"/>
      <c r="GT2512" s="73"/>
      <c r="GU2512" s="73"/>
      <c r="GV2512" s="73"/>
      <c r="GW2512" s="73"/>
      <c r="GX2512" s="73"/>
      <c r="GY2512" s="73"/>
      <c r="GZ2512" s="73"/>
      <c r="HA2512" s="73"/>
      <c r="HB2512" s="73"/>
      <c r="HC2512" s="73"/>
      <c r="HD2512" s="73"/>
      <c r="HE2512" s="73"/>
      <c r="HF2512" s="73"/>
      <c r="HG2512" s="73"/>
      <c r="HH2512" s="73"/>
      <c r="HI2512" s="73"/>
      <c r="HJ2512" s="73"/>
      <c r="HK2512" s="73"/>
      <c r="HL2512" s="73"/>
      <c r="HM2512" s="73"/>
      <c r="HN2512" s="73"/>
      <c r="HO2512" s="73"/>
      <c r="HP2512" s="73"/>
      <c r="HQ2512" s="73"/>
      <c r="HR2512" s="73"/>
      <c r="HS2512" s="73"/>
      <c r="HT2512" s="73"/>
      <c r="HU2512" s="73"/>
      <c r="HV2512" s="73"/>
      <c r="HW2512" s="73"/>
      <c r="HX2512" s="73"/>
      <c r="HY2512" s="73"/>
      <c r="HZ2512" s="73"/>
      <c r="IA2512" s="73"/>
      <c r="IB2512" s="73"/>
      <c r="IC2512" s="73"/>
      <c r="ID2512" s="73"/>
      <c r="IE2512" s="73"/>
      <c r="IF2512" s="73"/>
      <c r="IG2512" s="73"/>
      <c r="IH2512" s="73"/>
      <c r="II2512" s="73"/>
      <c r="IJ2512" s="73"/>
      <c r="IK2512" s="73"/>
      <c r="IL2512" s="73"/>
      <c r="IM2512" s="73"/>
      <c r="IN2512" s="73"/>
      <c r="IO2512" s="73"/>
      <c r="IP2512" s="73"/>
      <c r="IQ2512" s="73"/>
      <c r="IR2512" s="73"/>
      <c r="IS2512" s="73"/>
      <c r="IT2512" s="73"/>
      <c r="IU2512" s="73"/>
      <c r="IV2512" s="73"/>
      <c r="IW2512" s="73"/>
      <c r="IX2512" s="73"/>
      <c r="IY2512" s="73"/>
      <c r="IZ2512" s="73"/>
      <c r="JA2512" s="73"/>
      <c r="JB2512" s="73"/>
      <c r="JC2512" s="73"/>
    </row>
    <row r="2513" spans="2:263" s="72" customFormat="1">
      <c r="B2513" s="73"/>
      <c r="C2513" s="73"/>
      <c r="D2513" s="73"/>
      <c r="E2513" s="73"/>
      <c r="F2513" s="73"/>
      <c r="G2513" s="73"/>
      <c r="H2513" s="73"/>
      <c r="I2513" s="73"/>
      <c r="J2513" s="73"/>
      <c r="K2513" s="73"/>
      <c r="L2513" s="73"/>
      <c r="M2513" s="73"/>
      <c r="N2513" s="73"/>
      <c r="O2513" s="73"/>
      <c r="P2513" s="73"/>
      <c r="Q2513" s="73"/>
      <c r="R2513" s="73"/>
      <c r="S2513" s="73"/>
      <c r="T2513" s="73"/>
      <c r="U2513" s="73"/>
      <c r="V2513" s="73"/>
      <c r="W2513" s="73"/>
      <c r="GL2513" s="73"/>
      <c r="GM2513" s="73"/>
      <c r="GN2513" s="73"/>
      <c r="GO2513" s="73"/>
      <c r="GP2513" s="73"/>
      <c r="GQ2513" s="73"/>
      <c r="GR2513" s="73"/>
      <c r="GS2513" s="73"/>
      <c r="GT2513" s="73"/>
      <c r="GU2513" s="73"/>
      <c r="GV2513" s="73"/>
      <c r="GW2513" s="73"/>
      <c r="GX2513" s="73"/>
      <c r="GY2513" s="73"/>
      <c r="GZ2513" s="73"/>
      <c r="HA2513" s="73"/>
      <c r="HB2513" s="73"/>
      <c r="HC2513" s="73"/>
      <c r="HD2513" s="73"/>
      <c r="HE2513" s="73"/>
      <c r="HF2513" s="73"/>
      <c r="HG2513" s="73"/>
      <c r="HH2513" s="73"/>
      <c r="HI2513" s="73"/>
      <c r="HJ2513" s="73"/>
      <c r="HK2513" s="73"/>
      <c r="HL2513" s="73"/>
      <c r="HM2513" s="73"/>
      <c r="HN2513" s="73"/>
      <c r="HO2513" s="73"/>
      <c r="HP2513" s="73"/>
      <c r="HQ2513" s="73"/>
      <c r="HR2513" s="73"/>
      <c r="HS2513" s="73"/>
      <c r="HT2513" s="73"/>
      <c r="HU2513" s="73"/>
      <c r="HV2513" s="73"/>
      <c r="HW2513" s="73"/>
      <c r="HX2513" s="73"/>
      <c r="HY2513" s="73"/>
      <c r="HZ2513" s="73"/>
      <c r="IA2513" s="73"/>
      <c r="IB2513" s="73"/>
      <c r="IC2513" s="73"/>
      <c r="ID2513" s="73"/>
      <c r="IE2513" s="73"/>
      <c r="IF2513" s="73"/>
      <c r="IG2513" s="73"/>
      <c r="IH2513" s="73"/>
      <c r="II2513" s="73"/>
      <c r="IJ2513" s="73"/>
      <c r="IK2513" s="73"/>
      <c r="IL2513" s="73"/>
      <c r="IM2513" s="73"/>
      <c r="IN2513" s="73"/>
      <c r="IO2513" s="73"/>
      <c r="IP2513" s="73"/>
      <c r="IQ2513" s="73"/>
      <c r="IR2513" s="73"/>
      <c r="IS2513" s="73"/>
      <c r="IT2513" s="73"/>
      <c r="IU2513" s="73"/>
      <c r="IV2513" s="73"/>
      <c r="IW2513" s="73"/>
      <c r="IX2513" s="73"/>
      <c r="IY2513" s="73"/>
      <c r="IZ2513" s="73"/>
      <c r="JA2513" s="73"/>
      <c r="JB2513" s="73"/>
      <c r="JC2513" s="73"/>
    </row>
    <row r="2514" spans="2:263" s="72" customFormat="1">
      <c r="B2514" s="73"/>
      <c r="C2514" s="73"/>
      <c r="D2514" s="73"/>
      <c r="E2514" s="73"/>
      <c r="F2514" s="73"/>
      <c r="G2514" s="73"/>
      <c r="H2514" s="73"/>
      <c r="I2514" s="73"/>
      <c r="J2514" s="73"/>
      <c r="K2514" s="73"/>
      <c r="L2514" s="73"/>
      <c r="M2514" s="73"/>
      <c r="N2514" s="73"/>
      <c r="O2514" s="73"/>
      <c r="P2514" s="73"/>
      <c r="Q2514" s="73"/>
      <c r="R2514" s="73"/>
      <c r="S2514" s="73"/>
      <c r="T2514" s="73"/>
      <c r="U2514" s="73"/>
      <c r="V2514" s="73"/>
      <c r="W2514" s="73"/>
      <c r="GL2514" s="73"/>
      <c r="GM2514" s="73"/>
      <c r="GN2514" s="73"/>
      <c r="GO2514" s="73"/>
      <c r="GP2514" s="73"/>
      <c r="GQ2514" s="73"/>
      <c r="GR2514" s="73"/>
      <c r="GS2514" s="73"/>
      <c r="GT2514" s="73"/>
      <c r="GU2514" s="73"/>
      <c r="GV2514" s="73"/>
      <c r="GW2514" s="73"/>
      <c r="GX2514" s="73"/>
      <c r="GY2514" s="73"/>
      <c r="GZ2514" s="73"/>
      <c r="HA2514" s="73"/>
      <c r="HB2514" s="73"/>
      <c r="HC2514" s="73"/>
      <c r="HD2514" s="73"/>
      <c r="HE2514" s="73"/>
      <c r="HF2514" s="73"/>
      <c r="HG2514" s="73"/>
      <c r="HH2514" s="73"/>
      <c r="HI2514" s="73"/>
      <c r="HJ2514" s="73"/>
      <c r="HK2514" s="73"/>
      <c r="HL2514" s="73"/>
      <c r="HM2514" s="73"/>
      <c r="HN2514" s="73"/>
      <c r="HO2514" s="73"/>
      <c r="HP2514" s="73"/>
      <c r="HQ2514" s="73"/>
      <c r="HR2514" s="73"/>
      <c r="HS2514" s="73"/>
      <c r="HT2514" s="73"/>
      <c r="HU2514" s="73"/>
      <c r="HV2514" s="73"/>
      <c r="HW2514" s="73"/>
      <c r="HX2514" s="73"/>
      <c r="HY2514" s="73"/>
      <c r="HZ2514" s="73"/>
      <c r="IA2514" s="73"/>
      <c r="IB2514" s="73"/>
      <c r="IC2514" s="73"/>
      <c r="ID2514" s="73"/>
      <c r="IE2514" s="73"/>
      <c r="IF2514" s="73"/>
      <c r="IG2514" s="73"/>
      <c r="IH2514" s="73"/>
      <c r="II2514" s="73"/>
      <c r="IJ2514" s="73"/>
      <c r="IK2514" s="73"/>
      <c r="IL2514" s="73"/>
      <c r="IM2514" s="73"/>
      <c r="IN2514" s="73"/>
      <c r="IO2514" s="73"/>
      <c r="IP2514" s="73"/>
      <c r="IQ2514" s="73"/>
      <c r="IR2514" s="73"/>
      <c r="IS2514" s="73"/>
      <c r="IT2514" s="73"/>
      <c r="IU2514" s="73"/>
      <c r="IV2514" s="73"/>
      <c r="IW2514" s="73"/>
      <c r="IX2514" s="73"/>
      <c r="IY2514" s="73"/>
      <c r="IZ2514" s="73"/>
      <c r="JA2514" s="73"/>
      <c r="JB2514" s="73"/>
      <c r="JC2514" s="73"/>
    </row>
    <row r="2515" spans="2:263" s="72" customFormat="1">
      <c r="B2515" s="73"/>
      <c r="C2515" s="73"/>
      <c r="D2515" s="73"/>
      <c r="E2515" s="73"/>
      <c r="F2515" s="73"/>
      <c r="G2515" s="73"/>
      <c r="H2515" s="73"/>
      <c r="I2515" s="73"/>
      <c r="J2515" s="73"/>
      <c r="K2515" s="73"/>
      <c r="L2515" s="73"/>
      <c r="M2515" s="73"/>
      <c r="N2515" s="73"/>
      <c r="O2515" s="73"/>
      <c r="P2515" s="73"/>
      <c r="Q2515" s="73"/>
      <c r="R2515" s="73"/>
      <c r="S2515" s="73"/>
      <c r="T2515" s="73"/>
      <c r="U2515" s="73"/>
      <c r="V2515" s="73"/>
      <c r="W2515" s="73"/>
      <c r="GL2515" s="73"/>
      <c r="GM2515" s="73"/>
      <c r="GN2515" s="73"/>
      <c r="GO2515" s="73"/>
      <c r="GP2515" s="73"/>
      <c r="GQ2515" s="73"/>
      <c r="GR2515" s="73"/>
      <c r="GS2515" s="73"/>
      <c r="GT2515" s="73"/>
      <c r="GU2515" s="73"/>
      <c r="GV2515" s="73"/>
      <c r="GW2515" s="73"/>
      <c r="GX2515" s="73"/>
      <c r="GY2515" s="73"/>
      <c r="GZ2515" s="73"/>
      <c r="HA2515" s="73"/>
      <c r="HB2515" s="73"/>
      <c r="HC2515" s="73"/>
      <c r="HD2515" s="73"/>
      <c r="HE2515" s="73"/>
      <c r="HF2515" s="73"/>
      <c r="HG2515" s="73"/>
      <c r="HH2515" s="73"/>
      <c r="HI2515" s="73"/>
      <c r="HJ2515" s="73"/>
      <c r="HK2515" s="73"/>
      <c r="HL2515" s="73"/>
      <c r="HM2515" s="73"/>
      <c r="HN2515" s="73"/>
      <c r="HO2515" s="73"/>
      <c r="HP2515" s="73"/>
      <c r="HQ2515" s="73"/>
      <c r="HR2515" s="73"/>
      <c r="HS2515" s="73"/>
      <c r="HT2515" s="73"/>
      <c r="HU2515" s="73"/>
      <c r="HV2515" s="73"/>
      <c r="HW2515" s="73"/>
      <c r="HX2515" s="73"/>
      <c r="HY2515" s="73"/>
      <c r="HZ2515" s="73"/>
      <c r="IA2515" s="73"/>
      <c r="IB2515" s="73"/>
      <c r="IC2515" s="73"/>
      <c r="ID2515" s="73"/>
      <c r="IE2515" s="73"/>
      <c r="IF2515" s="73"/>
      <c r="IG2515" s="73"/>
      <c r="IH2515" s="73"/>
      <c r="II2515" s="73"/>
      <c r="IJ2515" s="73"/>
      <c r="IK2515" s="73"/>
      <c r="IL2515" s="73"/>
      <c r="IM2515" s="73"/>
      <c r="IN2515" s="73"/>
      <c r="IO2515" s="73"/>
      <c r="IP2515" s="73"/>
      <c r="IQ2515" s="73"/>
      <c r="IR2515" s="73"/>
      <c r="IS2515" s="73"/>
      <c r="IT2515" s="73"/>
      <c r="IU2515" s="73"/>
      <c r="IV2515" s="73"/>
      <c r="IW2515" s="73"/>
      <c r="IX2515" s="73"/>
      <c r="IY2515" s="73"/>
      <c r="IZ2515" s="73"/>
      <c r="JA2515" s="73"/>
      <c r="JB2515" s="73"/>
      <c r="JC2515" s="73"/>
    </row>
    <row r="2516" spans="2:263" s="72" customFormat="1">
      <c r="B2516" s="73"/>
      <c r="C2516" s="73"/>
      <c r="D2516" s="73"/>
      <c r="E2516" s="73"/>
      <c r="F2516" s="73"/>
      <c r="G2516" s="73"/>
      <c r="H2516" s="73"/>
      <c r="I2516" s="73"/>
      <c r="J2516" s="73"/>
      <c r="K2516" s="73"/>
      <c r="L2516" s="73"/>
      <c r="M2516" s="73"/>
      <c r="N2516" s="73"/>
      <c r="O2516" s="73"/>
      <c r="P2516" s="73"/>
      <c r="Q2516" s="73"/>
      <c r="R2516" s="73"/>
      <c r="S2516" s="73"/>
      <c r="T2516" s="73"/>
      <c r="U2516" s="73"/>
      <c r="V2516" s="73"/>
      <c r="W2516" s="73"/>
      <c r="GL2516" s="73"/>
      <c r="GM2516" s="73"/>
      <c r="GN2516" s="73"/>
      <c r="GO2516" s="73"/>
      <c r="GP2516" s="73"/>
      <c r="GQ2516" s="73"/>
      <c r="GR2516" s="73"/>
      <c r="GS2516" s="73"/>
      <c r="GT2516" s="73"/>
      <c r="GU2516" s="73"/>
      <c r="GV2516" s="73"/>
      <c r="GW2516" s="73"/>
      <c r="GX2516" s="73"/>
      <c r="GY2516" s="73"/>
      <c r="GZ2516" s="73"/>
      <c r="HA2516" s="73"/>
      <c r="HB2516" s="73"/>
      <c r="HC2516" s="73"/>
      <c r="HD2516" s="73"/>
      <c r="HE2516" s="73"/>
      <c r="HF2516" s="73"/>
      <c r="HG2516" s="73"/>
      <c r="HH2516" s="73"/>
      <c r="HI2516" s="73"/>
      <c r="HJ2516" s="73"/>
      <c r="HK2516" s="73"/>
      <c r="HL2516" s="73"/>
      <c r="HM2516" s="73"/>
      <c r="HN2516" s="73"/>
      <c r="HO2516" s="73"/>
      <c r="HP2516" s="73"/>
      <c r="HQ2516" s="73"/>
      <c r="HR2516" s="73"/>
      <c r="HS2516" s="73"/>
      <c r="HT2516" s="73"/>
      <c r="HU2516" s="73"/>
      <c r="HV2516" s="73"/>
      <c r="HW2516" s="73"/>
      <c r="HX2516" s="73"/>
      <c r="HY2516" s="73"/>
      <c r="HZ2516" s="73"/>
      <c r="IA2516" s="73"/>
      <c r="IB2516" s="73"/>
      <c r="IC2516" s="73"/>
      <c r="ID2516" s="73"/>
      <c r="IE2516" s="73"/>
      <c r="IF2516" s="73"/>
      <c r="IG2516" s="73"/>
      <c r="IH2516" s="73"/>
      <c r="II2516" s="73"/>
      <c r="IJ2516" s="73"/>
      <c r="IK2516" s="73"/>
      <c r="IL2516" s="73"/>
      <c r="IM2516" s="73"/>
      <c r="IN2516" s="73"/>
      <c r="IO2516" s="73"/>
      <c r="IP2516" s="73"/>
      <c r="IQ2516" s="73"/>
      <c r="IR2516" s="73"/>
      <c r="IS2516" s="73"/>
      <c r="IT2516" s="73"/>
      <c r="IU2516" s="73"/>
      <c r="IV2516" s="73"/>
      <c r="IW2516" s="73"/>
      <c r="IX2516" s="73"/>
      <c r="IY2516" s="73"/>
      <c r="IZ2516" s="73"/>
      <c r="JA2516" s="73"/>
      <c r="JB2516" s="73"/>
      <c r="JC2516" s="73"/>
    </row>
    <row r="2517" spans="2:263" s="72" customFormat="1">
      <c r="B2517" s="73"/>
      <c r="C2517" s="73"/>
      <c r="D2517" s="73"/>
      <c r="E2517" s="73"/>
      <c r="F2517" s="73"/>
      <c r="G2517" s="73"/>
      <c r="H2517" s="73"/>
      <c r="I2517" s="73"/>
      <c r="J2517" s="73"/>
      <c r="K2517" s="73"/>
      <c r="L2517" s="73"/>
      <c r="M2517" s="73"/>
      <c r="N2517" s="73"/>
      <c r="O2517" s="73"/>
      <c r="P2517" s="73"/>
      <c r="Q2517" s="73"/>
      <c r="R2517" s="73"/>
      <c r="S2517" s="73"/>
      <c r="T2517" s="73"/>
      <c r="U2517" s="73"/>
      <c r="V2517" s="73"/>
      <c r="W2517" s="73"/>
      <c r="GL2517" s="73"/>
      <c r="GM2517" s="73"/>
      <c r="GN2517" s="73"/>
      <c r="GO2517" s="73"/>
      <c r="GP2517" s="73"/>
      <c r="GQ2517" s="73"/>
      <c r="GR2517" s="73"/>
      <c r="GS2517" s="73"/>
      <c r="GT2517" s="73"/>
      <c r="GU2517" s="73"/>
      <c r="GV2517" s="73"/>
      <c r="GW2517" s="73"/>
      <c r="GX2517" s="73"/>
      <c r="GY2517" s="73"/>
      <c r="GZ2517" s="73"/>
      <c r="HA2517" s="73"/>
      <c r="HB2517" s="73"/>
      <c r="HC2517" s="73"/>
      <c r="HD2517" s="73"/>
      <c r="HE2517" s="73"/>
      <c r="HF2517" s="73"/>
      <c r="HG2517" s="73"/>
      <c r="HH2517" s="73"/>
      <c r="HI2517" s="73"/>
      <c r="HJ2517" s="73"/>
      <c r="HK2517" s="73"/>
      <c r="HL2517" s="73"/>
      <c r="HM2517" s="73"/>
      <c r="HN2517" s="73"/>
      <c r="HO2517" s="73"/>
      <c r="HP2517" s="73"/>
      <c r="HQ2517" s="73"/>
      <c r="HR2517" s="73"/>
      <c r="HS2517" s="73"/>
      <c r="HT2517" s="73"/>
      <c r="HU2517" s="73"/>
      <c r="HV2517" s="73"/>
      <c r="HW2517" s="73"/>
      <c r="HX2517" s="73"/>
      <c r="HY2517" s="73"/>
      <c r="HZ2517" s="73"/>
      <c r="IA2517" s="73"/>
      <c r="IB2517" s="73"/>
      <c r="IC2517" s="73"/>
      <c r="ID2517" s="73"/>
      <c r="IE2517" s="73"/>
      <c r="IF2517" s="73"/>
      <c r="IG2517" s="73"/>
      <c r="IH2517" s="73"/>
      <c r="II2517" s="73"/>
      <c r="IJ2517" s="73"/>
      <c r="IK2517" s="73"/>
      <c r="IL2517" s="73"/>
      <c r="IM2517" s="73"/>
      <c r="IN2517" s="73"/>
      <c r="IO2517" s="73"/>
      <c r="IP2517" s="73"/>
      <c r="IQ2517" s="73"/>
      <c r="IR2517" s="73"/>
      <c r="IS2517" s="73"/>
      <c r="IT2517" s="73"/>
      <c r="IU2517" s="73"/>
      <c r="IV2517" s="73"/>
      <c r="IW2517" s="73"/>
      <c r="IX2517" s="73"/>
      <c r="IY2517" s="73"/>
      <c r="IZ2517" s="73"/>
      <c r="JA2517" s="73"/>
      <c r="JB2517" s="73"/>
      <c r="JC2517" s="73"/>
    </row>
    <row r="2518" spans="2:263" s="72" customFormat="1">
      <c r="B2518" s="73"/>
      <c r="C2518" s="73"/>
      <c r="D2518" s="73"/>
      <c r="E2518" s="73"/>
      <c r="F2518" s="73"/>
      <c r="G2518" s="73"/>
      <c r="H2518" s="73"/>
      <c r="I2518" s="73"/>
      <c r="J2518" s="73"/>
      <c r="K2518" s="73"/>
      <c r="L2518" s="73"/>
      <c r="M2518" s="73"/>
      <c r="N2518" s="73"/>
      <c r="O2518" s="73"/>
      <c r="P2518" s="73"/>
      <c r="Q2518" s="73"/>
      <c r="R2518" s="73"/>
      <c r="S2518" s="73"/>
      <c r="T2518" s="73"/>
      <c r="U2518" s="73"/>
      <c r="V2518" s="73"/>
      <c r="W2518" s="73"/>
      <c r="GL2518" s="73"/>
      <c r="GM2518" s="73"/>
      <c r="GN2518" s="73"/>
      <c r="GO2518" s="73"/>
      <c r="GP2518" s="73"/>
      <c r="GQ2518" s="73"/>
      <c r="GR2518" s="73"/>
      <c r="GS2518" s="73"/>
      <c r="GT2518" s="73"/>
      <c r="GU2518" s="73"/>
      <c r="GV2518" s="73"/>
      <c r="GW2518" s="73"/>
      <c r="GX2518" s="73"/>
      <c r="GY2518" s="73"/>
      <c r="GZ2518" s="73"/>
      <c r="HA2518" s="73"/>
      <c r="HB2518" s="73"/>
      <c r="HC2518" s="73"/>
      <c r="HD2518" s="73"/>
      <c r="HE2518" s="73"/>
      <c r="HF2518" s="73"/>
      <c r="HG2518" s="73"/>
      <c r="HH2518" s="73"/>
      <c r="HI2518" s="73"/>
      <c r="HJ2518" s="73"/>
      <c r="HK2518" s="73"/>
      <c r="HL2518" s="73"/>
      <c r="HM2518" s="73"/>
      <c r="HN2518" s="73"/>
      <c r="HO2518" s="73"/>
      <c r="HP2518" s="73"/>
      <c r="HQ2518" s="73"/>
      <c r="HR2518" s="73"/>
      <c r="HS2518" s="73"/>
      <c r="HT2518" s="73"/>
      <c r="HU2518" s="73"/>
      <c r="HV2518" s="73"/>
      <c r="HW2518" s="73"/>
      <c r="HX2518" s="73"/>
      <c r="HY2518" s="73"/>
      <c r="HZ2518" s="73"/>
      <c r="IA2518" s="73"/>
      <c r="IB2518" s="73"/>
      <c r="IC2518" s="73"/>
      <c r="ID2518" s="73"/>
      <c r="IE2518" s="73"/>
      <c r="IF2518" s="73"/>
      <c r="IG2518" s="73"/>
      <c r="IH2518" s="73"/>
      <c r="II2518" s="73"/>
      <c r="IJ2518" s="73"/>
      <c r="IK2518" s="73"/>
      <c r="IL2518" s="73"/>
      <c r="IM2518" s="73"/>
      <c r="IN2518" s="73"/>
      <c r="IO2518" s="73"/>
      <c r="IP2518" s="73"/>
      <c r="IQ2518" s="73"/>
      <c r="IR2518" s="73"/>
      <c r="IS2518" s="73"/>
      <c r="IT2518" s="73"/>
      <c r="IU2518" s="73"/>
      <c r="IV2518" s="73"/>
      <c r="IW2518" s="73"/>
      <c r="IX2518" s="73"/>
      <c r="IY2518" s="73"/>
      <c r="IZ2518" s="73"/>
      <c r="JA2518" s="73"/>
      <c r="JB2518" s="73"/>
      <c r="JC2518" s="73"/>
    </row>
    <row r="2519" spans="2:263" s="72" customFormat="1">
      <c r="B2519" s="73"/>
      <c r="C2519" s="73"/>
      <c r="D2519" s="73"/>
      <c r="E2519" s="73"/>
      <c r="F2519" s="73"/>
      <c r="G2519" s="73"/>
      <c r="H2519" s="73"/>
      <c r="I2519" s="73"/>
      <c r="J2519" s="73"/>
      <c r="K2519" s="73"/>
      <c r="L2519" s="73"/>
      <c r="M2519" s="73"/>
      <c r="N2519" s="73"/>
      <c r="O2519" s="73"/>
      <c r="P2519" s="73"/>
      <c r="Q2519" s="73"/>
      <c r="R2519" s="73"/>
      <c r="S2519" s="73"/>
      <c r="T2519" s="73"/>
      <c r="U2519" s="73"/>
      <c r="V2519" s="73"/>
      <c r="W2519" s="73"/>
      <c r="GL2519" s="73"/>
      <c r="GM2519" s="73"/>
      <c r="GN2519" s="73"/>
      <c r="GO2519" s="73"/>
      <c r="GP2519" s="73"/>
      <c r="GQ2519" s="73"/>
      <c r="GR2519" s="73"/>
      <c r="GS2519" s="73"/>
      <c r="GT2519" s="73"/>
      <c r="GU2519" s="73"/>
      <c r="GV2519" s="73"/>
      <c r="GW2519" s="73"/>
      <c r="GX2519" s="73"/>
      <c r="GY2519" s="73"/>
      <c r="GZ2519" s="73"/>
      <c r="HA2519" s="73"/>
      <c r="HB2519" s="73"/>
      <c r="HC2519" s="73"/>
      <c r="HD2519" s="73"/>
      <c r="HE2519" s="73"/>
      <c r="HF2519" s="73"/>
      <c r="HG2519" s="73"/>
      <c r="HH2519" s="73"/>
      <c r="HI2519" s="73"/>
      <c r="HJ2519" s="73"/>
      <c r="HK2519" s="73"/>
      <c r="HL2519" s="73"/>
      <c r="HM2519" s="73"/>
      <c r="HN2519" s="73"/>
      <c r="HO2519" s="73"/>
      <c r="HP2519" s="73"/>
      <c r="HQ2519" s="73"/>
      <c r="HR2519" s="73"/>
      <c r="HS2519" s="73"/>
      <c r="HT2519" s="73"/>
      <c r="HU2519" s="73"/>
      <c r="HV2519" s="73"/>
      <c r="HW2519" s="73"/>
      <c r="HX2519" s="73"/>
      <c r="HY2519" s="73"/>
      <c r="HZ2519" s="73"/>
      <c r="IA2519" s="73"/>
      <c r="IB2519" s="73"/>
      <c r="IC2519" s="73"/>
      <c r="ID2519" s="73"/>
      <c r="IE2519" s="73"/>
      <c r="IF2519" s="73"/>
      <c r="IG2519" s="73"/>
      <c r="IH2519" s="73"/>
      <c r="II2519" s="73"/>
      <c r="IJ2519" s="73"/>
      <c r="IK2519" s="73"/>
      <c r="IL2519" s="73"/>
      <c r="IM2519" s="73"/>
      <c r="IN2519" s="73"/>
      <c r="IO2519" s="73"/>
      <c r="IP2519" s="73"/>
      <c r="IQ2519" s="73"/>
      <c r="IR2519" s="73"/>
      <c r="IS2519" s="73"/>
      <c r="IT2519" s="73"/>
      <c r="IU2519" s="73"/>
      <c r="IV2519" s="73"/>
      <c r="IW2519" s="73"/>
      <c r="IX2519" s="73"/>
      <c r="IY2519" s="73"/>
      <c r="IZ2519" s="73"/>
      <c r="JA2519" s="73"/>
      <c r="JB2519" s="73"/>
      <c r="JC2519" s="73"/>
    </row>
    <row r="2520" spans="2:263" s="72" customFormat="1">
      <c r="B2520" s="73"/>
      <c r="C2520" s="73"/>
      <c r="D2520" s="73"/>
      <c r="E2520" s="73"/>
      <c r="F2520" s="73"/>
      <c r="G2520" s="73"/>
      <c r="H2520" s="73"/>
      <c r="I2520" s="73"/>
      <c r="J2520" s="73"/>
      <c r="K2520" s="73"/>
      <c r="L2520" s="73"/>
      <c r="M2520" s="73"/>
      <c r="N2520" s="73"/>
      <c r="O2520" s="73"/>
      <c r="P2520" s="73"/>
      <c r="Q2520" s="73"/>
      <c r="R2520" s="73"/>
      <c r="S2520" s="73"/>
      <c r="T2520" s="73"/>
      <c r="U2520" s="73"/>
      <c r="V2520" s="73"/>
      <c r="W2520" s="73"/>
      <c r="GL2520" s="73"/>
      <c r="GM2520" s="73"/>
      <c r="GN2520" s="73"/>
      <c r="GO2520" s="73"/>
      <c r="GP2520" s="73"/>
      <c r="GQ2520" s="73"/>
      <c r="GR2520" s="73"/>
      <c r="GS2520" s="73"/>
      <c r="GT2520" s="73"/>
      <c r="GU2520" s="73"/>
      <c r="GV2520" s="73"/>
      <c r="GW2520" s="73"/>
      <c r="GX2520" s="73"/>
      <c r="GY2520" s="73"/>
      <c r="GZ2520" s="73"/>
      <c r="HA2520" s="73"/>
      <c r="HB2520" s="73"/>
      <c r="HC2520" s="73"/>
      <c r="HD2520" s="73"/>
      <c r="HE2520" s="73"/>
      <c r="HF2520" s="73"/>
      <c r="HG2520" s="73"/>
      <c r="HH2520" s="73"/>
      <c r="HI2520" s="73"/>
      <c r="HJ2520" s="73"/>
      <c r="HK2520" s="73"/>
      <c r="HL2520" s="73"/>
      <c r="HM2520" s="73"/>
      <c r="HN2520" s="73"/>
      <c r="HO2520" s="73"/>
      <c r="HP2520" s="73"/>
      <c r="HQ2520" s="73"/>
      <c r="HR2520" s="73"/>
      <c r="HS2520" s="73"/>
      <c r="HT2520" s="73"/>
      <c r="HU2520" s="73"/>
      <c r="HV2520" s="73"/>
      <c r="HW2520" s="73"/>
      <c r="HX2520" s="73"/>
      <c r="HY2520" s="73"/>
      <c r="HZ2520" s="73"/>
      <c r="IA2520" s="73"/>
      <c r="IB2520" s="73"/>
      <c r="IC2520" s="73"/>
      <c r="ID2520" s="73"/>
      <c r="IE2520" s="73"/>
      <c r="IF2520" s="73"/>
      <c r="IG2520" s="73"/>
      <c r="IH2520" s="73"/>
      <c r="II2520" s="73"/>
      <c r="IJ2520" s="73"/>
      <c r="IK2520" s="73"/>
      <c r="IL2520" s="73"/>
      <c r="IM2520" s="73"/>
      <c r="IN2520" s="73"/>
      <c r="IO2520" s="73"/>
      <c r="IP2520" s="73"/>
      <c r="IQ2520" s="73"/>
      <c r="IR2520" s="73"/>
      <c r="IS2520" s="73"/>
      <c r="IT2520" s="73"/>
      <c r="IU2520" s="73"/>
      <c r="IV2520" s="73"/>
      <c r="IW2520" s="73"/>
      <c r="IX2520" s="73"/>
      <c r="IY2520" s="73"/>
      <c r="IZ2520" s="73"/>
      <c r="JA2520" s="73"/>
      <c r="JB2520" s="73"/>
      <c r="JC2520" s="73"/>
    </row>
    <row r="2521" spans="2:263" s="72" customFormat="1">
      <c r="B2521" s="73"/>
      <c r="C2521" s="73"/>
      <c r="D2521" s="73"/>
      <c r="E2521" s="73"/>
      <c r="F2521" s="73"/>
      <c r="G2521" s="73"/>
      <c r="H2521" s="73"/>
      <c r="I2521" s="73"/>
      <c r="J2521" s="73"/>
      <c r="K2521" s="73"/>
      <c r="L2521" s="73"/>
      <c r="M2521" s="73"/>
      <c r="N2521" s="73"/>
      <c r="O2521" s="73"/>
      <c r="P2521" s="73"/>
      <c r="Q2521" s="73"/>
      <c r="R2521" s="73"/>
      <c r="S2521" s="73"/>
      <c r="T2521" s="73"/>
      <c r="U2521" s="73"/>
      <c r="V2521" s="73"/>
      <c r="W2521" s="73"/>
      <c r="GL2521" s="73"/>
      <c r="GM2521" s="73"/>
      <c r="GN2521" s="73"/>
      <c r="GO2521" s="73"/>
      <c r="GP2521" s="73"/>
      <c r="GQ2521" s="73"/>
      <c r="GR2521" s="73"/>
      <c r="GS2521" s="73"/>
      <c r="GT2521" s="73"/>
      <c r="GU2521" s="73"/>
      <c r="GV2521" s="73"/>
      <c r="GW2521" s="73"/>
      <c r="GX2521" s="73"/>
      <c r="GY2521" s="73"/>
      <c r="GZ2521" s="73"/>
      <c r="HA2521" s="73"/>
      <c r="HB2521" s="73"/>
      <c r="HC2521" s="73"/>
      <c r="HD2521" s="73"/>
      <c r="HE2521" s="73"/>
      <c r="HF2521" s="73"/>
      <c r="HG2521" s="73"/>
      <c r="HH2521" s="73"/>
      <c r="HI2521" s="73"/>
      <c r="HJ2521" s="73"/>
      <c r="HK2521" s="73"/>
      <c r="HL2521" s="73"/>
      <c r="HM2521" s="73"/>
      <c r="HN2521" s="73"/>
      <c r="HO2521" s="73"/>
      <c r="HP2521" s="73"/>
      <c r="HQ2521" s="73"/>
      <c r="HR2521" s="73"/>
      <c r="HS2521" s="73"/>
      <c r="HT2521" s="73"/>
      <c r="HU2521" s="73"/>
      <c r="HV2521" s="73"/>
      <c r="HW2521" s="73"/>
      <c r="HX2521" s="73"/>
      <c r="HY2521" s="73"/>
      <c r="HZ2521" s="73"/>
      <c r="IA2521" s="73"/>
      <c r="IB2521" s="73"/>
      <c r="IC2521" s="73"/>
      <c r="ID2521" s="73"/>
      <c r="IE2521" s="73"/>
      <c r="IF2521" s="73"/>
      <c r="IG2521" s="73"/>
      <c r="IH2521" s="73"/>
      <c r="II2521" s="73"/>
      <c r="IJ2521" s="73"/>
      <c r="IK2521" s="73"/>
      <c r="IL2521" s="73"/>
      <c r="IM2521" s="73"/>
      <c r="IN2521" s="73"/>
      <c r="IO2521" s="73"/>
      <c r="IP2521" s="73"/>
      <c r="IQ2521" s="73"/>
      <c r="IR2521" s="73"/>
      <c r="IS2521" s="73"/>
      <c r="IT2521" s="73"/>
      <c r="IU2521" s="73"/>
      <c r="IV2521" s="73"/>
      <c r="IW2521" s="73"/>
      <c r="IX2521" s="73"/>
      <c r="IY2521" s="73"/>
      <c r="IZ2521" s="73"/>
      <c r="JA2521" s="73"/>
      <c r="JB2521" s="73"/>
      <c r="JC2521" s="73"/>
    </row>
    <row r="2522" spans="2:263" s="72" customFormat="1">
      <c r="B2522" s="73"/>
      <c r="C2522" s="73"/>
      <c r="D2522" s="73"/>
      <c r="E2522" s="73"/>
      <c r="F2522" s="73"/>
      <c r="G2522" s="73"/>
      <c r="H2522" s="73"/>
      <c r="I2522" s="73"/>
      <c r="J2522" s="73"/>
      <c r="K2522" s="73"/>
      <c r="L2522" s="73"/>
      <c r="M2522" s="73"/>
      <c r="N2522" s="73"/>
      <c r="O2522" s="73"/>
      <c r="P2522" s="73"/>
      <c r="Q2522" s="73"/>
      <c r="R2522" s="73"/>
      <c r="S2522" s="73"/>
      <c r="T2522" s="73"/>
      <c r="U2522" s="73"/>
      <c r="V2522" s="73"/>
      <c r="W2522" s="73"/>
      <c r="GL2522" s="73"/>
      <c r="GM2522" s="73"/>
      <c r="GN2522" s="73"/>
      <c r="GO2522" s="73"/>
      <c r="GP2522" s="73"/>
      <c r="GQ2522" s="73"/>
      <c r="GR2522" s="73"/>
      <c r="GS2522" s="73"/>
      <c r="GT2522" s="73"/>
      <c r="GU2522" s="73"/>
      <c r="GV2522" s="73"/>
      <c r="GW2522" s="73"/>
      <c r="GX2522" s="73"/>
      <c r="GY2522" s="73"/>
      <c r="GZ2522" s="73"/>
      <c r="HA2522" s="73"/>
      <c r="HB2522" s="73"/>
      <c r="HC2522" s="73"/>
      <c r="HD2522" s="73"/>
      <c r="HE2522" s="73"/>
      <c r="HF2522" s="73"/>
      <c r="HG2522" s="73"/>
      <c r="HH2522" s="73"/>
      <c r="HI2522" s="73"/>
      <c r="HJ2522" s="73"/>
      <c r="HK2522" s="73"/>
      <c r="HL2522" s="73"/>
      <c r="HM2522" s="73"/>
      <c r="HN2522" s="73"/>
      <c r="HO2522" s="73"/>
      <c r="HP2522" s="73"/>
      <c r="HQ2522" s="73"/>
      <c r="HR2522" s="73"/>
      <c r="HS2522" s="73"/>
      <c r="HT2522" s="73"/>
      <c r="HU2522" s="73"/>
      <c r="HV2522" s="73"/>
      <c r="HW2522" s="73"/>
      <c r="HX2522" s="73"/>
      <c r="HY2522" s="73"/>
      <c r="HZ2522" s="73"/>
      <c r="IA2522" s="73"/>
      <c r="IB2522" s="73"/>
      <c r="IC2522" s="73"/>
      <c r="ID2522" s="73"/>
      <c r="IE2522" s="73"/>
      <c r="IF2522" s="73"/>
      <c r="IG2522" s="73"/>
      <c r="IH2522" s="73"/>
      <c r="II2522" s="73"/>
      <c r="IJ2522" s="73"/>
      <c r="IK2522" s="73"/>
      <c r="IL2522" s="73"/>
      <c r="IM2522" s="73"/>
      <c r="IN2522" s="73"/>
      <c r="IO2522" s="73"/>
      <c r="IP2522" s="73"/>
      <c r="IQ2522" s="73"/>
      <c r="IR2522" s="73"/>
      <c r="IS2522" s="73"/>
      <c r="IT2522" s="73"/>
      <c r="IU2522" s="73"/>
      <c r="IV2522" s="73"/>
      <c r="IW2522" s="73"/>
      <c r="IX2522" s="73"/>
      <c r="IY2522" s="73"/>
      <c r="IZ2522" s="73"/>
      <c r="JA2522" s="73"/>
      <c r="JB2522" s="73"/>
      <c r="JC2522" s="73"/>
    </row>
    <row r="2523" spans="2:263" s="72" customFormat="1">
      <c r="B2523" s="73"/>
      <c r="C2523" s="73"/>
      <c r="D2523" s="73"/>
      <c r="E2523" s="73"/>
      <c r="F2523" s="73"/>
      <c r="G2523" s="73"/>
      <c r="H2523" s="73"/>
      <c r="I2523" s="73"/>
      <c r="J2523" s="73"/>
      <c r="K2523" s="73"/>
      <c r="L2523" s="73"/>
      <c r="M2523" s="73"/>
      <c r="N2523" s="73"/>
      <c r="O2523" s="73"/>
      <c r="P2523" s="73"/>
      <c r="Q2523" s="73"/>
      <c r="R2523" s="73"/>
      <c r="S2523" s="73"/>
      <c r="T2523" s="73"/>
      <c r="U2523" s="73"/>
      <c r="V2523" s="73"/>
      <c r="W2523" s="73"/>
      <c r="GL2523" s="73"/>
      <c r="GM2523" s="73"/>
      <c r="GN2523" s="73"/>
      <c r="GO2523" s="73"/>
      <c r="GP2523" s="73"/>
      <c r="GQ2523" s="73"/>
      <c r="GR2523" s="73"/>
      <c r="GS2523" s="73"/>
      <c r="GT2523" s="73"/>
      <c r="GU2523" s="73"/>
      <c r="GV2523" s="73"/>
      <c r="GW2523" s="73"/>
      <c r="GX2523" s="73"/>
      <c r="GY2523" s="73"/>
      <c r="GZ2523" s="73"/>
      <c r="HA2523" s="73"/>
      <c r="HB2523" s="73"/>
      <c r="HC2523" s="73"/>
      <c r="HD2523" s="73"/>
      <c r="HE2523" s="73"/>
      <c r="HF2523" s="73"/>
      <c r="HG2523" s="73"/>
      <c r="HH2523" s="73"/>
      <c r="HI2523" s="73"/>
      <c r="HJ2523" s="73"/>
      <c r="HK2523" s="73"/>
      <c r="HL2523" s="73"/>
      <c r="HM2523" s="73"/>
      <c r="HN2523" s="73"/>
      <c r="HO2523" s="73"/>
      <c r="HP2523" s="73"/>
      <c r="HQ2523" s="73"/>
      <c r="HR2523" s="73"/>
      <c r="HS2523" s="73"/>
      <c r="HT2523" s="73"/>
      <c r="HU2523" s="73"/>
      <c r="HV2523" s="73"/>
      <c r="HW2523" s="73"/>
      <c r="HX2523" s="73"/>
      <c r="HY2523" s="73"/>
      <c r="HZ2523" s="73"/>
      <c r="IA2523" s="73"/>
      <c r="IB2523" s="73"/>
      <c r="IC2523" s="73"/>
      <c r="ID2523" s="73"/>
      <c r="IE2523" s="73"/>
      <c r="IF2523" s="73"/>
      <c r="IG2523" s="73"/>
      <c r="IH2523" s="73"/>
      <c r="II2523" s="73"/>
      <c r="IJ2523" s="73"/>
      <c r="IK2523" s="73"/>
      <c r="IL2523" s="73"/>
      <c r="IM2523" s="73"/>
      <c r="IN2523" s="73"/>
      <c r="IO2523" s="73"/>
      <c r="IP2523" s="73"/>
      <c r="IQ2523" s="73"/>
      <c r="IR2523" s="73"/>
      <c r="IS2523" s="73"/>
      <c r="IT2523" s="73"/>
      <c r="IU2523" s="73"/>
      <c r="IV2523" s="73"/>
      <c r="IW2523" s="73"/>
      <c r="IX2523" s="73"/>
      <c r="IY2523" s="73"/>
      <c r="IZ2523" s="73"/>
      <c r="JA2523" s="73"/>
      <c r="JB2523" s="73"/>
      <c r="JC2523" s="73"/>
    </row>
    <row r="2524" spans="2:263" s="72" customFormat="1">
      <c r="B2524" s="73"/>
      <c r="C2524" s="73"/>
      <c r="D2524" s="73"/>
      <c r="E2524" s="73"/>
      <c r="F2524" s="73"/>
      <c r="G2524" s="73"/>
      <c r="H2524" s="73"/>
      <c r="I2524" s="73"/>
      <c r="J2524" s="73"/>
      <c r="K2524" s="73"/>
      <c r="L2524" s="73"/>
      <c r="M2524" s="73"/>
      <c r="N2524" s="73"/>
      <c r="O2524" s="73"/>
      <c r="P2524" s="73"/>
      <c r="Q2524" s="73"/>
      <c r="R2524" s="73"/>
      <c r="S2524" s="73"/>
      <c r="T2524" s="73"/>
      <c r="U2524" s="73"/>
      <c r="V2524" s="73"/>
      <c r="W2524" s="73"/>
      <c r="GL2524" s="73"/>
      <c r="GM2524" s="73"/>
      <c r="GN2524" s="73"/>
      <c r="GO2524" s="73"/>
      <c r="GP2524" s="73"/>
      <c r="GQ2524" s="73"/>
      <c r="GR2524" s="73"/>
      <c r="GS2524" s="73"/>
      <c r="GT2524" s="73"/>
      <c r="GU2524" s="73"/>
      <c r="GV2524" s="73"/>
      <c r="GW2524" s="73"/>
      <c r="GX2524" s="73"/>
      <c r="GY2524" s="73"/>
      <c r="GZ2524" s="73"/>
      <c r="HA2524" s="73"/>
      <c r="HB2524" s="73"/>
      <c r="HC2524" s="73"/>
      <c r="HD2524" s="73"/>
      <c r="HE2524" s="73"/>
      <c r="HF2524" s="73"/>
      <c r="HG2524" s="73"/>
      <c r="HH2524" s="73"/>
      <c r="HI2524" s="73"/>
      <c r="HJ2524" s="73"/>
      <c r="HK2524" s="73"/>
      <c r="HL2524" s="73"/>
      <c r="HM2524" s="73"/>
      <c r="HN2524" s="73"/>
      <c r="HO2524" s="73"/>
      <c r="HP2524" s="73"/>
      <c r="HQ2524" s="73"/>
      <c r="HR2524" s="73"/>
      <c r="HS2524" s="73"/>
      <c r="HT2524" s="73"/>
      <c r="HU2524" s="73"/>
      <c r="HV2524" s="73"/>
      <c r="HW2524" s="73"/>
      <c r="HX2524" s="73"/>
      <c r="HY2524" s="73"/>
      <c r="HZ2524" s="73"/>
      <c r="IA2524" s="73"/>
      <c r="IB2524" s="73"/>
      <c r="IC2524" s="73"/>
      <c r="ID2524" s="73"/>
      <c r="IE2524" s="73"/>
      <c r="IF2524" s="73"/>
      <c r="IG2524" s="73"/>
      <c r="IH2524" s="73"/>
      <c r="II2524" s="73"/>
      <c r="IJ2524" s="73"/>
      <c r="IK2524" s="73"/>
      <c r="IL2524" s="73"/>
      <c r="IM2524" s="73"/>
      <c r="IN2524" s="73"/>
      <c r="IO2524" s="73"/>
      <c r="IP2524" s="73"/>
      <c r="IQ2524" s="73"/>
      <c r="IR2524" s="73"/>
      <c r="IS2524" s="73"/>
      <c r="IT2524" s="73"/>
      <c r="IU2524" s="73"/>
      <c r="IV2524" s="73"/>
      <c r="IW2524" s="73"/>
      <c r="IX2524" s="73"/>
      <c r="IY2524" s="73"/>
      <c r="IZ2524" s="73"/>
      <c r="JA2524" s="73"/>
      <c r="JB2524" s="73"/>
      <c r="JC2524" s="73"/>
    </row>
    <row r="2525" spans="2:263" s="72" customFormat="1">
      <c r="B2525" s="73"/>
      <c r="C2525" s="73"/>
      <c r="D2525" s="73"/>
      <c r="E2525" s="73"/>
      <c r="F2525" s="73"/>
      <c r="G2525" s="73"/>
      <c r="H2525" s="73"/>
      <c r="I2525" s="73"/>
      <c r="J2525" s="73"/>
      <c r="K2525" s="73"/>
      <c r="L2525" s="73"/>
      <c r="M2525" s="73"/>
      <c r="N2525" s="73"/>
      <c r="O2525" s="73"/>
      <c r="P2525" s="73"/>
      <c r="Q2525" s="73"/>
      <c r="R2525" s="73"/>
      <c r="S2525" s="73"/>
      <c r="T2525" s="73"/>
      <c r="U2525" s="73"/>
      <c r="V2525" s="73"/>
      <c r="W2525" s="73"/>
      <c r="GL2525" s="73"/>
      <c r="GM2525" s="73"/>
      <c r="GN2525" s="73"/>
      <c r="GO2525" s="73"/>
      <c r="GP2525" s="73"/>
      <c r="GQ2525" s="73"/>
      <c r="GR2525" s="73"/>
      <c r="GS2525" s="73"/>
      <c r="GT2525" s="73"/>
      <c r="GU2525" s="73"/>
      <c r="GV2525" s="73"/>
      <c r="GW2525" s="73"/>
      <c r="GX2525" s="73"/>
      <c r="GY2525" s="73"/>
      <c r="GZ2525" s="73"/>
      <c r="HA2525" s="73"/>
      <c r="HB2525" s="73"/>
      <c r="HC2525" s="73"/>
      <c r="HD2525" s="73"/>
      <c r="HE2525" s="73"/>
      <c r="HF2525" s="73"/>
      <c r="HG2525" s="73"/>
      <c r="HH2525" s="73"/>
      <c r="HI2525" s="73"/>
      <c r="HJ2525" s="73"/>
      <c r="HK2525" s="73"/>
      <c r="HL2525" s="73"/>
      <c r="HM2525" s="73"/>
      <c r="HN2525" s="73"/>
      <c r="HO2525" s="73"/>
      <c r="HP2525" s="73"/>
      <c r="HQ2525" s="73"/>
      <c r="HR2525" s="73"/>
      <c r="HS2525" s="73"/>
      <c r="HT2525" s="73"/>
      <c r="HU2525" s="73"/>
      <c r="HV2525" s="73"/>
      <c r="HW2525" s="73"/>
      <c r="HX2525" s="73"/>
      <c r="HY2525" s="73"/>
      <c r="HZ2525" s="73"/>
      <c r="IA2525" s="73"/>
      <c r="IB2525" s="73"/>
      <c r="IC2525" s="73"/>
      <c r="ID2525" s="73"/>
      <c r="IE2525" s="73"/>
      <c r="IF2525" s="73"/>
      <c r="IG2525" s="73"/>
      <c r="IH2525" s="73"/>
      <c r="II2525" s="73"/>
      <c r="IJ2525" s="73"/>
      <c r="IK2525" s="73"/>
      <c r="IL2525" s="73"/>
      <c r="IM2525" s="73"/>
      <c r="IN2525" s="73"/>
      <c r="IO2525" s="73"/>
      <c r="IP2525" s="73"/>
      <c r="IQ2525" s="73"/>
      <c r="IR2525" s="73"/>
      <c r="IS2525" s="73"/>
      <c r="IT2525" s="73"/>
      <c r="IU2525" s="73"/>
      <c r="IV2525" s="73"/>
      <c r="IW2525" s="73"/>
      <c r="IX2525" s="73"/>
      <c r="IY2525" s="73"/>
      <c r="IZ2525" s="73"/>
      <c r="JA2525" s="73"/>
      <c r="JB2525" s="73"/>
      <c r="JC2525" s="73"/>
    </row>
    <row r="2526" spans="2:263" s="72" customFormat="1">
      <c r="B2526" s="73"/>
      <c r="C2526" s="73"/>
      <c r="D2526" s="73"/>
      <c r="E2526" s="73"/>
      <c r="F2526" s="73"/>
      <c r="G2526" s="73"/>
      <c r="H2526" s="73"/>
      <c r="I2526" s="73"/>
      <c r="J2526" s="73"/>
      <c r="K2526" s="73"/>
      <c r="L2526" s="73"/>
      <c r="M2526" s="73"/>
      <c r="N2526" s="73"/>
      <c r="O2526" s="73"/>
      <c r="P2526" s="73"/>
      <c r="Q2526" s="73"/>
      <c r="R2526" s="73"/>
      <c r="S2526" s="73"/>
      <c r="T2526" s="73"/>
      <c r="U2526" s="73"/>
      <c r="V2526" s="73"/>
      <c r="W2526" s="73"/>
      <c r="GL2526" s="73"/>
      <c r="GM2526" s="73"/>
      <c r="GN2526" s="73"/>
      <c r="GO2526" s="73"/>
      <c r="GP2526" s="73"/>
      <c r="GQ2526" s="73"/>
      <c r="GR2526" s="73"/>
      <c r="GS2526" s="73"/>
      <c r="GT2526" s="73"/>
      <c r="GU2526" s="73"/>
      <c r="GV2526" s="73"/>
      <c r="GW2526" s="73"/>
      <c r="GX2526" s="73"/>
      <c r="GY2526" s="73"/>
      <c r="GZ2526" s="73"/>
      <c r="HA2526" s="73"/>
      <c r="HB2526" s="73"/>
      <c r="HC2526" s="73"/>
      <c r="HD2526" s="73"/>
      <c r="HE2526" s="73"/>
      <c r="HF2526" s="73"/>
      <c r="HG2526" s="73"/>
      <c r="HH2526" s="73"/>
      <c r="HI2526" s="73"/>
      <c r="HJ2526" s="73"/>
      <c r="HK2526" s="73"/>
      <c r="HL2526" s="73"/>
      <c r="HM2526" s="73"/>
      <c r="HN2526" s="73"/>
      <c r="HO2526" s="73"/>
      <c r="HP2526" s="73"/>
      <c r="HQ2526" s="73"/>
      <c r="HR2526" s="73"/>
      <c r="HS2526" s="73"/>
      <c r="HT2526" s="73"/>
      <c r="HU2526" s="73"/>
      <c r="HV2526" s="73"/>
      <c r="HW2526" s="73"/>
      <c r="HX2526" s="73"/>
      <c r="HY2526" s="73"/>
      <c r="HZ2526" s="73"/>
      <c r="IA2526" s="73"/>
      <c r="IB2526" s="73"/>
      <c r="IC2526" s="73"/>
      <c r="ID2526" s="73"/>
      <c r="IE2526" s="73"/>
      <c r="IF2526" s="73"/>
      <c r="IG2526" s="73"/>
      <c r="IH2526" s="73"/>
      <c r="II2526" s="73"/>
      <c r="IJ2526" s="73"/>
      <c r="IK2526" s="73"/>
      <c r="IL2526" s="73"/>
      <c r="IM2526" s="73"/>
      <c r="IN2526" s="73"/>
      <c r="IO2526" s="73"/>
      <c r="IP2526" s="73"/>
      <c r="IQ2526" s="73"/>
      <c r="IR2526" s="73"/>
      <c r="IS2526" s="73"/>
      <c r="IT2526" s="73"/>
      <c r="IU2526" s="73"/>
      <c r="IV2526" s="73"/>
      <c r="IW2526" s="73"/>
      <c r="IX2526" s="73"/>
      <c r="IY2526" s="73"/>
      <c r="IZ2526" s="73"/>
      <c r="JA2526" s="73"/>
      <c r="JB2526" s="73"/>
      <c r="JC2526" s="73"/>
    </row>
    <row r="2527" spans="2:263" s="72" customFormat="1">
      <c r="B2527" s="73"/>
      <c r="C2527" s="73"/>
      <c r="D2527" s="73"/>
      <c r="E2527" s="73"/>
      <c r="F2527" s="73"/>
      <c r="G2527" s="73"/>
      <c r="H2527" s="73"/>
      <c r="I2527" s="73"/>
      <c r="J2527" s="73"/>
      <c r="K2527" s="73"/>
      <c r="L2527" s="73"/>
      <c r="M2527" s="73"/>
      <c r="N2527" s="73"/>
      <c r="O2527" s="73"/>
      <c r="P2527" s="73"/>
      <c r="Q2527" s="73"/>
      <c r="R2527" s="73"/>
      <c r="S2527" s="73"/>
      <c r="T2527" s="73"/>
      <c r="U2527" s="73"/>
      <c r="V2527" s="73"/>
      <c r="W2527" s="73"/>
      <c r="GL2527" s="73"/>
      <c r="GM2527" s="73"/>
      <c r="GN2527" s="73"/>
      <c r="GO2527" s="73"/>
      <c r="GP2527" s="73"/>
      <c r="GQ2527" s="73"/>
      <c r="GR2527" s="73"/>
      <c r="GS2527" s="73"/>
      <c r="GT2527" s="73"/>
      <c r="GU2527" s="73"/>
      <c r="GV2527" s="73"/>
      <c r="GW2527" s="73"/>
      <c r="GX2527" s="73"/>
      <c r="GY2527" s="73"/>
      <c r="GZ2527" s="73"/>
      <c r="HA2527" s="73"/>
      <c r="HB2527" s="73"/>
      <c r="HC2527" s="73"/>
      <c r="HD2527" s="73"/>
      <c r="HE2527" s="73"/>
      <c r="HF2527" s="73"/>
      <c r="HG2527" s="73"/>
      <c r="HH2527" s="73"/>
      <c r="HI2527" s="73"/>
      <c r="HJ2527" s="73"/>
      <c r="HK2527" s="73"/>
      <c r="HL2527" s="73"/>
      <c r="HM2527" s="73"/>
      <c r="HN2527" s="73"/>
      <c r="HO2527" s="73"/>
      <c r="HP2527" s="73"/>
      <c r="HQ2527" s="73"/>
      <c r="HR2527" s="73"/>
      <c r="HS2527" s="73"/>
      <c r="HT2527" s="73"/>
      <c r="HU2527" s="73"/>
      <c r="HV2527" s="73"/>
      <c r="HW2527" s="73"/>
      <c r="HX2527" s="73"/>
      <c r="HY2527" s="73"/>
      <c r="HZ2527" s="73"/>
      <c r="IA2527" s="73"/>
      <c r="IB2527" s="73"/>
      <c r="IC2527" s="73"/>
      <c r="ID2527" s="73"/>
      <c r="IE2527" s="73"/>
      <c r="IF2527" s="73"/>
      <c r="IG2527" s="73"/>
      <c r="IH2527" s="73"/>
      <c r="II2527" s="73"/>
      <c r="IJ2527" s="73"/>
      <c r="IK2527" s="73"/>
      <c r="IL2527" s="73"/>
      <c r="IM2527" s="73"/>
      <c r="IN2527" s="73"/>
      <c r="IO2527" s="73"/>
      <c r="IP2527" s="73"/>
      <c r="IQ2527" s="73"/>
      <c r="IR2527" s="73"/>
      <c r="IS2527" s="73"/>
      <c r="IT2527" s="73"/>
      <c r="IU2527" s="73"/>
      <c r="IV2527" s="73"/>
      <c r="IW2527" s="73"/>
      <c r="IX2527" s="73"/>
      <c r="IY2527" s="73"/>
      <c r="IZ2527" s="73"/>
      <c r="JA2527" s="73"/>
      <c r="JB2527" s="73"/>
      <c r="JC2527" s="73"/>
    </row>
    <row r="2528" spans="2:263" s="72" customFormat="1">
      <c r="B2528" s="73"/>
      <c r="C2528" s="73"/>
      <c r="D2528" s="73"/>
      <c r="E2528" s="73"/>
      <c r="F2528" s="73"/>
      <c r="G2528" s="73"/>
      <c r="H2528" s="73"/>
      <c r="I2528" s="73"/>
      <c r="J2528" s="73"/>
      <c r="K2528" s="73"/>
      <c r="L2528" s="73"/>
      <c r="M2528" s="73"/>
      <c r="N2528" s="73"/>
      <c r="O2528" s="73"/>
      <c r="P2528" s="73"/>
      <c r="Q2528" s="73"/>
      <c r="R2528" s="73"/>
      <c r="S2528" s="73"/>
      <c r="T2528" s="73"/>
      <c r="U2528" s="73"/>
      <c r="V2528" s="73"/>
      <c r="W2528" s="73"/>
      <c r="GL2528" s="73"/>
      <c r="GM2528" s="73"/>
      <c r="GN2528" s="73"/>
      <c r="GO2528" s="73"/>
      <c r="GP2528" s="73"/>
      <c r="GQ2528" s="73"/>
      <c r="GR2528" s="73"/>
      <c r="GS2528" s="73"/>
      <c r="GT2528" s="73"/>
      <c r="GU2528" s="73"/>
      <c r="GV2528" s="73"/>
      <c r="GW2528" s="73"/>
      <c r="GX2528" s="73"/>
      <c r="GY2528" s="73"/>
      <c r="GZ2528" s="73"/>
      <c r="HA2528" s="73"/>
      <c r="HB2528" s="73"/>
      <c r="HC2528" s="73"/>
      <c r="HD2528" s="73"/>
      <c r="HE2528" s="73"/>
      <c r="HF2528" s="73"/>
      <c r="HG2528" s="73"/>
      <c r="HH2528" s="73"/>
      <c r="HI2528" s="73"/>
      <c r="HJ2528" s="73"/>
      <c r="HK2528" s="73"/>
      <c r="HL2528" s="73"/>
      <c r="HM2528" s="73"/>
      <c r="HN2528" s="73"/>
      <c r="HO2528" s="73"/>
      <c r="HP2528" s="73"/>
      <c r="HQ2528" s="73"/>
      <c r="HR2528" s="73"/>
      <c r="HS2528" s="73"/>
      <c r="HT2528" s="73"/>
      <c r="HU2528" s="73"/>
      <c r="HV2528" s="73"/>
      <c r="HW2528" s="73"/>
      <c r="HX2528" s="73"/>
      <c r="HY2528" s="73"/>
      <c r="HZ2528" s="73"/>
      <c r="IA2528" s="73"/>
      <c r="IB2528" s="73"/>
      <c r="IC2528" s="73"/>
      <c r="ID2528" s="73"/>
      <c r="IE2528" s="73"/>
      <c r="IF2528" s="73"/>
      <c r="IG2528" s="73"/>
      <c r="IH2528" s="73"/>
      <c r="II2528" s="73"/>
      <c r="IJ2528" s="73"/>
      <c r="IK2528" s="73"/>
      <c r="IL2528" s="73"/>
      <c r="IM2528" s="73"/>
      <c r="IN2528" s="73"/>
      <c r="IO2528" s="73"/>
      <c r="IP2528" s="73"/>
      <c r="IQ2528" s="73"/>
      <c r="IR2528" s="73"/>
      <c r="IS2528" s="73"/>
      <c r="IT2528" s="73"/>
      <c r="IU2528" s="73"/>
      <c r="IV2528" s="73"/>
      <c r="IW2528" s="73"/>
      <c r="IX2528" s="73"/>
      <c r="IY2528" s="73"/>
      <c r="IZ2528" s="73"/>
      <c r="JA2528" s="73"/>
      <c r="JB2528" s="73"/>
      <c r="JC2528" s="73"/>
    </row>
    <row r="2529" spans="2:263" s="72" customFormat="1">
      <c r="B2529" s="73"/>
      <c r="C2529" s="73"/>
      <c r="D2529" s="73"/>
      <c r="E2529" s="73"/>
      <c r="F2529" s="73"/>
      <c r="G2529" s="73"/>
      <c r="H2529" s="73"/>
      <c r="I2529" s="73"/>
      <c r="J2529" s="73"/>
      <c r="K2529" s="73"/>
      <c r="L2529" s="73"/>
      <c r="M2529" s="73"/>
      <c r="N2529" s="73"/>
      <c r="O2529" s="73"/>
      <c r="P2529" s="73"/>
      <c r="Q2529" s="73"/>
      <c r="R2529" s="73"/>
      <c r="S2529" s="73"/>
      <c r="T2529" s="73"/>
      <c r="U2529" s="73"/>
      <c r="V2529" s="73"/>
      <c r="W2529" s="73"/>
      <c r="GL2529" s="73"/>
      <c r="GM2529" s="73"/>
      <c r="GN2529" s="73"/>
      <c r="GO2529" s="73"/>
      <c r="GP2529" s="73"/>
      <c r="GQ2529" s="73"/>
      <c r="GR2529" s="73"/>
      <c r="GS2529" s="73"/>
      <c r="GT2529" s="73"/>
      <c r="GU2529" s="73"/>
      <c r="GV2529" s="73"/>
      <c r="GW2529" s="73"/>
      <c r="GX2529" s="73"/>
      <c r="GY2529" s="73"/>
      <c r="GZ2529" s="73"/>
      <c r="HA2529" s="73"/>
      <c r="HB2529" s="73"/>
      <c r="HC2529" s="73"/>
      <c r="HD2529" s="73"/>
      <c r="HE2529" s="73"/>
      <c r="HF2529" s="73"/>
      <c r="HG2529" s="73"/>
      <c r="HH2529" s="73"/>
      <c r="HI2529" s="73"/>
      <c r="HJ2529" s="73"/>
      <c r="HK2529" s="73"/>
      <c r="HL2529" s="73"/>
      <c r="HM2529" s="73"/>
      <c r="HN2529" s="73"/>
      <c r="HO2529" s="73"/>
      <c r="HP2529" s="73"/>
      <c r="HQ2529" s="73"/>
      <c r="HR2529" s="73"/>
      <c r="HS2529" s="73"/>
      <c r="HT2529" s="73"/>
      <c r="HU2529" s="73"/>
      <c r="HV2529" s="73"/>
      <c r="HW2529" s="73"/>
      <c r="HX2529" s="73"/>
      <c r="HY2529" s="73"/>
      <c r="HZ2529" s="73"/>
      <c r="IA2529" s="73"/>
      <c r="IB2529" s="73"/>
      <c r="IC2529" s="73"/>
      <c r="ID2529" s="73"/>
      <c r="IE2529" s="73"/>
      <c r="IF2529" s="73"/>
      <c r="IG2529" s="73"/>
      <c r="IH2529" s="73"/>
      <c r="II2529" s="73"/>
      <c r="IJ2529" s="73"/>
      <c r="IK2529" s="73"/>
      <c r="IL2529" s="73"/>
      <c r="IM2529" s="73"/>
      <c r="IN2529" s="73"/>
      <c r="IO2529" s="73"/>
      <c r="IP2529" s="73"/>
      <c r="IQ2529" s="73"/>
      <c r="IR2529" s="73"/>
      <c r="IS2529" s="73"/>
      <c r="IT2529" s="73"/>
      <c r="IU2529" s="73"/>
      <c r="IV2529" s="73"/>
      <c r="IW2529" s="73"/>
      <c r="IX2529" s="73"/>
      <c r="IY2529" s="73"/>
      <c r="IZ2529" s="73"/>
      <c r="JA2529" s="73"/>
      <c r="JB2529" s="73"/>
      <c r="JC2529" s="73"/>
    </row>
    <row r="2530" spans="2:263" s="72" customFormat="1">
      <c r="B2530" s="73"/>
      <c r="C2530" s="73"/>
      <c r="D2530" s="73"/>
      <c r="E2530" s="73"/>
      <c r="F2530" s="73"/>
      <c r="G2530" s="73"/>
      <c r="H2530" s="73"/>
      <c r="I2530" s="73"/>
      <c r="J2530" s="73"/>
      <c r="K2530" s="73"/>
      <c r="L2530" s="73"/>
      <c r="M2530" s="73"/>
      <c r="N2530" s="73"/>
      <c r="O2530" s="73"/>
      <c r="P2530" s="73"/>
      <c r="Q2530" s="73"/>
      <c r="R2530" s="73"/>
      <c r="S2530" s="73"/>
      <c r="T2530" s="73"/>
      <c r="U2530" s="73"/>
      <c r="V2530" s="73"/>
      <c r="W2530" s="73"/>
      <c r="GL2530" s="73"/>
      <c r="GM2530" s="73"/>
      <c r="GN2530" s="73"/>
      <c r="GO2530" s="73"/>
      <c r="GP2530" s="73"/>
      <c r="GQ2530" s="73"/>
      <c r="GR2530" s="73"/>
      <c r="GS2530" s="73"/>
      <c r="GT2530" s="73"/>
      <c r="GU2530" s="73"/>
      <c r="GV2530" s="73"/>
      <c r="GW2530" s="73"/>
      <c r="GX2530" s="73"/>
      <c r="GY2530" s="73"/>
      <c r="GZ2530" s="73"/>
      <c r="HA2530" s="73"/>
      <c r="HB2530" s="73"/>
      <c r="HC2530" s="73"/>
      <c r="HD2530" s="73"/>
      <c r="HE2530" s="73"/>
      <c r="HF2530" s="73"/>
      <c r="HG2530" s="73"/>
      <c r="HH2530" s="73"/>
      <c r="HI2530" s="73"/>
      <c r="HJ2530" s="73"/>
      <c r="HK2530" s="73"/>
      <c r="HL2530" s="73"/>
      <c r="HM2530" s="73"/>
      <c r="HN2530" s="73"/>
      <c r="HO2530" s="73"/>
      <c r="HP2530" s="73"/>
      <c r="HQ2530" s="73"/>
      <c r="HR2530" s="73"/>
      <c r="HS2530" s="73"/>
      <c r="HT2530" s="73"/>
      <c r="HU2530" s="73"/>
      <c r="HV2530" s="73"/>
      <c r="HW2530" s="73"/>
      <c r="HX2530" s="73"/>
      <c r="HY2530" s="73"/>
      <c r="HZ2530" s="73"/>
      <c r="IA2530" s="73"/>
      <c r="IB2530" s="73"/>
      <c r="IC2530" s="73"/>
      <c r="ID2530" s="73"/>
      <c r="IE2530" s="73"/>
      <c r="IF2530" s="73"/>
      <c r="IG2530" s="73"/>
      <c r="IH2530" s="73"/>
      <c r="II2530" s="73"/>
      <c r="IJ2530" s="73"/>
      <c r="IK2530" s="73"/>
      <c r="IL2530" s="73"/>
      <c r="IM2530" s="73"/>
      <c r="IN2530" s="73"/>
      <c r="IO2530" s="73"/>
      <c r="IP2530" s="73"/>
      <c r="IQ2530" s="73"/>
      <c r="IR2530" s="73"/>
      <c r="IS2530" s="73"/>
      <c r="IT2530" s="73"/>
      <c r="IU2530" s="73"/>
      <c r="IV2530" s="73"/>
      <c r="IW2530" s="73"/>
      <c r="IX2530" s="73"/>
      <c r="IY2530" s="73"/>
      <c r="IZ2530" s="73"/>
      <c r="JA2530" s="73"/>
      <c r="JB2530" s="73"/>
      <c r="JC2530" s="73"/>
    </row>
    <row r="2531" spans="2:263" s="72" customFormat="1">
      <c r="B2531" s="73"/>
      <c r="C2531" s="73"/>
      <c r="D2531" s="73"/>
      <c r="E2531" s="73"/>
      <c r="F2531" s="73"/>
      <c r="G2531" s="73"/>
      <c r="H2531" s="73"/>
      <c r="I2531" s="73"/>
      <c r="J2531" s="73"/>
      <c r="K2531" s="73"/>
      <c r="L2531" s="73"/>
      <c r="M2531" s="73"/>
      <c r="N2531" s="73"/>
      <c r="O2531" s="73"/>
      <c r="P2531" s="73"/>
      <c r="Q2531" s="73"/>
      <c r="R2531" s="73"/>
      <c r="S2531" s="73"/>
      <c r="T2531" s="73"/>
      <c r="U2531" s="73"/>
      <c r="V2531" s="73"/>
      <c r="W2531" s="73"/>
      <c r="GL2531" s="73"/>
      <c r="GM2531" s="73"/>
      <c r="GN2531" s="73"/>
      <c r="GO2531" s="73"/>
      <c r="GP2531" s="73"/>
      <c r="GQ2531" s="73"/>
      <c r="GR2531" s="73"/>
      <c r="GS2531" s="73"/>
      <c r="GT2531" s="73"/>
      <c r="GU2531" s="73"/>
      <c r="GV2531" s="73"/>
      <c r="GW2531" s="73"/>
      <c r="GX2531" s="73"/>
      <c r="GY2531" s="73"/>
      <c r="GZ2531" s="73"/>
      <c r="HA2531" s="73"/>
      <c r="HB2531" s="73"/>
      <c r="HC2531" s="73"/>
      <c r="HD2531" s="73"/>
      <c r="HE2531" s="73"/>
      <c r="HF2531" s="73"/>
      <c r="HG2531" s="73"/>
      <c r="HH2531" s="73"/>
      <c r="HI2531" s="73"/>
      <c r="HJ2531" s="73"/>
      <c r="HK2531" s="73"/>
      <c r="HL2531" s="73"/>
      <c r="HM2531" s="73"/>
      <c r="HN2531" s="73"/>
      <c r="HO2531" s="73"/>
      <c r="HP2531" s="73"/>
      <c r="HQ2531" s="73"/>
      <c r="HR2531" s="73"/>
      <c r="HS2531" s="73"/>
      <c r="HT2531" s="73"/>
      <c r="HU2531" s="73"/>
      <c r="HV2531" s="73"/>
      <c r="HW2531" s="73"/>
      <c r="HX2531" s="73"/>
      <c r="HY2531" s="73"/>
      <c r="HZ2531" s="73"/>
      <c r="IA2531" s="73"/>
      <c r="IB2531" s="73"/>
      <c r="IC2531" s="73"/>
      <c r="ID2531" s="73"/>
      <c r="IE2531" s="73"/>
      <c r="IF2531" s="73"/>
      <c r="IG2531" s="73"/>
      <c r="IH2531" s="73"/>
      <c r="II2531" s="73"/>
      <c r="IJ2531" s="73"/>
      <c r="IK2531" s="73"/>
      <c r="IL2531" s="73"/>
      <c r="IM2531" s="73"/>
      <c r="IN2531" s="73"/>
      <c r="IO2531" s="73"/>
      <c r="IP2531" s="73"/>
      <c r="IQ2531" s="73"/>
      <c r="IR2531" s="73"/>
      <c r="IS2531" s="73"/>
      <c r="IT2531" s="73"/>
      <c r="IU2531" s="73"/>
      <c r="IV2531" s="73"/>
      <c r="IW2531" s="73"/>
      <c r="IX2531" s="73"/>
      <c r="IY2531" s="73"/>
      <c r="IZ2531" s="73"/>
      <c r="JA2531" s="73"/>
      <c r="JB2531" s="73"/>
      <c r="JC2531" s="73"/>
    </row>
    <row r="2532" spans="2:263" s="72" customFormat="1">
      <c r="B2532" s="73"/>
      <c r="C2532" s="73"/>
      <c r="D2532" s="73"/>
      <c r="E2532" s="73"/>
      <c r="F2532" s="73"/>
      <c r="G2532" s="73"/>
      <c r="H2532" s="73"/>
      <c r="I2532" s="73"/>
      <c r="J2532" s="73"/>
      <c r="K2532" s="73"/>
      <c r="L2532" s="73"/>
      <c r="M2532" s="73"/>
      <c r="N2532" s="73"/>
      <c r="O2532" s="73"/>
      <c r="P2532" s="73"/>
      <c r="Q2532" s="73"/>
      <c r="R2532" s="73"/>
      <c r="S2532" s="73"/>
      <c r="T2532" s="73"/>
      <c r="U2532" s="73"/>
      <c r="V2532" s="73"/>
      <c r="W2532" s="73"/>
      <c r="GL2532" s="73"/>
      <c r="GM2532" s="73"/>
      <c r="GN2532" s="73"/>
      <c r="GO2532" s="73"/>
      <c r="GP2532" s="73"/>
      <c r="GQ2532" s="73"/>
      <c r="GR2532" s="73"/>
      <c r="GS2532" s="73"/>
      <c r="GT2532" s="73"/>
      <c r="GU2532" s="73"/>
      <c r="GV2532" s="73"/>
      <c r="GW2532" s="73"/>
      <c r="GX2532" s="73"/>
      <c r="GY2532" s="73"/>
      <c r="GZ2532" s="73"/>
      <c r="HA2532" s="73"/>
      <c r="HB2532" s="73"/>
      <c r="HC2532" s="73"/>
      <c r="HD2532" s="73"/>
      <c r="HE2532" s="73"/>
      <c r="HF2532" s="73"/>
      <c r="HG2532" s="73"/>
      <c r="HH2532" s="73"/>
      <c r="HI2532" s="73"/>
      <c r="HJ2532" s="73"/>
      <c r="HK2532" s="73"/>
      <c r="HL2532" s="73"/>
      <c r="HM2532" s="73"/>
      <c r="HN2532" s="73"/>
      <c r="HO2532" s="73"/>
      <c r="HP2532" s="73"/>
      <c r="HQ2532" s="73"/>
      <c r="HR2532" s="73"/>
      <c r="HS2532" s="73"/>
      <c r="HT2532" s="73"/>
      <c r="HU2532" s="73"/>
      <c r="HV2532" s="73"/>
      <c r="HW2532" s="73"/>
      <c r="HX2532" s="73"/>
      <c r="HY2532" s="73"/>
      <c r="HZ2532" s="73"/>
      <c r="IA2532" s="73"/>
      <c r="IB2532" s="73"/>
      <c r="IC2532" s="73"/>
      <c r="ID2532" s="73"/>
      <c r="IE2532" s="73"/>
      <c r="IF2532" s="73"/>
      <c r="IG2532" s="73"/>
      <c r="IH2532" s="73"/>
      <c r="II2532" s="73"/>
      <c r="IJ2532" s="73"/>
      <c r="IK2532" s="73"/>
      <c r="IL2532" s="73"/>
      <c r="IM2532" s="73"/>
      <c r="IN2532" s="73"/>
      <c r="IO2532" s="73"/>
      <c r="IP2532" s="73"/>
      <c r="IQ2532" s="73"/>
      <c r="IR2532" s="73"/>
      <c r="IS2532" s="73"/>
      <c r="IT2532" s="73"/>
      <c r="IU2532" s="73"/>
      <c r="IV2532" s="73"/>
      <c r="IW2532" s="73"/>
      <c r="IX2532" s="73"/>
      <c r="IY2532" s="73"/>
      <c r="IZ2532" s="73"/>
      <c r="JA2532" s="73"/>
      <c r="JB2532" s="73"/>
      <c r="JC2532" s="73"/>
    </row>
    <row r="2533" spans="2:263" s="72" customFormat="1">
      <c r="B2533" s="73"/>
      <c r="C2533" s="73"/>
      <c r="D2533" s="73"/>
      <c r="E2533" s="73"/>
      <c r="F2533" s="73"/>
      <c r="G2533" s="73"/>
      <c r="H2533" s="73"/>
      <c r="I2533" s="73"/>
      <c r="J2533" s="73"/>
      <c r="K2533" s="73"/>
      <c r="L2533" s="73"/>
      <c r="M2533" s="73"/>
      <c r="N2533" s="73"/>
      <c r="O2533" s="73"/>
      <c r="P2533" s="73"/>
      <c r="Q2533" s="73"/>
      <c r="R2533" s="73"/>
      <c r="S2533" s="73"/>
      <c r="T2533" s="73"/>
      <c r="U2533" s="73"/>
      <c r="V2533" s="73"/>
      <c r="W2533" s="73"/>
      <c r="GL2533" s="73"/>
      <c r="GM2533" s="73"/>
      <c r="GN2533" s="73"/>
      <c r="GO2533" s="73"/>
      <c r="GP2533" s="73"/>
      <c r="GQ2533" s="73"/>
      <c r="GR2533" s="73"/>
      <c r="GS2533" s="73"/>
      <c r="GT2533" s="73"/>
      <c r="GU2533" s="73"/>
      <c r="GV2533" s="73"/>
      <c r="GW2533" s="73"/>
      <c r="GX2533" s="73"/>
      <c r="GY2533" s="73"/>
      <c r="GZ2533" s="73"/>
      <c r="HA2533" s="73"/>
      <c r="HB2533" s="73"/>
      <c r="HC2533" s="73"/>
      <c r="HD2533" s="73"/>
      <c r="HE2533" s="73"/>
      <c r="HF2533" s="73"/>
      <c r="HG2533" s="73"/>
      <c r="HH2533" s="73"/>
      <c r="HI2533" s="73"/>
      <c r="HJ2533" s="73"/>
      <c r="HK2533" s="73"/>
      <c r="HL2533" s="73"/>
      <c r="HM2533" s="73"/>
      <c r="HN2533" s="73"/>
      <c r="HO2533" s="73"/>
      <c r="HP2533" s="73"/>
      <c r="HQ2533" s="73"/>
      <c r="HR2533" s="73"/>
      <c r="HS2533" s="73"/>
      <c r="HT2533" s="73"/>
      <c r="HU2533" s="73"/>
      <c r="HV2533" s="73"/>
      <c r="HW2533" s="73"/>
      <c r="HX2533" s="73"/>
      <c r="HY2533" s="73"/>
      <c r="HZ2533" s="73"/>
      <c r="IA2533" s="73"/>
      <c r="IB2533" s="73"/>
      <c r="IC2533" s="73"/>
      <c r="ID2533" s="73"/>
      <c r="IE2533" s="73"/>
      <c r="IF2533" s="73"/>
      <c r="IG2533" s="73"/>
      <c r="IH2533" s="73"/>
      <c r="II2533" s="73"/>
      <c r="IJ2533" s="73"/>
      <c r="IK2533" s="73"/>
      <c r="IL2533" s="73"/>
      <c r="IM2533" s="73"/>
      <c r="IN2533" s="73"/>
      <c r="IO2533" s="73"/>
      <c r="IP2533" s="73"/>
      <c r="IQ2533" s="73"/>
      <c r="IR2533" s="73"/>
      <c r="IS2533" s="73"/>
      <c r="IT2533" s="73"/>
      <c r="IU2533" s="73"/>
      <c r="IV2533" s="73"/>
      <c r="IW2533" s="73"/>
      <c r="IX2533" s="73"/>
      <c r="IY2533" s="73"/>
      <c r="IZ2533" s="73"/>
      <c r="JA2533" s="73"/>
      <c r="JB2533" s="73"/>
      <c r="JC2533" s="73"/>
    </row>
    <row r="2534" spans="2:263" s="72" customFormat="1">
      <c r="B2534" s="73"/>
      <c r="C2534" s="73"/>
      <c r="D2534" s="73"/>
      <c r="E2534" s="73"/>
      <c r="F2534" s="73"/>
      <c r="G2534" s="73"/>
      <c r="H2534" s="73"/>
      <c r="I2534" s="73"/>
      <c r="J2534" s="73"/>
      <c r="K2534" s="73"/>
      <c r="L2534" s="73"/>
      <c r="M2534" s="73"/>
      <c r="N2534" s="73"/>
      <c r="O2534" s="73"/>
      <c r="P2534" s="73"/>
      <c r="Q2534" s="73"/>
      <c r="R2534" s="73"/>
      <c r="S2534" s="73"/>
      <c r="T2534" s="73"/>
      <c r="U2534" s="73"/>
      <c r="V2534" s="73"/>
      <c r="W2534" s="73"/>
      <c r="GL2534" s="73"/>
      <c r="GM2534" s="73"/>
      <c r="GN2534" s="73"/>
      <c r="GO2534" s="73"/>
      <c r="GP2534" s="73"/>
      <c r="GQ2534" s="73"/>
      <c r="GR2534" s="73"/>
      <c r="GS2534" s="73"/>
      <c r="GT2534" s="73"/>
      <c r="GU2534" s="73"/>
      <c r="GV2534" s="73"/>
      <c r="GW2534" s="73"/>
      <c r="GX2534" s="73"/>
      <c r="GY2534" s="73"/>
      <c r="GZ2534" s="73"/>
      <c r="HA2534" s="73"/>
      <c r="HB2534" s="73"/>
      <c r="HC2534" s="73"/>
      <c r="HD2534" s="73"/>
      <c r="HE2534" s="73"/>
      <c r="HF2534" s="73"/>
      <c r="HG2534" s="73"/>
      <c r="HH2534" s="73"/>
      <c r="HI2534" s="73"/>
      <c r="HJ2534" s="73"/>
      <c r="HK2534" s="73"/>
      <c r="HL2534" s="73"/>
      <c r="HM2534" s="73"/>
      <c r="HN2534" s="73"/>
      <c r="HO2534" s="73"/>
      <c r="HP2534" s="73"/>
      <c r="HQ2534" s="73"/>
      <c r="HR2534" s="73"/>
      <c r="HS2534" s="73"/>
      <c r="HT2534" s="73"/>
      <c r="HU2534" s="73"/>
      <c r="HV2534" s="73"/>
      <c r="HW2534" s="73"/>
      <c r="HX2534" s="73"/>
      <c r="HY2534" s="73"/>
      <c r="HZ2534" s="73"/>
      <c r="IA2534" s="73"/>
      <c r="IB2534" s="73"/>
      <c r="IC2534" s="73"/>
      <c r="ID2534" s="73"/>
      <c r="IE2534" s="73"/>
      <c r="IF2534" s="73"/>
      <c r="IG2534" s="73"/>
      <c r="IH2534" s="73"/>
      <c r="II2534" s="73"/>
      <c r="IJ2534" s="73"/>
      <c r="IK2534" s="73"/>
      <c r="IL2534" s="73"/>
      <c r="IM2534" s="73"/>
      <c r="IN2534" s="73"/>
      <c r="IO2534" s="73"/>
      <c r="IP2534" s="73"/>
      <c r="IQ2534" s="73"/>
      <c r="IR2534" s="73"/>
      <c r="IS2534" s="73"/>
      <c r="IT2534" s="73"/>
      <c r="IU2534" s="73"/>
      <c r="IV2534" s="73"/>
      <c r="IW2534" s="73"/>
      <c r="IX2534" s="73"/>
      <c r="IY2534" s="73"/>
      <c r="IZ2534" s="73"/>
      <c r="JA2534" s="73"/>
      <c r="JB2534" s="73"/>
      <c r="JC2534" s="73"/>
    </row>
    <row r="2535" spans="2:263" s="72" customFormat="1">
      <c r="B2535" s="73"/>
      <c r="C2535" s="73"/>
      <c r="D2535" s="73"/>
      <c r="E2535" s="73"/>
      <c r="F2535" s="73"/>
      <c r="G2535" s="73"/>
      <c r="H2535" s="73"/>
      <c r="I2535" s="73"/>
      <c r="J2535" s="73"/>
      <c r="K2535" s="73"/>
      <c r="L2535" s="73"/>
      <c r="M2535" s="73"/>
      <c r="N2535" s="73"/>
      <c r="O2535" s="73"/>
      <c r="P2535" s="73"/>
      <c r="Q2535" s="73"/>
      <c r="R2535" s="73"/>
      <c r="S2535" s="73"/>
      <c r="T2535" s="73"/>
      <c r="U2535" s="73"/>
      <c r="V2535" s="73"/>
      <c r="W2535" s="73"/>
      <c r="GL2535" s="73"/>
      <c r="GM2535" s="73"/>
      <c r="GN2535" s="73"/>
      <c r="GO2535" s="73"/>
      <c r="GP2535" s="73"/>
      <c r="GQ2535" s="73"/>
      <c r="GR2535" s="73"/>
      <c r="GS2535" s="73"/>
      <c r="GT2535" s="73"/>
      <c r="GU2535" s="73"/>
      <c r="GV2535" s="73"/>
      <c r="GW2535" s="73"/>
      <c r="GX2535" s="73"/>
      <c r="GY2535" s="73"/>
      <c r="GZ2535" s="73"/>
      <c r="HA2535" s="73"/>
      <c r="HB2535" s="73"/>
      <c r="HC2535" s="73"/>
      <c r="HD2535" s="73"/>
      <c r="HE2535" s="73"/>
      <c r="HF2535" s="73"/>
      <c r="HG2535" s="73"/>
      <c r="HH2535" s="73"/>
      <c r="HI2535" s="73"/>
      <c r="HJ2535" s="73"/>
      <c r="HK2535" s="73"/>
      <c r="HL2535" s="73"/>
      <c r="HM2535" s="73"/>
      <c r="HN2535" s="73"/>
      <c r="HO2535" s="73"/>
      <c r="HP2535" s="73"/>
      <c r="HQ2535" s="73"/>
      <c r="HR2535" s="73"/>
      <c r="HS2535" s="73"/>
      <c r="HT2535" s="73"/>
      <c r="HU2535" s="73"/>
      <c r="HV2535" s="73"/>
      <c r="HW2535" s="73"/>
      <c r="HX2535" s="73"/>
      <c r="HY2535" s="73"/>
      <c r="HZ2535" s="73"/>
      <c r="IA2535" s="73"/>
      <c r="IB2535" s="73"/>
      <c r="IC2535" s="73"/>
      <c r="ID2535" s="73"/>
      <c r="IE2535" s="73"/>
      <c r="IF2535" s="73"/>
      <c r="IG2535" s="73"/>
      <c r="IH2535" s="73"/>
      <c r="II2535" s="73"/>
      <c r="IJ2535" s="73"/>
      <c r="IK2535" s="73"/>
      <c r="IL2535" s="73"/>
      <c r="IM2535" s="73"/>
      <c r="IN2535" s="73"/>
      <c r="IO2535" s="73"/>
      <c r="IP2535" s="73"/>
      <c r="IQ2535" s="73"/>
      <c r="IR2535" s="73"/>
      <c r="IS2535" s="73"/>
      <c r="IT2535" s="73"/>
      <c r="IU2535" s="73"/>
      <c r="IV2535" s="73"/>
      <c r="IW2535" s="73"/>
      <c r="IX2535" s="73"/>
      <c r="IY2535" s="73"/>
      <c r="IZ2535" s="73"/>
      <c r="JA2535" s="73"/>
      <c r="JB2535" s="73"/>
      <c r="JC2535" s="73"/>
    </row>
    <row r="2536" spans="2:263" s="72" customFormat="1">
      <c r="B2536" s="73"/>
      <c r="C2536" s="73"/>
      <c r="D2536" s="73"/>
      <c r="E2536" s="73"/>
      <c r="F2536" s="73"/>
      <c r="G2536" s="73"/>
      <c r="H2536" s="73"/>
      <c r="I2536" s="73"/>
      <c r="J2536" s="73"/>
      <c r="K2536" s="73"/>
      <c r="L2536" s="73"/>
      <c r="M2536" s="73"/>
      <c r="N2536" s="73"/>
      <c r="O2536" s="73"/>
      <c r="P2536" s="73"/>
      <c r="Q2536" s="73"/>
      <c r="R2536" s="73"/>
      <c r="S2536" s="73"/>
      <c r="T2536" s="73"/>
      <c r="U2536" s="73"/>
      <c r="V2536" s="73"/>
      <c r="W2536" s="73"/>
      <c r="GL2536" s="73"/>
      <c r="GM2536" s="73"/>
      <c r="GN2536" s="73"/>
      <c r="GO2536" s="73"/>
      <c r="GP2536" s="73"/>
      <c r="GQ2536" s="73"/>
      <c r="GR2536" s="73"/>
      <c r="GS2536" s="73"/>
      <c r="GT2536" s="73"/>
      <c r="GU2536" s="73"/>
      <c r="GV2536" s="73"/>
      <c r="GW2536" s="73"/>
      <c r="GX2536" s="73"/>
      <c r="GY2536" s="73"/>
      <c r="GZ2536" s="73"/>
      <c r="HA2536" s="73"/>
      <c r="HB2536" s="73"/>
      <c r="HC2536" s="73"/>
      <c r="HD2536" s="73"/>
      <c r="HE2536" s="73"/>
      <c r="HF2536" s="73"/>
      <c r="HG2536" s="73"/>
      <c r="HH2536" s="73"/>
      <c r="HI2536" s="73"/>
      <c r="HJ2536" s="73"/>
      <c r="HK2536" s="73"/>
      <c r="HL2536" s="73"/>
      <c r="HM2536" s="73"/>
      <c r="HN2536" s="73"/>
      <c r="HO2536" s="73"/>
      <c r="HP2536" s="73"/>
      <c r="HQ2536" s="73"/>
      <c r="HR2536" s="73"/>
      <c r="HS2536" s="73"/>
      <c r="HT2536" s="73"/>
      <c r="HU2536" s="73"/>
      <c r="HV2536" s="73"/>
      <c r="HW2536" s="73"/>
      <c r="HX2536" s="73"/>
      <c r="HY2536" s="73"/>
      <c r="HZ2536" s="73"/>
      <c r="IA2536" s="73"/>
      <c r="IB2536" s="73"/>
      <c r="IC2536" s="73"/>
      <c r="ID2536" s="73"/>
      <c r="IE2536" s="73"/>
      <c r="IF2536" s="73"/>
      <c r="IG2536" s="73"/>
      <c r="IH2536" s="73"/>
      <c r="II2536" s="73"/>
      <c r="IJ2536" s="73"/>
      <c r="IK2536" s="73"/>
      <c r="IL2536" s="73"/>
      <c r="IM2536" s="73"/>
      <c r="IN2536" s="73"/>
      <c r="IO2536" s="73"/>
      <c r="IP2536" s="73"/>
      <c r="IQ2536" s="73"/>
      <c r="IR2536" s="73"/>
      <c r="IS2536" s="73"/>
      <c r="IT2536" s="73"/>
      <c r="IU2536" s="73"/>
      <c r="IV2536" s="73"/>
      <c r="IW2536" s="73"/>
      <c r="IX2536" s="73"/>
      <c r="IY2536" s="73"/>
      <c r="IZ2536" s="73"/>
      <c r="JA2536" s="73"/>
      <c r="JB2536" s="73"/>
      <c r="JC2536" s="73"/>
    </row>
    <row r="2537" spans="2:263" s="72" customFormat="1">
      <c r="B2537" s="73"/>
      <c r="C2537" s="73"/>
      <c r="D2537" s="73"/>
      <c r="E2537" s="73"/>
      <c r="F2537" s="73"/>
      <c r="G2537" s="73"/>
      <c r="H2537" s="73"/>
      <c r="I2537" s="73"/>
      <c r="J2537" s="73"/>
      <c r="K2537" s="73"/>
      <c r="L2537" s="73"/>
      <c r="M2537" s="73"/>
      <c r="N2537" s="73"/>
      <c r="O2537" s="73"/>
      <c r="P2537" s="73"/>
      <c r="Q2537" s="73"/>
      <c r="R2537" s="73"/>
      <c r="S2537" s="73"/>
      <c r="T2537" s="73"/>
      <c r="U2537" s="73"/>
      <c r="V2537" s="73"/>
      <c r="W2537" s="73"/>
      <c r="GL2537" s="73"/>
      <c r="GM2537" s="73"/>
      <c r="GN2537" s="73"/>
      <c r="GO2537" s="73"/>
      <c r="GP2537" s="73"/>
      <c r="GQ2537" s="73"/>
      <c r="GR2537" s="73"/>
      <c r="GS2537" s="73"/>
      <c r="GT2537" s="73"/>
      <c r="GU2537" s="73"/>
      <c r="GV2537" s="73"/>
      <c r="GW2537" s="73"/>
      <c r="GX2537" s="73"/>
      <c r="GY2537" s="73"/>
      <c r="GZ2537" s="73"/>
      <c r="HA2537" s="73"/>
      <c r="HB2537" s="73"/>
      <c r="HC2537" s="73"/>
      <c r="HD2537" s="73"/>
      <c r="HE2537" s="73"/>
      <c r="HF2537" s="73"/>
      <c r="HG2537" s="73"/>
      <c r="HH2537" s="73"/>
      <c r="HI2537" s="73"/>
      <c r="HJ2537" s="73"/>
      <c r="HK2537" s="73"/>
      <c r="HL2537" s="73"/>
      <c r="HM2537" s="73"/>
      <c r="HN2537" s="73"/>
      <c r="HO2537" s="73"/>
      <c r="HP2537" s="73"/>
      <c r="HQ2537" s="73"/>
      <c r="HR2537" s="73"/>
      <c r="HS2537" s="73"/>
      <c r="HT2537" s="73"/>
      <c r="HU2537" s="73"/>
      <c r="HV2537" s="73"/>
      <c r="HW2537" s="73"/>
      <c r="HX2537" s="73"/>
      <c r="HY2537" s="73"/>
      <c r="HZ2537" s="73"/>
      <c r="IA2537" s="73"/>
      <c r="IB2537" s="73"/>
      <c r="IC2537" s="73"/>
      <c r="ID2537" s="73"/>
      <c r="IE2537" s="73"/>
      <c r="IF2537" s="73"/>
      <c r="IG2537" s="73"/>
      <c r="IH2537" s="73"/>
      <c r="II2537" s="73"/>
      <c r="IJ2537" s="73"/>
      <c r="IK2537" s="73"/>
      <c r="IL2537" s="73"/>
      <c r="IM2537" s="73"/>
      <c r="IN2537" s="73"/>
      <c r="IO2537" s="73"/>
      <c r="IP2537" s="73"/>
      <c r="IQ2537" s="73"/>
      <c r="IR2537" s="73"/>
      <c r="IS2537" s="73"/>
      <c r="IT2537" s="73"/>
      <c r="IU2537" s="73"/>
      <c r="IV2537" s="73"/>
      <c r="IW2537" s="73"/>
      <c r="IX2537" s="73"/>
      <c r="IY2537" s="73"/>
      <c r="IZ2537" s="73"/>
      <c r="JA2537" s="73"/>
      <c r="JB2537" s="73"/>
      <c r="JC2537" s="73"/>
    </row>
    <row r="2538" spans="2:263" s="72" customFormat="1">
      <c r="B2538" s="73"/>
      <c r="C2538" s="73"/>
      <c r="D2538" s="73"/>
      <c r="E2538" s="73"/>
      <c r="F2538" s="73"/>
      <c r="G2538" s="73"/>
      <c r="H2538" s="73"/>
      <c r="I2538" s="73"/>
      <c r="J2538" s="73"/>
      <c r="K2538" s="73"/>
      <c r="L2538" s="73"/>
      <c r="M2538" s="73"/>
      <c r="N2538" s="73"/>
      <c r="O2538" s="73"/>
      <c r="P2538" s="73"/>
      <c r="Q2538" s="73"/>
      <c r="R2538" s="73"/>
      <c r="S2538" s="73"/>
      <c r="T2538" s="73"/>
      <c r="U2538" s="73"/>
      <c r="V2538" s="73"/>
      <c r="W2538" s="73"/>
      <c r="GL2538" s="73"/>
      <c r="GM2538" s="73"/>
      <c r="GN2538" s="73"/>
      <c r="GO2538" s="73"/>
      <c r="GP2538" s="73"/>
      <c r="GQ2538" s="73"/>
      <c r="GR2538" s="73"/>
      <c r="GS2538" s="73"/>
      <c r="GT2538" s="73"/>
      <c r="GU2538" s="73"/>
      <c r="GV2538" s="73"/>
      <c r="GW2538" s="73"/>
      <c r="GX2538" s="73"/>
      <c r="GY2538" s="73"/>
      <c r="GZ2538" s="73"/>
      <c r="HA2538" s="73"/>
      <c r="HB2538" s="73"/>
      <c r="HC2538" s="73"/>
      <c r="HD2538" s="73"/>
      <c r="HE2538" s="73"/>
      <c r="HF2538" s="73"/>
      <c r="HG2538" s="73"/>
      <c r="HH2538" s="73"/>
      <c r="HI2538" s="73"/>
      <c r="HJ2538" s="73"/>
      <c r="HK2538" s="73"/>
      <c r="HL2538" s="73"/>
      <c r="HM2538" s="73"/>
      <c r="HN2538" s="73"/>
      <c r="HO2538" s="73"/>
      <c r="HP2538" s="73"/>
      <c r="HQ2538" s="73"/>
      <c r="HR2538" s="73"/>
      <c r="HS2538" s="73"/>
      <c r="HT2538" s="73"/>
      <c r="HU2538" s="73"/>
      <c r="HV2538" s="73"/>
      <c r="HW2538" s="73"/>
      <c r="HX2538" s="73"/>
      <c r="HY2538" s="73"/>
      <c r="HZ2538" s="73"/>
      <c r="IA2538" s="73"/>
      <c r="IB2538" s="73"/>
      <c r="IC2538" s="73"/>
      <c r="ID2538" s="73"/>
      <c r="IE2538" s="73"/>
      <c r="IF2538" s="73"/>
      <c r="IG2538" s="73"/>
      <c r="IH2538" s="73"/>
      <c r="II2538" s="73"/>
      <c r="IJ2538" s="73"/>
      <c r="IK2538" s="73"/>
      <c r="IL2538" s="73"/>
      <c r="IM2538" s="73"/>
      <c r="IN2538" s="73"/>
      <c r="IO2538" s="73"/>
      <c r="IP2538" s="73"/>
      <c r="IQ2538" s="73"/>
      <c r="IR2538" s="73"/>
      <c r="IS2538" s="73"/>
      <c r="IT2538" s="73"/>
      <c r="IU2538" s="73"/>
      <c r="IV2538" s="73"/>
      <c r="IW2538" s="73"/>
      <c r="IX2538" s="73"/>
      <c r="IY2538" s="73"/>
      <c r="IZ2538" s="73"/>
      <c r="JA2538" s="73"/>
      <c r="JB2538" s="73"/>
      <c r="JC2538" s="73"/>
    </row>
    <row r="2539" spans="2:263" s="72" customFormat="1">
      <c r="B2539" s="73"/>
      <c r="C2539" s="73"/>
      <c r="D2539" s="73"/>
      <c r="E2539" s="73"/>
      <c r="F2539" s="73"/>
      <c r="G2539" s="73"/>
      <c r="H2539" s="73"/>
      <c r="I2539" s="73"/>
      <c r="J2539" s="73"/>
      <c r="K2539" s="73"/>
      <c r="L2539" s="73"/>
      <c r="M2539" s="73"/>
      <c r="N2539" s="73"/>
      <c r="O2539" s="73"/>
      <c r="P2539" s="73"/>
      <c r="Q2539" s="73"/>
      <c r="R2539" s="73"/>
      <c r="S2539" s="73"/>
      <c r="T2539" s="73"/>
      <c r="U2539" s="73"/>
      <c r="V2539" s="73"/>
      <c r="W2539" s="73"/>
      <c r="GL2539" s="73"/>
      <c r="GM2539" s="73"/>
      <c r="GN2539" s="73"/>
      <c r="GO2539" s="73"/>
      <c r="GP2539" s="73"/>
      <c r="GQ2539" s="73"/>
      <c r="GR2539" s="73"/>
      <c r="GS2539" s="73"/>
      <c r="GT2539" s="73"/>
      <c r="GU2539" s="73"/>
      <c r="GV2539" s="73"/>
      <c r="GW2539" s="73"/>
      <c r="GX2539" s="73"/>
      <c r="GY2539" s="73"/>
      <c r="GZ2539" s="73"/>
      <c r="HA2539" s="73"/>
      <c r="HB2539" s="73"/>
      <c r="HC2539" s="73"/>
      <c r="HD2539" s="73"/>
      <c r="HE2539" s="73"/>
      <c r="HF2539" s="73"/>
      <c r="HG2539" s="73"/>
      <c r="HH2539" s="73"/>
      <c r="HI2539" s="73"/>
      <c r="HJ2539" s="73"/>
      <c r="HK2539" s="73"/>
      <c r="HL2539" s="73"/>
      <c r="HM2539" s="73"/>
      <c r="HN2539" s="73"/>
      <c r="HO2539" s="73"/>
      <c r="HP2539" s="73"/>
      <c r="HQ2539" s="73"/>
      <c r="HR2539" s="73"/>
      <c r="HS2539" s="73"/>
      <c r="HT2539" s="73"/>
      <c r="HU2539" s="73"/>
      <c r="HV2539" s="73"/>
      <c r="HW2539" s="73"/>
      <c r="HX2539" s="73"/>
      <c r="HY2539" s="73"/>
      <c r="HZ2539" s="73"/>
      <c r="IA2539" s="73"/>
      <c r="IB2539" s="73"/>
      <c r="IC2539" s="73"/>
      <c r="ID2539" s="73"/>
      <c r="IE2539" s="73"/>
      <c r="IF2539" s="73"/>
      <c r="IG2539" s="73"/>
      <c r="IH2539" s="73"/>
      <c r="II2539" s="73"/>
      <c r="IJ2539" s="73"/>
      <c r="IK2539" s="73"/>
      <c r="IL2539" s="73"/>
      <c r="IM2539" s="73"/>
      <c r="IN2539" s="73"/>
      <c r="IO2539" s="73"/>
      <c r="IP2539" s="73"/>
      <c r="IQ2539" s="73"/>
      <c r="IR2539" s="73"/>
      <c r="IS2539" s="73"/>
      <c r="IT2539" s="73"/>
      <c r="IU2539" s="73"/>
      <c r="IV2539" s="73"/>
      <c r="IW2539" s="73"/>
      <c r="IX2539" s="73"/>
      <c r="IY2539" s="73"/>
      <c r="IZ2539" s="73"/>
      <c r="JA2539" s="73"/>
      <c r="JB2539" s="73"/>
      <c r="JC2539" s="73"/>
    </row>
    <row r="2540" spans="2:263" s="72" customFormat="1">
      <c r="B2540" s="73"/>
      <c r="C2540" s="73"/>
      <c r="D2540" s="73"/>
      <c r="E2540" s="73"/>
      <c r="F2540" s="73"/>
      <c r="G2540" s="73"/>
      <c r="H2540" s="73"/>
      <c r="I2540" s="73"/>
      <c r="J2540" s="73"/>
      <c r="K2540" s="73"/>
      <c r="L2540" s="73"/>
      <c r="M2540" s="73"/>
      <c r="N2540" s="73"/>
      <c r="O2540" s="73"/>
      <c r="P2540" s="73"/>
      <c r="Q2540" s="73"/>
      <c r="R2540" s="73"/>
      <c r="S2540" s="73"/>
      <c r="T2540" s="73"/>
      <c r="U2540" s="73"/>
      <c r="V2540" s="73"/>
      <c r="W2540" s="73"/>
      <c r="GL2540" s="73"/>
      <c r="GM2540" s="73"/>
      <c r="GN2540" s="73"/>
      <c r="GO2540" s="73"/>
      <c r="GP2540" s="73"/>
      <c r="GQ2540" s="73"/>
      <c r="GR2540" s="73"/>
      <c r="GS2540" s="73"/>
      <c r="GT2540" s="73"/>
      <c r="GU2540" s="73"/>
      <c r="GV2540" s="73"/>
      <c r="GW2540" s="73"/>
      <c r="GX2540" s="73"/>
      <c r="GY2540" s="73"/>
      <c r="GZ2540" s="73"/>
      <c r="HA2540" s="73"/>
      <c r="HB2540" s="73"/>
      <c r="HC2540" s="73"/>
      <c r="HD2540" s="73"/>
      <c r="HE2540" s="73"/>
      <c r="HF2540" s="73"/>
      <c r="HG2540" s="73"/>
      <c r="HH2540" s="73"/>
      <c r="HI2540" s="73"/>
      <c r="HJ2540" s="73"/>
      <c r="HK2540" s="73"/>
      <c r="HL2540" s="73"/>
      <c r="HM2540" s="73"/>
      <c r="HN2540" s="73"/>
      <c r="HO2540" s="73"/>
      <c r="HP2540" s="73"/>
      <c r="HQ2540" s="73"/>
      <c r="HR2540" s="73"/>
      <c r="HS2540" s="73"/>
      <c r="HT2540" s="73"/>
      <c r="HU2540" s="73"/>
      <c r="HV2540" s="73"/>
      <c r="HW2540" s="73"/>
      <c r="HX2540" s="73"/>
      <c r="HY2540" s="73"/>
      <c r="HZ2540" s="73"/>
      <c r="IA2540" s="73"/>
      <c r="IB2540" s="73"/>
      <c r="IC2540" s="73"/>
      <c r="ID2540" s="73"/>
      <c r="IE2540" s="73"/>
      <c r="IF2540" s="73"/>
      <c r="IG2540" s="73"/>
      <c r="IH2540" s="73"/>
      <c r="II2540" s="73"/>
      <c r="IJ2540" s="73"/>
      <c r="IK2540" s="73"/>
      <c r="IL2540" s="73"/>
      <c r="IM2540" s="73"/>
      <c r="IN2540" s="73"/>
      <c r="IO2540" s="73"/>
      <c r="IP2540" s="73"/>
      <c r="IQ2540" s="73"/>
      <c r="IR2540" s="73"/>
      <c r="IS2540" s="73"/>
      <c r="IT2540" s="73"/>
      <c r="IU2540" s="73"/>
      <c r="IV2540" s="73"/>
      <c r="IW2540" s="73"/>
      <c r="IX2540" s="73"/>
      <c r="IY2540" s="73"/>
      <c r="IZ2540" s="73"/>
      <c r="JA2540" s="73"/>
      <c r="JB2540" s="73"/>
      <c r="JC2540" s="73"/>
    </row>
    <row r="2541" spans="2:263" s="72" customFormat="1">
      <c r="B2541" s="73"/>
      <c r="C2541" s="73"/>
      <c r="D2541" s="73"/>
      <c r="E2541" s="73"/>
      <c r="F2541" s="73"/>
      <c r="G2541" s="73"/>
      <c r="H2541" s="73"/>
      <c r="I2541" s="73"/>
      <c r="J2541" s="73"/>
      <c r="K2541" s="73"/>
      <c r="L2541" s="73"/>
      <c r="M2541" s="73"/>
      <c r="N2541" s="73"/>
      <c r="O2541" s="73"/>
      <c r="P2541" s="73"/>
      <c r="Q2541" s="73"/>
      <c r="R2541" s="73"/>
      <c r="S2541" s="73"/>
      <c r="T2541" s="73"/>
      <c r="U2541" s="73"/>
      <c r="V2541" s="73"/>
      <c r="W2541" s="73"/>
      <c r="GL2541" s="73"/>
      <c r="GM2541" s="73"/>
      <c r="GN2541" s="73"/>
      <c r="GO2541" s="73"/>
      <c r="GP2541" s="73"/>
      <c r="GQ2541" s="73"/>
      <c r="GR2541" s="73"/>
      <c r="GS2541" s="73"/>
      <c r="GT2541" s="73"/>
      <c r="GU2541" s="73"/>
      <c r="GV2541" s="73"/>
      <c r="GW2541" s="73"/>
      <c r="GX2541" s="73"/>
      <c r="GY2541" s="73"/>
      <c r="GZ2541" s="73"/>
      <c r="HA2541" s="73"/>
      <c r="HB2541" s="73"/>
      <c r="HC2541" s="73"/>
      <c r="HD2541" s="73"/>
      <c r="HE2541" s="73"/>
      <c r="HF2541" s="73"/>
      <c r="HG2541" s="73"/>
      <c r="HH2541" s="73"/>
      <c r="HI2541" s="73"/>
      <c r="HJ2541" s="73"/>
      <c r="HK2541" s="73"/>
      <c r="HL2541" s="73"/>
      <c r="HM2541" s="73"/>
      <c r="HN2541" s="73"/>
      <c r="HO2541" s="73"/>
      <c r="HP2541" s="73"/>
      <c r="HQ2541" s="73"/>
      <c r="HR2541" s="73"/>
      <c r="HS2541" s="73"/>
      <c r="HT2541" s="73"/>
      <c r="HU2541" s="73"/>
      <c r="HV2541" s="73"/>
      <c r="HW2541" s="73"/>
      <c r="HX2541" s="73"/>
      <c r="HY2541" s="73"/>
      <c r="HZ2541" s="73"/>
      <c r="IA2541" s="73"/>
      <c r="IB2541" s="73"/>
      <c r="IC2541" s="73"/>
      <c r="ID2541" s="73"/>
      <c r="IE2541" s="73"/>
      <c r="IF2541" s="73"/>
      <c r="IG2541" s="73"/>
      <c r="IH2541" s="73"/>
      <c r="II2541" s="73"/>
      <c r="IJ2541" s="73"/>
      <c r="IK2541" s="73"/>
      <c r="IL2541" s="73"/>
      <c r="IM2541" s="73"/>
      <c r="IN2541" s="73"/>
      <c r="IO2541" s="73"/>
      <c r="IP2541" s="73"/>
      <c r="IQ2541" s="73"/>
      <c r="IR2541" s="73"/>
      <c r="IS2541" s="73"/>
      <c r="IT2541" s="73"/>
      <c r="IU2541" s="73"/>
      <c r="IV2541" s="73"/>
      <c r="IW2541" s="73"/>
      <c r="IX2541" s="73"/>
      <c r="IY2541" s="73"/>
      <c r="IZ2541" s="73"/>
      <c r="JA2541" s="73"/>
      <c r="JB2541" s="73"/>
      <c r="JC2541" s="73"/>
    </row>
    <row r="2542" spans="2:263" s="72" customFormat="1">
      <c r="B2542" s="73"/>
      <c r="C2542" s="73"/>
      <c r="D2542" s="73"/>
      <c r="E2542" s="73"/>
      <c r="F2542" s="73"/>
      <c r="G2542" s="73"/>
      <c r="H2542" s="73"/>
      <c r="I2542" s="73"/>
      <c r="J2542" s="73"/>
      <c r="K2542" s="73"/>
      <c r="L2542" s="73"/>
      <c r="M2542" s="73"/>
      <c r="N2542" s="73"/>
      <c r="O2542" s="73"/>
      <c r="P2542" s="73"/>
      <c r="Q2542" s="73"/>
      <c r="R2542" s="73"/>
      <c r="S2542" s="73"/>
      <c r="T2542" s="73"/>
      <c r="U2542" s="73"/>
      <c r="V2542" s="73"/>
      <c r="W2542" s="73"/>
      <c r="GL2542" s="73"/>
      <c r="GM2542" s="73"/>
      <c r="GN2542" s="73"/>
      <c r="GO2542" s="73"/>
      <c r="GP2542" s="73"/>
      <c r="GQ2542" s="73"/>
      <c r="GR2542" s="73"/>
      <c r="GS2542" s="73"/>
      <c r="GT2542" s="73"/>
      <c r="GU2542" s="73"/>
      <c r="GV2542" s="73"/>
      <c r="GW2542" s="73"/>
      <c r="GX2542" s="73"/>
      <c r="GY2542" s="73"/>
      <c r="GZ2542" s="73"/>
      <c r="HA2542" s="73"/>
      <c r="HB2542" s="73"/>
      <c r="HC2542" s="73"/>
      <c r="HD2542" s="73"/>
      <c r="HE2542" s="73"/>
      <c r="HF2542" s="73"/>
      <c r="HG2542" s="73"/>
      <c r="HH2542" s="73"/>
      <c r="HI2542" s="73"/>
      <c r="HJ2542" s="73"/>
      <c r="HK2542" s="73"/>
      <c r="HL2542" s="73"/>
      <c r="HM2542" s="73"/>
      <c r="HN2542" s="73"/>
      <c r="HO2542" s="73"/>
      <c r="HP2542" s="73"/>
      <c r="HQ2542" s="73"/>
      <c r="HR2542" s="73"/>
      <c r="HS2542" s="73"/>
      <c r="HT2542" s="73"/>
      <c r="HU2542" s="73"/>
      <c r="HV2542" s="73"/>
      <c r="HW2542" s="73"/>
      <c r="HX2542" s="73"/>
      <c r="HY2542" s="73"/>
      <c r="HZ2542" s="73"/>
      <c r="IA2542" s="73"/>
      <c r="IB2542" s="73"/>
      <c r="IC2542" s="73"/>
      <c r="ID2542" s="73"/>
      <c r="IE2542" s="73"/>
      <c r="IF2542" s="73"/>
      <c r="IG2542" s="73"/>
      <c r="IH2542" s="73"/>
      <c r="II2542" s="73"/>
      <c r="IJ2542" s="73"/>
      <c r="IK2542" s="73"/>
      <c r="IL2542" s="73"/>
      <c r="IM2542" s="73"/>
      <c r="IN2542" s="73"/>
      <c r="IO2542" s="73"/>
      <c r="IP2542" s="73"/>
      <c r="IQ2542" s="73"/>
      <c r="IR2542" s="73"/>
      <c r="IS2542" s="73"/>
      <c r="IT2542" s="73"/>
      <c r="IU2542" s="73"/>
      <c r="IV2542" s="73"/>
      <c r="IW2542" s="73"/>
      <c r="IX2542" s="73"/>
      <c r="IY2542" s="73"/>
      <c r="IZ2542" s="73"/>
      <c r="JA2542" s="73"/>
      <c r="JB2542" s="73"/>
      <c r="JC2542" s="73"/>
    </row>
    <row r="2543" spans="2:263" s="72" customFormat="1">
      <c r="B2543" s="73"/>
      <c r="C2543" s="73"/>
      <c r="D2543" s="73"/>
      <c r="E2543" s="73"/>
      <c r="F2543" s="73"/>
      <c r="G2543" s="73"/>
      <c r="H2543" s="73"/>
      <c r="I2543" s="73"/>
      <c r="J2543" s="73"/>
      <c r="K2543" s="73"/>
      <c r="L2543" s="73"/>
      <c r="M2543" s="73"/>
      <c r="N2543" s="73"/>
      <c r="O2543" s="73"/>
      <c r="P2543" s="73"/>
      <c r="Q2543" s="73"/>
      <c r="R2543" s="73"/>
      <c r="S2543" s="73"/>
      <c r="T2543" s="73"/>
      <c r="U2543" s="73"/>
      <c r="V2543" s="73"/>
      <c r="W2543" s="73"/>
      <c r="GL2543" s="73"/>
      <c r="GM2543" s="73"/>
      <c r="GN2543" s="73"/>
      <c r="GO2543" s="73"/>
      <c r="GP2543" s="73"/>
      <c r="GQ2543" s="73"/>
      <c r="GR2543" s="73"/>
      <c r="GS2543" s="73"/>
      <c r="GT2543" s="73"/>
      <c r="GU2543" s="73"/>
      <c r="GV2543" s="73"/>
      <c r="GW2543" s="73"/>
      <c r="GX2543" s="73"/>
      <c r="GY2543" s="73"/>
      <c r="GZ2543" s="73"/>
      <c r="HA2543" s="73"/>
      <c r="HB2543" s="73"/>
      <c r="HC2543" s="73"/>
      <c r="HD2543" s="73"/>
      <c r="HE2543" s="73"/>
      <c r="HF2543" s="73"/>
      <c r="HG2543" s="73"/>
      <c r="HH2543" s="73"/>
      <c r="HI2543" s="73"/>
      <c r="HJ2543" s="73"/>
      <c r="HK2543" s="73"/>
      <c r="HL2543" s="73"/>
      <c r="HM2543" s="73"/>
      <c r="HN2543" s="73"/>
      <c r="HO2543" s="73"/>
      <c r="HP2543" s="73"/>
      <c r="HQ2543" s="73"/>
      <c r="HR2543" s="73"/>
      <c r="HS2543" s="73"/>
      <c r="HT2543" s="73"/>
      <c r="HU2543" s="73"/>
      <c r="HV2543" s="73"/>
      <c r="HW2543" s="73"/>
      <c r="HX2543" s="73"/>
      <c r="HY2543" s="73"/>
      <c r="HZ2543" s="73"/>
      <c r="IA2543" s="73"/>
      <c r="IB2543" s="73"/>
      <c r="IC2543" s="73"/>
      <c r="ID2543" s="73"/>
      <c r="IE2543" s="73"/>
      <c r="IF2543" s="73"/>
      <c r="IG2543" s="73"/>
      <c r="IH2543" s="73"/>
      <c r="II2543" s="73"/>
      <c r="IJ2543" s="73"/>
      <c r="IK2543" s="73"/>
      <c r="IL2543" s="73"/>
      <c r="IM2543" s="73"/>
      <c r="IN2543" s="73"/>
      <c r="IO2543" s="73"/>
      <c r="IP2543" s="73"/>
      <c r="IQ2543" s="73"/>
      <c r="IR2543" s="73"/>
      <c r="IS2543" s="73"/>
      <c r="IT2543" s="73"/>
      <c r="IU2543" s="73"/>
      <c r="IV2543" s="73"/>
      <c r="IW2543" s="73"/>
      <c r="IX2543" s="73"/>
      <c r="IY2543" s="73"/>
      <c r="IZ2543" s="73"/>
      <c r="JA2543" s="73"/>
      <c r="JB2543" s="73"/>
      <c r="JC2543" s="73"/>
    </row>
    <row r="2544" spans="2:263" s="72" customFormat="1">
      <c r="B2544" s="73"/>
      <c r="C2544" s="73"/>
      <c r="D2544" s="73"/>
      <c r="E2544" s="73"/>
      <c r="F2544" s="73"/>
      <c r="G2544" s="73"/>
      <c r="H2544" s="73"/>
      <c r="I2544" s="73"/>
      <c r="J2544" s="73"/>
      <c r="K2544" s="73"/>
      <c r="L2544" s="73"/>
      <c r="M2544" s="73"/>
      <c r="N2544" s="73"/>
      <c r="O2544" s="73"/>
      <c r="P2544" s="73"/>
      <c r="Q2544" s="73"/>
      <c r="R2544" s="73"/>
      <c r="S2544" s="73"/>
      <c r="T2544" s="73"/>
      <c r="U2544" s="73"/>
      <c r="V2544" s="73"/>
      <c r="W2544" s="73"/>
      <c r="GL2544" s="73"/>
      <c r="GM2544" s="73"/>
      <c r="GN2544" s="73"/>
      <c r="GO2544" s="73"/>
      <c r="GP2544" s="73"/>
      <c r="GQ2544" s="73"/>
      <c r="GR2544" s="73"/>
      <c r="GS2544" s="73"/>
      <c r="GT2544" s="73"/>
      <c r="GU2544" s="73"/>
      <c r="GV2544" s="73"/>
      <c r="GW2544" s="73"/>
      <c r="GX2544" s="73"/>
      <c r="GY2544" s="73"/>
      <c r="GZ2544" s="73"/>
      <c r="HA2544" s="73"/>
      <c r="HB2544" s="73"/>
      <c r="HC2544" s="73"/>
      <c r="HD2544" s="73"/>
      <c r="HE2544" s="73"/>
      <c r="HF2544" s="73"/>
      <c r="HG2544" s="73"/>
      <c r="HH2544" s="73"/>
      <c r="HI2544" s="73"/>
      <c r="HJ2544" s="73"/>
      <c r="HK2544" s="73"/>
      <c r="HL2544" s="73"/>
      <c r="HM2544" s="73"/>
      <c r="HN2544" s="73"/>
      <c r="HO2544" s="73"/>
      <c r="HP2544" s="73"/>
      <c r="HQ2544" s="73"/>
      <c r="HR2544" s="73"/>
      <c r="HS2544" s="73"/>
      <c r="HT2544" s="73"/>
      <c r="HU2544" s="73"/>
      <c r="HV2544" s="73"/>
      <c r="HW2544" s="73"/>
      <c r="HX2544" s="73"/>
      <c r="HY2544" s="73"/>
      <c r="HZ2544" s="73"/>
      <c r="IA2544" s="73"/>
      <c r="IB2544" s="73"/>
      <c r="IC2544" s="73"/>
      <c r="ID2544" s="73"/>
      <c r="IE2544" s="73"/>
      <c r="IF2544" s="73"/>
      <c r="IG2544" s="73"/>
      <c r="IH2544" s="73"/>
      <c r="II2544" s="73"/>
      <c r="IJ2544" s="73"/>
      <c r="IK2544" s="73"/>
      <c r="IL2544" s="73"/>
      <c r="IM2544" s="73"/>
      <c r="IN2544" s="73"/>
      <c r="IO2544" s="73"/>
      <c r="IP2544" s="73"/>
      <c r="IQ2544" s="73"/>
      <c r="IR2544" s="73"/>
      <c r="IS2544" s="73"/>
      <c r="IT2544" s="73"/>
      <c r="IU2544" s="73"/>
      <c r="IV2544" s="73"/>
      <c r="IW2544" s="73"/>
      <c r="IX2544" s="73"/>
      <c r="IY2544" s="73"/>
      <c r="IZ2544" s="73"/>
      <c r="JA2544" s="73"/>
      <c r="JB2544" s="73"/>
      <c r="JC2544" s="73"/>
    </row>
    <row r="2545" spans="2:263" s="72" customFormat="1">
      <c r="B2545" s="73"/>
      <c r="C2545" s="73"/>
      <c r="D2545" s="73"/>
      <c r="E2545" s="73"/>
      <c r="F2545" s="73"/>
      <c r="G2545" s="73"/>
      <c r="H2545" s="73"/>
      <c r="I2545" s="73"/>
      <c r="J2545" s="73"/>
      <c r="K2545" s="73"/>
      <c r="L2545" s="73"/>
      <c r="M2545" s="73"/>
      <c r="N2545" s="73"/>
      <c r="O2545" s="73"/>
      <c r="P2545" s="73"/>
      <c r="Q2545" s="73"/>
      <c r="R2545" s="73"/>
      <c r="S2545" s="73"/>
      <c r="T2545" s="73"/>
      <c r="U2545" s="73"/>
      <c r="V2545" s="73"/>
      <c r="W2545" s="73"/>
      <c r="GL2545" s="73"/>
      <c r="GM2545" s="73"/>
      <c r="GN2545" s="73"/>
      <c r="GO2545" s="73"/>
      <c r="GP2545" s="73"/>
      <c r="GQ2545" s="73"/>
      <c r="GR2545" s="73"/>
      <c r="GS2545" s="73"/>
      <c r="GT2545" s="73"/>
      <c r="GU2545" s="73"/>
      <c r="GV2545" s="73"/>
      <c r="GW2545" s="73"/>
      <c r="GX2545" s="73"/>
      <c r="GY2545" s="73"/>
      <c r="GZ2545" s="73"/>
      <c r="HA2545" s="73"/>
      <c r="HB2545" s="73"/>
      <c r="HC2545" s="73"/>
      <c r="HD2545" s="73"/>
      <c r="HE2545" s="73"/>
      <c r="HF2545" s="73"/>
      <c r="HG2545" s="73"/>
      <c r="HH2545" s="73"/>
      <c r="HI2545" s="73"/>
      <c r="HJ2545" s="73"/>
      <c r="HK2545" s="73"/>
      <c r="HL2545" s="73"/>
      <c r="HM2545" s="73"/>
      <c r="HN2545" s="73"/>
      <c r="HO2545" s="73"/>
      <c r="HP2545" s="73"/>
      <c r="HQ2545" s="73"/>
      <c r="HR2545" s="73"/>
      <c r="HS2545" s="73"/>
      <c r="HT2545" s="73"/>
      <c r="HU2545" s="73"/>
      <c r="HV2545" s="73"/>
      <c r="HW2545" s="73"/>
      <c r="HX2545" s="73"/>
      <c r="HY2545" s="73"/>
      <c r="HZ2545" s="73"/>
      <c r="IA2545" s="73"/>
      <c r="IB2545" s="73"/>
      <c r="IC2545" s="73"/>
      <c r="ID2545" s="73"/>
      <c r="IE2545" s="73"/>
      <c r="IF2545" s="73"/>
      <c r="IG2545" s="73"/>
      <c r="IH2545" s="73"/>
      <c r="II2545" s="73"/>
      <c r="IJ2545" s="73"/>
      <c r="IK2545" s="73"/>
      <c r="IL2545" s="73"/>
      <c r="IM2545" s="73"/>
      <c r="IN2545" s="73"/>
      <c r="IO2545" s="73"/>
      <c r="IP2545" s="73"/>
      <c r="IQ2545" s="73"/>
      <c r="IR2545" s="73"/>
      <c r="IS2545" s="73"/>
      <c r="IT2545" s="73"/>
      <c r="IU2545" s="73"/>
      <c r="IV2545" s="73"/>
      <c r="IW2545" s="73"/>
      <c r="IX2545" s="73"/>
      <c r="IY2545" s="73"/>
      <c r="IZ2545" s="73"/>
      <c r="JA2545" s="73"/>
      <c r="JB2545" s="73"/>
      <c r="JC2545" s="73"/>
    </row>
    <row r="2546" spans="2:263" s="72" customFormat="1">
      <c r="B2546" s="73"/>
      <c r="C2546" s="73"/>
      <c r="D2546" s="73"/>
      <c r="E2546" s="73"/>
      <c r="F2546" s="73"/>
      <c r="G2546" s="73"/>
      <c r="H2546" s="73"/>
      <c r="I2546" s="73"/>
      <c r="J2546" s="73"/>
      <c r="K2546" s="73"/>
      <c r="L2546" s="73"/>
      <c r="M2546" s="73"/>
      <c r="N2546" s="73"/>
      <c r="O2546" s="73"/>
      <c r="P2546" s="73"/>
      <c r="Q2546" s="73"/>
      <c r="R2546" s="73"/>
      <c r="S2546" s="73"/>
      <c r="T2546" s="73"/>
      <c r="U2546" s="73"/>
      <c r="V2546" s="73"/>
      <c r="W2546" s="73"/>
      <c r="GL2546" s="73"/>
      <c r="GM2546" s="73"/>
      <c r="GN2546" s="73"/>
      <c r="GO2546" s="73"/>
      <c r="GP2546" s="73"/>
      <c r="GQ2546" s="73"/>
      <c r="GR2546" s="73"/>
      <c r="GS2546" s="73"/>
      <c r="GT2546" s="73"/>
      <c r="GU2546" s="73"/>
      <c r="GV2546" s="73"/>
      <c r="GW2546" s="73"/>
      <c r="GX2546" s="73"/>
      <c r="GY2546" s="73"/>
      <c r="GZ2546" s="73"/>
      <c r="HA2546" s="73"/>
      <c r="HB2546" s="73"/>
      <c r="HC2546" s="73"/>
      <c r="HD2546" s="73"/>
      <c r="HE2546" s="73"/>
      <c r="HF2546" s="73"/>
      <c r="HG2546" s="73"/>
      <c r="HH2546" s="73"/>
      <c r="HI2546" s="73"/>
      <c r="HJ2546" s="73"/>
      <c r="HK2546" s="73"/>
      <c r="HL2546" s="73"/>
      <c r="HM2546" s="73"/>
      <c r="HN2546" s="73"/>
      <c r="HO2546" s="73"/>
      <c r="HP2546" s="73"/>
      <c r="HQ2546" s="73"/>
      <c r="HR2546" s="73"/>
      <c r="HS2546" s="73"/>
      <c r="HT2546" s="73"/>
      <c r="HU2546" s="73"/>
      <c r="HV2546" s="73"/>
      <c r="HW2546" s="73"/>
      <c r="HX2546" s="73"/>
      <c r="HY2546" s="73"/>
      <c r="HZ2546" s="73"/>
      <c r="IA2546" s="73"/>
      <c r="IB2546" s="73"/>
      <c r="IC2546" s="73"/>
      <c r="ID2546" s="73"/>
      <c r="IE2546" s="73"/>
      <c r="IF2546" s="73"/>
      <c r="IG2546" s="73"/>
      <c r="IH2546" s="73"/>
      <c r="II2546" s="73"/>
      <c r="IJ2546" s="73"/>
      <c r="IK2546" s="73"/>
      <c r="IL2546" s="73"/>
      <c r="IM2546" s="73"/>
      <c r="IN2546" s="73"/>
      <c r="IO2546" s="73"/>
      <c r="IP2546" s="73"/>
      <c r="IQ2546" s="73"/>
      <c r="IR2546" s="73"/>
      <c r="IS2546" s="73"/>
      <c r="IT2546" s="73"/>
      <c r="IU2546" s="73"/>
      <c r="IV2546" s="73"/>
      <c r="IW2546" s="73"/>
      <c r="IX2546" s="73"/>
      <c r="IY2546" s="73"/>
      <c r="IZ2546" s="73"/>
      <c r="JA2546" s="73"/>
      <c r="JB2546" s="73"/>
      <c r="JC2546" s="73"/>
    </row>
    <row r="2547" spans="2:263" s="72" customFormat="1">
      <c r="B2547" s="73"/>
      <c r="C2547" s="73"/>
      <c r="D2547" s="73"/>
      <c r="E2547" s="73"/>
      <c r="F2547" s="73"/>
      <c r="G2547" s="73"/>
      <c r="H2547" s="73"/>
      <c r="I2547" s="73"/>
      <c r="J2547" s="73"/>
      <c r="K2547" s="73"/>
      <c r="L2547" s="73"/>
      <c r="M2547" s="73"/>
      <c r="N2547" s="73"/>
      <c r="O2547" s="73"/>
      <c r="P2547" s="73"/>
      <c r="Q2547" s="73"/>
      <c r="R2547" s="73"/>
      <c r="S2547" s="73"/>
      <c r="T2547" s="73"/>
      <c r="U2547" s="73"/>
      <c r="V2547" s="73"/>
      <c r="W2547" s="73"/>
      <c r="GL2547" s="73"/>
      <c r="GM2547" s="73"/>
      <c r="GN2547" s="73"/>
      <c r="GO2547" s="73"/>
      <c r="GP2547" s="73"/>
      <c r="GQ2547" s="73"/>
      <c r="GR2547" s="73"/>
      <c r="GS2547" s="73"/>
      <c r="GT2547" s="73"/>
      <c r="GU2547" s="73"/>
      <c r="GV2547" s="73"/>
      <c r="GW2547" s="73"/>
      <c r="GX2547" s="73"/>
      <c r="GY2547" s="73"/>
      <c r="GZ2547" s="73"/>
      <c r="HA2547" s="73"/>
      <c r="HB2547" s="73"/>
      <c r="HC2547" s="73"/>
      <c r="HD2547" s="73"/>
      <c r="HE2547" s="73"/>
      <c r="HF2547" s="73"/>
      <c r="HG2547" s="73"/>
      <c r="HH2547" s="73"/>
      <c r="HI2547" s="73"/>
      <c r="HJ2547" s="73"/>
      <c r="HK2547" s="73"/>
      <c r="HL2547" s="73"/>
      <c r="HM2547" s="73"/>
      <c r="HN2547" s="73"/>
      <c r="HO2547" s="73"/>
      <c r="HP2547" s="73"/>
      <c r="HQ2547" s="73"/>
      <c r="HR2547" s="73"/>
      <c r="HS2547" s="73"/>
      <c r="HT2547" s="73"/>
      <c r="HU2547" s="73"/>
      <c r="HV2547" s="73"/>
      <c r="HW2547" s="73"/>
      <c r="HX2547" s="73"/>
      <c r="HY2547" s="73"/>
      <c r="HZ2547" s="73"/>
      <c r="IA2547" s="73"/>
      <c r="IB2547" s="73"/>
      <c r="IC2547" s="73"/>
      <c r="ID2547" s="73"/>
      <c r="IE2547" s="73"/>
      <c r="IF2547" s="73"/>
      <c r="IG2547" s="73"/>
      <c r="IH2547" s="73"/>
      <c r="II2547" s="73"/>
      <c r="IJ2547" s="73"/>
      <c r="IK2547" s="73"/>
      <c r="IL2547" s="73"/>
      <c r="IM2547" s="73"/>
      <c r="IN2547" s="73"/>
      <c r="IO2547" s="73"/>
      <c r="IP2547" s="73"/>
      <c r="IQ2547" s="73"/>
      <c r="IR2547" s="73"/>
      <c r="IS2547" s="73"/>
      <c r="IT2547" s="73"/>
      <c r="IU2547" s="73"/>
      <c r="IV2547" s="73"/>
      <c r="IW2547" s="73"/>
      <c r="IX2547" s="73"/>
      <c r="IY2547" s="73"/>
      <c r="IZ2547" s="73"/>
      <c r="JA2547" s="73"/>
      <c r="JB2547" s="73"/>
      <c r="JC2547" s="73"/>
    </row>
    <row r="2548" spans="2:263" s="72" customFormat="1">
      <c r="B2548" s="73"/>
      <c r="C2548" s="73"/>
      <c r="D2548" s="73"/>
      <c r="E2548" s="73"/>
      <c r="F2548" s="73"/>
      <c r="G2548" s="73"/>
      <c r="H2548" s="73"/>
      <c r="I2548" s="73"/>
      <c r="J2548" s="73"/>
      <c r="K2548" s="73"/>
      <c r="L2548" s="73"/>
      <c r="M2548" s="73"/>
      <c r="N2548" s="73"/>
      <c r="O2548" s="73"/>
      <c r="P2548" s="73"/>
      <c r="Q2548" s="73"/>
      <c r="R2548" s="73"/>
      <c r="S2548" s="73"/>
      <c r="T2548" s="73"/>
      <c r="U2548" s="73"/>
      <c r="V2548" s="73"/>
      <c r="W2548" s="73"/>
      <c r="GL2548" s="73"/>
      <c r="GM2548" s="73"/>
      <c r="GN2548" s="73"/>
      <c r="GO2548" s="73"/>
      <c r="GP2548" s="73"/>
      <c r="GQ2548" s="73"/>
      <c r="GR2548" s="73"/>
      <c r="GS2548" s="73"/>
      <c r="GT2548" s="73"/>
      <c r="GU2548" s="73"/>
      <c r="GV2548" s="73"/>
      <c r="GW2548" s="73"/>
      <c r="GX2548" s="73"/>
      <c r="GY2548" s="73"/>
      <c r="GZ2548" s="73"/>
      <c r="HA2548" s="73"/>
      <c r="HB2548" s="73"/>
      <c r="HC2548" s="73"/>
      <c r="HD2548" s="73"/>
      <c r="HE2548" s="73"/>
      <c r="HF2548" s="73"/>
      <c r="HG2548" s="73"/>
      <c r="HH2548" s="73"/>
      <c r="HI2548" s="73"/>
      <c r="HJ2548" s="73"/>
      <c r="HK2548" s="73"/>
      <c r="HL2548" s="73"/>
      <c r="HM2548" s="73"/>
      <c r="HN2548" s="73"/>
      <c r="HO2548" s="73"/>
      <c r="HP2548" s="73"/>
      <c r="HQ2548" s="73"/>
      <c r="HR2548" s="73"/>
      <c r="HS2548" s="73"/>
      <c r="HT2548" s="73"/>
      <c r="HU2548" s="73"/>
      <c r="HV2548" s="73"/>
      <c r="HW2548" s="73"/>
      <c r="HX2548" s="73"/>
      <c r="HY2548" s="73"/>
      <c r="HZ2548" s="73"/>
      <c r="IA2548" s="73"/>
      <c r="IB2548" s="73"/>
      <c r="IC2548" s="73"/>
      <c r="ID2548" s="73"/>
      <c r="IE2548" s="73"/>
      <c r="IF2548" s="73"/>
      <c r="IG2548" s="73"/>
      <c r="IH2548" s="73"/>
      <c r="II2548" s="73"/>
      <c r="IJ2548" s="73"/>
      <c r="IK2548" s="73"/>
      <c r="IL2548" s="73"/>
      <c r="IM2548" s="73"/>
      <c r="IN2548" s="73"/>
      <c r="IO2548" s="73"/>
      <c r="IP2548" s="73"/>
      <c r="IQ2548" s="73"/>
      <c r="IR2548" s="73"/>
      <c r="IS2548" s="73"/>
      <c r="IT2548" s="73"/>
      <c r="IU2548" s="73"/>
      <c r="IV2548" s="73"/>
      <c r="IW2548" s="73"/>
      <c r="IX2548" s="73"/>
      <c r="IY2548" s="73"/>
      <c r="IZ2548" s="73"/>
      <c r="JA2548" s="73"/>
      <c r="JB2548" s="73"/>
      <c r="JC2548" s="73"/>
    </row>
    <row r="2549" spans="2:263" s="72" customFormat="1">
      <c r="B2549" s="73"/>
      <c r="C2549" s="73"/>
      <c r="D2549" s="73"/>
      <c r="E2549" s="73"/>
      <c r="F2549" s="73"/>
      <c r="G2549" s="73"/>
      <c r="H2549" s="73"/>
      <c r="I2549" s="73"/>
      <c r="J2549" s="73"/>
      <c r="K2549" s="73"/>
      <c r="L2549" s="73"/>
      <c r="M2549" s="73"/>
      <c r="N2549" s="73"/>
      <c r="O2549" s="73"/>
      <c r="P2549" s="73"/>
      <c r="Q2549" s="73"/>
      <c r="R2549" s="73"/>
      <c r="S2549" s="73"/>
      <c r="T2549" s="73"/>
      <c r="U2549" s="73"/>
      <c r="V2549" s="73"/>
      <c r="W2549" s="73"/>
      <c r="GL2549" s="73"/>
      <c r="GM2549" s="73"/>
      <c r="GN2549" s="73"/>
      <c r="GO2549" s="73"/>
      <c r="GP2549" s="73"/>
      <c r="GQ2549" s="73"/>
      <c r="GR2549" s="73"/>
      <c r="GS2549" s="73"/>
      <c r="GT2549" s="73"/>
      <c r="GU2549" s="73"/>
      <c r="GV2549" s="73"/>
      <c r="GW2549" s="73"/>
      <c r="GX2549" s="73"/>
      <c r="GY2549" s="73"/>
      <c r="GZ2549" s="73"/>
      <c r="HA2549" s="73"/>
      <c r="HB2549" s="73"/>
      <c r="HC2549" s="73"/>
      <c r="HD2549" s="73"/>
      <c r="HE2549" s="73"/>
      <c r="HF2549" s="73"/>
      <c r="HG2549" s="73"/>
      <c r="HH2549" s="73"/>
      <c r="HI2549" s="73"/>
      <c r="HJ2549" s="73"/>
      <c r="HK2549" s="73"/>
      <c r="HL2549" s="73"/>
      <c r="HM2549" s="73"/>
      <c r="HN2549" s="73"/>
      <c r="HO2549" s="73"/>
      <c r="HP2549" s="73"/>
      <c r="HQ2549" s="73"/>
      <c r="HR2549" s="73"/>
      <c r="HS2549" s="73"/>
      <c r="HT2549" s="73"/>
      <c r="HU2549" s="73"/>
      <c r="HV2549" s="73"/>
      <c r="HW2549" s="73"/>
      <c r="HX2549" s="73"/>
      <c r="HY2549" s="73"/>
      <c r="HZ2549" s="73"/>
      <c r="IA2549" s="73"/>
      <c r="IB2549" s="73"/>
      <c r="IC2549" s="73"/>
      <c r="ID2549" s="73"/>
      <c r="IE2549" s="73"/>
      <c r="IF2549" s="73"/>
      <c r="IG2549" s="73"/>
      <c r="IH2549" s="73"/>
      <c r="II2549" s="73"/>
      <c r="IJ2549" s="73"/>
      <c r="IK2549" s="73"/>
      <c r="IL2549" s="73"/>
      <c r="IM2549" s="73"/>
      <c r="IN2549" s="73"/>
      <c r="IO2549" s="73"/>
      <c r="IP2549" s="73"/>
      <c r="IQ2549" s="73"/>
      <c r="IR2549" s="73"/>
      <c r="IS2549" s="73"/>
      <c r="IT2549" s="73"/>
      <c r="IU2549" s="73"/>
      <c r="IV2549" s="73"/>
      <c r="IW2549" s="73"/>
      <c r="IX2549" s="73"/>
      <c r="IY2549" s="73"/>
      <c r="IZ2549" s="73"/>
      <c r="JA2549" s="73"/>
      <c r="JB2549" s="73"/>
      <c r="JC2549" s="73"/>
    </row>
    <row r="2550" spans="2:263" s="72" customFormat="1">
      <c r="B2550" s="73"/>
      <c r="C2550" s="73"/>
      <c r="D2550" s="73"/>
      <c r="E2550" s="73"/>
      <c r="F2550" s="73"/>
      <c r="G2550" s="73"/>
      <c r="H2550" s="73"/>
      <c r="I2550" s="73"/>
      <c r="J2550" s="73"/>
      <c r="K2550" s="73"/>
      <c r="L2550" s="73"/>
      <c r="M2550" s="73"/>
      <c r="N2550" s="73"/>
      <c r="O2550" s="73"/>
      <c r="P2550" s="73"/>
      <c r="Q2550" s="73"/>
      <c r="R2550" s="73"/>
      <c r="S2550" s="73"/>
      <c r="T2550" s="73"/>
      <c r="U2550" s="73"/>
      <c r="V2550" s="73"/>
      <c r="W2550" s="73"/>
      <c r="GL2550" s="73"/>
      <c r="GM2550" s="73"/>
      <c r="GN2550" s="73"/>
      <c r="GO2550" s="73"/>
      <c r="GP2550" s="73"/>
      <c r="GQ2550" s="73"/>
      <c r="GR2550" s="73"/>
      <c r="GS2550" s="73"/>
      <c r="GT2550" s="73"/>
      <c r="GU2550" s="73"/>
      <c r="GV2550" s="73"/>
      <c r="GW2550" s="73"/>
      <c r="GX2550" s="73"/>
      <c r="GY2550" s="73"/>
      <c r="GZ2550" s="73"/>
      <c r="HA2550" s="73"/>
      <c r="HB2550" s="73"/>
      <c r="HC2550" s="73"/>
      <c r="HD2550" s="73"/>
      <c r="HE2550" s="73"/>
      <c r="HF2550" s="73"/>
      <c r="HG2550" s="73"/>
      <c r="HH2550" s="73"/>
      <c r="HI2550" s="73"/>
      <c r="HJ2550" s="73"/>
      <c r="HK2550" s="73"/>
      <c r="HL2550" s="73"/>
      <c r="HM2550" s="73"/>
      <c r="HN2550" s="73"/>
      <c r="HO2550" s="73"/>
      <c r="HP2550" s="73"/>
      <c r="HQ2550" s="73"/>
      <c r="HR2550" s="73"/>
      <c r="HS2550" s="73"/>
      <c r="HT2550" s="73"/>
      <c r="HU2550" s="73"/>
      <c r="HV2550" s="73"/>
      <c r="HW2550" s="73"/>
      <c r="HX2550" s="73"/>
      <c r="HY2550" s="73"/>
      <c r="HZ2550" s="73"/>
      <c r="IA2550" s="73"/>
      <c r="IB2550" s="73"/>
      <c r="IC2550" s="73"/>
      <c r="ID2550" s="73"/>
      <c r="IE2550" s="73"/>
      <c r="IF2550" s="73"/>
      <c r="IG2550" s="73"/>
      <c r="IH2550" s="73"/>
      <c r="II2550" s="73"/>
      <c r="IJ2550" s="73"/>
      <c r="IK2550" s="73"/>
      <c r="IL2550" s="73"/>
      <c r="IM2550" s="73"/>
      <c r="IN2550" s="73"/>
      <c r="IO2550" s="73"/>
      <c r="IP2550" s="73"/>
      <c r="IQ2550" s="73"/>
      <c r="IR2550" s="73"/>
      <c r="IS2550" s="73"/>
      <c r="IT2550" s="73"/>
      <c r="IU2550" s="73"/>
      <c r="IV2550" s="73"/>
      <c r="IW2550" s="73"/>
      <c r="IX2550" s="73"/>
      <c r="IY2550" s="73"/>
      <c r="IZ2550" s="73"/>
      <c r="JA2550" s="73"/>
      <c r="JB2550" s="73"/>
      <c r="JC2550" s="73"/>
    </row>
    <row r="2551" spans="2:263" s="72" customFormat="1">
      <c r="B2551" s="73"/>
      <c r="C2551" s="73"/>
      <c r="D2551" s="73"/>
      <c r="E2551" s="73"/>
      <c r="F2551" s="73"/>
      <c r="G2551" s="73"/>
      <c r="H2551" s="73"/>
      <c r="I2551" s="73"/>
      <c r="J2551" s="73"/>
      <c r="K2551" s="73"/>
      <c r="L2551" s="73"/>
      <c r="M2551" s="73"/>
      <c r="N2551" s="73"/>
      <c r="O2551" s="73"/>
      <c r="P2551" s="73"/>
      <c r="Q2551" s="73"/>
      <c r="R2551" s="73"/>
      <c r="S2551" s="73"/>
      <c r="T2551" s="73"/>
      <c r="U2551" s="73"/>
      <c r="V2551" s="73"/>
      <c r="W2551" s="73"/>
      <c r="GL2551" s="73"/>
      <c r="GM2551" s="73"/>
      <c r="GN2551" s="73"/>
      <c r="GO2551" s="73"/>
      <c r="GP2551" s="73"/>
      <c r="GQ2551" s="73"/>
      <c r="GR2551" s="73"/>
      <c r="GS2551" s="73"/>
      <c r="GT2551" s="73"/>
      <c r="GU2551" s="73"/>
      <c r="GV2551" s="73"/>
      <c r="GW2551" s="73"/>
      <c r="GX2551" s="73"/>
      <c r="GY2551" s="73"/>
      <c r="GZ2551" s="73"/>
      <c r="HA2551" s="73"/>
      <c r="HB2551" s="73"/>
      <c r="HC2551" s="73"/>
      <c r="HD2551" s="73"/>
      <c r="HE2551" s="73"/>
      <c r="HF2551" s="73"/>
      <c r="HG2551" s="73"/>
      <c r="HH2551" s="73"/>
      <c r="HI2551" s="73"/>
      <c r="HJ2551" s="73"/>
      <c r="HK2551" s="73"/>
      <c r="HL2551" s="73"/>
      <c r="HM2551" s="73"/>
      <c r="HN2551" s="73"/>
      <c r="HO2551" s="73"/>
      <c r="HP2551" s="73"/>
      <c r="HQ2551" s="73"/>
      <c r="HR2551" s="73"/>
      <c r="HS2551" s="73"/>
      <c r="HT2551" s="73"/>
      <c r="HU2551" s="73"/>
      <c r="HV2551" s="73"/>
      <c r="HW2551" s="73"/>
      <c r="HX2551" s="73"/>
      <c r="HY2551" s="73"/>
      <c r="HZ2551" s="73"/>
      <c r="IA2551" s="73"/>
      <c r="IB2551" s="73"/>
      <c r="IC2551" s="73"/>
      <c r="ID2551" s="73"/>
      <c r="IE2551" s="73"/>
      <c r="IF2551" s="73"/>
      <c r="IG2551" s="73"/>
      <c r="IH2551" s="73"/>
      <c r="II2551" s="73"/>
      <c r="IJ2551" s="73"/>
      <c r="IK2551" s="73"/>
      <c r="IL2551" s="73"/>
      <c r="IM2551" s="73"/>
      <c r="IN2551" s="73"/>
      <c r="IO2551" s="73"/>
      <c r="IP2551" s="73"/>
      <c r="IQ2551" s="73"/>
      <c r="IR2551" s="73"/>
      <c r="IS2551" s="73"/>
      <c r="IT2551" s="73"/>
      <c r="IU2551" s="73"/>
      <c r="IV2551" s="73"/>
      <c r="IW2551" s="73"/>
      <c r="IX2551" s="73"/>
      <c r="IY2551" s="73"/>
      <c r="IZ2551" s="73"/>
      <c r="JA2551" s="73"/>
      <c r="JB2551" s="73"/>
      <c r="JC2551" s="73"/>
    </row>
    <row r="2552" spans="2:263" s="72" customFormat="1">
      <c r="B2552" s="73"/>
      <c r="C2552" s="73"/>
      <c r="D2552" s="73"/>
      <c r="E2552" s="73"/>
      <c r="F2552" s="73"/>
      <c r="G2552" s="73"/>
      <c r="H2552" s="73"/>
      <c r="I2552" s="73"/>
      <c r="J2552" s="73"/>
      <c r="K2552" s="73"/>
      <c r="L2552" s="73"/>
      <c r="M2552" s="73"/>
      <c r="N2552" s="73"/>
      <c r="O2552" s="73"/>
      <c r="P2552" s="73"/>
      <c r="Q2552" s="73"/>
      <c r="R2552" s="73"/>
      <c r="S2552" s="73"/>
      <c r="T2552" s="73"/>
      <c r="U2552" s="73"/>
      <c r="V2552" s="73"/>
      <c r="W2552" s="73"/>
      <c r="GL2552" s="73"/>
      <c r="GM2552" s="73"/>
      <c r="GN2552" s="73"/>
      <c r="GO2552" s="73"/>
      <c r="GP2552" s="73"/>
      <c r="GQ2552" s="73"/>
      <c r="GR2552" s="73"/>
      <c r="GS2552" s="73"/>
      <c r="GT2552" s="73"/>
      <c r="GU2552" s="73"/>
      <c r="GV2552" s="73"/>
      <c r="GW2552" s="73"/>
      <c r="GX2552" s="73"/>
      <c r="GY2552" s="73"/>
      <c r="GZ2552" s="73"/>
      <c r="HA2552" s="73"/>
      <c r="HB2552" s="73"/>
      <c r="HC2552" s="73"/>
      <c r="HD2552" s="73"/>
      <c r="HE2552" s="73"/>
      <c r="HF2552" s="73"/>
      <c r="HG2552" s="73"/>
      <c r="HH2552" s="73"/>
      <c r="HI2552" s="73"/>
      <c r="HJ2552" s="73"/>
      <c r="HK2552" s="73"/>
      <c r="HL2552" s="73"/>
      <c r="HM2552" s="73"/>
      <c r="HN2552" s="73"/>
      <c r="HO2552" s="73"/>
      <c r="HP2552" s="73"/>
      <c r="HQ2552" s="73"/>
      <c r="HR2552" s="73"/>
      <c r="HS2552" s="73"/>
      <c r="HT2552" s="73"/>
      <c r="HU2552" s="73"/>
      <c r="HV2552" s="73"/>
      <c r="HW2552" s="73"/>
      <c r="HX2552" s="73"/>
      <c r="HY2552" s="73"/>
      <c r="HZ2552" s="73"/>
      <c r="IA2552" s="73"/>
      <c r="IB2552" s="73"/>
      <c r="IC2552" s="73"/>
      <c r="ID2552" s="73"/>
      <c r="IE2552" s="73"/>
      <c r="IF2552" s="73"/>
      <c r="IG2552" s="73"/>
      <c r="IH2552" s="73"/>
      <c r="II2552" s="73"/>
      <c r="IJ2552" s="73"/>
      <c r="IK2552" s="73"/>
      <c r="IL2552" s="73"/>
      <c r="IM2552" s="73"/>
      <c r="IN2552" s="73"/>
      <c r="IO2552" s="73"/>
      <c r="IP2552" s="73"/>
      <c r="IQ2552" s="73"/>
      <c r="IR2552" s="73"/>
      <c r="IS2552" s="73"/>
      <c r="IT2552" s="73"/>
      <c r="IU2552" s="73"/>
      <c r="IV2552" s="73"/>
      <c r="IW2552" s="73"/>
      <c r="IX2552" s="73"/>
      <c r="IY2552" s="73"/>
      <c r="IZ2552" s="73"/>
      <c r="JA2552" s="73"/>
      <c r="JB2552" s="73"/>
      <c r="JC2552" s="73"/>
    </row>
    <row r="2553" spans="2:263" s="72" customFormat="1">
      <c r="B2553" s="73"/>
      <c r="C2553" s="73"/>
      <c r="D2553" s="73"/>
      <c r="E2553" s="73"/>
      <c r="F2553" s="73"/>
      <c r="G2553" s="73"/>
      <c r="H2553" s="73"/>
      <c r="I2553" s="73"/>
      <c r="J2553" s="73"/>
      <c r="K2553" s="73"/>
      <c r="L2553" s="73"/>
      <c r="M2553" s="73"/>
      <c r="N2553" s="73"/>
      <c r="O2553" s="73"/>
      <c r="P2553" s="73"/>
      <c r="Q2553" s="73"/>
      <c r="R2553" s="73"/>
      <c r="S2553" s="73"/>
      <c r="T2553" s="73"/>
      <c r="U2553" s="73"/>
      <c r="V2553" s="73"/>
      <c r="W2553" s="73"/>
      <c r="GL2553" s="73"/>
      <c r="GM2553" s="73"/>
      <c r="GN2553" s="73"/>
      <c r="GO2553" s="73"/>
      <c r="GP2553" s="73"/>
      <c r="GQ2553" s="73"/>
      <c r="GR2553" s="73"/>
      <c r="GS2553" s="73"/>
      <c r="GT2553" s="73"/>
      <c r="GU2553" s="73"/>
      <c r="GV2553" s="73"/>
      <c r="GW2553" s="73"/>
      <c r="GX2553" s="73"/>
      <c r="GY2553" s="73"/>
      <c r="GZ2553" s="73"/>
      <c r="HA2553" s="73"/>
      <c r="HB2553" s="73"/>
      <c r="HC2553" s="73"/>
      <c r="HD2553" s="73"/>
      <c r="HE2553" s="73"/>
      <c r="HF2553" s="73"/>
      <c r="HG2553" s="73"/>
      <c r="HH2553" s="73"/>
      <c r="HI2553" s="73"/>
      <c r="HJ2553" s="73"/>
      <c r="HK2553" s="73"/>
      <c r="HL2553" s="73"/>
      <c r="HM2553" s="73"/>
      <c r="HN2553" s="73"/>
      <c r="HO2553" s="73"/>
      <c r="HP2553" s="73"/>
      <c r="HQ2553" s="73"/>
      <c r="HR2553" s="73"/>
      <c r="HS2553" s="73"/>
      <c r="HT2553" s="73"/>
      <c r="HU2553" s="73"/>
      <c r="HV2553" s="73"/>
      <c r="HW2553" s="73"/>
      <c r="HX2553" s="73"/>
      <c r="HY2553" s="73"/>
      <c r="HZ2553" s="73"/>
      <c r="IA2553" s="73"/>
      <c r="IB2553" s="73"/>
      <c r="IC2553" s="73"/>
      <c r="ID2553" s="73"/>
      <c r="IE2553" s="73"/>
      <c r="IF2553" s="73"/>
      <c r="IG2553" s="73"/>
      <c r="IH2553" s="73"/>
      <c r="II2553" s="73"/>
      <c r="IJ2553" s="73"/>
      <c r="IK2553" s="73"/>
      <c r="IL2553" s="73"/>
      <c r="IM2553" s="73"/>
      <c r="IN2553" s="73"/>
      <c r="IO2553" s="73"/>
      <c r="IP2553" s="73"/>
      <c r="IQ2553" s="73"/>
      <c r="IR2553" s="73"/>
      <c r="IS2553" s="73"/>
      <c r="IT2553" s="73"/>
      <c r="IU2553" s="73"/>
      <c r="IV2553" s="73"/>
      <c r="IW2553" s="73"/>
      <c r="IX2553" s="73"/>
      <c r="IY2553" s="73"/>
      <c r="IZ2553" s="73"/>
      <c r="JA2553" s="73"/>
      <c r="JB2553" s="73"/>
      <c r="JC2553" s="73"/>
    </row>
    <row r="2554" spans="2:263" s="72" customFormat="1">
      <c r="B2554" s="73"/>
      <c r="C2554" s="73"/>
      <c r="D2554" s="73"/>
      <c r="E2554" s="73"/>
      <c r="F2554" s="73"/>
      <c r="G2554" s="73"/>
      <c r="H2554" s="73"/>
      <c r="I2554" s="73"/>
      <c r="J2554" s="73"/>
      <c r="K2554" s="73"/>
      <c r="L2554" s="73"/>
      <c r="M2554" s="73"/>
      <c r="N2554" s="73"/>
      <c r="O2554" s="73"/>
      <c r="P2554" s="73"/>
      <c r="Q2554" s="73"/>
      <c r="R2554" s="73"/>
      <c r="S2554" s="73"/>
      <c r="T2554" s="73"/>
      <c r="U2554" s="73"/>
      <c r="V2554" s="73"/>
      <c r="W2554" s="73"/>
      <c r="GL2554" s="73"/>
      <c r="GM2554" s="73"/>
      <c r="GN2554" s="73"/>
      <c r="GO2554" s="73"/>
      <c r="GP2554" s="73"/>
      <c r="GQ2554" s="73"/>
      <c r="GR2554" s="73"/>
      <c r="GS2554" s="73"/>
      <c r="GT2554" s="73"/>
      <c r="GU2554" s="73"/>
      <c r="GV2554" s="73"/>
      <c r="GW2554" s="73"/>
      <c r="GX2554" s="73"/>
      <c r="GY2554" s="73"/>
      <c r="GZ2554" s="73"/>
      <c r="HA2554" s="73"/>
      <c r="HB2554" s="73"/>
      <c r="HC2554" s="73"/>
      <c r="HD2554" s="73"/>
      <c r="HE2554" s="73"/>
      <c r="HF2554" s="73"/>
      <c r="HG2554" s="73"/>
      <c r="HH2554" s="73"/>
      <c r="HI2554" s="73"/>
      <c r="HJ2554" s="73"/>
      <c r="HK2554" s="73"/>
      <c r="HL2554" s="73"/>
      <c r="HM2554" s="73"/>
      <c r="HN2554" s="73"/>
      <c r="HO2554" s="73"/>
      <c r="HP2554" s="73"/>
      <c r="HQ2554" s="73"/>
      <c r="HR2554" s="73"/>
      <c r="HS2554" s="73"/>
      <c r="HT2554" s="73"/>
      <c r="HU2554" s="73"/>
      <c r="HV2554" s="73"/>
      <c r="HW2554" s="73"/>
      <c r="HX2554" s="73"/>
      <c r="HY2554" s="73"/>
      <c r="HZ2554" s="73"/>
      <c r="IA2554" s="73"/>
      <c r="IB2554" s="73"/>
      <c r="IC2554" s="73"/>
      <c r="ID2554" s="73"/>
      <c r="IE2554" s="73"/>
      <c r="IF2554" s="73"/>
      <c r="IG2554" s="73"/>
      <c r="IH2554" s="73"/>
      <c r="II2554" s="73"/>
      <c r="IJ2554" s="73"/>
      <c r="IK2554" s="73"/>
      <c r="IL2554" s="73"/>
      <c r="IM2554" s="73"/>
      <c r="IN2554" s="73"/>
      <c r="IO2554" s="73"/>
      <c r="IP2554" s="73"/>
      <c r="IQ2554" s="73"/>
      <c r="IR2554" s="73"/>
      <c r="IS2554" s="73"/>
      <c r="IT2554" s="73"/>
      <c r="IU2554" s="73"/>
      <c r="IV2554" s="73"/>
      <c r="IW2554" s="73"/>
      <c r="IX2554" s="73"/>
      <c r="IY2554" s="73"/>
      <c r="IZ2554" s="73"/>
      <c r="JA2554" s="73"/>
      <c r="JB2554" s="73"/>
      <c r="JC2554" s="73"/>
    </row>
    <row r="2555" spans="2:263" s="72" customFormat="1">
      <c r="B2555" s="73"/>
      <c r="C2555" s="73"/>
      <c r="D2555" s="73"/>
      <c r="E2555" s="73"/>
      <c r="F2555" s="73"/>
      <c r="G2555" s="73"/>
      <c r="H2555" s="73"/>
      <c r="I2555" s="73"/>
      <c r="J2555" s="73"/>
      <c r="K2555" s="73"/>
      <c r="L2555" s="73"/>
      <c r="M2555" s="73"/>
      <c r="N2555" s="73"/>
      <c r="O2555" s="73"/>
      <c r="P2555" s="73"/>
      <c r="Q2555" s="73"/>
      <c r="R2555" s="73"/>
      <c r="S2555" s="73"/>
      <c r="T2555" s="73"/>
      <c r="U2555" s="73"/>
      <c r="V2555" s="73"/>
      <c r="W2555" s="73"/>
      <c r="GL2555" s="73"/>
      <c r="GM2555" s="73"/>
      <c r="GN2555" s="73"/>
      <c r="GO2555" s="73"/>
      <c r="GP2555" s="73"/>
      <c r="GQ2555" s="73"/>
      <c r="GR2555" s="73"/>
      <c r="GS2555" s="73"/>
      <c r="GT2555" s="73"/>
      <c r="GU2555" s="73"/>
      <c r="GV2555" s="73"/>
      <c r="GW2555" s="73"/>
      <c r="GX2555" s="73"/>
      <c r="GY2555" s="73"/>
      <c r="GZ2555" s="73"/>
      <c r="HA2555" s="73"/>
      <c r="HB2555" s="73"/>
      <c r="HC2555" s="73"/>
      <c r="HD2555" s="73"/>
      <c r="HE2555" s="73"/>
      <c r="HF2555" s="73"/>
      <c r="HG2555" s="73"/>
      <c r="HH2555" s="73"/>
      <c r="HI2555" s="73"/>
      <c r="HJ2555" s="73"/>
      <c r="HK2555" s="73"/>
      <c r="HL2555" s="73"/>
      <c r="HM2555" s="73"/>
      <c r="HN2555" s="73"/>
      <c r="HO2555" s="73"/>
      <c r="HP2555" s="73"/>
      <c r="HQ2555" s="73"/>
      <c r="HR2555" s="73"/>
      <c r="HS2555" s="73"/>
      <c r="HT2555" s="73"/>
      <c r="HU2555" s="73"/>
      <c r="HV2555" s="73"/>
      <c r="HW2555" s="73"/>
      <c r="HX2555" s="73"/>
      <c r="HY2555" s="73"/>
      <c r="HZ2555" s="73"/>
      <c r="IA2555" s="73"/>
      <c r="IB2555" s="73"/>
      <c r="IC2555" s="73"/>
      <c r="ID2555" s="73"/>
      <c r="IE2555" s="73"/>
      <c r="IF2555" s="73"/>
      <c r="IG2555" s="73"/>
      <c r="IH2555" s="73"/>
      <c r="II2555" s="73"/>
      <c r="IJ2555" s="73"/>
      <c r="IK2555" s="73"/>
      <c r="IL2555" s="73"/>
      <c r="IM2555" s="73"/>
      <c r="IN2555" s="73"/>
      <c r="IO2555" s="73"/>
      <c r="IP2555" s="73"/>
      <c r="IQ2555" s="73"/>
      <c r="IR2555" s="73"/>
      <c r="IS2555" s="73"/>
      <c r="IT2555" s="73"/>
      <c r="IU2555" s="73"/>
      <c r="IV2555" s="73"/>
      <c r="IW2555" s="73"/>
      <c r="IX2555" s="73"/>
      <c r="IY2555" s="73"/>
      <c r="IZ2555" s="73"/>
      <c r="JA2555" s="73"/>
      <c r="JB2555" s="73"/>
      <c r="JC2555" s="73"/>
    </row>
    <row r="2556" spans="2:263" s="72" customFormat="1">
      <c r="B2556" s="73"/>
      <c r="C2556" s="73"/>
      <c r="D2556" s="73"/>
      <c r="E2556" s="73"/>
      <c r="F2556" s="73"/>
      <c r="G2556" s="73"/>
      <c r="H2556" s="73"/>
      <c r="I2556" s="73"/>
      <c r="J2556" s="73"/>
      <c r="K2556" s="73"/>
      <c r="L2556" s="73"/>
      <c r="M2556" s="73"/>
      <c r="N2556" s="73"/>
      <c r="O2556" s="73"/>
      <c r="P2556" s="73"/>
      <c r="Q2556" s="73"/>
      <c r="R2556" s="73"/>
      <c r="S2556" s="73"/>
      <c r="T2556" s="73"/>
      <c r="U2556" s="73"/>
      <c r="V2556" s="73"/>
      <c r="W2556" s="73"/>
      <c r="GL2556" s="73"/>
      <c r="GM2556" s="73"/>
      <c r="GN2556" s="73"/>
      <c r="GO2556" s="73"/>
      <c r="GP2556" s="73"/>
      <c r="GQ2556" s="73"/>
      <c r="GR2556" s="73"/>
      <c r="GS2556" s="73"/>
      <c r="GT2556" s="73"/>
      <c r="GU2556" s="73"/>
      <c r="GV2556" s="73"/>
      <c r="GW2556" s="73"/>
      <c r="GX2556" s="73"/>
      <c r="GY2556" s="73"/>
      <c r="GZ2556" s="73"/>
      <c r="HA2556" s="73"/>
      <c r="HB2556" s="73"/>
      <c r="HC2556" s="73"/>
      <c r="HD2556" s="73"/>
      <c r="HE2556" s="73"/>
      <c r="HF2556" s="73"/>
      <c r="HG2556" s="73"/>
      <c r="HH2556" s="73"/>
      <c r="HI2556" s="73"/>
      <c r="HJ2556" s="73"/>
      <c r="HK2556" s="73"/>
      <c r="HL2556" s="73"/>
      <c r="HM2556" s="73"/>
      <c r="HN2556" s="73"/>
      <c r="HO2556" s="73"/>
      <c r="HP2556" s="73"/>
      <c r="HQ2556" s="73"/>
      <c r="HR2556" s="73"/>
      <c r="HS2556" s="73"/>
      <c r="HT2556" s="73"/>
      <c r="HU2556" s="73"/>
      <c r="HV2556" s="73"/>
      <c r="HW2556" s="73"/>
      <c r="HX2556" s="73"/>
      <c r="HY2556" s="73"/>
      <c r="HZ2556" s="73"/>
      <c r="IA2556" s="73"/>
      <c r="IB2556" s="73"/>
      <c r="IC2556" s="73"/>
      <c r="ID2556" s="73"/>
      <c r="IE2556" s="73"/>
      <c r="IF2556" s="73"/>
      <c r="IG2556" s="73"/>
      <c r="IH2556" s="73"/>
      <c r="II2556" s="73"/>
      <c r="IJ2556" s="73"/>
      <c r="IK2556" s="73"/>
      <c r="IL2556" s="73"/>
      <c r="IM2556" s="73"/>
      <c r="IN2556" s="73"/>
      <c r="IO2556" s="73"/>
      <c r="IP2556" s="73"/>
      <c r="IQ2556" s="73"/>
      <c r="IR2556" s="73"/>
      <c r="IS2556" s="73"/>
      <c r="IT2556" s="73"/>
      <c r="IU2556" s="73"/>
      <c r="IV2556" s="73"/>
      <c r="IW2556" s="73"/>
      <c r="IX2556" s="73"/>
      <c r="IY2556" s="73"/>
      <c r="IZ2556" s="73"/>
      <c r="JA2556" s="73"/>
      <c r="JB2556" s="73"/>
      <c r="JC2556" s="73"/>
    </row>
    <row r="2557" spans="2:263" s="72" customFormat="1">
      <c r="B2557" s="73"/>
      <c r="C2557" s="73"/>
      <c r="D2557" s="73"/>
      <c r="E2557" s="73"/>
      <c r="F2557" s="73"/>
      <c r="G2557" s="73"/>
      <c r="H2557" s="73"/>
      <c r="I2557" s="73"/>
      <c r="J2557" s="73"/>
      <c r="K2557" s="73"/>
      <c r="L2557" s="73"/>
      <c r="M2557" s="73"/>
      <c r="N2557" s="73"/>
      <c r="O2557" s="73"/>
      <c r="P2557" s="73"/>
      <c r="Q2557" s="73"/>
      <c r="R2557" s="73"/>
      <c r="S2557" s="73"/>
      <c r="T2557" s="73"/>
      <c r="U2557" s="73"/>
      <c r="V2557" s="73"/>
      <c r="W2557" s="73"/>
      <c r="GL2557" s="73"/>
      <c r="GM2557" s="73"/>
      <c r="GN2557" s="73"/>
      <c r="GO2557" s="73"/>
      <c r="GP2557" s="73"/>
      <c r="GQ2557" s="73"/>
      <c r="GR2557" s="73"/>
      <c r="GS2557" s="73"/>
      <c r="GT2557" s="73"/>
      <c r="GU2557" s="73"/>
      <c r="GV2557" s="73"/>
      <c r="GW2557" s="73"/>
      <c r="GX2557" s="73"/>
      <c r="GY2557" s="73"/>
      <c r="GZ2557" s="73"/>
      <c r="HA2557" s="73"/>
      <c r="HB2557" s="73"/>
      <c r="HC2557" s="73"/>
      <c r="HD2557" s="73"/>
      <c r="HE2557" s="73"/>
      <c r="HF2557" s="73"/>
      <c r="HG2557" s="73"/>
      <c r="HH2557" s="73"/>
      <c r="HI2557" s="73"/>
      <c r="HJ2557" s="73"/>
      <c r="HK2557" s="73"/>
      <c r="HL2557" s="73"/>
      <c r="HM2557" s="73"/>
      <c r="HN2557" s="73"/>
      <c r="HO2557" s="73"/>
      <c r="HP2557" s="73"/>
      <c r="HQ2557" s="73"/>
      <c r="HR2557" s="73"/>
      <c r="HS2557" s="73"/>
      <c r="HT2557" s="73"/>
      <c r="HU2557" s="73"/>
      <c r="HV2557" s="73"/>
      <c r="HW2557" s="73"/>
      <c r="HX2557" s="73"/>
      <c r="HY2557" s="73"/>
      <c r="HZ2557" s="73"/>
      <c r="IA2557" s="73"/>
      <c r="IB2557" s="73"/>
      <c r="IC2557" s="73"/>
      <c r="ID2557" s="73"/>
      <c r="IE2557" s="73"/>
      <c r="IF2557" s="73"/>
      <c r="IG2557" s="73"/>
      <c r="IH2557" s="73"/>
      <c r="II2557" s="73"/>
      <c r="IJ2557" s="73"/>
      <c r="IK2557" s="73"/>
      <c r="IL2557" s="73"/>
      <c r="IM2557" s="73"/>
      <c r="IN2557" s="73"/>
      <c r="IO2557" s="73"/>
      <c r="IP2557" s="73"/>
      <c r="IQ2557" s="73"/>
      <c r="IR2557" s="73"/>
      <c r="IS2557" s="73"/>
      <c r="IT2557" s="73"/>
      <c r="IU2557" s="73"/>
      <c r="IV2557" s="73"/>
      <c r="IW2557" s="73"/>
      <c r="IX2557" s="73"/>
      <c r="IY2557" s="73"/>
      <c r="IZ2557" s="73"/>
      <c r="JA2557" s="73"/>
      <c r="JB2557" s="73"/>
      <c r="JC2557" s="73"/>
    </row>
    <row r="2558" spans="2:263" s="72" customFormat="1">
      <c r="B2558" s="73"/>
      <c r="C2558" s="73"/>
      <c r="D2558" s="73"/>
      <c r="E2558" s="73"/>
      <c r="F2558" s="73"/>
      <c r="G2558" s="73"/>
      <c r="H2558" s="73"/>
      <c r="I2558" s="73"/>
      <c r="J2558" s="73"/>
      <c r="K2558" s="73"/>
      <c r="L2558" s="73"/>
      <c r="M2558" s="73"/>
      <c r="N2558" s="73"/>
      <c r="O2558" s="73"/>
      <c r="P2558" s="73"/>
      <c r="Q2558" s="73"/>
      <c r="R2558" s="73"/>
      <c r="S2558" s="73"/>
      <c r="T2558" s="73"/>
      <c r="U2558" s="73"/>
      <c r="V2558" s="73"/>
      <c r="W2558" s="73"/>
      <c r="GL2558" s="73"/>
      <c r="GM2558" s="73"/>
      <c r="GN2558" s="73"/>
      <c r="GO2558" s="73"/>
      <c r="GP2558" s="73"/>
      <c r="GQ2558" s="73"/>
      <c r="GR2558" s="73"/>
      <c r="GS2558" s="73"/>
      <c r="GT2558" s="73"/>
      <c r="GU2558" s="73"/>
      <c r="GV2558" s="73"/>
      <c r="GW2558" s="73"/>
      <c r="GX2558" s="73"/>
      <c r="GY2558" s="73"/>
      <c r="GZ2558" s="73"/>
      <c r="HA2558" s="73"/>
      <c r="HB2558" s="73"/>
      <c r="HC2558" s="73"/>
      <c r="HD2558" s="73"/>
      <c r="HE2558" s="73"/>
      <c r="HF2558" s="73"/>
      <c r="HG2558" s="73"/>
      <c r="HH2558" s="73"/>
      <c r="HI2558" s="73"/>
      <c r="HJ2558" s="73"/>
      <c r="HK2558" s="73"/>
      <c r="HL2558" s="73"/>
      <c r="HM2558" s="73"/>
      <c r="HN2558" s="73"/>
      <c r="HO2558" s="73"/>
      <c r="HP2558" s="73"/>
      <c r="HQ2558" s="73"/>
      <c r="HR2558" s="73"/>
      <c r="HS2558" s="73"/>
      <c r="HT2558" s="73"/>
      <c r="HU2558" s="73"/>
      <c r="HV2558" s="73"/>
      <c r="HW2558" s="73"/>
      <c r="HX2558" s="73"/>
      <c r="HY2558" s="73"/>
      <c r="HZ2558" s="73"/>
      <c r="IA2558" s="73"/>
      <c r="IB2558" s="73"/>
      <c r="IC2558" s="73"/>
      <c r="ID2558" s="73"/>
      <c r="IE2558" s="73"/>
      <c r="IF2558" s="73"/>
      <c r="IG2558" s="73"/>
      <c r="IH2558" s="73"/>
      <c r="II2558" s="73"/>
      <c r="IJ2558" s="73"/>
      <c r="IK2558" s="73"/>
      <c r="IL2558" s="73"/>
      <c r="IM2558" s="73"/>
      <c r="IN2558" s="73"/>
      <c r="IO2558" s="73"/>
      <c r="IP2558" s="73"/>
      <c r="IQ2558" s="73"/>
      <c r="IR2558" s="73"/>
      <c r="IS2558" s="73"/>
      <c r="IT2558" s="73"/>
      <c r="IU2558" s="73"/>
      <c r="IV2558" s="73"/>
      <c r="IW2558" s="73"/>
      <c r="IX2558" s="73"/>
      <c r="IY2558" s="73"/>
      <c r="IZ2558" s="73"/>
      <c r="JA2558" s="73"/>
      <c r="JB2558" s="73"/>
      <c r="JC2558" s="73"/>
    </row>
    <row r="2559" spans="2:263" s="72" customFormat="1">
      <c r="B2559" s="73"/>
      <c r="C2559" s="73"/>
      <c r="D2559" s="73"/>
      <c r="E2559" s="73"/>
      <c r="F2559" s="73"/>
      <c r="G2559" s="73"/>
      <c r="H2559" s="73"/>
      <c r="I2559" s="73"/>
      <c r="J2559" s="73"/>
      <c r="K2559" s="73"/>
      <c r="L2559" s="73"/>
      <c r="M2559" s="73"/>
      <c r="N2559" s="73"/>
      <c r="O2559" s="73"/>
      <c r="P2559" s="73"/>
      <c r="Q2559" s="73"/>
      <c r="R2559" s="73"/>
      <c r="S2559" s="73"/>
      <c r="T2559" s="73"/>
      <c r="U2559" s="73"/>
      <c r="V2559" s="73"/>
      <c r="W2559" s="73"/>
      <c r="GL2559" s="73"/>
      <c r="GM2559" s="73"/>
      <c r="GN2559" s="73"/>
      <c r="GO2559" s="73"/>
      <c r="GP2559" s="73"/>
      <c r="GQ2559" s="73"/>
      <c r="GR2559" s="73"/>
      <c r="GS2559" s="73"/>
      <c r="GT2559" s="73"/>
      <c r="GU2559" s="73"/>
      <c r="GV2559" s="73"/>
      <c r="GW2559" s="73"/>
      <c r="GX2559" s="73"/>
      <c r="GY2559" s="73"/>
      <c r="GZ2559" s="73"/>
      <c r="HA2559" s="73"/>
      <c r="HB2559" s="73"/>
      <c r="HC2559" s="73"/>
      <c r="HD2559" s="73"/>
      <c r="HE2559" s="73"/>
      <c r="HF2559" s="73"/>
      <c r="HG2559" s="73"/>
      <c r="HH2559" s="73"/>
      <c r="HI2559" s="73"/>
      <c r="HJ2559" s="73"/>
      <c r="HK2559" s="73"/>
      <c r="HL2559" s="73"/>
      <c r="HM2559" s="73"/>
      <c r="HN2559" s="73"/>
      <c r="HO2559" s="73"/>
      <c r="HP2559" s="73"/>
      <c r="HQ2559" s="73"/>
      <c r="HR2559" s="73"/>
      <c r="HS2559" s="73"/>
      <c r="HT2559" s="73"/>
      <c r="HU2559" s="73"/>
      <c r="HV2559" s="73"/>
      <c r="HW2559" s="73"/>
      <c r="HX2559" s="73"/>
      <c r="HY2559" s="73"/>
      <c r="HZ2559" s="73"/>
      <c r="IA2559" s="73"/>
      <c r="IB2559" s="73"/>
      <c r="IC2559" s="73"/>
      <c r="ID2559" s="73"/>
      <c r="IE2559" s="73"/>
      <c r="IF2559" s="73"/>
      <c r="IG2559" s="73"/>
      <c r="IH2559" s="73"/>
      <c r="II2559" s="73"/>
      <c r="IJ2559" s="73"/>
      <c r="IK2559" s="73"/>
      <c r="IL2559" s="73"/>
      <c r="IM2559" s="73"/>
      <c r="IN2559" s="73"/>
      <c r="IO2559" s="73"/>
      <c r="IP2559" s="73"/>
      <c r="IQ2559" s="73"/>
      <c r="IR2559" s="73"/>
      <c r="IS2559" s="73"/>
      <c r="IT2559" s="73"/>
      <c r="IU2559" s="73"/>
      <c r="IV2559" s="73"/>
      <c r="IW2559" s="73"/>
      <c r="IX2559" s="73"/>
      <c r="IY2559" s="73"/>
      <c r="IZ2559" s="73"/>
      <c r="JA2559" s="73"/>
      <c r="JB2559" s="73"/>
      <c r="JC2559" s="73"/>
    </row>
    <row r="2560" spans="2:263" s="72" customFormat="1">
      <c r="B2560" s="73"/>
      <c r="C2560" s="73"/>
      <c r="D2560" s="73"/>
      <c r="E2560" s="73"/>
      <c r="F2560" s="73"/>
      <c r="G2560" s="73"/>
      <c r="H2560" s="73"/>
      <c r="I2560" s="73"/>
      <c r="J2560" s="73"/>
      <c r="K2560" s="73"/>
      <c r="L2560" s="73"/>
      <c r="M2560" s="73"/>
      <c r="N2560" s="73"/>
      <c r="O2560" s="73"/>
      <c r="P2560" s="73"/>
      <c r="Q2560" s="73"/>
      <c r="R2560" s="73"/>
      <c r="S2560" s="73"/>
      <c r="T2560" s="73"/>
      <c r="U2560" s="73"/>
      <c r="V2560" s="73"/>
      <c r="W2560" s="73"/>
      <c r="GL2560" s="73"/>
      <c r="GM2560" s="73"/>
      <c r="GN2560" s="73"/>
      <c r="GO2560" s="73"/>
      <c r="GP2560" s="73"/>
      <c r="GQ2560" s="73"/>
      <c r="GR2560" s="73"/>
      <c r="GS2560" s="73"/>
      <c r="GT2560" s="73"/>
      <c r="GU2560" s="73"/>
      <c r="GV2560" s="73"/>
      <c r="GW2560" s="73"/>
      <c r="GX2560" s="73"/>
      <c r="GY2560" s="73"/>
      <c r="GZ2560" s="73"/>
      <c r="HA2560" s="73"/>
      <c r="HB2560" s="73"/>
      <c r="HC2560" s="73"/>
      <c r="HD2560" s="73"/>
      <c r="HE2560" s="73"/>
      <c r="HF2560" s="73"/>
      <c r="HG2560" s="73"/>
      <c r="HH2560" s="73"/>
      <c r="HI2560" s="73"/>
      <c r="HJ2560" s="73"/>
      <c r="HK2560" s="73"/>
      <c r="HL2560" s="73"/>
      <c r="HM2560" s="73"/>
      <c r="HN2560" s="73"/>
      <c r="HO2560" s="73"/>
      <c r="HP2560" s="73"/>
      <c r="HQ2560" s="73"/>
      <c r="HR2560" s="73"/>
      <c r="HS2560" s="73"/>
      <c r="HT2560" s="73"/>
      <c r="HU2560" s="73"/>
      <c r="HV2560" s="73"/>
      <c r="HW2560" s="73"/>
      <c r="HX2560" s="73"/>
      <c r="HY2560" s="73"/>
      <c r="HZ2560" s="73"/>
      <c r="IA2560" s="73"/>
      <c r="IB2560" s="73"/>
      <c r="IC2560" s="73"/>
      <c r="ID2560" s="73"/>
      <c r="IE2560" s="73"/>
      <c r="IF2560" s="73"/>
      <c r="IG2560" s="73"/>
      <c r="IH2560" s="73"/>
      <c r="II2560" s="73"/>
      <c r="IJ2560" s="73"/>
      <c r="IK2560" s="73"/>
      <c r="IL2560" s="73"/>
      <c r="IM2560" s="73"/>
      <c r="IN2560" s="73"/>
      <c r="IO2560" s="73"/>
      <c r="IP2560" s="73"/>
      <c r="IQ2560" s="73"/>
      <c r="IR2560" s="73"/>
      <c r="IS2560" s="73"/>
      <c r="IT2560" s="73"/>
      <c r="IU2560" s="73"/>
      <c r="IV2560" s="73"/>
      <c r="IW2560" s="73"/>
      <c r="IX2560" s="73"/>
      <c r="IY2560" s="73"/>
      <c r="IZ2560" s="73"/>
      <c r="JA2560" s="73"/>
      <c r="JB2560" s="73"/>
      <c r="JC2560" s="73"/>
    </row>
    <row r="2561" spans="2:263" s="72" customFormat="1">
      <c r="B2561" s="73"/>
      <c r="C2561" s="73"/>
      <c r="D2561" s="73"/>
      <c r="E2561" s="73"/>
      <c r="F2561" s="73"/>
      <c r="G2561" s="73"/>
      <c r="H2561" s="73"/>
      <c r="I2561" s="73"/>
      <c r="J2561" s="73"/>
      <c r="K2561" s="73"/>
      <c r="L2561" s="73"/>
      <c r="M2561" s="73"/>
      <c r="N2561" s="73"/>
      <c r="O2561" s="73"/>
      <c r="P2561" s="73"/>
      <c r="Q2561" s="73"/>
      <c r="R2561" s="73"/>
      <c r="S2561" s="73"/>
      <c r="T2561" s="73"/>
      <c r="U2561" s="73"/>
      <c r="V2561" s="73"/>
      <c r="W2561" s="73"/>
      <c r="GL2561" s="73"/>
      <c r="GM2561" s="73"/>
      <c r="GN2561" s="73"/>
      <c r="GO2561" s="73"/>
      <c r="GP2561" s="73"/>
      <c r="GQ2561" s="73"/>
      <c r="GR2561" s="73"/>
      <c r="GS2561" s="73"/>
      <c r="GT2561" s="73"/>
      <c r="GU2561" s="73"/>
      <c r="GV2561" s="73"/>
      <c r="GW2561" s="73"/>
      <c r="GX2561" s="73"/>
      <c r="GY2561" s="73"/>
      <c r="GZ2561" s="73"/>
      <c r="HA2561" s="73"/>
      <c r="HB2561" s="73"/>
      <c r="HC2561" s="73"/>
      <c r="HD2561" s="73"/>
      <c r="HE2561" s="73"/>
      <c r="HF2561" s="73"/>
      <c r="HG2561" s="73"/>
      <c r="HH2561" s="73"/>
      <c r="HI2561" s="73"/>
      <c r="HJ2561" s="73"/>
      <c r="HK2561" s="73"/>
      <c r="HL2561" s="73"/>
      <c r="HM2561" s="73"/>
      <c r="HN2561" s="73"/>
      <c r="HO2561" s="73"/>
      <c r="HP2561" s="73"/>
      <c r="HQ2561" s="73"/>
      <c r="HR2561" s="73"/>
      <c r="HS2561" s="73"/>
      <c r="HT2561" s="73"/>
      <c r="HU2561" s="73"/>
      <c r="HV2561" s="73"/>
      <c r="HW2561" s="73"/>
      <c r="HX2561" s="73"/>
      <c r="HY2561" s="73"/>
      <c r="HZ2561" s="73"/>
      <c r="IA2561" s="73"/>
      <c r="IB2561" s="73"/>
      <c r="IC2561" s="73"/>
      <c r="ID2561" s="73"/>
      <c r="IE2561" s="73"/>
      <c r="IF2561" s="73"/>
      <c r="IG2561" s="73"/>
      <c r="IH2561" s="73"/>
      <c r="II2561" s="73"/>
      <c r="IJ2561" s="73"/>
      <c r="IK2561" s="73"/>
      <c r="IL2561" s="73"/>
      <c r="IM2561" s="73"/>
      <c r="IN2561" s="73"/>
      <c r="IO2561" s="73"/>
      <c r="IP2561" s="73"/>
      <c r="IQ2561" s="73"/>
      <c r="IR2561" s="73"/>
      <c r="IS2561" s="73"/>
      <c r="IT2561" s="73"/>
      <c r="IU2561" s="73"/>
      <c r="IV2561" s="73"/>
      <c r="IW2561" s="73"/>
      <c r="IX2561" s="73"/>
      <c r="IY2561" s="73"/>
      <c r="IZ2561" s="73"/>
      <c r="JA2561" s="73"/>
      <c r="JB2561" s="73"/>
      <c r="JC2561" s="73"/>
    </row>
    <row r="2562" spans="2:263" s="72" customFormat="1">
      <c r="B2562" s="73"/>
      <c r="C2562" s="73"/>
      <c r="D2562" s="73"/>
      <c r="E2562" s="73"/>
      <c r="F2562" s="73"/>
      <c r="G2562" s="73"/>
      <c r="H2562" s="73"/>
      <c r="I2562" s="73"/>
      <c r="J2562" s="73"/>
      <c r="K2562" s="73"/>
      <c r="L2562" s="73"/>
      <c r="M2562" s="73"/>
      <c r="N2562" s="73"/>
      <c r="O2562" s="73"/>
      <c r="P2562" s="73"/>
      <c r="Q2562" s="73"/>
      <c r="R2562" s="73"/>
      <c r="S2562" s="73"/>
      <c r="T2562" s="73"/>
      <c r="U2562" s="73"/>
      <c r="V2562" s="73"/>
      <c r="W2562" s="73"/>
      <c r="GL2562" s="73"/>
      <c r="GM2562" s="73"/>
      <c r="GN2562" s="73"/>
      <c r="GO2562" s="73"/>
      <c r="GP2562" s="73"/>
      <c r="GQ2562" s="73"/>
      <c r="GR2562" s="73"/>
      <c r="GS2562" s="73"/>
      <c r="GT2562" s="73"/>
      <c r="GU2562" s="73"/>
      <c r="GV2562" s="73"/>
      <c r="GW2562" s="73"/>
      <c r="GX2562" s="73"/>
      <c r="GY2562" s="73"/>
      <c r="GZ2562" s="73"/>
      <c r="HA2562" s="73"/>
      <c r="HB2562" s="73"/>
      <c r="HC2562" s="73"/>
      <c r="HD2562" s="73"/>
      <c r="HE2562" s="73"/>
      <c r="HF2562" s="73"/>
      <c r="HG2562" s="73"/>
      <c r="HH2562" s="73"/>
      <c r="HI2562" s="73"/>
      <c r="HJ2562" s="73"/>
      <c r="HK2562" s="73"/>
      <c r="HL2562" s="73"/>
      <c r="HM2562" s="73"/>
      <c r="HN2562" s="73"/>
      <c r="HO2562" s="73"/>
      <c r="HP2562" s="73"/>
      <c r="HQ2562" s="73"/>
      <c r="HR2562" s="73"/>
      <c r="HS2562" s="73"/>
      <c r="HT2562" s="73"/>
      <c r="HU2562" s="73"/>
      <c r="HV2562" s="73"/>
      <c r="HW2562" s="73"/>
      <c r="HX2562" s="73"/>
      <c r="HY2562" s="73"/>
      <c r="HZ2562" s="73"/>
      <c r="IA2562" s="73"/>
      <c r="IB2562" s="73"/>
      <c r="IC2562" s="73"/>
      <c r="ID2562" s="73"/>
      <c r="IE2562" s="73"/>
      <c r="IF2562" s="73"/>
      <c r="IG2562" s="73"/>
      <c r="IH2562" s="73"/>
      <c r="II2562" s="73"/>
      <c r="IJ2562" s="73"/>
      <c r="IK2562" s="73"/>
      <c r="IL2562" s="73"/>
      <c r="IM2562" s="73"/>
      <c r="IN2562" s="73"/>
      <c r="IO2562" s="73"/>
      <c r="IP2562" s="73"/>
      <c r="IQ2562" s="73"/>
      <c r="IR2562" s="73"/>
      <c r="IS2562" s="73"/>
      <c r="IT2562" s="73"/>
      <c r="IU2562" s="73"/>
      <c r="IV2562" s="73"/>
      <c r="IW2562" s="73"/>
      <c r="IX2562" s="73"/>
      <c r="IY2562" s="73"/>
      <c r="IZ2562" s="73"/>
      <c r="JA2562" s="73"/>
      <c r="JB2562" s="73"/>
      <c r="JC2562" s="73"/>
    </row>
    <row r="2563" spans="2:263" s="72" customFormat="1">
      <c r="B2563" s="73"/>
      <c r="C2563" s="73"/>
      <c r="D2563" s="73"/>
      <c r="E2563" s="73"/>
      <c r="F2563" s="73"/>
      <c r="G2563" s="73"/>
      <c r="H2563" s="73"/>
      <c r="I2563" s="73"/>
      <c r="J2563" s="73"/>
      <c r="K2563" s="73"/>
      <c r="L2563" s="73"/>
      <c r="M2563" s="73"/>
      <c r="N2563" s="73"/>
      <c r="O2563" s="73"/>
      <c r="P2563" s="73"/>
      <c r="Q2563" s="73"/>
      <c r="R2563" s="73"/>
      <c r="S2563" s="73"/>
      <c r="T2563" s="73"/>
      <c r="U2563" s="73"/>
      <c r="V2563" s="73"/>
      <c r="W2563" s="73"/>
      <c r="GL2563" s="73"/>
      <c r="GM2563" s="73"/>
      <c r="GN2563" s="73"/>
      <c r="GO2563" s="73"/>
      <c r="GP2563" s="73"/>
      <c r="GQ2563" s="73"/>
      <c r="GR2563" s="73"/>
      <c r="GS2563" s="73"/>
      <c r="GT2563" s="73"/>
      <c r="GU2563" s="73"/>
      <c r="GV2563" s="73"/>
      <c r="GW2563" s="73"/>
      <c r="GX2563" s="73"/>
      <c r="GY2563" s="73"/>
      <c r="GZ2563" s="73"/>
      <c r="HA2563" s="73"/>
      <c r="HB2563" s="73"/>
      <c r="HC2563" s="73"/>
      <c r="HD2563" s="73"/>
      <c r="HE2563" s="73"/>
      <c r="HF2563" s="73"/>
      <c r="HG2563" s="73"/>
      <c r="HH2563" s="73"/>
      <c r="HI2563" s="73"/>
      <c r="HJ2563" s="73"/>
      <c r="HK2563" s="73"/>
      <c r="HL2563" s="73"/>
      <c r="HM2563" s="73"/>
      <c r="HN2563" s="73"/>
      <c r="HO2563" s="73"/>
      <c r="HP2563" s="73"/>
      <c r="HQ2563" s="73"/>
      <c r="HR2563" s="73"/>
      <c r="HS2563" s="73"/>
      <c r="HT2563" s="73"/>
      <c r="HU2563" s="73"/>
      <c r="HV2563" s="73"/>
      <c r="HW2563" s="73"/>
      <c r="HX2563" s="73"/>
      <c r="HY2563" s="73"/>
      <c r="HZ2563" s="73"/>
      <c r="IA2563" s="73"/>
      <c r="IB2563" s="73"/>
      <c r="IC2563" s="73"/>
      <c r="ID2563" s="73"/>
      <c r="IE2563" s="73"/>
      <c r="IF2563" s="73"/>
      <c r="IG2563" s="73"/>
      <c r="IH2563" s="73"/>
      <c r="II2563" s="73"/>
      <c r="IJ2563" s="73"/>
      <c r="IK2563" s="73"/>
      <c r="IL2563" s="73"/>
      <c r="IM2563" s="73"/>
      <c r="IN2563" s="73"/>
      <c r="IO2563" s="73"/>
      <c r="IP2563" s="73"/>
      <c r="IQ2563" s="73"/>
      <c r="IR2563" s="73"/>
      <c r="IS2563" s="73"/>
      <c r="IT2563" s="73"/>
      <c r="IU2563" s="73"/>
      <c r="IV2563" s="73"/>
      <c r="IW2563" s="73"/>
      <c r="IX2563" s="73"/>
      <c r="IY2563" s="73"/>
      <c r="IZ2563" s="73"/>
      <c r="JA2563" s="73"/>
      <c r="JB2563" s="73"/>
      <c r="JC2563" s="73"/>
    </row>
    <row r="2564" spans="2:263" s="72" customFormat="1">
      <c r="B2564" s="73"/>
      <c r="C2564" s="73"/>
      <c r="D2564" s="73"/>
      <c r="E2564" s="73"/>
      <c r="F2564" s="73"/>
      <c r="G2564" s="73"/>
      <c r="H2564" s="73"/>
      <c r="I2564" s="73"/>
      <c r="J2564" s="73"/>
      <c r="K2564" s="73"/>
      <c r="L2564" s="73"/>
      <c r="M2564" s="73"/>
      <c r="N2564" s="73"/>
      <c r="O2564" s="73"/>
      <c r="P2564" s="73"/>
      <c r="Q2564" s="73"/>
      <c r="R2564" s="73"/>
      <c r="S2564" s="73"/>
      <c r="T2564" s="73"/>
      <c r="U2564" s="73"/>
      <c r="V2564" s="73"/>
      <c r="W2564" s="73"/>
      <c r="GL2564" s="73"/>
      <c r="GM2564" s="73"/>
      <c r="GN2564" s="73"/>
      <c r="GO2564" s="73"/>
      <c r="GP2564" s="73"/>
      <c r="GQ2564" s="73"/>
      <c r="GR2564" s="73"/>
      <c r="GS2564" s="73"/>
      <c r="GT2564" s="73"/>
      <c r="GU2564" s="73"/>
      <c r="GV2564" s="73"/>
      <c r="GW2564" s="73"/>
      <c r="GX2564" s="73"/>
      <c r="GY2564" s="73"/>
      <c r="GZ2564" s="73"/>
      <c r="HA2564" s="73"/>
      <c r="HB2564" s="73"/>
      <c r="HC2564" s="73"/>
      <c r="HD2564" s="73"/>
      <c r="HE2564" s="73"/>
      <c r="HF2564" s="73"/>
      <c r="HG2564" s="73"/>
      <c r="HH2564" s="73"/>
      <c r="HI2564" s="73"/>
      <c r="HJ2564" s="73"/>
      <c r="HK2564" s="73"/>
      <c r="HL2564" s="73"/>
      <c r="HM2564" s="73"/>
      <c r="HN2564" s="73"/>
      <c r="HO2564" s="73"/>
      <c r="HP2564" s="73"/>
      <c r="HQ2564" s="73"/>
      <c r="HR2564" s="73"/>
      <c r="HS2564" s="73"/>
      <c r="HT2564" s="73"/>
      <c r="HU2564" s="73"/>
      <c r="HV2564" s="73"/>
      <c r="HW2564" s="73"/>
      <c r="HX2564" s="73"/>
      <c r="HY2564" s="73"/>
      <c r="HZ2564" s="73"/>
      <c r="IA2564" s="73"/>
      <c r="IB2564" s="73"/>
      <c r="IC2564" s="73"/>
      <c r="ID2564" s="73"/>
      <c r="IE2564" s="73"/>
      <c r="IF2564" s="73"/>
      <c r="IG2564" s="73"/>
      <c r="IH2564" s="73"/>
      <c r="II2564" s="73"/>
      <c r="IJ2564" s="73"/>
      <c r="IK2564" s="73"/>
      <c r="IL2564" s="73"/>
      <c r="IM2564" s="73"/>
      <c r="IN2564" s="73"/>
      <c r="IO2564" s="73"/>
      <c r="IP2564" s="73"/>
      <c r="IQ2564" s="73"/>
      <c r="IR2564" s="73"/>
      <c r="IS2564" s="73"/>
      <c r="IT2564" s="73"/>
      <c r="IU2564" s="73"/>
      <c r="IV2564" s="73"/>
      <c r="IW2564" s="73"/>
      <c r="IX2564" s="73"/>
      <c r="IY2564" s="73"/>
      <c r="IZ2564" s="73"/>
      <c r="JA2564" s="73"/>
      <c r="JB2564" s="73"/>
      <c r="JC2564" s="73"/>
    </row>
    <row r="2565" spans="2:263" s="72" customFormat="1">
      <c r="B2565" s="73"/>
      <c r="C2565" s="73"/>
      <c r="D2565" s="73"/>
      <c r="E2565" s="73"/>
      <c r="F2565" s="73"/>
      <c r="G2565" s="73"/>
      <c r="H2565" s="73"/>
      <c r="I2565" s="73"/>
      <c r="J2565" s="73"/>
      <c r="K2565" s="73"/>
      <c r="L2565" s="73"/>
      <c r="M2565" s="73"/>
      <c r="N2565" s="73"/>
      <c r="O2565" s="73"/>
      <c r="P2565" s="73"/>
      <c r="Q2565" s="73"/>
      <c r="R2565" s="73"/>
      <c r="S2565" s="73"/>
      <c r="T2565" s="73"/>
      <c r="U2565" s="73"/>
      <c r="V2565" s="73"/>
      <c r="W2565" s="73"/>
      <c r="GL2565" s="73"/>
      <c r="GM2565" s="73"/>
      <c r="GN2565" s="73"/>
      <c r="GO2565" s="73"/>
      <c r="GP2565" s="73"/>
      <c r="GQ2565" s="73"/>
      <c r="GR2565" s="73"/>
      <c r="GS2565" s="73"/>
      <c r="GT2565" s="73"/>
      <c r="GU2565" s="73"/>
      <c r="GV2565" s="73"/>
      <c r="GW2565" s="73"/>
      <c r="GX2565" s="73"/>
      <c r="GY2565" s="73"/>
      <c r="GZ2565" s="73"/>
      <c r="HA2565" s="73"/>
      <c r="HB2565" s="73"/>
      <c r="HC2565" s="73"/>
      <c r="HD2565" s="73"/>
      <c r="HE2565" s="73"/>
      <c r="HF2565" s="73"/>
      <c r="HG2565" s="73"/>
      <c r="HH2565" s="73"/>
      <c r="HI2565" s="73"/>
      <c r="HJ2565" s="73"/>
      <c r="HK2565" s="73"/>
      <c r="HL2565" s="73"/>
      <c r="HM2565" s="73"/>
      <c r="HN2565" s="73"/>
      <c r="HO2565" s="73"/>
      <c r="HP2565" s="73"/>
      <c r="HQ2565" s="73"/>
      <c r="HR2565" s="73"/>
      <c r="HS2565" s="73"/>
      <c r="HT2565" s="73"/>
      <c r="HU2565" s="73"/>
      <c r="HV2565" s="73"/>
      <c r="HW2565" s="73"/>
      <c r="HX2565" s="73"/>
      <c r="HY2565" s="73"/>
      <c r="HZ2565" s="73"/>
      <c r="IA2565" s="73"/>
      <c r="IB2565" s="73"/>
      <c r="IC2565" s="73"/>
      <c r="ID2565" s="73"/>
      <c r="IE2565" s="73"/>
      <c r="IF2565" s="73"/>
      <c r="IG2565" s="73"/>
      <c r="IH2565" s="73"/>
      <c r="II2565" s="73"/>
      <c r="IJ2565" s="73"/>
      <c r="IK2565" s="73"/>
      <c r="IL2565" s="73"/>
      <c r="IM2565" s="73"/>
      <c r="IN2565" s="73"/>
      <c r="IO2565" s="73"/>
      <c r="IP2565" s="73"/>
      <c r="IQ2565" s="73"/>
      <c r="IR2565" s="73"/>
      <c r="IS2565" s="73"/>
      <c r="IT2565" s="73"/>
      <c r="IU2565" s="73"/>
      <c r="IV2565" s="73"/>
      <c r="IW2565" s="73"/>
      <c r="IX2565" s="73"/>
      <c r="IY2565" s="73"/>
      <c r="IZ2565" s="73"/>
      <c r="JA2565" s="73"/>
      <c r="JB2565" s="73"/>
      <c r="JC2565" s="73"/>
    </row>
    <row r="2566" spans="2:263" s="72" customFormat="1">
      <c r="B2566" s="73"/>
      <c r="C2566" s="73"/>
      <c r="D2566" s="73"/>
      <c r="E2566" s="73"/>
      <c r="F2566" s="73"/>
      <c r="G2566" s="73"/>
      <c r="H2566" s="73"/>
      <c r="I2566" s="73"/>
      <c r="J2566" s="73"/>
      <c r="K2566" s="73"/>
      <c r="L2566" s="73"/>
      <c r="M2566" s="73"/>
      <c r="N2566" s="73"/>
      <c r="O2566" s="73"/>
      <c r="P2566" s="73"/>
      <c r="Q2566" s="73"/>
      <c r="R2566" s="73"/>
      <c r="S2566" s="73"/>
      <c r="T2566" s="73"/>
      <c r="U2566" s="73"/>
      <c r="V2566" s="73"/>
      <c r="W2566" s="73"/>
      <c r="GL2566" s="73"/>
      <c r="GM2566" s="73"/>
      <c r="GN2566" s="73"/>
      <c r="GO2566" s="73"/>
      <c r="GP2566" s="73"/>
      <c r="GQ2566" s="73"/>
      <c r="GR2566" s="73"/>
      <c r="GS2566" s="73"/>
      <c r="GT2566" s="73"/>
      <c r="GU2566" s="73"/>
      <c r="GV2566" s="73"/>
      <c r="GW2566" s="73"/>
      <c r="GX2566" s="73"/>
      <c r="GY2566" s="73"/>
      <c r="GZ2566" s="73"/>
      <c r="HA2566" s="73"/>
      <c r="HB2566" s="73"/>
      <c r="HC2566" s="73"/>
      <c r="HD2566" s="73"/>
      <c r="HE2566" s="73"/>
      <c r="HF2566" s="73"/>
      <c r="HG2566" s="73"/>
      <c r="HH2566" s="73"/>
      <c r="HI2566" s="73"/>
      <c r="HJ2566" s="73"/>
      <c r="HK2566" s="73"/>
      <c r="HL2566" s="73"/>
      <c r="HM2566" s="73"/>
      <c r="HN2566" s="73"/>
      <c r="HO2566" s="73"/>
      <c r="HP2566" s="73"/>
      <c r="HQ2566" s="73"/>
      <c r="HR2566" s="73"/>
      <c r="HS2566" s="73"/>
      <c r="HT2566" s="73"/>
      <c r="HU2566" s="73"/>
      <c r="HV2566" s="73"/>
      <c r="HW2566" s="73"/>
      <c r="HX2566" s="73"/>
      <c r="HY2566" s="73"/>
      <c r="HZ2566" s="73"/>
      <c r="IA2566" s="73"/>
      <c r="IB2566" s="73"/>
      <c r="IC2566" s="73"/>
      <c r="ID2566" s="73"/>
      <c r="IE2566" s="73"/>
      <c r="IF2566" s="73"/>
      <c r="IG2566" s="73"/>
      <c r="IH2566" s="73"/>
      <c r="II2566" s="73"/>
      <c r="IJ2566" s="73"/>
      <c r="IK2566" s="73"/>
      <c r="IL2566" s="73"/>
      <c r="IM2566" s="73"/>
      <c r="IN2566" s="73"/>
      <c r="IO2566" s="73"/>
      <c r="IP2566" s="73"/>
      <c r="IQ2566" s="73"/>
      <c r="IR2566" s="73"/>
      <c r="IS2566" s="73"/>
      <c r="IT2566" s="73"/>
      <c r="IU2566" s="73"/>
      <c r="IV2566" s="73"/>
      <c r="IW2566" s="73"/>
      <c r="IX2566" s="73"/>
      <c r="IY2566" s="73"/>
      <c r="IZ2566" s="73"/>
      <c r="JA2566" s="73"/>
      <c r="JB2566" s="73"/>
      <c r="JC2566" s="73"/>
    </row>
    <row r="2567" spans="2:263" s="72" customFormat="1">
      <c r="B2567" s="73"/>
      <c r="C2567" s="73"/>
      <c r="D2567" s="73"/>
      <c r="E2567" s="73"/>
      <c r="F2567" s="73"/>
      <c r="G2567" s="73"/>
      <c r="H2567" s="73"/>
      <c r="I2567" s="73"/>
      <c r="J2567" s="73"/>
      <c r="K2567" s="73"/>
      <c r="L2567" s="73"/>
      <c r="M2567" s="73"/>
      <c r="N2567" s="73"/>
      <c r="O2567" s="73"/>
      <c r="P2567" s="73"/>
      <c r="Q2567" s="73"/>
      <c r="R2567" s="73"/>
      <c r="S2567" s="73"/>
      <c r="T2567" s="73"/>
      <c r="U2567" s="73"/>
      <c r="V2567" s="73"/>
      <c r="W2567" s="73"/>
      <c r="GL2567" s="73"/>
      <c r="GM2567" s="73"/>
      <c r="GN2567" s="73"/>
      <c r="GO2567" s="73"/>
      <c r="GP2567" s="73"/>
      <c r="GQ2567" s="73"/>
      <c r="GR2567" s="73"/>
      <c r="GS2567" s="73"/>
      <c r="GT2567" s="73"/>
      <c r="GU2567" s="73"/>
      <c r="GV2567" s="73"/>
      <c r="GW2567" s="73"/>
      <c r="GX2567" s="73"/>
      <c r="GY2567" s="73"/>
      <c r="GZ2567" s="73"/>
      <c r="HA2567" s="73"/>
      <c r="HB2567" s="73"/>
      <c r="HC2567" s="73"/>
      <c r="HD2567" s="73"/>
      <c r="HE2567" s="73"/>
      <c r="HF2567" s="73"/>
      <c r="HG2567" s="73"/>
      <c r="HH2567" s="73"/>
      <c r="HI2567" s="73"/>
      <c r="HJ2567" s="73"/>
      <c r="HK2567" s="73"/>
      <c r="HL2567" s="73"/>
      <c r="HM2567" s="73"/>
      <c r="HN2567" s="73"/>
      <c r="HO2567" s="73"/>
      <c r="HP2567" s="73"/>
      <c r="HQ2567" s="73"/>
      <c r="HR2567" s="73"/>
      <c r="HS2567" s="73"/>
      <c r="HT2567" s="73"/>
      <c r="HU2567" s="73"/>
      <c r="HV2567" s="73"/>
      <c r="HW2567" s="73"/>
      <c r="HX2567" s="73"/>
      <c r="HY2567" s="73"/>
      <c r="HZ2567" s="73"/>
      <c r="IA2567" s="73"/>
      <c r="IB2567" s="73"/>
      <c r="IC2567" s="73"/>
      <c r="ID2567" s="73"/>
      <c r="IE2567" s="73"/>
      <c r="IF2567" s="73"/>
      <c r="IG2567" s="73"/>
      <c r="IH2567" s="73"/>
      <c r="II2567" s="73"/>
      <c r="IJ2567" s="73"/>
      <c r="IK2567" s="73"/>
      <c r="IL2567" s="73"/>
      <c r="IM2567" s="73"/>
      <c r="IN2567" s="73"/>
      <c r="IO2567" s="73"/>
      <c r="IP2567" s="73"/>
      <c r="IQ2567" s="73"/>
      <c r="IR2567" s="73"/>
      <c r="IS2567" s="73"/>
      <c r="IT2567" s="73"/>
      <c r="IU2567" s="73"/>
      <c r="IV2567" s="73"/>
      <c r="IW2567" s="73"/>
      <c r="IX2567" s="73"/>
      <c r="IY2567" s="73"/>
      <c r="IZ2567" s="73"/>
      <c r="JA2567" s="73"/>
      <c r="JB2567" s="73"/>
      <c r="JC2567" s="73"/>
    </row>
    <row r="2568" spans="2:263" s="72" customFormat="1">
      <c r="B2568" s="73"/>
      <c r="C2568" s="73"/>
      <c r="D2568" s="73"/>
      <c r="E2568" s="73"/>
      <c r="F2568" s="73"/>
      <c r="G2568" s="73"/>
      <c r="H2568" s="73"/>
      <c r="I2568" s="73"/>
      <c r="J2568" s="73"/>
      <c r="K2568" s="73"/>
      <c r="L2568" s="73"/>
      <c r="M2568" s="73"/>
      <c r="N2568" s="73"/>
      <c r="O2568" s="73"/>
      <c r="P2568" s="73"/>
      <c r="Q2568" s="73"/>
      <c r="R2568" s="73"/>
      <c r="S2568" s="73"/>
      <c r="T2568" s="73"/>
      <c r="U2568" s="73"/>
      <c r="V2568" s="73"/>
      <c r="W2568" s="73"/>
      <c r="GL2568" s="73"/>
      <c r="GM2568" s="73"/>
      <c r="GN2568" s="73"/>
      <c r="GO2568" s="73"/>
      <c r="GP2568" s="73"/>
      <c r="GQ2568" s="73"/>
      <c r="GR2568" s="73"/>
      <c r="GS2568" s="73"/>
      <c r="GT2568" s="73"/>
      <c r="GU2568" s="73"/>
      <c r="GV2568" s="73"/>
      <c r="GW2568" s="73"/>
      <c r="GX2568" s="73"/>
      <c r="GY2568" s="73"/>
      <c r="GZ2568" s="73"/>
      <c r="HA2568" s="73"/>
      <c r="HB2568" s="73"/>
      <c r="HC2568" s="73"/>
      <c r="HD2568" s="73"/>
      <c r="HE2568" s="73"/>
      <c r="HF2568" s="73"/>
      <c r="HG2568" s="73"/>
      <c r="HH2568" s="73"/>
      <c r="HI2568" s="73"/>
      <c r="HJ2568" s="73"/>
      <c r="HK2568" s="73"/>
      <c r="HL2568" s="73"/>
      <c r="HM2568" s="73"/>
      <c r="HN2568" s="73"/>
      <c r="HO2568" s="73"/>
      <c r="HP2568" s="73"/>
      <c r="HQ2568" s="73"/>
      <c r="HR2568" s="73"/>
      <c r="HS2568" s="73"/>
      <c r="HT2568" s="73"/>
      <c r="HU2568" s="73"/>
      <c r="HV2568" s="73"/>
      <c r="HW2568" s="73"/>
      <c r="HX2568" s="73"/>
      <c r="HY2568" s="73"/>
      <c r="HZ2568" s="73"/>
      <c r="IA2568" s="73"/>
      <c r="IB2568" s="73"/>
      <c r="IC2568" s="73"/>
      <c r="ID2568" s="73"/>
      <c r="IE2568" s="73"/>
      <c r="IF2568" s="73"/>
      <c r="IG2568" s="73"/>
      <c r="IH2568" s="73"/>
      <c r="II2568" s="73"/>
      <c r="IJ2568" s="73"/>
      <c r="IK2568" s="73"/>
      <c r="IL2568" s="73"/>
      <c r="IM2568" s="73"/>
      <c r="IN2568" s="73"/>
      <c r="IO2568" s="73"/>
      <c r="IP2568" s="73"/>
      <c r="IQ2568" s="73"/>
      <c r="IR2568" s="73"/>
      <c r="IS2568" s="73"/>
      <c r="IT2568" s="73"/>
      <c r="IU2568" s="73"/>
      <c r="IV2568" s="73"/>
      <c r="IW2568" s="73"/>
      <c r="IX2568" s="73"/>
      <c r="IY2568" s="73"/>
      <c r="IZ2568" s="73"/>
      <c r="JA2568" s="73"/>
      <c r="JB2568" s="73"/>
      <c r="JC2568" s="73"/>
    </row>
    <row r="2569" spans="2:263" s="72" customFormat="1">
      <c r="B2569" s="73"/>
      <c r="C2569" s="73"/>
      <c r="D2569" s="73"/>
      <c r="E2569" s="73"/>
      <c r="F2569" s="73"/>
      <c r="G2569" s="73"/>
      <c r="H2569" s="73"/>
      <c r="I2569" s="73"/>
      <c r="J2569" s="73"/>
      <c r="K2569" s="73"/>
      <c r="L2569" s="73"/>
      <c r="M2569" s="73"/>
      <c r="N2569" s="73"/>
      <c r="O2569" s="73"/>
      <c r="P2569" s="73"/>
      <c r="Q2569" s="73"/>
      <c r="R2569" s="73"/>
      <c r="S2569" s="73"/>
      <c r="T2569" s="73"/>
      <c r="U2569" s="73"/>
      <c r="V2569" s="73"/>
      <c r="W2569" s="73"/>
      <c r="GL2569" s="73"/>
      <c r="GM2569" s="73"/>
      <c r="GN2569" s="73"/>
      <c r="GO2569" s="73"/>
      <c r="GP2569" s="73"/>
      <c r="GQ2569" s="73"/>
      <c r="GR2569" s="73"/>
      <c r="GS2569" s="73"/>
      <c r="GT2569" s="73"/>
      <c r="GU2569" s="73"/>
      <c r="GV2569" s="73"/>
      <c r="GW2569" s="73"/>
      <c r="GX2569" s="73"/>
      <c r="GY2569" s="73"/>
      <c r="GZ2569" s="73"/>
      <c r="HA2569" s="73"/>
      <c r="HB2569" s="73"/>
      <c r="HC2569" s="73"/>
      <c r="HD2569" s="73"/>
      <c r="HE2569" s="73"/>
      <c r="HF2569" s="73"/>
      <c r="HG2569" s="73"/>
      <c r="HH2569" s="73"/>
      <c r="HI2569" s="73"/>
      <c r="HJ2569" s="73"/>
      <c r="HK2569" s="73"/>
      <c r="HL2569" s="73"/>
      <c r="HM2569" s="73"/>
      <c r="HN2569" s="73"/>
      <c r="HO2569" s="73"/>
      <c r="HP2569" s="73"/>
      <c r="HQ2569" s="73"/>
      <c r="HR2569" s="73"/>
      <c r="HS2569" s="73"/>
      <c r="HT2569" s="73"/>
      <c r="HU2569" s="73"/>
      <c r="HV2569" s="73"/>
      <c r="HW2569" s="73"/>
      <c r="HX2569" s="73"/>
      <c r="HY2569" s="73"/>
      <c r="HZ2569" s="73"/>
      <c r="IA2569" s="73"/>
      <c r="IB2569" s="73"/>
      <c r="IC2569" s="73"/>
      <c r="ID2569" s="73"/>
      <c r="IE2569" s="73"/>
      <c r="IF2569" s="73"/>
      <c r="IG2569" s="73"/>
      <c r="IH2569" s="73"/>
      <c r="II2569" s="73"/>
      <c r="IJ2569" s="73"/>
      <c r="IK2569" s="73"/>
      <c r="IL2569" s="73"/>
      <c r="IM2569" s="73"/>
      <c r="IN2569" s="73"/>
      <c r="IO2569" s="73"/>
      <c r="IP2569" s="73"/>
      <c r="IQ2569" s="73"/>
      <c r="IR2569" s="73"/>
      <c r="IS2569" s="73"/>
      <c r="IT2569" s="73"/>
      <c r="IU2569" s="73"/>
      <c r="IV2569" s="73"/>
      <c r="IW2569" s="73"/>
      <c r="IX2569" s="73"/>
      <c r="IY2569" s="73"/>
      <c r="IZ2569" s="73"/>
      <c r="JA2569" s="73"/>
      <c r="JB2569" s="73"/>
      <c r="JC2569" s="73"/>
    </row>
    <row r="2570" spans="2:263" s="72" customFormat="1">
      <c r="B2570" s="73"/>
      <c r="C2570" s="73"/>
      <c r="D2570" s="73"/>
      <c r="E2570" s="73"/>
      <c r="F2570" s="73"/>
      <c r="G2570" s="73"/>
      <c r="H2570" s="73"/>
      <c r="I2570" s="73"/>
      <c r="J2570" s="73"/>
      <c r="K2570" s="73"/>
      <c r="L2570" s="73"/>
      <c r="M2570" s="73"/>
      <c r="N2570" s="73"/>
      <c r="O2570" s="73"/>
      <c r="P2570" s="73"/>
      <c r="Q2570" s="73"/>
      <c r="R2570" s="73"/>
      <c r="S2570" s="73"/>
      <c r="T2570" s="73"/>
      <c r="U2570" s="73"/>
      <c r="V2570" s="73"/>
      <c r="W2570" s="73"/>
      <c r="GL2570" s="73"/>
      <c r="GM2570" s="73"/>
      <c r="GN2570" s="73"/>
      <c r="GO2570" s="73"/>
      <c r="GP2570" s="73"/>
      <c r="GQ2570" s="73"/>
      <c r="GR2570" s="73"/>
      <c r="GS2570" s="73"/>
      <c r="GT2570" s="73"/>
      <c r="GU2570" s="73"/>
      <c r="GV2570" s="73"/>
      <c r="GW2570" s="73"/>
      <c r="GX2570" s="73"/>
      <c r="GY2570" s="73"/>
      <c r="GZ2570" s="73"/>
      <c r="HA2570" s="73"/>
      <c r="HB2570" s="73"/>
      <c r="HC2570" s="73"/>
      <c r="HD2570" s="73"/>
      <c r="HE2570" s="73"/>
      <c r="HF2570" s="73"/>
      <c r="HG2570" s="73"/>
      <c r="HH2570" s="73"/>
      <c r="HI2570" s="73"/>
      <c r="HJ2570" s="73"/>
      <c r="HK2570" s="73"/>
      <c r="HL2570" s="73"/>
      <c r="HM2570" s="73"/>
      <c r="HN2570" s="73"/>
      <c r="HO2570" s="73"/>
      <c r="HP2570" s="73"/>
      <c r="HQ2570" s="73"/>
      <c r="HR2570" s="73"/>
      <c r="HS2570" s="73"/>
      <c r="HT2570" s="73"/>
      <c r="HU2570" s="73"/>
      <c r="HV2570" s="73"/>
      <c r="HW2570" s="73"/>
      <c r="HX2570" s="73"/>
      <c r="HY2570" s="73"/>
      <c r="HZ2570" s="73"/>
      <c r="IA2570" s="73"/>
      <c r="IB2570" s="73"/>
      <c r="IC2570" s="73"/>
      <c r="ID2570" s="73"/>
      <c r="IE2570" s="73"/>
      <c r="IF2570" s="73"/>
      <c r="IG2570" s="73"/>
      <c r="IH2570" s="73"/>
      <c r="II2570" s="73"/>
      <c r="IJ2570" s="73"/>
      <c r="IK2570" s="73"/>
      <c r="IL2570" s="73"/>
      <c r="IM2570" s="73"/>
      <c r="IN2570" s="73"/>
      <c r="IO2570" s="73"/>
      <c r="IP2570" s="73"/>
      <c r="IQ2570" s="73"/>
      <c r="IR2570" s="73"/>
      <c r="IS2570" s="73"/>
      <c r="IT2570" s="73"/>
      <c r="IU2570" s="73"/>
      <c r="IV2570" s="73"/>
      <c r="IW2570" s="73"/>
      <c r="IX2570" s="73"/>
      <c r="IY2570" s="73"/>
      <c r="IZ2570" s="73"/>
      <c r="JA2570" s="73"/>
      <c r="JB2570" s="73"/>
      <c r="JC2570" s="73"/>
    </row>
    <row r="2571" spans="2:263" s="72" customFormat="1">
      <c r="B2571" s="73"/>
      <c r="C2571" s="73"/>
      <c r="D2571" s="73"/>
      <c r="E2571" s="73"/>
      <c r="F2571" s="73"/>
      <c r="G2571" s="73"/>
      <c r="H2571" s="73"/>
      <c r="I2571" s="73"/>
      <c r="J2571" s="73"/>
      <c r="K2571" s="73"/>
      <c r="L2571" s="73"/>
      <c r="M2571" s="73"/>
      <c r="N2571" s="73"/>
      <c r="O2571" s="73"/>
      <c r="P2571" s="73"/>
      <c r="Q2571" s="73"/>
      <c r="R2571" s="73"/>
      <c r="S2571" s="73"/>
      <c r="T2571" s="73"/>
      <c r="U2571" s="73"/>
      <c r="V2571" s="73"/>
      <c r="W2571" s="73"/>
      <c r="GL2571" s="73"/>
      <c r="GM2571" s="73"/>
      <c r="GN2571" s="73"/>
      <c r="GO2571" s="73"/>
      <c r="GP2571" s="73"/>
      <c r="GQ2571" s="73"/>
      <c r="GR2571" s="73"/>
      <c r="GS2571" s="73"/>
      <c r="GT2571" s="73"/>
      <c r="GU2571" s="73"/>
      <c r="GV2571" s="73"/>
      <c r="GW2571" s="73"/>
      <c r="GX2571" s="73"/>
      <c r="GY2571" s="73"/>
      <c r="GZ2571" s="73"/>
      <c r="HA2571" s="73"/>
      <c r="HB2571" s="73"/>
      <c r="HC2571" s="73"/>
      <c r="HD2571" s="73"/>
      <c r="HE2571" s="73"/>
      <c r="HF2571" s="73"/>
      <c r="HG2571" s="73"/>
      <c r="HH2571" s="73"/>
      <c r="HI2571" s="73"/>
      <c r="HJ2571" s="73"/>
      <c r="HK2571" s="73"/>
      <c r="HL2571" s="73"/>
      <c r="HM2571" s="73"/>
      <c r="HN2571" s="73"/>
      <c r="HO2571" s="73"/>
      <c r="HP2571" s="73"/>
      <c r="HQ2571" s="73"/>
      <c r="HR2571" s="73"/>
      <c r="HS2571" s="73"/>
      <c r="HT2571" s="73"/>
      <c r="HU2571" s="73"/>
      <c r="HV2571" s="73"/>
      <c r="HW2571" s="73"/>
      <c r="HX2571" s="73"/>
      <c r="HY2571" s="73"/>
      <c r="HZ2571" s="73"/>
      <c r="IA2571" s="73"/>
      <c r="IB2571" s="73"/>
      <c r="IC2571" s="73"/>
      <c r="ID2571" s="73"/>
      <c r="IE2571" s="73"/>
      <c r="IF2571" s="73"/>
      <c r="IG2571" s="73"/>
      <c r="IH2571" s="73"/>
      <c r="II2571" s="73"/>
      <c r="IJ2571" s="73"/>
      <c r="IK2571" s="73"/>
      <c r="IL2571" s="73"/>
      <c r="IM2571" s="73"/>
      <c r="IN2571" s="73"/>
      <c r="IO2571" s="73"/>
      <c r="IP2571" s="73"/>
      <c r="IQ2571" s="73"/>
      <c r="IR2571" s="73"/>
      <c r="IS2571" s="73"/>
      <c r="IT2571" s="73"/>
      <c r="IU2571" s="73"/>
      <c r="IV2571" s="73"/>
      <c r="IW2571" s="73"/>
      <c r="IX2571" s="73"/>
      <c r="IY2571" s="73"/>
      <c r="IZ2571" s="73"/>
      <c r="JA2571" s="73"/>
      <c r="JB2571" s="73"/>
      <c r="JC2571" s="73"/>
    </row>
    <row r="2572" spans="2:263" s="72" customFormat="1">
      <c r="B2572" s="73"/>
      <c r="C2572" s="73"/>
      <c r="D2572" s="73"/>
      <c r="E2572" s="73"/>
      <c r="F2572" s="73"/>
      <c r="G2572" s="73"/>
      <c r="H2572" s="73"/>
      <c r="I2572" s="73"/>
      <c r="J2572" s="73"/>
      <c r="K2572" s="73"/>
      <c r="L2572" s="73"/>
      <c r="M2572" s="73"/>
      <c r="N2572" s="73"/>
      <c r="O2572" s="73"/>
      <c r="P2572" s="73"/>
      <c r="Q2572" s="73"/>
      <c r="R2572" s="73"/>
      <c r="S2572" s="73"/>
      <c r="T2572" s="73"/>
      <c r="U2572" s="73"/>
      <c r="V2572" s="73"/>
      <c r="W2572" s="73"/>
      <c r="GL2572" s="73"/>
      <c r="GM2572" s="73"/>
      <c r="GN2572" s="73"/>
      <c r="GO2572" s="73"/>
      <c r="GP2572" s="73"/>
      <c r="GQ2572" s="73"/>
      <c r="GR2572" s="73"/>
      <c r="GS2572" s="73"/>
      <c r="GT2572" s="73"/>
      <c r="GU2572" s="73"/>
      <c r="GV2572" s="73"/>
      <c r="GW2572" s="73"/>
      <c r="GX2572" s="73"/>
      <c r="GY2572" s="73"/>
      <c r="GZ2572" s="73"/>
      <c r="HA2572" s="73"/>
      <c r="HB2572" s="73"/>
      <c r="HC2572" s="73"/>
      <c r="HD2572" s="73"/>
      <c r="HE2572" s="73"/>
      <c r="HF2572" s="73"/>
      <c r="HG2572" s="73"/>
      <c r="HH2572" s="73"/>
      <c r="HI2572" s="73"/>
      <c r="HJ2572" s="73"/>
      <c r="HK2572" s="73"/>
      <c r="HL2572" s="73"/>
      <c r="HM2572" s="73"/>
      <c r="HN2572" s="73"/>
      <c r="HO2572" s="73"/>
      <c r="HP2572" s="73"/>
      <c r="HQ2572" s="73"/>
      <c r="HR2572" s="73"/>
      <c r="HS2572" s="73"/>
      <c r="HT2572" s="73"/>
      <c r="HU2572" s="73"/>
      <c r="HV2572" s="73"/>
      <c r="HW2572" s="73"/>
      <c r="HX2572" s="73"/>
      <c r="HY2572" s="73"/>
      <c r="HZ2572" s="73"/>
      <c r="IA2572" s="73"/>
      <c r="IB2572" s="73"/>
      <c r="IC2572" s="73"/>
      <c r="ID2572" s="73"/>
      <c r="IE2572" s="73"/>
      <c r="IF2572" s="73"/>
      <c r="IG2572" s="73"/>
      <c r="IH2572" s="73"/>
      <c r="II2572" s="73"/>
      <c r="IJ2572" s="73"/>
      <c r="IK2572" s="73"/>
      <c r="IL2572" s="73"/>
      <c r="IM2572" s="73"/>
      <c r="IN2572" s="73"/>
      <c r="IO2572" s="73"/>
      <c r="IP2572" s="73"/>
      <c r="IQ2572" s="73"/>
      <c r="IR2572" s="73"/>
      <c r="IS2572" s="73"/>
      <c r="IT2572" s="73"/>
      <c r="IU2572" s="73"/>
      <c r="IV2572" s="73"/>
      <c r="IW2572" s="73"/>
      <c r="IX2572" s="73"/>
      <c r="IY2572" s="73"/>
      <c r="IZ2572" s="73"/>
      <c r="JA2572" s="73"/>
      <c r="JB2572" s="73"/>
      <c r="JC2572" s="73"/>
    </row>
    <row r="2573" spans="2:263" s="72" customFormat="1">
      <c r="B2573" s="73"/>
      <c r="C2573" s="73"/>
      <c r="D2573" s="73"/>
      <c r="E2573" s="73"/>
      <c r="F2573" s="73"/>
      <c r="G2573" s="73"/>
      <c r="H2573" s="73"/>
      <c r="I2573" s="73"/>
      <c r="J2573" s="73"/>
      <c r="K2573" s="73"/>
      <c r="L2573" s="73"/>
      <c r="M2573" s="73"/>
      <c r="N2573" s="73"/>
      <c r="O2573" s="73"/>
      <c r="P2573" s="73"/>
      <c r="Q2573" s="73"/>
      <c r="R2573" s="73"/>
      <c r="S2573" s="73"/>
      <c r="T2573" s="73"/>
      <c r="U2573" s="73"/>
      <c r="V2573" s="73"/>
      <c r="W2573" s="73"/>
      <c r="GL2573" s="73"/>
      <c r="GM2573" s="73"/>
      <c r="GN2573" s="73"/>
      <c r="GO2573" s="73"/>
      <c r="GP2573" s="73"/>
      <c r="GQ2573" s="73"/>
      <c r="GR2573" s="73"/>
      <c r="GS2573" s="73"/>
      <c r="GT2573" s="73"/>
      <c r="GU2573" s="73"/>
      <c r="GV2573" s="73"/>
      <c r="GW2573" s="73"/>
      <c r="GX2573" s="73"/>
      <c r="GY2573" s="73"/>
      <c r="GZ2573" s="73"/>
      <c r="HA2573" s="73"/>
      <c r="HB2573" s="73"/>
      <c r="HC2573" s="73"/>
      <c r="HD2573" s="73"/>
      <c r="HE2573" s="73"/>
      <c r="HF2573" s="73"/>
      <c r="HG2573" s="73"/>
      <c r="HH2573" s="73"/>
      <c r="HI2573" s="73"/>
      <c r="HJ2573" s="73"/>
      <c r="HK2573" s="73"/>
      <c r="HL2573" s="73"/>
      <c r="HM2573" s="73"/>
      <c r="HN2573" s="73"/>
      <c r="HO2573" s="73"/>
      <c r="HP2573" s="73"/>
      <c r="HQ2573" s="73"/>
      <c r="HR2573" s="73"/>
      <c r="HS2573" s="73"/>
      <c r="HT2573" s="73"/>
      <c r="HU2573" s="73"/>
      <c r="HV2573" s="73"/>
      <c r="HW2573" s="73"/>
      <c r="HX2573" s="73"/>
      <c r="HY2573" s="73"/>
      <c r="HZ2573" s="73"/>
      <c r="IA2573" s="73"/>
      <c r="IB2573" s="73"/>
      <c r="IC2573" s="73"/>
      <c r="ID2573" s="73"/>
      <c r="IE2573" s="73"/>
      <c r="IF2573" s="73"/>
      <c r="IG2573" s="73"/>
      <c r="IH2573" s="73"/>
      <c r="II2573" s="73"/>
      <c r="IJ2573" s="73"/>
      <c r="IK2573" s="73"/>
      <c r="IL2573" s="73"/>
      <c r="IM2573" s="73"/>
      <c r="IN2573" s="73"/>
      <c r="IO2573" s="73"/>
      <c r="IP2573" s="73"/>
      <c r="IQ2573" s="73"/>
      <c r="IR2573" s="73"/>
      <c r="IS2573" s="73"/>
      <c r="IT2573" s="73"/>
      <c r="IU2573" s="73"/>
      <c r="IV2573" s="73"/>
      <c r="IW2573" s="73"/>
      <c r="IX2573" s="73"/>
      <c r="IY2573" s="73"/>
      <c r="IZ2573" s="73"/>
      <c r="JA2573" s="73"/>
      <c r="JB2573" s="73"/>
      <c r="JC2573" s="73"/>
    </row>
    <row r="2574" spans="2:263" s="72" customFormat="1">
      <c r="B2574" s="73"/>
      <c r="C2574" s="73"/>
      <c r="D2574" s="73"/>
      <c r="E2574" s="73"/>
      <c r="F2574" s="73"/>
      <c r="G2574" s="73"/>
      <c r="H2574" s="73"/>
      <c r="I2574" s="73"/>
      <c r="J2574" s="73"/>
      <c r="K2574" s="73"/>
      <c r="L2574" s="73"/>
      <c r="M2574" s="73"/>
      <c r="N2574" s="73"/>
      <c r="O2574" s="73"/>
      <c r="P2574" s="73"/>
      <c r="Q2574" s="73"/>
      <c r="R2574" s="73"/>
      <c r="S2574" s="73"/>
      <c r="T2574" s="73"/>
      <c r="U2574" s="73"/>
      <c r="V2574" s="73"/>
      <c r="W2574" s="73"/>
      <c r="GL2574" s="73"/>
      <c r="GM2574" s="73"/>
      <c r="GN2574" s="73"/>
      <c r="GO2574" s="73"/>
      <c r="GP2574" s="73"/>
      <c r="GQ2574" s="73"/>
      <c r="GR2574" s="73"/>
      <c r="GS2574" s="73"/>
      <c r="GT2574" s="73"/>
      <c r="GU2574" s="73"/>
      <c r="GV2574" s="73"/>
      <c r="GW2574" s="73"/>
      <c r="GX2574" s="73"/>
      <c r="GY2574" s="73"/>
      <c r="GZ2574" s="73"/>
      <c r="HA2574" s="73"/>
      <c r="HB2574" s="73"/>
      <c r="HC2574" s="73"/>
      <c r="HD2574" s="73"/>
      <c r="HE2574" s="73"/>
      <c r="HF2574" s="73"/>
      <c r="HG2574" s="73"/>
      <c r="HH2574" s="73"/>
      <c r="HI2574" s="73"/>
      <c r="HJ2574" s="73"/>
      <c r="HK2574" s="73"/>
      <c r="HL2574" s="73"/>
      <c r="HM2574" s="73"/>
      <c r="HN2574" s="73"/>
      <c r="HO2574" s="73"/>
      <c r="HP2574" s="73"/>
      <c r="HQ2574" s="73"/>
      <c r="HR2574" s="73"/>
      <c r="HS2574" s="73"/>
      <c r="HT2574" s="73"/>
      <c r="HU2574" s="73"/>
      <c r="HV2574" s="73"/>
      <c r="HW2574" s="73"/>
      <c r="HX2574" s="73"/>
      <c r="HY2574" s="73"/>
      <c r="HZ2574" s="73"/>
      <c r="IA2574" s="73"/>
      <c r="IB2574" s="73"/>
      <c r="IC2574" s="73"/>
      <c r="ID2574" s="73"/>
      <c r="IE2574" s="73"/>
      <c r="IF2574" s="73"/>
      <c r="IG2574" s="73"/>
      <c r="IH2574" s="73"/>
      <c r="II2574" s="73"/>
      <c r="IJ2574" s="73"/>
      <c r="IK2574" s="73"/>
      <c r="IL2574" s="73"/>
      <c r="IM2574" s="73"/>
      <c r="IN2574" s="73"/>
      <c r="IO2574" s="73"/>
      <c r="IP2574" s="73"/>
      <c r="IQ2574" s="73"/>
      <c r="IR2574" s="73"/>
      <c r="IS2574" s="73"/>
      <c r="IT2574" s="73"/>
      <c r="IU2574" s="73"/>
      <c r="IV2574" s="73"/>
      <c r="IW2574" s="73"/>
      <c r="IX2574" s="73"/>
      <c r="IY2574" s="73"/>
      <c r="IZ2574" s="73"/>
      <c r="JA2574" s="73"/>
      <c r="JB2574" s="73"/>
      <c r="JC2574" s="73"/>
    </row>
    <row r="2575" spans="2:263" s="72" customFormat="1">
      <c r="B2575" s="73"/>
      <c r="C2575" s="73"/>
      <c r="D2575" s="73"/>
      <c r="E2575" s="73"/>
      <c r="F2575" s="73"/>
      <c r="G2575" s="73"/>
      <c r="H2575" s="73"/>
      <c r="I2575" s="73"/>
      <c r="J2575" s="73"/>
      <c r="K2575" s="73"/>
      <c r="L2575" s="73"/>
      <c r="M2575" s="73"/>
      <c r="N2575" s="73"/>
      <c r="O2575" s="73"/>
      <c r="P2575" s="73"/>
      <c r="Q2575" s="73"/>
      <c r="R2575" s="73"/>
      <c r="S2575" s="73"/>
      <c r="T2575" s="73"/>
      <c r="U2575" s="73"/>
      <c r="V2575" s="73"/>
      <c r="W2575" s="73"/>
      <c r="GL2575" s="73"/>
      <c r="GM2575" s="73"/>
      <c r="GN2575" s="73"/>
      <c r="GO2575" s="73"/>
      <c r="GP2575" s="73"/>
      <c r="GQ2575" s="73"/>
      <c r="GR2575" s="73"/>
      <c r="GS2575" s="73"/>
      <c r="GT2575" s="73"/>
      <c r="GU2575" s="73"/>
      <c r="GV2575" s="73"/>
      <c r="GW2575" s="73"/>
      <c r="GX2575" s="73"/>
      <c r="GY2575" s="73"/>
      <c r="GZ2575" s="73"/>
      <c r="HA2575" s="73"/>
      <c r="HB2575" s="73"/>
      <c r="HC2575" s="73"/>
      <c r="HD2575" s="73"/>
      <c r="HE2575" s="73"/>
      <c r="HF2575" s="73"/>
      <c r="HG2575" s="73"/>
      <c r="HH2575" s="73"/>
      <c r="HI2575" s="73"/>
      <c r="HJ2575" s="73"/>
      <c r="HK2575" s="73"/>
      <c r="HL2575" s="73"/>
      <c r="HM2575" s="73"/>
      <c r="HN2575" s="73"/>
      <c r="HO2575" s="73"/>
      <c r="HP2575" s="73"/>
      <c r="HQ2575" s="73"/>
      <c r="HR2575" s="73"/>
      <c r="HS2575" s="73"/>
      <c r="HT2575" s="73"/>
      <c r="HU2575" s="73"/>
      <c r="HV2575" s="73"/>
      <c r="HW2575" s="73"/>
      <c r="HX2575" s="73"/>
      <c r="HY2575" s="73"/>
      <c r="HZ2575" s="73"/>
      <c r="IA2575" s="73"/>
      <c r="IB2575" s="73"/>
      <c r="IC2575" s="73"/>
      <c r="ID2575" s="73"/>
      <c r="IE2575" s="73"/>
      <c r="IF2575" s="73"/>
      <c r="IG2575" s="73"/>
      <c r="IH2575" s="73"/>
      <c r="II2575" s="73"/>
      <c r="IJ2575" s="73"/>
      <c r="IK2575" s="73"/>
      <c r="IL2575" s="73"/>
      <c r="IM2575" s="73"/>
      <c r="IN2575" s="73"/>
      <c r="IO2575" s="73"/>
      <c r="IP2575" s="73"/>
      <c r="IQ2575" s="73"/>
      <c r="IR2575" s="73"/>
      <c r="IS2575" s="73"/>
      <c r="IT2575" s="73"/>
      <c r="IU2575" s="73"/>
      <c r="IV2575" s="73"/>
      <c r="IW2575" s="73"/>
      <c r="IX2575" s="73"/>
      <c r="IY2575" s="73"/>
      <c r="IZ2575" s="73"/>
      <c r="JA2575" s="73"/>
      <c r="JB2575" s="73"/>
      <c r="JC2575" s="73"/>
    </row>
    <row r="2576" spans="2:263" s="72" customFormat="1">
      <c r="B2576" s="73"/>
      <c r="C2576" s="73"/>
      <c r="D2576" s="73"/>
      <c r="E2576" s="73"/>
      <c r="F2576" s="73"/>
      <c r="G2576" s="73"/>
      <c r="H2576" s="73"/>
      <c r="I2576" s="73"/>
      <c r="J2576" s="73"/>
      <c r="K2576" s="73"/>
      <c r="L2576" s="73"/>
      <c r="M2576" s="73"/>
      <c r="N2576" s="73"/>
      <c r="O2576" s="73"/>
      <c r="P2576" s="73"/>
      <c r="Q2576" s="73"/>
      <c r="R2576" s="73"/>
      <c r="S2576" s="73"/>
      <c r="T2576" s="73"/>
      <c r="U2576" s="73"/>
      <c r="V2576" s="73"/>
      <c r="W2576" s="73"/>
      <c r="GL2576" s="73"/>
      <c r="GM2576" s="73"/>
      <c r="GN2576" s="73"/>
      <c r="GO2576" s="73"/>
      <c r="GP2576" s="73"/>
      <c r="GQ2576" s="73"/>
      <c r="GR2576" s="73"/>
      <c r="GS2576" s="73"/>
      <c r="GT2576" s="73"/>
      <c r="GU2576" s="73"/>
      <c r="GV2576" s="73"/>
      <c r="GW2576" s="73"/>
      <c r="GX2576" s="73"/>
      <c r="GY2576" s="73"/>
      <c r="GZ2576" s="73"/>
      <c r="HA2576" s="73"/>
      <c r="HB2576" s="73"/>
      <c r="HC2576" s="73"/>
      <c r="HD2576" s="73"/>
      <c r="HE2576" s="73"/>
      <c r="HF2576" s="73"/>
      <c r="HG2576" s="73"/>
      <c r="HH2576" s="73"/>
      <c r="HI2576" s="73"/>
      <c r="HJ2576" s="73"/>
      <c r="HK2576" s="73"/>
      <c r="HL2576" s="73"/>
      <c r="HM2576" s="73"/>
      <c r="HN2576" s="73"/>
      <c r="HO2576" s="73"/>
      <c r="HP2576" s="73"/>
      <c r="HQ2576" s="73"/>
      <c r="HR2576" s="73"/>
      <c r="HS2576" s="73"/>
      <c r="HT2576" s="73"/>
      <c r="HU2576" s="73"/>
      <c r="HV2576" s="73"/>
      <c r="HW2576" s="73"/>
      <c r="HX2576" s="73"/>
      <c r="HY2576" s="73"/>
      <c r="HZ2576" s="73"/>
      <c r="IA2576" s="73"/>
      <c r="IB2576" s="73"/>
      <c r="IC2576" s="73"/>
      <c r="ID2576" s="73"/>
      <c r="IE2576" s="73"/>
      <c r="IF2576" s="73"/>
      <c r="IG2576" s="73"/>
      <c r="IH2576" s="73"/>
      <c r="II2576" s="73"/>
      <c r="IJ2576" s="73"/>
      <c r="IK2576" s="73"/>
      <c r="IL2576" s="73"/>
      <c r="IM2576" s="73"/>
      <c r="IN2576" s="73"/>
      <c r="IO2576" s="73"/>
      <c r="IP2576" s="73"/>
      <c r="IQ2576" s="73"/>
      <c r="IR2576" s="73"/>
      <c r="IS2576" s="73"/>
      <c r="IT2576" s="73"/>
      <c r="IU2576" s="73"/>
      <c r="IV2576" s="73"/>
      <c r="IW2576" s="73"/>
      <c r="IX2576" s="73"/>
      <c r="IY2576" s="73"/>
      <c r="IZ2576" s="73"/>
      <c r="JA2576" s="73"/>
      <c r="JB2576" s="73"/>
      <c r="JC2576" s="73"/>
    </row>
    <row r="2577" spans="2:263" s="72" customFormat="1">
      <c r="B2577" s="73"/>
      <c r="C2577" s="73"/>
      <c r="D2577" s="73"/>
      <c r="E2577" s="73"/>
      <c r="F2577" s="73"/>
      <c r="G2577" s="73"/>
      <c r="H2577" s="73"/>
      <c r="I2577" s="73"/>
      <c r="J2577" s="73"/>
      <c r="K2577" s="73"/>
      <c r="L2577" s="73"/>
      <c r="M2577" s="73"/>
      <c r="N2577" s="73"/>
      <c r="O2577" s="73"/>
      <c r="P2577" s="73"/>
      <c r="Q2577" s="73"/>
      <c r="R2577" s="73"/>
      <c r="S2577" s="73"/>
      <c r="T2577" s="73"/>
      <c r="U2577" s="73"/>
      <c r="V2577" s="73"/>
      <c r="W2577" s="73"/>
      <c r="GL2577" s="73"/>
      <c r="GM2577" s="73"/>
      <c r="GN2577" s="73"/>
      <c r="GO2577" s="73"/>
      <c r="GP2577" s="73"/>
      <c r="GQ2577" s="73"/>
      <c r="GR2577" s="73"/>
      <c r="GS2577" s="73"/>
      <c r="GT2577" s="73"/>
      <c r="GU2577" s="73"/>
      <c r="GV2577" s="73"/>
      <c r="GW2577" s="73"/>
      <c r="GX2577" s="73"/>
      <c r="GY2577" s="73"/>
      <c r="GZ2577" s="73"/>
      <c r="HA2577" s="73"/>
      <c r="HB2577" s="73"/>
      <c r="HC2577" s="73"/>
      <c r="HD2577" s="73"/>
      <c r="HE2577" s="73"/>
      <c r="HF2577" s="73"/>
      <c r="HG2577" s="73"/>
      <c r="HH2577" s="73"/>
      <c r="HI2577" s="73"/>
      <c r="HJ2577" s="73"/>
      <c r="HK2577" s="73"/>
      <c r="HL2577" s="73"/>
      <c r="HM2577" s="73"/>
      <c r="HN2577" s="73"/>
      <c r="HO2577" s="73"/>
      <c r="HP2577" s="73"/>
      <c r="HQ2577" s="73"/>
      <c r="HR2577" s="73"/>
      <c r="HS2577" s="73"/>
      <c r="HT2577" s="73"/>
      <c r="HU2577" s="73"/>
      <c r="HV2577" s="73"/>
      <c r="HW2577" s="73"/>
      <c r="HX2577" s="73"/>
      <c r="HY2577" s="73"/>
      <c r="HZ2577" s="73"/>
      <c r="IA2577" s="73"/>
      <c r="IB2577" s="73"/>
      <c r="IC2577" s="73"/>
      <c r="ID2577" s="73"/>
      <c r="IE2577" s="73"/>
      <c r="IF2577" s="73"/>
      <c r="IG2577" s="73"/>
      <c r="IH2577" s="73"/>
      <c r="II2577" s="73"/>
      <c r="IJ2577" s="73"/>
      <c r="IK2577" s="73"/>
      <c r="IL2577" s="73"/>
      <c r="IM2577" s="73"/>
      <c r="IN2577" s="73"/>
      <c r="IO2577" s="73"/>
      <c r="IP2577" s="73"/>
      <c r="IQ2577" s="73"/>
      <c r="IR2577" s="73"/>
      <c r="IS2577" s="73"/>
      <c r="IT2577" s="73"/>
      <c r="IU2577" s="73"/>
      <c r="IV2577" s="73"/>
      <c r="IW2577" s="73"/>
      <c r="IX2577" s="73"/>
      <c r="IY2577" s="73"/>
      <c r="IZ2577" s="73"/>
      <c r="JA2577" s="73"/>
      <c r="JB2577" s="73"/>
      <c r="JC2577" s="73"/>
    </row>
    <row r="2578" spans="2:263" s="72" customFormat="1">
      <c r="B2578" s="73"/>
      <c r="C2578" s="73"/>
      <c r="D2578" s="73"/>
      <c r="E2578" s="73"/>
      <c r="F2578" s="73"/>
      <c r="G2578" s="73"/>
      <c r="H2578" s="73"/>
      <c r="I2578" s="73"/>
      <c r="J2578" s="73"/>
      <c r="K2578" s="73"/>
      <c r="L2578" s="73"/>
      <c r="M2578" s="73"/>
      <c r="N2578" s="73"/>
      <c r="O2578" s="73"/>
      <c r="P2578" s="73"/>
      <c r="Q2578" s="73"/>
      <c r="R2578" s="73"/>
      <c r="S2578" s="73"/>
      <c r="T2578" s="73"/>
      <c r="U2578" s="73"/>
      <c r="V2578" s="73"/>
      <c r="W2578" s="73"/>
      <c r="GL2578" s="73"/>
      <c r="GM2578" s="73"/>
      <c r="GN2578" s="73"/>
      <c r="GO2578" s="73"/>
      <c r="GP2578" s="73"/>
      <c r="GQ2578" s="73"/>
      <c r="GR2578" s="73"/>
      <c r="GS2578" s="73"/>
      <c r="GT2578" s="73"/>
      <c r="GU2578" s="73"/>
      <c r="GV2578" s="73"/>
      <c r="GW2578" s="73"/>
      <c r="GX2578" s="73"/>
      <c r="GY2578" s="73"/>
      <c r="GZ2578" s="73"/>
      <c r="HA2578" s="73"/>
      <c r="HB2578" s="73"/>
      <c r="HC2578" s="73"/>
      <c r="HD2578" s="73"/>
      <c r="HE2578" s="73"/>
      <c r="HF2578" s="73"/>
      <c r="HG2578" s="73"/>
      <c r="HH2578" s="73"/>
      <c r="HI2578" s="73"/>
      <c r="HJ2578" s="73"/>
      <c r="HK2578" s="73"/>
      <c r="HL2578" s="73"/>
      <c r="HM2578" s="73"/>
      <c r="HN2578" s="73"/>
      <c r="HO2578" s="73"/>
      <c r="HP2578" s="73"/>
      <c r="HQ2578" s="73"/>
      <c r="HR2578" s="73"/>
      <c r="HS2578" s="73"/>
      <c r="HT2578" s="73"/>
      <c r="HU2578" s="73"/>
      <c r="HV2578" s="73"/>
      <c r="HW2578" s="73"/>
      <c r="HX2578" s="73"/>
      <c r="HY2578" s="73"/>
      <c r="HZ2578" s="73"/>
      <c r="IA2578" s="73"/>
      <c r="IB2578" s="73"/>
      <c r="IC2578" s="73"/>
      <c r="ID2578" s="73"/>
      <c r="IE2578" s="73"/>
      <c r="IF2578" s="73"/>
      <c r="IG2578" s="73"/>
      <c r="IH2578" s="73"/>
      <c r="II2578" s="73"/>
      <c r="IJ2578" s="73"/>
      <c r="IK2578" s="73"/>
      <c r="IL2578" s="73"/>
      <c r="IM2578" s="73"/>
      <c r="IN2578" s="73"/>
      <c r="IO2578" s="73"/>
      <c r="IP2578" s="73"/>
      <c r="IQ2578" s="73"/>
      <c r="IR2578" s="73"/>
      <c r="IS2578" s="73"/>
      <c r="IT2578" s="73"/>
      <c r="IU2578" s="73"/>
      <c r="IV2578" s="73"/>
      <c r="IW2578" s="73"/>
      <c r="IX2578" s="73"/>
      <c r="IY2578" s="73"/>
      <c r="IZ2578" s="73"/>
      <c r="JA2578" s="73"/>
      <c r="JB2578" s="73"/>
      <c r="JC2578" s="73"/>
    </row>
    <row r="2579" spans="2:263" s="72" customFormat="1">
      <c r="B2579" s="73"/>
      <c r="C2579" s="73"/>
      <c r="D2579" s="73"/>
      <c r="E2579" s="73"/>
      <c r="F2579" s="73"/>
      <c r="G2579" s="73"/>
      <c r="H2579" s="73"/>
      <c r="I2579" s="73"/>
      <c r="J2579" s="73"/>
      <c r="K2579" s="73"/>
      <c r="L2579" s="73"/>
      <c r="M2579" s="73"/>
      <c r="N2579" s="73"/>
      <c r="O2579" s="73"/>
      <c r="P2579" s="73"/>
      <c r="Q2579" s="73"/>
      <c r="R2579" s="73"/>
      <c r="S2579" s="73"/>
      <c r="T2579" s="73"/>
      <c r="U2579" s="73"/>
      <c r="V2579" s="73"/>
      <c r="W2579" s="73"/>
      <c r="GL2579" s="73"/>
      <c r="GM2579" s="73"/>
      <c r="GN2579" s="73"/>
      <c r="GO2579" s="73"/>
      <c r="GP2579" s="73"/>
      <c r="GQ2579" s="73"/>
      <c r="GR2579" s="73"/>
      <c r="GS2579" s="73"/>
      <c r="GT2579" s="73"/>
      <c r="GU2579" s="73"/>
      <c r="GV2579" s="73"/>
      <c r="GW2579" s="73"/>
      <c r="GX2579" s="73"/>
      <c r="GY2579" s="73"/>
      <c r="GZ2579" s="73"/>
      <c r="HA2579" s="73"/>
      <c r="HB2579" s="73"/>
      <c r="HC2579" s="73"/>
      <c r="HD2579" s="73"/>
      <c r="HE2579" s="73"/>
      <c r="HF2579" s="73"/>
      <c r="HG2579" s="73"/>
      <c r="HH2579" s="73"/>
      <c r="HI2579" s="73"/>
      <c r="HJ2579" s="73"/>
      <c r="HK2579" s="73"/>
      <c r="HL2579" s="73"/>
      <c r="HM2579" s="73"/>
      <c r="HN2579" s="73"/>
      <c r="HO2579" s="73"/>
      <c r="HP2579" s="73"/>
      <c r="HQ2579" s="73"/>
      <c r="HR2579" s="73"/>
      <c r="HS2579" s="73"/>
      <c r="HT2579" s="73"/>
      <c r="HU2579" s="73"/>
      <c r="HV2579" s="73"/>
      <c r="HW2579" s="73"/>
      <c r="HX2579" s="73"/>
      <c r="HY2579" s="73"/>
      <c r="HZ2579" s="73"/>
      <c r="IA2579" s="73"/>
      <c r="IB2579" s="73"/>
      <c r="IC2579" s="73"/>
      <c r="ID2579" s="73"/>
      <c r="IE2579" s="73"/>
      <c r="IF2579" s="73"/>
      <c r="IG2579" s="73"/>
      <c r="IH2579" s="73"/>
      <c r="II2579" s="73"/>
      <c r="IJ2579" s="73"/>
      <c r="IK2579" s="73"/>
      <c r="IL2579" s="73"/>
      <c r="IM2579" s="73"/>
      <c r="IN2579" s="73"/>
      <c r="IO2579" s="73"/>
      <c r="IP2579" s="73"/>
      <c r="IQ2579" s="73"/>
      <c r="IR2579" s="73"/>
      <c r="IS2579" s="73"/>
      <c r="IT2579" s="73"/>
      <c r="IU2579" s="73"/>
      <c r="IV2579" s="73"/>
      <c r="IW2579" s="73"/>
      <c r="IX2579" s="73"/>
      <c r="IY2579" s="73"/>
      <c r="IZ2579" s="73"/>
      <c r="JA2579" s="73"/>
      <c r="JB2579" s="73"/>
      <c r="JC2579" s="73"/>
    </row>
    <row r="2580" spans="2:263" s="72" customFormat="1">
      <c r="B2580" s="73"/>
      <c r="C2580" s="73"/>
      <c r="D2580" s="73"/>
      <c r="E2580" s="73"/>
      <c r="F2580" s="73"/>
      <c r="G2580" s="73"/>
      <c r="H2580" s="73"/>
      <c r="I2580" s="73"/>
      <c r="J2580" s="73"/>
      <c r="K2580" s="73"/>
      <c r="L2580" s="73"/>
      <c r="M2580" s="73"/>
      <c r="N2580" s="73"/>
      <c r="O2580" s="73"/>
      <c r="P2580" s="73"/>
      <c r="Q2580" s="73"/>
      <c r="R2580" s="73"/>
      <c r="S2580" s="73"/>
      <c r="T2580" s="73"/>
      <c r="U2580" s="73"/>
      <c r="V2580" s="73"/>
      <c r="W2580" s="73"/>
      <c r="GL2580" s="73"/>
      <c r="GM2580" s="73"/>
      <c r="GN2580" s="73"/>
      <c r="GO2580" s="73"/>
      <c r="GP2580" s="73"/>
      <c r="GQ2580" s="73"/>
      <c r="GR2580" s="73"/>
      <c r="GS2580" s="73"/>
      <c r="GT2580" s="73"/>
      <c r="GU2580" s="73"/>
      <c r="GV2580" s="73"/>
      <c r="GW2580" s="73"/>
      <c r="GX2580" s="73"/>
      <c r="GY2580" s="73"/>
      <c r="GZ2580" s="73"/>
      <c r="HA2580" s="73"/>
      <c r="HB2580" s="73"/>
      <c r="HC2580" s="73"/>
      <c r="HD2580" s="73"/>
      <c r="HE2580" s="73"/>
      <c r="HF2580" s="73"/>
      <c r="HG2580" s="73"/>
      <c r="HH2580" s="73"/>
      <c r="HI2580" s="73"/>
      <c r="HJ2580" s="73"/>
      <c r="HK2580" s="73"/>
      <c r="HL2580" s="73"/>
      <c r="HM2580" s="73"/>
      <c r="HN2580" s="73"/>
      <c r="HO2580" s="73"/>
      <c r="HP2580" s="73"/>
      <c r="HQ2580" s="73"/>
      <c r="HR2580" s="73"/>
      <c r="HS2580" s="73"/>
      <c r="HT2580" s="73"/>
      <c r="HU2580" s="73"/>
      <c r="HV2580" s="73"/>
      <c r="HW2580" s="73"/>
      <c r="HX2580" s="73"/>
      <c r="HY2580" s="73"/>
      <c r="HZ2580" s="73"/>
      <c r="IA2580" s="73"/>
      <c r="IB2580" s="73"/>
      <c r="IC2580" s="73"/>
      <c r="ID2580" s="73"/>
      <c r="IE2580" s="73"/>
      <c r="IF2580" s="73"/>
      <c r="IG2580" s="73"/>
      <c r="IH2580" s="73"/>
      <c r="II2580" s="73"/>
      <c r="IJ2580" s="73"/>
      <c r="IK2580" s="73"/>
      <c r="IL2580" s="73"/>
      <c r="IM2580" s="73"/>
      <c r="IN2580" s="73"/>
      <c r="IO2580" s="73"/>
      <c r="IP2580" s="73"/>
      <c r="IQ2580" s="73"/>
      <c r="IR2580" s="73"/>
      <c r="IS2580" s="73"/>
      <c r="IT2580" s="73"/>
      <c r="IU2580" s="73"/>
      <c r="IV2580" s="73"/>
      <c r="IW2580" s="73"/>
      <c r="IX2580" s="73"/>
      <c r="IY2580" s="73"/>
      <c r="IZ2580" s="73"/>
      <c r="JA2580" s="73"/>
      <c r="JB2580" s="73"/>
      <c r="JC2580" s="73"/>
    </row>
    <row r="2581" spans="2:263" s="72" customFormat="1">
      <c r="B2581" s="73"/>
      <c r="C2581" s="73"/>
      <c r="D2581" s="73"/>
      <c r="E2581" s="73"/>
      <c r="F2581" s="73"/>
      <c r="G2581" s="73"/>
      <c r="H2581" s="73"/>
      <c r="I2581" s="73"/>
      <c r="J2581" s="73"/>
      <c r="K2581" s="73"/>
      <c r="L2581" s="73"/>
      <c r="M2581" s="73"/>
      <c r="N2581" s="73"/>
      <c r="O2581" s="73"/>
      <c r="P2581" s="73"/>
      <c r="Q2581" s="73"/>
      <c r="R2581" s="73"/>
      <c r="S2581" s="73"/>
      <c r="T2581" s="73"/>
      <c r="U2581" s="73"/>
      <c r="V2581" s="73"/>
      <c r="W2581" s="73"/>
      <c r="GL2581" s="73"/>
      <c r="GM2581" s="73"/>
      <c r="GN2581" s="73"/>
      <c r="GO2581" s="73"/>
      <c r="GP2581" s="73"/>
      <c r="GQ2581" s="73"/>
      <c r="GR2581" s="73"/>
      <c r="GS2581" s="73"/>
      <c r="GT2581" s="73"/>
      <c r="GU2581" s="73"/>
      <c r="GV2581" s="73"/>
      <c r="GW2581" s="73"/>
      <c r="GX2581" s="73"/>
      <c r="GY2581" s="73"/>
      <c r="GZ2581" s="73"/>
      <c r="HA2581" s="73"/>
      <c r="HB2581" s="73"/>
      <c r="HC2581" s="73"/>
      <c r="HD2581" s="73"/>
      <c r="HE2581" s="73"/>
      <c r="HF2581" s="73"/>
      <c r="HG2581" s="73"/>
      <c r="HH2581" s="73"/>
      <c r="HI2581" s="73"/>
      <c r="HJ2581" s="73"/>
      <c r="HK2581" s="73"/>
      <c r="HL2581" s="73"/>
      <c r="HM2581" s="73"/>
      <c r="HN2581" s="73"/>
      <c r="HO2581" s="73"/>
      <c r="HP2581" s="73"/>
      <c r="HQ2581" s="73"/>
      <c r="HR2581" s="73"/>
      <c r="HS2581" s="73"/>
      <c r="HT2581" s="73"/>
      <c r="HU2581" s="73"/>
      <c r="HV2581" s="73"/>
      <c r="HW2581" s="73"/>
      <c r="HX2581" s="73"/>
      <c r="HY2581" s="73"/>
      <c r="HZ2581" s="73"/>
      <c r="IA2581" s="73"/>
      <c r="IB2581" s="73"/>
      <c r="IC2581" s="73"/>
      <c r="ID2581" s="73"/>
      <c r="IE2581" s="73"/>
      <c r="IF2581" s="73"/>
      <c r="IG2581" s="73"/>
      <c r="IH2581" s="73"/>
      <c r="II2581" s="73"/>
      <c r="IJ2581" s="73"/>
      <c r="IK2581" s="73"/>
      <c r="IL2581" s="73"/>
      <c r="IM2581" s="73"/>
      <c r="IN2581" s="73"/>
      <c r="IO2581" s="73"/>
      <c r="IP2581" s="73"/>
      <c r="IQ2581" s="73"/>
      <c r="IR2581" s="73"/>
      <c r="IS2581" s="73"/>
      <c r="IT2581" s="73"/>
      <c r="IU2581" s="73"/>
      <c r="IV2581" s="73"/>
      <c r="IW2581" s="73"/>
      <c r="IX2581" s="73"/>
      <c r="IY2581" s="73"/>
      <c r="IZ2581" s="73"/>
      <c r="JA2581" s="73"/>
      <c r="JB2581" s="73"/>
      <c r="JC2581" s="73"/>
    </row>
    <row r="2582" spans="2:263" s="72" customFormat="1">
      <c r="B2582" s="73"/>
      <c r="C2582" s="73"/>
      <c r="D2582" s="73"/>
      <c r="E2582" s="73"/>
      <c r="F2582" s="73"/>
      <c r="G2582" s="73"/>
      <c r="H2582" s="73"/>
      <c r="I2582" s="73"/>
      <c r="J2582" s="73"/>
      <c r="K2582" s="73"/>
      <c r="L2582" s="73"/>
      <c r="M2582" s="73"/>
      <c r="N2582" s="73"/>
      <c r="O2582" s="73"/>
      <c r="P2582" s="73"/>
      <c r="Q2582" s="73"/>
      <c r="R2582" s="73"/>
      <c r="S2582" s="73"/>
      <c r="T2582" s="73"/>
      <c r="U2582" s="73"/>
      <c r="V2582" s="73"/>
      <c r="W2582" s="73"/>
      <c r="GL2582" s="73"/>
      <c r="GM2582" s="73"/>
      <c r="GN2582" s="73"/>
      <c r="GO2582" s="73"/>
      <c r="GP2582" s="73"/>
      <c r="GQ2582" s="73"/>
      <c r="GR2582" s="73"/>
      <c r="GS2582" s="73"/>
      <c r="GT2582" s="73"/>
      <c r="GU2582" s="73"/>
      <c r="GV2582" s="73"/>
      <c r="GW2582" s="73"/>
      <c r="GX2582" s="73"/>
      <c r="GY2582" s="73"/>
      <c r="GZ2582" s="73"/>
      <c r="HA2582" s="73"/>
      <c r="HB2582" s="73"/>
      <c r="HC2582" s="73"/>
      <c r="HD2582" s="73"/>
      <c r="HE2582" s="73"/>
      <c r="HF2582" s="73"/>
      <c r="HG2582" s="73"/>
      <c r="HH2582" s="73"/>
      <c r="HI2582" s="73"/>
      <c r="HJ2582" s="73"/>
      <c r="HK2582" s="73"/>
      <c r="HL2582" s="73"/>
      <c r="HM2582" s="73"/>
      <c r="HN2582" s="73"/>
      <c r="HO2582" s="73"/>
      <c r="HP2582" s="73"/>
      <c r="HQ2582" s="73"/>
      <c r="HR2582" s="73"/>
      <c r="HS2582" s="73"/>
      <c r="HT2582" s="73"/>
      <c r="HU2582" s="73"/>
      <c r="HV2582" s="73"/>
      <c r="HW2582" s="73"/>
      <c r="HX2582" s="73"/>
      <c r="HY2582" s="73"/>
      <c r="HZ2582" s="73"/>
      <c r="IA2582" s="73"/>
      <c r="IB2582" s="73"/>
      <c r="IC2582" s="73"/>
      <c r="ID2582" s="73"/>
      <c r="IE2582" s="73"/>
      <c r="IF2582" s="73"/>
      <c r="IG2582" s="73"/>
      <c r="IH2582" s="73"/>
      <c r="II2582" s="73"/>
      <c r="IJ2582" s="73"/>
      <c r="IK2582" s="73"/>
      <c r="IL2582" s="73"/>
      <c r="IM2582" s="73"/>
      <c r="IN2582" s="73"/>
      <c r="IO2582" s="73"/>
      <c r="IP2582" s="73"/>
      <c r="IQ2582" s="73"/>
      <c r="IR2582" s="73"/>
      <c r="IS2582" s="73"/>
      <c r="IT2582" s="73"/>
      <c r="IU2582" s="73"/>
      <c r="IV2582" s="73"/>
      <c r="IW2582" s="73"/>
      <c r="IX2582" s="73"/>
      <c r="IY2582" s="73"/>
      <c r="IZ2582" s="73"/>
      <c r="JA2582" s="73"/>
      <c r="JB2582" s="73"/>
      <c r="JC2582" s="73"/>
    </row>
    <row r="2583" spans="2:263" s="72" customFormat="1">
      <c r="B2583" s="73"/>
      <c r="C2583" s="73"/>
      <c r="D2583" s="73"/>
      <c r="E2583" s="73"/>
      <c r="F2583" s="73"/>
      <c r="G2583" s="73"/>
      <c r="H2583" s="73"/>
      <c r="I2583" s="73"/>
      <c r="J2583" s="73"/>
      <c r="K2583" s="73"/>
      <c r="L2583" s="73"/>
      <c r="M2583" s="73"/>
      <c r="N2583" s="73"/>
      <c r="O2583" s="73"/>
      <c r="P2583" s="73"/>
      <c r="Q2583" s="73"/>
      <c r="R2583" s="73"/>
      <c r="S2583" s="73"/>
      <c r="T2583" s="73"/>
      <c r="U2583" s="73"/>
      <c r="V2583" s="73"/>
      <c r="W2583" s="73"/>
      <c r="GL2583" s="73"/>
      <c r="GM2583" s="73"/>
      <c r="GN2583" s="73"/>
      <c r="GO2583" s="73"/>
      <c r="GP2583" s="73"/>
      <c r="GQ2583" s="73"/>
      <c r="GR2583" s="73"/>
      <c r="GS2583" s="73"/>
      <c r="GT2583" s="73"/>
      <c r="GU2583" s="73"/>
      <c r="GV2583" s="73"/>
      <c r="GW2583" s="73"/>
      <c r="GX2583" s="73"/>
      <c r="GY2583" s="73"/>
      <c r="GZ2583" s="73"/>
      <c r="HA2583" s="73"/>
      <c r="HB2583" s="73"/>
      <c r="HC2583" s="73"/>
      <c r="HD2583" s="73"/>
      <c r="HE2583" s="73"/>
      <c r="HF2583" s="73"/>
      <c r="HG2583" s="73"/>
      <c r="HH2583" s="73"/>
      <c r="HI2583" s="73"/>
      <c r="HJ2583" s="73"/>
      <c r="HK2583" s="73"/>
      <c r="HL2583" s="73"/>
      <c r="HM2583" s="73"/>
      <c r="HN2583" s="73"/>
      <c r="HO2583" s="73"/>
      <c r="HP2583" s="73"/>
      <c r="HQ2583" s="73"/>
      <c r="HR2583" s="73"/>
      <c r="HS2583" s="73"/>
      <c r="HT2583" s="73"/>
      <c r="HU2583" s="73"/>
      <c r="HV2583" s="73"/>
      <c r="HW2583" s="73"/>
      <c r="HX2583" s="73"/>
      <c r="HY2583" s="73"/>
      <c r="HZ2583" s="73"/>
      <c r="IA2583" s="73"/>
      <c r="IB2583" s="73"/>
      <c r="IC2583" s="73"/>
      <c r="ID2583" s="73"/>
      <c r="IE2583" s="73"/>
      <c r="IF2583" s="73"/>
      <c r="IG2583" s="73"/>
      <c r="IH2583" s="73"/>
      <c r="II2583" s="73"/>
      <c r="IJ2583" s="73"/>
      <c r="IK2583" s="73"/>
      <c r="IL2583" s="73"/>
      <c r="IM2583" s="73"/>
      <c r="IN2583" s="73"/>
      <c r="IO2583" s="73"/>
      <c r="IP2583" s="73"/>
      <c r="IQ2583" s="73"/>
      <c r="IR2583" s="73"/>
      <c r="IS2583" s="73"/>
      <c r="IT2583" s="73"/>
      <c r="IU2583" s="73"/>
      <c r="IV2583" s="73"/>
      <c r="IW2583" s="73"/>
      <c r="IX2583" s="73"/>
      <c r="IY2583" s="73"/>
      <c r="IZ2583" s="73"/>
      <c r="JA2583" s="73"/>
      <c r="JB2583" s="73"/>
      <c r="JC2583" s="73"/>
    </row>
    <row r="2584" spans="2:263" s="72" customFormat="1">
      <c r="B2584" s="73"/>
      <c r="C2584" s="73"/>
      <c r="D2584" s="73"/>
      <c r="E2584" s="73"/>
      <c r="F2584" s="73"/>
      <c r="G2584" s="73"/>
      <c r="H2584" s="73"/>
      <c r="I2584" s="73"/>
      <c r="J2584" s="73"/>
      <c r="K2584" s="73"/>
      <c r="L2584" s="73"/>
      <c r="M2584" s="73"/>
      <c r="N2584" s="73"/>
      <c r="O2584" s="73"/>
      <c r="P2584" s="73"/>
      <c r="Q2584" s="73"/>
      <c r="R2584" s="73"/>
      <c r="S2584" s="73"/>
      <c r="T2584" s="73"/>
      <c r="U2584" s="73"/>
      <c r="V2584" s="73"/>
      <c r="W2584" s="73"/>
      <c r="GL2584" s="73"/>
      <c r="GM2584" s="73"/>
      <c r="GN2584" s="73"/>
      <c r="GO2584" s="73"/>
      <c r="GP2584" s="73"/>
      <c r="GQ2584" s="73"/>
      <c r="GR2584" s="73"/>
      <c r="GS2584" s="73"/>
      <c r="GT2584" s="73"/>
      <c r="GU2584" s="73"/>
      <c r="GV2584" s="73"/>
      <c r="GW2584" s="73"/>
      <c r="GX2584" s="73"/>
      <c r="GY2584" s="73"/>
      <c r="GZ2584" s="73"/>
      <c r="HA2584" s="73"/>
      <c r="HB2584" s="73"/>
      <c r="HC2584" s="73"/>
      <c r="HD2584" s="73"/>
      <c r="HE2584" s="73"/>
      <c r="HF2584" s="73"/>
      <c r="HG2584" s="73"/>
      <c r="HH2584" s="73"/>
      <c r="HI2584" s="73"/>
      <c r="HJ2584" s="73"/>
      <c r="HK2584" s="73"/>
      <c r="HL2584" s="73"/>
      <c r="HM2584" s="73"/>
      <c r="HN2584" s="73"/>
      <c r="HO2584" s="73"/>
      <c r="HP2584" s="73"/>
      <c r="HQ2584" s="73"/>
      <c r="HR2584" s="73"/>
      <c r="HS2584" s="73"/>
      <c r="HT2584" s="73"/>
      <c r="HU2584" s="73"/>
      <c r="HV2584" s="73"/>
      <c r="HW2584" s="73"/>
      <c r="HX2584" s="73"/>
      <c r="HY2584" s="73"/>
      <c r="HZ2584" s="73"/>
      <c r="IA2584" s="73"/>
      <c r="IB2584" s="73"/>
      <c r="IC2584" s="73"/>
      <c r="ID2584" s="73"/>
      <c r="IE2584" s="73"/>
      <c r="IF2584" s="73"/>
      <c r="IG2584" s="73"/>
      <c r="IH2584" s="73"/>
      <c r="II2584" s="73"/>
      <c r="IJ2584" s="73"/>
      <c r="IK2584" s="73"/>
      <c r="IL2584" s="73"/>
      <c r="IM2584" s="73"/>
      <c r="IN2584" s="73"/>
      <c r="IO2584" s="73"/>
      <c r="IP2584" s="73"/>
      <c r="IQ2584" s="73"/>
      <c r="IR2584" s="73"/>
      <c r="IS2584" s="73"/>
      <c r="IT2584" s="73"/>
      <c r="IU2584" s="73"/>
      <c r="IV2584" s="73"/>
      <c r="IW2584" s="73"/>
      <c r="IX2584" s="73"/>
      <c r="IY2584" s="73"/>
      <c r="IZ2584" s="73"/>
      <c r="JA2584" s="73"/>
      <c r="JB2584" s="73"/>
      <c r="JC2584" s="73"/>
    </row>
    <row r="2585" spans="2:263" s="72" customFormat="1">
      <c r="B2585" s="73"/>
      <c r="C2585" s="73"/>
      <c r="D2585" s="73"/>
      <c r="E2585" s="73"/>
      <c r="F2585" s="73"/>
      <c r="G2585" s="73"/>
      <c r="H2585" s="73"/>
      <c r="I2585" s="73"/>
      <c r="J2585" s="73"/>
      <c r="K2585" s="73"/>
      <c r="L2585" s="73"/>
      <c r="M2585" s="73"/>
      <c r="N2585" s="73"/>
      <c r="O2585" s="73"/>
      <c r="P2585" s="73"/>
      <c r="Q2585" s="73"/>
      <c r="R2585" s="73"/>
      <c r="S2585" s="73"/>
      <c r="T2585" s="73"/>
      <c r="U2585" s="73"/>
      <c r="V2585" s="73"/>
      <c r="W2585" s="73"/>
      <c r="GL2585" s="73"/>
      <c r="GM2585" s="73"/>
      <c r="GN2585" s="73"/>
      <c r="GO2585" s="73"/>
      <c r="GP2585" s="73"/>
      <c r="GQ2585" s="73"/>
      <c r="GR2585" s="73"/>
      <c r="GS2585" s="73"/>
      <c r="GT2585" s="73"/>
      <c r="GU2585" s="73"/>
      <c r="GV2585" s="73"/>
      <c r="GW2585" s="73"/>
      <c r="GX2585" s="73"/>
      <c r="GY2585" s="73"/>
      <c r="GZ2585" s="73"/>
      <c r="HA2585" s="73"/>
      <c r="HB2585" s="73"/>
      <c r="HC2585" s="73"/>
      <c r="HD2585" s="73"/>
      <c r="HE2585" s="73"/>
      <c r="HF2585" s="73"/>
      <c r="HG2585" s="73"/>
      <c r="HH2585" s="73"/>
      <c r="HI2585" s="73"/>
      <c r="HJ2585" s="73"/>
      <c r="HK2585" s="73"/>
      <c r="HL2585" s="73"/>
      <c r="HM2585" s="73"/>
      <c r="HN2585" s="73"/>
      <c r="HO2585" s="73"/>
      <c r="HP2585" s="73"/>
      <c r="HQ2585" s="73"/>
      <c r="HR2585" s="73"/>
      <c r="HS2585" s="73"/>
      <c r="HT2585" s="73"/>
      <c r="HU2585" s="73"/>
      <c r="HV2585" s="73"/>
      <c r="HW2585" s="73"/>
      <c r="HX2585" s="73"/>
      <c r="HY2585" s="73"/>
      <c r="HZ2585" s="73"/>
      <c r="IA2585" s="73"/>
      <c r="IB2585" s="73"/>
      <c r="IC2585" s="73"/>
      <c r="ID2585" s="73"/>
      <c r="IE2585" s="73"/>
      <c r="IF2585" s="73"/>
      <c r="IG2585" s="73"/>
      <c r="IH2585" s="73"/>
      <c r="II2585" s="73"/>
      <c r="IJ2585" s="73"/>
      <c r="IK2585" s="73"/>
      <c r="IL2585" s="73"/>
      <c r="IM2585" s="73"/>
      <c r="IN2585" s="73"/>
      <c r="IO2585" s="73"/>
      <c r="IP2585" s="73"/>
      <c r="IQ2585" s="73"/>
      <c r="IR2585" s="73"/>
      <c r="IS2585" s="73"/>
      <c r="IT2585" s="73"/>
      <c r="IU2585" s="73"/>
      <c r="IV2585" s="73"/>
      <c r="IW2585" s="73"/>
      <c r="IX2585" s="73"/>
      <c r="IY2585" s="73"/>
      <c r="IZ2585" s="73"/>
      <c r="JA2585" s="73"/>
      <c r="JB2585" s="73"/>
      <c r="JC2585" s="73"/>
    </row>
    <row r="2586" spans="2:263" s="72" customFormat="1">
      <c r="B2586" s="73"/>
      <c r="C2586" s="73"/>
      <c r="D2586" s="73"/>
      <c r="E2586" s="73"/>
      <c r="F2586" s="73"/>
      <c r="G2586" s="73"/>
      <c r="H2586" s="73"/>
      <c r="I2586" s="73"/>
      <c r="J2586" s="73"/>
      <c r="K2586" s="73"/>
      <c r="L2586" s="73"/>
      <c r="M2586" s="73"/>
      <c r="N2586" s="73"/>
      <c r="O2586" s="73"/>
      <c r="P2586" s="73"/>
      <c r="Q2586" s="73"/>
      <c r="R2586" s="73"/>
      <c r="S2586" s="73"/>
      <c r="T2586" s="73"/>
      <c r="U2586" s="73"/>
      <c r="V2586" s="73"/>
      <c r="W2586" s="73"/>
      <c r="GL2586" s="73"/>
      <c r="GM2586" s="73"/>
      <c r="GN2586" s="73"/>
      <c r="GO2586" s="73"/>
      <c r="GP2586" s="73"/>
      <c r="GQ2586" s="73"/>
      <c r="GR2586" s="73"/>
      <c r="GS2586" s="73"/>
      <c r="GT2586" s="73"/>
      <c r="GU2586" s="73"/>
      <c r="GV2586" s="73"/>
      <c r="GW2586" s="73"/>
      <c r="GX2586" s="73"/>
      <c r="GY2586" s="73"/>
      <c r="GZ2586" s="73"/>
      <c r="HA2586" s="73"/>
      <c r="HB2586" s="73"/>
      <c r="HC2586" s="73"/>
      <c r="HD2586" s="73"/>
      <c r="HE2586" s="73"/>
      <c r="HF2586" s="73"/>
      <c r="HG2586" s="73"/>
      <c r="HH2586" s="73"/>
      <c r="HI2586" s="73"/>
      <c r="HJ2586" s="73"/>
      <c r="HK2586" s="73"/>
      <c r="HL2586" s="73"/>
      <c r="HM2586" s="73"/>
      <c r="HN2586" s="73"/>
      <c r="HO2586" s="73"/>
      <c r="HP2586" s="73"/>
      <c r="HQ2586" s="73"/>
      <c r="HR2586" s="73"/>
      <c r="HS2586" s="73"/>
      <c r="HT2586" s="73"/>
      <c r="HU2586" s="73"/>
      <c r="HV2586" s="73"/>
      <c r="HW2586" s="73"/>
      <c r="HX2586" s="73"/>
      <c r="HY2586" s="73"/>
      <c r="HZ2586" s="73"/>
      <c r="IA2586" s="73"/>
      <c r="IB2586" s="73"/>
      <c r="IC2586" s="73"/>
      <c r="ID2586" s="73"/>
      <c r="IE2586" s="73"/>
      <c r="IF2586" s="73"/>
      <c r="IG2586" s="73"/>
      <c r="IH2586" s="73"/>
      <c r="II2586" s="73"/>
      <c r="IJ2586" s="73"/>
      <c r="IK2586" s="73"/>
      <c r="IL2586" s="73"/>
      <c r="IM2586" s="73"/>
      <c r="IN2586" s="73"/>
      <c r="IO2586" s="73"/>
      <c r="IP2586" s="73"/>
      <c r="IQ2586" s="73"/>
      <c r="IR2586" s="73"/>
      <c r="IS2586" s="73"/>
      <c r="IT2586" s="73"/>
      <c r="IU2586" s="73"/>
      <c r="IV2586" s="73"/>
      <c r="IW2586" s="73"/>
      <c r="IX2586" s="73"/>
      <c r="IY2586" s="73"/>
      <c r="IZ2586" s="73"/>
      <c r="JA2586" s="73"/>
      <c r="JB2586" s="73"/>
      <c r="JC2586" s="73"/>
    </row>
    <row r="2587" spans="2:263" s="72" customFormat="1">
      <c r="B2587" s="73"/>
      <c r="C2587" s="73"/>
      <c r="D2587" s="73"/>
      <c r="E2587" s="73"/>
      <c r="F2587" s="73"/>
      <c r="G2587" s="73"/>
      <c r="H2587" s="73"/>
      <c r="I2587" s="73"/>
      <c r="J2587" s="73"/>
      <c r="K2587" s="73"/>
      <c r="L2587" s="73"/>
      <c r="M2587" s="73"/>
      <c r="N2587" s="73"/>
      <c r="O2587" s="73"/>
      <c r="P2587" s="73"/>
      <c r="Q2587" s="73"/>
      <c r="R2587" s="73"/>
      <c r="S2587" s="73"/>
      <c r="T2587" s="73"/>
      <c r="U2587" s="73"/>
      <c r="V2587" s="73"/>
      <c r="W2587" s="73"/>
      <c r="GL2587" s="73"/>
      <c r="GM2587" s="73"/>
      <c r="GN2587" s="73"/>
      <c r="GO2587" s="73"/>
      <c r="GP2587" s="73"/>
      <c r="GQ2587" s="73"/>
      <c r="GR2587" s="73"/>
      <c r="GS2587" s="73"/>
      <c r="GT2587" s="73"/>
      <c r="GU2587" s="73"/>
      <c r="GV2587" s="73"/>
      <c r="GW2587" s="73"/>
      <c r="GX2587" s="73"/>
      <c r="GY2587" s="73"/>
      <c r="GZ2587" s="73"/>
      <c r="HA2587" s="73"/>
      <c r="HB2587" s="73"/>
      <c r="HC2587" s="73"/>
      <c r="HD2587" s="73"/>
      <c r="HE2587" s="73"/>
      <c r="HF2587" s="73"/>
      <c r="HG2587" s="73"/>
      <c r="HH2587" s="73"/>
      <c r="HI2587" s="73"/>
      <c r="HJ2587" s="73"/>
      <c r="HK2587" s="73"/>
      <c r="HL2587" s="73"/>
      <c r="HM2587" s="73"/>
      <c r="HN2587" s="73"/>
      <c r="HO2587" s="73"/>
      <c r="HP2587" s="73"/>
      <c r="HQ2587" s="73"/>
      <c r="HR2587" s="73"/>
      <c r="HS2587" s="73"/>
      <c r="HT2587" s="73"/>
      <c r="HU2587" s="73"/>
      <c r="HV2587" s="73"/>
      <c r="HW2587" s="73"/>
      <c r="HX2587" s="73"/>
      <c r="HY2587" s="73"/>
      <c r="HZ2587" s="73"/>
      <c r="IA2587" s="73"/>
      <c r="IB2587" s="73"/>
      <c r="IC2587" s="73"/>
      <c r="ID2587" s="73"/>
      <c r="IE2587" s="73"/>
      <c r="IF2587" s="73"/>
      <c r="IG2587" s="73"/>
      <c r="IH2587" s="73"/>
      <c r="II2587" s="73"/>
      <c r="IJ2587" s="73"/>
      <c r="IK2587" s="73"/>
      <c r="IL2587" s="73"/>
      <c r="IM2587" s="73"/>
      <c r="IN2587" s="73"/>
      <c r="IO2587" s="73"/>
      <c r="IP2587" s="73"/>
      <c r="IQ2587" s="73"/>
      <c r="IR2587" s="73"/>
      <c r="IS2587" s="73"/>
      <c r="IT2587" s="73"/>
      <c r="IU2587" s="73"/>
      <c r="IV2587" s="73"/>
      <c r="IW2587" s="73"/>
      <c r="IX2587" s="73"/>
      <c r="IY2587" s="73"/>
      <c r="IZ2587" s="73"/>
      <c r="JA2587" s="73"/>
      <c r="JB2587" s="73"/>
      <c r="JC2587" s="73"/>
    </row>
    <row r="2588" spans="2:263" s="72" customFormat="1">
      <c r="B2588" s="73"/>
      <c r="C2588" s="73"/>
      <c r="D2588" s="73"/>
      <c r="E2588" s="73"/>
      <c r="F2588" s="73"/>
      <c r="G2588" s="73"/>
      <c r="H2588" s="73"/>
      <c r="I2588" s="73"/>
      <c r="J2588" s="73"/>
      <c r="K2588" s="73"/>
      <c r="L2588" s="73"/>
      <c r="M2588" s="73"/>
      <c r="N2588" s="73"/>
      <c r="O2588" s="73"/>
      <c r="P2588" s="73"/>
      <c r="Q2588" s="73"/>
      <c r="R2588" s="73"/>
      <c r="S2588" s="73"/>
      <c r="T2588" s="73"/>
      <c r="U2588" s="73"/>
      <c r="V2588" s="73"/>
      <c r="W2588" s="73"/>
      <c r="GL2588" s="73"/>
      <c r="GM2588" s="73"/>
      <c r="GN2588" s="73"/>
      <c r="GO2588" s="73"/>
      <c r="GP2588" s="73"/>
      <c r="GQ2588" s="73"/>
      <c r="GR2588" s="73"/>
      <c r="GS2588" s="73"/>
      <c r="GT2588" s="73"/>
      <c r="GU2588" s="73"/>
      <c r="GV2588" s="73"/>
      <c r="GW2588" s="73"/>
      <c r="GX2588" s="73"/>
      <c r="GY2588" s="73"/>
      <c r="GZ2588" s="73"/>
      <c r="HA2588" s="73"/>
      <c r="HB2588" s="73"/>
      <c r="HC2588" s="73"/>
      <c r="HD2588" s="73"/>
      <c r="HE2588" s="73"/>
      <c r="HF2588" s="73"/>
      <c r="HG2588" s="73"/>
      <c r="HH2588" s="73"/>
      <c r="HI2588" s="73"/>
      <c r="HJ2588" s="73"/>
      <c r="HK2588" s="73"/>
      <c r="HL2588" s="73"/>
      <c r="HM2588" s="73"/>
      <c r="HN2588" s="73"/>
      <c r="HO2588" s="73"/>
      <c r="HP2588" s="73"/>
      <c r="HQ2588" s="73"/>
      <c r="HR2588" s="73"/>
      <c r="HS2588" s="73"/>
      <c r="HT2588" s="73"/>
      <c r="HU2588" s="73"/>
      <c r="HV2588" s="73"/>
      <c r="HW2588" s="73"/>
      <c r="HX2588" s="73"/>
      <c r="HY2588" s="73"/>
      <c r="HZ2588" s="73"/>
      <c r="IA2588" s="73"/>
      <c r="IB2588" s="73"/>
      <c r="IC2588" s="73"/>
      <c r="ID2588" s="73"/>
      <c r="IE2588" s="73"/>
      <c r="IF2588" s="73"/>
      <c r="IG2588" s="73"/>
      <c r="IH2588" s="73"/>
      <c r="II2588" s="73"/>
      <c r="IJ2588" s="73"/>
      <c r="IK2588" s="73"/>
      <c r="IL2588" s="73"/>
      <c r="IM2588" s="73"/>
      <c r="IN2588" s="73"/>
      <c r="IO2588" s="73"/>
      <c r="IP2588" s="73"/>
      <c r="IQ2588" s="73"/>
      <c r="IR2588" s="73"/>
      <c r="IS2588" s="73"/>
      <c r="IT2588" s="73"/>
      <c r="IU2588" s="73"/>
      <c r="IV2588" s="73"/>
      <c r="IW2588" s="73"/>
      <c r="IX2588" s="73"/>
      <c r="IY2588" s="73"/>
      <c r="IZ2588" s="73"/>
      <c r="JA2588" s="73"/>
      <c r="JB2588" s="73"/>
      <c r="JC2588" s="73"/>
    </row>
    <row r="2589" spans="2:263" s="72" customFormat="1">
      <c r="B2589" s="73"/>
      <c r="C2589" s="73"/>
      <c r="D2589" s="73"/>
      <c r="E2589" s="73"/>
      <c r="F2589" s="73"/>
      <c r="G2589" s="73"/>
      <c r="H2589" s="73"/>
      <c r="I2589" s="73"/>
      <c r="J2589" s="73"/>
      <c r="K2589" s="73"/>
      <c r="L2589" s="73"/>
      <c r="M2589" s="73"/>
      <c r="N2589" s="73"/>
      <c r="O2589" s="73"/>
      <c r="P2589" s="73"/>
      <c r="Q2589" s="73"/>
      <c r="R2589" s="73"/>
      <c r="S2589" s="73"/>
      <c r="T2589" s="73"/>
      <c r="U2589" s="73"/>
      <c r="V2589" s="73"/>
      <c r="W2589" s="73"/>
      <c r="GL2589" s="73"/>
      <c r="GM2589" s="73"/>
      <c r="GN2589" s="73"/>
      <c r="GO2589" s="73"/>
      <c r="GP2589" s="73"/>
      <c r="GQ2589" s="73"/>
      <c r="GR2589" s="73"/>
      <c r="GS2589" s="73"/>
      <c r="GT2589" s="73"/>
      <c r="GU2589" s="73"/>
      <c r="GV2589" s="73"/>
      <c r="GW2589" s="73"/>
      <c r="GX2589" s="73"/>
      <c r="GY2589" s="73"/>
      <c r="GZ2589" s="73"/>
      <c r="HA2589" s="73"/>
      <c r="HB2589" s="73"/>
      <c r="HC2589" s="73"/>
      <c r="HD2589" s="73"/>
      <c r="HE2589" s="73"/>
      <c r="HF2589" s="73"/>
      <c r="HG2589" s="73"/>
      <c r="HH2589" s="73"/>
      <c r="HI2589" s="73"/>
      <c r="HJ2589" s="73"/>
      <c r="HK2589" s="73"/>
      <c r="HL2589" s="73"/>
      <c r="HM2589" s="73"/>
      <c r="HN2589" s="73"/>
      <c r="HO2589" s="73"/>
      <c r="HP2589" s="73"/>
      <c r="HQ2589" s="73"/>
      <c r="HR2589" s="73"/>
      <c r="HS2589" s="73"/>
      <c r="HT2589" s="73"/>
      <c r="HU2589" s="73"/>
      <c r="HV2589" s="73"/>
      <c r="HW2589" s="73"/>
      <c r="HX2589" s="73"/>
      <c r="HY2589" s="73"/>
      <c r="HZ2589" s="73"/>
      <c r="IA2589" s="73"/>
      <c r="IB2589" s="73"/>
      <c r="IC2589" s="73"/>
      <c r="ID2589" s="73"/>
      <c r="IE2589" s="73"/>
      <c r="IF2589" s="73"/>
      <c r="IG2589" s="73"/>
      <c r="IH2589" s="73"/>
      <c r="II2589" s="73"/>
      <c r="IJ2589" s="73"/>
      <c r="IK2589" s="73"/>
      <c r="IL2589" s="73"/>
      <c r="IM2589" s="73"/>
      <c r="IN2589" s="73"/>
      <c r="IO2589" s="73"/>
      <c r="IP2589" s="73"/>
      <c r="IQ2589" s="73"/>
      <c r="IR2589" s="73"/>
      <c r="IS2589" s="73"/>
      <c r="IT2589" s="73"/>
      <c r="IU2589" s="73"/>
      <c r="IV2589" s="73"/>
      <c r="IW2589" s="73"/>
      <c r="IX2589" s="73"/>
      <c r="IY2589" s="73"/>
      <c r="IZ2589" s="73"/>
      <c r="JA2589" s="73"/>
      <c r="JB2589" s="73"/>
      <c r="JC2589" s="73"/>
    </row>
    <row r="2590" spans="2:263" s="72" customFormat="1">
      <c r="B2590" s="73"/>
      <c r="C2590" s="73"/>
      <c r="D2590" s="73"/>
      <c r="E2590" s="73"/>
      <c r="F2590" s="73"/>
      <c r="G2590" s="73"/>
      <c r="H2590" s="73"/>
      <c r="I2590" s="73"/>
      <c r="J2590" s="73"/>
      <c r="K2590" s="73"/>
      <c r="L2590" s="73"/>
      <c r="M2590" s="73"/>
      <c r="N2590" s="73"/>
      <c r="O2590" s="73"/>
      <c r="P2590" s="73"/>
      <c r="Q2590" s="73"/>
      <c r="R2590" s="73"/>
      <c r="S2590" s="73"/>
      <c r="T2590" s="73"/>
      <c r="U2590" s="73"/>
      <c r="V2590" s="73"/>
      <c r="W2590" s="73"/>
      <c r="GL2590" s="73"/>
      <c r="GM2590" s="73"/>
      <c r="GN2590" s="73"/>
      <c r="GO2590" s="73"/>
      <c r="GP2590" s="73"/>
      <c r="GQ2590" s="73"/>
      <c r="GR2590" s="73"/>
      <c r="GS2590" s="73"/>
      <c r="GT2590" s="73"/>
      <c r="GU2590" s="73"/>
      <c r="GV2590" s="73"/>
      <c r="GW2590" s="73"/>
      <c r="GX2590" s="73"/>
      <c r="GY2590" s="73"/>
      <c r="GZ2590" s="73"/>
      <c r="HA2590" s="73"/>
      <c r="HB2590" s="73"/>
      <c r="HC2590" s="73"/>
      <c r="HD2590" s="73"/>
      <c r="HE2590" s="73"/>
      <c r="HF2590" s="73"/>
      <c r="HG2590" s="73"/>
      <c r="HH2590" s="73"/>
      <c r="HI2590" s="73"/>
      <c r="HJ2590" s="73"/>
      <c r="HK2590" s="73"/>
      <c r="HL2590" s="73"/>
      <c r="HM2590" s="73"/>
      <c r="HN2590" s="73"/>
      <c r="HO2590" s="73"/>
      <c r="HP2590" s="73"/>
      <c r="HQ2590" s="73"/>
      <c r="HR2590" s="73"/>
      <c r="HS2590" s="73"/>
      <c r="HT2590" s="73"/>
      <c r="HU2590" s="73"/>
      <c r="HV2590" s="73"/>
      <c r="HW2590" s="73"/>
      <c r="HX2590" s="73"/>
      <c r="HY2590" s="73"/>
      <c r="HZ2590" s="73"/>
      <c r="IA2590" s="73"/>
      <c r="IB2590" s="73"/>
      <c r="IC2590" s="73"/>
      <c r="ID2590" s="73"/>
      <c r="IE2590" s="73"/>
      <c r="IF2590" s="73"/>
      <c r="IG2590" s="73"/>
      <c r="IH2590" s="73"/>
      <c r="II2590" s="73"/>
      <c r="IJ2590" s="73"/>
      <c r="IK2590" s="73"/>
      <c r="IL2590" s="73"/>
      <c r="IM2590" s="73"/>
      <c r="IN2590" s="73"/>
      <c r="IO2590" s="73"/>
      <c r="IP2590" s="73"/>
      <c r="IQ2590" s="73"/>
      <c r="IR2590" s="73"/>
      <c r="IS2590" s="73"/>
      <c r="IT2590" s="73"/>
      <c r="IU2590" s="73"/>
      <c r="IV2590" s="73"/>
      <c r="IW2590" s="73"/>
      <c r="IX2590" s="73"/>
      <c r="IY2590" s="73"/>
      <c r="IZ2590" s="73"/>
      <c r="JA2590" s="73"/>
      <c r="JB2590" s="73"/>
      <c r="JC2590" s="73"/>
    </row>
    <row r="2591" spans="2:263" s="72" customFormat="1">
      <c r="B2591" s="73"/>
      <c r="C2591" s="73"/>
      <c r="D2591" s="73"/>
      <c r="E2591" s="73"/>
      <c r="F2591" s="73"/>
      <c r="G2591" s="73"/>
      <c r="H2591" s="73"/>
      <c r="I2591" s="73"/>
      <c r="J2591" s="73"/>
      <c r="K2591" s="73"/>
      <c r="L2591" s="73"/>
      <c r="M2591" s="73"/>
      <c r="N2591" s="73"/>
      <c r="O2591" s="73"/>
      <c r="P2591" s="73"/>
      <c r="Q2591" s="73"/>
      <c r="R2591" s="73"/>
      <c r="S2591" s="73"/>
      <c r="T2591" s="73"/>
      <c r="U2591" s="73"/>
      <c r="V2591" s="73"/>
      <c r="W2591" s="73"/>
      <c r="GL2591" s="73"/>
      <c r="GM2591" s="73"/>
      <c r="GN2591" s="73"/>
      <c r="GO2591" s="73"/>
      <c r="GP2591" s="73"/>
      <c r="GQ2591" s="73"/>
      <c r="GR2591" s="73"/>
      <c r="GS2591" s="73"/>
      <c r="GT2591" s="73"/>
      <c r="GU2591" s="73"/>
      <c r="GV2591" s="73"/>
      <c r="GW2591" s="73"/>
      <c r="GX2591" s="73"/>
      <c r="GY2591" s="73"/>
      <c r="GZ2591" s="73"/>
      <c r="HA2591" s="73"/>
      <c r="HB2591" s="73"/>
      <c r="HC2591" s="73"/>
      <c r="HD2591" s="73"/>
      <c r="HE2591" s="73"/>
      <c r="HF2591" s="73"/>
      <c r="HG2591" s="73"/>
      <c r="HH2591" s="73"/>
      <c r="HI2591" s="73"/>
      <c r="HJ2591" s="73"/>
      <c r="HK2591" s="73"/>
      <c r="HL2591" s="73"/>
      <c r="HM2591" s="73"/>
      <c r="HN2591" s="73"/>
      <c r="HO2591" s="73"/>
      <c r="HP2591" s="73"/>
      <c r="HQ2591" s="73"/>
      <c r="HR2591" s="73"/>
      <c r="HS2591" s="73"/>
      <c r="HT2591" s="73"/>
      <c r="HU2591" s="73"/>
      <c r="HV2591" s="73"/>
      <c r="HW2591" s="73"/>
      <c r="HX2591" s="73"/>
      <c r="HY2591" s="73"/>
      <c r="HZ2591" s="73"/>
      <c r="IA2591" s="73"/>
      <c r="IB2591" s="73"/>
      <c r="IC2591" s="73"/>
      <c r="ID2591" s="73"/>
      <c r="IE2591" s="73"/>
      <c r="IF2591" s="73"/>
      <c r="IG2591" s="73"/>
      <c r="IH2591" s="73"/>
      <c r="II2591" s="73"/>
      <c r="IJ2591" s="73"/>
      <c r="IK2591" s="73"/>
      <c r="IL2591" s="73"/>
      <c r="IM2591" s="73"/>
      <c r="IN2591" s="73"/>
      <c r="IO2591" s="73"/>
      <c r="IP2591" s="73"/>
      <c r="IQ2591" s="73"/>
      <c r="IR2591" s="73"/>
      <c r="IS2591" s="73"/>
      <c r="IT2591" s="73"/>
      <c r="IU2591" s="73"/>
      <c r="IV2591" s="73"/>
      <c r="IW2591" s="73"/>
      <c r="IX2591" s="73"/>
      <c r="IY2591" s="73"/>
      <c r="IZ2591" s="73"/>
      <c r="JA2591" s="73"/>
      <c r="JB2591" s="73"/>
      <c r="JC2591" s="73"/>
    </row>
    <row r="2592" spans="2:263" s="72" customFormat="1">
      <c r="B2592" s="73"/>
      <c r="C2592" s="73"/>
      <c r="D2592" s="73"/>
      <c r="E2592" s="73"/>
      <c r="F2592" s="73"/>
      <c r="G2592" s="73"/>
      <c r="H2592" s="73"/>
      <c r="I2592" s="73"/>
      <c r="J2592" s="73"/>
      <c r="K2592" s="73"/>
      <c r="L2592" s="73"/>
      <c r="M2592" s="73"/>
      <c r="N2592" s="73"/>
      <c r="O2592" s="73"/>
      <c r="P2592" s="73"/>
      <c r="Q2592" s="73"/>
      <c r="R2592" s="73"/>
      <c r="S2592" s="73"/>
      <c r="T2592" s="73"/>
      <c r="U2592" s="73"/>
      <c r="V2592" s="73"/>
      <c r="W2592" s="73"/>
      <c r="GL2592" s="73"/>
      <c r="GM2592" s="73"/>
      <c r="GN2592" s="73"/>
      <c r="GO2592" s="73"/>
      <c r="GP2592" s="73"/>
      <c r="GQ2592" s="73"/>
      <c r="GR2592" s="73"/>
      <c r="GS2592" s="73"/>
      <c r="GT2592" s="73"/>
      <c r="GU2592" s="73"/>
      <c r="GV2592" s="73"/>
      <c r="GW2592" s="73"/>
      <c r="GX2592" s="73"/>
      <c r="GY2592" s="73"/>
      <c r="GZ2592" s="73"/>
      <c r="HA2592" s="73"/>
      <c r="HB2592" s="73"/>
      <c r="HC2592" s="73"/>
      <c r="HD2592" s="73"/>
      <c r="HE2592" s="73"/>
      <c r="HF2592" s="73"/>
      <c r="HG2592" s="73"/>
      <c r="HH2592" s="73"/>
      <c r="HI2592" s="73"/>
      <c r="HJ2592" s="73"/>
      <c r="HK2592" s="73"/>
      <c r="HL2592" s="73"/>
      <c r="HM2592" s="73"/>
      <c r="HN2592" s="73"/>
      <c r="HO2592" s="73"/>
      <c r="HP2592" s="73"/>
      <c r="HQ2592" s="73"/>
      <c r="HR2592" s="73"/>
      <c r="HS2592" s="73"/>
      <c r="HT2592" s="73"/>
      <c r="HU2592" s="73"/>
      <c r="HV2592" s="73"/>
      <c r="HW2592" s="73"/>
      <c r="HX2592" s="73"/>
      <c r="HY2592" s="73"/>
      <c r="HZ2592" s="73"/>
      <c r="IA2592" s="73"/>
      <c r="IB2592" s="73"/>
      <c r="IC2592" s="73"/>
      <c r="ID2592" s="73"/>
      <c r="IE2592" s="73"/>
      <c r="IF2592" s="73"/>
      <c r="IG2592" s="73"/>
      <c r="IH2592" s="73"/>
      <c r="II2592" s="73"/>
      <c r="IJ2592" s="73"/>
      <c r="IK2592" s="73"/>
      <c r="IL2592" s="73"/>
      <c r="IM2592" s="73"/>
      <c r="IN2592" s="73"/>
      <c r="IO2592" s="73"/>
      <c r="IP2592" s="73"/>
      <c r="IQ2592" s="73"/>
      <c r="IR2592" s="73"/>
      <c r="IS2592" s="73"/>
      <c r="IT2592" s="73"/>
      <c r="IU2592" s="73"/>
      <c r="IV2592" s="73"/>
      <c r="IW2592" s="73"/>
      <c r="IX2592" s="73"/>
      <c r="IY2592" s="73"/>
      <c r="IZ2592" s="73"/>
      <c r="JA2592" s="73"/>
      <c r="JB2592" s="73"/>
      <c r="JC2592" s="73"/>
    </row>
    <row r="2593" spans="2:263" s="72" customFormat="1">
      <c r="B2593" s="73"/>
      <c r="C2593" s="73"/>
      <c r="D2593" s="73"/>
      <c r="E2593" s="73"/>
      <c r="F2593" s="73"/>
      <c r="G2593" s="73"/>
      <c r="H2593" s="73"/>
      <c r="I2593" s="73"/>
      <c r="J2593" s="73"/>
      <c r="K2593" s="73"/>
      <c r="L2593" s="73"/>
      <c r="M2593" s="73"/>
      <c r="N2593" s="73"/>
      <c r="O2593" s="73"/>
      <c r="P2593" s="73"/>
      <c r="Q2593" s="73"/>
      <c r="R2593" s="73"/>
      <c r="S2593" s="73"/>
      <c r="T2593" s="73"/>
      <c r="U2593" s="73"/>
      <c r="V2593" s="73"/>
      <c r="W2593" s="73"/>
      <c r="GL2593" s="73"/>
      <c r="GM2593" s="73"/>
      <c r="GN2593" s="73"/>
      <c r="GO2593" s="73"/>
      <c r="GP2593" s="73"/>
      <c r="GQ2593" s="73"/>
      <c r="GR2593" s="73"/>
      <c r="GS2593" s="73"/>
      <c r="GT2593" s="73"/>
      <c r="GU2593" s="73"/>
      <c r="GV2593" s="73"/>
      <c r="GW2593" s="73"/>
      <c r="GX2593" s="73"/>
      <c r="GY2593" s="73"/>
      <c r="GZ2593" s="73"/>
      <c r="HA2593" s="73"/>
      <c r="HB2593" s="73"/>
      <c r="HC2593" s="73"/>
      <c r="HD2593" s="73"/>
      <c r="HE2593" s="73"/>
      <c r="HF2593" s="73"/>
      <c r="HG2593" s="73"/>
      <c r="HH2593" s="73"/>
      <c r="HI2593" s="73"/>
      <c r="HJ2593" s="73"/>
      <c r="HK2593" s="73"/>
      <c r="HL2593" s="73"/>
      <c r="HM2593" s="73"/>
      <c r="HN2593" s="73"/>
      <c r="HO2593" s="73"/>
      <c r="HP2593" s="73"/>
      <c r="HQ2593" s="73"/>
      <c r="HR2593" s="73"/>
      <c r="HS2593" s="73"/>
      <c r="HT2593" s="73"/>
      <c r="HU2593" s="73"/>
      <c r="HV2593" s="73"/>
      <c r="HW2593" s="73"/>
      <c r="HX2593" s="73"/>
      <c r="HY2593" s="73"/>
      <c r="HZ2593" s="73"/>
      <c r="IA2593" s="73"/>
      <c r="IB2593" s="73"/>
      <c r="IC2593" s="73"/>
      <c r="ID2593" s="73"/>
      <c r="IE2593" s="73"/>
      <c r="IF2593" s="73"/>
      <c r="IG2593" s="73"/>
      <c r="IH2593" s="73"/>
      <c r="II2593" s="73"/>
      <c r="IJ2593" s="73"/>
      <c r="IK2593" s="73"/>
      <c r="IL2593" s="73"/>
      <c r="IM2593" s="73"/>
      <c r="IN2593" s="73"/>
      <c r="IO2593" s="73"/>
      <c r="IP2593" s="73"/>
      <c r="IQ2593" s="73"/>
      <c r="IR2593" s="73"/>
      <c r="IS2593" s="73"/>
      <c r="IT2593" s="73"/>
      <c r="IU2593" s="73"/>
      <c r="IV2593" s="73"/>
      <c r="IW2593" s="73"/>
      <c r="IX2593" s="73"/>
      <c r="IY2593" s="73"/>
      <c r="IZ2593" s="73"/>
      <c r="JA2593" s="73"/>
      <c r="JB2593" s="73"/>
      <c r="JC2593" s="73"/>
    </row>
    <row r="2594" spans="2:263" s="72" customFormat="1">
      <c r="B2594" s="73"/>
      <c r="C2594" s="73"/>
      <c r="D2594" s="73"/>
      <c r="E2594" s="73"/>
      <c r="F2594" s="73"/>
      <c r="G2594" s="73"/>
      <c r="H2594" s="73"/>
      <c r="I2594" s="73"/>
      <c r="J2594" s="73"/>
      <c r="K2594" s="73"/>
      <c r="L2594" s="73"/>
      <c r="M2594" s="73"/>
      <c r="N2594" s="73"/>
      <c r="O2594" s="73"/>
      <c r="P2594" s="73"/>
      <c r="Q2594" s="73"/>
      <c r="R2594" s="73"/>
      <c r="S2594" s="73"/>
      <c r="T2594" s="73"/>
      <c r="U2594" s="73"/>
      <c r="V2594" s="73"/>
      <c r="W2594" s="73"/>
      <c r="GL2594" s="73"/>
      <c r="GM2594" s="73"/>
      <c r="GN2594" s="73"/>
      <c r="GO2594" s="73"/>
      <c r="GP2594" s="73"/>
      <c r="GQ2594" s="73"/>
      <c r="GR2594" s="73"/>
      <c r="GS2594" s="73"/>
      <c r="GT2594" s="73"/>
      <c r="GU2594" s="73"/>
      <c r="GV2594" s="73"/>
      <c r="GW2594" s="73"/>
      <c r="GX2594" s="73"/>
      <c r="GY2594" s="73"/>
      <c r="GZ2594" s="73"/>
      <c r="HA2594" s="73"/>
      <c r="HB2594" s="73"/>
      <c r="HC2594" s="73"/>
      <c r="HD2594" s="73"/>
      <c r="HE2594" s="73"/>
      <c r="HF2594" s="73"/>
      <c r="HG2594" s="73"/>
      <c r="HH2594" s="73"/>
      <c r="HI2594" s="73"/>
      <c r="HJ2594" s="73"/>
      <c r="HK2594" s="73"/>
      <c r="HL2594" s="73"/>
      <c r="HM2594" s="73"/>
      <c r="HN2594" s="73"/>
      <c r="HO2594" s="73"/>
      <c r="HP2594" s="73"/>
      <c r="HQ2594" s="73"/>
      <c r="HR2594" s="73"/>
      <c r="HS2594" s="73"/>
      <c r="HT2594" s="73"/>
      <c r="HU2594" s="73"/>
      <c r="HV2594" s="73"/>
      <c r="HW2594" s="73"/>
      <c r="HX2594" s="73"/>
      <c r="HY2594" s="73"/>
      <c r="HZ2594" s="73"/>
      <c r="IA2594" s="73"/>
      <c r="IB2594" s="73"/>
      <c r="IC2594" s="73"/>
      <c r="ID2594" s="73"/>
      <c r="IE2594" s="73"/>
      <c r="IF2594" s="73"/>
      <c r="IG2594" s="73"/>
      <c r="IH2594" s="73"/>
      <c r="II2594" s="73"/>
      <c r="IJ2594" s="73"/>
      <c r="IK2594" s="73"/>
      <c r="IL2594" s="73"/>
      <c r="IM2594" s="73"/>
      <c r="IN2594" s="73"/>
      <c r="IO2594" s="73"/>
      <c r="IP2594" s="73"/>
      <c r="IQ2594" s="73"/>
      <c r="IR2594" s="73"/>
      <c r="IS2594" s="73"/>
      <c r="IT2594" s="73"/>
      <c r="IU2594" s="73"/>
      <c r="IV2594" s="73"/>
      <c r="IW2594" s="73"/>
      <c r="IX2594" s="73"/>
      <c r="IY2594" s="73"/>
      <c r="IZ2594" s="73"/>
      <c r="JA2594" s="73"/>
      <c r="JB2594" s="73"/>
      <c r="JC2594" s="73"/>
    </row>
    <row r="2595" spans="2:263" s="72" customFormat="1">
      <c r="B2595" s="73"/>
      <c r="C2595" s="73"/>
      <c r="D2595" s="73"/>
      <c r="E2595" s="73"/>
      <c r="F2595" s="73"/>
      <c r="G2595" s="73"/>
      <c r="H2595" s="73"/>
      <c r="I2595" s="73"/>
      <c r="J2595" s="73"/>
      <c r="K2595" s="73"/>
      <c r="L2595" s="73"/>
      <c r="M2595" s="73"/>
      <c r="N2595" s="73"/>
      <c r="O2595" s="73"/>
      <c r="P2595" s="73"/>
      <c r="Q2595" s="73"/>
      <c r="R2595" s="73"/>
      <c r="S2595" s="73"/>
      <c r="T2595" s="73"/>
      <c r="U2595" s="73"/>
      <c r="V2595" s="73"/>
      <c r="W2595" s="73"/>
      <c r="GL2595" s="73"/>
      <c r="GM2595" s="73"/>
      <c r="GN2595" s="73"/>
      <c r="GO2595" s="73"/>
      <c r="GP2595" s="73"/>
      <c r="GQ2595" s="73"/>
      <c r="GR2595" s="73"/>
      <c r="GS2595" s="73"/>
      <c r="GT2595" s="73"/>
      <c r="GU2595" s="73"/>
      <c r="GV2595" s="73"/>
      <c r="GW2595" s="73"/>
      <c r="GX2595" s="73"/>
      <c r="GY2595" s="73"/>
      <c r="GZ2595" s="73"/>
      <c r="HA2595" s="73"/>
      <c r="HB2595" s="73"/>
      <c r="HC2595" s="73"/>
      <c r="HD2595" s="73"/>
      <c r="HE2595" s="73"/>
      <c r="HF2595" s="73"/>
      <c r="HG2595" s="73"/>
      <c r="HH2595" s="73"/>
      <c r="HI2595" s="73"/>
      <c r="HJ2595" s="73"/>
      <c r="HK2595" s="73"/>
      <c r="HL2595" s="73"/>
      <c r="HM2595" s="73"/>
      <c r="HN2595" s="73"/>
      <c r="HO2595" s="73"/>
      <c r="HP2595" s="73"/>
      <c r="HQ2595" s="73"/>
      <c r="HR2595" s="73"/>
      <c r="HS2595" s="73"/>
      <c r="HT2595" s="73"/>
      <c r="HU2595" s="73"/>
      <c r="HV2595" s="73"/>
      <c r="HW2595" s="73"/>
      <c r="HX2595" s="73"/>
      <c r="HY2595" s="73"/>
      <c r="HZ2595" s="73"/>
      <c r="IA2595" s="73"/>
      <c r="IB2595" s="73"/>
      <c r="IC2595" s="73"/>
      <c r="ID2595" s="73"/>
      <c r="IE2595" s="73"/>
      <c r="IF2595" s="73"/>
      <c r="IG2595" s="73"/>
      <c r="IH2595" s="73"/>
      <c r="II2595" s="73"/>
      <c r="IJ2595" s="73"/>
      <c r="IK2595" s="73"/>
      <c r="IL2595" s="73"/>
      <c r="IM2595" s="73"/>
      <c r="IN2595" s="73"/>
      <c r="IO2595" s="73"/>
      <c r="IP2595" s="73"/>
      <c r="IQ2595" s="73"/>
      <c r="IR2595" s="73"/>
      <c r="IS2595" s="73"/>
      <c r="IT2595" s="73"/>
      <c r="IU2595" s="73"/>
      <c r="IV2595" s="73"/>
      <c r="IW2595" s="73"/>
      <c r="IX2595" s="73"/>
      <c r="IY2595" s="73"/>
      <c r="IZ2595" s="73"/>
      <c r="JA2595" s="73"/>
      <c r="JB2595" s="73"/>
      <c r="JC2595" s="73"/>
    </row>
    <row r="2596" spans="2:263" s="72" customFormat="1">
      <c r="B2596" s="73"/>
      <c r="C2596" s="73"/>
      <c r="D2596" s="73"/>
      <c r="E2596" s="73"/>
      <c r="F2596" s="73"/>
      <c r="G2596" s="73"/>
      <c r="H2596" s="73"/>
      <c r="I2596" s="73"/>
      <c r="J2596" s="73"/>
      <c r="K2596" s="73"/>
      <c r="L2596" s="73"/>
      <c r="M2596" s="73"/>
      <c r="N2596" s="73"/>
      <c r="O2596" s="73"/>
      <c r="P2596" s="73"/>
      <c r="Q2596" s="73"/>
      <c r="R2596" s="73"/>
      <c r="S2596" s="73"/>
      <c r="T2596" s="73"/>
      <c r="U2596" s="73"/>
      <c r="V2596" s="73"/>
      <c r="W2596" s="73"/>
      <c r="GL2596" s="73"/>
      <c r="GM2596" s="73"/>
      <c r="GN2596" s="73"/>
      <c r="GO2596" s="73"/>
      <c r="GP2596" s="73"/>
      <c r="GQ2596" s="73"/>
      <c r="GR2596" s="73"/>
      <c r="GS2596" s="73"/>
      <c r="GT2596" s="73"/>
      <c r="GU2596" s="73"/>
      <c r="GV2596" s="73"/>
      <c r="GW2596" s="73"/>
      <c r="GX2596" s="73"/>
      <c r="GY2596" s="73"/>
      <c r="GZ2596" s="73"/>
      <c r="HA2596" s="73"/>
      <c r="HB2596" s="73"/>
      <c r="HC2596" s="73"/>
      <c r="HD2596" s="73"/>
      <c r="HE2596" s="73"/>
      <c r="HF2596" s="73"/>
      <c r="HG2596" s="73"/>
      <c r="HH2596" s="73"/>
      <c r="HI2596" s="73"/>
      <c r="HJ2596" s="73"/>
      <c r="HK2596" s="73"/>
      <c r="HL2596" s="73"/>
      <c r="HM2596" s="73"/>
      <c r="HN2596" s="73"/>
      <c r="HO2596" s="73"/>
      <c r="HP2596" s="73"/>
      <c r="HQ2596" s="73"/>
      <c r="HR2596" s="73"/>
      <c r="HS2596" s="73"/>
      <c r="HT2596" s="73"/>
      <c r="HU2596" s="73"/>
      <c r="HV2596" s="73"/>
      <c r="HW2596" s="73"/>
      <c r="HX2596" s="73"/>
      <c r="HY2596" s="73"/>
      <c r="HZ2596" s="73"/>
      <c r="IA2596" s="73"/>
      <c r="IB2596" s="73"/>
      <c r="IC2596" s="73"/>
      <c r="ID2596" s="73"/>
      <c r="IE2596" s="73"/>
      <c r="IF2596" s="73"/>
      <c r="IG2596" s="73"/>
      <c r="IH2596" s="73"/>
      <c r="II2596" s="73"/>
      <c r="IJ2596" s="73"/>
      <c r="IK2596" s="73"/>
      <c r="IL2596" s="73"/>
      <c r="IM2596" s="73"/>
      <c r="IN2596" s="73"/>
      <c r="IO2596" s="73"/>
      <c r="IP2596" s="73"/>
      <c r="IQ2596" s="73"/>
      <c r="IR2596" s="73"/>
      <c r="IS2596" s="73"/>
      <c r="IT2596" s="73"/>
      <c r="IU2596" s="73"/>
      <c r="IV2596" s="73"/>
      <c r="IW2596" s="73"/>
      <c r="IX2596" s="73"/>
      <c r="IY2596" s="73"/>
      <c r="IZ2596" s="73"/>
      <c r="JA2596" s="73"/>
      <c r="JB2596" s="73"/>
      <c r="JC2596" s="73"/>
    </row>
    <row r="2597" spans="2:263" s="72" customFormat="1">
      <c r="B2597" s="73"/>
      <c r="C2597" s="73"/>
      <c r="D2597" s="73"/>
      <c r="E2597" s="73"/>
      <c r="F2597" s="73"/>
      <c r="G2597" s="73"/>
      <c r="H2597" s="73"/>
      <c r="I2597" s="73"/>
      <c r="J2597" s="73"/>
      <c r="K2597" s="73"/>
      <c r="L2597" s="73"/>
      <c r="M2597" s="73"/>
      <c r="N2597" s="73"/>
      <c r="O2597" s="73"/>
      <c r="P2597" s="73"/>
      <c r="Q2597" s="73"/>
      <c r="R2597" s="73"/>
      <c r="S2597" s="73"/>
      <c r="T2597" s="73"/>
      <c r="U2597" s="73"/>
      <c r="V2597" s="73"/>
      <c r="W2597" s="73"/>
      <c r="GL2597" s="73"/>
      <c r="GM2597" s="73"/>
      <c r="GN2597" s="73"/>
      <c r="GO2597" s="73"/>
      <c r="GP2597" s="73"/>
      <c r="GQ2597" s="73"/>
      <c r="GR2597" s="73"/>
      <c r="GS2597" s="73"/>
      <c r="GT2597" s="73"/>
      <c r="GU2597" s="73"/>
      <c r="GV2597" s="73"/>
      <c r="GW2597" s="73"/>
      <c r="GX2597" s="73"/>
      <c r="GY2597" s="73"/>
      <c r="GZ2597" s="73"/>
      <c r="HA2597" s="73"/>
      <c r="HB2597" s="73"/>
      <c r="HC2597" s="73"/>
      <c r="HD2597" s="73"/>
      <c r="HE2597" s="73"/>
      <c r="HF2597" s="73"/>
      <c r="HG2597" s="73"/>
      <c r="HH2597" s="73"/>
      <c r="HI2597" s="73"/>
      <c r="HJ2597" s="73"/>
      <c r="HK2597" s="73"/>
      <c r="HL2597" s="73"/>
      <c r="HM2597" s="73"/>
      <c r="HN2597" s="73"/>
      <c r="HO2597" s="73"/>
      <c r="HP2597" s="73"/>
      <c r="HQ2597" s="73"/>
      <c r="HR2597" s="73"/>
      <c r="HS2597" s="73"/>
      <c r="HT2597" s="73"/>
      <c r="HU2597" s="73"/>
      <c r="HV2597" s="73"/>
      <c r="HW2597" s="73"/>
      <c r="HX2597" s="73"/>
      <c r="HY2597" s="73"/>
      <c r="HZ2597" s="73"/>
      <c r="IA2597" s="73"/>
      <c r="IB2597" s="73"/>
      <c r="IC2597" s="73"/>
      <c r="ID2597" s="73"/>
      <c r="IE2597" s="73"/>
      <c r="IF2597" s="73"/>
      <c r="IG2597" s="73"/>
      <c r="IH2597" s="73"/>
      <c r="II2597" s="73"/>
      <c r="IJ2597" s="73"/>
      <c r="IK2597" s="73"/>
      <c r="IL2597" s="73"/>
      <c r="IM2597" s="73"/>
      <c r="IN2597" s="73"/>
      <c r="IO2597" s="73"/>
      <c r="IP2597" s="73"/>
      <c r="IQ2597" s="73"/>
      <c r="IR2597" s="73"/>
      <c r="IS2597" s="73"/>
      <c r="IT2597" s="73"/>
      <c r="IU2597" s="73"/>
      <c r="IV2597" s="73"/>
      <c r="IW2597" s="73"/>
      <c r="IX2597" s="73"/>
      <c r="IY2597" s="73"/>
      <c r="IZ2597" s="73"/>
      <c r="JA2597" s="73"/>
      <c r="JB2597" s="73"/>
      <c r="JC2597" s="73"/>
    </row>
    <row r="2598" spans="2:263" s="72" customFormat="1">
      <c r="B2598" s="73"/>
      <c r="C2598" s="73"/>
      <c r="D2598" s="73"/>
      <c r="E2598" s="73"/>
      <c r="F2598" s="73"/>
      <c r="G2598" s="73"/>
      <c r="H2598" s="73"/>
      <c r="I2598" s="73"/>
      <c r="J2598" s="73"/>
      <c r="K2598" s="73"/>
      <c r="L2598" s="73"/>
      <c r="M2598" s="73"/>
      <c r="N2598" s="73"/>
      <c r="O2598" s="73"/>
      <c r="P2598" s="73"/>
      <c r="Q2598" s="73"/>
      <c r="R2598" s="73"/>
      <c r="S2598" s="73"/>
      <c r="T2598" s="73"/>
      <c r="U2598" s="73"/>
      <c r="V2598" s="73"/>
      <c r="W2598" s="73"/>
      <c r="GL2598" s="73"/>
      <c r="GM2598" s="73"/>
      <c r="GN2598" s="73"/>
      <c r="GO2598" s="73"/>
      <c r="GP2598" s="73"/>
      <c r="GQ2598" s="73"/>
      <c r="GR2598" s="73"/>
      <c r="GS2598" s="73"/>
      <c r="GT2598" s="73"/>
      <c r="GU2598" s="73"/>
      <c r="GV2598" s="73"/>
      <c r="GW2598" s="73"/>
      <c r="GX2598" s="73"/>
      <c r="GY2598" s="73"/>
      <c r="GZ2598" s="73"/>
      <c r="HA2598" s="73"/>
      <c r="HB2598" s="73"/>
      <c r="HC2598" s="73"/>
      <c r="HD2598" s="73"/>
      <c r="HE2598" s="73"/>
      <c r="HF2598" s="73"/>
      <c r="HG2598" s="73"/>
      <c r="HH2598" s="73"/>
      <c r="HI2598" s="73"/>
      <c r="HJ2598" s="73"/>
      <c r="HK2598" s="73"/>
      <c r="HL2598" s="73"/>
      <c r="HM2598" s="73"/>
      <c r="HN2598" s="73"/>
      <c r="HO2598" s="73"/>
      <c r="HP2598" s="73"/>
      <c r="HQ2598" s="73"/>
      <c r="HR2598" s="73"/>
      <c r="HS2598" s="73"/>
      <c r="HT2598" s="73"/>
      <c r="HU2598" s="73"/>
      <c r="HV2598" s="73"/>
      <c r="HW2598" s="73"/>
      <c r="HX2598" s="73"/>
      <c r="HY2598" s="73"/>
      <c r="HZ2598" s="73"/>
      <c r="IA2598" s="73"/>
      <c r="IB2598" s="73"/>
      <c r="IC2598" s="73"/>
      <c r="ID2598" s="73"/>
      <c r="IE2598" s="73"/>
      <c r="IF2598" s="73"/>
      <c r="IG2598" s="73"/>
      <c r="IH2598" s="73"/>
      <c r="II2598" s="73"/>
      <c r="IJ2598" s="73"/>
      <c r="IK2598" s="73"/>
      <c r="IL2598" s="73"/>
      <c r="IM2598" s="73"/>
      <c r="IN2598" s="73"/>
      <c r="IO2598" s="73"/>
      <c r="IP2598" s="73"/>
      <c r="IQ2598" s="73"/>
      <c r="IR2598" s="73"/>
      <c r="IS2598" s="73"/>
      <c r="IT2598" s="73"/>
      <c r="IU2598" s="73"/>
      <c r="IV2598" s="73"/>
      <c r="IW2598" s="73"/>
      <c r="IX2598" s="73"/>
      <c r="IY2598" s="73"/>
      <c r="IZ2598" s="73"/>
      <c r="JA2598" s="73"/>
      <c r="JB2598" s="73"/>
      <c r="JC2598" s="73"/>
    </row>
    <row r="2599" spans="2:263" s="72" customFormat="1">
      <c r="B2599" s="73"/>
      <c r="C2599" s="73"/>
      <c r="D2599" s="73"/>
      <c r="E2599" s="73"/>
      <c r="F2599" s="73"/>
      <c r="G2599" s="73"/>
      <c r="H2599" s="73"/>
      <c r="I2599" s="73"/>
      <c r="J2599" s="73"/>
      <c r="K2599" s="73"/>
      <c r="L2599" s="73"/>
      <c r="M2599" s="73"/>
      <c r="N2599" s="73"/>
      <c r="O2599" s="73"/>
      <c r="P2599" s="73"/>
      <c r="Q2599" s="73"/>
      <c r="R2599" s="73"/>
      <c r="S2599" s="73"/>
      <c r="T2599" s="73"/>
      <c r="U2599" s="73"/>
      <c r="V2599" s="73"/>
      <c r="W2599" s="73"/>
      <c r="GL2599" s="73"/>
      <c r="GM2599" s="73"/>
      <c r="GN2599" s="73"/>
      <c r="GO2599" s="73"/>
      <c r="GP2599" s="73"/>
      <c r="GQ2599" s="73"/>
      <c r="GR2599" s="73"/>
      <c r="GS2599" s="73"/>
      <c r="GT2599" s="73"/>
      <c r="GU2599" s="73"/>
      <c r="GV2599" s="73"/>
      <c r="GW2599" s="73"/>
      <c r="GX2599" s="73"/>
      <c r="GY2599" s="73"/>
      <c r="GZ2599" s="73"/>
      <c r="HA2599" s="73"/>
      <c r="HB2599" s="73"/>
      <c r="HC2599" s="73"/>
      <c r="HD2599" s="73"/>
      <c r="HE2599" s="73"/>
      <c r="HF2599" s="73"/>
      <c r="HG2599" s="73"/>
      <c r="HH2599" s="73"/>
      <c r="HI2599" s="73"/>
      <c r="HJ2599" s="73"/>
      <c r="HK2599" s="73"/>
      <c r="HL2599" s="73"/>
      <c r="HM2599" s="73"/>
      <c r="HN2599" s="73"/>
      <c r="HO2599" s="73"/>
      <c r="HP2599" s="73"/>
      <c r="HQ2599" s="73"/>
      <c r="HR2599" s="73"/>
      <c r="HS2599" s="73"/>
      <c r="HT2599" s="73"/>
      <c r="HU2599" s="73"/>
      <c r="HV2599" s="73"/>
      <c r="HW2599" s="73"/>
      <c r="HX2599" s="73"/>
      <c r="HY2599" s="73"/>
      <c r="HZ2599" s="73"/>
      <c r="IA2599" s="73"/>
      <c r="IB2599" s="73"/>
      <c r="IC2599" s="73"/>
      <c r="ID2599" s="73"/>
      <c r="IE2599" s="73"/>
      <c r="IF2599" s="73"/>
      <c r="IG2599" s="73"/>
      <c r="IH2599" s="73"/>
      <c r="II2599" s="73"/>
      <c r="IJ2599" s="73"/>
      <c r="IK2599" s="73"/>
      <c r="IL2599" s="73"/>
      <c r="IM2599" s="73"/>
      <c r="IN2599" s="73"/>
      <c r="IO2599" s="73"/>
      <c r="IP2599" s="73"/>
      <c r="IQ2599" s="73"/>
      <c r="IR2599" s="73"/>
      <c r="IS2599" s="73"/>
      <c r="IT2599" s="73"/>
      <c r="IU2599" s="73"/>
      <c r="IV2599" s="73"/>
      <c r="IW2599" s="73"/>
      <c r="IX2599" s="73"/>
      <c r="IY2599" s="73"/>
      <c r="IZ2599" s="73"/>
      <c r="JA2599" s="73"/>
      <c r="JB2599" s="73"/>
      <c r="JC2599" s="73"/>
    </row>
    <row r="2600" spans="2:263" s="72" customFormat="1">
      <c r="B2600" s="73"/>
      <c r="C2600" s="73"/>
      <c r="D2600" s="73"/>
      <c r="E2600" s="73"/>
      <c r="F2600" s="73"/>
      <c r="G2600" s="73"/>
      <c r="H2600" s="73"/>
      <c r="I2600" s="73"/>
      <c r="J2600" s="73"/>
      <c r="K2600" s="73"/>
      <c r="L2600" s="73"/>
      <c r="M2600" s="73"/>
      <c r="N2600" s="73"/>
      <c r="O2600" s="73"/>
      <c r="P2600" s="73"/>
      <c r="Q2600" s="73"/>
      <c r="R2600" s="73"/>
      <c r="S2600" s="73"/>
      <c r="T2600" s="73"/>
      <c r="U2600" s="73"/>
      <c r="V2600" s="73"/>
      <c r="W2600" s="73"/>
      <c r="GL2600" s="73"/>
      <c r="GM2600" s="73"/>
      <c r="GN2600" s="73"/>
      <c r="GO2600" s="73"/>
      <c r="GP2600" s="73"/>
      <c r="GQ2600" s="73"/>
      <c r="GR2600" s="73"/>
      <c r="GS2600" s="73"/>
      <c r="GT2600" s="73"/>
      <c r="GU2600" s="73"/>
      <c r="GV2600" s="73"/>
      <c r="GW2600" s="73"/>
      <c r="GX2600" s="73"/>
      <c r="GY2600" s="73"/>
      <c r="GZ2600" s="73"/>
      <c r="HA2600" s="73"/>
      <c r="HB2600" s="73"/>
      <c r="HC2600" s="73"/>
      <c r="HD2600" s="73"/>
      <c r="HE2600" s="73"/>
      <c r="HF2600" s="73"/>
      <c r="HG2600" s="73"/>
      <c r="HH2600" s="73"/>
      <c r="HI2600" s="73"/>
      <c r="HJ2600" s="73"/>
      <c r="HK2600" s="73"/>
      <c r="HL2600" s="73"/>
      <c r="HM2600" s="73"/>
      <c r="HN2600" s="73"/>
      <c r="HO2600" s="73"/>
      <c r="HP2600" s="73"/>
      <c r="HQ2600" s="73"/>
      <c r="HR2600" s="73"/>
      <c r="HS2600" s="73"/>
      <c r="HT2600" s="73"/>
      <c r="HU2600" s="73"/>
      <c r="HV2600" s="73"/>
      <c r="HW2600" s="73"/>
      <c r="HX2600" s="73"/>
      <c r="HY2600" s="73"/>
      <c r="HZ2600" s="73"/>
      <c r="IA2600" s="73"/>
      <c r="IB2600" s="73"/>
      <c r="IC2600" s="73"/>
      <c r="ID2600" s="73"/>
      <c r="IE2600" s="73"/>
      <c r="IF2600" s="73"/>
      <c r="IG2600" s="73"/>
      <c r="IH2600" s="73"/>
      <c r="II2600" s="73"/>
      <c r="IJ2600" s="73"/>
      <c r="IK2600" s="73"/>
      <c r="IL2600" s="73"/>
      <c r="IM2600" s="73"/>
      <c r="IN2600" s="73"/>
      <c r="IO2600" s="73"/>
      <c r="IP2600" s="73"/>
      <c r="IQ2600" s="73"/>
      <c r="IR2600" s="73"/>
      <c r="IS2600" s="73"/>
      <c r="IT2600" s="73"/>
      <c r="IU2600" s="73"/>
      <c r="IV2600" s="73"/>
      <c r="IW2600" s="73"/>
      <c r="IX2600" s="73"/>
      <c r="IY2600" s="73"/>
      <c r="IZ2600" s="73"/>
      <c r="JA2600" s="73"/>
      <c r="JB2600" s="73"/>
      <c r="JC2600" s="73"/>
    </row>
    <row r="2601" spans="2:263" s="72" customFormat="1">
      <c r="B2601" s="73"/>
      <c r="C2601" s="73"/>
      <c r="D2601" s="73"/>
      <c r="E2601" s="73"/>
      <c r="F2601" s="73"/>
      <c r="G2601" s="73"/>
      <c r="H2601" s="73"/>
      <c r="I2601" s="73"/>
      <c r="J2601" s="73"/>
      <c r="K2601" s="73"/>
      <c r="L2601" s="73"/>
      <c r="M2601" s="73"/>
      <c r="N2601" s="73"/>
      <c r="O2601" s="73"/>
      <c r="P2601" s="73"/>
      <c r="Q2601" s="73"/>
      <c r="R2601" s="73"/>
      <c r="S2601" s="73"/>
      <c r="T2601" s="73"/>
      <c r="U2601" s="73"/>
      <c r="V2601" s="73"/>
      <c r="W2601" s="73"/>
      <c r="GL2601" s="73"/>
      <c r="GM2601" s="73"/>
      <c r="GN2601" s="73"/>
      <c r="GO2601" s="73"/>
      <c r="GP2601" s="73"/>
      <c r="GQ2601" s="73"/>
      <c r="GR2601" s="73"/>
      <c r="GS2601" s="73"/>
      <c r="GT2601" s="73"/>
      <c r="GU2601" s="73"/>
      <c r="GV2601" s="73"/>
      <c r="GW2601" s="73"/>
      <c r="GX2601" s="73"/>
      <c r="GY2601" s="73"/>
      <c r="GZ2601" s="73"/>
      <c r="HA2601" s="73"/>
      <c r="HB2601" s="73"/>
      <c r="HC2601" s="73"/>
      <c r="HD2601" s="73"/>
      <c r="HE2601" s="73"/>
      <c r="HF2601" s="73"/>
      <c r="HG2601" s="73"/>
      <c r="HH2601" s="73"/>
      <c r="HI2601" s="73"/>
      <c r="HJ2601" s="73"/>
      <c r="HK2601" s="73"/>
      <c r="HL2601" s="73"/>
      <c r="HM2601" s="73"/>
      <c r="HN2601" s="73"/>
      <c r="HO2601" s="73"/>
      <c r="HP2601" s="73"/>
      <c r="HQ2601" s="73"/>
      <c r="HR2601" s="73"/>
      <c r="HS2601" s="73"/>
      <c r="HT2601" s="73"/>
      <c r="HU2601" s="73"/>
      <c r="HV2601" s="73"/>
      <c r="HW2601" s="73"/>
      <c r="HX2601" s="73"/>
      <c r="HY2601" s="73"/>
      <c r="HZ2601" s="73"/>
      <c r="IA2601" s="73"/>
      <c r="IB2601" s="73"/>
      <c r="IC2601" s="73"/>
      <c r="ID2601" s="73"/>
      <c r="IE2601" s="73"/>
      <c r="IF2601" s="73"/>
      <c r="IG2601" s="73"/>
      <c r="IH2601" s="73"/>
      <c r="II2601" s="73"/>
      <c r="IJ2601" s="73"/>
      <c r="IK2601" s="73"/>
      <c r="IL2601" s="73"/>
      <c r="IM2601" s="73"/>
      <c r="IN2601" s="73"/>
      <c r="IO2601" s="73"/>
      <c r="IP2601" s="73"/>
      <c r="IQ2601" s="73"/>
      <c r="IR2601" s="73"/>
      <c r="IS2601" s="73"/>
      <c r="IT2601" s="73"/>
      <c r="IU2601" s="73"/>
      <c r="IV2601" s="73"/>
      <c r="IW2601" s="73"/>
      <c r="IX2601" s="73"/>
      <c r="IY2601" s="73"/>
      <c r="IZ2601" s="73"/>
      <c r="JA2601" s="73"/>
      <c r="JB2601" s="73"/>
      <c r="JC2601" s="73"/>
    </row>
    <row r="2602" spans="2:263" s="72" customFormat="1">
      <c r="B2602" s="73"/>
      <c r="C2602" s="73"/>
      <c r="D2602" s="73"/>
      <c r="E2602" s="73"/>
      <c r="F2602" s="73"/>
      <c r="G2602" s="73"/>
      <c r="H2602" s="73"/>
      <c r="I2602" s="73"/>
      <c r="J2602" s="73"/>
      <c r="K2602" s="73"/>
      <c r="L2602" s="73"/>
      <c r="M2602" s="73"/>
      <c r="N2602" s="73"/>
      <c r="O2602" s="73"/>
      <c r="P2602" s="73"/>
      <c r="Q2602" s="73"/>
      <c r="R2602" s="73"/>
      <c r="S2602" s="73"/>
      <c r="T2602" s="73"/>
      <c r="U2602" s="73"/>
      <c r="V2602" s="73"/>
      <c r="W2602" s="73"/>
      <c r="GL2602" s="73"/>
      <c r="GM2602" s="73"/>
      <c r="GN2602" s="73"/>
      <c r="GO2602" s="73"/>
      <c r="GP2602" s="73"/>
      <c r="GQ2602" s="73"/>
      <c r="GR2602" s="73"/>
      <c r="GS2602" s="73"/>
      <c r="GT2602" s="73"/>
      <c r="GU2602" s="73"/>
      <c r="GV2602" s="73"/>
      <c r="GW2602" s="73"/>
      <c r="GX2602" s="73"/>
      <c r="GY2602" s="73"/>
      <c r="GZ2602" s="73"/>
      <c r="HA2602" s="73"/>
      <c r="HB2602" s="73"/>
      <c r="HC2602" s="73"/>
      <c r="HD2602" s="73"/>
      <c r="HE2602" s="73"/>
      <c r="HF2602" s="73"/>
      <c r="HG2602" s="73"/>
      <c r="HH2602" s="73"/>
      <c r="HI2602" s="73"/>
      <c r="HJ2602" s="73"/>
      <c r="HK2602" s="73"/>
      <c r="HL2602" s="73"/>
      <c r="HM2602" s="73"/>
      <c r="HN2602" s="73"/>
      <c r="HO2602" s="73"/>
      <c r="HP2602" s="73"/>
      <c r="HQ2602" s="73"/>
      <c r="HR2602" s="73"/>
      <c r="HS2602" s="73"/>
      <c r="HT2602" s="73"/>
      <c r="HU2602" s="73"/>
      <c r="HV2602" s="73"/>
      <c r="HW2602" s="73"/>
      <c r="HX2602" s="73"/>
      <c r="HY2602" s="73"/>
      <c r="HZ2602" s="73"/>
      <c r="IA2602" s="73"/>
      <c r="IB2602" s="73"/>
      <c r="IC2602" s="73"/>
      <c r="ID2602" s="73"/>
      <c r="IE2602" s="73"/>
      <c r="IF2602" s="73"/>
      <c r="IG2602" s="73"/>
      <c r="IH2602" s="73"/>
      <c r="II2602" s="73"/>
      <c r="IJ2602" s="73"/>
      <c r="IK2602" s="73"/>
      <c r="IL2602" s="73"/>
      <c r="IM2602" s="73"/>
      <c r="IN2602" s="73"/>
      <c r="IO2602" s="73"/>
      <c r="IP2602" s="73"/>
      <c r="IQ2602" s="73"/>
      <c r="IR2602" s="73"/>
      <c r="IS2602" s="73"/>
      <c r="IT2602" s="73"/>
      <c r="IU2602" s="73"/>
      <c r="IV2602" s="73"/>
      <c r="IW2602" s="73"/>
      <c r="IX2602" s="73"/>
      <c r="IY2602" s="73"/>
      <c r="IZ2602" s="73"/>
      <c r="JA2602" s="73"/>
      <c r="JB2602" s="73"/>
      <c r="JC2602" s="73"/>
    </row>
    <row r="2603" spans="2:263" s="72" customFormat="1">
      <c r="B2603" s="73"/>
      <c r="C2603" s="73"/>
      <c r="D2603" s="73"/>
      <c r="E2603" s="73"/>
      <c r="F2603" s="73"/>
      <c r="G2603" s="73"/>
      <c r="H2603" s="73"/>
      <c r="I2603" s="73"/>
      <c r="J2603" s="73"/>
      <c r="K2603" s="73"/>
      <c r="L2603" s="73"/>
      <c r="M2603" s="73"/>
      <c r="N2603" s="73"/>
      <c r="O2603" s="73"/>
      <c r="P2603" s="73"/>
      <c r="Q2603" s="73"/>
      <c r="R2603" s="73"/>
      <c r="S2603" s="73"/>
      <c r="T2603" s="73"/>
      <c r="U2603" s="73"/>
      <c r="V2603" s="73"/>
      <c r="W2603" s="73"/>
      <c r="GL2603" s="73"/>
      <c r="GM2603" s="73"/>
      <c r="GN2603" s="73"/>
      <c r="GO2603" s="73"/>
      <c r="GP2603" s="73"/>
      <c r="GQ2603" s="73"/>
      <c r="GR2603" s="73"/>
      <c r="GS2603" s="73"/>
      <c r="GT2603" s="73"/>
      <c r="GU2603" s="73"/>
      <c r="GV2603" s="73"/>
      <c r="GW2603" s="73"/>
      <c r="GX2603" s="73"/>
      <c r="GY2603" s="73"/>
      <c r="GZ2603" s="73"/>
      <c r="HA2603" s="73"/>
      <c r="HB2603" s="73"/>
      <c r="HC2603" s="73"/>
      <c r="HD2603" s="73"/>
      <c r="HE2603" s="73"/>
      <c r="HF2603" s="73"/>
      <c r="HG2603" s="73"/>
      <c r="HH2603" s="73"/>
      <c r="HI2603" s="73"/>
      <c r="HJ2603" s="73"/>
      <c r="HK2603" s="73"/>
      <c r="HL2603" s="73"/>
      <c r="HM2603" s="73"/>
      <c r="HN2603" s="73"/>
      <c r="HO2603" s="73"/>
      <c r="HP2603" s="73"/>
      <c r="HQ2603" s="73"/>
      <c r="HR2603" s="73"/>
      <c r="HS2603" s="73"/>
      <c r="HT2603" s="73"/>
      <c r="HU2603" s="73"/>
      <c r="HV2603" s="73"/>
      <c r="HW2603" s="73"/>
      <c r="HX2603" s="73"/>
      <c r="HY2603" s="73"/>
      <c r="HZ2603" s="73"/>
      <c r="IA2603" s="73"/>
      <c r="IB2603" s="73"/>
      <c r="IC2603" s="73"/>
      <c r="ID2603" s="73"/>
      <c r="IE2603" s="73"/>
      <c r="IF2603" s="73"/>
      <c r="IG2603" s="73"/>
      <c r="IH2603" s="73"/>
      <c r="II2603" s="73"/>
      <c r="IJ2603" s="73"/>
      <c r="IK2603" s="73"/>
      <c r="IL2603" s="73"/>
      <c r="IM2603" s="73"/>
      <c r="IN2603" s="73"/>
      <c r="IO2603" s="73"/>
      <c r="IP2603" s="73"/>
      <c r="IQ2603" s="73"/>
      <c r="IR2603" s="73"/>
      <c r="IS2603" s="73"/>
      <c r="IT2603" s="73"/>
      <c r="IU2603" s="73"/>
      <c r="IV2603" s="73"/>
      <c r="IW2603" s="73"/>
      <c r="IX2603" s="73"/>
      <c r="IY2603" s="73"/>
      <c r="IZ2603" s="73"/>
      <c r="JA2603" s="73"/>
      <c r="JB2603" s="73"/>
      <c r="JC2603" s="73"/>
    </row>
    <row r="2604" spans="2:263" s="72" customFormat="1">
      <c r="B2604" s="73"/>
      <c r="C2604" s="73"/>
      <c r="D2604" s="73"/>
      <c r="E2604" s="73"/>
      <c r="F2604" s="73"/>
      <c r="G2604" s="73"/>
      <c r="H2604" s="73"/>
      <c r="I2604" s="73"/>
      <c r="J2604" s="73"/>
      <c r="K2604" s="73"/>
      <c r="L2604" s="73"/>
      <c r="M2604" s="73"/>
      <c r="N2604" s="73"/>
      <c r="O2604" s="73"/>
      <c r="P2604" s="73"/>
      <c r="Q2604" s="73"/>
      <c r="R2604" s="73"/>
      <c r="S2604" s="73"/>
      <c r="T2604" s="73"/>
      <c r="U2604" s="73"/>
      <c r="V2604" s="73"/>
      <c r="W2604" s="73"/>
      <c r="GL2604" s="73"/>
      <c r="GM2604" s="73"/>
      <c r="GN2604" s="73"/>
      <c r="GO2604" s="73"/>
      <c r="GP2604" s="73"/>
      <c r="GQ2604" s="73"/>
      <c r="GR2604" s="73"/>
      <c r="GS2604" s="73"/>
      <c r="GT2604" s="73"/>
      <c r="GU2604" s="73"/>
      <c r="GV2604" s="73"/>
      <c r="GW2604" s="73"/>
      <c r="GX2604" s="73"/>
      <c r="GY2604" s="73"/>
      <c r="GZ2604" s="73"/>
      <c r="HA2604" s="73"/>
      <c r="HB2604" s="73"/>
      <c r="HC2604" s="73"/>
      <c r="HD2604" s="73"/>
      <c r="HE2604" s="73"/>
      <c r="HF2604" s="73"/>
      <c r="HG2604" s="73"/>
      <c r="HH2604" s="73"/>
      <c r="HI2604" s="73"/>
      <c r="HJ2604" s="73"/>
      <c r="HK2604" s="73"/>
      <c r="HL2604" s="73"/>
      <c r="HM2604" s="73"/>
      <c r="HN2604" s="73"/>
      <c r="HO2604" s="73"/>
      <c r="HP2604" s="73"/>
      <c r="HQ2604" s="73"/>
      <c r="HR2604" s="73"/>
      <c r="HS2604" s="73"/>
      <c r="HT2604" s="73"/>
      <c r="HU2604" s="73"/>
      <c r="HV2604" s="73"/>
      <c r="HW2604" s="73"/>
      <c r="HX2604" s="73"/>
      <c r="HY2604" s="73"/>
      <c r="HZ2604" s="73"/>
      <c r="IA2604" s="73"/>
      <c r="IB2604" s="73"/>
      <c r="IC2604" s="73"/>
      <c r="ID2604" s="73"/>
      <c r="IE2604" s="73"/>
      <c r="IF2604" s="73"/>
      <c r="IG2604" s="73"/>
      <c r="IH2604" s="73"/>
      <c r="II2604" s="73"/>
      <c r="IJ2604" s="73"/>
      <c r="IK2604" s="73"/>
      <c r="IL2604" s="73"/>
      <c r="IM2604" s="73"/>
      <c r="IN2604" s="73"/>
      <c r="IO2604" s="73"/>
      <c r="IP2604" s="73"/>
      <c r="IQ2604" s="73"/>
      <c r="IR2604" s="73"/>
      <c r="IS2604" s="73"/>
      <c r="IT2604" s="73"/>
      <c r="IU2604" s="73"/>
      <c r="IV2604" s="73"/>
      <c r="IW2604" s="73"/>
      <c r="IX2604" s="73"/>
      <c r="IY2604" s="73"/>
      <c r="IZ2604" s="73"/>
      <c r="JA2604" s="73"/>
      <c r="JB2604" s="73"/>
      <c r="JC2604" s="73"/>
    </row>
    <row r="2605" spans="2:263" s="72" customFormat="1">
      <c r="B2605" s="73"/>
      <c r="C2605" s="73"/>
      <c r="D2605" s="73"/>
      <c r="E2605" s="73"/>
      <c r="F2605" s="73"/>
      <c r="G2605" s="73"/>
      <c r="H2605" s="73"/>
      <c r="I2605" s="73"/>
      <c r="J2605" s="73"/>
      <c r="K2605" s="73"/>
      <c r="L2605" s="73"/>
      <c r="M2605" s="73"/>
      <c r="N2605" s="73"/>
      <c r="O2605" s="73"/>
      <c r="P2605" s="73"/>
      <c r="Q2605" s="73"/>
      <c r="R2605" s="73"/>
      <c r="S2605" s="73"/>
      <c r="T2605" s="73"/>
      <c r="U2605" s="73"/>
      <c r="V2605" s="73"/>
      <c r="W2605" s="73"/>
      <c r="GL2605" s="73"/>
      <c r="GM2605" s="73"/>
      <c r="GN2605" s="73"/>
      <c r="GO2605" s="73"/>
      <c r="GP2605" s="73"/>
      <c r="GQ2605" s="73"/>
      <c r="GR2605" s="73"/>
      <c r="GS2605" s="73"/>
      <c r="GT2605" s="73"/>
      <c r="GU2605" s="73"/>
      <c r="GV2605" s="73"/>
      <c r="GW2605" s="73"/>
      <c r="GX2605" s="73"/>
      <c r="GY2605" s="73"/>
      <c r="GZ2605" s="73"/>
      <c r="HA2605" s="73"/>
      <c r="HB2605" s="73"/>
      <c r="HC2605" s="73"/>
      <c r="HD2605" s="73"/>
      <c r="HE2605" s="73"/>
      <c r="HF2605" s="73"/>
      <c r="HG2605" s="73"/>
      <c r="HH2605" s="73"/>
      <c r="HI2605" s="73"/>
      <c r="HJ2605" s="73"/>
      <c r="HK2605" s="73"/>
      <c r="HL2605" s="73"/>
      <c r="HM2605" s="73"/>
      <c r="HN2605" s="73"/>
      <c r="HO2605" s="73"/>
      <c r="HP2605" s="73"/>
      <c r="HQ2605" s="73"/>
      <c r="HR2605" s="73"/>
      <c r="HS2605" s="73"/>
      <c r="HT2605" s="73"/>
      <c r="HU2605" s="73"/>
      <c r="HV2605" s="73"/>
      <c r="HW2605" s="73"/>
      <c r="HX2605" s="73"/>
      <c r="HY2605" s="73"/>
      <c r="HZ2605" s="73"/>
      <c r="IA2605" s="73"/>
      <c r="IB2605" s="73"/>
      <c r="IC2605" s="73"/>
      <c r="ID2605" s="73"/>
      <c r="IE2605" s="73"/>
      <c r="IF2605" s="73"/>
      <c r="IG2605" s="73"/>
      <c r="IH2605" s="73"/>
      <c r="II2605" s="73"/>
      <c r="IJ2605" s="73"/>
      <c r="IK2605" s="73"/>
      <c r="IL2605" s="73"/>
      <c r="IM2605" s="73"/>
      <c r="IN2605" s="73"/>
      <c r="IO2605" s="73"/>
      <c r="IP2605" s="73"/>
      <c r="IQ2605" s="73"/>
      <c r="IR2605" s="73"/>
      <c r="IS2605" s="73"/>
      <c r="IT2605" s="73"/>
      <c r="IU2605" s="73"/>
      <c r="IV2605" s="73"/>
      <c r="IW2605" s="73"/>
      <c r="IX2605" s="73"/>
      <c r="IY2605" s="73"/>
      <c r="IZ2605" s="73"/>
      <c r="JA2605" s="73"/>
      <c r="JB2605" s="73"/>
      <c r="JC2605" s="73"/>
    </row>
    <row r="2606" spans="2:263" s="72" customFormat="1">
      <c r="B2606" s="73"/>
      <c r="C2606" s="73"/>
      <c r="D2606" s="73"/>
      <c r="E2606" s="73"/>
      <c r="F2606" s="73"/>
      <c r="G2606" s="73"/>
      <c r="H2606" s="73"/>
      <c r="I2606" s="73"/>
      <c r="J2606" s="73"/>
      <c r="K2606" s="73"/>
      <c r="L2606" s="73"/>
      <c r="M2606" s="73"/>
      <c r="N2606" s="73"/>
      <c r="O2606" s="73"/>
      <c r="P2606" s="73"/>
      <c r="Q2606" s="73"/>
      <c r="R2606" s="73"/>
      <c r="S2606" s="73"/>
      <c r="T2606" s="73"/>
      <c r="U2606" s="73"/>
      <c r="V2606" s="73"/>
      <c r="W2606" s="73"/>
      <c r="GL2606" s="73"/>
      <c r="GM2606" s="73"/>
      <c r="GN2606" s="73"/>
      <c r="GO2606" s="73"/>
      <c r="GP2606" s="73"/>
      <c r="GQ2606" s="73"/>
      <c r="GR2606" s="73"/>
      <c r="GS2606" s="73"/>
      <c r="GT2606" s="73"/>
      <c r="GU2606" s="73"/>
      <c r="GV2606" s="73"/>
      <c r="GW2606" s="73"/>
      <c r="GX2606" s="73"/>
      <c r="GY2606" s="73"/>
      <c r="GZ2606" s="73"/>
      <c r="HA2606" s="73"/>
      <c r="HB2606" s="73"/>
      <c r="HC2606" s="73"/>
      <c r="HD2606" s="73"/>
      <c r="HE2606" s="73"/>
      <c r="HF2606" s="73"/>
      <c r="HG2606" s="73"/>
      <c r="HH2606" s="73"/>
      <c r="HI2606" s="73"/>
      <c r="HJ2606" s="73"/>
      <c r="HK2606" s="73"/>
      <c r="HL2606" s="73"/>
      <c r="HM2606" s="73"/>
      <c r="HN2606" s="73"/>
      <c r="HO2606" s="73"/>
      <c r="HP2606" s="73"/>
      <c r="HQ2606" s="73"/>
      <c r="HR2606" s="73"/>
      <c r="HS2606" s="73"/>
      <c r="HT2606" s="73"/>
      <c r="HU2606" s="73"/>
      <c r="HV2606" s="73"/>
      <c r="HW2606" s="73"/>
      <c r="HX2606" s="73"/>
      <c r="HY2606" s="73"/>
      <c r="HZ2606" s="73"/>
      <c r="IA2606" s="73"/>
      <c r="IB2606" s="73"/>
      <c r="IC2606" s="73"/>
      <c r="ID2606" s="73"/>
      <c r="IE2606" s="73"/>
      <c r="IF2606" s="73"/>
      <c r="IG2606" s="73"/>
      <c r="IH2606" s="73"/>
      <c r="II2606" s="73"/>
      <c r="IJ2606" s="73"/>
      <c r="IK2606" s="73"/>
      <c r="IL2606" s="73"/>
      <c r="IM2606" s="73"/>
      <c r="IN2606" s="73"/>
      <c r="IO2606" s="73"/>
      <c r="IP2606" s="73"/>
      <c r="IQ2606" s="73"/>
      <c r="IR2606" s="73"/>
      <c r="IS2606" s="73"/>
      <c r="IT2606" s="73"/>
      <c r="IU2606" s="73"/>
      <c r="IV2606" s="73"/>
      <c r="IW2606" s="73"/>
      <c r="IX2606" s="73"/>
      <c r="IY2606" s="73"/>
      <c r="IZ2606" s="73"/>
      <c r="JA2606" s="73"/>
      <c r="JB2606" s="73"/>
      <c r="JC2606" s="73"/>
    </row>
    <row r="2607" spans="2:263" s="72" customFormat="1">
      <c r="B2607" s="73"/>
      <c r="C2607" s="73"/>
      <c r="D2607" s="73"/>
      <c r="E2607" s="73"/>
      <c r="F2607" s="73"/>
      <c r="G2607" s="73"/>
      <c r="H2607" s="73"/>
      <c r="I2607" s="73"/>
      <c r="J2607" s="73"/>
      <c r="K2607" s="73"/>
      <c r="L2607" s="73"/>
      <c r="M2607" s="73"/>
      <c r="N2607" s="73"/>
      <c r="O2607" s="73"/>
      <c r="P2607" s="73"/>
      <c r="Q2607" s="73"/>
      <c r="R2607" s="73"/>
      <c r="S2607" s="73"/>
      <c r="T2607" s="73"/>
      <c r="U2607" s="73"/>
      <c r="V2607" s="73"/>
      <c r="W2607" s="73"/>
      <c r="GL2607" s="73"/>
      <c r="GM2607" s="73"/>
      <c r="GN2607" s="73"/>
      <c r="GO2607" s="73"/>
      <c r="GP2607" s="73"/>
      <c r="GQ2607" s="73"/>
      <c r="GR2607" s="73"/>
      <c r="GS2607" s="73"/>
      <c r="GT2607" s="73"/>
      <c r="GU2607" s="73"/>
      <c r="GV2607" s="73"/>
      <c r="GW2607" s="73"/>
      <c r="GX2607" s="73"/>
      <c r="GY2607" s="73"/>
      <c r="GZ2607" s="73"/>
      <c r="HA2607" s="73"/>
      <c r="HB2607" s="73"/>
      <c r="HC2607" s="73"/>
      <c r="HD2607" s="73"/>
      <c r="HE2607" s="73"/>
      <c r="HF2607" s="73"/>
      <c r="HG2607" s="73"/>
      <c r="HH2607" s="73"/>
      <c r="HI2607" s="73"/>
      <c r="HJ2607" s="73"/>
      <c r="HK2607" s="73"/>
      <c r="HL2607" s="73"/>
      <c r="HM2607" s="73"/>
      <c r="HN2607" s="73"/>
      <c r="HO2607" s="73"/>
      <c r="HP2607" s="73"/>
      <c r="HQ2607" s="73"/>
      <c r="HR2607" s="73"/>
      <c r="HS2607" s="73"/>
      <c r="HT2607" s="73"/>
      <c r="HU2607" s="73"/>
      <c r="HV2607" s="73"/>
      <c r="HW2607" s="73"/>
      <c r="HX2607" s="73"/>
      <c r="HY2607" s="73"/>
      <c r="HZ2607" s="73"/>
      <c r="IA2607" s="73"/>
      <c r="IB2607" s="73"/>
      <c r="IC2607" s="73"/>
      <c r="ID2607" s="73"/>
      <c r="IE2607" s="73"/>
      <c r="IF2607" s="73"/>
      <c r="IG2607" s="73"/>
      <c r="IH2607" s="73"/>
      <c r="II2607" s="73"/>
      <c r="IJ2607" s="73"/>
      <c r="IK2607" s="73"/>
      <c r="IL2607" s="73"/>
      <c r="IM2607" s="73"/>
      <c r="IN2607" s="73"/>
      <c r="IO2607" s="73"/>
      <c r="IP2607" s="73"/>
      <c r="IQ2607" s="73"/>
      <c r="IR2607" s="73"/>
      <c r="IS2607" s="73"/>
      <c r="IT2607" s="73"/>
      <c r="IU2607" s="73"/>
      <c r="IV2607" s="73"/>
      <c r="IW2607" s="73"/>
      <c r="IX2607" s="73"/>
      <c r="IY2607" s="73"/>
      <c r="IZ2607" s="73"/>
      <c r="JA2607" s="73"/>
      <c r="JB2607" s="73"/>
      <c r="JC2607" s="73"/>
    </row>
    <row r="2608" spans="2:263" s="72" customFormat="1">
      <c r="B2608" s="73"/>
      <c r="C2608" s="73"/>
      <c r="D2608" s="73"/>
      <c r="E2608" s="73"/>
      <c r="F2608" s="73"/>
      <c r="G2608" s="73"/>
      <c r="H2608" s="73"/>
      <c r="I2608" s="73"/>
      <c r="J2608" s="73"/>
      <c r="K2608" s="73"/>
      <c r="L2608" s="73"/>
      <c r="M2608" s="73"/>
      <c r="N2608" s="73"/>
      <c r="O2608" s="73"/>
      <c r="P2608" s="73"/>
      <c r="Q2608" s="73"/>
      <c r="R2608" s="73"/>
      <c r="S2608" s="73"/>
      <c r="T2608" s="73"/>
      <c r="U2608" s="73"/>
      <c r="V2608" s="73"/>
      <c r="W2608" s="73"/>
      <c r="GL2608" s="73"/>
      <c r="GM2608" s="73"/>
      <c r="GN2608" s="73"/>
      <c r="GO2608" s="73"/>
      <c r="GP2608" s="73"/>
      <c r="GQ2608" s="73"/>
      <c r="GR2608" s="73"/>
      <c r="GS2608" s="73"/>
      <c r="GT2608" s="73"/>
      <c r="GU2608" s="73"/>
      <c r="GV2608" s="73"/>
      <c r="GW2608" s="73"/>
      <c r="GX2608" s="73"/>
      <c r="GY2608" s="73"/>
      <c r="GZ2608" s="73"/>
      <c r="HA2608" s="73"/>
      <c r="HB2608" s="73"/>
      <c r="HC2608" s="73"/>
      <c r="HD2608" s="73"/>
      <c r="HE2608" s="73"/>
      <c r="HF2608" s="73"/>
      <c r="HG2608" s="73"/>
      <c r="HH2608" s="73"/>
      <c r="HI2608" s="73"/>
      <c r="HJ2608" s="73"/>
      <c r="HK2608" s="73"/>
      <c r="HL2608" s="73"/>
      <c r="HM2608" s="73"/>
      <c r="HN2608" s="73"/>
      <c r="HO2608" s="73"/>
      <c r="HP2608" s="73"/>
      <c r="HQ2608" s="73"/>
      <c r="HR2608" s="73"/>
      <c r="HS2608" s="73"/>
      <c r="HT2608" s="73"/>
      <c r="HU2608" s="73"/>
      <c r="HV2608" s="73"/>
      <c r="HW2608" s="73"/>
      <c r="HX2608" s="73"/>
      <c r="HY2608" s="73"/>
      <c r="HZ2608" s="73"/>
      <c r="IA2608" s="73"/>
      <c r="IB2608" s="73"/>
      <c r="IC2608" s="73"/>
      <c r="ID2608" s="73"/>
      <c r="IE2608" s="73"/>
      <c r="IF2608" s="73"/>
      <c r="IG2608" s="73"/>
      <c r="IH2608" s="73"/>
      <c r="II2608" s="73"/>
      <c r="IJ2608" s="73"/>
      <c r="IK2608" s="73"/>
      <c r="IL2608" s="73"/>
      <c r="IM2608" s="73"/>
      <c r="IN2608" s="73"/>
      <c r="IO2608" s="73"/>
      <c r="IP2608" s="73"/>
      <c r="IQ2608" s="73"/>
      <c r="IR2608" s="73"/>
      <c r="IS2608" s="73"/>
      <c r="IT2608" s="73"/>
      <c r="IU2608" s="73"/>
      <c r="IV2608" s="73"/>
      <c r="IW2608" s="73"/>
      <c r="IX2608" s="73"/>
      <c r="IY2608" s="73"/>
      <c r="IZ2608" s="73"/>
      <c r="JA2608" s="73"/>
      <c r="JB2608" s="73"/>
      <c r="JC2608" s="73"/>
    </row>
    <row r="2609" spans="2:263" s="72" customFormat="1">
      <c r="B2609" s="73"/>
      <c r="C2609" s="73"/>
      <c r="D2609" s="73"/>
      <c r="E2609" s="73"/>
      <c r="F2609" s="73"/>
      <c r="G2609" s="73"/>
      <c r="H2609" s="73"/>
      <c r="I2609" s="73"/>
      <c r="J2609" s="73"/>
      <c r="K2609" s="73"/>
      <c r="L2609" s="73"/>
      <c r="M2609" s="73"/>
      <c r="N2609" s="73"/>
      <c r="O2609" s="73"/>
      <c r="P2609" s="73"/>
      <c r="Q2609" s="73"/>
      <c r="R2609" s="73"/>
      <c r="S2609" s="73"/>
      <c r="T2609" s="73"/>
      <c r="U2609" s="73"/>
      <c r="V2609" s="73"/>
      <c r="W2609" s="73"/>
      <c r="GL2609" s="73"/>
      <c r="GM2609" s="73"/>
      <c r="GN2609" s="73"/>
      <c r="GO2609" s="73"/>
      <c r="GP2609" s="73"/>
      <c r="GQ2609" s="73"/>
      <c r="GR2609" s="73"/>
      <c r="GS2609" s="73"/>
      <c r="GT2609" s="73"/>
      <c r="GU2609" s="73"/>
      <c r="GV2609" s="73"/>
      <c r="GW2609" s="73"/>
      <c r="GX2609" s="73"/>
      <c r="GY2609" s="73"/>
      <c r="GZ2609" s="73"/>
      <c r="HA2609" s="73"/>
      <c r="HB2609" s="73"/>
      <c r="HC2609" s="73"/>
      <c r="HD2609" s="73"/>
      <c r="HE2609" s="73"/>
      <c r="HF2609" s="73"/>
      <c r="HG2609" s="73"/>
      <c r="HH2609" s="73"/>
      <c r="HI2609" s="73"/>
      <c r="HJ2609" s="73"/>
      <c r="HK2609" s="73"/>
      <c r="HL2609" s="73"/>
      <c r="HM2609" s="73"/>
      <c r="HN2609" s="73"/>
      <c r="HO2609" s="73"/>
      <c r="HP2609" s="73"/>
      <c r="HQ2609" s="73"/>
      <c r="HR2609" s="73"/>
      <c r="HS2609" s="73"/>
      <c r="HT2609" s="73"/>
      <c r="HU2609" s="73"/>
      <c r="HV2609" s="73"/>
      <c r="HW2609" s="73"/>
      <c r="HX2609" s="73"/>
      <c r="HY2609" s="73"/>
      <c r="HZ2609" s="73"/>
      <c r="IA2609" s="73"/>
      <c r="IB2609" s="73"/>
      <c r="IC2609" s="73"/>
      <c r="ID2609" s="73"/>
      <c r="IE2609" s="73"/>
      <c r="IF2609" s="73"/>
      <c r="IG2609" s="73"/>
      <c r="IH2609" s="73"/>
      <c r="II2609" s="73"/>
      <c r="IJ2609" s="73"/>
      <c r="IK2609" s="73"/>
      <c r="IL2609" s="73"/>
      <c r="IM2609" s="73"/>
      <c r="IN2609" s="73"/>
      <c r="IO2609" s="73"/>
      <c r="IP2609" s="73"/>
      <c r="IQ2609" s="73"/>
      <c r="IR2609" s="73"/>
      <c r="IS2609" s="73"/>
      <c r="IT2609" s="73"/>
      <c r="IU2609" s="73"/>
      <c r="IV2609" s="73"/>
      <c r="IW2609" s="73"/>
      <c r="IX2609" s="73"/>
      <c r="IY2609" s="73"/>
      <c r="IZ2609" s="73"/>
      <c r="JA2609" s="73"/>
      <c r="JB2609" s="73"/>
      <c r="JC2609" s="73"/>
    </row>
    <row r="2610" spans="2:263" s="72" customFormat="1">
      <c r="B2610" s="73"/>
      <c r="C2610" s="73"/>
      <c r="D2610" s="73"/>
      <c r="E2610" s="73"/>
      <c r="F2610" s="73"/>
      <c r="G2610" s="73"/>
      <c r="H2610" s="73"/>
      <c r="I2610" s="73"/>
      <c r="J2610" s="73"/>
      <c r="K2610" s="73"/>
      <c r="L2610" s="73"/>
      <c r="M2610" s="73"/>
      <c r="N2610" s="73"/>
      <c r="O2610" s="73"/>
      <c r="P2610" s="73"/>
      <c r="Q2610" s="73"/>
      <c r="R2610" s="73"/>
      <c r="S2610" s="73"/>
      <c r="T2610" s="73"/>
      <c r="U2610" s="73"/>
      <c r="V2610" s="73"/>
      <c r="W2610" s="73"/>
      <c r="GL2610" s="73"/>
      <c r="GM2610" s="73"/>
      <c r="GN2610" s="73"/>
      <c r="GO2610" s="73"/>
      <c r="GP2610" s="73"/>
      <c r="GQ2610" s="73"/>
      <c r="GR2610" s="73"/>
      <c r="GS2610" s="73"/>
      <c r="GT2610" s="73"/>
      <c r="GU2610" s="73"/>
      <c r="GV2610" s="73"/>
      <c r="GW2610" s="73"/>
      <c r="GX2610" s="73"/>
      <c r="GY2610" s="73"/>
      <c r="GZ2610" s="73"/>
      <c r="HA2610" s="73"/>
      <c r="HB2610" s="73"/>
      <c r="HC2610" s="73"/>
      <c r="HD2610" s="73"/>
      <c r="HE2610" s="73"/>
      <c r="HF2610" s="73"/>
      <c r="HG2610" s="73"/>
      <c r="HH2610" s="73"/>
      <c r="HI2610" s="73"/>
      <c r="HJ2610" s="73"/>
      <c r="HK2610" s="73"/>
      <c r="HL2610" s="73"/>
      <c r="HM2610" s="73"/>
      <c r="HN2610" s="73"/>
      <c r="HO2610" s="73"/>
      <c r="HP2610" s="73"/>
      <c r="HQ2610" s="73"/>
      <c r="HR2610" s="73"/>
      <c r="HS2610" s="73"/>
      <c r="HT2610" s="73"/>
      <c r="HU2610" s="73"/>
      <c r="HV2610" s="73"/>
      <c r="HW2610" s="73"/>
      <c r="HX2610" s="73"/>
      <c r="HY2610" s="73"/>
      <c r="HZ2610" s="73"/>
      <c r="IA2610" s="73"/>
      <c r="IB2610" s="73"/>
      <c r="IC2610" s="73"/>
      <c r="ID2610" s="73"/>
      <c r="IE2610" s="73"/>
      <c r="IF2610" s="73"/>
      <c r="IG2610" s="73"/>
      <c r="IH2610" s="73"/>
      <c r="II2610" s="73"/>
      <c r="IJ2610" s="73"/>
      <c r="IK2610" s="73"/>
      <c r="IL2610" s="73"/>
      <c r="IM2610" s="73"/>
      <c r="IN2610" s="73"/>
      <c r="IO2610" s="73"/>
      <c r="IP2610" s="73"/>
      <c r="IQ2610" s="73"/>
      <c r="IR2610" s="73"/>
      <c r="IS2610" s="73"/>
      <c r="IT2610" s="73"/>
      <c r="IU2610" s="73"/>
      <c r="IV2610" s="73"/>
      <c r="IW2610" s="73"/>
      <c r="IX2610" s="73"/>
      <c r="IY2610" s="73"/>
      <c r="IZ2610" s="73"/>
      <c r="JA2610" s="73"/>
      <c r="JB2610" s="73"/>
      <c r="JC2610" s="73"/>
    </row>
    <row r="2611" spans="2:263" s="72" customFormat="1">
      <c r="B2611" s="73"/>
      <c r="C2611" s="73"/>
      <c r="D2611" s="73"/>
      <c r="E2611" s="73"/>
      <c r="F2611" s="73"/>
      <c r="G2611" s="73"/>
      <c r="H2611" s="73"/>
      <c r="I2611" s="73"/>
      <c r="J2611" s="73"/>
      <c r="K2611" s="73"/>
      <c r="L2611" s="73"/>
      <c r="M2611" s="73"/>
      <c r="N2611" s="73"/>
      <c r="O2611" s="73"/>
      <c r="P2611" s="73"/>
      <c r="Q2611" s="73"/>
      <c r="R2611" s="73"/>
      <c r="S2611" s="73"/>
      <c r="T2611" s="73"/>
      <c r="U2611" s="73"/>
      <c r="V2611" s="73"/>
      <c r="W2611" s="73"/>
      <c r="GL2611" s="73"/>
      <c r="GM2611" s="73"/>
      <c r="GN2611" s="73"/>
      <c r="GO2611" s="73"/>
      <c r="GP2611" s="73"/>
      <c r="GQ2611" s="73"/>
      <c r="GR2611" s="73"/>
      <c r="GS2611" s="73"/>
      <c r="GT2611" s="73"/>
      <c r="GU2611" s="73"/>
      <c r="GV2611" s="73"/>
      <c r="GW2611" s="73"/>
      <c r="GX2611" s="73"/>
      <c r="GY2611" s="73"/>
      <c r="GZ2611" s="73"/>
      <c r="HA2611" s="73"/>
      <c r="HB2611" s="73"/>
      <c r="HC2611" s="73"/>
      <c r="HD2611" s="73"/>
      <c r="HE2611" s="73"/>
      <c r="HF2611" s="73"/>
      <c r="HG2611" s="73"/>
      <c r="HH2611" s="73"/>
      <c r="HI2611" s="73"/>
      <c r="HJ2611" s="73"/>
      <c r="HK2611" s="73"/>
      <c r="HL2611" s="73"/>
      <c r="HM2611" s="73"/>
      <c r="HN2611" s="73"/>
      <c r="HO2611" s="73"/>
      <c r="HP2611" s="73"/>
      <c r="HQ2611" s="73"/>
      <c r="HR2611" s="73"/>
      <c r="HS2611" s="73"/>
      <c r="HT2611" s="73"/>
      <c r="HU2611" s="73"/>
      <c r="HV2611" s="73"/>
      <c r="HW2611" s="73"/>
      <c r="HX2611" s="73"/>
      <c r="HY2611" s="73"/>
      <c r="HZ2611" s="73"/>
      <c r="IA2611" s="73"/>
      <c r="IB2611" s="73"/>
      <c r="IC2611" s="73"/>
      <c r="ID2611" s="73"/>
      <c r="IE2611" s="73"/>
      <c r="IF2611" s="73"/>
      <c r="IG2611" s="73"/>
      <c r="IH2611" s="73"/>
      <c r="II2611" s="73"/>
      <c r="IJ2611" s="73"/>
      <c r="IK2611" s="73"/>
      <c r="IL2611" s="73"/>
      <c r="IM2611" s="73"/>
      <c r="IN2611" s="73"/>
      <c r="IO2611" s="73"/>
      <c r="IP2611" s="73"/>
      <c r="IQ2611" s="73"/>
      <c r="IR2611" s="73"/>
      <c r="IS2611" s="73"/>
      <c r="IT2611" s="73"/>
      <c r="IU2611" s="73"/>
      <c r="IV2611" s="73"/>
      <c r="IW2611" s="73"/>
      <c r="IX2611" s="73"/>
      <c r="IY2611" s="73"/>
      <c r="IZ2611" s="73"/>
      <c r="JA2611" s="73"/>
      <c r="JB2611" s="73"/>
      <c r="JC2611" s="73"/>
    </row>
    <row r="2612" spans="2:263" s="72" customFormat="1">
      <c r="B2612" s="73"/>
      <c r="C2612" s="73"/>
      <c r="D2612" s="73"/>
      <c r="E2612" s="73"/>
      <c r="F2612" s="73"/>
      <c r="G2612" s="73"/>
      <c r="H2612" s="73"/>
      <c r="I2612" s="73"/>
      <c r="J2612" s="73"/>
      <c r="K2612" s="73"/>
      <c r="L2612" s="73"/>
      <c r="M2612" s="73"/>
      <c r="N2612" s="73"/>
      <c r="O2612" s="73"/>
      <c r="P2612" s="73"/>
      <c r="Q2612" s="73"/>
      <c r="R2612" s="73"/>
      <c r="S2612" s="73"/>
      <c r="T2612" s="73"/>
      <c r="U2612" s="73"/>
      <c r="V2612" s="73"/>
      <c r="W2612" s="73"/>
      <c r="GL2612" s="73"/>
      <c r="GM2612" s="73"/>
      <c r="GN2612" s="73"/>
      <c r="GO2612" s="73"/>
      <c r="GP2612" s="73"/>
      <c r="GQ2612" s="73"/>
      <c r="GR2612" s="73"/>
      <c r="GS2612" s="73"/>
      <c r="GT2612" s="73"/>
      <c r="GU2612" s="73"/>
      <c r="GV2612" s="73"/>
      <c r="GW2612" s="73"/>
      <c r="GX2612" s="73"/>
      <c r="GY2612" s="73"/>
      <c r="GZ2612" s="73"/>
      <c r="HA2612" s="73"/>
      <c r="HB2612" s="73"/>
      <c r="HC2612" s="73"/>
      <c r="HD2612" s="73"/>
      <c r="HE2612" s="73"/>
      <c r="HF2612" s="73"/>
      <c r="HG2612" s="73"/>
      <c r="HH2612" s="73"/>
      <c r="HI2612" s="73"/>
      <c r="HJ2612" s="73"/>
      <c r="HK2612" s="73"/>
      <c r="HL2612" s="73"/>
      <c r="HM2612" s="73"/>
      <c r="HN2612" s="73"/>
      <c r="HO2612" s="73"/>
      <c r="HP2612" s="73"/>
      <c r="HQ2612" s="73"/>
      <c r="HR2612" s="73"/>
      <c r="HS2612" s="73"/>
      <c r="HT2612" s="73"/>
      <c r="HU2612" s="73"/>
      <c r="HV2612" s="73"/>
      <c r="HW2612" s="73"/>
      <c r="HX2612" s="73"/>
      <c r="HY2612" s="73"/>
      <c r="HZ2612" s="73"/>
      <c r="IA2612" s="73"/>
      <c r="IB2612" s="73"/>
      <c r="IC2612" s="73"/>
      <c r="ID2612" s="73"/>
      <c r="IE2612" s="73"/>
      <c r="IF2612" s="73"/>
      <c r="IG2612" s="73"/>
      <c r="IH2612" s="73"/>
      <c r="II2612" s="73"/>
      <c r="IJ2612" s="73"/>
      <c r="IK2612" s="73"/>
      <c r="IL2612" s="73"/>
      <c r="IM2612" s="73"/>
      <c r="IN2612" s="73"/>
      <c r="IO2612" s="73"/>
      <c r="IP2612" s="73"/>
      <c r="IQ2612" s="73"/>
      <c r="IR2612" s="73"/>
      <c r="IS2612" s="73"/>
      <c r="IT2612" s="73"/>
      <c r="IU2612" s="73"/>
      <c r="IV2612" s="73"/>
      <c r="IW2612" s="73"/>
      <c r="IX2612" s="73"/>
      <c r="IY2612" s="73"/>
      <c r="IZ2612" s="73"/>
      <c r="JA2612" s="73"/>
      <c r="JB2612" s="73"/>
      <c r="JC2612" s="73"/>
    </row>
    <row r="2613" spans="2:263" s="72" customFormat="1">
      <c r="B2613" s="73"/>
      <c r="C2613" s="73"/>
      <c r="D2613" s="73"/>
      <c r="E2613" s="73"/>
      <c r="F2613" s="73"/>
      <c r="G2613" s="73"/>
      <c r="H2613" s="73"/>
      <c r="I2613" s="73"/>
      <c r="J2613" s="73"/>
      <c r="K2613" s="73"/>
      <c r="L2613" s="73"/>
      <c r="M2613" s="73"/>
      <c r="N2613" s="73"/>
      <c r="O2613" s="73"/>
      <c r="P2613" s="73"/>
      <c r="Q2613" s="73"/>
      <c r="R2613" s="73"/>
      <c r="S2613" s="73"/>
      <c r="T2613" s="73"/>
      <c r="U2613" s="73"/>
      <c r="V2613" s="73"/>
      <c r="W2613" s="73"/>
      <c r="GL2613" s="73"/>
      <c r="GM2613" s="73"/>
      <c r="GN2613" s="73"/>
      <c r="GO2613" s="73"/>
      <c r="GP2613" s="73"/>
      <c r="GQ2613" s="73"/>
      <c r="GR2613" s="73"/>
      <c r="GS2613" s="73"/>
      <c r="GT2613" s="73"/>
      <c r="GU2613" s="73"/>
      <c r="GV2613" s="73"/>
      <c r="GW2613" s="73"/>
      <c r="GX2613" s="73"/>
      <c r="GY2613" s="73"/>
      <c r="GZ2613" s="73"/>
      <c r="HA2613" s="73"/>
      <c r="HB2613" s="73"/>
      <c r="HC2613" s="73"/>
      <c r="HD2613" s="73"/>
      <c r="HE2613" s="73"/>
      <c r="HF2613" s="73"/>
      <c r="HG2613" s="73"/>
      <c r="HH2613" s="73"/>
      <c r="HI2613" s="73"/>
      <c r="HJ2613" s="73"/>
      <c r="HK2613" s="73"/>
      <c r="HL2613" s="73"/>
      <c r="HM2613" s="73"/>
      <c r="HN2613" s="73"/>
      <c r="HO2613" s="73"/>
      <c r="HP2613" s="73"/>
      <c r="HQ2613" s="73"/>
      <c r="HR2613" s="73"/>
      <c r="HS2613" s="73"/>
      <c r="HT2613" s="73"/>
      <c r="HU2613" s="73"/>
      <c r="HV2613" s="73"/>
      <c r="HW2613" s="73"/>
      <c r="HX2613" s="73"/>
      <c r="HY2613" s="73"/>
      <c r="HZ2613" s="73"/>
      <c r="IA2613" s="73"/>
      <c r="IB2613" s="73"/>
      <c r="IC2613" s="73"/>
      <c r="ID2613" s="73"/>
      <c r="IE2613" s="73"/>
      <c r="IF2613" s="73"/>
      <c r="IG2613" s="73"/>
      <c r="IH2613" s="73"/>
      <c r="II2613" s="73"/>
      <c r="IJ2613" s="73"/>
      <c r="IK2613" s="73"/>
      <c r="IL2613" s="73"/>
      <c r="IM2613" s="73"/>
      <c r="IN2613" s="73"/>
      <c r="IO2613" s="73"/>
      <c r="IP2613" s="73"/>
      <c r="IQ2613" s="73"/>
      <c r="IR2613" s="73"/>
      <c r="IS2613" s="73"/>
      <c r="IT2613" s="73"/>
      <c r="IU2613" s="73"/>
      <c r="IV2613" s="73"/>
      <c r="IW2613" s="73"/>
      <c r="IX2613" s="73"/>
      <c r="IY2613" s="73"/>
      <c r="IZ2613" s="73"/>
      <c r="JA2613" s="73"/>
      <c r="JB2613" s="73"/>
      <c r="JC2613" s="73"/>
    </row>
    <row r="2614" spans="2:263" s="72" customFormat="1">
      <c r="B2614" s="73"/>
      <c r="C2614" s="73"/>
      <c r="D2614" s="73"/>
      <c r="E2614" s="73"/>
      <c r="F2614" s="73"/>
      <c r="G2614" s="73"/>
      <c r="H2614" s="73"/>
      <c r="I2614" s="73"/>
      <c r="J2614" s="73"/>
      <c r="K2614" s="73"/>
      <c r="L2614" s="73"/>
      <c r="M2614" s="73"/>
      <c r="N2614" s="73"/>
      <c r="O2614" s="73"/>
      <c r="P2614" s="73"/>
      <c r="Q2614" s="73"/>
      <c r="R2614" s="73"/>
      <c r="S2614" s="73"/>
      <c r="T2614" s="73"/>
      <c r="U2614" s="73"/>
      <c r="V2614" s="73"/>
      <c r="W2614" s="73"/>
      <c r="GL2614" s="73"/>
      <c r="GM2614" s="73"/>
      <c r="GN2614" s="73"/>
      <c r="GO2614" s="73"/>
      <c r="GP2614" s="73"/>
      <c r="GQ2614" s="73"/>
      <c r="GR2614" s="73"/>
      <c r="GS2614" s="73"/>
      <c r="GT2614" s="73"/>
      <c r="GU2614" s="73"/>
      <c r="GV2614" s="73"/>
      <c r="GW2614" s="73"/>
      <c r="GX2614" s="73"/>
      <c r="GY2614" s="73"/>
      <c r="GZ2614" s="73"/>
      <c r="HA2614" s="73"/>
      <c r="HB2614" s="73"/>
      <c r="HC2614" s="73"/>
      <c r="HD2614" s="73"/>
      <c r="HE2614" s="73"/>
      <c r="HF2614" s="73"/>
      <c r="HG2614" s="73"/>
      <c r="HH2614" s="73"/>
      <c r="HI2614" s="73"/>
      <c r="HJ2614" s="73"/>
      <c r="HK2614" s="73"/>
      <c r="HL2614" s="73"/>
      <c r="HM2614" s="73"/>
      <c r="HN2614" s="73"/>
      <c r="HO2614" s="73"/>
      <c r="HP2614" s="73"/>
      <c r="HQ2614" s="73"/>
      <c r="HR2614" s="73"/>
      <c r="HS2614" s="73"/>
      <c r="HT2614" s="73"/>
      <c r="HU2614" s="73"/>
      <c r="HV2614" s="73"/>
      <c r="HW2614" s="73"/>
      <c r="HX2614" s="73"/>
      <c r="HY2614" s="73"/>
      <c r="HZ2614" s="73"/>
      <c r="IA2614" s="73"/>
      <c r="IB2614" s="73"/>
      <c r="IC2614" s="73"/>
      <c r="ID2614" s="73"/>
      <c r="IE2614" s="73"/>
      <c r="IF2614" s="73"/>
      <c r="IG2614" s="73"/>
      <c r="IH2614" s="73"/>
      <c r="II2614" s="73"/>
      <c r="IJ2614" s="73"/>
      <c r="IK2614" s="73"/>
      <c r="IL2614" s="73"/>
      <c r="IM2614" s="73"/>
      <c r="IN2614" s="73"/>
      <c r="IO2614" s="73"/>
      <c r="IP2614" s="73"/>
      <c r="IQ2614" s="73"/>
      <c r="IR2614" s="73"/>
      <c r="IS2614" s="73"/>
      <c r="IT2614" s="73"/>
      <c r="IU2614" s="73"/>
      <c r="IV2614" s="73"/>
      <c r="IW2614" s="73"/>
      <c r="IX2614" s="73"/>
      <c r="IY2614" s="73"/>
      <c r="IZ2614" s="73"/>
      <c r="JA2614" s="73"/>
      <c r="JB2614" s="73"/>
      <c r="JC2614" s="73"/>
    </row>
    <row r="2615" spans="2:263" s="72" customFormat="1">
      <c r="B2615" s="73"/>
      <c r="C2615" s="73"/>
      <c r="D2615" s="73"/>
      <c r="E2615" s="73"/>
      <c r="F2615" s="73"/>
      <c r="G2615" s="73"/>
      <c r="H2615" s="73"/>
      <c r="I2615" s="73"/>
      <c r="J2615" s="73"/>
      <c r="K2615" s="73"/>
      <c r="L2615" s="73"/>
      <c r="M2615" s="73"/>
      <c r="N2615" s="73"/>
      <c r="O2615" s="73"/>
      <c r="P2615" s="73"/>
      <c r="Q2615" s="73"/>
      <c r="R2615" s="73"/>
      <c r="S2615" s="73"/>
      <c r="T2615" s="73"/>
      <c r="U2615" s="73"/>
      <c r="V2615" s="73"/>
      <c r="W2615" s="73"/>
      <c r="GL2615" s="73"/>
      <c r="GM2615" s="73"/>
      <c r="GN2615" s="73"/>
      <c r="GO2615" s="73"/>
      <c r="GP2615" s="73"/>
      <c r="GQ2615" s="73"/>
      <c r="GR2615" s="73"/>
      <c r="GS2615" s="73"/>
      <c r="GT2615" s="73"/>
      <c r="GU2615" s="73"/>
      <c r="GV2615" s="73"/>
      <c r="GW2615" s="73"/>
      <c r="GX2615" s="73"/>
      <c r="GY2615" s="73"/>
      <c r="GZ2615" s="73"/>
      <c r="HA2615" s="73"/>
      <c r="HB2615" s="73"/>
      <c r="HC2615" s="73"/>
      <c r="HD2615" s="73"/>
      <c r="HE2615" s="73"/>
      <c r="HF2615" s="73"/>
      <c r="HG2615" s="73"/>
      <c r="HH2615" s="73"/>
      <c r="HI2615" s="73"/>
      <c r="HJ2615" s="73"/>
      <c r="HK2615" s="73"/>
      <c r="HL2615" s="73"/>
      <c r="HM2615" s="73"/>
      <c r="HN2615" s="73"/>
      <c r="HO2615" s="73"/>
      <c r="HP2615" s="73"/>
      <c r="HQ2615" s="73"/>
      <c r="HR2615" s="73"/>
      <c r="HS2615" s="73"/>
      <c r="HT2615" s="73"/>
      <c r="HU2615" s="73"/>
      <c r="HV2615" s="73"/>
      <c r="HW2615" s="73"/>
      <c r="HX2615" s="73"/>
      <c r="HY2615" s="73"/>
      <c r="HZ2615" s="73"/>
      <c r="IA2615" s="73"/>
      <c r="IB2615" s="73"/>
      <c r="IC2615" s="73"/>
      <c r="ID2615" s="73"/>
      <c r="IE2615" s="73"/>
      <c r="IF2615" s="73"/>
      <c r="IG2615" s="73"/>
      <c r="IH2615" s="73"/>
      <c r="II2615" s="73"/>
      <c r="IJ2615" s="73"/>
      <c r="IK2615" s="73"/>
      <c r="IL2615" s="73"/>
      <c r="IM2615" s="73"/>
      <c r="IN2615" s="73"/>
      <c r="IO2615" s="73"/>
      <c r="IP2615" s="73"/>
      <c r="IQ2615" s="73"/>
      <c r="IR2615" s="73"/>
      <c r="IS2615" s="73"/>
      <c r="IT2615" s="73"/>
      <c r="IU2615" s="73"/>
      <c r="IV2615" s="73"/>
      <c r="IW2615" s="73"/>
      <c r="IX2615" s="73"/>
      <c r="IY2615" s="73"/>
      <c r="IZ2615" s="73"/>
      <c r="JA2615" s="73"/>
      <c r="JB2615" s="73"/>
      <c r="JC2615" s="73"/>
    </row>
    <row r="2616" spans="2:263" s="72" customFormat="1">
      <c r="B2616" s="73"/>
      <c r="C2616" s="73"/>
      <c r="D2616" s="73"/>
      <c r="E2616" s="73"/>
      <c r="F2616" s="73"/>
      <c r="G2616" s="73"/>
      <c r="H2616" s="73"/>
      <c r="I2616" s="73"/>
      <c r="J2616" s="73"/>
      <c r="K2616" s="73"/>
      <c r="L2616" s="73"/>
      <c r="M2616" s="73"/>
      <c r="N2616" s="73"/>
      <c r="O2616" s="73"/>
      <c r="P2616" s="73"/>
      <c r="Q2616" s="73"/>
      <c r="R2616" s="73"/>
      <c r="S2616" s="73"/>
      <c r="T2616" s="73"/>
      <c r="U2616" s="73"/>
      <c r="V2616" s="73"/>
      <c r="W2616" s="73"/>
      <c r="GL2616" s="73"/>
      <c r="GM2616" s="73"/>
      <c r="GN2616" s="73"/>
      <c r="GO2616" s="73"/>
      <c r="GP2616" s="73"/>
      <c r="GQ2616" s="73"/>
      <c r="GR2616" s="73"/>
      <c r="GS2616" s="73"/>
      <c r="GT2616" s="73"/>
      <c r="GU2616" s="73"/>
      <c r="GV2616" s="73"/>
      <c r="GW2616" s="73"/>
      <c r="GX2616" s="73"/>
      <c r="GY2616" s="73"/>
      <c r="GZ2616" s="73"/>
      <c r="HA2616" s="73"/>
      <c r="HB2616" s="73"/>
      <c r="HC2616" s="73"/>
      <c r="HD2616" s="73"/>
      <c r="HE2616" s="73"/>
      <c r="HF2616" s="73"/>
      <c r="HG2616" s="73"/>
      <c r="HH2616" s="73"/>
      <c r="HI2616" s="73"/>
      <c r="HJ2616" s="73"/>
      <c r="HK2616" s="73"/>
      <c r="HL2616" s="73"/>
      <c r="HM2616" s="73"/>
      <c r="HN2616" s="73"/>
      <c r="HO2616" s="73"/>
      <c r="HP2616" s="73"/>
      <c r="HQ2616" s="73"/>
      <c r="HR2616" s="73"/>
      <c r="HS2616" s="73"/>
      <c r="HT2616" s="73"/>
      <c r="HU2616" s="73"/>
      <c r="HV2616" s="73"/>
      <c r="HW2616" s="73"/>
      <c r="HX2616" s="73"/>
      <c r="HY2616" s="73"/>
      <c r="HZ2616" s="73"/>
      <c r="IA2616" s="73"/>
      <c r="IB2616" s="73"/>
      <c r="IC2616" s="73"/>
      <c r="ID2616" s="73"/>
      <c r="IE2616" s="73"/>
      <c r="IF2616" s="73"/>
      <c r="IG2616" s="73"/>
      <c r="IH2616" s="73"/>
      <c r="II2616" s="73"/>
      <c r="IJ2616" s="73"/>
      <c r="IK2616" s="73"/>
      <c r="IL2616" s="73"/>
      <c r="IM2616" s="73"/>
      <c r="IN2616" s="73"/>
      <c r="IO2616" s="73"/>
      <c r="IP2616" s="73"/>
      <c r="IQ2616" s="73"/>
      <c r="IR2616" s="73"/>
      <c r="IS2616" s="73"/>
      <c r="IT2616" s="73"/>
      <c r="IU2616" s="73"/>
      <c r="IV2616" s="73"/>
      <c r="IW2616" s="73"/>
      <c r="IX2616" s="73"/>
      <c r="IY2616" s="73"/>
      <c r="IZ2616" s="73"/>
      <c r="JA2616" s="73"/>
      <c r="JB2616" s="73"/>
      <c r="JC2616" s="73"/>
    </row>
    <row r="2617" spans="2:263" s="72" customFormat="1">
      <c r="B2617" s="73"/>
      <c r="C2617" s="73"/>
      <c r="D2617" s="73"/>
      <c r="E2617" s="73"/>
      <c r="F2617" s="73"/>
      <c r="G2617" s="73"/>
      <c r="H2617" s="73"/>
      <c r="I2617" s="73"/>
      <c r="J2617" s="73"/>
      <c r="K2617" s="73"/>
      <c r="L2617" s="73"/>
      <c r="M2617" s="73"/>
      <c r="N2617" s="73"/>
      <c r="O2617" s="73"/>
      <c r="P2617" s="73"/>
      <c r="Q2617" s="73"/>
      <c r="R2617" s="73"/>
      <c r="S2617" s="73"/>
      <c r="T2617" s="73"/>
      <c r="U2617" s="73"/>
      <c r="V2617" s="73"/>
      <c r="W2617" s="73"/>
      <c r="GL2617" s="73"/>
      <c r="GM2617" s="73"/>
      <c r="GN2617" s="73"/>
      <c r="GO2617" s="73"/>
      <c r="GP2617" s="73"/>
      <c r="GQ2617" s="73"/>
      <c r="GR2617" s="73"/>
      <c r="GS2617" s="73"/>
      <c r="GT2617" s="73"/>
      <c r="GU2617" s="73"/>
      <c r="GV2617" s="73"/>
      <c r="GW2617" s="73"/>
      <c r="GX2617" s="73"/>
      <c r="GY2617" s="73"/>
      <c r="GZ2617" s="73"/>
      <c r="HA2617" s="73"/>
      <c r="HB2617" s="73"/>
      <c r="HC2617" s="73"/>
      <c r="HD2617" s="73"/>
      <c r="HE2617" s="73"/>
      <c r="HF2617" s="73"/>
      <c r="HG2617" s="73"/>
      <c r="HH2617" s="73"/>
      <c r="HI2617" s="73"/>
      <c r="HJ2617" s="73"/>
      <c r="HK2617" s="73"/>
      <c r="HL2617" s="73"/>
      <c r="HM2617" s="73"/>
      <c r="HN2617" s="73"/>
      <c r="HO2617" s="73"/>
      <c r="HP2617" s="73"/>
      <c r="HQ2617" s="73"/>
      <c r="HR2617" s="73"/>
      <c r="HS2617" s="73"/>
      <c r="HT2617" s="73"/>
      <c r="HU2617" s="73"/>
      <c r="HV2617" s="73"/>
      <c r="HW2617" s="73"/>
      <c r="HX2617" s="73"/>
      <c r="HY2617" s="73"/>
      <c r="HZ2617" s="73"/>
      <c r="IA2617" s="73"/>
      <c r="IB2617" s="73"/>
      <c r="IC2617" s="73"/>
      <c r="ID2617" s="73"/>
      <c r="IE2617" s="73"/>
      <c r="IF2617" s="73"/>
      <c r="IG2617" s="73"/>
      <c r="IH2617" s="73"/>
      <c r="II2617" s="73"/>
      <c r="IJ2617" s="73"/>
      <c r="IK2617" s="73"/>
      <c r="IL2617" s="73"/>
      <c r="IM2617" s="73"/>
      <c r="IN2617" s="73"/>
      <c r="IO2617" s="73"/>
      <c r="IP2617" s="73"/>
      <c r="IQ2617" s="73"/>
      <c r="IR2617" s="73"/>
      <c r="IS2617" s="73"/>
      <c r="IT2617" s="73"/>
      <c r="IU2617" s="73"/>
      <c r="IV2617" s="73"/>
      <c r="IW2617" s="73"/>
      <c r="IX2617" s="73"/>
      <c r="IY2617" s="73"/>
      <c r="IZ2617" s="73"/>
      <c r="JA2617" s="73"/>
      <c r="JB2617" s="73"/>
      <c r="JC2617" s="73"/>
    </row>
    <row r="2618" spans="2:263" s="72" customFormat="1">
      <c r="B2618" s="73"/>
      <c r="C2618" s="73"/>
      <c r="D2618" s="73"/>
      <c r="E2618" s="73"/>
      <c r="F2618" s="73"/>
      <c r="G2618" s="73"/>
      <c r="H2618" s="73"/>
      <c r="I2618" s="73"/>
      <c r="J2618" s="73"/>
      <c r="K2618" s="73"/>
      <c r="L2618" s="73"/>
      <c r="M2618" s="73"/>
      <c r="N2618" s="73"/>
      <c r="O2618" s="73"/>
      <c r="P2618" s="73"/>
      <c r="Q2618" s="73"/>
      <c r="R2618" s="73"/>
      <c r="S2618" s="73"/>
      <c r="T2618" s="73"/>
      <c r="U2618" s="73"/>
      <c r="V2618" s="73"/>
      <c r="W2618" s="73"/>
      <c r="GL2618" s="73"/>
      <c r="GM2618" s="73"/>
      <c r="GN2618" s="73"/>
      <c r="GO2618" s="73"/>
      <c r="GP2618" s="73"/>
      <c r="GQ2618" s="73"/>
      <c r="GR2618" s="73"/>
      <c r="GS2618" s="73"/>
      <c r="GT2618" s="73"/>
      <c r="GU2618" s="73"/>
      <c r="GV2618" s="73"/>
      <c r="GW2618" s="73"/>
      <c r="GX2618" s="73"/>
      <c r="GY2618" s="73"/>
      <c r="GZ2618" s="73"/>
      <c r="HA2618" s="73"/>
      <c r="HB2618" s="73"/>
      <c r="HC2618" s="73"/>
      <c r="HD2618" s="73"/>
      <c r="HE2618" s="73"/>
      <c r="HF2618" s="73"/>
      <c r="HG2618" s="73"/>
      <c r="HH2618" s="73"/>
      <c r="HI2618" s="73"/>
      <c r="HJ2618" s="73"/>
      <c r="HK2618" s="73"/>
      <c r="HL2618" s="73"/>
      <c r="HM2618" s="73"/>
      <c r="HN2618" s="73"/>
      <c r="HO2618" s="73"/>
      <c r="HP2618" s="73"/>
      <c r="HQ2618" s="73"/>
      <c r="HR2618" s="73"/>
      <c r="HS2618" s="73"/>
      <c r="HT2618" s="73"/>
      <c r="HU2618" s="73"/>
      <c r="HV2618" s="73"/>
      <c r="HW2618" s="73"/>
      <c r="HX2618" s="73"/>
      <c r="HY2618" s="73"/>
      <c r="HZ2618" s="73"/>
      <c r="IA2618" s="73"/>
      <c r="IB2618" s="73"/>
      <c r="IC2618" s="73"/>
      <c r="ID2618" s="73"/>
      <c r="IE2618" s="73"/>
      <c r="IF2618" s="73"/>
      <c r="IG2618" s="73"/>
      <c r="IH2618" s="73"/>
      <c r="II2618" s="73"/>
      <c r="IJ2618" s="73"/>
      <c r="IK2618" s="73"/>
      <c r="IL2618" s="73"/>
      <c r="IM2618" s="73"/>
      <c r="IN2618" s="73"/>
      <c r="IO2618" s="73"/>
      <c r="IP2618" s="73"/>
      <c r="IQ2618" s="73"/>
      <c r="IR2618" s="73"/>
      <c r="IS2618" s="73"/>
      <c r="IT2618" s="73"/>
      <c r="IU2618" s="73"/>
      <c r="IV2618" s="73"/>
      <c r="IW2618" s="73"/>
      <c r="IX2618" s="73"/>
      <c r="IY2618" s="73"/>
      <c r="IZ2618" s="73"/>
      <c r="JA2618" s="73"/>
      <c r="JB2618" s="73"/>
      <c r="JC2618" s="73"/>
    </row>
    <row r="2619" spans="2:263" s="72" customFormat="1">
      <c r="B2619" s="73"/>
      <c r="C2619" s="73"/>
      <c r="D2619" s="73"/>
      <c r="E2619" s="73"/>
      <c r="F2619" s="73"/>
      <c r="G2619" s="73"/>
      <c r="H2619" s="73"/>
      <c r="I2619" s="73"/>
      <c r="J2619" s="73"/>
      <c r="K2619" s="73"/>
      <c r="L2619" s="73"/>
      <c r="M2619" s="73"/>
      <c r="N2619" s="73"/>
      <c r="O2619" s="73"/>
      <c r="P2619" s="73"/>
      <c r="Q2619" s="73"/>
      <c r="R2619" s="73"/>
      <c r="S2619" s="73"/>
      <c r="T2619" s="73"/>
      <c r="U2619" s="73"/>
      <c r="V2619" s="73"/>
      <c r="W2619" s="73"/>
      <c r="GL2619" s="73"/>
      <c r="GM2619" s="73"/>
      <c r="GN2619" s="73"/>
      <c r="GO2619" s="73"/>
      <c r="GP2619" s="73"/>
      <c r="GQ2619" s="73"/>
      <c r="GR2619" s="73"/>
      <c r="GS2619" s="73"/>
      <c r="GT2619" s="73"/>
      <c r="GU2619" s="73"/>
      <c r="GV2619" s="73"/>
      <c r="GW2619" s="73"/>
      <c r="GX2619" s="73"/>
      <c r="GY2619" s="73"/>
      <c r="GZ2619" s="73"/>
      <c r="HA2619" s="73"/>
      <c r="HB2619" s="73"/>
      <c r="HC2619" s="73"/>
      <c r="HD2619" s="73"/>
      <c r="HE2619" s="73"/>
      <c r="HF2619" s="73"/>
      <c r="HG2619" s="73"/>
      <c r="HH2619" s="73"/>
      <c r="HI2619" s="73"/>
      <c r="HJ2619" s="73"/>
      <c r="HK2619" s="73"/>
      <c r="HL2619" s="73"/>
      <c r="HM2619" s="73"/>
      <c r="HN2619" s="73"/>
      <c r="HO2619" s="73"/>
      <c r="HP2619" s="73"/>
      <c r="HQ2619" s="73"/>
      <c r="HR2619" s="73"/>
      <c r="HS2619" s="73"/>
      <c r="HT2619" s="73"/>
      <c r="HU2619" s="73"/>
      <c r="HV2619" s="73"/>
      <c r="HW2619" s="73"/>
      <c r="HX2619" s="73"/>
      <c r="HY2619" s="73"/>
      <c r="HZ2619" s="73"/>
      <c r="IA2619" s="73"/>
      <c r="IB2619" s="73"/>
      <c r="IC2619" s="73"/>
      <c r="ID2619" s="73"/>
      <c r="IE2619" s="73"/>
      <c r="IF2619" s="73"/>
      <c r="IG2619" s="73"/>
      <c r="IH2619" s="73"/>
      <c r="II2619" s="73"/>
      <c r="IJ2619" s="73"/>
      <c r="IK2619" s="73"/>
      <c r="IL2619" s="73"/>
      <c r="IM2619" s="73"/>
      <c r="IN2619" s="73"/>
      <c r="IO2619" s="73"/>
      <c r="IP2619" s="73"/>
      <c r="IQ2619" s="73"/>
      <c r="IR2619" s="73"/>
      <c r="IS2619" s="73"/>
      <c r="IT2619" s="73"/>
      <c r="IU2619" s="73"/>
      <c r="IV2619" s="73"/>
      <c r="IW2619" s="73"/>
      <c r="IX2619" s="73"/>
      <c r="IY2619" s="73"/>
      <c r="IZ2619" s="73"/>
      <c r="JA2619" s="73"/>
      <c r="JB2619" s="73"/>
      <c r="JC2619" s="73"/>
    </row>
    <row r="2620" spans="2:263" s="72" customFormat="1">
      <c r="B2620" s="73"/>
      <c r="C2620" s="73"/>
      <c r="D2620" s="73"/>
      <c r="E2620" s="73"/>
      <c r="F2620" s="73"/>
      <c r="G2620" s="73"/>
      <c r="H2620" s="73"/>
      <c r="I2620" s="73"/>
      <c r="J2620" s="73"/>
      <c r="K2620" s="73"/>
      <c r="L2620" s="73"/>
      <c r="M2620" s="73"/>
      <c r="N2620" s="73"/>
      <c r="O2620" s="73"/>
      <c r="P2620" s="73"/>
      <c r="Q2620" s="73"/>
      <c r="R2620" s="73"/>
      <c r="S2620" s="73"/>
      <c r="T2620" s="73"/>
      <c r="U2620" s="73"/>
      <c r="V2620" s="73"/>
      <c r="W2620" s="73"/>
      <c r="GL2620" s="73"/>
      <c r="GM2620" s="73"/>
      <c r="GN2620" s="73"/>
      <c r="GO2620" s="73"/>
      <c r="GP2620" s="73"/>
      <c r="GQ2620" s="73"/>
      <c r="GR2620" s="73"/>
      <c r="GS2620" s="73"/>
      <c r="GT2620" s="73"/>
      <c r="GU2620" s="73"/>
      <c r="GV2620" s="73"/>
      <c r="GW2620" s="73"/>
      <c r="GX2620" s="73"/>
      <c r="GY2620" s="73"/>
      <c r="GZ2620" s="73"/>
      <c r="HA2620" s="73"/>
      <c r="HB2620" s="73"/>
      <c r="HC2620" s="73"/>
      <c r="HD2620" s="73"/>
      <c r="HE2620" s="73"/>
      <c r="HF2620" s="73"/>
      <c r="HG2620" s="73"/>
      <c r="HH2620" s="73"/>
      <c r="HI2620" s="73"/>
      <c r="HJ2620" s="73"/>
      <c r="HK2620" s="73"/>
      <c r="HL2620" s="73"/>
      <c r="HM2620" s="73"/>
      <c r="HN2620" s="73"/>
      <c r="HO2620" s="73"/>
      <c r="HP2620" s="73"/>
      <c r="HQ2620" s="73"/>
      <c r="HR2620" s="73"/>
      <c r="HS2620" s="73"/>
      <c r="HT2620" s="73"/>
      <c r="HU2620" s="73"/>
      <c r="HV2620" s="73"/>
      <c r="HW2620" s="73"/>
      <c r="HX2620" s="73"/>
      <c r="HY2620" s="73"/>
      <c r="HZ2620" s="73"/>
      <c r="IA2620" s="73"/>
      <c r="IB2620" s="73"/>
      <c r="IC2620" s="73"/>
      <c r="ID2620" s="73"/>
      <c r="IE2620" s="73"/>
      <c r="IF2620" s="73"/>
      <c r="IG2620" s="73"/>
      <c r="IH2620" s="73"/>
      <c r="II2620" s="73"/>
      <c r="IJ2620" s="73"/>
      <c r="IK2620" s="73"/>
      <c r="IL2620" s="73"/>
      <c r="IM2620" s="73"/>
      <c r="IN2620" s="73"/>
      <c r="IO2620" s="73"/>
      <c r="IP2620" s="73"/>
      <c r="IQ2620" s="73"/>
      <c r="IR2620" s="73"/>
      <c r="IS2620" s="73"/>
      <c r="IT2620" s="73"/>
      <c r="IU2620" s="73"/>
      <c r="IV2620" s="73"/>
      <c r="IW2620" s="73"/>
      <c r="IX2620" s="73"/>
      <c r="IY2620" s="73"/>
      <c r="IZ2620" s="73"/>
      <c r="JA2620" s="73"/>
      <c r="JB2620" s="73"/>
      <c r="JC2620" s="73"/>
    </row>
    <row r="2621" spans="2:263" s="72" customFormat="1">
      <c r="B2621" s="73"/>
      <c r="C2621" s="73"/>
      <c r="D2621" s="73"/>
      <c r="E2621" s="73"/>
      <c r="F2621" s="73"/>
      <c r="G2621" s="73"/>
      <c r="H2621" s="73"/>
      <c r="I2621" s="73"/>
      <c r="J2621" s="73"/>
      <c r="K2621" s="73"/>
      <c r="L2621" s="73"/>
      <c r="M2621" s="73"/>
      <c r="N2621" s="73"/>
      <c r="O2621" s="73"/>
      <c r="P2621" s="73"/>
      <c r="Q2621" s="73"/>
      <c r="R2621" s="73"/>
      <c r="S2621" s="73"/>
      <c r="T2621" s="73"/>
      <c r="U2621" s="73"/>
      <c r="V2621" s="73"/>
      <c r="W2621" s="73"/>
      <c r="GL2621" s="73"/>
      <c r="GM2621" s="73"/>
      <c r="GN2621" s="73"/>
      <c r="GO2621" s="73"/>
      <c r="GP2621" s="73"/>
      <c r="GQ2621" s="73"/>
      <c r="GR2621" s="73"/>
      <c r="GS2621" s="73"/>
      <c r="GT2621" s="73"/>
      <c r="GU2621" s="73"/>
      <c r="GV2621" s="73"/>
      <c r="GW2621" s="73"/>
      <c r="GX2621" s="73"/>
      <c r="GY2621" s="73"/>
      <c r="GZ2621" s="73"/>
      <c r="HA2621" s="73"/>
      <c r="HB2621" s="73"/>
      <c r="HC2621" s="73"/>
      <c r="HD2621" s="73"/>
      <c r="HE2621" s="73"/>
      <c r="HF2621" s="73"/>
      <c r="HG2621" s="73"/>
      <c r="HH2621" s="73"/>
      <c r="HI2621" s="73"/>
      <c r="HJ2621" s="73"/>
      <c r="HK2621" s="73"/>
      <c r="HL2621" s="73"/>
      <c r="HM2621" s="73"/>
      <c r="HN2621" s="73"/>
      <c r="HO2621" s="73"/>
      <c r="HP2621" s="73"/>
      <c r="HQ2621" s="73"/>
      <c r="HR2621" s="73"/>
      <c r="HS2621" s="73"/>
      <c r="HT2621" s="73"/>
      <c r="HU2621" s="73"/>
      <c r="HV2621" s="73"/>
      <c r="HW2621" s="73"/>
      <c r="HX2621" s="73"/>
      <c r="HY2621" s="73"/>
      <c r="HZ2621" s="73"/>
      <c r="IA2621" s="73"/>
      <c r="IB2621" s="73"/>
      <c r="IC2621" s="73"/>
      <c r="ID2621" s="73"/>
      <c r="IE2621" s="73"/>
      <c r="IF2621" s="73"/>
      <c r="IG2621" s="73"/>
      <c r="IH2621" s="73"/>
      <c r="II2621" s="73"/>
      <c r="IJ2621" s="73"/>
      <c r="IK2621" s="73"/>
      <c r="IL2621" s="73"/>
      <c r="IM2621" s="73"/>
      <c r="IN2621" s="73"/>
      <c r="IO2621" s="73"/>
      <c r="IP2621" s="73"/>
      <c r="IQ2621" s="73"/>
      <c r="IR2621" s="73"/>
      <c r="IS2621" s="73"/>
      <c r="IT2621" s="73"/>
      <c r="IU2621" s="73"/>
      <c r="IV2621" s="73"/>
      <c r="IW2621" s="73"/>
      <c r="IX2621" s="73"/>
      <c r="IY2621" s="73"/>
      <c r="IZ2621" s="73"/>
      <c r="JA2621" s="73"/>
      <c r="JB2621" s="73"/>
      <c r="JC2621" s="73"/>
    </row>
    <row r="2622" spans="2:263" s="72" customFormat="1">
      <c r="B2622" s="73"/>
      <c r="C2622" s="73"/>
      <c r="D2622" s="73"/>
      <c r="E2622" s="73"/>
      <c r="F2622" s="73"/>
      <c r="G2622" s="73"/>
      <c r="H2622" s="73"/>
      <c r="I2622" s="73"/>
      <c r="J2622" s="73"/>
      <c r="K2622" s="73"/>
      <c r="L2622" s="73"/>
      <c r="M2622" s="73"/>
      <c r="N2622" s="73"/>
      <c r="O2622" s="73"/>
      <c r="P2622" s="73"/>
      <c r="Q2622" s="73"/>
      <c r="R2622" s="73"/>
      <c r="S2622" s="73"/>
      <c r="T2622" s="73"/>
      <c r="U2622" s="73"/>
      <c r="V2622" s="73"/>
      <c r="W2622" s="73"/>
      <c r="GL2622" s="73"/>
      <c r="GM2622" s="73"/>
      <c r="GN2622" s="73"/>
      <c r="GO2622" s="73"/>
      <c r="GP2622" s="73"/>
      <c r="GQ2622" s="73"/>
      <c r="GR2622" s="73"/>
      <c r="GS2622" s="73"/>
      <c r="GT2622" s="73"/>
      <c r="GU2622" s="73"/>
      <c r="GV2622" s="73"/>
      <c r="GW2622" s="73"/>
      <c r="GX2622" s="73"/>
      <c r="GY2622" s="73"/>
      <c r="GZ2622" s="73"/>
      <c r="HA2622" s="73"/>
      <c r="HB2622" s="73"/>
      <c r="HC2622" s="73"/>
      <c r="HD2622" s="73"/>
      <c r="HE2622" s="73"/>
      <c r="HF2622" s="73"/>
      <c r="HG2622" s="73"/>
      <c r="HH2622" s="73"/>
      <c r="HI2622" s="73"/>
      <c r="HJ2622" s="73"/>
      <c r="HK2622" s="73"/>
      <c r="HL2622" s="73"/>
      <c r="HM2622" s="73"/>
      <c r="HN2622" s="73"/>
      <c r="HO2622" s="73"/>
      <c r="HP2622" s="73"/>
      <c r="HQ2622" s="73"/>
      <c r="HR2622" s="73"/>
      <c r="HS2622" s="73"/>
      <c r="HT2622" s="73"/>
      <c r="HU2622" s="73"/>
      <c r="HV2622" s="73"/>
      <c r="HW2622" s="73"/>
      <c r="HX2622" s="73"/>
      <c r="HY2622" s="73"/>
      <c r="HZ2622" s="73"/>
      <c r="IA2622" s="73"/>
      <c r="IB2622" s="73"/>
      <c r="IC2622" s="73"/>
      <c r="ID2622" s="73"/>
      <c r="IE2622" s="73"/>
      <c r="IF2622" s="73"/>
      <c r="IG2622" s="73"/>
      <c r="IH2622" s="73"/>
      <c r="II2622" s="73"/>
      <c r="IJ2622" s="73"/>
      <c r="IK2622" s="73"/>
      <c r="IL2622" s="73"/>
      <c r="IM2622" s="73"/>
      <c r="IN2622" s="73"/>
      <c r="IO2622" s="73"/>
      <c r="IP2622" s="73"/>
      <c r="IQ2622" s="73"/>
      <c r="IR2622" s="73"/>
      <c r="IS2622" s="73"/>
      <c r="IT2622" s="73"/>
      <c r="IU2622" s="73"/>
      <c r="IV2622" s="73"/>
      <c r="IW2622" s="73"/>
      <c r="IX2622" s="73"/>
      <c r="IY2622" s="73"/>
      <c r="IZ2622" s="73"/>
      <c r="JA2622" s="73"/>
      <c r="JB2622" s="73"/>
      <c r="JC2622" s="73"/>
    </row>
    <row r="2623" spans="2:263" s="72" customFormat="1">
      <c r="B2623" s="73"/>
      <c r="C2623" s="73"/>
      <c r="D2623" s="73"/>
      <c r="E2623" s="73"/>
      <c r="F2623" s="73"/>
      <c r="G2623" s="73"/>
      <c r="H2623" s="73"/>
      <c r="I2623" s="73"/>
      <c r="J2623" s="73"/>
      <c r="K2623" s="73"/>
      <c r="L2623" s="73"/>
      <c r="M2623" s="73"/>
      <c r="N2623" s="73"/>
      <c r="O2623" s="73"/>
      <c r="P2623" s="73"/>
      <c r="Q2623" s="73"/>
      <c r="R2623" s="73"/>
      <c r="S2623" s="73"/>
      <c r="T2623" s="73"/>
      <c r="U2623" s="73"/>
      <c r="V2623" s="73"/>
      <c r="W2623" s="73"/>
      <c r="GL2623" s="73"/>
      <c r="GM2623" s="73"/>
      <c r="GN2623" s="73"/>
      <c r="GO2623" s="73"/>
      <c r="GP2623" s="73"/>
      <c r="GQ2623" s="73"/>
      <c r="GR2623" s="73"/>
      <c r="GS2623" s="73"/>
      <c r="GT2623" s="73"/>
      <c r="GU2623" s="73"/>
      <c r="GV2623" s="73"/>
      <c r="GW2623" s="73"/>
      <c r="GX2623" s="73"/>
      <c r="GY2623" s="73"/>
      <c r="GZ2623" s="73"/>
      <c r="HA2623" s="73"/>
      <c r="HB2623" s="73"/>
      <c r="HC2623" s="73"/>
      <c r="HD2623" s="73"/>
      <c r="HE2623" s="73"/>
      <c r="HF2623" s="73"/>
      <c r="HG2623" s="73"/>
      <c r="HH2623" s="73"/>
      <c r="HI2623" s="73"/>
      <c r="HJ2623" s="73"/>
      <c r="HK2623" s="73"/>
      <c r="HL2623" s="73"/>
      <c r="HM2623" s="73"/>
      <c r="HN2623" s="73"/>
      <c r="HO2623" s="73"/>
      <c r="HP2623" s="73"/>
      <c r="HQ2623" s="73"/>
      <c r="HR2623" s="73"/>
      <c r="HS2623" s="73"/>
      <c r="HT2623" s="73"/>
      <c r="HU2623" s="73"/>
      <c r="HV2623" s="73"/>
      <c r="HW2623" s="73"/>
      <c r="HX2623" s="73"/>
      <c r="HY2623" s="73"/>
      <c r="HZ2623" s="73"/>
      <c r="IA2623" s="73"/>
      <c r="IB2623" s="73"/>
      <c r="IC2623" s="73"/>
      <c r="ID2623" s="73"/>
      <c r="IE2623" s="73"/>
      <c r="IF2623" s="73"/>
      <c r="IG2623" s="73"/>
      <c r="IH2623" s="73"/>
      <c r="II2623" s="73"/>
      <c r="IJ2623" s="73"/>
      <c r="IK2623" s="73"/>
      <c r="IL2623" s="73"/>
      <c r="IM2623" s="73"/>
      <c r="IN2623" s="73"/>
      <c r="IO2623" s="73"/>
      <c r="IP2623" s="73"/>
      <c r="IQ2623" s="73"/>
      <c r="IR2623" s="73"/>
      <c r="IS2623" s="73"/>
      <c r="IT2623" s="73"/>
      <c r="IU2623" s="73"/>
      <c r="IV2623" s="73"/>
      <c r="IW2623" s="73"/>
      <c r="IX2623" s="73"/>
      <c r="IY2623" s="73"/>
      <c r="IZ2623" s="73"/>
      <c r="JA2623" s="73"/>
      <c r="JB2623" s="73"/>
      <c r="JC2623" s="73"/>
    </row>
    <row r="2624" spans="2:263" s="72" customFormat="1">
      <c r="B2624" s="73"/>
      <c r="C2624" s="73"/>
      <c r="D2624" s="73"/>
      <c r="E2624" s="73"/>
      <c r="F2624" s="73"/>
      <c r="G2624" s="73"/>
      <c r="H2624" s="73"/>
      <c r="I2624" s="73"/>
      <c r="J2624" s="73"/>
      <c r="K2624" s="73"/>
      <c r="L2624" s="73"/>
      <c r="M2624" s="73"/>
      <c r="N2624" s="73"/>
      <c r="O2624" s="73"/>
      <c r="P2624" s="73"/>
      <c r="Q2624" s="73"/>
      <c r="R2624" s="73"/>
      <c r="S2624" s="73"/>
      <c r="T2624" s="73"/>
      <c r="U2624" s="73"/>
      <c r="V2624" s="73"/>
      <c r="W2624" s="73"/>
      <c r="GL2624" s="73"/>
      <c r="GM2624" s="73"/>
      <c r="GN2624" s="73"/>
      <c r="GO2624" s="73"/>
      <c r="GP2624" s="73"/>
      <c r="GQ2624" s="73"/>
      <c r="GR2624" s="73"/>
      <c r="GS2624" s="73"/>
      <c r="GT2624" s="73"/>
      <c r="GU2624" s="73"/>
      <c r="GV2624" s="73"/>
      <c r="GW2624" s="73"/>
      <c r="GX2624" s="73"/>
      <c r="GY2624" s="73"/>
      <c r="GZ2624" s="73"/>
      <c r="HA2624" s="73"/>
      <c r="HB2624" s="73"/>
      <c r="HC2624" s="73"/>
      <c r="HD2624" s="73"/>
      <c r="HE2624" s="73"/>
      <c r="HF2624" s="73"/>
      <c r="HG2624" s="73"/>
      <c r="HH2624" s="73"/>
      <c r="HI2624" s="73"/>
      <c r="HJ2624" s="73"/>
      <c r="HK2624" s="73"/>
      <c r="HL2624" s="73"/>
      <c r="HM2624" s="73"/>
      <c r="HN2624" s="73"/>
      <c r="HO2624" s="73"/>
      <c r="HP2624" s="73"/>
      <c r="HQ2624" s="73"/>
      <c r="HR2624" s="73"/>
      <c r="HS2624" s="73"/>
      <c r="HT2624" s="73"/>
      <c r="HU2624" s="73"/>
      <c r="HV2624" s="73"/>
      <c r="HW2624" s="73"/>
      <c r="HX2624" s="73"/>
      <c r="HY2624" s="73"/>
      <c r="HZ2624" s="73"/>
      <c r="IA2624" s="73"/>
      <c r="IB2624" s="73"/>
      <c r="IC2624" s="73"/>
      <c r="ID2624" s="73"/>
      <c r="IE2624" s="73"/>
      <c r="IF2624" s="73"/>
      <c r="IG2624" s="73"/>
      <c r="IH2624" s="73"/>
      <c r="II2624" s="73"/>
      <c r="IJ2624" s="73"/>
      <c r="IK2624" s="73"/>
      <c r="IL2624" s="73"/>
      <c r="IM2624" s="73"/>
      <c r="IN2624" s="73"/>
      <c r="IO2624" s="73"/>
      <c r="IP2624" s="73"/>
      <c r="IQ2624" s="73"/>
      <c r="IR2624" s="73"/>
      <c r="IS2624" s="73"/>
      <c r="IT2624" s="73"/>
      <c r="IU2624" s="73"/>
      <c r="IV2624" s="73"/>
      <c r="IW2624" s="73"/>
      <c r="IX2624" s="73"/>
      <c r="IY2624" s="73"/>
      <c r="IZ2624" s="73"/>
      <c r="JA2624" s="73"/>
      <c r="JB2624" s="73"/>
      <c r="JC2624" s="73"/>
    </row>
    <row r="2625" spans="2:263" s="72" customFormat="1">
      <c r="B2625" s="73"/>
      <c r="C2625" s="73"/>
      <c r="D2625" s="73"/>
      <c r="E2625" s="73"/>
      <c r="F2625" s="73"/>
      <c r="G2625" s="73"/>
      <c r="H2625" s="73"/>
      <c r="I2625" s="73"/>
      <c r="J2625" s="73"/>
      <c r="K2625" s="73"/>
      <c r="L2625" s="73"/>
      <c r="M2625" s="73"/>
      <c r="N2625" s="73"/>
      <c r="O2625" s="73"/>
      <c r="P2625" s="73"/>
      <c r="Q2625" s="73"/>
      <c r="R2625" s="73"/>
      <c r="S2625" s="73"/>
      <c r="T2625" s="73"/>
      <c r="U2625" s="73"/>
      <c r="V2625" s="73"/>
      <c r="W2625" s="73"/>
      <c r="GL2625" s="73"/>
      <c r="GM2625" s="73"/>
      <c r="GN2625" s="73"/>
      <c r="GO2625" s="73"/>
      <c r="GP2625" s="73"/>
      <c r="GQ2625" s="73"/>
      <c r="GR2625" s="73"/>
      <c r="GS2625" s="73"/>
      <c r="GT2625" s="73"/>
      <c r="GU2625" s="73"/>
      <c r="GV2625" s="73"/>
      <c r="GW2625" s="73"/>
      <c r="GX2625" s="73"/>
      <c r="GY2625" s="73"/>
      <c r="GZ2625" s="73"/>
      <c r="HA2625" s="73"/>
      <c r="HB2625" s="73"/>
      <c r="HC2625" s="73"/>
      <c r="HD2625" s="73"/>
      <c r="HE2625" s="73"/>
      <c r="HF2625" s="73"/>
      <c r="HG2625" s="73"/>
      <c r="HH2625" s="73"/>
      <c r="HI2625" s="73"/>
      <c r="HJ2625" s="73"/>
      <c r="HK2625" s="73"/>
      <c r="HL2625" s="73"/>
      <c r="HM2625" s="73"/>
      <c r="HN2625" s="73"/>
      <c r="HO2625" s="73"/>
      <c r="HP2625" s="73"/>
      <c r="HQ2625" s="73"/>
      <c r="HR2625" s="73"/>
      <c r="HS2625" s="73"/>
      <c r="HT2625" s="73"/>
      <c r="HU2625" s="73"/>
      <c r="HV2625" s="73"/>
      <c r="HW2625" s="73"/>
      <c r="HX2625" s="73"/>
      <c r="HY2625" s="73"/>
      <c r="HZ2625" s="73"/>
      <c r="IA2625" s="73"/>
      <c r="IB2625" s="73"/>
      <c r="IC2625" s="73"/>
      <c r="ID2625" s="73"/>
      <c r="IE2625" s="73"/>
      <c r="IF2625" s="73"/>
      <c r="IG2625" s="73"/>
      <c r="IH2625" s="73"/>
      <c r="II2625" s="73"/>
      <c r="IJ2625" s="73"/>
      <c r="IK2625" s="73"/>
      <c r="IL2625" s="73"/>
      <c r="IM2625" s="73"/>
      <c r="IN2625" s="73"/>
      <c r="IO2625" s="73"/>
      <c r="IP2625" s="73"/>
      <c r="IQ2625" s="73"/>
      <c r="IR2625" s="73"/>
      <c r="IS2625" s="73"/>
      <c r="IT2625" s="73"/>
      <c r="IU2625" s="73"/>
      <c r="IV2625" s="73"/>
      <c r="IW2625" s="73"/>
      <c r="IX2625" s="73"/>
      <c r="IY2625" s="73"/>
      <c r="IZ2625" s="73"/>
      <c r="JA2625" s="73"/>
      <c r="JB2625" s="73"/>
      <c r="JC2625" s="73"/>
    </row>
    <row r="2626" spans="2:263" s="72" customFormat="1">
      <c r="B2626" s="73"/>
      <c r="C2626" s="73"/>
      <c r="D2626" s="73"/>
      <c r="E2626" s="73"/>
      <c r="F2626" s="73"/>
      <c r="G2626" s="73"/>
      <c r="H2626" s="73"/>
      <c r="I2626" s="73"/>
      <c r="J2626" s="73"/>
      <c r="K2626" s="73"/>
      <c r="L2626" s="73"/>
      <c r="M2626" s="73"/>
      <c r="N2626" s="73"/>
      <c r="O2626" s="73"/>
      <c r="P2626" s="73"/>
      <c r="Q2626" s="73"/>
      <c r="R2626" s="73"/>
      <c r="S2626" s="73"/>
      <c r="T2626" s="73"/>
      <c r="U2626" s="73"/>
      <c r="V2626" s="73"/>
      <c r="W2626" s="73"/>
      <c r="GL2626" s="73"/>
      <c r="GM2626" s="73"/>
      <c r="GN2626" s="73"/>
      <c r="GO2626" s="73"/>
      <c r="GP2626" s="73"/>
      <c r="GQ2626" s="73"/>
      <c r="GR2626" s="73"/>
      <c r="GS2626" s="73"/>
      <c r="GT2626" s="73"/>
      <c r="GU2626" s="73"/>
      <c r="GV2626" s="73"/>
      <c r="GW2626" s="73"/>
      <c r="GX2626" s="73"/>
      <c r="GY2626" s="73"/>
      <c r="GZ2626" s="73"/>
      <c r="HA2626" s="73"/>
      <c r="HB2626" s="73"/>
      <c r="HC2626" s="73"/>
      <c r="HD2626" s="73"/>
      <c r="HE2626" s="73"/>
      <c r="HF2626" s="73"/>
      <c r="HG2626" s="73"/>
      <c r="HH2626" s="73"/>
      <c r="HI2626" s="73"/>
      <c r="HJ2626" s="73"/>
      <c r="HK2626" s="73"/>
      <c r="HL2626" s="73"/>
      <c r="HM2626" s="73"/>
      <c r="HN2626" s="73"/>
      <c r="HO2626" s="73"/>
      <c r="HP2626" s="73"/>
      <c r="HQ2626" s="73"/>
      <c r="HR2626" s="73"/>
      <c r="HS2626" s="73"/>
      <c r="HT2626" s="73"/>
      <c r="HU2626" s="73"/>
      <c r="HV2626" s="73"/>
      <c r="HW2626" s="73"/>
      <c r="HX2626" s="73"/>
      <c r="HY2626" s="73"/>
      <c r="HZ2626" s="73"/>
      <c r="IA2626" s="73"/>
      <c r="IB2626" s="73"/>
      <c r="IC2626" s="73"/>
      <c r="ID2626" s="73"/>
      <c r="IE2626" s="73"/>
      <c r="IF2626" s="73"/>
      <c r="IG2626" s="73"/>
      <c r="IH2626" s="73"/>
      <c r="II2626" s="73"/>
      <c r="IJ2626" s="73"/>
      <c r="IK2626" s="73"/>
      <c r="IL2626" s="73"/>
      <c r="IM2626" s="73"/>
      <c r="IN2626" s="73"/>
      <c r="IO2626" s="73"/>
      <c r="IP2626" s="73"/>
      <c r="IQ2626" s="73"/>
      <c r="IR2626" s="73"/>
      <c r="IS2626" s="73"/>
      <c r="IT2626" s="73"/>
      <c r="IU2626" s="73"/>
      <c r="IV2626" s="73"/>
      <c r="IW2626" s="73"/>
      <c r="IX2626" s="73"/>
      <c r="IY2626" s="73"/>
      <c r="IZ2626" s="73"/>
      <c r="JA2626" s="73"/>
      <c r="JB2626" s="73"/>
      <c r="JC2626" s="73"/>
    </row>
    <row r="2627" spans="2:263" s="72" customFormat="1">
      <c r="B2627" s="73"/>
      <c r="C2627" s="73"/>
      <c r="D2627" s="73"/>
      <c r="E2627" s="73"/>
      <c r="F2627" s="73"/>
      <c r="G2627" s="73"/>
      <c r="H2627" s="73"/>
      <c r="I2627" s="73"/>
      <c r="J2627" s="73"/>
      <c r="K2627" s="73"/>
      <c r="L2627" s="73"/>
      <c r="M2627" s="73"/>
      <c r="N2627" s="73"/>
      <c r="O2627" s="73"/>
      <c r="P2627" s="73"/>
      <c r="Q2627" s="73"/>
      <c r="R2627" s="73"/>
      <c r="S2627" s="73"/>
      <c r="T2627" s="73"/>
      <c r="U2627" s="73"/>
      <c r="V2627" s="73"/>
      <c r="W2627" s="73"/>
      <c r="GL2627" s="73"/>
      <c r="GM2627" s="73"/>
      <c r="GN2627" s="73"/>
      <c r="GO2627" s="73"/>
      <c r="GP2627" s="73"/>
      <c r="GQ2627" s="73"/>
      <c r="GR2627" s="73"/>
      <c r="GS2627" s="73"/>
      <c r="GT2627" s="73"/>
      <c r="GU2627" s="73"/>
      <c r="GV2627" s="73"/>
      <c r="GW2627" s="73"/>
      <c r="GX2627" s="73"/>
      <c r="GY2627" s="73"/>
      <c r="GZ2627" s="73"/>
      <c r="HA2627" s="73"/>
      <c r="HB2627" s="73"/>
      <c r="HC2627" s="73"/>
      <c r="HD2627" s="73"/>
      <c r="HE2627" s="73"/>
      <c r="HF2627" s="73"/>
      <c r="HG2627" s="73"/>
      <c r="HH2627" s="73"/>
      <c r="HI2627" s="73"/>
      <c r="HJ2627" s="73"/>
      <c r="HK2627" s="73"/>
      <c r="HL2627" s="73"/>
      <c r="HM2627" s="73"/>
      <c r="HN2627" s="73"/>
      <c r="HO2627" s="73"/>
      <c r="HP2627" s="73"/>
      <c r="HQ2627" s="73"/>
      <c r="HR2627" s="73"/>
      <c r="HS2627" s="73"/>
      <c r="HT2627" s="73"/>
      <c r="HU2627" s="73"/>
      <c r="HV2627" s="73"/>
      <c r="HW2627" s="73"/>
      <c r="HX2627" s="73"/>
      <c r="HY2627" s="73"/>
      <c r="HZ2627" s="73"/>
      <c r="IA2627" s="73"/>
      <c r="IB2627" s="73"/>
      <c r="IC2627" s="73"/>
      <c r="ID2627" s="73"/>
      <c r="IE2627" s="73"/>
      <c r="IF2627" s="73"/>
      <c r="IG2627" s="73"/>
      <c r="IH2627" s="73"/>
      <c r="II2627" s="73"/>
      <c r="IJ2627" s="73"/>
      <c r="IK2627" s="73"/>
      <c r="IL2627" s="73"/>
      <c r="IM2627" s="73"/>
      <c r="IN2627" s="73"/>
      <c r="IO2627" s="73"/>
      <c r="IP2627" s="73"/>
      <c r="IQ2627" s="73"/>
      <c r="IR2627" s="73"/>
      <c r="IS2627" s="73"/>
      <c r="IT2627" s="73"/>
      <c r="IU2627" s="73"/>
      <c r="IV2627" s="73"/>
      <c r="IW2627" s="73"/>
      <c r="IX2627" s="73"/>
      <c r="IY2627" s="73"/>
      <c r="IZ2627" s="73"/>
      <c r="JA2627" s="73"/>
      <c r="JB2627" s="73"/>
      <c r="JC2627" s="73"/>
    </row>
    <row r="2628" spans="2:263" s="72" customFormat="1">
      <c r="B2628" s="73"/>
      <c r="C2628" s="73"/>
      <c r="D2628" s="73"/>
      <c r="E2628" s="73"/>
      <c r="F2628" s="73"/>
      <c r="G2628" s="73"/>
      <c r="H2628" s="73"/>
      <c r="I2628" s="73"/>
      <c r="J2628" s="73"/>
      <c r="K2628" s="73"/>
      <c r="L2628" s="73"/>
      <c r="M2628" s="73"/>
      <c r="N2628" s="73"/>
      <c r="O2628" s="73"/>
      <c r="P2628" s="73"/>
      <c r="Q2628" s="73"/>
      <c r="R2628" s="73"/>
      <c r="S2628" s="73"/>
      <c r="T2628" s="73"/>
      <c r="U2628" s="73"/>
      <c r="V2628" s="73"/>
      <c r="W2628" s="73"/>
      <c r="GL2628" s="73"/>
      <c r="GM2628" s="73"/>
      <c r="GN2628" s="73"/>
      <c r="GO2628" s="73"/>
      <c r="GP2628" s="73"/>
      <c r="GQ2628" s="73"/>
      <c r="GR2628" s="73"/>
      <c r="GS2628" s="73"/>
      <c r="GT2628" s="73"/>
      <c r="GU2628" s="73"/>
      <c r="GV2628" s="73"/>
      <c r="GW2628" s="73"/>
      <c r="GX2628" s="73"/>
      <c r="GY2628" s="73"/>
      <c r="GZ2628" s="73"/>
      <c r="HA2628" s="73"/>
      <c r="HB2628" s="73"/>
      <c r="HC2628" s="73"/>
      <c r="HD2628" s="73"/>
      <c r="HE2628" s="73"/>
      <c r="HF2628" s="73"/>
      <c r="HG2628" s="73"/>
      <c r="HH2628" s="73"/>
      <c r="HI2628" s="73"/>
      <c r="HJ2628" s="73"/>
      <c r="HK2628" s="73"/>
      <c r="HL2628" s="73"/>
      <c r="HM2628" s="73"/>
      <c r="HN2628" s="73"/>
      <c r="HO2628" s="73"/>
      <c r="HP2628" s="73"/>
      <c r="HQ2628" s="73"/>
      <c r="HR2628" s="73"/>
      <c r="HS2628" s="73"/>
      <c r="HT2628" s="73"/>
      <c r="HU2628" s="73"/>
      <c r="HV2628" s="73"/>
      <c r="HW2628" s="73"/>
      <c r="HX2628" s="73"/>
      <c r="HY2628" s="73"/>
      <c r="HZ2628" s="73"/>
      <c r="IA2628" s="73"/>
      <c r="IB2628" s="73"/>
      <c r="IC2628" s="73"/>
      <c r="ID2628" s="73"/>
      <c r="IE2628" s="73"/>
      <c r="IF2628" s="73"/>
      <c r="IG2628" s="73"/>
      <c r="IH2628" s="73"/>
      <c r="II2628" s="73"/>
      <c r="IJ2628" s="73"/>
      <c r="IK2628" s="73"/>
      <c r="IL2628" s="73"/>
      <c r="IM2628" s="73"/>
      <c r="IN2628" s="73"/>
      <c r="IO2628" s="73"/>
      <c r="IP2628" s="73"/>
      <c r="IQ2628" s="73"/>
      <c r="IR2628" s="73"/>
      <c r="IS2628" s="73"/>
      <c r="IT2628" s="73"/>
      <c r="IU2628" s="73"/>
      <c r="IV2628" s="73"/>
      <c r="IW2628" s="73"/>
      <c r="IX2628" s="73"/>
      <c r="IY2628" s="73"/>
      <c r="IZ2628" s="73"/>
      <c r="JA2628" s="73"/>
      <c r="JB2628" s="73"/>
      <c r="JC2628" s="73"/>
    </row>
    <row r="2629" spans="2:263" s="72" customFormat="1">
      <c r="B2629" s="73"/>
      <c r="C2629" s="73"/>
      <c r="D2629" s="73"/>
      <c r="E2629" s="73"/>
      <c r="F2629" s="73"/>
      <c r="G2629" s="73"/>
      <c r="H2629" s="73"/>
      <c r="I2629" s="73"/>
      <c r="J2629" s="73"/>
      <c r="K2629" s="73"/>
      <c r="L2629" s="73"/>
      <c r="M2629" s="73"/>
      <c r="N2629" s="73"/>
      <c r="O2629" s="73"/>
      <c r="P2629" s="73"/>
      <c r="Q2629" s="73"/>
      <c r="R2629" s="73"/>
      <c r="S2629" s="73"/>
      <c r="T2629" s="73"/>
      <c r="U2629" s="73"/>
      <c r="V2629" s="73"/>
      <c r="W2629" s="73"/>
      <c r="GL2629" s="73"/>
      <c r="GM2629" s="73"/>
      <c r="GN2629" s="73"/>
      <c r="GO2629" s="73"/>
      <c r="GP2629" s="73"/>
      <c r="GQ2629" s="73"/>
      <c r="GR2629" s="73"/>
      <c r="GS2629" s="73"/>
      <c r="GT2629" s="73"/>
      <c r="GU2629" s="73"/>
      <c r="GV2629" s="73"/>
      <c r="GW2629" s="73"/>
      <c r="GX2629" s="73"/>
      <c r="GY2629" s="73"/>
      <c r="GZ2629" s="73"/>
      <c r="HA2629" s="73"/>
      <c r="HB2629" s="73"/>
      <c r="HC2629" s="73"/>
      <c r="HD2629" s="73"/>
      <c r="HE2629" s="73"/>
      <c r="HF2629" s="73"/>
      <c r="HG2629" s="73"/>
      <c r="HH2629" s="73"/>
      <c r="HI2629" s="73"/>
      <c r="HJ2629" s="73"/>
      <c r="HK2629" s="73"/>
      <c r="HL2629" s="73"/>
      <c r="HM2629" s="73"/>
      <c r="HN2629" s="73"/>
      <c r="HO2629" s="73"/>
      <c r="HP2629" s="73"/>
      <c r="HQ2629" s="73"/>
      <c r="HR2629" s="73"/>
      <c r="HS2629" s="73"/>
      <c r="HT2629" s="73"/>
      <c r="HU2629" s="73"/>
      <c r="HV2629" s="73"/>
      <c r="HW2629" s="73"/>
      <c r="HX2629" s="73"/>
      <c r="HY2629" s="73"/>
      <c r="HZ2629" s="73"/>
      <c r="IA2629" s="73"/>
      <c r="IB2629" s="73"/>
      <c r="IC2629" s="73"/>
      <c r="ID2629" s="73"/>
      <c r="IE2629" s="73"/>
      <c r="IF2629" s="73"/>
      <c r="IG2629" s="73"/>
      <c r="IH2629" s="73"/>
      <c r="II2629" s="73"/>
      <c r="IJ2629" s="73"/>
      <c r="IK2629" s="73"/>
      <c r="IL2629" s="73"/>
      <c r="IM2629" s="73"/>
      <c r="IN2629" s="73"/>
      <c r="IO2629" s="73"/>
      <c r="IP2629" s="73"/>
      <c r="IQ2629" s="73"/>
      <c r="IR2629" s="73"/>
      <c r="IS2629" s="73"/>
      <c r="IT2629" s="73"/>
      <c r="IU2629" s="73"/>
      <c r="IV2629" s="73"/>
      <c r="IW2629" s="73"/>
      <c r="IX2629" s="73"/>
      <c r="IY2629" s="73"/>
      <c r="IZ2629" s="73"/>
      <c r="JA2629" s="73"/>
      <c r="JB2629" s="73"/>
      <c r="JC2629" s="73"/>
    </row>
    <row r="2630" spans="2:263" s="72" customFormat="1">
      <c r="B2630" s="73"/>
      <c r="C2630" s="73"/>
      <c r="D2630" s="73"/>
      <c r="E2630" s="73"/>
      <c r="F2630" s="73"/>
      <c r="G2630" s="73"/>
      <c r="H2630" s="73"/>
      <c r="I2630" s="73"/>
      <c r="J2630" s="73"/>
      <c r="K2630" s="73"/>
      <c r="L2630" s="73"/>
      <c r="M2630" s="73"/>
      <c r="N2630" s="73"/>
      <c r="O2630" s="73"/>
      <c r="P2630" s="73"/>
      <c r="Q2630" s="73"/>
      <c r="R2630" s="73"/>
      <c r="S2630" s="73"/>
      <c r="T2630" s="73"/>
      <c r="U2630" s="73"/>
      <c r="V2630" s="73"/>
      <c r="W2630" s="73"/>
      <c r="GL2630" s="73"/>
      <c r="GM2630" s="73"/>
      <c r="GN2630" s="73"/>
      <c r="GO2630" s="73"/>
      <c r="GP2630" s="73"/>
      <c r="GQ2630" s="73"/>
      <c r="GR2630" s="73"/>
      <c r="GS2630" s="73"/>
      <c r="GT2630" s="73"/>
      <c r="GU2630" s="73"/>
      <c r="GV2630" s="73"/>
      <c r="GW2630" s="73"/>
      <c r="GX2630" s="73"/>
      <c r="GY2630" s="73"/>
      <c r="GZ2630" s="73"/>
      <c r="HA2630" s="73"/>
      <c r="HB2630" s="73"/>
      <c r="HC2630" s="73"/>
      <c r="HD2630" s="73"/>
      <c r="HE2630" s="73"/>
      <c r="HF2630" s="73"/>
      <c r="HG2630" s="73"/>
      <c r="HH2630" s="73"/>
      <c r="HI2630" s="73"/>
      <c r="HJ2630" s="73"/>
      <c r="HK2630" s="73"/>
      <c r="HL2630" s="73"/>
      <c r="HM2630" s="73"/>
      <c r="HN2630" s="73"/>
      <c r="HO2630" s="73"/>
      <c r="HP2630" s="73"/>
      <c r="HQ2630" s="73"/>
      <c r="HR2630" s="73"/>
      <c r="HS2630" s="73"/>
      <c r="HT2630" s="73"/>
      <c r="HU2630" s="73"/>
      <c r="HV2630" s="73"/>
      <c r="HW2630" s="73"/>
      <c r="HX2630" s="73"/>
      <c r="HY2630" s="73"/>
      <c r="HZ2630" s="73"/>
      <c r="IA2630" s="73"/>
      <c r="IB2630" s="73"/>
      <c r="IC2630" s="73"/>
      <c r="ID2630" s="73"/>
      <c r="IE2630" s="73"/>
      <c r="IF2630" s="73"/>
      <c r="IG2630" s="73"/>
      <c r="IH2630" s="73"/>
      <c r="II2630" s="73"/>
      <c r="IJ2630" s="73"/>
      <c r="IK2630" s="73"/>
      <c r="IL2630" s="73"/>
      <c r="IM2630" s="73"/>
      <c r="IN2630" s="73"/>
      <c r="IO2630" s="73"/>
      <c r="IP2630" s="73"/>
      <c r="IQ2630" s="73"/>
      <c r="IR2630" s="73"/>
      <c r="IS2630" s="73"/>
      <c r="IT2630" s="73"/>
      <c r="IU2630" s="73"/>
      <c r="IV2630" s="73"/>
      <c r="IW2630" s="73"/>
      <c r="IX2630" s="73"/>
      <c r="IY2630" s="73"/>
      <c r="IZ2630" s="73"/>
      <c r="JA2630" s="73"/>
      <c r="JB2630" s="73"/>
      <c r="JC2630" s="73"/>
    </row>
    <row r="2631" spans="2:263" s="72" customFormat="1">
      <c r="B2631" s="73"/>
      <c r="C2631" s="73"/>
      <c r="D2631" s="73"/>
      <c r="E2631" s="73"/>
      <c r="F2631" s="73"/>
      <c r="G2631" s="73"/>
      <c r="H2631" s="73"/>
      <c r="I2631" s="73"/>
      <c r="J2631" s="73"/>
      <c r="K2631" s="73"/>
      <c r="L2631" s="73"/>
      <c r="M2631" s="73"/>
      <c r="N2631" s="73"/>
      <c r="O2631" s="73"/>
      <c r="P2631" s="73"/>
      <c r="Q2631" s="73"/>
      <c r="R2631" s="73"/>
      <c r="S2631" s="73"/>
      <c r="T2631" s="73"/>
      <c r="U2631" s="73"/>
      <c r="V2631" s="73"/>
      <c r="W2631" s="73"/>
      <c r="GL2631" s="73"/>
      <c r="GM2631" s="73"/>
      <c r="GN2631" s="73"/>
      <c r="GO2631" s="73"/>
      <c r="GP2631" s="73"/>
      <c r="GQ2631" s="73"/>
      <c r="GR2631" s="73"/>
      <c r="GS2631" s="73"/>
      <c r="GT2631" s="73"/>
      <c r="GU2631" s="73"/>
      <c r="GV2631" s="73"/>
      <c r="GW2631" s="73"/>
      <c r="GX2631" s="73"/>
      <c r="GY2631" s="73"/>
      <c r="GZ2631" s="73"/>
      <c r="HA2631" s="73"/>
      <c r="HB2631" s="73"/>
      <c r="HC2631" s="73"/>
      <c r="HD2631" s="73"/>
      <c r="HE2631" s="73"/>
      <c r="HF2631" s="73"/>
      <c r="HG2631" s="73"/>
      <c r="HH2631" s="73"/>
      <c r="HI2631" s="73"/>
      <c r="HJ2631" s="73"/>
      <c r="HK2631" s="73"/>
      <c r="HL2631" s="73"/>
      <c r="HM2631" s="73"/>
      <c r="HN2631" s="73"/>
      <c r="HO2631" s="73"/>
      <c r="HP2631" s="73"/>
      <c r="HQ2631" s="73"/>
      <c r="HR2631" s="73"/>
      <c r="HS2631" s="73"/>
      <c r="HT2631" s="73"/>
      <c r="HU2631" s="73"/>
      <c r="HV2631" s="73"/>
      <c r="HW2631" s="73"/>
      <c r="HX2631" s="73"/>
      <c r="HY2631" s="73"/>
      <c r="HZ2631" s="73"/>
      <c r="IA2631" s="73"/>
      <c r="IB2631" s="73"/>
      <c r="IC2631" s="73"/>
      <c r="ID2631" s="73"/>
      <c r="IE2631" s="73"/>
      <c r="IF2631" s="73"/>
      <c r="IG2631" s="73"/>
      <c r="IH2631" s="73"/>
      <c r="II2631" s="73"/>
      <c r="IJ2631" s="73"/>
      <c r="IK2631" s="73"/>
      <c r="IL2631" s="73"/>
      <c r="IM2631" s="73"/>
      <c r="IN2631" s="73"/>
      <c r="IO2631" s="73"/>
      <c r="IP2631" s="73"/>
      <c r="IQ2631" s="73"/>
      <c r="IR2631" s="73"/>
      <c r="IS2631" s="73"/>
      <c r="IT2631" s="73"/>
      <c r="IU2631" s="73"/>
      <c r="IV2631" s="73"/>
      <c r="IW2631" s="73"/>
      <c r="IX2631" s="73"/>
      <c r="IY2631" s="73"/>
      <c r="IZ2631" s="73"/>
      <c r="JA2631" s="73"/>
      <c r="JB2631" s="73"/>
      <c r="JC2631" s="73"/>
    </row>
    <row r="2632" spans="2:263" s="72" customFormat="1">
      <c r="B2632" s="73"/>
      <c r="C2632" s="73"/>
      <c r="D2632" s="73"/>
      <c r="E2632" s="73"/>
      <c r="F2632" s="73"/>
      <c r="G2632" s="73"/>
      <c r="H2632" s="73"/>
      <c r="I2632" s="73"/>
      <c r="J2632" s="73"/>
      <c r="K2632" s="73"/>
      <c r="L2632" s="73"/>
      <c r="M2632" s="73"/>
      <c r="N2632" s="73"/>
      <c r="O2632" s="73"/>
      <c r="P2632" s="73"/>
      <c r="Q2632" s="73"/>
      <c r="R2632" s="73"/>
      <c r="S2632" s="73"/>
      <c r="T2632" s="73"/>
      <c r="U2632" s="73"/>
      <c r="V2632" s="73"/>
      <c r="W2632" s="73"/>
      <c r="GL2632" s="73"/>
      <c r="GM2632" s="73"/>
      <c r="GN2632" s="73"/>
      <c r="GO2632" s="73"/>
      <c r="GP2632" s="73"/>
      <c r="GQ2632" s="73"/>
      <c r="GR2632" s="73"/>
      <c r="GS2632" s="73"/>
      <c r="GT2632" s="73"/>
      <c r="GU2632" s="73"/>
      <c r="GV2632" s="73"/>
      <c r="GW2632" s="73"/>
      <c r="GX2632" s="73"/>
      <c r="GY2632" s="73"/>
      <c r="GZ2632" s="73"/>
      <c r="HA2632" s="73"/>
      <c r="HB2632" s="73"/>
      <c r="HC2632" s="73"/>
      <c r="HD2632" s="73"/>
      <c r="HE2632" s="73"/>
      <c r="HF2632" s="73"/>
      <c r="HG2632" s="73"/>
      <c r="HH2632" s="73"/>
      <c r="HI2632" s="73"/>
      <c r="HJ2632" s="73"/>
      <c r="HK2632" s="73"/>
      <c r="HL2632" s="73"/>
      <c r="HM2632" s="73"/>
      <c r="HN2632" s="73"/>
      <c r="HO2632" s="73"/>
      <c r="HP2632" s="73"/>
      <c r="HQ2632" s="73"/>
      <c r="HR2632" s="73"/>
      <c r="HS2632" s="73"/>
      <c r="HT2632" s="73"/>
      <c r="HU2632" s="73"/>
      <c r="HV2632" s="73"/>
      <c r="HW2632" s="73"/>
      <c r="HX2632" s="73"/>
      <c r="HY2632" s="73"/>
      <c r="HZ2632" s="73"/>
      <c r="IA2632" s="73"/>
      <c r="IB2632" s="73"/>
      <c r="IC2632" s="73"/>
      <c r="ID2632" s="73"/>
      <c r="IE2632" s="73"/>
      <c r="IF2632" s="73"/>
      <c r="IG2632" s="73"/>
      <c r="IH2632" s="73"/>
      <c r="II2632" s="73"/>
      <c r="IJ2632" s="73"/>
      <c r="IK2632" s="73"/>
      <c r="IL2632" s="73"/>
      <c r="IM2632" s="73"/>
      <c r="IN2632" s="73"/>
      <c r="IO2632" s="73"/>
      <c r="IP2632" s="73"/>
      <c r="IQ2632" s="73"/>
      <c r="IR2632" s="73"/>
      <c r="IS2632" s="73"/>
      <c r="IT2632" s="73"/>
      <c r="IU2632" s="73"/>
      <c r="IV2632" s="73"/>
      <c r="IW2632" s="73"/>
      <c r="IX2632" s="73"/>
      <c r="IY2632" s="73"/>
      <c r="IZ2632" s="73"/>
      <c r="JA2632" s="73"/>
      <c r="JB2632" s="73"/>
      <c r="JC2632" s="73"/>
    </row>
    <row r="2633" spans="2:263" s="72" customFormat="1">
      <c r="B2633" s="73"/>
      <c r="C2633" s="73"/>
      <c r="D2633" s="73"/>
      <c r="E2633" s="73"/>
      <c r="F2633" s="73"/>
      <c r="G2633" s="73"/>
      <c r="H2633" s="73"/>
      <c r="I2633" s="73"/>
      <c r="J2633" s="73"/>
      <c r="K2633" s="73"/>
      <c r="L2633" s="73"/>
      <c r="M2633" s="73"/>
      <c r="N2633" s="73"/>
      <c r="O2633" s="73"/>
      <c r="P2633" s="73"/>
      <c r="Q2633" s="73"/>
      <c r="R2633" s="73"/>
      <c r="S2633" s="73"/>
      <c r="T2633" s="73"/>
      <c r="U2633" s="73"/>
      <c r="V2633" s="73"/>
      <c r="W2633" s="73"/>
      <c r="GL2633" s="73"/>
      <c r="GM2633" s="73"/>
      <c r="GN2633" s="73"/>
      <c r="GO2633" s="73"/>
      <c r="GP2633" s="73"/>
      <c r="GQ2633" s="73"/>
      <c r="GR2633" s="73"/>
      <c r="GS2633" s="73"/>
      <c r="GT2633" s="73"/>
      <c r="GU2633" s="73"/>
      <c r="GV2633" s="73"/>
      <c r="GW2633" s="73"/>
      <c r="GX2633" s="73"/>
      <c r="GY2633" s="73"/>
      <c r="GZ2633" s="73"/>
      <c r="HA2633" s="73"/>
      <c r="HB2633" s="73"/>
      <c r="HC2633" s="73"/>
      <c r="HD2633" s="73"/>
      <c r="HE2633" s="73"/>
      <c r="HF2633" s="73"/>
      <c r="HG2633" s="73"/>
      <c r="HH2633" s="73"/>
      <c r="HI2633" s="73"/>
      <c r="HJ2633" s="73"/>
      <c r="HK2633" s="73"/>
      <c r="HL2633" s="73"/>
      <c r="HM2633" s="73"/>
      <c r="HN2633" s="73"/>
      <c r="HO2633" s="73"/>
      <c r="HP2633" s="73"/>
      <c r="HQ2633" s="73"/>
      <c r="HR2633" s="73"/>
      <c r="HS2633" s="73"/>
      <c r="HT2633" s="73"/>
      <c r="HU2633" s="73"/>
      <c r="HV2633" s="73"/>
      <c r="HW2633" s="73"/>
      <c r="HX2633" s="73"/>
      <c r="HY2633" s="73"/>
      <c r="HZ2633" s="73"/>
      <c r="IA2633" s="73"/>
      <c r="IB2633" s="73"/>
      <c r="IC2633" s="73"/>
      <c r="ID2633" s="73"/>
      <c r="IE2633" s="73"/>
      <c r="IF2633" s="73"/>
      <c r="IG2633" s="73"/>
      <c r="IH2633" s="73"/>
      <c r="II2633" s="73"/>
      <c r="IJ2633" s="73"/>
      <c r="IK2633" s="73"/>
      <c r="IL2633" s="73"/>
      <c r="IM2633" s="73"/>
      <c r="IN2633" s="73"/>
      <c r="IO2633" s="73"/>
      <c r="IP2633" s="73"/>
      <c r="IQ2633" s="73"/>
      <c r="IR2633" s="73"/>
      <c r="IS2633" s="73"/>
      <c r="IT2633" s="73"/>
      <c r="IU2633" s="73"/>
      <c r="IV2633" s="73"/>
      <c r="IW2633" s="73"/>
      <c r="IX2633" s="73"/>
      <c r="IY2633" s="73"/>
      <c r="IZ2633" s="73"/>
      <c r="JA2633" s="73"/>
      <c r="JB2633" s="73"/>
      <c r="JC2633" s="73"/>
    </row>
    <row r="2634" spans="2:263" s="72" customFormat="1">
      <c r="B2634" s="73"/>
      <c r="C2634" s="73"/>
      <c r="D2634" s="73"/>
      <c r="E2634" s="73"/>
      <c r="F2634" s="73"/>
      <c r="G2634" s="73"/>
      <c r="H2634" s="73"/>
      <c r="I2634" s="73"/>
      <c r="J2634" s="73"/>
      <c r="K2634" s="73"/>
      <c r="L2634" s="73"/>
      <c r="M2634" s="73"/>
      <c r="N2634" s="73"/>
      <c r="O2634" s="73"/>
      <c r="P2634" s="73"/>
      <c r="Q2634" s="73"/>
      <c r="R2634" s="73"/>
      <c r="S2634" s="73"/>
      <c r="T2634" s="73"/>
      <c r="U2634" s="73"/>
      <c r="V2634" s="73"/>
      <c r="W2634" s="73"/>
      <c r="GL2634" s="73"/>
      <c r="GM2634" s="73"/>
      <c r="GN2634" s="73"/>
      <c r="GO2634" s="73"/>
      <c r="GP2634" s="73"/>
      <c r="GQ2634" s="73"/>
      <c r="GR2634" s="73"/>
      <c r="GS2634" s="73"/>
      <c r="GT2634" s="73"/>
      <c r="GU2634" s="73"/>
      <c r="GV2634" s="73"/>
      <c r="GW2634" s="73"/>
      <c r="GX2634" s="73"/>
      <c r="GY2634" s="73"/>
      <c r="GZ2634" s="73"/>
      <c r="HA2634" s="73"/>
      <c r="HB2634" s="73"/>
      <c r="HC2634" s="73"/>
      <c r="HD2634" s="73"/>
      <c r="HE2634" s="73"/>
      <c r="HF2634" s="73"/>
      <c r="HG2634" s="73"/>
      <c r="HH2634" s="73"/>
      <c r="HI2634" s="73"/>
      <c r="HJ2634" s="73"/>
      <c r="HK2634" s="73"/>
      <c r="HL2634" s="73"/>
      <c r="HM2634" s="73"/>
      <c r="HN2634" s="73"/>
      <c r="HO2634" s="73"/>
      <c r="HP2634" s="73"/>
      <c r="HQ2634" s="73"/>
      <c r="HR2634" s="73"/>
      <c r="HS2634" s="73"/>
      <c r="HT2634" s="73"/>
      <c r="HU2634" s="73"/>
      <c r="HV2634" s="73"/>
      <c r="HW2634" s="73"/>
      <c r="HX2634" s="73"/>
      <c r="HY2634" s="73"/>
      <c r="HZ2634" s="73"/>
      <c r="IA2634" s="73"/>
      <c r="IB2634" s="73"/>
      <c r="IC2634" s="73"/>
      <c r="ID2634" s="73"/>
      <c r="IE2634" s="73"/>
      <c r="IF2634" s="73"/>
      <c r="IG2634" s="73"/>
      <c r="IH2634" s="73"/>
      <c r="II2634" s="73"/>
      <c r="IJ2634" s="73"/>
      <c r="IK2634" s="73"/>
      <c r="IL2634" s="73"/>
      <c r="IM2634" s="73"/>
      <c r="IN2634" s="73"/>
      <c r="IO2634" s="73"/>
      <c r="IP2634" s="73"/>
      <c r="IQ2634" s="73"/>
      <c r="IR2634" s="73"/>
      <c r="IS2634" s="73"/>
      <c r="IT2634" s="73"/>
      <c r="IU2634" s="73"/>
      <c r="IV2634" s="73"/>
      <c r="IW2634" s="73"/>
      <c r="IX2634" s="73"/>
      <c r="IY2634" s="73"/>
      <c r="IZ2634" s="73"/>
      <c r="JA2634" s="73"/>
      <c r="JB2634" s="73"/>
      <c r="JC2634" s="73"/>
    </row>
    <row r="2635" spans="2:263" s="72" customFormat="1">
      <c r="B2635" s="73"/>
      <c r="C2635" s="73"/>
      <c r="D2635" s="73"/>
      <c r="E2635" s="73"/>
      <c r="F2635" s="73"/>
      <c r="G2635" s="73"/>
      <c r="H2635" s="73"/>
      <c r="I2635" s="73"/>
      <c r="J2635" s="73"/>
      <c r="K2635" s="73"/>
      <c r="L2635" s="73"/>
      <c r="M2635" s="73"/>
      <c r="N2635" s="73"/>
      <c r="O2635" s="73"/>
      <c r="P2635" s="73"/>
      <c r="Q2635" s="73"/>
      <c r="R2635" s="73"/>
      <c r="S2635" s="73"/>
      <c r="T2635" s="73"/>
      <c r="U2635" s="73"/>
      <c r="V2635" s="73"/>
      <c r="W2635" s="73"/>
      <c r="GL2635" s="73"/>
      <c r="GM2635" s="73"/>
      <c r="GN2635" s="73"/>
      <c r="GO2635" s="73"/>
      <c r="GP2635" s="73"/>
      <c r="GQ2635" s="73"/>
      <c r="GR2635" s="73"/>
      <c r="GS2635" s="73"/>
      <c r="GT2635" s="73"/>
      <c r="GU2635" s="73"/>
      <c r="GV2635" s="73"/>
      <c r="GW2635" s="73"/>
      <c r="GX2635" s="73"/>
      <c r="GY2635" s="73"/>
      <c r="GZ2635" s="73"/>
      <c r="HA2635" s="73"/>
      <c r="HB2635" s="73"/>
      <c r="HC2635" s="73"/>
      <c r="HD2635" s="73"/>
      <c r="HE2635" s="73"/>
      <c r="HF2635" s="73"/>
      <c r="HG2635" s="73"/>
      <c r="HH2635" s="73"/>
      <c r="HI2635" s="73"/>
      <c r="HJ2635" s="73"/>
      <c r="HK2635" s="73"/>
      <c r="HL2635" s="73"/>
      <c r="HM2635" s="73"/>
      <c r="HN2635" s="73"/>
      <c r="HO2635" s="73"/>
      <c r="HP2635" s="73"/>
      <c r="HQ2635" s="73"/>
      <c r="HR2635" s="73"/>
      <c r="HS2635" s="73"/>
      <c r="HT2635" s="73"/>
      <c r="HU2635" s="73"/>
      <c r="HV2635" s="73"/>
      <c r="HW2635" s="73"/>
      <c r="HX2635" s="73"/>
      <c r="HY2635" s="73"/>
      <c r="HZ2635" s="73"/>
      <c r="IA2635" s="73"/>
      <c r="IB2635" s="73"/>
      <c r="IC2635" s="73"/>
      <c r="ID2635" s="73"/>
      <c r="IE2635" s="73"/>
      <c r="IF2635" s="73"/>
      <c r="IG2635" s="73"/>
      <c r="IH2635" s="73"/>
      <c r="II2635" s="73"/>
      <c r="IJ2635" s="73"/>
      <c r="IK2635" s="73"/>
      <c r="IL2635" s="73"/>
      <c r="IM2635" s="73"/>
      <c r="IN2635" s="73"/>
      <c r="IO2635" s="73"/>
      <c r="IP2635" s="73"/>
      <c r="IQ2635" s="73"/>
      <c r="IR2635" s="73"/>
      <c r="IS2635" s="73"/>
      <c r="IT2635" s="73"/>
      <c r="IU2635" s="73"/>
      <c r="IV2635" s="73"/>
      <c r="IW2635" s="73"/>
      <c r="IX2635" s="73"/>
      <c r="IY2635" s="73"/>
      <c r="IZ2635" s="73"/>
      <c r="JA2635" s="73"/>
      <c r="JB2635" s="73"/>
      <c r="JC2635" s="73"/>
    </row>
    <row r="2636" spans="2:263" s="72" customFormat="1">
      <c r="B2636" s="73"/>
      <c r="C2636" s="73"/>
      <c r="D2636" s="73"/>
      <c r="E2636" s="73"/>
      <c r="F2636" s="73"/>
      <c r="G2636" s="73"/>
      <c r="H2636" s="73"/>
      <c r="I2636" s="73"/>
      <c r="J2636" s="73"/>
      <c r="K2636" s="73"/>
      <c r="L2636" s="73"/>
      <c r="M2636" s="73"/>
      <c r="N2636" s="73"/>
      <c r="O2636" s="73"/>
      <c r="P2636" s="73"/>
      <c r="Q2636" s="73"/>
      <c r="R2636" s="73"/>
      <c r="S2636" s="73"/>
      <c r="T2636" s="73"/>
      <c r="U2636" s="73"/>
      <c r="V2636" s="73"/>
      <c r="W2636" s="73"/>
      <c r="GL2636" s="73"/>
      <c r="GM2636" s="73"/>
      <c r="GN2636" s="73"/>
      <c r="GO2636" s="73"/>
      <c r="GP2636" s="73"/>
      <c r="GQ2636" s="73"/>
      <c r="GR2636" s="73"/>
      <c r="GS2636" s="73"/>
      <c r="GT2636" s="73"/>
      <c r="GU2636" s="73"/>
      <c r="GV2636" s="73"/>
      <c r="GW2636" s="73"/>
      <c r="GX2636" s="73"/>
      <c r="GY2636" s="73"/>
      <c r="GZ2636" s="73"/>
      <c r="HA2636" s="73"/>
      <c r="HB2636" s="73"/>
      <c r="HC2636" s="73"/>
      <c r="HD2636" s="73"/>
      <c r="HE2636" s="73"/>
      <c r="HF2636" s="73"/>
      <c r="HG2636" s="73"/>
      <c r="HH2636" s="73"/>
      <c r="HI2636" s="73"/>
      <c r="HJ2636" s="73"/>
      <c r="HK2636" s="73"/>
      <c r="HL2636" s="73"/>
      <c r="HM2636" s="73"/>
      <c r="HN2636" s="73"/>
      <c r="HO2636" s="73"/>
      <c r="HP2636" s="73"/>
      <c r="HQ2636" s="73"/>
      <c r="HR2636" s="73"/>
      <c r="HS2636" s="73"/>
      <c r="HT2636" s="73"/>
      <c r="HU2636" s="73"/>
      <c r="HV2636" s="73"/>
      <c r="HW2636" s="73"/>
      <c r="HX2636" s="73"/>
      <c r="HY2636" s="73"/>
      <c r="HZ2636" s="73"/>
      <c r="IA2636" s="73"/>
      <c r="IB2636" s="73"/>
      <c r="IC2636" s="73"/>
      <c r="ID2636" s="73"/>
      <c r="IE2636" s="73"/>
      <c r="IF2636" s="73"/>
      <c r="IG2636" s="73"/>
      <c r="IH2636" s="73"/>
      <c r="II2636" s="73"/>
      <c r="IJ2636" s="73"/>
      <c r="IK2636" s="73"/>
      <c r="IL2636" s="73"/>
      <c r="IM2636" s="73"/>
      <c r="IN2636" s="73"/>
      <c r="IO2636" s="73"/>
      <c r="IP2636" s="73"/>
      <c r="IQ2636" s="73"/>
      <c r="IR2636" s="73"/>
      <c r="IS2636" s="73"/>
      <c r="IT2636" s="73"/>
      <c r="IU2636" s="73"/>
      <c r="IV2636" s="73"/>
      <c r="IW2636" s="73"/>
      <c r="IX2636" s="73"/>
      <c r="IY2636" s="73"/>
      <c r="IZ2636" s="73"/>
      <c r="JA2636" s="73"/>
      <c r="JB2636" s="73"/>
      <c r="JC2636" s="73"/>
    </row>
    <row r="2637" spans="2:263" s="72" customFormat="1">
      <c r="B2637" s="73"/>
      <c r="C2637" s="73"/>
      <c r="D2637" s="73"/>
      <c r="E2637" s="73"/>
      <c r="F2637" s="73"/>
      <c r="G2637" s="73"/>
      <c r="H2637" s="73"/>
      <c r="I2637" s="73"/>
      <c r="J2637" s="73"/>
      <c r="K2637" s="73"/>
      <c r="L2637" s="73"/>
      <c r="M2637" s="73"/>
      <c r="N2637" s="73"/>
      <c r="O2637" s="73"/>
      <c r="P2637" s="73"/>
      <c r="Q2637" s="73"/>
      <c r="R2637" s="73"/>
      <c r="S2637" s="73"/>
      <c r="T2637" s="73"/>
      <c r="U2637" s="73"/>
      <c r="V2637" s="73"/>
      <c r="W2637" s="73"/>
      <c r="GL2637" s="73"/>
      <c r="GM2637" s="73"/>
      <c r="GN2637" s="73"/>
      <c r="GO2637" s="73"/>
      <c r="GP2637" s="73"/>
      <c r="GQ2637" s="73"/>
      <c r="GR2637" s="73"/>
      <c r="GS2637" s="73"/>
      <c r="GT2637" s="73"/>
      <c r="GU2637" s="73"/>
      <c r="GV2637" s="73"/>
      <c r="GW2637" s="73"/>
      <c r="GX2637" s="73"/>
      <c r="GY2637" s="73"/>
      <c r="GZ2637" s="73"/>
      <c r="HA2637" s="73"/>
      <c r="HB2637" s="73"/>
      <c r="HC2637" s="73"/>
      <c r="HD2637" s="73"/>
      <c r="HE2637" s="73"/>
      <c r="HF2637" s="73"/>
      <c r="HG2637" s="73"/>
      <c r="HH2637" s="73"/>
      <c r="HI2637" s="73"/>
      <c r="HJ2637" s="73"/>
      <c r="HK2637" s="73"/>
      <c r="HL2637" s="73"/>
      <c r="HM2637" s="73"/>
      <c r="HN2637" s="73"/>
      <c r="HO2637" s="73"/>
      <c r="HP2637" s="73"/>
      <c r="HQ2637" s="73"/>
      <c r="HR2637" s="73"/>
      <c r="HS2637" s="73"/>
      <c r="HT2637" s="73"/>
      <c r="HU2637" s="73"/>
      <c r="HV2637" s="73"/>
      <c r="HW2637" s="73"/>
      <c r="HX2637" s="73"/>
      <c r="HY2637" s="73"/>
      <c r="HZ2637" s="73"/>
      <c r="IA2637" s="73"/>
      <c r="IB2637" s="73"/>
      <c r="IC2637" s="73"/>
      <c r="ID2637" s="73"/>
      <c r="IE2637" s="73"/>
      <c r="IF2637" s="73"/>
      <c r="IG2637" s="73"/>
      <c r="IH2637" s="73"/>
      <c r="II2637" s="73"/>
      <c r="IJ2637" s="73"/>
      <c r="IK2637" s="73"/>
      <c r="IL2637" s="73"/>
      <c r="IM2637" s="73"/>
      <c r="IN2637" s="73"/>
      <c r="IO2637" s="73"/>
      <c r="IP2637" s="73"/>
      <c r="IQ2637" s="73"/>
      <c r="IR2637" s="73"/>
      <c r="IS2637" s="73"/>
      <c r="IT2637" s="73"/>
      <c r="IU2637" s="73"/>
      <c r="IV2637" s="73"/>
      <c r="IW2637" s="73"/>
      <c r="IX2637" s="73"/>
      <c r="IY2637" s="73"/>
      <c r="IZ2637" s="73"/>
      <c r="JA2637" s="73"/>
      <c r="JB2637" s="73"/>
      <c r="JC2637" s="73"/>
    </row>
    <row r="2638" spans="2:263" s="72" customFormat="1">
      <c r="B2638" s="73"/>
      <c r="C2638" s="73"/>
      <c r="D2638" s="73"/>
      <c r="E2638" s="73"/>
      <c r="F2638" s="73"/>
      <c r="G2638" s="73"/>
      <c r="H2638" s="73"/>
      <c r="I2638" s="73"/>
      <c r="J2638" s="73"/>
      <c r="K2638" s="73"/>
      <c r="L2638" s="73"/>
      <c r="M2638" s="73"/>
      <c r="N2638" s="73"/>
      <c r="O2638" s="73"/>
      <c r="P2638" s="73"/>
      <c r="Q2638" s="73"/>
      <c r="R2638" s="73"/>
      <c r="S2638" s="73"/>
      <c r="T2638" s="73"/>
      <c r="U2638" s="73"/>
      <c r="V2638" s="73"/>
      <c r="W2638" s="73"/>
      <c r="GL2638" s="73"/>
      <c r="GM2638" s="73"/>
      <c r="GN2638" s="73"/>
      <c r="GO2638" s="73"/>
      <c r="GP2638" s="73"/>
      <c r="GQ2638" s="73"/>
      <c r="GR2638" s="73"/>
      <c r="GS2638" s="73"/>
      <c r="GT2638" s="73"/>
      <c r="GU2638" s="73"/>
      <c r="GV2638" s="73"/>
      <c r="GW2638" s="73"/>
      <c r="GX2638" s="73"/>
      <c r="GY2638" s="73"/>
      <c r="GZ2638" s="73"/>
      <c r="HA2638" s="73"/>
      <c r="HB2638" s="73"/>
      <c r="HC2638" s="73"/>
      <c r="HD2638" s="73"/>
      <c r="HE2638" s="73"/>
      <c r="HF2638" s="73"/>
      <c r="HG2638" s="73"/>
      <c r="HH2638" s="73"/>
      <c r="HI2638" s="73"/>
      <c r="HJ2638" s="73"/>
      <c r="HK2638" s="73"/>
      <c r="HL2638" s="73"/>
      <c r="HM2638" s="73"/>
      <c r="HN2638" s="73"/>
      <c r="HO2638" s="73"/>
      <c r="HP2638" s="73"/>
      <c r="HQ2638" s="73"/>
      <c r="HR2638" s="73"/>
      <c r="HS2638" s="73"/>
      <c r="HT2638" s="73"/>
      <c r="HU2638" s="73"/>
      <c r="HV2638" s="73"/>
      <c r="HW2638" s="73"/>
      <c r="HX2638" s="73"/>
      <c r="HY2638" s="73"/>
      <c r="HZ2638" s="73"/>
      <c r="IA2638" s="73"/>
      <c r="IB2638" s="73"/>
      <c r="IC2638" s="73"/>
      <c r="ID2638" s="73"/>
      <c r="IE2638" s="73"/>
      <c r="IF2638" s="73"/>
      <c r="IG2638" s="73"/>
      <c r="IH2638" s="73"/>
      <c r="II2638" s="73"/>
      <c r="IJ2638" s="73"/>
      <c r="IK2638" s="73"/>
      <c r="IL2638" s="73"/>
      <c r="IM2638" s="73"/>
      <c r="IN2638" s="73"/>
      <c r="IO2638" s="73"/>
      <c r="IP2638" s="73"/>
      <c r="IQ2638" s="73"/>
      <c r="IR2638" s="73"/>
      <c r="IS2638" s="73"/>
      <c r="IT2638" s="73"/>
      <c r="IU2638" s="73"/>
      <c r="IV2638" s="73"/>
      <c r="IW2638" s="73"/>
      <c r="IX2638" s="73"/>
      <c r="IY2638" s="73"/>
      <c r="IZ2638" s="73"/>
      <c r="JA2638" s="73"/>
      <c r="JB2638" s="73"/>
      <c r="JC2638" s="73"/>
    </row>
    <row r="2639" spans="2:263" s="72" customFormat="1">
      <c r="B2639" s="73"/>
      <c r="C2639" s="73"/>
      <c r="D2639" s="73"/>
      <c r="E2639" s="73"/>
      <c r="F2639" s="73"/>
      <c r="G2639" s="73"/>
      <c r="H2639" s="73"/>
      <c r="I2639" s="73"/>
      <c r="J2639" s="73"/>
      <c r="K2639" s="73"/>
      <c r="L2639" s="73"/>
      <c r="M2639" s="73"/>
      <c r="N2639" s="73"/>
      <c r="O2639" s="73"/>
      <c r="P2639" s="73"/>
      <c r="Q2639" s="73"/>
      <c r="R2639" s="73"/>
      <c r="S2639" s="73"/>
      <c r="T2639" s="73"/>
      <c r="U2639" s="73"/>
      <c r="V2639" s="73"/>
      <c r="W2639" s="73"/>
      <c r="GL2639" s="73"/>
      <c r="GM2639" s="73"/>
      <c r="GN2639" s="73"/>
      <c r="GO2639" s="73"/>
      <c r="GP2639" s="73"/>
      <c r="GQ2639" s="73"/>
      <c r="GR2639" s="73"/>
      <c r="GS2639" s="73"/>
      <c r="GT2639" s="73"/>
      <c r="GU2639" s="73"/>
      <c r="GV2639" s="73"/>
      <c r="GW2639" s="73"/>
      <c r="GX2639" s="73"/>
      <c r="GY2639" s="73"/>
      <c r="GZ2639" s="73"/>
      <c r="HA2639" s="73"/>
      <c r="HB2639" s="73"/>
      <c r="HC2639" s="73"/>
      <c r="HD2639" s="73"/>
      <c r="HE2639" s="73"/>
      <c r="HF2639" s="73"/>
      <c r="HG2639" s="73"/>
      <c r="HH2639" s="73"/>
      <c r="HI2639" s="73"/>
      <c r="HJ2639" s="73"/>
      <c r="HK2639" s="73"/>
      <c r="HL2639" s="73"/>
      <c r="HM2639" s="73"/>
      <c r="HN2639" s="73"/>
      <c r="HO2639" s="73"/>
      <c r="HP2639" s="73"/>
      <c r="HQ2639" s="73"/>
      <c r="HR2639" s="73"/>
      <c r="HS2639" s="73"/>
      <c r="HT2639" s="73"/>
      <c r="HU2639" s="73"/>
      <c r="HV2639" s="73"/>
      <c r="HW2639" s="73"/>
      <c r="HX2639" s="73"/>
      <c r="HY2639" s="73"/>
      <c r="HZ2639" s="73"/>
      <c r="IA2639" s="73"/>
      <c r="IB2639" s="73"/>
      <c r="IC2639" s="73"/>
      <c r="ID2639" s="73"/>
      <c r="IE2639" s="73"/>
      <c r="IF2639" s="73"/>
      <c r="IG2639" s="73"/>
      <c r="IH2639" s="73"/>
      <c r="II2639" s="73"/>
      <c r="IJ2639" s="73"/>
      <c r="IK2639" s="73"/>
      <c r="IL2639" s="73"/>
      <c r="IM2639" s="73"/>
      <c r="IN2639" s="73"/>
      <c r="IO2639" s="73"/>
      <c r="IP2639" s="73"/>
      <c r="IQ2639" s="73"/>
      <c r="IR2639" s="73"/>
      <c r="IS2639" s="73"/>
      <c r="IT2639" s="73"/>
      <c r="IU2639" s="73"/>
      <c r="IV2639" s="73"/>
      <c r="IW2639" s="73"/>
      <c r="IX2639" s="73"/>
      <c r="IY2639" s="73"/>
      <c r="IZ2639" s="73"/>
      <c r="JA2639" s="73"/>
      <c r="JB2639" s="73"/>
      <c r="JC2639" s="73"/>
    </row>
    <row r="2640" spans="2:263" s="72" customFormat="1">
      <c r="B2640" s="73"/>
      <c r="C2640" s="73"/>
      <c r="D2640" s="73"/>
      <c r="E2640" s="73"/>
      <c r="F2640" s="73"/>
      <c r="G2640" s="73"/>
      <c r="H2640" s="73"/>
      <c r="I2640" s="73"/>
      <c r="J2640" s="73"/>
      <c r="K2640" s="73"/>
      <c r="L2640" s="73"/>
      <c r="M2640" s="73"/>
      <c r="N2640" s="73"/>
      <c r="O2640" s="73"/>
      <c r="P2640" s="73"/>
      <c r="Q2640" s="73"/>
      <c r="R2640" s="73"/>
      <c r="S2640" s="73"/>
      <c r="T2640" s="73"/>
      <c r="U2640" s="73"/>
      <c r="V2640" s="73"/>
      <c r="W2640" s="73"/>
      <c r="GL2640" s="73"/>
      <c r="GM2640" s="73"/>
      <c r="GN2640" s="73"/>
      <c r="GO2640" s="73"/>
      <c r="GP2640" s="73"/>
      <c r="GQ2640" s="73"/>
      <c r="GR2640" s="73"/>
      <c r="GS2640" s="73"/>
      <c r="GT2640" s="73"/>
      <c r="GU2640" s="73"/>
      <c r="GV2640" s="73"/>
      <c r="GW2640" s="73"/>
      <c r="GX2640" s="73"/>
      <c r="GY2640" s="73"/>
      <c r="GZ2640" s="73"/>
      <c r="HA2640" s="73"/>
      <c r="HB2640" s="73"/>
      <c r="HC2640" s="73"/>
      <c r="HD2640" s="73"/>
      <c r="HE2640" s="73"/>
      <c r="HF2640" s="73"/>
      <c r="HG2640" s="73"/>
      <c r="HH2640" s="73"/>
      <c r="HI2640" s="73"/>
      <c r="HJ2640" s="73"/>
      <c r="HK2640" s="73"/>
      <c r="HL2640" s="73"/>
      <c r="HM2640" s="73"/>
      <c r="HN2640" s="73"/>
      <c r="HO2640" s="73"/>
      <c r="HP2640" s="73"/>
      <c r="HQ2640" s="73"/>
      <c r="HR2640" s="73"/>
      <c r="HS2640" s="73"/>
      <c r="HT2640" s="73"/>
      <c r="HU2640" s="73"/>
      <c r="HV2640" s="73"/>
      <c r="HW2640" s="73"/>
      <c r="HX2640" s="73"/>
      <c r="HY2640" s="73"/>
      <c r="HZ2640" s="73"/>
      <c r="IA2640" s="73"/>
      <c r="IB2640" s="73"/>
      <c r="IC2640" s="73"/>
      <c r="ID2640" s="73"/>
      <c r="IE2640" s="73"/>
      <c r="IF2640" s="73"/>
      <c r="IG2640" s="73"/>
      <c r="IH2640" s="73"/>
      <c r="II2640" s="73"/>
      <c r="IJ2640" s="73"/>
      <c r="IK2640" s="73"/>
      <c r="IL2640" s="73"/>
      <c r="IM2640" s="73"/>
      <c r="IN2640" s="73"/>
      <c r="IO2640" s="73"/>
      <c r="IP2640" s="73"/>
      <c r="IQ2640" s="73"/>
      <c r="IR2640" s="73"/>
      <c r="IS2640" s="73"/>
      <c r="IT2640" s="73"/>
      <c r="IU2640" s="73"/>
      <c r="IV2640" s="73"/>
      <c r="IW2640" s="73"/>
      <c r="IX2640" s="73"/>
      <c r="IY2640" s="73"/>
      <c r="IZ2640" s="73"/>
      <c r="JA2640" s="73"/>
      <c r="JB2640" s="73"/>
      <c r="JC2640" s="73"/>
    </row>
    <row r="2641" spans="2:263" s="72" customFormat="1">
      <c r="B2641" s="73"/>
      <c r="C2641" s="73"/>
      <c r="D2641" s="73"/>
      <c r="E2641" s="73"/>
      <c r="F2641" s="73"/>
      <c r="G2641" s="73"/>
      <c r="H2641" s="73"/>
      <c r="I2641" s="73"/>
      <c r="J2641" s="73"/>
      <c r="K2641" s="73"/>
      <c r="L2641" s="73"/>
      <c r="M2641" s="73"/>
      <c r="N2641" s="73"/>
      <c r="O2641" s="73"/>
      <c r="P2641" s="73"/>
      <c r="Q2641" s="73"/>
      <c r="R2641" s="73"/>
      <c r="S2641" s="73"/>
      <c r="T2641" s="73"/>
      <c r="U2641" s="73"/>
      <c r="V2641" s="73"/>
      <c r="W2641" s="73"/>
      <c r="GL2641" s="73"/>
      <c r="GM2641" s="73"/>
      <c r="GN2641" s="73"/>
      <c r="GO2641" s="73"/>
      <c r="GP2641" s="73"/>
      <c r="GQ2641" s="73"/>
      <c r="GR2641" s="73"/>
      <c r="GS2641" s="73"/>
      <c r="GT2641" s="73"/>
      <c r="GU2641" s="73"/>
      <c r="GV2641" s="73"/>
      <c r="GW2641" s="73"/>
      <c r="GX2641" s="73"/>
      <c r="GY2641" s="73"/>
      <c r="GZ2641" s="73"/>
      <c r="HA2641" s="73"/>
      <c r="HB2641" s="73"/>
      <c r="HC2641" s="73"/>
      <c r="HD2641" s="73"/>
      <c r="HE2641" s="73"/>
      <c r="HF2641" s="73"/>
      <c r="HG2641" s="73"/>
      <c r="HH2641" s="73"/>
      <c r="HI2641" s="73"/>
      <c r="HJ2641" s="73"/>
      <c r="HK2641" s="73"/>
      <c r="HL2641" s="73"/>
      <c r="HM2641" s="73"/>
      <c r="HN2641" s="73"/>
      <c r="HO2641" s="73"/>
      <c r="HP2641" s="73"/>
      <c r="HQ2641" s="73"/>
      <c r="HR2641" s="73"/>
      <c r="HS2641" s="73"/>
      <c r="HT2641" s="73"/>
      <c r="HU2641" s="73"/>
      <c r="HV2641" s="73"/>
      <c r="HW2641" s="73"/>
      <c r="HX2641" s="73"/>
      <c r="HY2641" s="73"/>
      <c r="HZ2641" s="73"/>
      <c r="IA2641" s="73"/>
      <c r="IB2641" s="73"/>
      <c r="IC2641" s="73"/>
      <c r="ID2641" s="73"/>
      <c r="IE2641" s="73"/>
      <c r="IF2641" s="73"/>
      <c r="IG2641" s="73"/>
      <c r="IH2641" s="73"/>
      <c r="II2641" s="73"/>
      <c r="IJ2641" s="73"/>
      <c r="IK2641" s="73"/>
      <c r="IL2641" s="73"/>
      <c r="IM2641" s="73"/>
      <c r="IN2641" s="73"/>
      <c r="IO2641" s="73"/>
      <c r="IP2641" s="73"/>
      <c r="IQ2641" s="73"/>
      <c r="IR2641" s="73"/>
      <c r="IS2641" s="73"/>
      <c r="IT2641" s="73"/>
      <c r="IU2641" s="73"/>
      <c r="IV2641" s="73"/>
      <c r="IW2641" s="73"/>
      <c r="IX2641" s="73"/>
      <c r="IY2641" s="73"/>
      <c r="IZ2641" s="73"/>
      <c r="JA2641" s="73"/>
      <c r="JB2641" s="73"/>
      <c r="JC2641" s="73"/>
    </row>
    <row r="2642" spans="2:263" s="72" customFormat="1">
      <c r="B2642" s="73"/>
      <c r="C2642" s="73"/>
      <c r="D2642" s="73"/>
      <c r="E2642" s="73"/>
      <c r="F2642" s="73"/>
      <c r="G2642" s="73"/>
      <c r="H2642" s="73"/>
      <c r="I2642" s="73"/>
      <c r="J2642" s="73"/>
      <c r="K2642" s="73"/>
      <c r="L2642" s="73"/>
      <c r="M2642" s="73"/>
      <c r="N2642" s="73"/>
      <c r="O2642" s="73"/>
      <c r="P2642" s="73"/>
      <c r="Q2642" s="73"/>
      <c r="R2642" s="73"/>
      <c r="S2642" s="73"/>
      <c r="T2642" s="73"/>
      <c r="U2642" s="73"/>
      <c r="V2642" s="73"/>
      <c r="W2642" s="73"/>
      <c r="GL2642" s="73"/>
      <c r="GM2642" s="73"/>
      <c r="GN2642" s="73"/>
      <c r="GO2642" s="73"/>
      <c r="GP2642" s="73"/>
      <c r="GQ2642" s="73"/>
      <c r="GR2642" s="73"/>
      <c r="GS2642" s="73"/>
      <c r="GT2642" s="73"/>
      <c r="GU2642" s="73"/>
      <c r="GV2642" s="73"/>
      <c r="GW2642" s="73"/>
      <c r="GX2642" s="73"/>
      <c r="GY2642" s="73"/>
      <c r="GZ2642" s="73"/>
      <c r="HA2642" s="73"/>
      <c r="HB2642" s="73"/>
      <c r="HC2642" s="73"/>
      <c r="HD2642" s="73"/>
      <c r="HE2642" s="73"/>
      <c r="HF2642" s="73"/>
      <c r="HG2642" s="73"/>
      <c r="HH2642" s="73"/>
      <c r="HI2642" s="73"/>
      <c r="HJ2642" s="73"/>
      <c r="HK2642" s="73"/>
      <c r="HL2642" s="73"/>
      <c r="HM2642" s="73"/>
      <c r="HN2642" s="73"/>
      <c r="HO2642" s="73"/>
      <c r="HP2642" s="73"/>
      <c r="HQ2642" s="73"/>
      <c r="HR2642" s="73"/>
      <c r="HS2642" s="73"/>
      <c r="HT2642" s="73"/>
      <c r="HU2642" s="73"/>
      <c r="HV2642" s="73"/>
      <c r="HW2642" s="73"/>
      <c r="HX2642" s="73"/>
      <c r="HY2642" s="73"/>
      <c r="HZ2642" s="73"/>
      <c r="IA2642" s="73"/>
      <c r="IB2642" s="73"/>
      <c r="IC2642" s="73"/>
      <c r="ID2642" s="73"/>
      <c r="IE2642" s="73"/>
      <c r="IF2642" s="73"/>
      <c r="IG2642" s="73"/>
      <c r="IH2642" s="73"/>
      <c r="II2642" s="73"/>
      <c r="IJ2642" s="73"/>
      <c r="IK2642" s="73"/>
      <c r="IL2642" s="73"/>
      <c r="IM2642" s="73"/>
      <c r="IN2642" s="73"/>
      <c r="IO2642" s="73"/>
      <c r="IP2642" s="73"/>
      <c r="IQ2642" s="73"/>
      <c r="IR2642" s="73"/>
      <c r="IS2642" s="73"/>
      <c r="IT2642" s="73"/>
      <c r="IU2642" s="73"/>
      <c r="IV2642" s="73"/>
      <c r="IW2642" s="73"/>
      <c r="IX2642" s="73"/>
      <c r="IY2642" s="73"/>
      <c r="IZ2642" s="73"/>
      <c r="JA2642" s="73"/>
      <c r="JB2642" s="73"/>
      <c r="JC2642" s="73"/>
    </row>
    <row r="2643" spans="2:263" s="72" customFormat="1">
      <c r="B2643" s="73"/>
      <c r="C2643" s="73"/>
      <c r="D2643" s="73"/>
      <c r="E2643" s="73"/>
      <c r="F2643" s="73"/>
      <c r="G2643" s="73"/>
      <c r="H2643" s="73"/>
      <c r="I2643" s="73"/>
      <c r="J2643" s="73"/>
      <c r="K2643" s="73"/>
      <c r="L2643" s="73"/>
      <c r="M2643" s="73"/>
      <c r="N2643" s="73"/>
      <c r="O2643" s="73"/>
      <c r="P2643" s="73"/>
      <c r="Q2643" s="73"/>
      <c r="R2643" s="73"/>
      <c r="S2643" s="73"/>
      <c r="T2643" s="73"/>
      <c r="U2643" s="73"/>
      <c r="V2643" s="73"/>
      <c r="W2643" s="73"/>
      <c r="GL2643" s="73"/>
      <c r="GM2643" s="73"/>
      <c r="GN2643" s="73"/>
      <c r="GO2643" s="73"/>
      <c r="GP2643" s="73"/>
      <c r="GQ2643" s="73"/>
      <c r="GR2643" s="73"/>
      <c r="GS2643" s="73"/>
      <c r="GT2643" s="73"/>
      <c r="GU2643" s="73"/>
      <c r="GV2643" s="73"/>
      <c r="GW2643" s="73"/>
      <c r="GX2643" s="73"/>
      <c r="GY2643" s="73"/>
      <c r="GZ2643" s="73"/>
      <c r="HA2643" s="73"/>
      <c r="HB2643" s="73"/>
      <c r="HC2643" s="73"/>
      <c r="HD2643" s="73"/>
      <c r="HE2643" s="73"/>
      <c r="HF2643" s="73"/>
      <c r="HG2643" s="73"/>
      <c r="HH2643" s="73"/>
      <c r="HI2643" s="73"/>
      <c r="HJ2643" s="73"/>
      <c r="HK2643" s="73"/>
      <c r="HL2643" s="73"/>
      <c r="HM2643" s="73"/>
      <c r="HN2643" s="73"/>
      <c r="HO2643" s="73"/>
      <c r="HP2643" s="73"/>
      <c r="HQ2643" s="73"/>
      <c r="HR2643" s="73"/>
      <c r="HS2643" s="73"/>
      <c r="HT2643" s="73"/>
      <c r="HU2643" s="73"/>
      <c r="HV2643" s="73"/>
      <c r="HW2643" s="73"/>
      <c r="HX2643" s="73"/>
      <c r="HY2643" s="73"/>
      <c r="HZ2643" s="73"/>
      <c r="IA2643" s="73"/>
      <c r="IB2643" s="73"/>
      <c r="IC2643" s="73"/>
      <c r="ID2643" s="73"/>
      <c r="IE2643" s="73"/>
      <c r="IF2643" s="73"/>
      <c r="IG2643" s="73"/>
      <c r="IH2643" s="73"/>
      <c r="II2643" s="73"/>
      <c r="IJ2643" s="73"/>
      <c r="IK2643" s="73"/>
      <c r="IL2643" s="73"/>
      <c r="IM2643" s="73"/>
      <c r="IN2643" s="73"/>
      <c r="IO2643" s="73"/>
      <c r="IP2643" s="73"/>
      <c r="IQ2643" s="73"/>
      <c r="IR2643" s="73"/>
      <c r="IS2643" s="73"/>
      <c r="IT2643" s="73"/>
      <c r="IU2643" s="73"/>
      <c r="IV2643" s="73"/>
      <c r="IW2643" s="73"/>
      <c r="IX2643" s="73"/>
      <c r="IY2643" s="73"/>
      <c r="IZ2643" s="73"/>
      <c r="JA2643" s="73"/>
      <c r="JB2643" s="73"/>
      <c r="JC2643" s="73"/>
    </row>
    <row r="2644" spans="2:263" s="72" customFormat="1">
      <c r="B2644" s="73"/>
      <c r="C2644" s="73"/>
      <c r="D2644" s="73"/>
      <c r="E2644" s="73"/>
      <c r="F2644" s="73"/>
      <c r="G2644" s="73"/>
      <c r="H2644" s="73"/>
      <c r="I2644" s="73"/>
      <c r="J2644" s="73"/>
      <c r="K2644" s="73"/>
      <c r="L2644" s="73"/>
      <c r="M2644" s="73"/>
      <c r="N2644" s="73"/>
      <c r="O2644" s="73"/>
      <c r="P2644" s="73"/>
      <c r="Q2644" s="73"/>
      <c r="R2644" s="73"/>
      <c r="S2644" s="73"/>
      <c r="T2644" s="73"/>
      <c r="U2644" s="73"/>
      <c r="V2644" s="73"/>
      <c r="W2644" s="73"/>
      <c r="GL2644" s="73"/>
      <c r="GM2644" s="73"/>
      <c r="GN2644" s="73"/>
      <c r="GO2644" s="73"/>
      <c r="GP2644" s="73"/>
      <c r="GQ2644" s="73"/>
      <c r="GR2644" s="73"/>
      <c r="GS2644" s="73"/>
      <c r="GT2644" s="73"/>
      <c r="GU2644" s="73"/>
      <c r="GV2644" s="73"/>
      <c r="GW2644" s="73"/>
      <c r="GX2644" s="73"/>
      <c r="GY2644" s="73"/>
      <c r="GZ2644" s="73"/>
      <c r="HA2644" s="73"/>
      <c r="HB2644" s="73"/>
      <c r="HC2644" s="73"/>
      <c r="HD2644" s="73"/>
      <c r="HE2644" s="73"/>
      <c r="HF2644" s="73"/>
      <c r="HG2644" s="73"/>
      <c r="HH2644" s="73"/>
      <c r="HI2644" s="73"/>
      <c r="HJ2644" s="73"/>
      <c r="HK2644" s="73"/>
      <c r="HL2644" s="73"/>
      <c r="HM2644" s="73"/>
      <c r="HN2644" s="73"/>
      <c r="HO2644" s="73"/>
      <c r="HP2644" s="73"/>
      <c r="HQ2644" s="73"/>
      <c r="HR2644" s="73"/>
      <c r="HS2644" s="73"/>
      <c r="HT2644" s="73"/>
      <c r="HU2644" s="73"/>
      <c r="HV2644" s="73"/>
      <c r="HW2644" s="73"/>
      <c r="HX2644" s="73"/>
      <c r="HY2644" s="73"/>
      <c r="HZ2644" s="73"/>
      <c r="IA2644" s="73"/>
      <c r="IB2644" s="73"/>
      <c r="IC2644" s="73"/>
      <c r="ID2644" s="73"/>
      <c r="IE2644" s="73"/>
      <c r="IF2644" s="73"/>
      <c r="IG2644" s="73"/>
      <c r="IH2644" s="73"/>
      <c r="II2644" s="73"/>
      <c r="IJ2644" s="73"/>
      <c r="IK2644" s="73"/>
      <c r="IL2644" s="73"/>
      <c r="IM2644" s="73"/>
      <c r="IN2644" s="73"/>
      <c r="IO2644" s="73"/>
      <c r="IP2644" s="73"/>
      <c r="IQ2644" s="73"/>
      <c r="IR2644" s="73"/>
      <c r="IS2644" s="73"/>
      <c r="IT2644" s="73"/>
      <c r="IU2644" s="73"/>
      <c r="IV2644" s="73"/>
      <c r="IW2644" s="73"/>
      <c r="IX2644" s="73"/>
      <c r="IY2644" s="73"/>
      <c r="IZ2644" s="73"/>
      <c r="JA2644" s="73"/>
      <c r="JB2644" s="73"/>
      <c r="JC2644" s="73"/>
    </row>
    <row r="2645" spans="2:263" s="72" customFormat="1">
      <c r="B2645" s="73"/>
      <c r="C2645" s="73"/>
      <c r="D2645" s="73"/>
      <c r="E2645" s="73"/>
      <c r="F2645" s="73"/>
      <c r="G2645" s="73"/>
      <c r="H2645" s="73"/>
      <c r="I2645" s="73"/>
      <c r="J2645" s="73"/>
      <c r="K2645" s="73"/>
      <c r="L2645" s="73"/>
      <c r="M2645" s="73"/>
      <c r="N2645" s="73"/>
      <c r="O2645" s="73"/>
      <c r="P2645" s="73"/>
      <c r="Q2645" s="73"/>
      <c r="R2645" s="73"/>
      <c r="S2645" s="73"/>
      <c r="T2645" s="73"/>
      <c r="U2645" s="73"/>
      <c r="V2645" s="73"/>
      <c r="W2645" s="73"/>
      <c r="GL2645" s="73"/>
      <c r="GM2645" s="73"/>
      <c r="GN2645" s="73"/>
      <c r="GO2645" s="73"/>
      <c r="GP2645" s="73"/>
      <c r="GQ2645" s="73"/>
      <c r="GR2645" s="73"/>
      <c r="GS2645" s="73"/>
      <c r="GT2645" s="73"/>
      <c r="GU2645" s="73"/>
      <c r="GV2645" s="73"/>
      <c r="GW2645" s="73"/>
      <c r="GX2645" s="73"/>
      <c r="GY2645" s="73"/>
      <c r="GZ2645" s="73"/>
      <c r="HA2645" s="73"/>
      <c r="HB2645" s="73"/>
      <c r="HC2645" s="73"/>
      <c r="HD2645" s="73"/>
      <c r="HE2645" s="73"/>
      <c r="HF2645" s="73"/>
      <c r="HG2645" s="73"/>
      <c r="HH2645" s="73"/>
      <c r="HI2645" s="73"/>
      <c r="HJ2645" s="73"/>
      <c r="HK2645" s="73"/>
      <c r="HL2645" s="73"/>
      <c r="HM2645" s="73"/>
      <c r="HN2645" s="73"/>
      <c r="HO2645" s="73"/>
      <c r="HP2645" s="73"/>
      <c r="HQ2645" s="73"/>
      <c r="HR2645" s="73"/>
      <c r="HS2645" s="73"/>
      <c r="HT2645" s="73"/>
      <c r="HU2645" s="73"/>
      <c r="HV2645" s="73"/>
      <c r="HW2645" s="73"/>
      <c r="HX2645" s="73"/>
      <c r="HY2645" s="73"/>
      <c r="HZ2645" s="73"/>
      <c r="IA2645" s="73"/>
      <c r="IB2645" s="73"/>
      <c r="IC2645" s="73"/>
      <c r="ID2645" s="73"/>
      <c r="IE2645" s="73"/>
      <c r="IF2645" s="73"/>
      <c r="IG2645" s="73"/>
      <c r="IH2645" s="73"/>
      <c r="II2645" s="73"/>
      <c r="IJ2645" s="73"/>
      <c r="IK2645" s="73"/>
      <c r="IL2645" s="73"/>
      <c r="IM2645" s="73"/>
      <c r="IN2645" s="73"/>
      <c r="IO2645" s="73"/>
      <c r="IP2645" s="73"/>
      <c r="IQ2645" s="73"/>
      <c r="IR2645" s="73"/>
      <c r="IS2645" s="73"/>
      <c r="IT2645" s="73"/>
      <c r="IU2645" s="73"/>
      <c r="IV2645" s="73"/>
      <c r="IW2645" s="73"/>
      <c r="IX2645" s="73"/>
      <c r="IY2645" s="73"/>
      <c r="IZ2645" s="73"/>
      <c r="JA2645" s="73"/>
      <c r="JB2645" s="73"/>
      <c r="JC2645" s="73"/>
    </row>
    <row r="2646" spans="2:263" s="72" customFormat="1">
      <c r="B2646" s="73"/>
      <c r="C2646" s="73"/>
      <c r="D2646" s="73"/>
      <c r="E2646" s="73"/>
      <c r="F2646" s="73"/>
      <c r="G2646" s="73"/>
      <c r="H2646" s="73"/>
      <c r="I2646" s="73"/>
      <c r="J2646" s="73"/>
      <c r="K2646" s="73"/>
      <c r="L2646" s="73"/>
      <c r="M2646" s="73"/>
      <c r="N2646" s="73"/>
      <c r="O2646" s="73"/>
      <c r="P2646" s="73"/>
      <c r="Q2646" s="73"/>
      <c r="R2646" s="73"/>
      <c r="S2646" s="73"/>
      <c r="T2646" s="73"/>
      <c r="U2646" s="73"/>
      <c r="V2646" s="73"/>
      <c r="W2646" s="73"/>
      <c r="GL2646" s="73"/>
      <c r="GM2646" s="73"/>
      <c r="GN2646" s="73"/>
      <c r="GO2646" s="73"/>
      <c r="GP2646" s="73"/>
      <c r="GQ2646" s="73"/>
      <c r="GR2646" s="73"/>
      <c r="GS2646" s="73"/>
      <c r="GT2646" s="73"/>
      <c r="GU2646" s="73"/>
      <c r="GV2646" s="73"/>
      <c r="GW2646" s="73"/>
      <c r="GX2646" s="73"/>
      <c r="GY2646" s="73"/>
      <c r="GZ2646" s="73"/>
      <c r="HA2646" s="73"/>
      <c r="HB2646" s="73"/>
      <c r="HC2646" s="73"/>
      <c r="HD2646" s="73"/>
      <c r="HE2646" s="73"/>
      <c r="HF2646" s="73"/>
      <c r="HG2646" s="73"/>
      <c r="HH2646" s="73"/>
      <c r="HI2646" s="73"/>
      <c r="HJ2646" s="73"/>
      <c r="HK2646" s="73"/>
      <c r="HL2646" s="73"/>
      <c r="HM2646" s="73"/>
      <c r="HN2646" s="73"/>
      <c r="HO2646" s="73"/>
      <c r="HP2646" s="73"/>
      <c r="HQ2646" s="73"/>
      <c r="HR2646" s="73"/>
      <c r="HS2646" s="73"/>
      <c r="HT2646" s="73"/>
      <c r="HU2646" s="73"/>
      <c r="HV2646" s="73"/>
      <c r="HW2646" s="73"/>
      <c r="HX2646" s="73"/>
      <c r="HY2646" s="73"/>
      <c r="HZ2646" s="73"/>
      <c r="IA2646" s="73"/>
      <c r="IB2646" s="73"/>
      <c r="IC2646" s="73"/>
      <c r="ID2646" s="73"/>
      <c r="IE2646" s="73"/>
      <c r="IF2646" s="73"/>
      <c r="IG2646" s="73"/>
      <c r="IH2646" s="73"/>
      <c r="II2646" s="73"/>
      <c r="IJ2646" s="73"/>
      <c r="IK2646" s="73"/>
      <c r="IL2646" s="73"/>
      <c r="IM2646" s="73"/>
      <c r="IN2646" s="73"/>
      <c r="IO2646" s="73"/>
      <c r="IP2646" s="73"/>
      <c r="IQ2646" s="73"/>
      <c r="IR2646" s="73"/>
      <c r="IS2646" s="73"/>
      <c r="IT2646" s="73"/>
      <c r="IU2646" s="73"/>
      <c r="IV2646" s="73"/>
      <c r="IW2646" s="73"/>
      <c r="IX2646" s="73"/>
      <c r="IY2646" s="73"/>
      <c r="IZ2646" s="73"/>
      <c r="JA2646" s="73"/>
      <c r="JB2646" s="73"/>
      <c r="JC2646" s="73"/>
    </row>
    <row r="2647" spans="2:263" s="72" customFormat="1">
      <c r="B2647" s="73"/>
      <c r="C2647" s="73"/>
      <c r="D2647" s="73"/>
      <c r="E2647" s="73"/>
      <c r="F2647" s="73"/>
      <c r="G2647" s="73"/>
      <c r="H2647" s="73"/>
      <c r="I2647" s="73"/>
      <c r="J2647" s="73"/>
      <c r="K2647" s="73"/>
      <c r="L2647" s="73"/>
      <c r="M2647" s="73"/>
      <c r="N2647" s="73"/>
      <c r="O2647" s="73"/>
      <c r="P2647" s="73"/>
      <c r="Q2647" s="73"/>
      <c r="R2647" s="73"/>
      <c r="S2647" s="73"/>
      <c r="T2647" s="73"/>
      <c r="U2647" s="73"/>
      <c r="V2647" s="73"/>
      <c r="W2647" s="73"/>
      <c r="GL2647" s="73"/>
      <c r="GM2647" s="73"/>
      <c r="GN2647" s="73"/>
      <c r="GO2647" s="73"/>
      <c r="GP2647" s="73"/>
      <c r="GQ2647" s="73"/>
      <c r="GR2647" s="73"/>
      <c r="GS2647" s="73"/>
      <c r="GT2647" s="73"/>
      <c r="GU2647" s="73"/>
      <c r="GV2647" s="73"/>
      <c r="GW2647" s="73"/>
      <c r="GX2647" s="73"/>
      <c r="GY2647" s="73"/>
      <c r="GZ2647" s="73"/>
      <c r="HA2647" s="73"/>
      <c r="HB2647" s="73"/>
      <c r="HC2647" s="73"/>
      <c r="HD2647" s="73"/>
      <c r="HE2647" s="73"/>
      <c r="HF2647" s="73"/>
      <c r="HG2647" s="73"/>
      <c r="HH2647" s="73"/>
      <c r="HI2647" s="73"/>
      <c r="HJ2647" s="73"/>
      <c r="HK2647" s="73"/>
      <c r="HL2647" s="73"/>
      <c r="HM2647" s="73"/>
      <c r="HN2647" s="73"/>
      <c r="HO2647" s="73"/>
      <c r="HP2647" s="73"/>
      <c r="HQ2647" s="73"/>
      <c r="HR2647" s="73"/>
      <c r="HS2647" s="73"/>
      <c r="HT2647" s="73"/>
      <c r="HU2647" s="73"/>
      <c r="HV2647" s="73"/>
      <c r="HW2647" s="73"/>
      <c r="HX2647" s="73"/>
      <c r="HY2647" s="73"/>
      <c r="HZ2647" s="73"/>
      <c r="IA2647" s="73"/>
      <c r="IB2647" s="73"/>
      <c r="IC2647" s="73"/>
      <c r="ID2647" s="73"/>
      <c r="IE2647" s="73"/>
      <c r="IF2647" s="73"/>
      <c r="IG2647" s="73"/>
      <c r="IH2647" s="73"/>
      <c r="II2647" s="73"/>
      <c r="IJ2647" s="73"/>
      <c r="IK2647" s="73"/>
      <c r="IL2647" s="73"/>
      <c r="IM2647" s="73"/>
      <c r="IN2647" s="73"/>
      <c r="IO2647" s="73"/>
      <c r="IP2647" s="73"/>
      <c r="IQ2647" s="73"/>
      <c r="IR2647" s="73"/>
      <c r="IS2647" s="73"/>
      <c r="IT2647" s="73"/>
      <c r="IU2647" s="73"/>
      <c r="IV2647" s="73"/>
      <c r="IW2647" s="73"/>
      <c r="IX2647" s="73"/>
      <c r="IY2647" s="73"/>
      <c r="IZ2647" s="73"/>
      <c r="JA2647" s="73"/>
      <c r="JB2647" s="73"/>
      <c r="JC2647" s="73"/>
    </row>
    <row r="2648" spans="2:263" s="72" customFormat="1">
      <c r="B2648" s="73"/>
      <c r="C2648" s="73"/>
      <c r="D2648" s="73"/>
      <c r="E2648" s="73"/>
      <c r="F2648" s="73"/>
      <c r="G2648" s="73"/>
      <c r="H2648" s="73"/>
      <c r="I2648" s="73"/>
      <c r="J2648" s="73"/>
      <c r="K2648" s="73"/>
      <c r="L2648" s="73"/>
      <c r="M2648" s="73"/>
      <c r="N2648" s="73"/>
      <c r="O2648" s="73"/>
      <c r="P2648" s="73"/>
      <c r="Q2648" s="73"/>
      <c r="R2648" s="73"/>
      <c r="S2648" s="73"/>
      <c r="T2648" s="73"/>
      <c r="U2648" s="73"/>
      <c r="V2648" s="73"/>
      <c r="W2648" s="73"/>
      <c r="GL2648" s="73"/>
      <c r="GM2648" s="73"/>
      <c r="GN2648" s="73"/>
      <c r="GO2648" s="73"/>
      <c r="GP2648" s="73"/>
      <c r="GQ2648" s="73"/>
      <c r="GR2648" s="73"/>
      <c r="GS2648" s="73"/>
      <c r="GT2648" s="73"/>
      <c r="GU2648" s="73"/>
      <c r="GV2648" s="73"/>
      <c r="GW2648" s="73"/>
      <c r="GX2648" s="73"/>
      <c r="GY2648" s="73"/>
      <c r="GZ2648" s="73"/>
      <c r="HA2648" s="73"/>
      <c r="HB2648" s="73"/>
      <c r="HC2648" s="73"/>
      <c r="HD2648" s="73"/>
      <c r="HE2648" s="73"/>
      <c r="HF2648" s="73"/>
      <c r="HG2648" s="73"/>
      <c r="HH2648" s="73"/>
      <c r="HI2648" s="73"/>
      <c r="HJ2648" s="73"/>
      <c r="HK2648" s="73"/>
      <c r="HL2648" s="73"/>
      <c r="HM2648" s="73"/>
      <c r="HN2648" s="73"/>
      <c r="HO2648" s="73"/>
      <c r="HP2648" s="73"/>
      <c r="HQ2648" s="73"/>
      <c r="HR2648" s="73"/>
      <c r="HS2648" s="73"/>
      <c r="HT2648" s="73"/>
      <c r="HU2648" s="73"/>
      <c r="HV2648" s="73"/>
      <c r="HW2648" s="73"/>
      <c r="HX2648" s="73"/>
      <c r="HY2648" s="73"/>
      <c r="HZ2648" s="73"/>
      <c r="IA2648" s="73"/>
      <c r="IB2648" s="73"/>
      <c r="IC2648" s="73"/>
      <c r="ID2648" s="73"/>
      <c r="IE2648" s="73"/>
      <c r="IF2648" s="73"/>
      <c r="IG2648" s="73"/>
      <c r="IH2648" s="73"/>
      <c r="II2648" s="73"/>
      <c r="IJ2648" s="73"/>
      <c r="IK2648" s="73"/>
      <c r="IL2648" s="73"/>
      <c r="IM2648" s="73"/>
      <c r="IN2648" s="73"/>
      <c r="IO2648" s="73"/>
      <c r="IP2648" s="73"/>
      <c r="IQ2648" s="73"/>
      <c r="IR2648" s="73"/>
      <c r="IS2648" s="73"/>
      <c r="IT2648" s="73"/>
      <c r="IU2648" s="73"/>
      <c r="IV2648" s="73"/>
      <c r="IW2648" s="73"/>
      <c r="IX2648" s="73"/>
      <c r="IY2648" s="73"/>
      <c r="IZ2648" s="73"/>
      <c r="JA2648" s="73"/>
      <c r="JB2648" s="73"/>
      <c r="JC2648" s="73"/>
    </row>
    <row r="2649" spans="2:263" s="72" customFormat="1">
      <c r="B2649" s="73"/>
      <c r="C2649" s="73"/>
      <c r="D2649" s="73"/>
      <c r="E2649" s="73"/>
      <c r="F2649" s="73"/>
      <c r="G2649" s="73"/>
      <c r="H2649" s="73"/>
      <c r="I2649" s="73"/>
      <c r="J2649" s="73"/>
      <c r="K2649" s="73"/>
      <c r="L2649" s="73"/>
      <c r="M2649" s="73"/>
      <c r="N2649" s="73"/>
      <c r="O2649" s="73"/>
      <c r="P2649" s="73"/>
      <c r="Q2649" s="73"/>
      <c r="R2649" s="73"/>
      <c r="S2649" s="73"/>
      <c r="T2649" s="73"/>
      <c r="U2649" s="73"/>
      <c r="V2649" s="73"/>
      <c r="W2649" s="73"/>
      <c r="GL2649" s="73"/>
      <c r="GM2649" s="73"/>
      <c r="GN2649" s="73"/>
      <c r="GO2649" s="73"/>
      <c r="GP2649" s="73"/>
      <c r="GQ2649" s="73"/>
      <c r="GR2649" s="73"/>
      <c r="GS2649" s="73"/>
      <c r="GT2649" s="73"/>
      <c r="GU2649" s="73"/>
      <c r="GV2649" s="73"/>
      <c r="GW2649" s="73"/>
      <c r="GX2649" s="73"/>
      <c r="GY2649" s="73"/>
      <c r="GZ2649" s="73"/>
      <c r="HA2649" s="73"/>
      <c r="HB2649" s="73"/>
      <c r="HC2649" s="73"/>
      <c r="HD2649" s="73"/>
      <c r="HE2649" s="73"/>
      <c r="HF2649" s="73"/>
      <c r="HG2649" s="73"/>
      <c r="HH2649" s="73"/>
      <c r="HI2649" s="73"/>
      <c r="HJ2649" s="73"/>
      <c r="HK2649" s="73"/>
      <c r="HL2649" s="73"/>
      <c r="HM2649" s="73"/>
      <c r="HN2649" s="73"/>
      <c r="HO2649" s="73"/>
      <c r="HP2649" s="73"/>
      <c r="HQ2649" s="73"/>
      <c r="HR2649" s="73"/>
      <c r="HS2649" s="73"/>
      <c r="HT2649" s="73"/>
      <c r="HU2649" s="73"/>
      <c r="HV2649" s="73"/>
      <c r="HW2649" s="73"/>
      <c r="HX2649" s="73"/>
      <c r="HY2649" s="73"/>
      <c r="HZ2649" s="73"/>
      <c r="IA2649" s="73"/>
      <c r="IB2649" s="73"/>
      <c r="IC2649" s="73"/>
      <c r="ID2649" s="73"/>
      <c r="IE2649" s="73"/>
      <c r="IF2649" s="73"/>
      <c r="IG2649" s="73"/>
      <c r="IH2649" s="73"/>
      <c r="II2649" s="73"/>
      <c r="IJ2649" s="73"/>
      <c r="IK2649" s="73"/>
      <c r="IL2649" s="73"/>
      <c r="IM2649" s="73"/>
      <c r="IN2649" s="73"/>
      <c r="IO2649" s="73"/>
      <c r="IP2649" s="73"/>
      <c r="IQ2649" s="73"/>
      <c r="IR2649" s="73"/>
      <c r="IS2649" s="73"/>
      <c r="IT2649" s="73"/>
      <c r="IU2649" s="73"/>
      <c r="IV2649" s="73"/>
      <c r="IW2649" s="73"/>
      <c r="IX2649" s="73"/>
      <c r="IY2649" s="73"/>
      <c r="IZ2649" s="73"/>
      <c r="JA2649" s="73"/>
      <c r="JB2649" s="73"/>
      <c r="JC2649" s="73"/>
    </row>
    <row r="2650" spans="2:263" s="72" customFormat="1">
      <c r="B2650" s="73"/>
      <c r="C2650" s="73"/>
      <c r="D2650" s="73"/>
      <c r="E2650" s="73"/>
      <c r="F2650" s="73"/>
      <c r="G2650" s="73"/>
      <c r="H2650" s="73"/>
      <c r="I2650" s="73"/>
      <c r="J2650" s="73"/>
      <c r="K2650" s="73"/>
      <c r="L2650" s="73"/>
      <c r="M2650" s="73"/>
      <c r="N2650" s="73"/>
      <c r="O2650" s="73"/>
      <c r="P2650" s="73"/>
      <c r="Q2650" s="73"/>
      <c r="R2650" s="73"/>
      <c r="S2650" s="73"/>
      <c r="T2650" s="73"/>
      <c r="U2650" s="73"/>
      <c r="V2650" s="73"/>
      <c r="W2650" s="73"/>
      <c r="GL2650" s="73"/>
      <c r="GM2650" s="73"/>
      <c r="GN2650" s="73"/>
      <c r="GO2650" s="73"/>
      <c r="GP2650" s="73"/>
      <c r="GQ2650" s="73"/>
      <c r="GR2650" s="73"/>
      <c r="GS2650" s="73"/>
      <c r="GT2650" s="73"/>
      <c r="GU2650" s="73"/>
      <c r="GV2650" s="73"/>
      <c r="GW2650" s="73"/>
      <c r="GX2650" s="73"/>
      <c r="GY2650" s="73"/>
      <c r="GZ2650" s="73"/>
      <c r="HA2650" s="73"/>
      <c r="HB2650" s="73"/>
      <c r="HC2650" s="73"/>
      <c r="HD2650" s="73"/>
      <c r="HE2650" s="73"/>
      <c r="HF2650" s="73"/>
      <c r="HG2650" s="73"/>
      <c r="HH2650" s="73"/>
      <c r="HI2650" s="73"/>
      <c r="HJ2650" s="73"/>
      <c r="HK2650" s="73"/>
      <c r="HL2650" s="73"/>
      <c r="HM2650" s="73"/>
      <c r="HN2650" s="73"/>
      <c r="HO2650" s="73"/>
      <c r="HP2650" s="73"/>
      <c r="HQ2650" s="73"/>
      <c r="HR2650" s="73"/>
      <c r="HS2650" s="73"/>
      <c r="HT2650" s="73"/>
      <c r="HU2650" s="73"/>
      <c r="HV2650" s="73"/>
      <c r="HW2650" s="73"/>
      <c r="HX2650" s="73"/>
      <c r="HY2650" s="73"/>
      <c r="HZ2650" s="73"/>
      <c r="IA2650" s="73"/>
      <c r="IB2650" s="73"/>
      <c r="IC2650" s="73"/>
      <c r="ID2650" s="73"/>
      <c r="IE2650" s="73"/>
      <c r="IF2650" s="73"/>
      <c r="IG2650" s="73"/>
      <c r="IH2650" s="73"/>
      <c r="II2650" s="73"/>
      <c r="IJ2650" s="73"/>
      <c r="IK2650" s="73"/>
      <c r="IL2650" s="73"/>
      <c r="IM2650" s="73"/>
      <c r="IN2650" s="73"/>
      <c r="IO2650" s="73"/>
      <c r="IP2650" s="73"/>
      <c r="IQ2650" s="73"/>
      <c r="IR2650" s="73"/>
      <c r="IS2650" s="73"/>
      <c r="IT2650" s="73"/>
      <c r="IU2650" s="73"/>
      <c r="IV2650" s="73"/>
      <c r="IW2650" s="73"/>
      <c r="IX2650" s="73"/>
      <c r="IY2650" s="73"/>
      <c r="IZ2650" s="73"/>
      <c r="JA2650" s="73"/>
      <c r="JB2650" s="73"/>
      <c r="JC2650" s="73"/>
    </row>
    <row r="2651" spans="2:263" s="72" customFormat="1">
      <c r="B2651" s="73"/>
      <c r="C2651" s="73"/>
      <c r="D2651" s="73"/>
      <c r="E2651" s="73"/>
      <c r="F2651" s="73"/>
      <c r="G2651" s="73"/>
      <c r="H2651" s="73"/>
      <c r="I2651" s="73"/>
      <c r="J2651" s="73"/>
      <c r="K2651" s="73"/>
      <c r="L2651" s="73"/>
      <c r="M2651" s="73"/>
      <c r="N2651" s="73"/>
      <c r="O2651" s="73"/>
      <c r="P2651" s="73"/>
      <c r="Q2651" s="73"/>
      <c r="R2651" s="73"/>
      <c r="S2651" s="73"/>
      <c r="T2651" s="73"/>
      <c r="U2651" s="73"/>
      <c r="V2651" s="73"/>
      <c r="W2651" s="73"/>
      <c r="GL2651" s="73"/>
      <c r="GM2651" s="73"/>
      <c r="GN2651" s="73"/>
      <c r="GO2651" s="73"/>
      <c r="GP2651" s="73"/>
      <c r="GQ2651" s="73"/>
      <c r="GR2651" s="73"/>
      <c r="GS2651" s="73"/>
      <c r="GT2651" s="73"/>
      <c r="GU2651" s="73"/>
      <c r="GV2651" s="73"/>
      <c r="GW2651" s="73"/>
      <c r="GX2651" s="73"/>
      <c r="GY2651" s="73"/>
      <c r="GZ2651" s="73"/>
      <c r="HA2651" s="73"/>
      <c r="HB2651" s="73"/>
      <c r="HC2651" s="73"/>
      <c r="HD2651" s="73"/>
      <c r="HE2651" s="73"/>
      <c r="HF2651" s="73"/>
      <c r="HG2651" s="73"/>
      <c r="HH2651" s="73"/>
      <c r="HI2651" s="73"/>
      <c r="HJ2651" s="73"/>
      <c r="HK2651" s="73"/>
      <c r="HL2651" s="73"/>
      <c r="HM2651" s="73"/>
      <c r="HN2651" s="73"/>
      <c r="HO2651" s="73"/>
      <c r="HP2651" s="73"/>
      <c r="HQ2651" s="73"/>
      <c r="HR2651" s="73"/>
      <c r="HS2651" s="73"/>
      <c r="HT2651" s="73"/>
      <c r="HU2651" s="73"/>
      <c r="HV2651" s="73"/>
      <c r="HW2651" s="73"/>
      <c r="HX2651" s="73"/>
      <c r="HY2651" s="73"/>
      <c r="HZ2651" s="73"/>
      <c r="IA2651" s="73"/>
      <c r="IB2651" s="73"/>
      <c r="IC2651" s="73"/>
      <c r="ID2651" s="73"/>
      <c r="IE2651" s="73"/>
      <c r="IF2651" s="73"/>
      <c r="IG2651" s="73"/>
      <c r="IH2651" s="73"/>
      <c r="II2651" s="73"/>
      <c r="IJ2651" s="73"/>
      <c r="IK2651" s="73"/>
      <c r="IL2651" s="73"/>
      <c r="IM2651" s="73"/>
      <c r="IN2651" s="73"/>
      <c r="IO2651" s="73"/>
      <c r="IP2651" s="73"/>
      <c r="IQ2651" s="73"/>
      <c r="IR2651" s="73"/>
      <c r="IS2651" s="73"/>
      <c r="IT2651" s="73"/>
      <c r="IU2651" s="73"/>
      <c r="IV2651" s="73"/>
      <c r="IW2651" s="73"/>
      <c r="IX2651" s="73"/>
      <c r="IY2651" s="73"/>
      <c r="IZ2651" s="73"/>
      <c r="JA2651" s="73"/>
      <c r="JB2651" s="73"/>
      <c r="JC2651" s="73"/>
    </row>
    <row r="2652" spans="2:263" s="72" customFormat="1">
      <c r="B2652" s="73"/>
      <c r="C2652" s="73"/>
      <c r="D2652" s="73"/>
      <c r="E2652" s="73"/>
      <c r="F2652" s="73"/>
      <c r="G2652" s="73"/>
      <c r="H2652" s="73"/>
      <c r="I2652" s="73"/>
      <c r="J2652" s="73"/>
      <c r="K2652" s="73"/>
      <c r="L2652" s="73"/>
      <c r="M2652" s="73"/>
      <c r="N2652" s="73"/>
      <c r="O2652" s="73"/>
      <c r="P2652" s="73"/>
      <c r="Q2652" s="73"/>
      <c r="R2652" s="73"/>
      <c r="S2652" s="73"/>
      <c r="T2652" s="73"/>
      <c r="U2652" s="73"/>
      <c r="V2652" s="73"/>
      <c r="W2652" s="73"/>
      <c r="GL2652" s="73"/>
      <c r="GM2652" s="73"/>
      <c r="GN2652" s="73"/>
      <c r="GO2652" s="73"/>
      <c r="GP2652" s="73"/>
      <c r="GQ2652" s="73"/>
      <c r="GR2652" s="73"/>
      <c r="GS2652" s="73"/>
      <c r="GT2652" s="73"/>
      <c r="GU2652" s="73"/>
      <c r="GV2652" s="73"/>
      <c r="GW2652" s="73"/>
      <c r="GX2652" s="73"/>
      <c r="GY2652" s="73"/>
      <c r="GZ2652" s="73"/>
      <c r="HA2652" s="73"/>
      <c r="HB2652" s="73"/>
      <c r="HC2652" s="73"/>
      <c r="HD2652" s="73"/>
      <c r="HE2652" s="73"/>
      <c r="HF2652" s="73"/>
      <c r="HG2652" s="73"/>
      <c r="HH2652" s="73"/>
      <c r="HI2652" s="73"/>
      <c r="HJ2652" s="73"/>
      <c r="HK2652" s="73"/>
      <c r="HL2652" s="73"/>
      <c r="HM2652" s="73"/>
      <c r="HN2652" s="73"/>
      <c r="HO2652" s="73"/>
      <c r="HP2652" s="73"/>
      <c r="HQ2652" s="73"/>
      <c r="HR2652" s="73"/>
      <c r="HS2652" s="73"/>
      <c r="HT2652" s="73"/>
      <c r="HU2652" s="73"/>
      <c r="HV2652" s="73"/>
      <c r="HW2652" s="73"/>
      <c r="HX2652" s="73"/>
      <c r="HY2652" s="73"/>
      <c r="HZ2652" s="73"/>
      <c r="IA2652" s="73"/>
      <c r="IB2652" s="73"/>
      <c r="IC2652" s="73"/>
      <c r="ID2652" s="73"/>
      <c r="IE2652" s="73"/>
      <c r="IF2652" s="73"/>
      <c r="IG2652" s="73"/>
      <c r="IH2652" s="73"/>
      <c r="II2652" s="73"/>
      <c r="IJ2652" s="73"/>
      <c r="IK2652" s="73"/>
      <c r="IL2652" s="73"/>
      <c r="IM2652" s="73"/>
      <c r="IN2652" s="73"/>
      <c r="IO2652" s="73"/>
      <c r="IP2652" s="73"/>
      <c r="IQ2652" s="73"/>
      <c r="IR2652" s="73"/>
      <c r="IS2652" s="73"/>
      <c r="IT2652" s="73"/>
      <c r="IU2652" s="73"/>
      <c r="IV2652" s="73"/>
      <c r="IW2652" s="73"/>
      <c r="IX2652" s="73"/>
      <c r="IY2652" s="73"/>
      <c r="IZ2652" s="73"/>
      <c r="JA2652" s="73"/>
      <c r="JB2652" s="73"/>
      <c r="JC2652" s="73"/>
    </row>
    <row r="2653" spans="2:263" s="72" customFormat="1">
      <c r="B2653" s="73"/>
      <c r="C2653" s="73"/>
      <c r="D2653" s="73"/>
      <c r="E2653" s="73"/>
      <c r="F2653" s="73"/>
      <c r="G2653" s="73"/>
      <c r="H2653" s="73"/>
      <c r="I2653" s="73"/>
      <c r="J2653" s="73"/>
      <c r="K2653" s="73"/>
      <c r="L2653" s="73"/>
      <c r="M2653" s="73"/>
      <c r="N2653" s="73"/>
      <c r="O2653" s="73"/>
      <c r="P2653" s="73"/>
      <c r="Q2653" s="73"/>
      <c r="R2653" s="73"/>
      <c r="S2653" s="73"/>
      <c r="T2653" s="73"/>
      <c r="U2653" s="73"/>
      <c r="V2653" s="73"/>
      <c r="W2653" s="73"/>
      <c r="GL2653" s="73"/>
      <c r="GM2653" s="73"/>
      <c r="GN2653" s="73"/>
      <c r="GO2653" s="73"/>
      <c r="GP2653" s="73"/>
      <c r="GQ2653" s="73"/>
      <c r="GR2653" s="73"/>
      <c r="GS2653" s="73"/>
      <c r="GT2653" s="73"/>
      <c r="GU2653" s="73"/>
      <c r="GV2653" s="73"/>
      <c r="GW2653" s="73"/>
      <c r="GX2653" s="73"/>
      <c r="GY2653" s="73"/>
      <c r="GZ2653" s="73"/>
      <c r="HA2653" s="73"/>
      <c r="HB2653" s="73"/>
      <c r="HC2653" s="73"/>
      <c r="HD2653" s="73"/>
      <c r="HE2653" s="73"/>
      <c r="HF2653" s="73"/>
      <c r="HG2653" s="73"/>
      <c r="HH2653" s="73"/>
      <c r="HI2653" s="73"/>
      <c r="HJ2653" s="73"/>
      <c r="HK2653" s="73"/>
      <c r="HL2653" s="73"/>
      <c r="HM2653" s="73"/>
      <c r="HN2653" s="73"/>
      <c r="HO2653" s="73"/>
      <c r="HP2653" s="73"/>
      <c r="HQ2653" s="73"/>
      <c r="HR2653" s="73"/>
      <c r="HS2653" s="73"/>
      <c r="HT2653" s="73"/>
      <c r="HU2653" s="73"/>
      <c r="HV2653" s="73"/>
      <c r="HW2653" s="73"/>
      <c r="HX2653" s="73"/>
      <c r="HY2653" s="73"/>
      <c r="HZ2653" s="73"/>
      <c r="IA2653" s="73"/>
      <c r="IB2653" s="73"/>
      <c r="IC2653" s="73"/>
      <c r="ID2653" s="73"/>
      <c r="IE2653" s="73"/>
      <c r="IF2653" s="73"/>
      <c r="IG2653" s="73"/>
      <c r="IH2653" s="73"/>
      <c r="II2653" s="73"/>
      <c r="IJ2653" s="73"/>
      <c r="IK2653" s="73"/>
      <c r="IL2653" s="73"/>
      <c r="IM2653" s="73"/>
      <c r="IN2653" s="73"/>
      <c r="IO2653" s="73"/>
      <c r="IP2653" s="73"/>
      <c r="IQ2653" s="73"/>
      <c r="IR2653" s="73"/>
      <c r="IS2653" s="73"/>
      <c r="IT2653" s="73"/>
      <c r="IU2653" s="73"/>
      <c r="IV2653" s="73"/>
      <c r="IW2653" s="73"/>
      <c r="IX2653" s="73"/>
      <c r="IY2653" s="73"/>
      <c r="IZ2653" s="73"/>
      <c r="JA2653" s="73"/>
      <c r="JB2653" s="73"/>
      <c r="JC2653" s="73"/>
    </row>
    <row r="2654" spans="2:263" s="72" customFormat="1">
      <c r="B2654" s="73"/>
      <c r="C2654" s="73"/>
      <c r="D2654" s="73"/>
      <c r="E2654" s="73"/>
      <c r="F2654" s="73"/>
      <c r="G2654" s="73"/>
      <c r="H2654" s="73"/>
      <c r="I2654" s="73"/>
      <c r="J2654" s="73"/>
      <c r="K2654" s="73"/>
      <c r="L2654" s="73"/>
      <c r="M2654" s="73"/>
      <c r="N2654" s="73"/>
      <c r="O2654" s="73"/>
      <c r="P2654" s="73"/>
      <c r="Q2654" s="73"/>
      <c r="R2654" s="73"/>
      <c r="S2654" s="73"/>
      <c r="T2654" s="73"/>
      <c r="U2654" s="73"/>
      <c r="V2654" s="73"/>
      <c r="W2654" s="73"/>
      <c r="GL2654" s="73"/>
      <c r="GM2654" s="73"/>
      <c r="GN2654" s="73"/>
      <c r="GO2654" s="73"/>
      <c r="GP2654" s="73"/>
      <c r="GQ2654" s="73"/>
      <c r="GR2654" s="73"/>
      <c r="GS2654" s="73"/>
      <c r="GT2654" s="73"/>
      <c r="GU2654" s="73"/>
      <c r="GV2654" s="73"/>
      <c r="GW2654" s="73"/>
      <c r="GX2654" s="73"/>
      <c r="GY2654" s="73"/>
      <c r="GZ2654" s="73"/>
      <c r="HA2654" s="73"/>
      <c r="HB2654" s="73"/>
      <c r="HC2654" s="73"/>
      <c r="HD2654" s="73"/>
      <c r="HE2654" s="73"/>
      <c r="HF2654" s="73"/>
      <c r="HG2654" s="73"/>
      <c r="HH2654" s="73"/>
      <c r="HI2654" s="73"/>
      <c r="HJ2654" s="73"/>
      <c r="HK2654" s="73"/>
      <c r="HL2654" s="73"/>
      <c r="HM2654" s="73"/>
      <c r="HN2654" s="73"/>
      <c r="HO2654" s="73"/>
      <c r="HP2654" s="73"/>
      <c r="HQ2654" s="73"/>
      <c r="HR2654" s="73"/>
      <c r="HS2654" s="73"/>
      <c r="HT2654" s="73"/>
      <c r="HU2654" s="73"/>
      <c r="HV2654" s="73"/>
      <c r="HW2654" s="73"/>
      <c r="HX2654" s="73"/>
      <c r="HY2654" s="73"/>
      <c r="HZ2654" s="73"/>
      <c r="IA2654" s="73"/>
      <c r="IB2654" s="73"/>
      <c r="IC2654" s="73"/>
      <c r="ID2654" s="73"/>
      <c r="IE2654" s="73"/>
      <c r="IF2654" s="73"/>
      <c r="IG2654" s="73"/>
      <c r="IH2654" s="73"/>
      <c r="II2654" s="73"/>
      <c r="IJ2654" s="73"/>
      <c r="IK2654" s="73"/>
      <c r="IL2654" s="73"/>
      <c r="IM2654" s="73"/>
      <c r="IN2654" s="73"/>
      <c r="IO2654" s="73"/>
      <c r="IP2654" s="73"/>
      <c r="IQ2654" s="73"/>
      <c r="IR2654" s="73"/>
      <c r="IS2654" s="73"/>
      <c r="IT2654" s="73"/>
      <c r="IU2654" s="73"/>
      <c r="IV2654" s="73"/>
      <c r="IW2654" s="73"/>
      <c r="IX2654" s="73"/>
      <c r="IY2654" s="73"/>
      <c r="IZ2654" s="73"/>
      <c r="JA2654" s="73"/>
      <c r="JB2654" s="73"/>
      <c r="JC2654" s="73"/>
    </row>
    <row r="2655" spans="2:263" s="72" customFormat="1">
      <c r="B2655" s="73"/>
      <c r="C2655" s="73"/>
      <c r="D2655" s="73"/>
      <c r="E2655" s="73"/>
      <c r="F2655" s="73"/>
      <c r="G2655" s="73"/>
      <c r="H2655" s="73"/>
      <c r="I2655" s="73"/>
      <c r="J2655" s="73"/>
      <c r="K2655" s="73"/>
      <c r="L2655" s="73"/>
      <c r="M2655" s="73"/>
      <c r="N2655" s="73"/>
      <c r="O2655" s="73"/>
      <c r="P2655" s="73"/>
      <c r="Q2655" s="73"/>
      <c r="R2655" s="73"/>
      <c r="S2655" s="73"/>
      <c r="T2655" s="73"/>
      <c r="U2655" s="73"/>
      <c r="V2655" s="73"/>
      <c r="W2655" s="73"/>
      <c r="GL2655" s="73"/>
      <c r="GM2655" s="73"/>
      <c r="GN2655" s="73"/>
      <c r="GO2655" s="73"/>
      <c r="GP2655" s="73"/>
      <c r="GQ2655" s="73"/>
      <c r="GR2655" s="73"/>
      <c r="GS2655" s="73"/>
      <c r="GT2655" s="73"/>
      <c r="GU2655" s="73"/>
      <c r="GV2655" s="73"/>
      <c r="GW2655" s="73"/>
      <c r="GX2655" s="73"/>
      <c r="GY2655" s="73"/>
      <c r="GZ2655" s="73"/>
      <c r="HA2655" s="73"/>
      <c r="HB2655" s="73"/>
      <c r="HC2655" s="73"/>
      <c r="HD2655" s="73"/>
      <c r="HE2655" s="73"/>
      <c r="HF2655" s="73"/>
      <c r="HG2655" s="73"/>
      <c r="HH2655" s="73"/>
      <c r="HI2655" s="73"/>
      <c r="HJ2655" s="73"/>
      <c r="HK2655" s="73"/>
      <c r="HL2655" s="73"/>
      <c r="HM2655" s="73"/>
      <c r="HN2655" s="73"/>
      <c r="HO2655" s="73"/>
      <c r="HP2655" s="73"/>
      <c r="HQ2655" s="73"/>
      <c r="HR2655" s="73"/>
      <c r="HS2655" s="73"/>
      <c r="HT2655" s="73"/>
      <c r="HU2655" s="73"/>
      <c r="HV2655" s="73"/>
      <c r="HW2655" s="73"/>
      <c r="HX2655" s="73"/>
      <c r="HY2655" s="73"/>
      <c r="HZ2655" s="73"/>
      <c r="IA2655" s="73"/>
      <c r="IB2655" s="73"/>
      <c r="IC2655" s="73"/>
      <c r="ID2655" s="73"/>
      <c r="IE2655" s="73"/>
      <c r="IF2655" s="73"/>
      <c r="IG2655" s="73"/>
      <c r="IH2655" s="73"/>
      <c r="II2655" s="73"/>
      <c r="IJ2655" s="73"/>
      <c r="IK2655" s="73"/>
      <c r="IL2655" s="73"/>
      <c r="IM2655" s="73"/>
      <c r="IN2655" s="73"/>
      <c r="IO2655" s="73"/>
      <c r="IP2655" s="73"/>
      <c r="IQ2655" s="73"/>
      <c r="IR2655" s="73"/>
      <c r="IS2655" s="73"/>
      <c r="IT2655" s="73"/>
      <c r="IU2655" s="73"/>
      <c r="IV2655" s="73"/>
      <c r="IW2655" s="73"/>
      <c r="IX2655" s="73"/>
      <c r="IY2655" s="73"/>
      <c r="IZ2655" s="73"/>
      <c r="JA2655" s="73"/>
      <c r="JB2655" s="73"/>
      <c r="JC2655" s="73"/>
    </row>
    <row r="2656" spans="2:263" s="72" customFormat="1">
      <c r="B2656" s="73"/>
      <c r="C2656" s="73"/>
      <c r="D2656" s="73"/>
      <c r="E2656" s="73"/>
      <c r="F2656" s="73"/>
      <c r="G2656" s="73"/>
      <c r="H2656" s="73"/>
      <c r="I2656" s="73"/>
      <c r="J2656" s="73"/>
      <c r="K2656" s="73"/>
      <c r="L2656" s="73"/>
      <c r="M2656" s="73"/>
      <c r="N2656" s="73"/>
      <c r="O2656" s="73"/>
      <c r="P2656" s="73"/>
      <c r="Q2656" s="73"/>
      <c r="R2656" s="73"/>
      <c r="S2656" s="73"/>
      <c r="T2656" s="73"/>
      <c r="U2656" s="73"/>
      <c r="V2656" s="73"/>
      <c r="W2656" s="73"/>
      <c r="GL2656" s="73"/>
      <c r="GM2656" s="73"/>
      <c r="GN2656" s="73"/>
      <c r="GO2656" s="73"/>
      <c r="GP2656" s="73"/>
      <c r="GQ2656" s="73"/>
      <c r="GR2656" s="73"/>
      <c r="GS2656" s="73"/>
      <c r="GT2656" s="73"/>
      <c r="GU2656" s="73"/>
      <c r="GV2656" s="73"/>
      <c r="GW2656" s="73"/>
      <c r="GX2656" s="73"/>
      <c r="GY2656" s="73"/>
      <c r="GZ2656" s="73"/>
      <c r="HA2656" s="73"/>
      <c r="HB2656" s="73"/>
      <c r="HC2656" s="73"/>
      <c r="HD2656" s="73"/>
      <c r="HE2656" s="73"/>
      <c r="HF2656" s="73"/>
      <c r="HG2656" s="73"/>
      <c r="HH2656" s="73"/>
      <c r="HI2656" s="73"/>
      <c r="HJ2656" s="73"/>
      <c r="HK2656" s="73"/>
      <c r="HL2656" s="73"/>
      <c r="HM2656" s="73"/>
      <c r="HN2656" s="73"/>
      <c r="HO2656" s="73"/>
      <c r="HP2656" s="73"/>
      <c r="HQ2656" s="73"/>
      <c r="HR2656" s="73"/>
      <c r="HS2656" s="73"/>
      <c r="HT2656" s="73"/>
      <c r="HU2656" s="73"/>
      <c r="HV2656" s="73"/>
      <c r="HW2656" s="73"/>
      <c r="HX2656" s="73"/>
      <c r="HY2656" s="73"/>
      <c r="HZ2656" s="73"/>
      <c r="IA2656" s="73"/>
      <c r="IB2656" s="73"/>
      <c r="IC2656" s="73"/>
      <c r="ID2656" s="73"/>
      <c r="IE2656" s="73"/>
      <c r="IF2656" s="73"/>
      <c r="IG2656" s="73"/>
      <c r="IH2656" s="73"/>
      <c r="II2656" s="73"/>
      <c r="IJ2656" s="73"/>
      <c r="IK2656" s="73"/>
      <c r="IL2656" s="73"/>
      <c r="IM2656" s="73"/>
      <c r="IN2656" s="73"/>
      <c r="IO2656" s="73"/>
      <c r="IP2656" s="73"/>
      <c r="IQ2656" s="73"/>
      <c r="IR2656" s="73"/>
      <c r="IS2656" s="73"/>
      <c r="IT2656" s="73"/>
      <c r="IU2656" s="73"/>
      <c r="IV2656" s="73"/>
      <c r="IW2656" s="73"/>
      <c r="IX2656" s="73"/>
      <c r="IY2656" s="73"/>
      <c r="IZ2656" s="73"/>
      <c r="JA2656" s="73"/>
      <c r="JB2656" s="73"/>
      <c r="JC2656" s="73"/>
    </row>
    <row r="2657" spans="2:263" s="72" customFormat="1">
      <c r="B2657" s="73"/>
      <c r="C2657" s="73"/>
      <c r="D2657" s="73"/>
      <c r="E2657" s="73"/>
      <c r="F2657" s="73"/>
      <c r="G2657" s="73"/>
      <c r="H2657" s="73"/>
      <c r="I2657" s="73"/>
      <c r="J2657" s="73"/>
      <c r="K2657" s="73"/>
      <c r="L2657" s="73"/>
      <c r="M2657" s="73"/>
      <c r="N2657" s="73"/>
      <c r="O2657" s="73"/>
      <c r="P2657" s="73"/>
      <c r="Q2657" s="73"/>
      <c r="R2657" s="73"/>
      <c r="S2657" s="73"/>
      <c r="T2657" s="73"/>
      <c r="U2657" s="73"/>
      <c r="V2657" s="73"/>
      <c r="W2657" s="73"/>
      <c r="GL2657" s="73"/>
      <c r="GM2657" s="73"/>
      <c r="GN2657" s="73"/>
      <c r="GO2657" s="73"/>
      <c r="GP2657" s="73"/>
      <c r="GQ2657" s="73"/>
      <c r="GR2657" s="73"/>
      <c r="GS2657" s="73"/>
      <c r="GT2657" s="73"/>
      <c r="GU2657" s="73"/>
      <c r="GV2657" s="73"/>
      <c r="GW2657" s="73"/>
      <c r="GX2657" s="73"/>
      <c r="GY2657" s="73"/>
      <c r="GZ2657" s="73"/>
      <c r="HA2657" s="73"/>
      <c r="HB2657" s="73"/>
      <c r="HC2657" s="73"/>
      <c r="HD2657" s="73"/>
      <c r="HE2657" s="73"/>
      <c r="HF2657" s="73"/>
      <c r="HG2657" s="73"/>
      <c r="HH2657" s="73"/>
      <c r="HI2657" s="73"/>
      <c r="HJ2657" s="73"/>
      <c r="HK2657" s="73"/>
      <c r="HL2657" s="73"/>
      <c r="HM2657" s="73"/>
      <c r="HN2657" s="73"/>
      <c r="HO2657" s="73"/>
      <c r="HP2657" s="73"/>
      <c r="HQ2657" s="73"/>
      <c r="HR2657" s="73"/>
      <c r="HS2657" s="73"/>
      <c r="HT2657" s="73"/>
      <c r="HU2657" s="73"/>
      <c r="HV2657" s="73"/>
      <c r="HW2657" s="73"/>
      <c r="HX2657" s="73"/>
      <c r="HY2657" s="73"/>
      <c r="HZ2657" s="73"/>
      <c r="IA2657" s="73"/>
      <c r="IB2657" s="73"/>
      <c r="IC2657" s="73"/>
      <c r="ID2657" s="73"/>
      <c r="IE2657" s="73"/>
      <c r="IF2657" s="73"/>
      <c r="IG2657" s="73"/>
      <c r="IH2657" s="73"/>
      <c r="II2657" s="73"/>
      <c r="IJ2657" s="73"/>
      <c r="IK2657" s="73"/>
      <c r="IL2657" s="73"/>
      <c r="IM2657" s="73"/>
      <c r="IN2657" s="73"/>
      <c r="IO2657" s="73"/>
      <c r="IP2657" s="73"/>
      <c r="IQ2657" s="73"/>
      <c r="IR2657" s="73"/>
      <c r="IS2657" s="73"/>
      <c r="IT2657" s="73"/>
      <c r="IU2657" s="73"/>
      <c r="IV2657" s="73"/>
      <c r="IW2657" s="73"/>
      <c r="IX2657" s="73"/>
      <c r="IY2657" s="73"/>
      <c r="IZ2657" s="73"/>
      <c r="JA2657" s="73"/>
      <c r="JB2657" s="73"/>
      <c r="JC2657" s="73"/>
    </row>
    <row r="2658" spans="2:263" s="72" customFormat="1">
      <c r="B2658" s="73"/>
      <c r="C2658" s="73"/>
      <c r="D2658" s="73"/>
      <c r="E2658" s="73"/>
      <c r="F2658" s="73"/>
      <c r="G2658" s="73"/>
      <c r="H2658" s="73"/>
      <c r="I2658" s="73"/>
      <c r="J2658" s="73"/>
      <c r="K2658" s="73"/>
      <c r="L2658" s="73"/>
      <c r="M2658" s="73"/>
      <c r="N2658" s="73"/>
      <c r="O2658" s="73"/>
      <c r="P2658" s="73"/>
      <c r="Q2658" s="73"/>
      <c r="R2658" s="73"/>
      <c r="S2658" s="73"/>
      <c r="T2658" s="73"/>
      <c r="U2658" s="73"/>
      <c r="V2658" s="73"/>
      <c r="W2658" s="73"/>
      <c r="GL2658" s="73"/>
      <c r="GM2658" s="73"/>
      <c r="GN2658" s="73"/>
      <c r="GO2658" s="73"/>
      <c r="GP2658" s="73"/>
      <c r="GQ2658" s="73"/>
      <c r="GR2658" s="73"/>
      <c r="GS2658" s="73"/>
      <c r="GT2658" s="73"/>
      <c r="GU2658" s="73"/>
      <c r="GV2658" s="73"/>
      <c r="GW2658" s="73"/>
      <c r="GX2658" s="73"/>
      <c r="GY2658" s="73"/>
      <c r="GZ2658" s="73"/>
      <c r="HA2658" s="73"/>
      <c r="HB2658" s="73"/>
      <c r="HC2658" s="73"/>
      <c r="HD2658" s="73"/>
      <c r="HE2658" s="73"/>
      <c r="HF2658" s="73"/>
      <c r="HG2658" s="73"/>
      <c r="HH2658" s="73"/>
      <c r="HI2658" s="73"/>
      <c r="HJ2658" s="73"/>
      <c r="HK2658" s="73"/>
      <c r="HL2658" s="73"/>
      <c r="HM2658" s="73"/>
      <c r="HN2658" s="73"/>
      <c r="HO2658" s="73"/>
      <c r="HP2658" s="73"/>
      <c r="HQ2658" s="73"/>
      <c r="HR2658" s="73"/>
      <c r="HS2658" s="73"/>
      <c r="HT2658" s="73"/>
      <c r="HU2658" s="73"/>
      <c r="HV2658" s="73"/>
      <c r="HW2658" s="73"/>
      <c r="HX2658" s="73"/>
      <c r="HY2658" s="73"/>
      <c r="HZ2658" s="73"/>
      <c r="IA2658" s="73"/>
      <c r="IB2658" s="73"/>
      <c r="IC2658" s="73"/>
      <c r="ID2658" s="73"/>
      <c r="IE2658" s="73"/>
      <c r="IF2658" s="73"/>
      <c r="IG2658" s="73"/>
      <c r="IH2658" s="73"/>
      <c r="II2658" s="73"/>
      <c r="IJ2658" s="73"/>
      <c r="IK2658" s="73"/>
      <c r="IL2658" s="73"/>
      <c r="IM2658" s="73"/>
      <c r="IN2658" s="73"/>
      <c r="IO2658" s="73"/>
      <c r="IP2658" s="73"/>
      <c r="IQ2658" s="73"/>
      <c r="IR2658" s="73"/>
      <c r="IS2658" s="73"/>
      <c r="IT2658" s="73"/>
      <c r="IU2658" s="73"/>
      <c r="IV2658" s="73"/>
      <c r="IW2658" s="73"/>
      <c r="IX2658" s="73"/>
      <c r="IY2658" s="73"/>
      <c r="IZ2658" s="73"/>
      <c r="JA2658" s="73"/>
      <c r="JB2658" s="73"/>
      <c r="JC2658" s="73"/>
    </row>
    <row r="2659" spans="2:263" s="72" customFormat="1">
      <c r="B2659" s="73"/>
      <c r="C2659" s="73"/>
      <c r="D2659" s="73"/>
      <c r="E2659" s="73"/>
      <c r="F2659" s="73"/>
      <c r="G2659" s="73"/>
      <c r="H2659" s="73"/>
      <c r="I2659" s="73"/>
      <c r="J2659" s="73"/>
      <c r="K2659" s="73"/>
      <c r="L2659" s="73"/>
      <c r="M2659" s="73"/>
      <c r="N2659" s="73"/>
      <c r="O2659" s="73"/>
      <c r="P2659" s="73"/>
      <c r="Q2659" s="73"/>
      <c r="R2659" s="73"/>
      <c r="S2659" s="73"/>
      <c r="T2659" s="73"/>
      <c r="U2659" s="73"/>
      <c r="V2659" s="73"/>
      <c r="W2659" s="73"/>
      <c r="GL2659" s="73"/>
      <c r="GM2659" s="73"/>
      <c r="GN2659" s="73"/>
      <c r="GO2659" s="73"/>
      <c r="GP2659" s="73"/>
      <c r="GQ2659" s="73"/>
      <c r="GR2659" s="73"/>
      <c r="GS2659" s="73"/>
      <c r="GT2659" s="73"/>
      <c r="GU2659" s="73"/>
      <c r="GV2659" s="73"/>
      <c r="GW2659" s="73"/>
      <c r="GX2659" s="73"/>
      <c r="GY2659" s="73"/>
      <c r="GZ2659" s="73"/>
      <c r="HA2659" s="73"/>
      <c r="HB2659" s="73"/>
      <c r="HC2659" s="73"/>
      <c r="HD2659" s="73"/>
      <c r="HE2659" s="73"/>
      <c r="HF2659" s="73"/>
      <c r="HG2659" s="73"/>
      <c r="HH2659" s="73"/>
      <c r="HI2659" s="73"/>
      <c r="HJ2659" s="73"/>
      <c r="HK2659" s="73"/>
      <c r="HL2659" s="73"/>
      <c r="HM2659" s="73"/>
      <c r="HN2659" s="73"/>
      <c r="HO2659" s="73"/>
      <c r="HP2659" s="73"/>
      <c r="HQ2659" s="73"/>
      <c r="HR2659" s="73"/>
      <c r="HS2659" s="73"/>
      <c r="HT2659" s="73"/>
      <c r="HU2659" s="73"/>
      <c r="HV2659" s="73"/>
      <c r="HW2659" s="73"/>
      <c r="HX2659" s="73"/>
      <c r="HY2659" s="73"/>
      <c r="HZ2659" s="73"/>
      <c r="IA2659" s="73"/>
      <c r="IB2659" s="73"/>
      <c r="IC2659" s="73"/>
      <c r="ID2659" s="73"/>
      <c r="IE2659" s="73"/>
      <c r="IF2659" s="73"/>
      <c r="IG2659" s="73"/>
      <c r="IH2659" s="73"/>
      <c r="II2659" s="73"/>
      <c r="IJ2659" s="73"/>
      <c r="IK2659" s="73"/>
      <c r="IL2659" s="73"/>
      <c r="IM2659" s="73"/>
      <c r="IN2659" s="73"/>
      <c r="IO2659" s="73"/>
      <c r="IP2659" s="73"/>
      <c r="IQ2659" s="73"/>
      <c r="IR2659" s="73"/>
      <c r="IS2659" s="73"/>
      <c r="IT2659" s="73"/>
      <c r="IU2659" s="73"/>
      <c r="IV2659" s="73"/>
      <c r="IW2659" s="73"/>
      <c r="IX2659" s="73"/>
      <c r="IY2659" s="73"/>
      <c r="IZ2659" s="73"/>
      <c r="JA2659" s="73"/>
      <c r="JB2659" s="73"/>
      <c r="JC2659" s="73"/>
    </row>
    <row r="2660" spans="2:263" s="72" customFormat="1">
      <c r="B2660" s="73"/>
      <c r="C2660" s="73"/>
      <c r="D2660" s="73"/>
      <c r="E2660" s="73"/>
      <c r="F2660" s="73"/>
      <c r="G2660" s="73"/>
      <c r="H2660" s="73"/>
      <c r="I2660" s="73"/>
      <c r="J2660" s="73"/>
      <c r="K2660" s="73"/>
      <c r="L2660" s="73"/>
      <c r="M2660" s="73"/>
      <c r="N2660" s="73"/>
      <c r="O2660" s="73"/>
      <c r="P2660" s="73"/>
      <c r="Q2660" s="73"/>
      <c r="R2660" s="73"/>
      <c r="S2660" s="73"/>
      <c r="T2660" s="73"/>
      <c r="U2660" s="73"/>
      <c r="V2660" s="73"/>
      <c r="W2660" s="73"/>
      <c r="GL2660" s="73"/>
      <c r="GM2660" s="73"/>
      <c r="GN2660" s="73"/>
      <c r="GO2660" s="73"/>
      <c r="GP2660" s="73"/>
      <c r="GQ2660" s="73"/>
      <c r="GR2660" s="73"/>
      <c r="GS2660" s="73"/>
      <c r="GT2660" s="73"/>
      <c r="GU2660" s="73"/>
      <c r="GV2660" s="73"/>
      <c r="GW2660" s="73"/>
      <c r="GX2660" s="73"/>
      <c r="GY2660" s="73"/>
      <c r="GZ2660" s="73"/>
      <c r="HA2660" s="73"/>
      <c r="HB2660" s="73"/>
      <c r="HC2660" s="73"/>
      <c r="HD2660" s="73"/>
      <c r="HE2660" s="73"/>
      <c r="HF2660" s="73"/>
      <c r="HG2660" s="73"/>
      <c r="HH2660" s="73"/>
      <c r="HI2660" s="73"/>
      <c r="HJ2660" s="73"/>
      <c r="HK2660" s="73"/>
      <c r="HL2660" s="73"/>
      <c r="HM2660" s="73"/>
      <c r="HN2660" s="73"/>
      <c r="HO2660" s="73"/>
      <c r="HP2660" s="73"/>
      <c r="HQ2660" s="73"/>
      <c r="HR2660" s="73"/>
      <c r="HS2660" s="73"/>
      <c r="HT2660" s="73"/>
      <c r="HU2660" s="73"/>
      <c r="HV2660" s="73"/>
      <c r="HW2660" s="73"/>
      <c r="HX2660" s="73"/>
      <c r="HY2660" s="73"/>
      <c r="HZ2660" s="73"/>
      <c r="IA2660" s="73"/>
      <c r="IB2660" s="73"/>
      <c r="IC2660" s="73"/>
      <c r="ID2660" s="73"/>
      <c r="IE2660" s="73"/>
      <c r="IF2660" s="73"/>
      <c r="IG2660" s="73"/>
      <c r="IH2660" s="73"/>
      <c r="II2660" s="73"/>
      <c r="IJ2660" s="73"/>
      <c r="IK2660" s="73"/>
      <c r="IL2660" s="73"/>
      <c r="IM2660" s="73"/>
      <c r="IN2660" s="73"/>
      <c r="IO2660" s="73"/>
      <c r="IP2660" s="73"/>
      <c r="IQ2660" s="73"/>
      <c r="IR2660" s="73"/>
      <c r="IS2660" s="73"/>
      <c r="IT2660" s="73"/>
      <c r="IU2660" s="73"/>
      <c r="IV2660" s="73"/>
      <c r="IW2660" s="73"/>
      <c r="IX2660" s="73"/>
      <c r="IY2660" s="73"/>
      <c r="IZ2660" s="73"/>
      <c r="JA2660" s="73"/>
      <c r="JB2660" s="73"/>
      <c r="JC2660" s="73"/>
    </row>
    <row r="2661" spans="2:263" s="72" customFormat="1">
      <c r="B2661" s="73"/>
      <c r="C2661" s="73"/>
      <c r="D2661" s="73"/>
      <c r="E2661" s="73"/>
      <c r="F2661" s="73"/>
      <c r="G2661" s="73"/>
      <c r="H2661" s="73"/>
      <c r="I2661" s="73"/>
      <c r="J2661" s="73"/>
      <c r="K2661" s="73"/>
      <c r="L2661" s="73"/>
      <c r="M2661" s="73"/>
      <c r="N2661" s="73"/>
      <c r="O2661" s="73"/>
      <c r="P2661" s="73"/>
      <c r="Q2661" s="73"/>
      <c r="R2661" s="73"/>
      <c r="S2661" s="73"/>
      <c r="T2661" s="73"/>
      <c r="U2661" s="73"/>
      <c r="V2661" s="73"/>
      <c r="W2661" s="73"/>
      <c r="GL2661" s="73"/>
      <c r="GM2661" s="73"/>
      <c r="GN2661" s="73"/>
      <c r="GO2661" s="73"/>
      <c r="GP2661" s="73"/>
      <c r="GQ2661" s="73"/>
      <c r="GR2661" s="73"/>
      <c r="GS2661" s="73"/>
      <c r="GT2661" s="73"/>
      <c r="GU2661" s="73"/>
      <c r="GV2661" s="73"/>
      <c r="GW2661" s="73"/>
      <c r="GX2661" s="73"/>
      <c r="GY2661" s="73"/>
      <c r="GZ2661" s="73"/>
      <c r="HA2661" s="73"/>
      <c r="HB2661" s="73"/>
      <c r="HC2661" s="73"/>
      <c r="HD2661" s="73"/>
      <c r="HE2661" s="73"/>
      <c r="HF2661" s="73"/>
      <c r="HG2661" s="73"/>
      <c r="HH2661" s="73"/>
      <c r="HI2661" s="73"/>
      <c r="HJ2661" s="73"/>
      <c r="HK2661" s="73"/>
      <c r="HL2661" s="73"/>
      <c r="HM2661" s="73"/>
      <c r="HN2661" s="73"/>
      <c r="HO2661" s="73"/>
      <c r="HP2661" s="73"/>
      <c r="HQ2661" s="73"/>
      <c r="HR2661" s="73"/>
      <c r="HS2661" s="73"/>
      <c r="HT2661" s="73"/>
      <c r="HU2661" s="73"/>
      <c r="HV2661" s="73"/>
      <c r="HW2661" s="73"/>
      <c r="HX2661" s="73"/>
      <c r="HY2661" s="73"/>
      <c r="HZ2661" s="73"/>
      <c r="IA2661" s="73"/>
      <c r="IB2661" s="73"/>
      <c r="IC2661" s="73"/>
      <c r="ID2661" s="73"/>
      <c r="IE2661" s="73"/>
      <c r="IF2661" s="73"/>
      <c r="IG2661" s="73"/>
      <c r="IH2661" s="73"/>
      <c r="II2661" s="73"/>
      <c r="IJ2661" s="73"/>
      <c r="IK2661" s="73"/>
      <c r="IL2661" s="73"/>
      <c r="IM2661" s="73"/>
      <c r="IN2661" s="73"/>
      <c r="IO2661" s="73"/>
      <c r="IP2661" s="73"/>
      <c r="IQ2661" s="73"/>
      <c r="IR2661" s="73"/>
      <c r="IS2661" s="73"/>
      <c r="IT2661" s="73"/>
      <c r="IU2661" s="73"/>
      <c r="IV2661" s="73"/>
      <c r="IW2661" s="73"/>
      <c r="IX2661" s="73"/>
      <c r="IY2661" s="73"/>
      <c r="IZ2661" s="73"/>
      <c r="JA2661" s="73"/>
      <c r="JB2661" s="73"/>
      <c r="JC2661" s="73"/>
    </row>
    <row r="2662" spans="2:263" s="72" customFormat="1">
      <c r="B2662" s="73"/>
      <c r="C2662" s="73"/>
      <c r="D2662" s="73"/>
      <c r="E2662" s="73"/>
      <c r="F2662" s="73"/>
      <c r="G2662" s="73"/>
      <c r="H2662" s="73"/>
      <c r="I2662" s="73"/>
      <c r="J2662" s="73"/>
      <c r="K2662" s="73"/>
      <c r="L2662" s="73"/>
      <c r="M2662" s="73"/>
      <c r="N2662" s="73"/>
      <c r="O2662" s="73"/>
      <c r="P2662" s="73"/>
      <c r="Q2662" s="73"/>
      <c r="R2662" s="73"/>
      <c r="S2662" s="73"/>
      <c r="T2662" s="73"/>
      <c r="U2662" s="73"/>
      <c r="V2662" s="73"/>
      <c r="W2662" s="73"/>
      <c r="GL2662" s="73"/>
      <c r="GM2662" s="73"/>
      <c r="GN2662" s="73"/>
      <c r="GO2662" s="73"/>
      <c r="GP2662" s="73"/>
      <c r="GQ2662" s="73"/>
      <c r="GR2662" s="73"/>
      <c r="GS2662" s="73"/>
      <c r="GT2662" s="73"/>
      <c r="GU2662" s="73"/>
      <c r="GV2662" s="73"/>
      <c r="GW2662" s="73"/>
      <c r="GX2662" s="73"/>
      <c r="GY2662" s="73"/>
      <c r="GZ2662" s="73"/>
      <c r="HA2662" s="73"/>
      <c r="HB2662" s="73"/>
      <c r="HC2662" s="73"/>
      <c r="HD2662" s="73"/>
      <c r="HE2662" s="73"/>
      <c r="HF2662" s="73"/>
      <c r="HG2662" s="73"/>
      <c r="HH2662" s="73"/>
      <c r="HI2662" s="73"/>
      <c r="HJ2662" s="73"/>
      <c r="HK2662" s="73"/>
      <c r="HL2662" s="73"/>
      <c r="HM2662" s="73"/>
      <c r="HN2662" s="73"/>
      <c r="HO2662" s="73"/>
      <c r="HP2662" s="73"/>
      <c r="HQ2662" s="73"/>
      <c r="HR2662" s="73"/>
      <c r="HS2662" s="73"/>
      <c r="HT2662" s="73"/>
      <c r="HU2662" s="73"/>
      <c r="HV2662" s="73"/>
      <c r="HW2662" s="73"/>
      <c r="HX2662" s="73"/>
      <c r="HY2662" s="73"/>
      <c r="HZ2662" s="73"/>
      <c r="IA2662" s="73"/>
      <c r="IB2662" s="73"/>
      <c r="IC2662" s="73"/>
      <c r="ID2662" s="73"/>
      <c r="IE2662" s="73"/>
      <c r="IF2662" s="73"/>
      <c r="IG2662" s="73"/>
      <c r="IH2662" s="73"/>
      <c r="II2662" s="73"/>
      <c r="IJ2662" s="73"/>
      <c r="IK2662" s="73"/>
      <c r="IL2662" s="73"/>
      <c r="IM2662" s="73"/>
      <c r="IN2662" s="73"/>
      <c r="IO2662" s="73"/>
      <c r="IP2662" s="73"/>
      <c r="IQ2662" s="73"/>
      <c r="IR2662" s="73"/>
      <c r="IS2662" s="73"/>
      <c r="IT2662" s="73"/>
      <c r="IU2662" s="73"/>
      <c r="IV2662" s="73"/>
      <c r="IW2662" s="73"/>
      <c r="IX2662" s="73"/>
      <c r="IY2662" s="73"/>
      <c r="IZ2662" s="73"/>
      <c r="JA2662" s="73"/>
      <c r="JB2662" s="73"/>
      <c r="JC2662" s="73"/>
    </row>
    <row r="2663" spans="2:263" s="72" customFormat="1">
      <c r="B2663" s="73"/>
      <c r="C2663" s="73"/>
      <c r="D2663" s="73"/>
      <c r="E2663" s="73"/>
      <c r="F2663" s="73"/>
      <c r="G2663" s="73"/>
      <c r="H2663" s="73"/>
      <c r="I2663" s="73"/>
      <c r="J2663" s="73"/>
      <c r="K2663" s="73"/>
      <c r="L2663" s="73"/>
      <c r="M2663" s="73"/>
      <c r="N2663" s="73"/>
      <c r="O2663" s="73"/>
      <c r="P2663" s="73"/>
      <c r="Q2663" s="73"/>
      <c r="R2663" s="73"/>
      <c r="S2663" s="73"/>
      <c r="T2663" s="73"/>
      <c r="U2663" s="73"/>
      <c r="V2663" s="73"/>
      <c r="W2663" s="73"/>
      <c r="GL2663" s="73"/>
      <c r="GM2663" s="73"/>
      <c r="GN2663" s="73"/>
      <c r="GO2663" s="73"/>
      <c r="GP2663" s="73"/>
      <c r="GQ2663" s="73"/>
      <c r="GR2663" s="73"/>
      <c r="GS2663" s="73"/>
      <c r="GT2663" s="73"/>
      <c r="GU2663" s="73"/>
      <c r="GV2663" s="73"/>
      <c r="GW2663" s="73"/>
      <c r="GX2663" s="73"/>
      <c r="GY2663" s="73"/>
      <c r="GZ2663" s="73"/>
      <c r="HA2663" s="73"/>
      <c r="HB2663" s="73"/>
      <c r="HC2663" s="73"/>
      <c r="HD2663" s="73"/>
      <c r="HE2663" s="73"/>
      <c r="HF2663" s="73"/>
      <c r="HG2663" s="73"/>
      <c r="HH2663" s="73"/>
      <c r="HI2663" s="73"/>
      <c r="HJ2663" s="73"/>
      <c r="HK2663" s="73"/>
      <c r="HL2663" s="73"/>
      <c r="HM2663" s="73"/>
      <c r="HN2663" s="73"/>
      <c r="HO2663" s="73"/>
      <c r="HP2663" s="73"/>
      <c r="HQ2663" s="73"/>
      <c r="HR2663" s="73"/>
      <c r="HS2663" s="73"/>
      <c r="HT2663" s="73"/>
      <c r="HU2663" s="73"/>
      <c r="HV2663" s="73"/>
      <c r="HW2663" s="73"/>
      <c r="HX2663" s="73"/>
      <c r="HY2663" s="73"/>
      <c r="HZ2663" s="73"/>
      <c r="IA2663" s="73"/>
      <c r="IB2663" s="73"/>
      <c r="IC2663" s="73"/>
      <c r="ID2663" s="73"/>
      <c r="IE2663" s="73"/>
      <c r="IF2663" s="73"/>
      <c r="IG2663" s="73"/>
      <c r="IH2663" s="73"/>
      <c r="II2663" s="73"/>
      <c r="IJ2663" s="73"/>
      <c r="IK2663" s="73"/>
      <c r="IL2663" s="73"/>
      <c r="IM2663" s="73"/>
      <c r="IN2663" s="73"/>
      <c r="IO2663" s="73"/>
      <c r="IP2663" s="73"/>
      <c r="IQ2663" s="73"/>
      <c r="IR2663" s="73"/>
      <c r="IS2663" s="73"/>
      <c r="IT2663" s="73"/>
      <c r="IU2663" s="73"/>
      <c r="IV2663" s="73"/>
      <c r="IW2663" s="73"/>
      <c r="IX2663" s="73"/>
      <c r="IY2663" s="73"/>
      <c r="IZ2663" s="73"/>
      <c r="JA2663" s="73"/>
      <c r="JB2663" s="73"/>
      <c r="JC2663" s="73"/>
    </row>
    <row r="2664" spans="2:263" s="72" customFormat="1">
      <c r="B2664" s="73"/>
      <c r="C2664" s="73"/>
      <c r="D2664" s="73"/>
      <c r="E2664" s="73"/>
      <c r="F2664" s="73"/>
      <c r="G2664" s="73"/>
      <c r="H2664" s="73"/>
      <c r="I2664" s="73"/>
      <c r="J2664" s="73"/>
      <c r="K2664" s="73"/>
      <c r="L2664" s="73"/>
      <c r="M2664" s="73"/>
      <c r="N2664" s="73"/>
      <c r="O2664" s="73"/>
      <c r="P2664" s="73"/>
      <c r="Q2664" s="73"/>
      <c r="R2664" s="73"/>
      <c r="S2664" s="73"/>
      <c r="T2664" s="73"/>
      <c r="U2664" s="73"/>
      <c r="V2664" s="73"/>
      <c r="W2664" s="73"/>
      <c r="GL2664" s="73"/>
      <c r="GM2664" s="73"/>
      <c r="GN2664" s="73"/>
      <c r="GO2664" s="73"/>
      <c r="GP2664" s="73"/>
      <c r="GQ2664" s="73"/>
      <c r="GR2664" s="73"/>
      <c r="GS2664" s="73"/>
      <c r="GT2664" s="73"/>
      <c r="GU2664" s="73"/>
      <c r="GV2664" s="73"/>
      <c r="GW2664" s="73"/>
      <c r="GX2664" s="73"/>
      <c r="GY2664" s="73"/>
      <c r="GZ2664" s="73"/>
      <c r="HA2664" s="73"/>
      <c r="HB2664" s="73"/>
      <c r="HC2664" s="73"/>
      <c r="HD2664" s="73"/>
      <c r="HE2664" s="73"/>
      <c r="HF2664" s="73"/>
      <c r="HG2664" s="73"/>
      <c r="HH2664" s="73"/>
      <c r="HI2664" s="73"/>
      <c r="HJ2664" s="73"/>
      <c r="HK2664" s="73"/>
      <c r="HL2664" s="73"/>
      <c r="HM2664" s="73"/>
      <c r="HN2664" s="73"/>
      <c r="HO2664" s="73"/>
      <c r="HP2664" s="73"/>
      <c r="HQ2664" s="73"/>
      <c r="HR2664" s="73"/>
      <c r="HS2664" s="73"/>
      <c r="HT2664" s="73"/>
      <c r="HU2664" s="73"/>
      <c r="HV2664" s="73"/>
      <c r="HW2664" s="73"/>
      <c r="HX2664" s="73"/>
      <c r="HY2664" s="73"/>
      <c r="HZ2664" s="73"/>
      <c r="IA2664" s="73"/>
      <c r="IB2664" s="73"/>
      <c r="IC2664" s="73"/>
      <c r="ID2664" s="73"/>
      <c r="IE2664" s="73"/>
      <c r="IF2664" s="73"/>
      <c r="IG2664" s="73"/>
      <c r="IH2664" s="73"/>
      <c r="II2664" s="73"/>
      <c r="IJ2664" s="73"/>
      <c r="IK2664" s="73"/>
      <c r="IL2664" s="73"/>
      <c r="IM2664" s="73"/>
      <c r="IN2664" s="73"/>
      <c r="IO2664" s="73"/>
      <c r="IP2664" s="73"/>
      <c r="IQ2664" s="73"/>
      <c r="IR2664" s="73"/>
      <c r="IS2664" s="73"/>
      <c r="IT2664" s="73"/>
      <c r="IU2664" s="73"/>
      <c r="IV2664" s="73"/>
      <c r="IW2664" s="73"/>
      <c r="IX2664" s="73"/>
      <c r="IY2664" s="73"/>
      <c r="IZ2664" s="73"/>
      <c r="JA2664" s="73"/>
      <c r="JB2664" s="73"/>
      <c r="JC2664" s="73"/>
    </row>
    <row r="2665" spans="2:263" s="72" customFormat="1">
      <c r="B2665" s="73"/>
      <c r="C2665" s="73"/>
      <c r="D2665" s="73"/>
      <c r="E2665" s="73"/>
      <c r="F2665" s="73"/>
      <c r="G2665" s="73"/>
      <c r="H2665" s="73"/>
      <c r="I2665" s="73"/>
      <c r="J2665" s="73"/>
      <c r="K2665" s="73"/>
      <c r="L2665" s="73"/>
      <c r="M2665" s="73"/>
      <c r="N2665" s="73"/>
      <c r="O2665" s="73"/>
      <c r="P2665" s="73"/>
      <c r="Q2665" s="73"/>
      <c r="R2665" s="73"/>
      <c r="S2665" s="73"/>
      <c r="T2665" s="73"/>
      <c r="U2665" s="73"/>
      <c r="V2665" s="73"/>
      <c r="W2665" s="73"/>
      <c r="GL2665" s="73"/>
      <c r="GM2665" s="73"/>
      <c r="GN2665" s="73"/>
      <c r="GO2665" s="73"/>
      <c r="GP2665" s="73"/>
      <c r="GQ2665" s="73"/>
      <c r="GR2665" s="73"/>
      <c r="GS2665" s="73"/>
      <c r="GT2665" s="73"/>
      <c r="GU2665" s="73"/>
      <c r="GV2665" s="73"/>
      <c r="GW2665" s="73"/>
      <c r="GX2665" s="73"/>
      <c r="GY2665" s="73"/>
      <c r="GZ2665" s="73"/>
      <c r="HA2665" s="73"/>
      <c r="HB2665" s="73"/>
      <c r="HC2665" s="73"/>
      <c r="HD2665" s="73"/>
      <c r="HE2665" s="73"/>
      <c r="HF2665" s="73"/>
      <c r="HG2665" s="73"/>
      <c r="HH2665" s="73"/>
      <c r="HI2665" s="73"/>
      <c r="HJ2665" s="73"/>
      <c r="HK2665" s="73"/>
      <c r="HL2665" s="73"/>
      <c r="HM2665" s="73"/>
      <c r="HN2665" s="73"/>
      <c r="HO2665" s="73"/>
      <c r="HP2665" s="73"/>
      <c r="HQ2665" s="73"/>
      <c r="HR2665" s="73"/>
      <c r="HS2665" s="73"/>
      <c r="HT2665" s="73"/>
      <c r="HU2665" s="73"/>
      <c r="HV2665" s="73"/>
      <c r="HW2665" s="73"/>
      <c r="HX2665" s="73"/>
      <c r="HY2665" s="73"/>
      <c r="HZ2665" s="73"/>
      <c r="IA2665" s="73"/>
      <c r="IB2665" s="73"/>
      <c r="IC2665" s="73"/>
      <c r="ID2665" s="73"/>
      <c r="IE2665" s="73"/>
      <c r="IF2665" s="73"/>
      <c r="IG2665" s="73"/>
      <c r="IH2665" s="73"/>
      <c r="II2665" s="73"/>
      <c r="IJ2665" s="73"/>
      <c r="IK2665" s="73"/>
      <c r="IL2665" s="73"/>
      <c r="IM2665" s="73"/>
      <c r="IN2665" s="73"/>
      <c r="IO2665" s="73"/>
      <c r="IP2665" s="73"/>
      <c r="IQ2665" s="73"/>
      <c r="IR2665" s="73"/>
      <c r="IS2665" s="73"/>
      <c r="IT2665" s="73"/>
      <c r="IU2665" s="73"/>
      <c r="IV2665" s="73"/>
      <c r="IW2665" s="73"/>
      <c r="IX2665" s="73"/>
      <c r="IY2665" s="73"/>
      <c r="IZ2665" s="73"/>
      <c r="JA2665" s="73"/>
      <c r="JB2665" s="73"/>
      <c r="JC2665" s="73"/>
    </row>
    <row r="2666" spans="2:263" s="72" customFormat="1">
      <c r="B2666" s="73"/>
      <c r="C2666" s="73"/>
      <c r="D2666" s="73"/>
      <c r="E2666" s="73"/>
      <c r="F2666" s="73"/>
      <c r="G2666" s="73"/>
      <c r="H2666" s="73"/>
      <c r="I2666" s="73"/>
      <c r="J2666" s="73"/>
      <c r="K2666" s="73"/>
      <c r="L2666" s="73"/>
      <c r="M2666" s="73"/>
      <c r="N2666" s="73"/>
      <c r="O2666" s="73"/>
      <c r="P2666" s="73"/>
      <c r="Q2666" s="73"/>
      <c r="R2666" s="73"/>
      <c r="S2666" s="73"/>
      <c r="T2666" s="73"/>
      <c r="U2666" s="73"/>
      <c r="V2666" s="73"/>
      <c r="W2666" s="73"/>
      <c r="GL2666" s="73"/>
      <c r="GM2666" s="73"/>
      <c r="GN2666" s="73"/>
      <c r="GO2666" s="73"/>
      <c r="GP2666" s="73"/>
      <c r="GQ2666" s="73"/>
      <c r="GR2666" s="73"/>
      <c r="GS2666" s="73"/>
      <c r="GT2666" s="73"/>
      <c r="GU2666" s="73"/>
      <c r="GV2666" s="73"/>
      <c r="GW2666" s="73"/>
      <c r="GX2666" s="73"/>
      <c r="GY2666" s="73"/>
      <c r="GZ2666" s="73"/>
      <c r="HA2666" s="73"/>
      <c r="HB2666" s="73"/>
      <c r="HC2666" s="73"/>
      <c r="HD2666" s="73"/>
      <c r="HE2666" s="73"/>
      <c r="HF2666" s="73"/>
      <c r="HG2666" s="73"/>
      <c r="HH2666" s="73"/>
      <c r="HI2666" s="73"/>
      <c r="HJ2666" s="73"/>
      <c r="HK2666" s="73"/>
      <c r="HL2666" s="73"/>
      <c r="HM2666" s="73"/>
      <c r="HN2666" s="73"/>
      <c r="HO2666" s="73"/>
      <c r="HP2666" s="73"/>
      <c r="HQ2666" s="73"/>
      <c r="HR2666" s="73"/>
      <c r="HS2666" s="73"/>
      <c r="HT2666" s="73"/>
      <c r="HU2666" s="73"/>
      <c r="HV2666" s="73"/>
      <c r="HW2666" s="73"/>
      <c r="HX2666" s="73"/>
      <c r="HY2666" s="73"/>
      <c r="HZ2666" s="73"/>
      <c r="IA2666" s="73"/>
      <c r="IB2666" s="73"/>
      <c r="IC2666" s="73"/>
      <c r="ID2666" s="73"/>
      <c r="IE2666" s="73"/>
      <c r="IF2666" s="73"/>
      <c r="IG2666" s="73"/>
      <c r="IH2666" s="73"/>
      <c r="II2666" s="73"/>
      <c r="IJ2666" s="73"/>
      <c r="IK2666" s="73"/>
      <c r="IL2666" s="73"/>
      <c r="IM2666" s="73"/>
      <c r="IN2666" s="73"/>
      <c r="IO2666" s="73"/>
      <c r="IP2666" s="73"/>
      <c r="IQ2666" s="73"/>
      <c r="IR2666" s="73"/>
      <c r="IS2666" s="73"/>
      <c r="IT2666" s="73"/>
      <c r="IU2666" s="73"/>
      <c r="IV2666" s="73"/>
      <c r="IW2666" s="73"/>
      <c r="IX2666" s="73"/>
      <c r="IY2666" s="73"/>
      <c r="IZ2666" s="73"/>
      <c r="JA2666" s="73"/>
      <c r="JB2666" s="73"/>
      <c r="JC2666" s="73"/>
    </row>
    <row r="2667" spans="2:263" s="72" customFormat="1">
      <c r="B2667" s="73"/>
      <c r="C2667" s="73"/>
      <c r="D2667" s="73"/>
      <c r="E2667" s="73"/>
      <c r="F2667" s="73"/>
      <c r="G2667" s="73"/>
      <c r="H2667" s="73"/>
      <c r="I2667" s="73"/>
      <c r="J2667" s="73"/>
      <c r="K2667" s="73"/>
      <c r="L2667" s="73"/>
      <c r="M2667" s="73"/>
      <c r="N2667" s="73"/>
      <c r="O2667" s="73"/>
      <c r="P2667" s="73"/>
      <c r="Q2667" s="73"/>
      <c r="R2667" s="73"/>
      <c r="S2667" s="73"/>
      <c r="T2667" s="73"/>
      <c r="U2667" s="73"/>
      <c r="V2667" s="73"/>
      <c r="W2667" s="73"/>
      <c r="GL2667" s="73"/>
      <c r="GM2667" s="73"/>
      <c r="GN2667" s="73"/>
      <c r="GO2667" s="73"/>
      <c r="GP2667" s="73"/>
      <c r="GQ2667" s="73"/>
      <c r="GR2667" s="73"/>
      <c r="GS2667" s="73"/>
      <c r="GT2667" s="73"/>
      <c r="GU2667" s="73"/>
      <c r="GV2667" s="73"/>
      <c r="GW2667" s="73"/>
      <c r="GX2667" s="73"/>
      <c r="GY2667" s="73"/>
      <c r="GZ2667" s="73"/>
      <c r="HA2667" s="73"/>
      <c r="HB2667" s="73"/>
      <c r="HC2667" s="73"/>
      <c r="HD2667" s="73"/>
      <c r="HE2667" s="73"/>
      <c r="HF2667" s="73"/>
      <c r="HG2667" s="73"/>
      <c r="HH2667" s="73"/>
      <c r="HI2667" s="73"/>
      <c r="HJ2667" s="73"/>
      <c r="HK2667" s="73"/>
      <c r="HL2667" s="73"/>
      <c r="HM2667" s="73"/>
      <c r="HN2667" s="73"/>
      <c r="HO2667" s="73"/>
      <c r="HP2667" s="73"/>
      <c r="HQ2667" s="73"/>
      <c r="HR2667" s="73"/>
      <c r="HS2667" s="73"/>
      <c r="HT2667" s="73"/>
      <c r="HU2667" s="73"/>
      <c r="HV2667" s="73"/>
      <c r="HW2667" s="73"/>
      <c r="HX2667" s="73"/>
      <c r="HY2667" s="73"/>
      <c r="HZ2667" s="73"/>
      <c r="IA2667" s="73"/>
      <c r="IB2667" s="73"/>
      <c r="IC2667" s="73"/>
      <c r="ID2667" s="73"/>
      <c r="IE2667" s="73"/>
      <c r="IF2667" s="73"/>
      <c r="IG2667" s="73"/>
      <c r="IH2667" s="73"/>
      <c r="II2667" s="73"/>
      <c r="IJ2667" s="73"/>
      <c r="IK2667" s="73"/>
      <c r="IL2667" s="73"/>
      <c r="IM2667" s="73"/>
      <c r="IN2667" s="73"/>
      <c r="IO2667" s="73"/>
      <c r="IP2667" s="73"/>
      <c r="IQ2667" s="73"/>
      <c r="IR2667" s="73"/>
      <c r="IS2667" s="73"/>
      <c r="IT2667" s="73"/>
      <c r="IU2667" s="73"/>
      <c r="IV2667" s="73"/>
      <c r="IW2667" s="73"/>
      <c r="IX2667" s="73"/>
      <c r="IY2667" s="73"/>
      <c r="IZ2667" s="73"/>
      <c r="JA2667" s="73"/>
      <c r="JB2667" s="73"/>
      <c r="JC2667" s="73"/>
    </row>
    <row r="2668" spans="2:263" s="72" customFormat="1">
      <c r="B2668" s="73"/>
      <c r="C2668" s="73"/>
      <c r="D2668" s="73"/>
      <c r="E2668" s="73"/>
      <c r="F2668" s="73"/>
      <c r="G2668" s="73"/>
      <c r="H2668" s="73"/>
      <c r="I2668" s="73"/>
      <c r="J2668" s="73"/>
      <c r="K2668" s="73"/>
      <c r="L2668" s="73"/>
      <c r="M2668" s="73"/>
      <c r="N2668" s="73"/>
      <c r="O2668" s="73"/>
      <c r="P2668" s="73"/>
      <c r="Q2668" s="73"/>
      <c r="R2668" s="73"/>
      <c r="S2668" s="73"/>
      <c r="T2668" s="73"/>
      <c r="U2668" s="73"/>
      <c r="V2668" s="73"/>
      <c r="W2668" s="73"/>
      <c r="GL2668" s="73"/>
      <c r="GM2668" s="73"/>
      <c r="GN2668" s="73"/>
      <c r="GO2668" s="73"/>
      <c r="GP2668" s="73"/>
      <c r="GQ2668" s="73"/>
      <c r="GR2668" s="73"/>
      <c r="GS2668" s="73"/>
      <c r="GT2668" s="73"/>
      <c r="GU2668" s="73"/>
      <c r="GV2668" s="73"/>
      <c r="GW2668" s="73"/>
      <c r="GX2668" s="73"/>
      <c r="GY2668" s="73"/>
      <c r="GZ2668" s="73"/>
      <c r="HA2668" s="73"/>
      <c r="HB2668" s="73"/>
      <c r="HC2668" s="73"/>
      <c r="HD2668" s="73"/>
      <c r="HE2668" s="73"/>
      <c r="HF2668" s="73"/>
      <c r="HG2668" s="73"/>
      <c r="HH2668" s="73"/>
      <c r="HI2668" s="73"/>
      <c r="HJ2668" s="73"/>
      <c r="HK2668" s="73"/>
      <c r="HL2668" s="73"/>
      <c r="HM2668" s="73"/>
      <c r="HN2668" s="73"/>
      <c r="HO2668" s="73"/>
      <c r="HP2668" s="73"/>
      <c r="HQ2668" s="73"/>
      <c r="HR2668" s="73"/>
      <c r="HS2668" s="73"/>
      <c r="HT2668" s="73"/>
      <c r="HU2668" s="73"/>
      <c r="HV2668" s="73"/>
      <c r="HW2668" s="73"/>
      <c r="HX2668" s="73"/>
      <c r="HY2668" s="73"/>
      <c r="HZ2668" s="73"/>
      <c r="IA2668" s="73"/>
      <c r="IB2668" s="73"/>
      <c r="IC2668" s="73"/>
      <c r="ID2668" s="73"/>
      <c r="IE2668" s="73"/>
      <c r="IF2668" s="73"/>
      <c r="IG2668" s="73"/>
      <c r="IH2668" s="73"/>
      <c r="II2668" s="73"/>
      <c r="IJ2668" s="73"/>
      <c r="IK2668" s="73"/>
      <c r="IL2668" s="73"/>
      <c r="IM2668" s="73"/>
      <c r="IN2668" s="73"/>
      <c r="IO2668" s="73"/>
      <c r="IP2668" s="73"/>
      <c r="IQ2668" s="73"/>
      <c r="IR2668" s="73"/>
      <c r="IS2668" s="73"/>
      <c r="IT2668" s="73"/>
      <c r="IU2668" s="73"/>
      <c r="IV2668" s="73"/>
      <c r="IW2668" s="73"/>
      <c r="IX2668" s="73"/>
      <c r="IY2668" s="73"/>
      <c r="IZ2668" s="73"/>
      <c r="JA2668" s="73"/>
      <c r="JB2668" s="73"/>
      <c r="JC2668" s="73"/>
    </row>
    <row r="2669" spans="2:263" s="72" customFormat="1">
      <c r="B2669" s="73"/>
      <c r="C2669" s="73"/>
      <c r="D2669" s="73"/>
      <c r="E2669" s="73"/>
      <c r="F2669" s="73"/>
      <c r="G2669" s="73"/>
      <c r="H2669" s="73"/>
      <c r="I2669" s="73"/>
      <c r="J2669" s="73"/>
      <c r="K2669" s="73"/>
      <c r="L2669" s="73"/>
      <c r="M2669" s="73"/>
      <c r="N2669" s="73"/>
      <c r="O2669" s="73"/>
      <c r="P2669" s="73"/>
      <c r="Q2669" s="73"/>
      <c r="R2669" s="73"/>
      <c r="S2669" s="73"/>
      <c r="T2669" s="73"/>
      <c r="U2669" s="73"/>
      <c r="V2669" s="73"/>
      <c r="W2669" s="73"/>
      <c r="GL2669" s="73"/>
      <c r="GM2669" s="73"/>
      <c r="GN2669" s="73"/>
      <c r="GO2669" s="73"/>
      <c r="GP2669" s="73"/>
      <c r="GQ2669" s="73"/>
      <c r="GR2669" s="73"/>
      <c r="GS2669" s="73"/>
      <c r="GT2669" s="73"/>
      <c r="GU2669" s="73"/>
      <c r="GV2669" s="73"/>
      <c r="GW2669" s="73"/>
      <c r="GX2669" s="73"/>
      <c r="GY2669" s="73"/>
      <c r="GZ2669" s="73"/>
      <c r="HA2669" s="73"/>
      <c r="HB2669" s="73"/>
      <c r="HC2669" s="73"/>
      <c r="HD2669" s="73"/>
      <c r="HE2669" s="73"/>
      <c r="HF2669" s="73"/>
      <c r="HG2669" s="73"/>
      <c r="HH2669" s="73"/>
      <c r="HI2669" s="73"/>
      <c r="HJ2669" s="73"/>
      <c r="HK2669" s="73"/>
      <c r="HL2669" s="73"/>
      <c r="HM2669" s="73"/>
      <c r="HN2669" s="73"/>
      <c r="HO2669" s="73"/>
      <c r="HP2669" s="73"/>
      <c r="HQ2669" s="73"/>
      <c r="HR2669" s="73"/>
      <c r="HS2669" s="73"/>
      <c r="HT2669" s="73"/>
      <c r="HU2669" s="73"/>
      <c r="HV2669" s="73"/>
      <c r="HW2669" s="73"/>
      <c r="HX2669" s="73"/>
      <c r="HY2669" s="73"/>
      <c r="HZ2669" s="73"/>
      <c r="IA2669" s="73"/>
      <c r="IB2669" s="73"/>
      <c r="IC2669" s="73"/>
      <c r="ID2669" s="73"/>
      <c r="IE2669" s="73"/>
      <c r="IF2669" s="73"/>
      <c r="IG2669" s="73"/>
      <c r="IH2669" s="73"/>
      <c r="II2669" s="73"/>
      <c r="IJ2669" s="73"/>
      <c r="IK2669" s="73"/>
      <c r="IL2669" s="73"/>
      <c r="IM2669" s="73"/>
      <c r="IN2669" s="73"/>
      <c r="IO2669" s="73"/>
      <c r="IP2669" s="73"/>
      <c r="IQ2669" s="73"/>
      <c r="IR2669" s="73"/>
      <c r="IS2669" s="73"/>
      <c r="IT2669" s="73"/>
      <c r="IU2669" s="73"/>
      <c r="IV2669" s="73"/>
      <c r="IW2669" s="73"/>
      <c r="IX2669" s="73"/>
      <c r="IY2669" s="73"/>
      <c r="IZ2669" s="73"/>
      <c r="JA2669" s="73"/>
      <c r="JB2669" s="73"/>
      <c r="JC2669" s="73"/>
    </row>
    <row r="2670" spans="2:263" s="72" customFormat="1">
      <c r="B2670" s="73"/>
      <c r="C2670" s="73"/>
      <c r="D2670" s="73"/>
      <c r="E2670" s="73"/>
      <c r="F2670" s="73"/>
      <c r="G2670" s="73"/>
      <c r="H2670" s="73"/>
      <c r="I2670" s="73"/>
      <c r="J2670" s="73"/>
      <c r="K2670" s="73"/>
      <c r="L2670" s="73"/>
      <c r="M2670" s="73"/>
      <c r="N2670" s="73"/>
      <c r="O2670" s="73"/>
      <c r="P2670" s="73"/>
      <c r="Q2670" s="73"/>
      <c r="R2670" s="73"/>
      <c r="S2670" s="73"/>
      <c r="T2670" s="73"/>
      <c r="U2670" s="73"/>
      <c r="V2670" s="73"/>
      <c r="W2670" s="73"/>
      <c r="GL2670" s="73"/>
      <c r="GM2670" s="73"/>
      <c r="GN2670" s="73"/>
      <c r="GO2670" s="73"/>
      <c r="GP2670" s="73"/>
      <c r="GQ2670" s="73"/>
      <c r="GR2670" s="73"/>
      <c r="GS2670" s="73"/>
      <c r="GT2670" s="73"/>
      <c r="GU2670" s="73"/>
      <c r="GV2670" s="73"/>
      <c r="GW2670" s="73"/>
      <c r="GX2670" s="73"/>
      <c r="GY2670" s="73"/>
      <c r="GZ2670" s="73"/>
      <c r="HA2670" s="73"/>
      <c r="HB2670" s="73"/>
      <c r="HC2670" s="73"/>
      <c r="HD2670" s="73"/>
      <c r="HE2670" s="73"/>
      <c r="HF2670" s="73"/>
      <c r="HG2670" s="73"/>
      <c r="HH2670" s="73"/>
      <c r="HI2670" s="73"/>
      <c r="HJ2670" s="73"/>
      <c r="HK2670" s="73"/>
      <c r="HL2670" s="73"/>
      <c r="HM2670" s="73"/>
      <c r="HN2670" s="73"/>
      <c r="HO2670" s="73"/>
      <c r="HP2670" s="73"/>
      <c r="HQ2670" s="73"/>
      <c r="HR2670" s="73"/>
      <c r="HS2670" s="73"/>
      <c r="HT2670" s="73"/>
      <c r="HU2670" s="73"/>
      <c r="HV2670" s="73"/>
      <c r="HW2670" s="73"/>
      <c r="HX2670" s="73"/>
      <c r="HY2670" s="73"/>
      <c r="HZ2670" s="73"/>
      <c r="IA2670" s="73"/>
      <c r="IB2670" s="73"/>
      <c r="IC2670" s="73"/>
      <c r="ID2670" s="73"/>
      <c r="IE2670" s="73"/>
      <c r="IF2670" s="73"/>
      <c r="IG2670" s="73"/>
      <c r="IH2670" s="73"/>
      <c r="II2670" s="73"/>
      <c r="IJ2670" s="73"/>
      <c r="IK2670" s="73"/>
      <c r="IL2670" s="73"/>
      <c r="IM2670" s="73"/>
      <c r="IN2670" s="73"/>
      <c r="IO2670" s="73"/>
      <c r="IP2670" s="73"/>
      <c r="IQ2670" s="73"/>
      <c r="IR2670" s="73"/>
      <c r="IS2670" s="73"/>
      <c r="IT2670" s="73"/>
      <c r="IU2670" s="73"/>
      <c r="IV2670" s="73"/>
      <c r="IW2670" s="73"/>
      <c r="IX2670" s="73"/>
      <c r="IY2670" s="73"/>
      <c r="IZ2670" s="73"/>
      <c r="JA2670" s="73"/>
      <c r="JB2670" s="73"/>
      <c r="JC2670" s="73"/>
    </row>
    <row r="2671" spans="2:263" s="72" customFormat="1">
      <c r="B2671" s="73"/>
      <c r="C2671" s="73"/>
      <c r="D2671" s="73"/>
      <c r="E2671" s="73"/>
      <c r="F2671" s="73"/>
      <c r="G2671" s="73"/>
      <c r="H2671" s="73"/>
      <c r="I2671" s="73"/>
      <c r="J2671" s="73"/>
      <c r="K2671" s="73"/>
      <c r="L2671" s="73"/>
      <c r="M2671" s="73"/>
      <c r="N2671" s="73"/>
      <c r="O2671" s="73"/>
      <c r="P2671" s="73"/>
      <c r="Q2671" s="73"/>
      <c r="R2671" s="73"/>
      <c r="S2671" s="73"/>
      <c r="T2671" s="73"/>
      <c r="U2671" s="73"/>
      <c r="V2671" s="73"/>
      <c r="W2671" s="73"/>
      <c r="GL2671" s="73"/>
      <c r="GM2671" s="73"/>
      <c r="GN2671" s="73"/>
      <c r="GO2671" s="73"/>
      <c r="GP2671" s="73"/>
      <c r="GQ2671" s="73"/>
      <c r="GR2671" s="73"/>
      <c r="GS2671" s="73"/>
      <c r="GT2671" s="73"/>
      <c r="GU2671" s="73"/>
      <c r="GV2671" s="73"/>
      <c r="GW2671" s="73"/>
      <c r="GX2671" s="73"/>
      <c r="GY2671" s="73"/>
      <c r="GZ2671" s="73"/>
      <c r="HA2671" s="73"/>
      <c r="HB2671" s="73"/>
      <c r="HC2671" s="73"/>
      <c r="HD2671" s="73"/>
      <c r="HE2671" s="73"/>
      <c r="HF2671" s="73"/>
      <c r="HG2671" s="73"/>
      <c r="HH2671" s="73"/>
      <c r="HI2671" s="73"/>
      <c r="HJ2671" s="73"/>
      <c r="HK2671" s="73"/>
      <c r="HL2671" s="73"/>
      <c r="HM2671" s="73"/>
      <c r="HN2671" s="73"/>
      <c r="HO2671" s="73"/>
      <c r="HP2671" s="73"/>
      <c r="HQ2671" s="73"/>
      <c r="HR2671" s="73"/>
      <c r="HS2671" s="73"/>
      <c r="HT2671" s="73"/>
      <c r="HU2671" s="73"/>
      <c r="HV2671" s="73"/>
      <c r="HW2671" s="73"/>
      <c r="HX2671" s="73"/>
      <c r="HY2671" s="73"/>
      <c r="HZ2671" s="73"/>
      <c r="IA2671" s="73"/>
      <c r="IB2671" s="73"/>
      <c r="IC2671" s="73"/>
      <c r="ID2671" s="73"/>
      <c r="IE2671" s="73"/>
      <c r="IF2671" s="73"/>
      <c r="IG2671" s="73"/>
      <c r="IH2671" s="73"/>
      <c r="II2671" s="73"/>
      <c r="IJ2671" s="73"/>
      <c r="IK2671" s="73"/>
      <c r="IL2671" s="73"/>
      <c r="IM2671" s="73"/>
      <c r="IN2671" s="73"/>
      <c r="IO2671" s="73"/>
      <c r="IP2671" s="73"/>
      <c r="IQ2671" s="73"/>
      <c r="IR2671" s="73"/>
      <c r="IS2671" s="73"/>
      <c r="IT2671" s="73"/>
      <c r="IU2671" s="73"/>
      <c r="IV2671" s="73"/>
      <c r="IW2671" s="73"/>
      <c r="IX2671" s="73"/>
      <c r="IY2671" s="73"/>
      <c r="IZ2671" s="73"/>
      <c r="JA2671" s="73"/>
      <c r="JB2671" s="73"/>
      <c r="JC2671" s="73"/>
    </row>
    <row r="2672" spans="2:263" s="72" customFormat="1">
      <c r="B2672" s="73"/>
      <c r="C2672" s="73"/>
      <c r="D2672" s="73"/>
      <c r="E2672" s="73"/>
      <c r="F2672" s="73"/>
      <c r="G2672" s="73"/>
      <c r="H2672" s="73"/>
      <c r="I2672" s="73"/>
      <c r="J2672" s="73"/>
      <c r="K2672" s="73"/>
      <c r="L2672" s="73"/>
      <c r="M2672" s="73"/>
      <c r="N2672" s="73"/>
      <c r="O2672" s="73"/>
      <c r="P2672" s="73"/>
      <c r="Q2672" s="73"/>
      <c r="R2672" s="73"/>
      <c r="S2672" s="73"/>
      <c r="T2672" s="73"/>
      <c r="U2672" s="73"/>
      <c r="V2672" s="73"/>
      <c r="W2672" s="73"/>
      <c r="GL2672" s="73"/>
      <c r="GM2672" s="73"/>
      <c r="GN2672" s="73"/>
      <c r="GO2672" s="73"/>
      <c r="GP2672" s="73"/>
      <c r="GQ2672" s="73"/>
      <c r="GR2672" s="73"/>
      <c r="GS2672" s="73"/>
      <c r="GT2672" s="73"/>
      <c r="GU2672" s="73"/>
      <c r="GV2672" s="73"/>
      <c r="GW2672" s="73"/>
      <c r="GX2672" s="73"/>
      <c r="GY2672" s="73"/>
      <c r="GZ2672" s="73"/>
      <c r="HA2672" s="73"/>
      <c r="HB2672" s="73"/>
      <c r="HC2672" s="73"/>
      <c r="HD2672" s="73"/>
      <c r="HE2672" s="73"/>
      <c r="HF2672" s="73"/>
      <c r="HG2672" s="73"/>
      <c r="HH2672" s="73"/>
      <c r="HI2672" s="73"/>
      <c r="HJ2672" s="73"/>
      <c r="HK2672" s="73"/>
      <c r="HL2672" s="73"/>
      <c r="HM2672" s="73"/>
      <c r="HN2672" s="73"/>
      <c r="HO2672" s="73"/>
      <c r="HP2672" s="73"/>
      <c r="HQ2672" s="73"/>
      <c r="HR2672" s="73"/>
      <c r="HS2672" s="73"/>
      <c r="HT2672" s="73"/>
      <c r="HU2672" s="73"/>
      <c r="HV2672" s="73"/>
      <c r="HW2672" s="73"/>
      <c r="HX2672" s="73"/>
      <c r="HY2672" s="73"/>
      <c r="HZ2672" s="73"/>
      <c r="IA2672" s="73"/>
      <c r="IB2672" s="73"/>
      <c r="IC2672" s="73"/>
      <c r="ID2672" s="73"/>
      <c r="IE2672" s="73"/>
      <c r="IF2672" s="73"/>
      <c r="IG2672" s="73"/>
      <c r="IH2672" s="73"/>
      <c r="II2672" s="73"/>
      <c r="IJ2672" s="73"/>
      <c r="IK2672" s="73"/>
      <c r="IL2672" s="73"/>
      <c r="IM2672" s="73"/>
      <c r="IN2672" s="73"/>
      <c r="IO2672" s="73"/>
      <c r="IP2672" s="73"/>
      <c r="IQ2672" s="73"/>
      <c r="IR2672" s="73"/>
      <c r="IS2672" s="73"/>
      <c r="IT2672" s="73"/>
      <c r="IU2672" s="73"/>
      <c r="IV2672" s="73"/>
      <c r="IW2672" s="73"/>
      <c r="IX2672" s="73"/>
      <c r="IY2672" s="73"/>
      <c r="IZ2672" s="73"/>
      <c r="JA2672" s="73"/>
      <c r="JB2672" s="73"/>
      <c r="JC2672" s="73"/>
    </row>
    <row r="2673" spans="2:263" s="72" customFormat="1">
      <c r="B2673" s="73"/>
      <c r="C2673" s="73"/>
      <c r="D2673" s="73"/>
      <c r="E2673" s="73"/>
      <c r="F2673" s="73"/>
      <c r="G2673" s="73"/>
      <c r="H2673" s="73"/>
      <c r="I2673" s="73"/>
      <c r="J2673" s="73"/>
      <c r="K2673" s="73"/>
      <c r="L2673" s="73"/>
      <c r="M2673" s="73"/>
      <c r="N2673" s="73"/>
      <c r="O2673" s="73"/>
      <c r="P2673" s="73"/>
      <c r="Q2673" s="73"/>
      <c r="R2673" s="73"/>
      <c r="S2673" s="73"/>
      <c r="T2673" s="73"/>
      <c r="U2673" s="73"/>
      <c r="V2673" s="73"/>
      <c r="W2673" s="73"/>
      <c r="GL2673" s="73"/>
      <c r="GM2673" s="73"/>
      <c r="GN2673" s="73"/>
      <c r="GO2673" s="73"/>
      <c r="GP2673" s="73"/>
      <c r="GQ2673" s="73"/>
      <c r="GR2673" s="73"/>
      <c r="GS2673" s="73"/>
      <c r="GT2673" s="73"/>
      <c r="GU2673" s="73"/>
      <c r="GV2673" s="73"/>
      <c r="GW2673" s="73"/>
      <c r="GX2673" s="73"/>
      <c r="GY2673" s="73"/>
      <c r="GZ2673" s="73"/>
      <c r="HA2673" s="73"/>
      <c r="HB2673" s="73"/>
      <c r="HC2673" s="73"/>
      <c r="HD2673" s="73"/>
      <c r="HE2673" s="73"/>
      <c r="HF2673" s="73"/>
      <c r="HG2673" s="73"/>
      <c r="HH2673" s="73"/>
      <c r="HI2673" s="73"/>
      <c r="HJ2673" s="73"/>
      <c r="HK2673" s="73"/>
      <c r="HL2673" s="73"/>
      <c r="HM2673" s="73"/>
      <c r="HN2673" s="73"/>
      <c r="HO2673" s="73"/>
      <c r="HP2673" s="73"/>
      <c r="HQ2673" s="73"/>
      <c r="HR2673" s="73"/>
      <c r="HS2673" s="73"/>
      <c r="HT2673" s="73"/>
      <c r="HU2673" s="73"/>
      <c r="HV2673" s="73"/>
      <c r="HW2673" s="73"/>
      <c r="HX2673" s="73"/>
      <c r="HY2673" s="73"/>
      <c r="HZ2673" s="73"/>
      <c r="IA2673" s="73"/>
      <c r="IB2673" s="73"/>
      <c r="IC2673" s="73"/>
      <c r="ID2673" s="73"/>
      <c r="IE2673" s="73"/>
      <c r="IF2673" s="73"/>
      <c r="IG2673" s="73"/>
      <c r="IH2673" s="73"/>
      <c r="II2673" s="73"/>
      <c r="IJ2673" s="73"/>
      <c r="IK2673" s="73"/>
      <c r="IL2673" s="73"/>
      <c r="IM2673" s="73"/>
      <c r="IN2673" s="73"/>
      <c r="IO2673" s="73"/>
      <c r="IP2673" s="73"/>
      <c r="IQ2673" s="73"/>
      <c r="IR2673" s="73"/>
      <c r="IS2673" s="73"/>
      <c r="IT2673" s="73"/>
      <c r="IU2673" s="73"/>
      <c r="IV2673" s="73"/>
      <c r="IW2673" s="73"/>
      <c r="IX2673" s="73"/>
      <c r="IY2673" s="73"/>
      <c r="IZ2673" s="73"/>
      <c r="JA2673" s="73"/>
      <c r="JB2673" s="73"/>
      <c r="JC2673" s="73"/>
    </row>
    <row r="2674" spans="2:263" s="72" customFormat="1">
      <c r="B2674" s="73"/>
      <c r="C2674" s="73"/>
      <c r="D2674" s="73"/>
      <c r="E2674" s="73"/>
      <c r="F2674" s="73"/>
      <c r="G2674" s="73"/>
      <c r="H2674" s="73"/>
      <c r="I2674" s="73"/>
      <c r="J2674" s="73"/>
      <c r="K2674" s="73"/>
      <c r="L2674" s="73"/>
      <c r="M2674" s="73"/>
      <c r="N2674" s="73"/>
      <c r="O2674" s="73"/>
      <c r="P2674" s="73"/>
      <c r="Q2674" s="73"/>
      <c r="R2674" s="73"/>
      <c r="S2674" s="73"/>
      <c r="T2674" s="73"/>
      <c r="U2674" s="73"/>
      <c r="V2674" s="73"/>
      <c r="W2674" s="73"/>
      <c r="GL2674" s="73"/>
      <c r="GM2674" s="73"/>
      <c r="GN2674" s="73"/>
      <c r="GO2674" s="73"/>
      <c r="GP2674" s="73"/>
      <c r="GQ2674" s="73"/>
      <c r="GR2674" s="73"/>
      <c r="GS2674" s="73"/>
      <c r="GT2674" s="73"/>
      <c r="GU2674" s="73"/>
      <c r="GV2674" s="73"/>
      <c r="GW2674" s="73"/>
      <c r="GX2674" s="73"/>
      <c r="GY2674" s="73"/>
      <c r="GZ2674" s="73"/>
      <c r="HA2674" s="73"/>
      <c r="HB2674" s="73"/>
      <c r="HC2674" s="73"/>
      <c r="HD2674" s="73"/>
      <c r="HE2674" s="73"/>
      <c r="HF2674" s="73"/>
      <c r="HG2674" s="73"/>
      <c r="HH2674" s="73"/>
      <c r="HI2674" s="73"/>
      <c r="HJ2674" s="73"/>
      <c r="HK2674" s="73"/>
      <c r="HL2674" s="73"/>
      <c r="HM2674" s="73"/>
      <c r="HN2674" s="73"/>
      <c r="HO2674" s="73"/>
      <c r="HP2674" s="73"/>
      <c r="HQ2674" s="73"/>
      <c r="HR2674" s="73"/>
      <c r="HS2674" s="73"/>
      <c r="HT2674" s="73"/>
      <c r="HU2674" s="73"/>
      <c r="HV2674" s="73"/>
      <c r="HW2674" s="73"/>
      <c r="HX2674" s="73"/>
      <c r="HY2674" s="73"/>
      <c r="HZ2674" s="73"/>
      <c r="IA2674" s="73"/>
      <c r="IB2674" s="73"/>
      <c r="IC2674" s="73"/>
      <c r="ID2674" s="73"/>
      <c r="IE2674" s="73"/>
      <c r="IF2674" s="73"/>
      <c r="IG2674" s="73"/>
      <c r="IH2674" s="73"/>
      <c r="II2674" s="73"/>
      <c r="IJ2674" s="73"/>
      <c r="IK2674" s="73"/>
      <c r="IL2674" s="73"/>
      <c r="IM2674" s="73"/>
      <c r="IN2674" s="73"/>
      <c r="IO2674" s="73"/>
      <c r="IP2674" s="73"/>
      <c r="IQ2674" s="73"/>
      <c r="IR2674" s="73"/>
      <c r="IS2674" s="73"/>
      <c r="IT2674" s="73"/>
      <c r="IU2674" s="73"/>
      <c r="IV2674" s="73"/>
      <c r="IW2674" s="73"/>
      <c r="IX2674" s="73"/>
      <c r="IY2674" s="73"/>
      <c r="IZ2674" s="73"/>
      <c r="JA2674" s="73"/>
      <c r="JB2674" s="73"/>
      <c r="JC2674" s="73"/>
    </row>
    <row r="2675" spans="2:263" s="72" customFormat="1">
      <c r="B2675" s="73"/>
      <c r="C2675" s="73"/>
      <c r="D2675" s="73"/>
      <c r="E2675" s="73"/>
      <c r="F2675" s="73"/>
      <c r="G2675" s="73"/>
      <c r="H2675" s="73"/>
      <c r="I2675" s="73"/>
      <c r="J2675" s="73"/>
      <c r="K2675" s="73"/>
      <c r="L2675" s="73"/>
      <c r="M2675" s="73"/>
      <c r="N2675" s="73"/>
      <c r="O2675" s="73"/>
      <c r="P2675" s="73"/>
      <c r="Q2675" s="73"/>
      <c r="R2675" s="73"/>
      <c r="S2675" s="73"/>
      <c r="T2675" s="73"/>
      <c r="U2675" s="73"/>
      <c r="V2675" s="73"/>
      <c r="W2675" s="73"/>
      <c r="GL2675" s="73"/>
      <c r="GM2675" s="73"/>
      <c r="GN2675" s="73"/>
      <c r="GO2675" s="73"/>
      <c r="GP2675" s="73"/>
      <c r="GQ2675" s="73"/>
      <c r="GR2675" s="73"/>
      <c r="GS2675" s="73"/>
      <c r="GT2675" s="73"/>
      <c r="GU2675" s="73"/>
      <c r="GV2675" s="73"/>
      <c r="GW2675" s="73"/>
      <c r="GX2675" s="73"/>
      <c r="GY2675" s="73"/>
      <c r="GZ2675" s="73"/>
      <c r="HA2675" s="73"/>
      <c r="HB2675" s="73"/>
      <c r="HC2675" s="73"/>
      <c r="HD2675" s="73"/>
      <c r="HE2675" s="73"/>
      <c r="HF2675" s="73"/>
      <c r="HG2675" s="73"/>
      <c r="HH2675" s="73"/>
      <c r="HI2675" s="73"/>
      <c r="HJ2675" s="73"/>
      <c r="HK2675" s="73"/>
      <c r="HL2675" s="73"/>
      <c r="HM2675" s="73"/>
      <c r="HN2675" s="73"/>
      <c r="HO2675" s="73"/>
      <c r="HP2675" s="73"/>
      <c r="HQ2675" s="73"/>
      <c r="HR2675" s="73"/>
      <c r="HS2675" s="73"/>
      <c r="HT2675" s="73"/>
      <c r="HU2675" s="73"/>
      <c r="HV2675" s="73"/>
      <c r="HW2675" s="73"/>
      <c r="HX2675" s="73"/>
      <c r="HY2675" s="73"/>
      <c r="HZ2675" s="73"/>
      <c r="IA2675" s="73"/>
      <c r="IB2675" s="73"/>
      <c r="IC2675" s="73"/>
      <c r="ID2675" s="73"/>
      <c r="IE2675" s="73"/>
      <c r="IF2675" s="73"/>
      <c r="IG2675" s="73"/>
      <c r="IH2675" s="73"/>
      <c r="II2675" s="73"/>
      <c r="IJ2675" s="73"/>
      <c r="IK2675" s="73"/>
      <c r="IL2675" s="73"/>
      <c r="IM2675" s="73"/>
      <c r="IN2675" s="73"/>
      <c r="IO2675" s="73"/>
      <c r="IP2675" s="73"/>
      <c r="IQ2675" s="73"/>
      <c r="IR2675" s="73"/>
      <c r="IS2675" s="73"/>
      <c r="IT2675" s="73"/>
      <c r="IU2675" s="73"/>
      <c r="IV2675" s="73"/>
      <c r="IW2675" s="73"/>
      <c r="IX2675" s="73"/>
      <c r="IY2675" s="73"/>
      <c r="IZ2675" s="73"/>
      <c r="JA2675" s="73"/>
      <c r="JB2675" s="73"/>
      <c r="JC2675" s="73"/>
    </row>
    <row r="2676" spans="2:263" s="72" customFormat="1">
      <c r="B2676" s="73"/>
      <c r="C2676" s="73"/>
      <c r="D2676" s="73"/>
      <c r="E2676" s="73"/>
      <c r="F2676" s="73"/>
      <c r="G2676" s="73"/>
      <c r="H2676" s="73"/>
      <c r="I2676" s="73"/>
      <c r="J2676" s="73"/>
      <c r="K2676" s="73"/>
      <c r="L2676" s="73"/>
      <c r="M2676" s="73"/>
      <c r="N2676" s="73"/>
      <c r="O2676" s="73"/>
      <c r="P2676" s="73"/>
      <c r="Q2676" s="73"/>
      <c r="R2676" s="73"/>
      <c r="S2676" s="73"/>
      <c r="T2676" s="73"/>
      <c r="U2676" s="73"/>
      <c r="V2676" s="73"/>
      <c r="W2676" s="73"/>
      <c r="GL2676" s="73"/>
      <c r="GM2676" s="73"/>
      <c r="GN2676" s="73"/>
      <c r="GO2676" s="73"/>
      <c r="GP2676" s="73"/>
      <c r="GQ2676" s="73"/>
      <c r="GR2676" s="73"/>
      <c r="GS2676" s="73"/>
      <c r="GT2676" s="73"/>
      <c r="GU2676" s="73"/>
      <c r="GV2676" s="73"/>
      <c r="GW2676" s="73"/>
      <c r="GX2676" s="73"/>
      <c r="GY2676" s="73"/>
      <c r="GZ2676" s="73"/>
      <c r="HA2676" s="73"/>
      <c r="HB2676" s="73"/>
      <c r="HC2676" s="73"/>
      <c r="HD2676" s="73"/>
      <c r="HE2676" s="73"/>
      <c r="HF2676" s="73"/>
      <c r="HG2676" s="73"/>
      <c r="HH2676" s="73"/>
      <c r="HI2676" s="73"/>
      <c r="HJ2676" s="73"/>
      <c r="HK2676" s="73"/>
      <c r="HL2676" s="73"/>
      <c r="HM2676" s="73"/>
      <c r="HN2676" s="73"/>
      <c r="HO2676" s="73"/>
      <c r="HP2676" s="73"/>
      <c r="HQ2676" s="73"/>
      <c r="HR2676" s="73"/>
      <c r="HS2676" s="73"/>
      <c r="HT2676" s="73"/>
      <c r="HU2676" s="73"/>
      <c r="HV2676" s="73"/>
      <c r="HW2676" s="73"/>
      <c r="HX2676" s="73"/>
      <c r="HY2676" s="73"/>
      <c r="HZ2676" s="73"/>
      <c r="IA2676" s="73"/>
      <c r="IB2676" s="73"/>
      <c r="IC2676" s="73"/>
      <c r="ID2676" s="73"/>
      <c r="IE2676" s="73"/>
      <c r="IF2676" s="73"/>
      <c r="IG2676" s="73"/>
      <c r="IH2676" s="73"/>
      <c r="II2676" s="73"/>
      <c r="IJ2676" s="73"/>
      <c r="IK2676" s="73"/>
      <c r="IL2676" s="73"/>
      <c r="IM2676" s="73"/>
      <c r="IN2676" s="73"/>
      <c r="IO2676" s="73"/>
      <c r="IP2676" s="73"/>
      <c r="IQ2676" s="73"/>
      <c r="IR2676" s="73"/>
      <c r="IS2676" s="73"/>
      <c r="IT2676" s="73"/>
      <c r="IU2676" s="73"/>
      <c r="IV2676" s="73"/>
      <c r="IW2676" s="73"/>
      <c r="IX2676" s="73"/>
      <c r="IY2676" s="73"/>
      <c r="IZ2676" s="73"/>
      <c r="JA2676" s="73"/>
      <c r="JB2676" s="73"/>
      <c r="JC2676" s="73"/>
    </row>
    <row r="2677" spans="2:263" s="72" customFormat="1">
      <c r="B2677" s="73"/>
      <c r="C2677" s="73"/>
      <c r="D2677" s="73"/>
      <c r="E2677" s="73"/>
      <c r="F2677" s="73"/>
      <c r="G2677" s="73"/>
      <c r="H2677" s="73"/>
      <c r="I2677" s="73"/>
      <c r="J2677" s="73"/>
      <c r="K2677" s="73"/>
      <c r="L2677" s="73"/>
      <c r="M2677" s="73"/>
      <c r="N2677" s="73"/>
      <c r="O2677" s="73"/>
      <c r="P2677" s="73"/>
      <c r="Q2677" s="73"/>
      <c r="R2677" s="73"/>
      <c r="S2677" s="73"/>
      <c r="T2677" s="73"/>
      <c r="U2677" s="73"/>
      <c r="V2677" s="73"/>
      <c r="W2677" s="73"/>
      <c r="GL2677" s="73"/>
      <c r="GM2677" s="73"/>
      <c r="GN2677" s="73"/>
      <c r="GO2677" s="73"/>
      <c r="GP2677" s="73"/>
      <c r="GQ2677" s="73"/>
      <c r="GR2677" s="73"/>
      <c r="GS2677" s="73"/>
      <c r="GT2677" s="73"/>
      <c r="GU2677" s="73"/>
      <c r="GV2677" s="73"/>
      <c r="GW2677" s="73"/>
      <c r="GX2677" s="73"/>
      <c r="GY2677" s="73"/>
      <c r="GZ2677" s="73"/>
      <c r="HA2677" s="73"/>
      <c r="HB2677" s="73"/>
      <c r="HC2677" s="73"/>
      <c r="HD2677" s="73"/>
      <c r="HE2677" s="73"/>
      <c r="HF2677" s="73"/>
      <c r="HG2677" s="73"/>
      <c r="HH2677" s="73"/>
      <c r="HI2677" s="73"/>
      <c r="HJ2677" s="73"/>
      <c r="HK2677" s="73"/>
      <c r="HL2677" s="73"/>
      <c r="HM2677" s="73"/>
      <c r="HN2677" s="73"/>
      <c r="HO2677" s="73"/>
      <c r="HP2677" s="73"/>
      <c r="HQ2677" s="73"/>
      <c r="HR2677" s="73"/>
      <c r="HS2677" s="73"/>
      <c r="HT2677" s="73"/>
      <c r="HU2677" s="73"/>
      <c r="HV2677" s="73"/>
      <c r="HW2677" s="73"/>
      <c r="HX2677" s="73"/>
      <c r="HY2677" s="73"/>
      <c r="HZ2677" s="73"/>
      <c r="IA2677" s="73"/>
      <c r="IB2677" s="73"/>
      <c r="IC2677" s="73"/>
      <c r="ID2677" s="73"/>
      <c r="IE2677" s="73"/>
      <c r="IF2677" s="73"/>
      <c r="IG2677" s="73"/>
      <c r="IH2677" s="73"/>
      <c r="II2677" s="73"/>
      <c r="IJ2677" s="73"/>
      <c r="IK2677" s="73"/>
      <c r="IL2677" s="73"/>
      <c r="IM2677" s="73"/>
      <c r="IN2677" s="73"/>
      <c r="IO2677" s="73"/>
      <c r="IP2677" s="73"/>
      <c r="IQ2677" s="73"/>
      <c r="IR2677" s="73"/>
      <c r="IS2677" s="73"/>
      <c r="IT2677" s="73"/>
      <c r="IU2677" s="73"/>
      <c r="IV2677" s="73"/>
      <c r="IW2677" s="73"/>
      <c r="IX2677" s="73"/>
      <c r="IY2677" s="73"/>
      <c r="IZ2677" s="73"/>
      <c r="JA2677" s="73"/>
      <c r="JB2677" s="73"/>
      <c r="JC2677" s="73"/>
    </row>
    <row r="2678" spans="2:263" s="72" customFormat="1">
      <c r="B2678" s="73"/>
      <c r="C2678" s="73"/>
      <c r="D2678" s="73"/>
      <c r="E2678" s="73"/>
      <c r="F2678" s="73"/>
      <c r="G2678" s="73"/>
      <c r="H2678" s="73"/>
      <c r="I2678" s="73"/>
      <c r="J2678" s="73"/>
      <c r="K2678" s="73"/>
      <c r="L2678" s="73"/>
      <c r="M2678" s="73"/>
      <c r="N2678" s="73"/>
      <c r="O2678" s="73"/>
      <c r="P2678" s="73"/>
      <c r="Q2678" s="73"/>
      <c r="R2678" s="73"/>
      <c r="S2678" s="73"/>
      <c r="T2678" s="73"/>
      <c r="U2678" s="73"/>
      <c r="V2678" s="73"/>
      <c r="W2678" s="73"/>
      <c r="GL2678" s="73"/>
      <c r="GM2678" s="73"/>
      <c r="GN2678" s="73"/>
      <c r="GO2678" s="73"/>
      <c r="GP2678" s="73"/>
      <c r="GQ2678" s="73"/>
      <c r="GR2678" s="73"/>
      <c r="GS2678" s="73"/>
      <c r="GT2678" s="73"/>
      <c r="GU2678" s="73"/>
      <c r="GV2678" s="73"/>
      <c r="GW2678" s="73"/>
      <c r="GX2678" s="73"/>
      <c r="GY2678" s="73"/>
      <c r="GZ2678" s="73"/>
      <c r="HA2678" s="73"/>
      <c r="HB2678" s="73"/>
      <c r="HC2678" s="73"/>
      <c r="HD2678" s="73"/>
      <c r="HE2678" s="73"/>
      <c r="HF2678" s="73"/>
      <c r="HG2678" s="73"/>
      <c r="HH2678" s="73"/>
      <c r="HI2678" s="73"/>
      <c r="HJ2678" s="73"/>
      <c r="HK2678" s="73"/>
      <c r="HL2678" s="73"/>
      <c r="HM2678" s="73"/>
      <c r="HN2678" s="73"/>
      <c r="HO2678" s="73"/>
      <c r="HP2678" s="73"/>
      <c r="HQ2678" s="73"/>
      <c r="HR2678" s="73"/>
      <c r="HS2678" s="73"/>
      <c r="HT2678" s="73"/>
      <c r="HU2678" s="73"/>
      <c r="HV2678" s="73"/>
      <c r="HW2678" s="73"/>
      <c r="HX2678" s="73"/>
      <c r="HY2678" s="73"/>
      <c r="HZ2678" s="73"/>
      <c r="IA2678" s="73"/>
      <c r="IB2678" s="73"/>
      <c r="IC2678" s="73"/>
      <c r="ID2678" s="73"/>
      <c r="IE2678" s="73"/>
      <c r="IF2678" s="73"/>
      <c r="IG2678" s="73"/>
      <c r="IH2678" s="73"/>
      <c r="II2678" s="73"/>
      <c r="IJ2678" s="73"/>
      <c r="IK2678" s="73"/>
      <c r="IL2678" s="73"/>
      <c r="IM2678" s="73"/>
      <c r="IN2678" s="73"/>
      <c r="IO2678" s="73"/>
      <c r="IP2678" s="73"/>
      <c r="IQ2678" s="73"/>
      <c r="IR2678" s="73"/>
      <c r="IS2678" s="73"/>
      <c r="IT2678" s="73"/>
      <c r="IU2678" s="73"/>
      <c r="IV2678" s="73"/>
      <c r="IW2678" s="73"/>
      <c r="IX2678" s="73"/>
      <c r="IY2678" s="73"/>
      <c r="IZ2678" s="73"/>
      <c r="JA2678" s="73"/>
      <c r="JB2678" s="73"/>
      <c r="JC2678" s="73"/>
    </row>
    <row r="2679" spans="2:263" s="72" customFormat="1">
      <c r="B2679" s="73"/>
      <c r="C2679" s="73"/>
      <c r="D2679" s="73"/>
      <c r="E2679" s="73"/>
      <c r="F2679" s="73"/>
      <c r="G2679" s="73"/>
      <c r="H2679" s="73"/>
      <c r="I2679" s="73"/>
      <c r="J2679" s="73"/>
      <c r="K2679" s="73"/>
      <c r="L2679" s="73"/>
      <c r="M2679" s="73"/>
      <c r="N2679" s="73"/>
      <c r="O2679" s="73"/>
      <c r="P2679" s="73"/>
      <c r="Q2679" s="73"/>
      <c r="R2679" s="73"/>
      <c r="S2679" s="73"/>
      <c r="T2679" s="73"/>
      <c r="U2679" s="73"/>
      <c r="V2679" s="73"/>
      <c r="W2679" s="73"/>
      <c r="GL2679" s="73"/>
      <c r="GM2679" s="73"/>
      <c r="GN2679" s="73"/>
      <c r="GO2679" s="73"/>
      <c r="GP2679" s="73"/>
      <c r="GQ2679" s="73"/>
      <c r="GR2679" s="73"/>
      <c r="GS2679" s="73"/>
      <c r="GT2679" s="73"/>
      <c r="GU2679" s="73"/>
      <c r="GV2679" s="73"/>
      <c r="GW2679" s="73"/>
      <c r="GX2679" s="73"/>
      <c r="GY2679" s="73"/>
      <c r="GZ2679" s="73"/>
      <c r="HA2679" s="73"/>
      <c r="HB2679" s="73"/>
      <c r="HC2679" s="73"/>
      <c r="HD2679" s="73"/>
      <c r="HE2679" s="73"/>
      <c r="HF2679" s="73"/>
      <c r="HG2679" s="73"/>
      <c r="HH2679" s="73"/>
      <c r="HI2679" s="73"/>
      <c r="HJ2679" s="73"/>
      <c r="HK2679" s="73"/>
      <c r="HL2679" s="73"/>
      <c r="HM2679" s="73"/>
      <c r="HN2679" s="73"/>
      <c r="HO2679" s="73"/>
      <c r="HP2679" s="73"/>
      <c r="HQ2679" s="73"/>
      <c r="HR2679" s="73"/>
      <c r="HS2679" s="73"/>
      <c r="HT2679" s="73"/>
      <c r="HU2679" s="73"/>
      <c r="HV2679" s="73"/>
      <c r="HW2679" s="73"/>
      <c r="HX2679" s="73"/>
      <c r="HY2679" s="73"/>
      <c r="HZ2679" s="73"/>
      <c r="IA2679" s="73"/>
      <c r="IB2679" s="73"/>
      <c r="IC2679" s="73"/>
      <c r="ID2679" s="73"/>
      <c r="IE2679" s="73"/>
      <c r="IF2679" s="73"/>
      <c r="IG2679" s="73"/>
      <c r="IH2679" s="73"/>
      <c r="II2679" s="73"/>
      <c r="IJ2679" s="73"/>
      <c r="IK2679" s="73"/>
      <c r="IL2679" s="73"/>
      <c r="IM2679" s="73"/>
      <c r="IN2679" s="73"/>
      <c r="IO2679" s="73"/>
      <c r="IP2679" s="73"/>
      <c r="IQ2679" s="73"/>
      <c r="IR2679" s="73"/>
      <c r="IS2679" s="73"/>
      <c r="IT2679" s="73"/>
      <c r="IU2679" s="73"/>
      <c r="IV2679" s="73"/>
      <c r="IW2679" s="73"/>
      <c r="IX2679" s="73"/>
      <c r="IY2679" s="73"/>
      <c r="IZ2679" s="73"/>
      <c r="JA2679" s="73"/>
      <c r="JB2679" s="73"/>
      <c r="JC2679" s="73"/>
    </row>
    <row r="2680" spans="2:263" s="72" customFormat="1">
      <c r="B2680" s="73"/>
      <c r="C2680" s="73"/>
      <c r="D2680" s="73"/>
      <c r="E2680" s="73"/>
      <c r="F2680" s="73"/>
      <c r="G2680" s="73"/>
      <c r="H2680" s="73"/>
      <c r="I2680" s="73"/>
      <c r="J2680" s="73"/>
      <c r="K2680" s="73"/>
      <c r="L2680" s="73"/>
      <c r="M2680" s="73"/>
      <c r="N2680" s="73"/>
      <c r="O2680" s="73"/>
      <c r="P2680" s="73"/>
      <c r="Q2680" s="73"/>
      <c r="R2680" s="73"/>
      <c r="S2680" s="73"/>
      <c r="T2680" s="73"/>
      <c r="U2680" s="73"/>
      <c r="V2680" s="73"/>
      <c r="W2680" s="73"/>
      <c r="GL2680" s="73"/>
      <c r="GM2680" s="73"/>
      <c r="GN2680" s="73"/>
      <c r="GO2680" s="73"/>
      <c r="GP2680" s="73"/>
      <c r="GQ2680" s="73"/>
      <c r="GR2680" s="73"/>
      <c r="GS2680" s="73"/>
      <c r="GT2680" s="73"/>
      <c r="GU2680" s="73"/>
      <c r="GV2680" s="73"/>
      <c r="GW2680" s="73"/>
      <c r="GX2680" s="73"/>
      <c r="GY2680" s="73"/>
      <c r="GZ2680" s="73"/>
      <c r="HA2680" s="73"/>
      <c r="HB2680" s="73"/>
      <c r="HC2680" s="73"/>
      <c r="HD2680" s="73"/>
      <c r="HE2680" s="73"/>
      <c r="HF2680" s="73"/>
      <c r="HG2680" s="73"/>
      <c r="HH2680" s="73"/>
      <c r="HI2680" s="73"/>
      <c r="HJ2680" s="73"/>
      <c r="HK2680" s="73"/>
      <c r="HL2680" s="73"/>
      <c r="HM2680" s="73"/>
      <c r="HN2680" s="73"/>
      <c r="HO2680" s="73"/>
      <c r="HP2680" s="73"/>
      <c r="HQ2680" s="73"/>
      <c r="HR2680" s="73"/>
      <c r="HS2680" s="73"/>
      <c r="HT2680" s="73"/>
      <c r="HU2680" s="73"/>
      <c r="HV2680" s="73"/>
      <c r="HW2680" s="73"/>
      <c r="HX2680" s="73"/>
      <c r="HY2680" s="73"/>
      <c r="HZ2680" s="73"/>
      <c r="IA2680" s="73"/>
      <c r="IB2680" s="73"/>
      <c r="IC2680" s="73"/>
      <c r="ID2680" s="73"/>
      <c r="IE2680" s="73"/>
      <c r="IF2680" s="73"/>
      <c r="IG2680" s="73"/>
      <c r="IH2680" s="73"/>
      <c r="II2680" s="73"/>
      <c r="IJ2680" s="73"/>
      <c r="IK2680" s="73"/>
      <c r="IL2680" s="73"/>
      <c r="IM2680" s="73"/>
      <c r="IN2680" s="73"/>
      <c r="IO2680" s="73"/>
      <c r="IP2680" s="73"/>
      <c r="IQ2680" s="73"/>
      <c r="IR2680" s="73"/>
      <c r="IS2680" s="73"/>
      <c r="IT2680" s="73"/>
      <c r="IU2680" s="73"/>
      <c r="IV2680" s="73"/>
      <c r="IW2680" s="73"/>
      <c r="IX2680" s="73"/>
      <c r="IY2680" s="73"/>
      <c r="IZ2680" s="73"/>
      <c r="JA2680" s="73"/>
      <c r="JB2680" s="73"/>
      <c r="JC2680" s="73"/>
    </row>
    <row r="2681" spans="2:263" s="72" customFormat="1">
      <c r="B2681" s="73"/>
      <c r="C2681" s="73"/>
      <c r="D2681" s="73"/>
      <c r="E2681" s="73"/>
      <c r="F2681" s="73"/>
      <c r="G2681" s="73"/>
      <c r="H2681" s="73"/>
      <c r="I2681" s="73"/>
      <c r="J2681" s="73"/>
      <c r="K2681" s="73"/>
      <c r="L2681" s="73"/>
      <c r="M2681" s="73"/>
      <c r="N2681" s="73"/>
      <c r="O2681" s="73"/>
      <c r="P2681" s="73"/>
      <c r="Q2681" s="73"/>
      <c r="R2681" s="73"/>
      <c r="S2681" s="73"/>
      <c r="T2681" s="73"/>
      <c r="U2681" s="73"/>
      <c r="V2681" s="73"/>
      <c r="W2681" s="73"/>
      <c r="GL2681" s="73"/>
      <c r="GM2681" s="73"/>
      <c r="GN2681" s="73"/>
      <c r="GO2681" s="73"/>
      <c r="GP2681" s="73"/>
      <c r="GQ2681" s="73"/>
      <c r="GR2681" s="73"/>
      <c r="GS2681" s="73"/>
      <c r="GT2681" s="73"/>
      <c r="GU2681" s="73"/>
      <c r="GV2681" s="73"/>
      <c r="GW2681" s="73"/>
      <c r="GX2681" s="73"/>
      <c r="GY2681" s="73"/>
      <c r="GZ2681" s="73"/>
      <c r="HA2681" s="73"/>
      <c r="HB2681" s="73"/>
      <c r="HC2681" s="73"/>
      <c r="HD2681" s="73"/>
      <c r="HE2681" s="73"/>
      <c r="HF2681" s="73"/>
      <c r="HG2681" s="73"/>
      <c r="HH2681" s="73"/>
      <c r="HI2681" s="73"/>
      <c r="HJ2681" s="73"/>
      <c r="HK2681" s="73"/>
      <c r="HL2681" s="73"/>
      <c r="HM2681" s="73"/>
      <c r="HN2681" s="73"/>
      <c r="HO2681" s="73"/>
      <c r="HP2681" s="73"/>
      <c r="HQ2681" s="73"/>
      <c r="HR2681" s="73"/>
      <c r="HS2681" s="73"/>
      <c r="HT2681" s="73"/>
      <c r="HU2681" s="73"/>
      <c r="HV2681" s="73"/>
      <c r="HW2681" s="73"/>
      <c r="HX2681" s="73"/>
      <c r="HY2681" s="73"/>
      <c r="HZ2681" s="73"/>
      <c r="IA2681" s="73"/>
      <c r="IB2681" s="73"/>
      <c r="IC2681" s="73"/>
      <c r="ID2681" s="73"/>
      <c r="IE2681" s="73"/>
      <c r="IF2681" s="73"/>
      <c r="IG2681" s="73"/>
      <c r="IH2681" s="73"/>
      <c r="II2681" s="73"/>
      <c r="IJ2681" s="73"/>
      <c r="IK2681" s="73"/>
      <c r="IL2681" s="73"/>
      <c r="IM2681" s="73"/>
      <c r="IN2681" s="73"/>
      <c r="IO2681" s="73"/>
      <c r="IP2681" s="73"/>
      <c r="IQ2681" s="73"/>
      <c r="IR2681" s="73"/>
      <c r="IS2681" s="73"/>
      <c r="IT2681" s="73"/>
      <c r="IU2681" s="73"/>
      <c r="IV2681" s="73"/>
      <c r="IW2681" s="73"/>
      <c r="IX2681" s="73"/>
      <c r="IY2681" s="73"/>
      <c r="IZ2681" s="73"/>
      <c r="JA2681" s="73"/>
      <c r="JB2681" s="73"/>
      <c r="JC2681" s="73"/>
    </row>
    <row r="2682" spans="2:263" s="72" customFormat="1">
      <c r="B2682" s="73"/>
      <c r="C2682" s="73"/>
      <c r="D2682" s="73"/>
      <c r="E2682" s="73"/>
      <c r="F2682" s="73"/>
      <c r="G2682" s="73"/>
      <c r="H2682" s="73"/>
      <c r="I2682" s="73"/>
      <c r="J2682" s="73"/>
      <c r="K2682" s="73"/>
      <c r="L2682" s="73"/>
      <c r="M2682" s="73"/>
      <c r="N2682" s="73"/>
      <c r="O2682" s="73"/>
      <c r="P2682" s="73"/>
      <c r="Q2682" s="73"/>
      <c r="R2682" s="73"/>
      <c r="S2682" s="73"/>
      <c r="T2682" s="73"/>
      <c r="U2682" s="73"/>
      <c r="V2682" s="73"/>
      <c r="W2682" s="73"/>
      <c r="GL2682" s="73"/>
      <c r="GM2682" s="73"/>
      <c r="GN2682" s="73"/>
      <c r="GO2682" s="73"/>
      <c r="GP2682" s="73"/>
      <c r="GQ2682" s="73"/>
      <c r="GR2682" s="73"/>
      <c r="GS2682" s="73"/>
      <c r="GT2682" s="73"/>
      <c r="GU2682" s="73"/>
      <c r="GV2682" s="73"/>
      <c r="GW2682" s="73"/>
      <c r="GX2682" s="73"/>
      <c r="GY2682" s="73"/>
      <c r="GZ2682" s="73"/>
      <c r="HA2682" s="73"/>
      <c r="HB2682" s="73"/>
      <c r="HC2682" s="73"/>
      <c r="HD2682" s="73"/>
      <c r="HE2682" s="73"/>
      <c r="HF2682" s="73"/>
      <c r="HG2682" s="73"/>
      <c r="HH2682" s="73"/>
      <c r="HI2682" s="73"/>
      <c r="HJ2682" s="73"/>
      <c r="HK2682" s="73"/>
      <c r="HL2682" s="73"/>
      <c r="HM2682" s="73"/>
      <c r="HN2682" s="73"/>
      <c r="HO2682" s="73"/>
      <c r="HP2682" s="73"/>
      <c r="HQ2682" s="73"/>
      <c r="HR2682" s="73"/>
      <c r="HS2682" s="73"/>
      <c r="HT2682" s="73"/>
      <c r="HU2682" s="73"/>
      <c r="HV2682" s="73"/>
      <c r="HW2682" s="73"/>
      <c r="HX2682" s="73"/>
      <c r="HY2682" s="73"/>
      <c r="HZ2682" s="73"/>
      <c r="IA2682" s="73"/>
      <c r="IB2682" s="73"/>
      <c r="IC2682" s="73"/>
      <c r="ID2682" s="73"/>
      <c r="IE2682" s="73"/>
      <c r="IF2682" s="73"/>
      <c r="IG2682" s="73"/>
      <c r="IH2682" s="73"/>
      <c r="II2682" s="73"/>
      <c r="IJ2682" s="73"/>
      <c r="IK2682" s="73"/>
      <c r="IL2682" s="73"/>
      <c r="IM2682" s="73"/>
      <c r="IN2682" s="73"/>
      <c r="IO2682" s="73"/>
      <c r="IP2682" s="73"/>
      <c r="IQ2682" s="73"/>
      <c r="IR2682" s="73"/>
      <c r="IS2682" s="73"/>
      <c r="IT2682" s="73"/>
      <c r="IU2682" s="73"/>
      <c r="IV2682" s="73"/>
      <c r="IW2682" s="73"/>
      <c r="IX2682" s="73"/>
      <c r="IY2682" s="73"/>
      <c r="IZ2682" s="73"/>
      <c r="JA2682" s="73"/>
      <c r="JB2682" s="73"/>
      <c r="JC2682" s="73"/>
    </row>
    <row r="2683" spans="2:263" s="72" customFormat="1">
      <c r="B2683" s="73"/>
      <c r="C2683" s="73"/>
      <c r="D2683" s="73"/>
      <c r="E2683" s="73"/>
      <c r="F2683" s="73"/>
      <c r="G2683" s="73"/>
      <c r="H2683" s="73"/>
      <c r="I2683" s="73"/>
      <c r="J2683" s="73"/>
      <c r="K2683" s="73"/>
      <c r="L2683" s="73"/>
      <c r="M2683" s="73"/>
      <c r="N2683" s="73"/>
      <c r="O2683" s="73"/>
      <c r="P2683" s="73"/>
      <c r="Q2683" s="73"/>
      <c r="R2683" s="73"/>
      <c r="S2683" s="73"/>
      <c r="T2683" s="73"/>
      <c r="U2683" s="73"/>
      <c r="V2683" s="73"/>
      <c r="W2683" s="73"/>
      <c r="GL2683" s="73"/>
      <c r="GM2683" s="73"/>
      <c r="GN2683" s="73"/>
      <c r="GO2683" s="73"/>
      <c r="GP2683" s="73"/>
      <c r="GQ2683" s="73"/>
      <c r="GR2683" s="73"/>
      <c r="GS2683" s="73"/>
      <c r="GT2683" s="73"/>
      <c r="GU2683" s="73"/>
      <c r="GV2683" s="73"/>
      <c r="GW2683" s="73"/>
      <c r="GX2683" s="73"/>
      <c r="GY2683" s="73"/>
      <c r="GZ2683" s="73"/>
      <c r="HA2683" s="73"/>
      <c r="HB2683" s="73"/>
      <c r="HC2683" s="73"/>
      <c r="HD2683" s="73"/>
      <c r="HE2683" s="73"/>
      <c r="HF2683" s="73"/>
      <c r="HG2683" s="73"/>
      <c r="HH2683" s="73"/>
      <c r="HI2683" s="73"/>
      <c r="HJ2683" s="73"/>
      <c r="HK2683" s="73"/>
      <c r="HL2683" s="73"/>
      <c r="HM2683" s="73"/>
      <c r="HN2683" s="73"/>
      <c r="HO2683" s="73"/>
      <c r="HP2683" s="73"/>
      <c r="HQ2683" s="73"/>
      <c r="HR2683" s="73"/>
      <c r="HS2683" s="73"/>
      <c r="HT2683" s="73"/>
      <c r="HU2683" s="73"/>
      <c r="HV2683" s="73"/>
      <c r="HW2683" s="73"/>
      <c r="HX2683" s="73"/>
      <c r="HY2683" s="73"/>
      <c r="HZ2683" s="73"/>
      <c r="IA2683" s="73"/>
      <c r="IB2683" s="73"/>
      <c r="IC2683" s="73"/>
      <c r="ID2683" s="73"/>
      <c r="IE2683" s="73"/>
      <c r="IF2683" s="73"/>
      <c r="IG2683" s="73"/>
      <c r="IH2683" s="73"/>
      <c r="II2683" s="73"/>
      <c r="IJ2683" s="73"/>
      <c r="IK2683" s="73"/>
      <c r="IL2683" s="73"/>
      <c r="IM2683" s="73"/>
      <c r="IN2683" s="73"/>
      <c r="IO2683" s="73"/>
      <c r="IP2683" s="73"/>
      <c r="IQ2683" s="73"/>
      <c r="IR2683" s="73"/>
      <c r="IS2683" s="73"/>
      <c r="IT2683" s="73"/>
      <c r="IU2683" s="73"/>
      <c r="IV2683" s="73"/>
      <c r="IW2683" s="73"/>
      <c r="IX2683" s="73"/>
      <c r="IY2683" s="73"/>
      <c r="IZ2683" s="73"/>
      <c r="JA2683" s="73"/>
      <c r="JB2683" s="73"/>
      <c r="JC2683" s="73"/>
    </row>
    <row r="2684" spans="2:263" s="72" customFormat="1">
      <c r="B2684" s="73"/>
      <c r="C2684" s="73"/>
      <c r="D2684" s="73"/>
      <c r="E2684" s="73"/>
      <c r="F2684" s="73"/>
      <c r="G2684" s="73"/>
      <c r="H2684" s="73"/>
      <c r="I2684" s="73"/>
      <c r="J2684" s="73"/>
      <c r="K2684" s="73"/>
      <c r="L2684" s="73"/>
      <c r="M2684" s="73"/>
      <c r="N2684" s="73"/>
      <c r="O2684" s="73"/>
      <c r="P2684" s="73"/>
      <c r="Q2684" s="73"/>
      <c r="R2684" s="73"/>
      <c r="S2684" s="73"/>
      <c r="T2684" s="73"/>
      <c r="U2684" s="73"/>
      <c r="V2684" s="73"/>
      <c r="W2684" s="73"/>
      <c r="GL2684" s="73"/>
      <c r="GM2684" s="73"/>
      <c r="GN2684" s="73"/>
      <c r="GO2684" s="73"/>
      <c r="GP2684" s="73"/>
      <c r="GQ2684" s="73"/>
      <c r="GR2684" s="73"/>
      <c r="GS2684" s="73"/>
      <c r="GT2684" s="73"/>
      <c r="GU2684" s="73"/>
      <c r="GV2684" s="73"/>
      <c r="GW2684" s="73"/>
      <c r="GX2684" s="73"/>
      <c r="GY2684" s="73"/>
      <c r="GZ2684" s="73"/>
      <c r="HA2684" s="73"/>
      <c r="HB2684" s="73"/>
      <c r="HC2684" s="73"/>
      <c r="HD2684" s="73"/>
      <c r="HE2684" s="73"/>
      <c r="HF2684" s="73"/>
      <c r="HG2684" s="73"/>
      <c r="HH2684" s="73"/>
      <c r="HI2684" s="73"/>
      <c r="HJ2684" s="73"/>
      <c r="HK2684" s="73"/>
      <c r="HL2684" s="73"/>
      <c r="HM2684" s="73"/>
      <c r="HN2684" s="73"/>
      <c r="HO2684" s="73"/>
      <c r="HP2684" s="73"/>
      <c r="HQ2684" s="73"/>
      <c r="HR2684" s="73"/>
      <c r="HS2684" s="73"/>
      <c r="HT2684" s="73"/>
      <c r="HU2684" s="73"/>
      <c r="HV2684" s="73"/>
      <c r="HW2684" s="73"/>
      <c r="HX2684" s="73"/>
      <c r="HY2684" s="73"/>
      <c r="HZ2684" s="73"/>
      <c r="IA2684" s="73"/>
      <c r="IB2684" s="73"/>
      <c r="IC2684" s="73"/>
      <c r="ID2684" s="73"/>
      <c r="IE2684" s="73"/>
      <c r="IF2684" s="73"/>
      <c r="IG2684" s="73"/>
      <c r="IH2684" s="73"/>
      <c r="II2684" s="73"/>
      <c r="IJ2684" s="73"/>
      <c r="IK2684" s="73"/>
      <c r="IL2684" s="73"/>
      <c r="IM2684" s="73"/>
      <c r="IN2684" s="73"/>
      <c r="IO2684" s="73"/>
      <c r="IP2684" s="73"/>
      <c r="IQ2684" s="73"/>
      <c r="IR2684" s="73"/>
      <c r="IS2684" s="73"/>
      <c r="IT2684" s="73"/>
      <c r="IU2684" s="73"/>
      <c r="IV2684" s="73"/>
      <c r="IW2684" s="73"/>
      <c r="IX2684" s="73"/>
      <c r="IY2684" s="73"/>
      <c r="IZ2684" s="73"/>
      <c r="JA2684" s="73"/>
      <c r="JB2684" s="73"/>
      <c r="JC2684" s="73"/>
    </row>
    <row r="2685" spans="2:263" s="72" customFormat="1">
      <c r="B2685" s="73"/>
      <c r="C2685" s="73"/>
      <c r="D2685" s="73"/>
      <c r="E2685" s="73"/>
      <c r="F2685" s="73"/>
      <c r="G2685" s="73"/>
      <c r="H2685" s="73"/>
      <c r="I2685" s="73"/>
      <c r="J2685" s="73"/>
      <c r="K2685" s="73"/>
      <c r="L2685" s="73"/>
      <c r="M2685" s="73"/>
      <c r="N2685" s="73"/>
      <c r="O2685" s="73"/>
      <c r="P2685" s="73"/>
      <c r="Q2685" s="73"/>
      <c r="R2685" s="73"/>
      <c r="S2685" s="73"/>
      <c r="T2685" s="73"/>
      <c r="U2685" s="73"/>
      <c r="V2685" s="73"/>
      <c r="W2685" s="73"/>
      <c r="GL2685" s="73"/>
      <c r="GM2685" s="73"/>
      <c r="GN2685" s="73"/>
      <c r="GO2685" s="73"/>
      <c r="GP2685" s="73"/>
      <c r="GQ2685" s="73"/>
      <c r="GR2685" s="73"/>
      <c r="GS2685" s="73"/>
      <c r="GT2685" s="73"/>
      <c r="GU2685" s="73"/>
      <c r="GV2685" s="73"/>
      <c r="GW2685" s="73"/>
      <c r="GX2685" s="73"/>
      <c r="GY2685" s="73"/>
      <c r="GZ2685" s="73"/>
      <c r="HA2685" s="73"/>
      <c r="HB2685" s="73"/>
      <c r="HC2685" s="73"/>
      <c r="HD2685" s="73"/>
      <c r="HE2685" s="73"/>
      <c r="HF2685" s="73"/>
      <c r="HG2685" s="73"/>
      <c r="HH2685" s="73"/>
      <c r="HI2685" s="73"/>
      <c r="HJ2685" s="73"/>
      <c r="HK2685" s="73"/>
      <c r="HL2685" s="73"/>
      <c r="HM2685" s="73"/>
      <c r="HN2685" s="73"/>
      <c r="HO2685" s="73"/>
      <c r="HP2685" s="73"/>
      <c r="HQ2685" s="73"/>
      <c r="HR2685" s="73"/>
      <c r="HS2685" s="73"/>
      <c r="HT2685" s="73"/>
      <c r="HU2685" s="73"/>
      <c r="HV2685" s="73"/>
      <c r="HW2685" s="73"/>
      <c r="HX2685" s="73"/>
      <c r="HY2685" s="73"/>
      <c r="HZ2685" s="73"/>
      <c r="IA2685" s="73"/>
      <c r="IB2685" s="73"/>
      <c r="IC2685" s="73"/>
      <c r="ID2685" s="73"/>
      <c r="IE2685" s="73"/>
      <c r="IF2685" s="73"/>
      <c r="IG2685" s="73"/>
      <c r="IH2685" s="73"/>
      <c r="II2685" s="73"/>
      <c r="IJ2685" s="73"/>
      <c r="IK2685" s="73"/>
      <c r="IL2685" s="73"/>
      <c r="IM2685" s="73"/>
      <c r="IN2685" s="73"/>
      <c r="IO2685" s="73"/>
      <c r="IP2685" s="73"/>
      <c r="IQ2685" s="73"/>
      <c r="IR2685" s="73"/>
      <c r="IS2685" s="73"/>
      <c r="IT2685" s="73"/>
      <c r="IU2685" s="73"/>
      <c r="IV2685" s="73"/>
      <c r="IW2685" s="73"/>
      <c r="IX2685" s="73"/>
      <c r="IY2685" s="73"/>
      <c r="IZ2685" s="73"/>
      <c r="JA2685" s="73"/>
      <c r="JB2685" s="73"/>
      <c r="JC2685" s="73"/>
    </row>
    <row r="2686" spans="2:263" s="72" customFormat="1">
      <c r="B2686" s="73"/>
      <c r="C2686" s="73"/>
      <c r="D2686" s="73"/>
      <c r="E2686" s="73"/>
      <c r="F2686" s="73"/>
      <c r="G2686" s="73"/>
      <c r="H2686" s="73"/>
      <c r="I2686" s="73"/>
      <c r="J2686" s="73"/>
      <c r="K2686" s="73"/>
      <c r="L2686" s="73"/>
      <c r="M2686" s="73"/>
      <c r="N2686" s="73"/>
      <c r="O2686" s="73"/>
      <c r="P2686" s="73"/>
      <c r="Q2686" s="73"/>
      <c r="R2686" s="73"/>
      <c r="S2686" s="73"/>
      <c r="T2686" s="73"/>
      <c r="U2686" s="73"/>
      <c r="V2686" s="73"/>
      <c r="W2686" s="73"/>
      <c r="GL2686" s="73"/>
      <c r="GM2686" s="73"/>
      <c r="GN2686" s="73"/>
      <c r="GO2686" s="73"/>
      <c r="GP2686" s="73"/>
      <c r="GQ2686" s="73"/>
      <c r="GR2686" s="73"/>
      <c r="GS2686" s="73"/>
      <c r="GT2686" s="73"/>
      <c r="GU2686" s="73"/>
      <c r="GV2686" s="73"/>
      <c r="GW2686" s="73"/>
      <c r="GX2686" s="73"/>
      <c r="GY2686" s="73"/>
      <c r="GZ2686" s="73"/>
      <c r="HA2686" s="73"/>
      <c r="HB2686" s="73"/>
      <c r="HC2686" s="73"/>
      <c r="HD2686" s="73"/>
      <c r="HE2686" s="73"/>
      <c r="HF2686" s="73"/>
      <c r="HG2686" s="73"/>
      <c r="HH2686" s="73"/>
      <c r="HI2686" s="73"/>
      <c r="HJ2686" s="73"/>
      <c r="HK2686" s="73"/>
      <c r="HL2686" s="73"/>
      <c r="HM2686" s="73"/>
      <c r="HN2686" s="73"/>
      <c r="HO2686" s="73"/>
      <c r="HP2686" s="73"/>
      <c r="HQ2686" s="73"/>
      <c r="HR2686" s="73"/>
      <c r="HS2686" s="73"/>
      <c r="HT2686" s="73"/>
      <c r="HU2686" s="73"/>
      <c r="HV2686" s="73"/>
      <c r="HW2686" s="73"/>
      <c r="HX2686" s="73"/>
      <c r="HY2686" s="73"/>
      <c r="HZ2686" s="73"/>
      <c r="IA2686" s="73"/>
      <c r="IB2686" s="73"/>
      <c r="IC2686" s="73"/>
      <c r="ID2686" s="73"/>
      <c r="IE2686" s="73"/>
      <c r="IF2686" s="73"/>
      <c r="IG2686" s="73"/>
      <c r="IH2686" s="73"/>
      <c r="II2686" s="73"/>
      <c r="IJ2686" s="73"/>
      <c r="IK2686" s="73"/>
      <c r="IL2686" s="73"/>
      <c r="IM2686" s="73"/>
      <c r="IN2686" s="73"/>
      <c r="IO2686" s="73"/>
      <c r="IP2686" s="73"/>
      <c r="IQ2686" s="73"/>
      <c r="IR2686" s="73"/>
      <c r="IS2686" s="73"/>
      <c r="IT2686" s="73"/>
      <c r="IU2686" s="73"/>
      <c r="IV2686" s="73"/>
      <c r="IW2686" s="73"/>
      <c r="IX2686" s="73"/>
      <c r="IY2686" s="73"/>
      <c r="IZ2686" s="73"/>
      <c r="JA2686" s="73"/>
      <c r="JB2686" s="73"/>
      <c r="JC2686" s="73"/>
    </row>
    <row r="2687" spans="2:263" s="72" customFormat="1">
      <c r="B2687" s="73"/>
      <c r="C2687" s="73"/>
      <c r="D2687" s="73"/>
      <c r="E2687" s="73"/>
      <c r="F2687" s="73"/>
      <c r="G2687" s="73"/>
      <c r="H2687" s="73"/>
      <c r="I2687" s="73"/>
      <c r="J2687" s="73"/>
      <c r="K2687" s="73"/>
      <c r="L2687" s="73"/>
      <c r="M2687" s="73"/>
      <c r="N2687" s="73"/>
      <c r="O2687" s="73"/>
      <c r="P2687" s="73"/>
      <c r="Q2687" s="73"/>
      <c r="R2687" s="73"/>
      <c r="S2687" s="73"/>
      <c r="T2687" s="73"/>
      <c r="U2687" s="73"/>
      <c r="V2687" s="73"/>
      <c r="W2687" s="73"/>
      <c r="GL2687" s="73"/>
      <c r="GM2687" s="73"/>
      <c r="GN2687" s="73"/>
      <c r="GO2687" s="73"/>
      <c r="GP2687" s="73"/>
      <c r="GQ2687" s="73"/>
      <c r="GR2687" s="73"/>
      <c r="GS2687" s="73"/>
      <c r="GT2687" s="73"/>
      <c r="GU2687" s="73"/>
      <c r="GV2687" s="73"/>
      <c r="GW2687" s="73"/>
      <c r="GX2687" s="73"/>
      <c r="GY2687" s="73"/>
      <c r="GZ2687" s="73"/>
      <c r="HA2687" s="73"/>
      <c r="HB2687" s="73"/>
      <c r="HC2687" s="73"/>
      <c r="HD2687" s="73"/>
      <c r="HE2687" s="73"/>
      <c r="HF2687" s="73"/>
      <c r="HG2687" s="73"/>
      <c r="HH2687" s="73"/>
      <c r="HI2687" s="73"/>
      <c r="HJ2687" s="73"/>
      <c r="HK2687" s="73"/>
      <c r="HL2687" s="73"/>
      <c r="HM2687" s="73"/>
      <c r="HN2687" s="73"/>
      <c r="HO2687" s="73"/>
      <c r="HP2687" s="73"/>
      <c r="HQ2687" s="73"/>
      <c r="HR2687" s="73"/>
      <c r="HS2687" s="73"/>
      <c r="HT2687" s="73"/>
      <c r="HU2687" s="73"/>
      <c r="HV2687" s="73"/>
      <c r="HW2687" s="73"/>
      <c r="HX2687" s="73"/>
      <c r="HY2687" s="73"/>
      <c r="HZ2687" s="73"/>
      <c r="IA2687" s="73"/>
      <c r="IB2687" s="73"/>
      <c r="IC2687" s="73"/>
      <c r="ID2687" s="73"/>
      <c r="IE2687" s="73"/>
      <c r="IF2687" s="73"/>
      <c r="IG2687" s="73"/>
      <c r="IH2687" s="73"/>
      <c r="II2687" s="73"/>
      <c r="IJ2687" s="73"/>
      <c r="IK2687" s="73"/>
      <c r="IL2687" s="73"/>
      <c r="IM2687" s="73"/>
      <c r="IN2687" s="73"/>
      <c r="IO2687" s="73"/>
      <c r="IP2687" s="73"/>
      <c r="IQ2687" s="73"/>
      <c r="IR2687" s="73"/>
      <c r="IS2687" s="73"/>
      <c r="IT2687" s="73"/>
      <c r="IU2687" s="73"/>
      <c r="IV2687" s="73"/>
      <c r="IW2687" s="73"/>
      <c r="IX2687" s="73"/>
      <c r="IY2687" s="73"/>
      <c r="IZ2687" s="73"/>
      <c r="JA2687" s="73"/>
      <c r="JB2687" s="73"/>
      <c r="JC2687" s="73"/>
    </row>
    <row r="2688" spans="2:263" s="72" customFormat="1">
      <c r="B2688" s="73"/>
      <c r="C2688" s="73"/>
      <c r="D2688" s="73"/>
      <c r="E2688" s="73"/>
      <c r="F2688" s="73"/>
      <c r="G2688" s="73"/>
      <c r="H2688" s="73"/>
      <c r="I2688" s="73"/>
      <c r="J2688" s="73"/>
      <c r="K2688" s="73"/>
      <c r="L2688" s="73"/>
      <c r="M2688" s="73"/>
      <c r="N2688" s="73"/>
      <c r="O2688" s="73"/>
      <c r="P2688" s="73"/>
      <c r="Q2688" s="73"/>
      <c r="R2688" s="73"/>
      <c r="S2688" s="73"/>
      <c r="T2688" s="73"/>
      <c r="U2688" s="73"/>
      <c r="V2688" s="73"/>
      <c r="W2688" s="73"/>
      <c r="GL2688" s="73"/>
      <c r="GM2688" s="73"/>
      <c r="GN2688" s="73"/>
      <c r="GO2688" s="73"/>
      <c r="GP2688" s="73"/>
      <c r="GQ2688" s="73"/>
      <c r="GR2688" s="73"/>
      <c r="GS2688" s="73"/>
      <c r="GT2688" s="73"/>
      <c r="GU2688" s="73"/>
      <c r="GV2688" s="73"/>
      <c r="GW2688" s="73"/>
      <c r="GX2688" s="73"/>
      <c r="GY2688" s="73"/>
      <c r="GZ2688" s="73"/>
      <c r="HA2688" s="73"/>
      <c r="HB2688" s="73"/>
      <c r="HC2688" s="73"/>
      <c r="HD2688" s="73"/>
      <c r="HE2688" s="73"/>
      <c r="HF2688" s="73"/>
      <c r="HG2688" s="73"/>
      <c r="HH2688" s="73"/>
      <c r="HI2688" s="73"/>
      <c r="HJ2688" s="73"/>
      <c r="HK2688" s="73"/>
      <c r="HL2688" s="73"/>
      <c r="HM2688" s="73"/>
      <c r="HN2688" s="73"/>
      <c r="HO2688" s="73"/>
      <c r="HP2688" s="73"/>
      <c r="HQ2688" s="73"/>
      <c r="HR2688" s="73"/>
      <c r="HS2688" s="73"/>
      <c r="HT2688" s="73"/>
      <c r="HU2688" s="73"/>
      <c r="HV2688" s="73"/>
      <c r="HW2688" s="73"/>
      <c r="HX2688" s="73"/>
      <c r="HY2688" s="73"/>
      <c r="HZ2688" s="73"/>
      <c r="IA2688" s="73"/>
      <c r="IB2688" s="73"/>
      <c r="IC2688" s="73"/>
      <c r="ID2688" s="73"/>
      <c r="IE2688" s="73"/>
      <c r="IF2688" s="73"/>
      <c r="IG2688" s="73"/>
      <c r="IH2688" s="73"/>
      <c r="II2688" s="73"/>
      <c r="IJ2688" s="73"/>
      <c r="IK2688" s="73"/>
      <c r="IL2688" s="73"/>
      <c r="IM2688" s="73"/>
      <c r="IN2688" s="73"/>
      <c r="IO2688" s="73"/>
      <c r="IP2688" s="73"/>
      <c r="IQ2688" s="73"/>
      <c r="IR2688" s="73"/>
      <c r="IS2688" s="73"/>
      <c r="IT2688" s="73"/>
      <c r="IU2688" s="73"/>
      <c r="IV2688" s="73"/>
      <c r="IW2688" s="73"/>
      <c r="IX2688" s="73"/>
      <c r="IY2688" s="73"/>
      <c r="IZ2688" s="73"/>
      <c r="JA2688" s="73"/>
      <c r="JB2688" s="73"/>
      <c r="JC2688" s="73"/>
    </row>
    <row r="2689" spans="2:263" s="72" customFormat="1">
      <c r="B2689" s="73"/>
      <c r="C2689" s="73"/>
      <c r="D2689" s="73"/>
      <c r="E2689" s="73"/>
      <c r="F2689" s="73"/>
      <c r="G2689" s="73"/>
      <c r="H2689" s="73"/>
      <c r="I2689" s="73"/>
      <c r="J2689" s="73"/>
      <c r="K2689" s="73"/>
      <c r="L2689" s="73"/>
      <c r="M2689" s="73"/>
      <c r="N2689" s="73"/>
      <c r="O2689" s="73"/>
      <c r="P2689" s="73"/>
      <c r="Q2689" s="73"/>
      <c r="R2689" s="73"/>
      <c r="S2689" s="73"/>
      <c r="T2689" s="73"/>
      <c r="U2689" s="73"/>
      <c r="V2689" s="73"/>
      <c r="W2689" s="73"/>
      <c r="GL2689" s="73"/>
      <c r="GM2689" s="73"/>
      <c r="GN2689" s="73"/>
      <c r="GO2689" s="73"/>
      <c r="GP2689" s="73"/>
      <c r="GQ2689" s="73"/>
      <c r="GR2689" s="73"/>
      <c r="GS2689" s="73"/>
      <c r="GT2689" s="73"/>
      <c r="GU2689" s="73"/>
      <c r="GV2689" s="73"/>
      <c r="GW2689" s="73"/>
      <c r="GX2689" s="73"/>
      <c r="GY2689" s="73"/>
      <c r="GZ2689" s="73"/>
      <c r="HA2689" s="73"/>
      <c r="HB2689" s="73"/>
      <c r="HC2689" s="73"/>
      <c r="HD2689" s="73"/>
      <c r="HE2689" s="73"/>
      <c r="HF2689" s="73"/>
      <c r="HG2689" s="73"/>
      <c r="HH2689" s="73"/>
      <c r="HI2689" s="73"/>
      <c r="HJ2689" s="73"/>
      <c r="HK2689" s="73"/>
      <c r="HL2689" s="73"/>
      <c r="HM2689" s="73"/>
      <c r="HN2689" s="73"/>
      <c r="HO2689" s="73"/>
      <c r="HP2689" s="73"/>
      <c r="HQ2689" s="73"/>
      <c r="HR2689" s="73"/>
      <c r="HS2689" s="73"/>
      <c r="HT2689" s="73"/>
      <c r="HU2689" s="73"/>
      <c r="HV2689" s="73"/>
      <c r="HW2689" s="73"/>
      <c r="HX2689" s="73"/>
      <c r="HY2689" s="73"/>
      <c r="HZ2689" s="73"/>
      <c r="IA2689" s="73"/>
      <c r="IB2689" s="73"/>
      <c r="IC2689" s="73"/>
      <c r="ID2689" s="73"/>
      <c r="IE2689" s="73"/>
      <c r="IF2689" s="73"/>
      <c r="IG2689" s="73"/>
      <c r="IH2689" s="73"/>
      <c r="II2689" s="73"/>
      <c r="IJ2689" s="73"/>
      <c r="IK2689" s="73"/>
      <c r="IL2689" s="73"/>
      <c r="IM2689" s="73"/>
      <c r="IN2689" s="73"/>
      <c r="IO2689" s="73"/>
      <c r="IP2689" s="73"/>
      <c r="IQ2689" s="73"/>
      <c r="IR2689" s="73"/>
      <c r="IS2689" s="73"/>
      <c r="IT2689" s="73"/>
      <c r="IU2689" s="73"/>
      <c r="IV2689" s="73"/>
      <c r="IW2689" s="73"/>
      <c r="IX2689" s="73"/>
      <c r="IY2689" s="73"/>
      <c r="IZ2689" s="73"/>
      <c r="JA2689" s="73"/>
      <c r="JB2689" s="73"/>
      <c r="JC2689" s="73"/>
    </row>
    <row r="2690" spans="2:263" s="72" customFormat="1">
      <c r="B2690" s="73"/>
      <c r="C2690" s="73"/>
      <c r="D2690" s="73"/>
      <c r="E2690" s="73"/>
      <c r="F2690" s="73"/>
      <c r="G2690" s="73"/>
      <c r="H2690" s="73"/>
      <c r="I2690" s="73"/>
      <c r="J2690" s="73"/>
      <c r="K2690" s="73"/>
      <c r="L2690" s="73"/>
      <c r="M2690" s="73"/>
      <c r="N2690" s="73"/>
      <c r="O2690" s="73"/>
      <c r="P2690" s="73"/>
      <c r="Q2690" s="73"/>
      <c r="R2690" s="73"/>
      <c r="S2690" s="73"/>
      <c r="T2690" s="73"/>
      <c r="U2690" s="73"/>
      <c r="V2690" s="73"/>
      <c r="W2690" s="73"/>
      <c r="GL2690" s="73"/>
      <c r="GM2690" s="73"/>
      <c r="GN2690" s="73"/>
      <c r="GO2690" s="73"/>
      <c r="GP2690" s="73"/>
      <c r="GQ2690" s="73"/>
      <c r="GR2690" s="73"/>
      <c r="GS2690" s="73"/>
      <c r="GT2690" s="73"/>
      <c r="GU2690" s="73"/>
      <c r="GV2690" s="73"/>
      <c r="GW2690" s="73"/>
      <c r="GX2690" s="73"/>
      <c r="GY2690" s="73"/>
      <c r="GZ2690" s="73"/>
      <c r="HA2690" s="73"/>
      <c r="HB2690" s="73"/>
      <c r="HC2690" s="73"/>
      <c r="HD2690" s="73"/>
      <c r="HE2690" s="73"/>
      <c r="HF2690" s="73"/>
      <c r="HG2690" s="73"/>
      <c r="HH2690" s="73"/>
      <c r="HI2690" s="73"/>
      <c r="HJ2690" s="73"/>
      <c r="HK2690" s="73"/>
      <c r="HL2690" s="73"/>
      <c r="HM2690" s="73"/>
      <c r="HN2690" s="73"/>
      <c r="HO2690" s="73"/>
      <c r="HP2690" s="73"/>
      <c r="HQ2690" s="73"/>
      <c r="HR2690" s="73"/>
      <c r="HS2690" s="73"/>
      <c r="HT2690" s="73"/>
      <c r="HU2690" s="73"/>
      <c r="HV2690" s="73"/>
      <c r="HW2690" s="73"/>
      <c r="HX2690" s="73"/>
      <c r="HY2690" s="73"/>
      <c r="HZ2690" s="73"/>
      <c r="IA2690" s="73"/>
      <c r="IB2690" s="73"/>
      <c r="IC2690" s="73"/>
      <c r="ID2690" s="73"/>
      <c r="IE2690" s="73"/>
      <c r="IF2690" s="73"/>
      <c r="IG2690" s="73"/>
      <c r="IH2690" s="73"/>
      <c r="II2690" s="73"/>
      <c r="IJ2690" s="73"/>
      <c r="IK2690" s="73"/>
      <c r="IL2690" s="73"/>
      <c r="IM2690" s="73"/>
      <c r="IN2690" s="73"/>
      <c r="IO2690" s="73"/>
      <c r="IP2690" s="73"/>
      <c r="IQ2690" s="73"/>
      <c r="IR2690" s="73"/>
      <c r="IS2690" s="73"/>
      <c r="IT2690" s="73"/>
      <c r="IU2690" s="73"/>
      <c r="IV2690" s="73"/>
      <c r="IW2690" s="73"/>
      <c r="IX2690" s="73"/>
      <c r="IY2690" s="73"/>
      <c r="IZ2690" s="73"/>
      <c r="JA2690" s="73"/>
      <c r="JB2690" s="73"/>
      <c r="JC2690" s="73"/>
    </row>
    <row r="2691" spans="2:263" s="72" customFormat="1">
      <c r="B2691" s="73"/>
      <c r="C2691" s="73"/>
      <c r="D2691" s="73"/>
      <c r="E2691" s="73"/>
      <c r="F2691" s="73"/>
      <c r="G2691" s="73"/>
      <c r="H2691" s="73"/>
      <c r="I2691" s="73"/>
      <c r="J2691" s="73"/>
      <c r="K2691" s="73"/>
      <c r="L2691" s="73"/>
      <c r="M2691" s="73"/>
      <c r="N2691" s="73"/>
      <c r="O2691" s="73"/>
      <c r="P2691" s="73"/>
      <c r="Q2691" s="73"/>
      <c r="R2691" s="73"/>
      <c r="S2691" s="73"/>
      <c r="T2691" s="73"/>
      <c r="U2691" s="73"/>
      <c r="V2691" s="73"/>
      <c r="W2691" s="73"/>
      <c r="GL2691" s="73"/>
      <c r="GM2691" s="73"/>
      <c r="GN2691" s="73"/>
      <c r="GO2691" s="73"/>
      <c r="GP2691" s="73"/>
      <c r="GQ2691" s="73"/>
      <c r="GR2691" s="73"/>
      <c r="GS2691" s="73"/>
      <c r="GT2691" s="73"/>
      <c r="GU2691" s="73"/>
      <c r="GV2691" s="73"/>
      <c r="GW2691" s="73"/>
      <c r="GX2691" s="73"/>
      <c r="GY2691" s="73"/>
      <c r="GZ2691" s="73"/>
      <c r="HA2691" s="73"/>
      <c r="HB2691" s="73"/>
      <c r="HC2691" s="73"/>
      <c r="HD2691" s="73"/>
      <c r="HE2691" s="73"/>
      <c r="HF2691" s="73"/>
      <c r="HG2691" s="73"/>
      <c r="HH2691" s="73"/>
      <c r="HI2691" s="73"/>
      <c r="HJ2691" s="73"/>
      <c r="HK2691" s="73"/>
      <c r="HL2691" s="73"/>
      <c r="HM2691" s="73"/>
      <c r="HN2691" s="73"/>
      <c r="HO2691" s="73"/>
      <c r="HP2691" s="73"/>
      <c r="HQ2691" s="73"/>
      <c r="HR2691" s="73"/>
      <c r="HS2691" s="73"/>
      <c r="HT2691" s="73"/>
      <c r="HU2691" s="73"/>
      <c r="HV2691" s="73"/>
      <c r="HW2691" s="73"/>
      <c r="HX2691" s="73"/>
      <c r="HY2691" s="73"/>
      <c r="HZ2691" s="73"/>
      <c r="IA2691" s="73"/>
      <c r="IB2691" s="73"/>
      <c r="IC2691" s="73"/>
      <c r="ID2691" s="73"/>
      <c r="IE2691" s="73"/>
      <c r="IF2691" s="73"/>
      <c r="IG2691" s="73"/>
      <c r="IH2691" s="73"/>
      <c r="II2691" s="73"/>
      <c r="IJ2691" s="73"/>
      <c r="IK2691" s="73"/>
      <c r="IL2691" s="73"/>
      <c r="IM2691" s="73"/>
      <c r="IN2691" s="73"/>
      <c r="IO2691" s="73"/>
      <c r="IP2691" s="73"/>
      <c r="IQ2691" s="73"/>
      <c r="IR2691" s="73"/>
      <c r="IS2691" s="73"/>
      <c r="IT2691" s="73"/>
      <c r="IU2691" s="73"/>
      <c r="IV2691" s="73"/>
      <c r="IW2691" s="73"/>
      <c r="IX2691" s="73"/>
      <c r="IY2691" s="73"/>
      <c r="IZ2691" s="73"/>
      <c r="JA2691" s="73"/>
      <c r="JB2691" s="73"/>
      <c r="JC2691" s="73"/>
    </row>
    <row r="2692" spans="2:263" s="72" customFormat="1">
      <c r="B2692" s="73"/>
      <c r="C2692" s="73"/>
      <c r="D2692" s="73"/>
      <c r="E2692" s="73"/>
      <c r="F2692" s="73"/>
      <c r="G2692" s="73"/>
      <c r="H2692" s="73"/>
      <c r="I2692" s="73"/>
      <c r="J2692" s="73"/>
      <c r="K2692" s="73"/>
      <c r="L2692" s="73"/>
      <c r="M2692" s="73"/>
      <c r="N2692" s="73"/>
      <c r="O2692" s="73"/>
      <c r="P2692" s="73"/>
      <c r="Q2692" s="73"/>
      <c r="R2692" s="73"/>
      <c r="S2692" s="73"/>
      <c r="T2692" s="73"/>
      <c r="U2692" s="73"/>
      <c r="V2692" s="73"/>
      <c r="W2692" s="73"/>
      <c r="GL2692" s="73"/>
      <c r="GM2692" s="73"/>
      <c r="GN2692" s="73"/>
      <c r="GO2692" s="73"/>
      <c r="GP2692" s="73"/>
      <c r="GQ2692" s="73"/>
      <c r="GR2692" s="73"/>
      <c r="GS2692" s="73"/>
      <c r="GT2692" s="73"/>
      <c r="GU2692" s="73"/>
      <c r="GV2692" s="73"/>
      <c r="GW2692" s="73"/>
      <c r="GX2692" s="73"/>
      <c r="GY2692" s="73"/>
      <c r="GZ2692" s="73"/>
      <c r="HA2692" s="73"/>
      <c r="HB2692" s="73"/>
      <c r="HC2692" s="73"/>
      <c r="HD2692" s="73"/>
      <c r="HE2692" s="73"/>
      <c r="HF2692" s="73"/>
      <c r="HG2692" s="73"/>
      <c r="HH2692" s="73"/>
      <c r="HI2692" s="73"/>
      <c r="HJ2692" s="73"/>
      <c r="HK2692" s="73"/>
      <c r="HL2692" s="73"/>
      <c r="HM2692" s="73"/>
      <c r="HN2692" s="73"/>
      <c r="HO2692" s="73"/>
      <c r="HP2692" s="73"/>
      <c r="HQ2692" s="73"/>
      <c r="HR2692" s="73"/>
      <c r="HS2692" s="73"/>
      <c r="HT2692" s="73"/>
      <c r="HU2692" s="73"/>
      <c r="HV2692" s="73"/>
      <c r="HW2692" s="73"/>
      <c r="HX2692" s="73"/>
      <c r="HY2692" s="73"/>
      <c r="HZ2692" s="73"/>
      <c r="IA2692" s="73"/>
      <c r="IB2692" s="73"/>
      <c r="IC2692" s="73"/>
      <c r="ID2692" s="73"/>
      <c r="IE2692" s="73"/>
      <c r="IF2692" s="73"/>
      <c r="IG2692" s="73"/>
      <c r="IH2692" s="73"/>
      <c r="II2692" s="73"/>
      <c r="IJ2692" s="73"/>
      <c r="IK2692" s="73"/>
      <c r="IL2692" s="73"/>
      <c r="IM2692" s="73"/>
      <c r="IN2692" s="73"/>
      <c r="IO2692" s="73"/>
      <c r="IP2692" s="73"/>
      <c r="IQ2692" s="73"/>
      <c r="IR2692" s="73"/>
      <c r="IS2692" s="73"/>
      <c r="IT2692" s="73"/>
      <c r="IU2692" s="73"/>
      <c r="IV2692" s="73"/>
      <c r="IW2692" s="73"/>
      <c r="IX2692" s="73"/>
      <c r="IY2692" s="73"/>
      <c r="IZ2692" s="73"/>
      <c r="JA2692" s="73"/>
      <c r="JB2692" s="73"/>
      <c r="JC2692" s="73"/>
    </row>
    <row r="2693" spans="2:263" s="72" customFormat="1">
      <c r="B2693" s="73"/>
      <c r="C2693" s="73"/>
      <c r="D2693" s="73"/>
      <c r="E2693" s="73"/>
      <c r="F2693" s="73"/>
      <c r="G2693" s="73"/>
      <c r="H2693" s="73"/>
      <c r="I2693" s="73"/>
      <c r="J2693" s="73"/>
      <c r="K2693" s="73"/>
      <c r="L2693" s="73"/>
      <c r="M2693" s="73"/>
      <c r="N2693" s="73"/>
      <c r="O2693" s="73"/>
      <c r="P2693" s="73"/>
      <c r="Q2693" s="73"/>
      <c r="R2693" s="73"/>
      <c r="S2693" s="73"/>
      <c r="T2693" s="73"/>
      <c r="U2693" s="73"/>
      <c r="V2693" s="73"/>
      <c r="W2693" s="73"/>
      <c r="GL2693" s="73"/>
      <c r="GM2693" s="73"/>
      <c r="GN2693" s="73"/>
      <c r="GO2693" s="73"/>
      <c r="GP2693" s="73"/>
      <c r="GQ2693" s="73"/>
      <c r="GR2693" s="73"/>
      <c r="GS2693" s="73"/>
      <c r="GT2693" s="73"/>
      <c r="GU2693" s="73"/>
      <c r="GV2693" s="73"/>
      <c r="GW2693" s="73"/>
      <c r="GX2693" s="73"/>
      <c r="GY2693" s="73"/>
      <c r="GZ2693" s="73"/>
      <c r="HA2693" s="73"/>
      <c r="HB2693" s="73"/>
      <c r="HC2693" s="73"/>
      <c r="HD2693" s="73"/>
      <c r="HE2693" s="73"/>
      <c r="HF2693" s="73"/>
      <c r="HG2693" s="73"/>
      <c r="HH2693" s="73"/>
      <c r="HI2693" s="73"/>
      <c r="HJ2693" s="73"/>
      <c r="HK2693" s="73"/>
      <c r="HL2693" s="73"/>
      <c r="HM2693" s="73"/>
      <c r="HN2693" s="73"/>
      <c r="HO2693" s="73"/>
      <c r="HP2693" s="73"/>
      <c r="HQ2693" s="73"/>
      <c r="HR2693" s="73"/>
      <c r="HS2693" s="73"/>
      <c r="HT2693" s="73"/>
      <c r="HU2693" s="73"/>
      <c r="HV2693" s="73"/>
      <c r="HW2693" s="73"/>
      <c r="HX2693" s="73"/>
      <c r="HY2693" s="73"/>
      <c r="HZ2693" s="73"/>
      <c r="IA2693" s="73"/>
      <c r="IB2693" s="73"/>
      <c r="IC2693" s="73"/>
      <c r="ID2693" s="73"/>
      <c r="IE2693" s="73"/>
      <c r="IF2693" s="73"/>
      <c r="IG2693" s="73"/>
      <c r="IH2693" s="73"/>
      <c r="II2693" s="73"/>
      <c r="IJ2693" s="73"/>
      <c r="IK2693" s="73"/>
      <c r="IL2693" s="73"/>
      <c r="IM2693" s="73"/>
      <c r="IN2693" s="73"/>
      <c r="IO2693" s="73"/>
      <c r="IP2693" s="73"/>
      <c r="IQ2693" s="73"/>
      <c r="IR2693" s="73"/>
      <c r="IS2693" s="73"/>
      <c r="IT2693" s="73"/>
      <c r="IU2693" s="73"/>
      <c r="IV2693" s="73"/>
      <c r="IW2693" s="73"/>
      <c r="IX2693" s="73"/>
      <c r="IY2693" s="73"/>
      <c r="IZ2693" s="73"/>
      <c r="JA2693" s="73"/>
      <c r="JB2693" s="73"/>
      <c r="JC2693" s="73"/>
    </row>
    <row r="2694" spans="2:263" s="72" customFormat="1">
      <c r="B2694" s="73"/>
      <c r="C2694" s="73"/>
      <c r="D2694" s="73"/>
      <c r="E2694" s="73"/>
      <c r="F2694" s="73"/>
      <c r="G2694" s="73"/>
      <c r="H2694" s="73"/>
      <c r="I2694" s="73"/>
      <c r="J2694" s="73"/>
      <c r="K2694" s="73"/>
      <c r="L2694" s="73"/>
      <c r="M2694" s="73"/>
      <c r="N2694" s="73"/>
      <c r="O2694" s="73"/>
      <c r="P2694" s="73"/>
      <c r="Q2694" s="73"/>
      <c r="R2694" s="73"/>
      <c r="S2694" s="73"/>
      <c r="T2694" s="73"/>
      <c r="U2694" s="73"/>
      <c r="V2694" s="73"/>
      <c r="W2694" s="73"/>
      <c r="GL2694" s="73"/>
      <c r="GM2694" s="73"/>
      <c r="GN2694" s="73"/>
      <c r="GO2694" s="73"/>
      <c r="GP2694" s="73"/>
      <c r="GQ2694" s="73"/>
      <c r="GR2694" s="73"/>
      <c r="GS2694" s="73"/>
      <c r="GT2694" s="73"/>
      <c r="GU2694" s="73"/>
      <c r="GV2694" s="73"/>
      <c r="GW2694" s="73"/>
      <c r="GX2694" s="73"/>
      <c r="GY2694" s="73"/>
      <c r="GZ2694" s="73"/>
      <c r="HA2694" s="73"/>
      <c r="HB2694" s="73"/>
      <c r="HC2694" s="73"/>
      <c r="HD2694" s="73"/>
      <c r="HE2694" s="73"/>
      <c r="HF2694" s="73"/>
      <c r="HG2694" s="73"/>
      <c r="HH2694" s="73"/>
      <c r="HI2694" s="73"/>
      <c r="HJ2694" s="73"/>
      <c r="HK2694" s="73"/>
      <c r="HL2694" s="73"/>
      <c r="HM2694" s="73"/>
      <c r="HN2694" s="73"/>
      <c r="HO2694" s="73"/>
      <c r="HP2694" s="73"/>
      <c r="HQ2694" s="73"/>
      <c r="HR2694" s="73"/>
      <c r="HS2694" s="73"/>
      <c r="HT2694" s="73"/>
      <c r="HU2694" s="73"/>
      <c r="HV2694" s="73"/>
      <c r="HW2694" s="73"/>
      <c r="HX2694" s="73"/>
      <c r="HY2694" s="73"/>
      <c r="HZ2694" s="73"/>
      <c r="IA2694" s="73"/>
      <c r="IB2694" s="73"/>
      <c r="IC2694" s="73"/>
      <c r="ID2694" s="73"/>
      <c r="IE2694" s="73"/>
      <c r="IF2694" s="73"/>
      <c r="IG2694" s="73"/>
      <c r="IH2694" s="73"/>
      <c r="II2694" s="73"/>
      <c r="IJ2694" s="73"/>
      <c r="IK2694" s="73"/>
      <c r="IL2694" s="73"/>
      <c r="IM2694" s="73"/>
      <c r="IN2694" s="73"/>
      <c r="IO2694" s="73"/>
      <c r="IP2694" s="73"/>
      <c r="IQ2694" s="73"/>
      <c r="IR2694" s="73"/>
      <c r="IS2694" s="73"/>
      <c r="IT2694" s="73"/>
      <c r="IU2694" s="73"/>
      <c r="IV2694" s="73"/>
      <c r="IW2694" s="73"/>
      <c r="IX2694" s="73"/>
      <c r="IY2694" s="73"/>
      <c r="IZ2694" s="73"/>
      <c r="JA2694" s="73"/>
      <c r="JB2694" s="73"/>
      <c r="JC2694" s="73"/>
    </row>
    <row r="2695" spans="2:263" s="72" customFormat="1">
      <c r="B2695" s="73"/>
      <c r="C2695" s="73"/>
      <c r="D2695" s="73"/>
      <c r="E2695" s="73"/>
      <c r="F2695" s="73"/>
      <c r="G2695" s="73"/>
      <c r="H2695" s="73"/>
      <c r="I2695" s="73"/>
      <c r="J2695" s="73"/>
      <c r="K2695" s="73"/>
      <c r="L2695" s="73"/>
      <c r="M2695" s="73"/>
      <c r="N2695" s="73"/>
      <c r="O2695" s="73"/>
      <c r="P2695" s="73"/>
      <c r="Q2695" s="73"/>
      <c r="R2695" s="73"/>
      <c r="S2695" s="73"/>
      <c r="T2695" s="73"/>
      <c r="U2695" s="73"/>
      <c r="V2695" s="73"/>
      <c r="W2695" s="73"/>
      <c r="GL2695" s="73"/>
      <c r="GM2695" s="73"/>
      <c r="GN2695" s="73"/>
      <c r="GO2695" s="73"/>
      <c r="GP2695" s="73"/>
      <c r="GQ2695" s="73"/>
      <c r="GR2695" s="73"/>
      <c r="GS2695" s="73"/>
      <c r="GT2695" s="73"/>
      <c r="GU2695" s="73"/>
      <c r="GV2695" s="73"/>
      <c r="GW2695" s="73"/>
      <c r="GX2695" s="73"/>
      <c r="GY2695" s="73"/>
      <c r="GZ2695" s="73"/>
      <c r="HA2695" s="73"/>
      <c r="HB2695" s="73"/>
      <c r="HC2695" s="73"/>
      <c r="HD2695" s="73"/>
      <c r="HE2695" s="73"/>
      <c r="HF2695" s="73"/>
      <c r="HG2695" s="73"/>
      <c r="HH2695" s="73"/>
      <c r="HI2695" s="73"/>
      <c r="HJ2695" s="73"/>
      <c r="HK2695" s="73"/>
      <c r="HL2695" s="73"/>
      <c r="HM2695" s="73"/>
      <c r="HN2695" s="73"/>
      <c r="HO2695" s="73"/>
      <c r="HP2695" s="73"/>
      <c r="HQ2695" s="73"/>
      <c r="HR2695" s="73"/>
      <c r="HS2695" s="73"/>
      <c r="HT2695" s="73"/>
      <c r="HU2695" s="73"/>
      <c r="HV2695" s="73"/>
      <c r="HW2695" s="73"/>
      <c r="HX2695" s="73"/>
      <c r="HY2695" s="73"/>
      <c r="HZ2695" s="73"/>
      <c r="IA2695" s="73"/>
      <c r="IB2695" s="73"/>
      <c r="IC2695" s="73"/>
      <c r="ID2695" s="73"/>
      <c r="IE2695" s="73"/>
      <c r="IF2695" s="73"/>
      <c r="IG2695" s="73"/>
      <c r="IH2695" s="73"/>
      <c r="II2695" s="73"/>
      <c r="IJ2695" s="73"/>
      <c r="IK2695" s="73"/>
      <c r="IL2695" s="73"/>
      <c r="IM2695" s="73"/>
      <c r="IN2695" s="73"/>
      <c r="IO2695" s="73"/>
      <c r="IP2695" s="73"/>
      <c r="IQ2695" s="73"/>
      <c r="IR2695" s="73"/>
      <c r="IS2695" s="73"/>
      <c r="IT2695" s="73"/>
      <c r="IU2695" s="73"/>
      <c r="IV2695" s="73"/>
      <c r="IW2695" s="73"/>
      <c r="IX2695" s="73"/>
      <c r="IY2695" s="73"/>
      <c r="IZ2695" s="73"/>
      <c r="JA2695" s="73"/>
      <c r="JB2695" s="73"/>
      <c r="JC2695" s="73"/>
    </row>
    <row r="2696" spans="2:263" s="72" customFormat="1">
      <c r="B2696" s="73"/>
      <c r="C2696" s="73"/>
      <c r="D2696" s="73"/>
      <c r="E2696" s="73"/>
      <c r="F2696" s="73"/>
      <c r="G2696" s="73"/>
      <c r="H2696" s="73"/>
      <c r="I2696" s="73"/>
      <c r="J2696" s="73"/>
      <c r="K2696" s="73"/>
      <c r="L2696" s="73"/>
      <c r="M2696" s="73"/>
      <c r="N2696" s="73"/>
      <c r="O2696" s="73"/>
      <c r="P2696" s="73"/>
      <c r="Q2696" s="73"/>
      <c r="R2696" s="73"/>
      <c r="S2696" s="73"/>
      <c r="T2696" s="73"/>
      <c r="U2696" s="73"/>
      <c r="V2696" s="73"/>
      <c r="W2696" s="73"/>
      <c r="GL2696" s="73"/>
      <c r="GM2696" s="73"/>
      <c r="GN2696" s="73"/>
      <c r="GO2696" s="73"/>
      <c r="GP2696" s="73"/>
      <c r="GQ2696" s="73"/>
      <c r="GR2696" s="73"/>
      <c r="GS2696" s="73"/>
      <c r="GT2696" s="73"/>
      <c r="GU2696" s="73"/>
      <c r="GV2696" s="73"/>
      <c r="GW2696" s="73"/>
      <c r="GX2696" s="73"/>
      <c r="GY2696" s="73"/>
      <c r="GZ2696" s="73"/>
      <c r="HA2696" s="73"/>
      <c r="HB2696" s="73"/>
      <c r="HC2696" s="73"/>
      <c r="HD2696" s="73"/>
      <c r="HE2696" s="73"/>
      <c r="HF2696" s="73"/>
      <c r="HG2696" s="73"/>
      <c r="HH2696" s="73"/>
      <c r="HI2696" s="73"/>
      <c r="HJ2696" s="73"/>
      <c r="HK2696" s="73"/>
      <c r="HL2696" s="73"/>
      <c r="HM2696" s="73"/>
      <c r="HN2696" s="73"/>
      <c r="HO2696" s="73"/>
      <c r="HP2696" s="73"/>
      <c r="HQ2696" s="73"/>
      <c r="HR2696" s="73"/>
      <c r="HS2696" s="73"/>
      <c r="HT2696" s="73"/>
      <c r="HU2696" s="73"/>
      <c r="HV2696" s="73"/>
      <c r="HW2696" s="73"/>
      <c r="HX2696" s="73"/>
      <c r="HY2696" s="73"/>
      <c r="HZ2696" s="73"/>
      <c r="IA2696" s="73"/>
      <c r="IB2696" s="73"/>
      <c r="IC2696" s="73"/>
      <c r="ID2696" s="73"/>
      <c r="IE2696" s="73"/>
      <c r="IF2696" s="73"/>
      <c r="IG2696" s="73"/>
      <c r="IH2696" s="73"/>
      <c r="II2696" s="73"/>
      <c r="IJ2696" s="73"/>
      <c r="IK2696" s="73"/>
      <c r="IL2696" s="73"/>
      <c r="IM2696" s="73"/>
      <c r="IN2696" s="73"/>
      <c r="IO2696" s="73"/>
      <c r="IP2696" s="73"/>
      <c r="IQ2696" s="73"/>
      <c r="IR2696" s="73"/>
      <c r="IS2696" s="73"/>
      <c r="IT2696" s="73"/>
      <c r="IU2696" s="73"/>
      <c r="IV2696" s="73"/>
      <c r="IW2696" s="73"/>
      <c r="IX2696" s="73"/>
      <c r="IY2696" s="73"/>
      <c r="IZ2696" s="73"/>
      <c r="JA2696" s="73"/>
      <c r="JB2696" s="73"/>
      <c r="JC2696" s="73"/>
    </row>
    <row r="2697" spans="2:263" s="72" customFormat="1">
      <c r="B2697" s="73"/>
      <c r="C2697" s="73"/>
      <c r="D2697" s="73"/>
      <c r="E2697" s="73"/>
      <c r="F2697" s="73"/>
      <c r="G2697" s="73"/>
      <c r="H2697" s="73"/>
      <c r="I2697" s="73"/>
      <c r="J2697" s="73"/>
      <c r="K2697" s="73"/>
      <c r="L2697" s="73"/>
      <c r="M2697" s="73"/>
      <c r="N2697" s="73"/>
      <c r="O2697" s="73"/>
      <c r="P2697" s="73"/>
      <c r="Q2697" s="73"/>
      <c r="R2697" s="73"/>
      <c r="S2697" s="73"/>
      <c r="T2697" s="73"/>
      <c r="U2697" s="73"/>
      <c r="V2697" s="73"/>
      <c r="W2697" s="73"/>
      <c r="GL2697" s="73"/>
      <c r="GM2697" s="73"/>
      <c r="GN2697" s="73"/>
      <c r="GO2697" s="73"/>
      <c r="GP2697" s="73"/>
      <c r="GQ2697" s="73"/>
      <c r="GR2697" s="73"/>
      <c r="GS2697" s="73"/>
      <c r="GT2697" s="73"/>
      <c r="GU2697" s="73"/>
      <c r="GV2697" s="73"/>
      <c r="GW2697" s="73"/>
      <c r="GX2697" s="73"/>
      <c r="GY2697" s="73"/>
      <c r="GZ2697" s="73"/>
      <c r="HA2697" s="73"/>
      <c r="HB2697" s="73"/>
      <c r="HC2697" s="73"/>
      <c r="HD2697" s="73"/>
      <c r="HE2697" s="73"/>
      <c r="HF2697" s="73"/>
      <c r="HG2697" s="73"/>
      <c r="HH2697" s="73"/>
      <c r="HI2697" s="73"/>
      <c r="HJ2697" s="73"/>
      <c r="HK2697" s="73"/>
      <c r="HL2697" s="73"/>
      <c r="HM2697" s="73"/>
      <c r="HN2697" s="73"/>
      <c r="HO2697" s="73"/>
      <c r="HP2697" s="73"/>
      <c r="HQ2697" s="73"/>
      <c r="HR2697" s="73"/>
      <c r="HS2697" s="73"/>
      <c r="HT2697" s="73"/>
      <c r="HU2697" s="73"/>
      <c r="HV2697" s="73"/>
      <c r="HW2697" s="73"/>
      <c r="HX2697" s="73"/>
      <c r="HY2697" s="73"/>
      <c r="HZ2697" s="73"/>
      <c r="IA2697" s="73"/>
      <c r="IB2697" s="73"/>
      <c r="IC2697" s="73"/>
      <c r="ID2697" s="73"/>
      <c r="IE2697" s="73"/>
      <c r="IF2697" s="73"/>
      <c r="IG2697" s="73"/>
      <c r="IH2697" s="73"/>
      <c r="II2697" s="73"/>
      <c r="IJ2697" s="73"/>
      <c r="IK2697" s="73"/>
      <c r="IL2697" s="73"/>
      <c r="IM2697" s="73"/>
      <c r="IN2697" s="73"/>
      <c r="IO2697" s="73"/>
      <c r="IP2697" s="73"/>
      <c r="IQ2697" s="73"/>
      <c r="IR2697" s="73"/>
      <c r="IS2697" s="73"/>
      <c r="IT2697" s="73"/>
      <c r="IU2697" s="73"/>
      <c r="IV2697" s="73"/>
      <c r="IW2697" s="73"/>
      <c r="IX2697" s="73"/>
      <c r="IY2697" s="73"/>
      <c r="IZ2697" s="73"/>
      <c r="JA2697" s="73"/>
      <c r="JB2697" s="73"/>
      <c r="JC2697" s="73"/>
    </row>
    <row r="2698" spans="2:263" s="72" customFormat="1">
      <c r="B2698" s="73"/>
      <c r="C2698" s="73"/>
      <c r="D2698" s="73"/>
      <c r="E2698" s="73"/>
      <c r="F2698" s="73"/>
      <c r="G2698" s="73"/>
      <c r="H2698" s="73"/>
      <c r="I2698" s="73"/>
      <c r="J2698" s="73"/>
      <c r="K2698" s="73"/>
      <c r="L2698" s="73"/>
      <c r="M2698" s="73"/>
      <c r="N2698" s="73"/>
      <c r="O2698" s="73"/>
      <c r="P2698" s="73"/>
      <c r="Q2698" s="73"/>
      <c r="R2698" s="73"/>
      <c r="S2698" s="73"/>
      <c r="T2698" s="73"/>
      <c r="U2698" s="73"/>
      <c r="V2698" s="73"/>
      <c r="W2698" s="73"/>
      <c r="GL2698" s="73"/>
      <c r="GM2698" s="73"/>
      <c r="GN2698" s="73"/>
      <c r="GO2698" s="73"/>
      <c r="GP2698" s="73"/>
      <c r="GQ2698" s="73"/>
      <c r="GR2698" s="73"/>
      <c r="GS2698" s="73"/>
      <c r="GT2698" s="73"/>
      <c r="GU2698" s="73"/>
      <c r="GV2698" s="73"/>
      <c r="GW2698" s="73"/>
      <c r="GX2698" s="73"/>
      <c r="GY2698" s="73"/>
      <c r="GZ2698" s="73"/>
      <c r="HA2698" s="73"/>
      <c r="HB2698" s="73"/>
      <c r="HC2698" s="73"/>
      <c r="HD2698" s="73"/>
      <c r="HE2698" s="73"/>
      <c r="HF2698" s="73"/>
      <c r="HG2698" s="73"/>
      <c r="HH2698" s="73"/>
      <c r="HI2698" s="73"/>
      <c r="HJ2698" s="73"/>
      <c r="HK2698" s="73"/>
      <c r="HL2698" s="73"/>
      <c r="HM2698" s="73"/>
      <c r="HN2698" s="73"/>
      <c r="HO2698" s="73"/>
      <c r="HP2698" s="73"/>
      <c r="HQ2698" s="73"/>
      <c r="HR2698" s="73"/>
      <c r="HS2698" s="73"/>
      <c r="HT2698" s="73"/>
      <c r="HU2698" s="73"/>
      <c r="HV2698" s="73"/>
      <c r="HW2698" s="73"/>
      <c r="HX2698" s="73"/>
      <c r="HY2698" s="73"/>
      <c r="HZ2698" s="73"/>
      <c r="IA2698" s="73"/>
      <c r="IB2698" s="73"/>
      <c r="IC2698" s="73"/>
      <c r="ID2698" s="73"/>
      <c r="IE2698" s="73"/>
      <c r="IF2698" s="73"/>
      <c r="IG2698" s="73"/>
      <c r="IH2698" s="73"/>
      <c r="II2698" s="73"/>
      <c r="IJ2698" s="73"/>
      <c r="IK2698" s="73"/>
      <c r="IL2698" s="73"/>
      <c r="IM2698" s="73"/>
      <c r="IN2698" s="73"/>
      <c r="IO2698" s="73"/>
      <c r="IP2698" s="73"/>
      <c r="IQ2698" s="73"/>
      <c r="IR2698" s="73"/>
      <c r="IS2698" s="73"/>
      <c r="IT2698" s="73"/>
      <c r="IU2698" s="73"/>
      <c r="IV2698" s="73"/>
      <c r="IW2698" s="73"/>
      <c r="IX2698" s="73"/>
      <c r="IY2698" s="73"/>
      <c r="IZ2698" s="73"/>
      <c r="JA2698" s="73"/>
      <c r="JB2698" s="73"/>
      <c r="JC2698" s="73"/>
    </row>
    <row r="2699" spans="2:263" s="72" customFormat="1">
      <c r="B2699" s="73"/>
      <c r="C2699" s="73"/>
      <c r="D2699" s="73"/>
      <c r="E2699" s="73"/>
      <c r="F2699" s="73"/>
      <c r="G2699" s="73"/>
      <c r="H2699" s="73"/>
      <c r="I2699" s="73"/>
      <c r="J2699" s="73"/>
      <c r="K2699" s="73"/>
      <c r="L2699" s="73"/>
      <c r="M2699" s="73"/>
      <c r="N2699" s="73"/>
      <c r="O2699" s="73"/>
      <c r="P2699" s="73"/>
      <c r="Q2699" s="73"/>
      <c r="R2699" s="73"/>
      <c r="S2699" s="73"/>
      <c r="T2699" s="73"/>
      <c r="U2699" s="73"/>
      <c r="V2699" s="73"/>
      <c r="W2699" s="73"/>
      <c r="GL2699" s="73"/>
      <c r="GM2699" s="73"/>
      <c r="GN2699" s="73"/>
      <c r="GO2699" s="73"/>
      <c r="GP2699" s="73"/>
      <c r="GQ2699" s="73"/>
      <c r="GR2699" s="73"/>
      <c r="GS2699" s="73"/>
      <c r="GT2699" s="73"/>
      <c r="GU2699" s="73"/>
      <c r="GV2699" s="73"/>
      <c r="GW2699" s="73"/>
      <c r="GX2699" s="73"/>
      <c r="GY2699" s="73"/>
      <c r="GZ2699" s="73"/>
      <c r="HA2699" s="73"/>
      <c r="HB2699" s="73"/>
      <c r="HC2699" s="73"/>
      <c r="HD2699" s="73"/>
      <c r="HE2699" s="73"/>
      <c r="HF2699" s="73"/>
      <c r="HG2699" s="73"/>
      <c r="HH2699" s="73"/>
      <c r="HI2699" s="73"/>
      <c r="HJ2699" s="73"/>
      <c r="HK2699" s="73"/>
      <c r="HL2699" s="73"/>
      <c r="HM2699" s="73"/>
      <c r="HN2699" s="73"/>
      <c r="HO2699" s="73"/>
      <c r="HP2699" s="73"/>
      <c r="HQ2699" s="73"/>
      <c r="HR2699" s="73"/>
      <c r="HS2699" s="73"/>
      <c r="HT2699" s="73"/>
      <c r="HU2699" s="73"/>
      <c r="HV2699" s="73"/>
      <c r="HW2699" s="73"/>
      <c r="HX2699" s="73"/>
      <c r="HY2699" s="73"/>
      <c r="HZ2699" s="73"/>
      <c r="IA2699" s="73"/>
      <c r="IB2699" s="73"/>
      <c r="IC2699" s="73"/>
      <c r="ID2699" s="73"/>
      <c r="IE2699" s="73"/>
      <c r="IF2699" s="73"/>
      <c r="IG2699" s="73"/>
      <c r="IH2699" s="73"/>
      <c r="II2699" s="73"/>
      <c r="IJ2699" s="73"/>
      <c r="IK2699" s="73"/>
      <c r="IL2699" s="73"/>
      <c r="IM2699" s="73"/>
      <c r="IN2699" s="73"/>
      <c r="IO2699" s="73"/>
      <c r="IP2699" s="73"/>
      <c r="IQ2699" s="73"/>
      <c r="IR2699" s="73"/>
      <c r="IS2699" s="73"/>
      <c r="IT2699" s="73"/>
      <c r="IU2699" s="73"/>
      <c r="IV2699" s="73"/>
      <c r="IW2699" s="73"/>
      <c r="IX2699" s="73"/>
      <c r="IY2699" s="73"/>
      <c r="IZ2699" s="73"/>
      <c r="JA2699" s="73"/>
      <c r="JB2699" s="73"/>
      <c r="JC2699" s="73"/>
    </row>
    <row r="2700" spans="2:263" s="72" customFormat="1">
      <c r="B2700" s="73"/>
      <c r="C2700" s="73"/>
      <c r="D2700" s="73"/>
      <c r="E2700" s="73"/>
      <c r="F2700" s="73"/>
      <c r="G2700" s="73"/>
      <c r="H2700" s="73"/>
      <c r="I2700" s="73"/>
      <c r="J2700" s="73"/>
      <c r="K2700" s="73"/>
      <c r="L2700" s="73"/>
      <c r="M2700" s="73"/>
      <c r="N2700" s="73"/>
      <c r="O2700" s="73"/>
      <c r="P2700" s="73"/>
      <c r="Q2700" s="73"/>
      <c r="R2700" s="73"/>
      <c r="S2700" s="73"/>
      <c r="T2700" s="73"/>
      <c r="U2700" s="73"/>
      <c r="V2700" s="73"/>
      <c r="W2700" s="73"/>
      <c r="GL2700" s="73"/>
      <c r="GM2700" s="73"/>
      <c r="GN2700" s="73"/>
      <c r="GO2700" s="73"/>
      <c r="GP2700" s="73"/>
      <c r="GQ2700" s="73"/>
      <c r="GR2700" s="73"/>
      <c r="GS2700" s="73"/>
      <c r="GT2700" s="73"/>
      <c r="GU2700" s="73"/>
      <c r="GV2700" s="73"/>
      <c r="GW2700" s="73"/>
      <c r="GX2700" s="73"/>
      <c r="GY2700" s="73"/>
      <c r="GZ2700" s="73"/>
      <c r="HA2700" s="73"/>
      <c r="HB2700" s="73"/>
      <c r="HC2700" s="73"/>
      <c r="HD2700" s="73"/>
      <c r="HE2700" s="73"/>
      <c r="HF2700" s="73"/>
      <c r="HG2700" s="73"/>
      <c r="HH2700" s="73"/>
      <c r="HI2700" s="73"/>
      <c r="HJ2700" s="73"/>
      <c r="HK2700" s="73"/>
      <c r="HL2700" s="73"/>
      <c r="HM2700" s="73"/>
      <c r="HN2700" s="73"/>
      <c r="HO2700" s="73"/>
      <c r="HP2700" s="73"/>
      <c r="HQ2700" s="73"/>
      <c r="HR2700" s="73"/>
      <c r="HS2700" s="73"/>
      <c r="HT2700" s="73"/>
      <c r="HU2700" s="73"/>
      <c r="HV2700" s="73"/>
      <c r="HW2700" s="73"/>
      <c r="HX2700" s="73"/>
      <c r="HY2700" s="73"/>
      <c r="HZ2700" s="73"/>
      <c r="IA2700" s="73"/>
      <c r="IB2700" s="73"/>
      <c r="IC2700" s="73"/>
      <c r="ID2700" s="73"/>
      <c r="IE2700" s="73"/>
      <c r="IF2700" s="73"/>
      <c r="IG2700" s="73"/>
      <c r="IH2700" s="73"/>
      <c r="II2700" s="73"/>
      <c r="IJ2700" s="73"/>
      <c r="IK2700" s="73"/>
      <c r="IL2700" s="73"/>
      <c r="IM2700" s="73"/>
      <c r="IN2700" s="73"/>
      <c r="IO2700" s="73"/>
      <c r="IP2700" s="73"/>
      <c r="IQ2700" s="73"/>
      <c r="IR2700" s="73"/>
      <c r="IS2700" s="73"/>
      <c r="IT2700" s="73"/>
      <c r="IU2700" s="73"/>
      <c r="IV2700" s="73"/>
      <c r="IW2700" s="73"/>
      <c r="IX2700" s="73"/>
      <c r="IY2700" s="73"/>
      <c r="IZ2700" s="73"/>
      <c r="JA2700" s="73"/>
      <c r="JB2700" s="73"/>
      <c r="JC2700" s="73"/>
    </row>
    <row r="2701" spans="2:263" s="72" customFormat="1">
      <c r="B2701" s="73"/>
      <c r="C2701" s="73"/>
      <c r="D2701" s="73"/>
      <c r="E2701" s="73"/>
      <c r="F2701" s="73"/>
      <c r="G2701" s="73"/>
      <c r="H2701" s="73"/>
      <c r="I2701" s="73"/>
      <c r="J2701" s="73"/>
      <c r="K2701" s="73"/>
      <c r="L2701" s="73"/>
      <c r="M2701" s="73"/>
      <c r="N2701" s="73"/>
      <c r="O2701" s="73"/>
      <c r="P2701" s="73"/>
      <c r="Q2701" s="73"/>
      <c r="R2701" s="73"/>
      <c r="S2701" s="73"/>
      <c r="T2701" s="73"/>
      <c r="U2701" s="73"/>
      <c r="V2701" s="73"/>
      <c r="W2701" s="73"/>
      <c r="GL2701" s="73"/>
      <c r="GM2701" s="73"/>
      <c r="GN2701" s="73"/>
      <c r="GO2701" s="73"/>
      <c r="GP2701" s="73"/>
      <c r="GQ2701" s="73"/>
      <c r="GR2701" s="73"/>
      <c r="GS2701" s="73"/>
      <c r="GT2701" s="73"/>
      <c r="GU2701" s="73"/>
      <c r="GV2701" s="73"/>
      <c r="GW2701" s="73"/>
      <c r="GX2701" s="73"/>
      <c r="GY2701" s="73"/>
      <c r="GZ2701" s="73"/>
      <c r="HA2701" s="73"/>
      <c r="HB2701" s="73"/>
      <c r="HC2701" s="73"/>
      <c r="HD2701" s="73"/>
      <c r="HE2701" s="73"/>
      <c r="HF2701" s="73"/>
      <c r="HG2701" s="73"/>
      <c r="HH2701" s="73"/>
      <c r="HI2701" s="73"/>
      <c r="HJ2701" s="73"/>
      <c r="HK2701" s="73"/>
      <c r="HL2701" s="73"/>
      <c r="HM2701" s="73"/>
      <c r="HN2701" s="73"/>
      <c r="HO2701" s="73"/>
      <c r="HP2701" s="73"/>
      <c r="HQ2701" s="73"/>
      <c r="HR2701" s="73"/>
      <c r="HS2701" s="73"/>
      <c r="HT2701" s="73"/>
      <c r="HU2701" s="73"/>
      <c r="HV2701" s="73"/>
      <c r="HW2701" s="73"/>
      <c r="HX2701" s="73"/>
      <c r="HY2701" s="73"/>
      <c r="HZ2701" s="73"/>
      <c r="IA2701" s="73"/>
      <c r="IB2701" s="73"/>
      <c r="IC2701" s="73"/>
      <c r="ID2701" s="73"/>
      <c r="IE2701" s="73"/>
      <c r="IF2701" s="73"/>
      <c r="IG2701" s="73"/>
      <c r="IH2701" s="73"/>
      <c r="II2701" s="73"/>
      <c r="IJ2701" s="73"/>
      <c r="IK2701" s="73"/>
      <c r="IL2701" s="73"/>
      <c r="IM2701" s="73"/>
      <c r="IN2701" s="73"/>
      <c r="IO2701" s="73"/>
      <c r="IP2701" s="73"/>
      <c r="IQ2701" s="73"/>
      <c r="IR2701" s="73"/>
      <c r="IS2701" s="73"/>
      <c r="IT2701" s="73"/>
      <c r="IU2701" s="73"/>
      <c r="IV2701" s="73"/>
      <c r="IW2701" s="73"/>
      <c r="IX2701" s="73"/>
      <c r="IY2701" s="73"/>
      <c r="IZ2701" s="73"/>
      <c r="JA2701" s="73"/>
      <c r="JB2701" s="73"/>
      <c r="JC2701" s="73"/>
    </row>
    <row r="2702" spans="2:263" s="72" customFormat="1">
      <c r="B2702" s="73"/>
      <c r="C2702" s="73"/>
      <c r="D2702" s="73"/>
      <c r="E2702" s="73"/>
      <c r="F2702" s="73"/>
      <c r="G2702" s="73"/>
      <c r="H2702" s="73"/>
      <c r="I2702" s="73"/>
      <c r="J2702" s="73"/>
      <c r="K2702" s="73"/>
      <c r="L2702" s="73"/>
      <c r="M2702" s="73"/>
      <c r="N2702" s="73"/>
      <c r="O2702" s="73"/>
      <c r="P2702" s="73"/>
      <c r="Q2702" s="73"/>
      <c r="R2702" s="73"/>
      <c r="S2702" s="73"/>
      <c r="T2702" s="73"/>
      <c r="U2702" s="73"/>
      <c r="V2702" s="73"/>
      <c r="W2702" s="73"/>
      <c r="GL2702" s="73"/>
      <c r="GM2702" s="73"/>
      <c r="GN2702" s="73"/>
      <c r="GO2702" s="73"/>
      <c r="GP2702" s="73"/>
      <c r="GQ2702" s="73"/>
      <c r="GR2702" s="73"/>
      <c r="GS2702" s="73"/>
      <c r="GT2702" s="73"/>
      <c r="GU2702" s="73"/>
      <c r="GV2702" s="73"/>
      <c r="GW2702" s="73"/>
      <c r="GX2702" s="73"/>
      <c r="GY2702" s="73"/>
      <c r="GZ2702" s="73"/>
      <c r="HA2702" s="73"/>
      <c r="HB2702" s="73"/>
      <c r="HC2702" s="73"/>
      <c r="HD2702" s="73"/>
      <c r="HE2702" s="73"/>
      <c r="HF2702" s="73"/>
      <c r="HG2702" s="73"/>
      <c r="HH2702" s="73"/>
      <c r="HI2702" s="73"/>
      <c r="HJ2702" s="73"/>
      <c r="HK2702" s="73"/>
      <c r="HL2702" s="73"/>
      <c r="HM2702" s="73"/>
      <c r="HN2702" s="73"/>
      <c r="HO2702" s="73"/>
      <c r="HP2702" s="73"/>
      <c r="HQ2702" s="73"/>
      <c r="HR2702" s="73"/>
      <c r="HS2702" s="73"/>
      <c r="HT2702" s="73"/>
      <c r="HU2702" s="73"/>
      <c r="HV2702" s="73"/>
      <c r="HW2702" s="73"/>
      <c r="HX2702" s="73"/>
      <c r="HY2702" s="73"/>
      <c r="HZ2702" s="73"/>
      <c r="IA2702" s="73"/>
      <c r="IB2702" s="73"/>
      <c r="IC2702" s="73"/>
      <c r="ID2702" s="73"/>
      <c r="IE2702" s="73"/>
      <c r="IF2702" s="73"/>
      <c r="IG2702" s="73"/>
      <c r="IH2702" s="73"/>
      <c r="II2702" s="73"/>
      <c r="IJ2702" s="73"/>
      <c r="IK2702" s="73"/>
      <c r="IL2702" s="73"/>
      <c r="IM2702" s="73"/>
      <c r="IN2702" s="73"/>
      <c r="IO2702" s="73"/>
      <c r="IP2702" s="73"/>
      <c r="IQ2702" s="73"/>
      <c r="IR2702" s="73"/>
      <c r="IS2702" s="73"/>
      <c r="IT2702" s="73"/>
      <c r="IU2702" s="73"/>
      <c r="IV2702" s="73"/>
      <c r="IW2702" s="73"/>
      <c r="IX2702" s="73"/>
      <c r="IY2702" s="73"/>
      <c r="IZ2702" s="73"/>
      <c r="JA2702" s="73"/>
      <c r="JB2702" s="73"/>
      <c r="JC2702" s="73"/>
    </row>
    <row r="2703" spans="2:263" s="72" customFormat="1">
      <c r="B2703" s="73"/>
      <c r="C2703" s="73"/>
      <c r="D2703" s="73"/>
      <c r="E2703" s="73"/>
      <c r="F2703" s="73"/>
      <c r="G2703" s="73"/>
      <c r="H2703" s="73"/>
      <c r="I2703" s="73"/>
      <c r="J2703" s="73"/>
      <c r="K2703" s="73"/>
      <c r="L2703" s="73"/>
      <c r="M2703" s="73"/>
      <c r="N2703" s="73"/>
      <c r="O2703" s="73"/>
      <c r="P2703" s="73"/>
      <c r="Q2703" s="73"/>
      <c r="R2703" s="73"/>
      <c r="S2703" s="73"/>
      <c r="T2703" s="73"/>
      <c r="U2703" s="73"/>
      <c r="V2703" s="73"/>
      <c r="W2703" s="73"/>
      <c r="GL2703" s="73"/>
      <c r="GM2703" s="73"/>
      <c r="GN2703" s="73"/>
      <c r="GO2703" s="73"/>
      <c r="GP2703" s="73"/>
      <c r="GQ2703" s="73"/>
      <c r="GR2703" s="73"/>
      <c r="GS2703" s="73"/>
      <c r="GT2703" s="73"/>
      <c r="GU2703" s="73"/>
      <c r="GV2703" s="73"/>
      <c r="GW2703" s="73"/>
      <c r="GX2703" s="73"/>
      <c r="GY2703" s="73"/>
      <c r="GZ2703" s="73"/>
      <c r="HA2703" s="73"/>
      <c r="HB2703" s="73"/>
      <c r="HC2703" s="73"/>
      <c r="HD2703" s="73"/>
      <c r="HE2703" s="73"/>
      <c r="HF2703" s="73"/>
      <c r="HG2703" s="73"/>
      <c r="HH2703" s="73"/>
      <c r="HI2703" s="73"/>
      <c r="HJ2703" s="73"/>
      <c r="HK2703" s="73"/>
      <c r="HL2703" s="73"/>
      <c r="HM2703" s="73"/>
      <c r="HN2703" s="73"/>
      <c r="HO2703" s="73"/>
      <c r="HP2703" s="73"/>
      <c r="HQ2703" s="73"/>
      <c r="HR2703" s="73"/>
      <c r="HS2703" s="73"/>
      <c r="HT2703" s="73"/>
      <c r="HU2703" s="73"/>
      <c r="HV2703" s="73"/>
      <c r="HW2703" s="73"/>
      <c r="HX2703" s="73"/>
      <c r="HY2703" s="73"/>
      <c r="HZ2703" s="73"/>
      <c r="IA2703" s="73"/>
      <c r="IB2703" s="73"/>
      <c r="IC2703" s="73"/>
      <c r="ID2703" s="73"/>
      <c r="IE2703" s="73"/>
      <c r="IF2703" s="73"/>
      <c r="IG2703" s="73"/>
      <c r="IH2703" s="73"/>
      <c r="II2703" s="73"/>
      <c r="IJ2703" s="73"/>
      <c r="IK2703" s="73"/>
      <c r="IL2703" s="73"/>
      <c r="IM2703" s="73"/>
      <c r="IN2703" s="73"/>
      <c r="IO2703" s="73"/>
      <c r="IP2703" s="73"/>
      <c r="IQ2703" s="73"/>
      <c r="IR2703" s="73"/>
      <c r="IS2703" s="73"/>
      <c r="IT2703" s="73"/>
      <c r="IU2703" s="73"/>
      <c r="IV2703" s="73"/>
      <c r="IW2703" s="73"/>
      <c r="IX2703" s="73"/>
      <c r="IY2703" s="73"/>
      <c r="IZ2703" s="73"/>
      <c r="JA2703" s="73"/>
      <c r="JB2703" s="73"/>
      <c r="JC2703" s="73"/>
    </row>
    <row r="2704" spans="2:263" s="72" customFormat="1">
      <c r="B2704" s="73"/>
      <c r="C2704" s="73"/>
      <c r="D2704" s="73"/>
      <c r="E2704" s="73"/>
      <c r="F2704" s="73"/>
      <c r="G2704" s="73"/>
      <c r="H2704" s="73"/>
      <c r="I2704" s="73"/>
      <c r="J2704" s="73"/>
      <c r="K2704" s="73"/>
      <c r="L2704" s="73"/>
      <c r="M2704" s="73"/>
      <c r="N2704" s="73"/>
      <c r="O2704" s="73"/>
      <c r="P2704" s="73"/>
      <c r="Q2704" s="73"/>
      <c r="R2704" s="73"/>
      <c r="S2704" s="73"/>
      <c r="T2704" s="73"/>
      <c r="U2704" s="73"/>
      <c r="V2704" s="73"/>
      <c r="W2704" s="73"/>
      <c r="GL2704" s="73"/>
      <c r="GM2704" s="73"/>
      <c r="GN2704" s="73"/>
      <c r="GO2704" s="73"/>
      <c r="GP2704" s="73"/>
      <c r="GQ2704" s="73"/>
      <c r="GR2704" s="73"/>
      <c r="GS2704" s="73"/>
      <c r="GT2704" s="73"/>
      <c r="GU2704" s="73"/>
      <c r="GV2704" s="73"/>
      <c r="GW2704" s="73"/>
      <c r="GX2704" s="73"/>
      <c r="GY2704" s="73"/>
      <c r="GZ2704" s="73"/>
      <c r="HA2704" s="73"/>
      <c r="HB2704" s="73"/>
      <c r="HC2704" s="73"/>
      <c r="HD2704" s="73"/>
      <c r="HE2704" s="73"/>
      <c r="HF2704" s="73"/>
      <c r="HG2704" s="73"/>
      <c r="HH2704" s="73"/>
      <c r="HI2704" s="73"/>
      <c r="HJ2704" s="73"/>
      <c r="HK2704" s="73"/>
      <c r="HL2704" s="73"/>
      <c r="HM2704" s="73"/>
      <c r="HN2704" s="73"/>
      <c r="HO2704" s="73"/>
      <c r="HP2704" s="73"/>
      <c r="HQ2704" s="73"/>
      <c r="HR2704" s="73"/>
      <c r="HS2704" s="73"/>
      <c r="HT2704" s="73"/>
      <c r="HU2704" s="73"/>
      <c r="HV2704" s="73"/>
      <c r="HW2704" s="73"/>
      <c r="HX2704" s="73"/>
      <c r="HY2704" s="73"/>
      <c r="HZ2704" s="73"/>
      <c r="IA2704" s="73"/>
      <c r="IB2704" s="73"/>
      <c r="IC2704" s="73"/>
      <c r="ID2704" s="73"/>
      <c r="IE2704" s="73"/>
      <c r="IF2704" s="73"/>
      <c r="IG2704" s="73"/>
      <c r="IH2704" s="73"/>
      <c r="II2704" s="73"/>
      <c r="IJ2704" s="73"/>
      <c r="IK2704" s="73"/>
      <c r="IL2704" s="73"/>
      <c r="IM2704" s="73"/>
      <c r="IN2704" s="73"/>
      <c r="IO2704" s="73"/>
      <c r="IP2704" s="73"/>
      <c r="IQ2704" s="73"/>
      <c r="IR2704" s="73"/>
      <c r="IS2704" s="73"/>
      <c r="IT2704" s="73"/>
      <c r="IU2704" s="73"/>
      <c r="IV2704" s="73"/>
      <c r="IW2704" s="73"/>
      <c r="IX2704" s="73"/>
      <c r="IY2704" s="73"/>
      <c r="IZ2704" s="73"/>
      <c r="JA2704" s="73"/>
      <c r="JB2704" s="73"/>
      <c r="JC2704" s="73"/>
    </row>
    <row r="2705" spans="2:263" s="72" customFormat="1">
      <c r="B2705" s="73"/>
      <c r="C2705" s="73"/>
      <c r="D2705" s="73"/>
      <c r="E2705" s="73"/>
      <c r="F2705" s="73"/>
      <c r="G2705" s="73"/>
      <c r="H2705" s="73"/>
      <c r="I2705" s="73"/>
      <c r="J2705" s="73"/>
      <c r="K2705" s="73"/>
      <c r="L2705" s="73"/>
      <c r="M2705" s="73"/>
      <c r="N2705" s="73"/>
      <c r="O2705" s="73"/>
      <c r="P2705" s="73"/>
      <c r="Q2705" s="73"/>
      <c r="R2705" s="73"/>
      <c r="S2705" s="73"/>
      <c r="T2705" s="73"/>
      <c r="U2705" s="73"/>
      <c r="V2705" s="73"/>
      <c r="W2705" s="73"/>
      <c r="GL2705" s="73"/>
      <c r="GM2705" s="73"/>
      <c r="GN2705" s="73"/>
      <c r="GO2705" s="73"/>
      <c r="GP2705" s="73"/>
      <c r="GQ2705" s="73"/>
      <c r="GR2705" s="73"/>
      <c r="GS2705" s="73"/>
      <c r="GT2705" s="73"/>
      <c r="GU2705" s="73"/>
      <c r="GV2705" s="73"/>
      <c r="GW2705" s="73"/>
      <c r="GX2705" s="73"/>
      <c r="GY2705" s="73"/>
      <c r="GZ2705" s="73"/>
      <c r="HA2705" s="73"/>
      <c r="HB2705" s="73"/>
      <c r="HC2705" s="73"/>
      <c r="HD2705" s="73"/>
      <c r="HE2705" s="73"/>
      <c r="HF2705" s="73"/>
      <c r="HG2705" s="73"/>
      <c r="HH2705" s="73"/>
      <c r="HI2705" s="73"/>
      <c r="HJ2705" s="73"/>
      <c r="HK2705" s="73"/>
      <c r="HL2705" s="73"/>
      <c r="HM2705" s="73"/>
      <c r="HN2705" s="73"/>
      <c r="HO2705" s="73"/>
      <c r="HP2705" s="73"/>
      <c r="HQ2705" s="73"/>
      <c r="HR2705" s="73"/>
      <c r="HS2705" s="73"/>
      <c r="HT2705" s="73"/>
      <c r="HU2705" s="73"/>
      <c r="HV2705" s="73"/>
      <c r="HW2705" s="73"/>
      <c r="HX2705" s="73"/>
      <c r="HY2705" s="73"/>
      <c r="HZ2705" s="73"/>
      <c r="IA2705" s="73"/>
      <c r="IB2705" s="73"/>
      <c r="IC2705" s="73"/>
      <c r="ID2705" s="73"/>
      <c r="IE2705" s="73"/>
      <c r="IF2705" s="73"/>
      <c r="IG2705" s="73"/>
      <c r="IH2705" s="73"/>
      <c r="II2705" s="73"/>
      <c r="IJ2705" s="73"/>
      <c r="IK2705" s="73"/>
      <c r="IL2705" s="73"/>
      <c r="IM2705" s="73"/>
      <c r="IN2705" s="73"/>
      <c r="IO2705" s="73"/>
      <c r="IP2705" s="73"/>
      <c r="IQ2705" s="73"/>
      <c r="IR2705" s="73"/>
      <c r="IS2705" s="73"/>
      <c r="IT2705" s="73"/>
      <c r="IU2705" s="73"/>
      <c r="IV2705" s="73"/>
      <c r="IW2705" s="73"/>
      <c r="IX2705" s="73"/>
      <c r="IY2705" s="73"/>
      <c r="IZ2705" s="73"/>
      <c r="JA2705" s="73"/>
      <c r="JB2705" s="73"/>
      <c r="JC2705" s="73"/>
    </row>
    <row r="2706" spans="2:263" s="72" customFormat="1">
      <c r="B2706" s="73"/>
      <c r="C2706" s="73"/>
      <c r="D2706" s="73"/>
      <c r="E2706" s="73"/>
      <c r="F2706" s="73"/>
      <c r="G2706" s="73"/>
      <c r="H2706" s="73"/>
      <c r="I2706" s="73"/>
      <c r="J2706" s="73"/>
      <c r="K2706" s="73"/>
      <c r="L2706" s="73"/>
      <c r="M2706" s="73"/>
      <c r="N2706" s="73"/>
      <c r="O2706" s="73"/>
      <c r="P2706" s="73"/>
      <c r="Q2706" s="73"/>
      <c r="R2706" s="73"/>
      <c r="S2706" s="73"/>
      <c r="T2706" s="73"/>
      <c r="U2706" s="73"/>
      <c r="V2706" s="73"/>
      <c r="W2706" s="73"/>
      <c r="GL2706" s="73"/>
      <c r="GM2706" s="73"/>
      <c r="GN2706" s="73"/>
      <c r="GO2706" s="73"/>
      <c r="GP2706" s="73"/>
      <c r="GQ2706" s="73"/>
      <c r="GR2706" s="73"/>
      <c r="GS2706" s="73"/>
      <c r="GT2706" s="73"/>
      <c r="GU2706" s="73"/>
      <c r="GV2706" s="73"/>
      <c r="GW2706" s="73"/>
      <c r="GX2706" s="73"/>
      <c r="GY2706" s="73"/>
      <c r="GZ2706" s="73"/>
      <c r="HA2706" s="73"/>
      <c r="HB2706" s="73"/>
      <c r="HC2706" s="73"/>
      <c r="HD2706" s="73"/>
      <c r="HE2706" s="73"/>
      <c r="HF2706" s="73"/>
      <c r="HG2706" s="73"/>
      <c r="HH2706" s="73"/>
      <c r="HI2706" s="73"/>
      <c r="HJ2706" s="73"/>
      <c r="HK2706" s="73"/>
      <c r="HL2706" s="73"/>
      <c r="HM2706" s="73"/>
      <c r="HN2706" s="73"/>
      <c r="HO2706" s="73"/>
      <c r="HP2706" s="73"/>
      <c r="HQ2706" s="73"/>
      <c r="HR2706" s="73"/>
      <c r="HS2706" s="73"/>
      <c r="HT2706" s="73"/>
      <c r="HU2706" s="73"/>
      <c r="HV2706" s="73"/>
      <c r="HW2706" s="73"/>
      <c r="HX2706" s="73"/>
      <c r="HY2706" s="73"/>
      <c r="HZ2706" s="73"/>
      <c r="IA2706" s="73"/>
      <c r="IB2706" s="73"/>
      <c r="IC2706" s="73"/>
      <c r="ID2706" s="73"/>
      <c r="IE2706" s="73"/>
      <c r="IF2706" s="73"/>
      <c r="IG2706" s="73"/>
      <c r="IH2706" s="73"/>
      <c r="II2706" s="73"/>
      <c r="IJ2706" s="73"/>
      <c r="IK2706" s="73"/>
      <c r="IL2706" s="73"/>
      <c r="IM2706" s="73"/>
      <c r="IN2706" s="73"/>
      <c r="IO2706" s="73"/>
      <c r="IP2706" s="73"/>
      <c r="IQ2706" s="73"/>
      <c r="IR2706" s="73"/>
      <c r="IS2706" s="73"/>
      <c r="IT2706" s="73"/>
      <c r="IU2706" s="73"/>
      <c r="IV2706" s="73"/>
      <c r="IW2706" s="73"/>
      <c r="IX2706" s="73"/>
      <c r="IY2706" s="73"/>
      <c r="IZ2706" s="73"/>
      <c r="JA2706" s="73"/>
      <c r="JB2706" s="73"/>
      <c r="JC2706" s="73"/>
    </row>
    <row r="2707" spans="2:263" s="72" customFormat="1">
      <c r="B2707" s="73"/>
      <c r="C2707" s="73"/>
      <c r="D2707" s="73"/>
      <c r="E2707" s="73"/>
      <c r="F2707" s="73"/>
      <c r="G2707" s="73"/>
      <c r="H2707" s="73"/>
      <c r="I2707" s="73"/>
      <c r="J2707" s="73"/>
      <c r="K2707" s="73"/>
      <c r="L2707" s="73"/>
      <c r="M2707" s="73"/>
      <c r="N2707" s="73"/>
      <c r="O2707" s="73"/>
      <c r="P2707" s="73"/>
      <c r="Q2707" s="73"/>
      <c r="R2707" s="73"/>
      <c r="S2707" s="73"/>
      <c r="T2707" s="73"/>
      <c r="U2707" s="73"/>
      <c r="V2707" s="73"/>
      <c r="W2707" s="73"/>
      <c r="GL2707" s="73"/>
      <c r="GM2707" s="73"/>
      <c r="GN2707" s="73"/>
      <c r="GO2707" s="73"/>
      <c r="GP2707" s="73"/>
      <c r="GQ2707" s="73"/>
      <c r="GR2707" s="73"/>
      <c r="GS2707" s="73"/>
      <c r="GT2707" s="73"/>
      <c r="GU2707" s="73"/>
      <c r="GV2707" s="73"/>
      <c r="GW2707" s="73"/>
      <c r="GX2707" s="73"/>
      <c r="GY2707" s="73"/>
      <c r="GZ2707" s="73"/>
      <c r="HA2707" s="73"/>
      <c r="HB2707" s="73"/>
      <c r="HC2707" s="73"/>
      <c r="HD2707" s="73"/>
      <c r="HE2707" s="73"/>
      <c r="HF2707" s="73"/>
      <c r="HG2707" s="73"/>
      <c r="HH2707" s="73"/>
      <c r="HI2707" s="73"/>
      <c r="HJ2707" s="73"/>
      <c r="HK2707" s="73"/>
      <c r="HL2707" s="73"/>
      <c r="HM2707" s="73"/>
      <c r="HN2707" s="73"/>
      <c r="HO2707" s="73"/>
      <c r="HP2707" s="73"/>
      <c r="HQ2707" s="73"/>
      <c r="HR2707" s="73"/>
      <c r="HS2707" s="73"/>
      <c r="HT2707" s="73"/>
      <c r="HU2707" s="73"/>
      <c r="HV2707" s="73"/>
      <c r="HW2707" s="73"/>
      <c r="HX2707" s="73"/>
      <c r="HY2707" s="73"/>
      <c r="HZ2707" s="73"/>
      <c r="IA2707" s="73"/>
      <c r="IB2707" s="73"/>
      <c r="IC2707" s="73"/>
      <c r="ID2707" s="73"/>
      <c r="IE2707" s="73"/>
      <c r="IF2707" s="73"/>
      <c r="IG2707" s="73"/>
      <c r="IH2707" s="73"/>
      <c r="II2707" s="73"/>
      <c r="IJ2707" s="73"/>
      <c r="IK2707" s="73"/>
      <c r="IL2707" s="73"/>
      <c r="IM2707" s="73"/>
      <c r="IN2707" s="73"/>
      <c r="IO2707" s="73"/>
      <c r="IP2707" s="73"/>
      <c r="IQ2707" s="73"/>
      <c r="IR2707" s="73"/>
      <c r="IS2707" s="73"/>
      <c r="IT2707" s="73"/>
      <c r="IU2707" s="73"/>
      <c r="IV2707" s="73"/>
      <c r="IW2707" s="73"/>
      <c r="IX2707" s="73"/>
      <c r="IY2707" s="73"/>
      <c r="IZ2707" s="73"/>
      <c r="JA2707" s="73"/>
      <c r="JB2707" s="73"/>
      <c r="JC2707" s="73"/>
    </row>
    <row r="2708" spans="2:263" s="72" customFormat="1">
      <c r="B2708" s="73"/>
      <c r="C2708" s="73"/>
      <c r="D2708" s="73"/>
      <c r="E2708" s="73"/>
      <c r="F2708" s="73"/>
      <c r="G2708" s="73"/>
      <c r="H2708" s="73"/>
      <c r="I2708" s="73"/>
      <c r="J2708" s="73"/>
      <c r="K2708" s="73"/>
      <c r="L2708" s="73"/>
      <c r="M2708" s="73"/>
      <c r="N2708" s="73"/>
      <c r="O2708" s="73"/>
      <c r="P2708" s="73"/>
      <c r="Q2708" s="73"/>
      <c r="R2708" s="73"/>
      <c r="S2708" s="73"/>
      <c r="T2708" s="73"/>
      <c r="U2708" s="73"/>
      <c r="V2708" s="73"/>
      <c r="W2708" s="73"/>
      <c r="GL2708" s="73"/>
      <c r="GM2708" s="73"/>
      <c r="GN2708" s="73"/>
      <c r="GO2708" s="73"/>
      <c r="GP2708" s="73"/>
      <c r="GQ2708" s="73"/>
      <c r="GR2708" s="73"/>
      <c r="GS2708" s="73"/>
      <c r="GT2708" s="73"/>
      <c r="GU2708" s="73"/>
      <c r="GV2708" s="73"/>
      <c r="GW2708" s="73"/>
      <c r="GX2708" s="73"/>
      <c r="GY2708" s="73"/>
      <c r="GZ2708" s="73"/>
      <c r="HA2708" s="73"/>
      <c r="HB2708" s="73"/>
      <c r="HC2708" s="73"/>
      <c r="HD2708" s="73"/>
      <c r="HE2708" s="73"/>
      <c r="HF2708" s="73"/>
      <c r="HG2708" s="73"/>
      <c r="HH2708" s="73"/>
      <c r="HI2708" s="73"/>
      <c r="HJ2708" s="73"/>
      <c r="HK2708" s="73"/>
      <c r="HL2708" s="73"/>
      <c r="HM2708" s="73"/>
      <c r="HN2708" s="73"/>
      <c r="HO2708" s="73"/>
      <c r="HP2708" s="73"/>
      <c r="HQ2708" s="73"/>
      <c r="HR2708" s="73"/>
      <c r="HS2708" s="73"/>
      <c r="HT2708" s="73"/>
      <c r="HU2708" s="73"/>
      <c r="HV2708" s="73"/>
      <c r="HW2708" s="73"/>
      <c r="HX2708" s="73"/>
      <c r="HY2708" s="73"/>
      <c r="HZ2708" s="73"/>
      <c r="IA2708" s="73"/>
      <c r="IB2708" s="73"/>
      <c r="IC2708" s="73"/>
      <c r="ID2708" s="73"/>
      <c r="IE2708" s="73"/>
      <c r="IF2708" s="73"/>
      <c r="IG2708" s="73"/>
      <c r="IH2708" s="73"/>
      <c r="II2708" s="73"/>
      <c r="IJ2708" s="73"/>
      <c r="IK2708" s="73"/>
      <c r="IL2708" s="73"/>
      <c r="IM2708" s="73"/>
      <c r="IN2708" s="73"/>
      <c r="IO2708" s="73"/>
      <c r="IP2708" s="73"/>
      <c r="IQ2708" s="73"/>
      <c r="IR2708" s="73"/>
      <c r="IS2708" s="73"/>
      <c r="IT2708" s="73"/>
      <c r="IU2708" s="73"/>
      <c r="IV2708" s="73"/>
      <c r="IW2708" s="73"/>
      <c r="IX2708" s="73"/>
      <c r="IY2708" s="73"/>
      <c r="IZ2708" s="73"/>
      <c r="JA2708" s="73"/>
      <c r="JB2708" s="73"/>
      <c r="JC2708" s="73"/>
    </row>
    <row r="2709" spans="2:263" s="72" customFormat="1">
      <c r="B2709" s="73"/>
      <c r="C2709" s="73"/>
      <c r="D2709" s="73"/>
      <c r="E2709" s="73"/>
      <c r="F2709" s="73"/>
      <c r="G2709" s="73"/>
      <c r="H2709" s="73"/>
      <c r="I2709" s="73"/>
      <c r="J2709" s="73"/>
      <c r="K2709" s="73"/>
      <c r="L2709" s="73"/>
      <c r="M2709" s="73"/>
      <c r="N2709" s="73"/>
      <c r="O2709" s="73"/>
      <c r="P2709" s="73"/>
      <c r="Q2709" s="73"/>
      <c r="R2709" s="73"/>
      <c r="S2709" s="73"/>
      <c r="T2709" s="73"/>
      <c r="U2709" s="73"/>
      <c r="V2709" s="73"/>
      <c r="W2709" s="73"/>
      <c r="GL2709" s="73"/>
      <c r="GM2709" s="73"/>
      <c r="GN2709" s="73"/>
      <c r="GO2709" s="73"/>
      <c r="GP2709" s="73"/>
      <c r="GQ2709" s="73"/>
      <c r="GR2709" s="73"/>
      <c r="GS2709" s="73"/>
      <c r="GT2709" s="73"/>
      <c r="GU2709" s="73"/>
      <c r="GV2709" s="73"/>
      <c r="GW2709" s="73"/>
      <c r="GX2709" s="73"/>
      <c r="GY2709" s="73"/>
      <c r="GZ2709" s="73"/>
      <c r="HA2709" s="73"/>
      <c r="HB2709" s="73"/>
      <c r="HC2709" s="73"/>
      <c r="HD2709" s="73"/>
      <c r="HE2709" s="73"/>
      <c r="HF2709" s="73"/>
      <c r="HG2709" s="73"/>
      <c r="HH2709" s="73"/>
      <c r="HI2709" s="73"/>
      <c r="HJ2709" s="73"/>
      <c r="HK2709" s="73"/>
      <c r="HL2709" s="73"/>
      <c r="HM2709" s="73"/>
      <c r="HN2709" s="73"/>
      <c r="HO2709" s="73"/>
      <c r="HP2709" s="73"/>
      <c r="HQ2709" s="73"/>
      <c r="HR2709" s="73"/>
      <c r="HS2709" s="73"/>
      <c r="HT2709" s="73"/>
      <c r="HU2709" s="73"/>
      <c r="HV2709" s="73"/>
      <c r="HW2709" s="73"/>
      <c r="HX2709" s="73"/>
      <c r="HY2709" s="73"/>
      <c r="HZ2709" s="73"/>
      <c r="IA2709" s="73"/>
      <c r="IB2709" s="73"/>
      <c r="IC2709" s="73"/>
      <c r="ID2709" s="73"/>
      <c r="IE2709" s="73"/>
      <c r="IF2709" s="73"/>
      <c r="IG2709" s="73"/>
      <c r="IH2709" s="73"/>
      <c r="II2709" s="73"/>
      <c r="IJ2709" s="73"/>
      <c r="IK2709" s="73"/>
      <c r="IL2709" s="73"/>
      <c r="IM2709" s="73"/>
      <c r="IN2709" s="73"/>
      <c r="IO2709" s="73"/>
      <c r="IP2709" s="73"/>
      <c r="IQ2709" s="73"/>
      <c r="IR2709" s="73"/>
      <c r="IS2709" s="73"/>
      <c r="IT2709" s="73"/>
      <c r="IU2709" s="73"/>
      <c r="IV2709" s="73"/>
      <c r="IW2709" s="73"/>
      <c r="IX2709" s="73"/>
      <c r="IY2709" s="73"/>
      <c r="IZ2709" s="73"/>
      <c r="JA2709" s="73"/>
      <c r="JB2709" s="73"/>
      <c r="JC2709" s="73"/>
    </row>
    <row r="2710" spans="2:263" s="72" customFormat="1">
      <c r="B2710" s="73"/>
      <c r="C2710" s="73"/>
      <c r="D2710" s="73"/>
      <c r="E2710" s="73"/>
      <c r="F2710" s="73"/>
      <c r="G2710" s="73"/>
      <c r="H2710" s="73"/>
      <c r="I2710" s="73"/>
      <c r="J2710" s="73"/>
      <c r="K2710" s="73"/>
      <c r="L2710" s="73"/>
      <c r="M2710" s="73"/>
      <c r="N2710" s="73"/>
      <c r="O2710" s="73"/>
      <c r="P2710" s="73"/>
      <c r="Q2710" s="73"/>
      <c r="R2710" s="73"/>
      <c r="S2710" s="73"/>
      <c r="T2710" s="73"/>
      <c r="U2710" s="73"/>
      <c r="V2710" s="73"/>
      <c r="W2710" s="73"/>
      <c r="GL2710" s="73"/>
      <c r="GM2710" s="73"/>
      <c r="GN2710" s="73"/>
      <c r="GO2710" s="73"/>
      <c r="GP2710" s="73"/>
      <c r="GQ2710" s="73"/>
      <c r="GR2710" s="73"/>
      <c r="GS2710" s="73"/>
      <c r="GT2710" s="73"/>
      <c r="GU2710" s="73"/>
      <c r="GV2710" s="73"/>
      <c r="GW2710" s="73"/>
      <c r="GX2710" s="73"/>
      <c r="GY2710" s="73"/>
      <c r="GZ2710" s="73"/>
      <c r="HA2710" s="73"/>
      <c r="HB2710" s="73"/>
      <c r="HC2710" s="73"/>
      <c r="HD2710" s="73"/>
      <c r="HE2710" s="73"/>
      <c r="HF2710" s="73"/>
      <c r="HG2710" s="73"/>
      <c r="HH2710" s="73"/>
      <c r="HI2710" s="73"/>
      <c r="HJ2710" s="73"/>
      <c r="HK2710" s="73"/>
      <c r="HL2710" s="73"/>
      <c r="HM2710" s="73"/>
      <c r="HN2710" s="73"/>
      <c r="HO2710" s="73"/>
      <c r="HP2710" s="73"/>
      <c r="HQ2710" s="73"/>
      <c r="HR2710" s="73"/>
      <c r="HS2710" s="73"/>
      <c r="HT2710" s="73"/>
      <c r="HU2710" s="73"/>
      <c r="HV2710" s="73"/>
      <c r="HW2710" s="73"/>
      <c r="HX2710" s="73"/>
      <c r="HY2710" s="73"/>
      <c r="HZ2710" s="73"/>
      <c r="IA2710" s="73"/>
      <c r="IB2710" s="73"/>
      <c r="IC2710" s="73"/>
      <c r="ID2710" s="73"/>
      <c r="IE2710" s="73"/>
      <c r="IF2710" s="73"/>
      <c r="IG2710" s="73"/>
      <c r="IH2710" s="73"/>
      <c r="II2710" s="73"/>
      <c r="IJ2710" s="73"/>
      <c r="IK2710" s="73"/>
      <c r="IL2710" s="73"/>
      <c r="IM2710" s="73"/>
      <c r="IN2710" s="73"/>
      <c r="IO2710" s="73"/>
      <c r="IP2710" s="73"/>
      <c r="IQ2710" s="73"/>
      <c r="IR2710" s="73"/>
      <c r="IS2710" s="73"/>
      <c r="IT2710" s="73"/>
      <c r="IU2710" s="73"/>
      <c r="IV2710" s="73"/>
      <c r="IW2710" s="73"/>
      <c r="IX2710" s="73"/>
      <c r="IY2710" s="73"/>
      <c r="IZ2710" s="73"/>
      <c r="JA2710" s="73"/>
      <c r="JB2710" s="73"/>
      <c r="JC2710" s="73"/>
    </row>
    <row r="2711" spans="2:263" s="72" customFormat="1">
      <c r="B2711" s="73"/>
      <c r="C2711" s="73"/>
      <c r="D2711" s="73"/>
      <c r="E2711" s="73"/>
      <c r="F2711" s="73"/>
      <c r="G2711" s="73"/>
      <c r="H2711" s="73"/>
      <c r="I2711" s="73"/>
      <c r="J2711" s="73"/>
      <c r="K2711" s="73"/>
      <c r="L2711" s="73"/>
      <c r="M2711" s="73"/>
      <c r="N2711" s="73"/>
      <c r="O2711" s="73"/>
      <c r="P2711" s="73"/>
      <c r="Q2711" s="73"/>
      <c r="R2711" s="73"/>
      <c r="S2711" s="73"/>
      <c r="T2711" s="73"/>
      <c r="U2711" s="73"/>
      <c r="V2711" s="73"/>
      <c r="W2711" s="73"/>
      <c r="GL2711" s="73"/>
      <c r="GM2711" s="73"/>
      <c r="GN2711" s="73"/>
      <c r="GO2711" s="73"/>
      <c r="GP2711" s="73"/>
      <c r="GQ2711" s="73"/>
      <c r="GR2711" s="73"/>
      <c r="GS2711" s="73"/>
      <c r="GT2711" s="73"/>
      <c r="GU2711" s="73"/>
      <c r="GV2711" s="73"/>
      <c r="GW2711" s="73"/>
      <c r="GX2711" s="73"/>
      <c r="GY2711" s="73"/>
      <c r="GZ2711" s="73"/>
      <c r="HA2711" s="73"/>
      <c r="HB2711" s="73"/>
      <c r="HC2711" s="73"/>
      <c r="HD2711" s="73"/>
      <c r="HE2711" s="73"/>
      <c r="HF2711" s="73"/>
      <c r="HG2711" s="73"/>
      <c r="HH2711" s="73"/>
      <c r="HI2711" s="73"/>
      <c r="HJ2711" s="73"/>
      <c r="HK2711" s="73"/>
      <c r="HL2711" s="73"/>
      <c r="HM2711" s="73"/>
      <c r="HN2711" s="73"/>
      <c r="HO2711" s="73"/>
      <c r="HP2711" s="73"/>
      <c r="HQ2711" s="73"/>
      <c r="HR2711" s="73"/>
      <c r="HS2711" s="73"/>
      <c r="HT2711" s="73"/>
      <c r="HU2711" s="73"/>
      <c r="HV2711" s="73"/>
      <c r="HW2711" s="73"/>
      <c r="HX2711" s="73"/>
      <c r="HY2711" s="73"/>
      <c r="HZ2711" s="73"/>
      <c r="IA2711" s="73"/>
      <c r="IB2711" s="73"/>
      <c r="IC2711" s="73"/>
      <c r="ID2711" s="73"/>
      <c r="IE2711" s="73"/>
      <c r="IF2711" s="73"/>
      <c r="IG2711" s="73"/>
      <c r="IH2711" s="73"/>
      <c r="II2711" s="73"/>
      <c r="IJ2711" s="73"/>
      <c r="IK2711" s="73"/>
      <c r="IL2711" s="73"/>
      <c r="IM2711" s="73"/>
      <c r="IN2711" s="73"/>
      <c r="IO2711" s="73"/>
      <c r="IP2711" s="73"/>
      <c r="IQ2711" s="73"/>
      <c r="IR2711" s="73"/>
      <c r="IS2711" s="73"/>
      <c r="IT2711" s="73"/>
      <c r="IU2711" s="73"/>
      <c r="IV2711" s="73"/>
      <c r="IW2711" s="73"/>
      <c r="IX2711" s="73"/>
      <c r="IY2711" s="73"/>
      <c r="IZ2711" s="73"/>
      <c r="JA2711" s="73"/>
      <c r="JB2711" s="73"/>
      <c r="JC2711" s="73"/>
    </row>
    <row r="2712" spans="2:263" s="72" customFormat="1">
      <c r="B2712" s="73"/>
      <c r="C2712" s="73"/>
      <c r="D2712" s="73"/>
      <c r="E2712" s="73"/>
      <c r="F2712" s="73"/>
      <c r="G2712" s="73"/>
      <c r="H2712" s="73"/>
      <c r="I2712" s="73"/>
      <c r="J2712" s="73"/>
      <c r="K2712" s="73"/>
      <c r="L2712" s="73"/>
      <c r="M2712" s="73"/>
      <c r="N2712" s="73"/>
      <c r="O2712" s="73"/>
      <c r="P2712" s="73"/>
      <c r="Q2712" s="73"/>
      <c r="R2712" s="73"/>
      <c r="S2712" s="73"/>
      <c r="T2712" s="73"/>
      <c r="U2712" s="73"/>
      <c r="V2712" s="73"/>
      <c r="W2712" s="73"/>
      <c r="GL2712" s="73"/>
      <c r="GM2712" s="73"/>
      <c r="GN2712" s="73"/>
      <c r="GO2712" s="73"/>
      <c r="GP2712" s="73"/>
      <c r="GQ2712" s="73"/>
      <c r="GR2712" s="73"/>
      <c r="GS2712" s="73"/>
      <c r="GT2712" s="73"/>
      <c r="GU2712" s="73"/>
      <c r="GV2712" s="73"/>
      <c r="GW2712" s="73"/>
      <c r="GX2712" s="73"/>
      <c r="GY2712" s="73"/>
      <c r="GZ2712" s="73"/>
      <c r="HA2712" s="73"/>
      <c r="HB2712" s="73"/>
      <c r="HC2712" s="73"/>
      <c r="HD2712" s="73"/>
      <c r="HE2712" s="73"/>
      <c r="HF2712" s="73"/>
      <c r="HG2712" s="73"/>
      <c r="HH2712" s="73"/>
      <c r="HI2712" s="73"/>
      <c r="HJ2712" s="73"/>
      <c r="HK2712" s="73"/>
      <c r="HL2712" s="73"/>
      <c r="HM2712" s="73"/>
      <c r="HN2712" s="73"/>
      <c r="HO2712" s="73"/>
      <c r="HP2712" s="73"/>
      <c r="HQ2712" s="73"/>
      <c r="HR2712" s="73"/>
      <c r="HS2712" s="73"/>
      <c r="HT2712" s="73"/>
      <c r="HU2712" s="73"/>
      <c r="HV2712" s="73"/>
      <c r="HW2712" s="73"/>
      <c r="HX2712" s="73"/>
      <c r="HY2712" s="73"/>
      <c r="HZ2712" s="73"/>
      <c r="IA2712" s="73"/>
      <c r="IB2712" s="73"/>
      <c r="IC2712" s="73"/>
      <c r="ID2712" s="73"/>
      <c r="IE2712" s="73"/>
      <c r="IF2712" s="73"/>
      <c r="IG2712" s="73"/>
      <c r="IH2712" s="73"/>
      <c r="II2712" s="73"/>
      <c r="IJ2712" s="73"/>
      <c r="IK2712" s="73"/>
      <c r="IL2712" s="73"/>
      <c r="IM2712" s="73"/>
      <c r="IN2712" s="73"/>
      <c r="IO2712" s="73"/>
      <c r="IP2712" s="73"/>
      <c r="IQ2712" s="73"/>
      <c r="IR2712" s="73"/>
      <c r="IS2712" s="73"/>
      <c r="IT2712" s="73"/>
      <c r="IU2712" s="73"/>
      <c r="IV2712" s="73"/>
      <c r="IW2712" s="73"/>
      <c r="IX2712" s="73"/>
      <c r="IY2712" s="73"/>
      <c r="IZ2712" s="73"/>
      <c r="JA2712" s="73"/>
      <c r="JB2712" s="73"/>
      <c r="JC2712" s="73"/>
    </row>
    <row r="2713" spans="2:263" s="72" customFormat="1">
      <c r="B2713" s="73"/>
      <c r="C2713" s="73"/>
      <c r="D2713" s="73"/>
      <c r="E2713" s="73"/>
      <c r="F2713" s="73"/>
      <c r="G2713" s="73"/>
      <c r="H2713" s="73"/>
      <c r="I2713" s="73"/>
      <c r="J2713" s="73"/>
      <c r="K2713" s="73"/>
      <c r="L2713" s="73"/>
      <c r="M2713" s="73"/>
      <c r="N2713" s="73"/>
      <c r="O2713" s="73"/>
      <c r="P2713" s="73"/>
      <c r="Q2713" s="73"/>
      <c r="R2713" s="73"/>
      <c r="S2713" s="73"/>
      <c r="T2713" s="73"/>
      <c r="U2713" s="73"/>
      <c r="V2713" s="73"/>
      <c r="W2713" s="73"/>
      <c r="GL2713" s="73"/>
      <c r="GM2713" s="73"/>
      <c r="GN2713" s="73"/>
      <c r="GO2713" s="73"/>
      <c r="GP2713" s="73"/>
      <c r="GQ2713" s="73"/>
      <c r="GR2713" s="73"/>
      <c r="GS2713" s="73"/>
      <c r="GT2713" s="73"/>
      <c r="GU2713" s="73"/>
      <c r="GV2713" s="73"/>
      <c r="GW2713" s="73"/>
      <c r="GX2713" s="73"/>
      <c r="GY2713" s="73"/>
      <c r="GZ2713" s="73"/>
      <c r="HA2713" s="73"/>
      <c r="HB2713" s="73"/>
      <c r="HC2713" s="73"/>
      <c r="HD2713" s="73"/>
      <c r="HE2713" s="73"/>
      <c r="HF2713" s="73"/>
      <c r="HG2713" s="73"/>
      <c r="HH2713" s="73"/>
      <c r="HI2713" s="73"/>
      <c r="HJ2713" s="73"/>
      <c r="HK2713" s="73"/>
      <c r="HL2713" s="73"/>
      <c r="HM2713" s="73"/>
      <c r="HN2713" s="73"/>
      <c r="HO2713" s="73"/>
      <c r="HP2713" s="73"/>
      <c r="HQ2713" s="73"/>
      <c r="HR2713" s="73"/>
      <c r="HS2713" s="73"/>
      <c r="HT2713" s="73"/>
      <c r="HU2713" s="73"/>
      <c r="HV2713" s="73"/>
      <c r="HW2713" s="73"/>
      <c r="HX2713" s="73"/>
      <c r="HY2713" s="73"/>
      <c r="HZ2713" s="73"/>
      <c r="IA2713" s="73"/>
      <c r="IB2713" s="73"/>
      <c r="IC2713" s="73"/>
      <c r="ID2713" s="73"/>
      <c r="IE2713" s="73"/>
      <c r="IF2713" s="73"/>
      <c r="IG2713" s="73"/>
      <c r="IH2713" s="73"/>
      <c r="II2713" s="73"/>
      <c r="IJ2713" s="73"/>
      <c r="IK2713" s="73"/>
      <c r="IL2713" s="73"/>
      <c r="IM2713" s="73"/>
      <c r="IN2713" s="73"/>
      <c r="IO2713" s="73"/>
      <c r="IP2713" s="73"/>
      <c r="IQ2713" s="73"/>
      <c r="IR2713" s="73"/>
      <c r="IS2713" s="73"/>
      <c r="IT2713" s="73"/>
      <c r="IU2713" s="73"/>
      <c r="IV2713" s="73"/>
      <c r="IW2713" s="73"/>
      <c r="IX2713" s="73"/>
      <c r="IY2713" s="73"/>
      <c r="IZ2713" s="73"/>
      <c r="JA2713" s="73"/>
      <c r="JB2713" s="73"/>
      <c r="JC2713" s="73"/>
    </row>
    <row r="2714" spans="2:263" s="72" customFormat="1">
      <c r="B2714" s="73"/>
      <c r="C2714" s="73"/>
      <c r="D2714" s="73"/>
      <c r="E2714" s="73"/>
      <c r="F2714" s="73"/>
      <c r="G2714" s="73"/>
      <c r="H2714" s="73"/>
      <c r="I2714" s="73"/>
      <c r="J2714" s="73"/>
      <c r="K2714" s="73"/>
      <c r="L2714" s="73"/>
      <c r="M2714" s="73"/>
      <c r="N2714" s="73"/>
      <c r="O2714" s="73"/>
      <c r="P2714" s="73"/>
      <c r="Q2714" s="73"/>
      <c r="R2714" s="73"/>
      <c r="S2714" s="73"/>
      <c r="T2714" s="73"/>
      <c r="U2714" s="73"/>
      <c r="V2714" s="73"/>
      <c r="W2714" s="73"/>
      <c r="GL2714" s="73"/>
      <c r="GM2714" s="73"/>
      <c r="GN2714" s="73"/>
      <c r="GO2714" s="73"/>
      <c r="GP2714" s="73"/>
      <c r="GQ2714" s="73"/>
      <c r="GR2714" s="73"/>
      <c r="GS2714" s="73"/>
      <c r="GT2714" s="73"/>
      <c r="GU2714" s="73"/>
      <c r="GV2714" s="73"/>
      <c r="GW2714" s="73"/>
      <c r="GX2714" s="73"/>
      <c r="GY2714" s="73"/>
      <c r="GZ2714" s="73"/>
      <c r="HA2714" s="73"/>
      <c r="HB2714" s="73"/>
      <c r="HC2714" s="73"/>
      <c r="HD2714" s="73"/>
      <c r="HE2714" s="73"/>
      <c r="HF2714" s="73"/>
      <c r="HG2714" s="73"/>
      <c r="HH2714" s="73"/>
      <c r="HI2714" s="73"/>
      <c r="HJ2714" s="73"/>
      <c r="HK2714" s="73"/>
      <c r="HL2714" s="73"/>
      <c r="HM2714" s="73"/>
      <c r="HN2714" s="73"/>
      <c r="HO2714" s="73"/>
      <c r="HP2714" s="73"/>
      <c r="HQ2714" s="73"/>
      <c r="HR2714" s="73"/>
      <c r="HS2714" s="73"/>
      <c r="HT2714" s="73"/>
      <c r="HU2714" s="73"/>
      <c r="HV2714" s="73"/>
      <c r="HW2714" s="73"/>
      <c r="HX2714" s="73"/>
      <c r="HY2714" s="73"/>
      <c r="HZ2714" s="73"/>
      <c r="IA2714" s="73"/>
      <c r="IB2714" s="73"/>
      <c r="IC2714" s="73"/>
      <c r="ID2714" s="73"/>
      <c r="IE2714" s="73"/>
      <c r="IF2714" s="73"/>
      <c r="IG2714" s="73"/>
      <c r="IH2714" s="73"/>
      <c r="II2714" s="73"/>
      <c r="IJ2714" s="73"/>
      <c r="IK2714" s="73"/>
      <c r="IL2714" s="73"/>
      <c r="IM2714" s="73"/>
      <c r="IN2714" s="73"/>
      <c r="IO2714" s="73"/>
      <c r="IP2714" s="73"/>
      <c r="IQ2714" s="73"/>
      <c r="IR2714" s="73"/>
      <c r="IS2714" s="73"/>
      <c r="IT2714" s="73"/>
      <c r="IU2714" s="73"/>
      <c r="IV2714" s="73"/>
      <c r="IW2714" s="73"/>
      <c r="IX2714" s="73"/>
      <c r="IY2714" s="73"/>
      <c r="IZ2714" s="73"/>
      <c r="JA2714" s="73"/>
      <c r="JB2714" s="73"/>
      <c r="JC2714" s="73"/>
    </row>
    <row r="2715" spans="2:263" s="72" customFormat="1">
      <c r="B2715" s="73"/>
      <c r="C2715" s="73"/>
      <c r="D2715" s="73"/>
      <c r="E2715" s="73"/>
      <c r="F2715" s="73"/>
      <c r="G2715" s="73"/>
      <c r="H2715" s="73"/>
      <c r="I2715" s="73"/>
      <c r="J2715" s="73"/>
      <c r="K2715" s="73"/>
      <c r="L2715" s="73"/>
      <c r="M2715" s="73"/>
      <c r="N2715" s="73"/>
      <c r="O2715" s="73"/>
      <c r="P2715" s="73"/>
      <c r="Q2715" s="73"/>
      <c r="R2715" s="73"/>
      <c r="S2715" s="73"/>
      <c r="T2715" s="73"/>
      <c r="U2715" s="73"/>
      <c r="V2715" s="73"/>
      <c r="W2715" s="73"/>
      <c r="GL2715" s="73"/>
      <c r="GM2715" s="73"/>
      <c r="GN2715" s="73"/>
      <c r="GO2715" s="73"/>
      <c r="GP2715" s="73"/>
      <c r="GQ2715" s="73"/>
      <c r="GR2715" s="73"/>
      <c r="GS2715" s="73"/>
      <c r="GT2715" s="73"/>
      <c r="GU2715" s="73"/>
      <c r="GV2715" s="73"/>
      <c r="GW2715" s="73"/>
      <c r="GX2715" s="73"/>
      <c r="GY2715" s="73"/>
      <c r="GZ2715" s="73"/>
      <c r="HA2715" s="73"/>
      <c r="HB2715" s="73"/>
      <c r="HC2715" s="73"/>
      <c r="HD2715" s="73"/>
      <c r="HE2715" s="73"/>
      <c r="HF2715" s="73"/>
      <c r="HG2715" s="73"/>
      <c r="HH2715" s="73"/>
      <c r="HI2715" s="73"/>
      <c r="HJ2715" s="73"/>
      <c r="HK2715" s="73"/>
      <c r="HL2715" s="73"/>
      <c r="HM2715" s="73"/>
      <c r="HN2715" s="73"/>
      <c r="HO2715" s="73"/>
      <c r="HP2715" s="73"/>
      <c r="HQ2715" s="73"/>
      <c r="HR2715" s="73"/>
      <c r="HS2715" s="73"/>
      <c r="HT2715" s="73"/>
      <c r="HU2715" s="73"/>
      <c r="HV2715" s="73"/>
      <c r="HW2715" s="73"/>
      <c r="HX2715" s="73"/>
      <c r="HY2715" s="73"/>
      <c r="HZ2715" s="73"/>
      <c r="IA2715" s="73"/>
      <c r="IB2715" s="73"/>
      <c r="IC2715" s="73"/>
      <c r="ID2715" s="73"/>
      <c r="IE2715" s="73"/>
      <c r="IF2715" s="73"/>
      <c r="IG2715" s="73"/>
      <c r="IH2715" s="73"/>
      <c r="II2715" s="73"/>
      <c r="IJ2715" s="73"/>
      <c r="IK2715" s="73"/>
      <c r="IL2715" s="73"/>
      <c r="IM2715" s="73"/>
      <c r="IN2715" s="73"/>
      <c r="IO2715" s="73"/>
      <c r="IP2715" s="73"/>
      <c r="IQ2715" s="73"/>
      <c r="IR2715" s="73"/>
      <c r="IS2715" s="73"/>
      <c r="IT2715" s="73"/>
      <c r="IU2715" s="73"/>
      <c r="IV2715" s="73"/>
      <c r="IW2715" s="73"/>
      <c r="IX2715" s="73"/>
      <c r="IY2715" s="73"/>
      <c r="IZ2715" s="73"/>
      <c r="JA2715" s="73"/>
      <c r="JB2715" s="73"/>
      <c r="JC2715" s="73"/>
    </row>
    <row r="2716" spans="2:263" s="72" customFormat="1">
      <c r="B2716" s="73"/>
      <c r="C2716" s="73"/>
      <c r="D2716" s="73"/>
      <c r="E2716" s="73"/>
      <c r="F2716" s="73"/>
      <c r="G2716" s="73"/>
      <c r="H2716" s="73"/>
      <c r="I2716" s="73"/>
      <c r="J2716" s="73"/>
      <c r="K2716" s="73"/>
      <c r="L2716" s="73"/>
      <c r="M2716" s="73"/>
      <c r="N2716" s="73"/>
      <c r="O2716" s="73"/>
      <c r="P2716" s="73"/>
      <c r="Q2716" s="73"/>
      <c r="R2716" s="73"/>
      <c r="S2716" s="73"/>
      <c r="T2716" s="73"/>
      <c r="U2716" s="73"/>
      <c r="V2716" s="73"/>
      <c r="W2716" s="73"/>
      <c r="GL2716" s="73"/>
      <c r="GM2716" s="73"/>
      <c r="GN2716" s="73"/>
      <c r="GO2716" s="73"/>
      <c r="GP2716" s="73"/>
      <c r="GQ2716" s="73"/>
      <c r="GR2716" s="73"/>
      <c r="GS2716" s="73"/>
      <c r="GT2716" s="73"/>
      <c r="GU2716" s="73"/>
      <c r="GV2716" s="73"/>
      <c r="GW2716" s="73"/>
      <c r="GX2716" s="73"/>
      <c r="GY2716" s="73"/>
      <c r="GZ2716" s="73"/>
      <c r="HA2716" s="73"/>
      <c r="HB2716" s="73"/>
      <c r="HC2716" s="73"/>
      <c r="HD2716" s="73"/>
      <c r="HE2716" s="73"/>
      <c r="HF2716" s="73"/>
      <c r="HG2716" s="73"/>
      <c r="HH2716" s="73"/>
      <c r="HI2716" s="73"/>
      <c r="HJ2716" s="73"/>
      <c r="HK2716" s="73"/>
      <c r="HL2716" s="73"/>
      <c r="HM2716" s="73"/>
      <c r="HN2716" s="73"/>
      <c r="HO2716" s="73"/>
      <c r="HP2716" s="73"/>
      <c r="HQ2716" s="73"/>
      <c r="HR2716" s="73"/>
      <c r="HS2716" s="73"/>
      <c r="HT2716" s="73"/>
      <c r="HU2716" s="73"/>
      <c r="HV2716" s="73"/>
      <c r="HW2716" s="73"/>
      <c r="HX2716" s="73"/>
      <c r="HY2716" s="73"/>
      <c r="HZ2716" s="73"/>
      <c r="IA2716" s="73"/>
      <c r="IB2716" s="73"/>
      <c r="IC2716" s="73"/>
      <c r="ID2716" s="73"/>
      <c r="IE2716" s="73"/>
      <c r="IF2716" s="73"/>
      <c r="IG2716" s="73"/>
      <c r="IH2716" s="73"/>
      <c r="II2716" s="73"/>
      <c r="IJ2716" s="73"/>
      <c r="IK2716" s="73"/>
      <c r="IL2716" s="73"/>
      <c r="IM2716" s="73"/>
      <c r="IN2716" s="73"/>
      <c r="IO2716" s="73"/>
      <c r="IP2716" s="73"/>
      <c r="IQ2716" s="73"/>
      <c r="IR2716" s="73"/>
      <c r="IS2716" s="73"/>
      <c r="IT2716" s="73"/>
      <c r="IU2716" s="73"/>
      <c r="IV2716" s="73"/>
      <c r="IW2716" s="73"/>
      <c r="IX2716" s="73"/>
      <c r="IY2716" s="73"/>
      <c r="IZ2716" s="73"/>
      <c r="JA2716" s="73"/>
      <c r="JB2716" s="73"/>
      <c r="JC2716" s="73"/>
    </row>
    <row r="2717" spans="2:263" s="72" customFormat="1">
      <c r="B2717" s="73"/>
      <c r="C2717" s="73"/>
      <c r="D2717" s="73"/>
      <c r="E2717" s="73"/>
      <c r="F2717" s="73"/>
      <c r="G2717" s="73"/>
      <c r="H2717" s="73"/>
      <c r="I2717" s="73"/>
      <c r="J2717" s="73"/>
      <c r="K2717" s="73"/>
      <c r="L2717" s="73"/>
      <c r="M2717" s="73"/>
      <c r="N2717" s="73"/>
      <c r="O2717" s="73"/>
      <c r="P2717" s="73"/>
      <c r="Q2717" s="73"/>
      <c r="R2717" s="73"/>
      <c r="S2717" s="73"/>
      <c r="T2717" s="73"/>
      <c r="U2717" s="73"/>
      <c r="V2717" s="73"/>
      <c r="W2717" s="73"/>
      <c r="GL2717" s="73"/>
      <c r="GM2717" s="73"/>
      <c r="GN2717" s="73"/>
      <c r="GO2717" s="73"/>
      <c r="GP2717" s="73"/>
      <c r="GQ2717" s="73"/>
      <c r="GR2717" s="73"/>
      <c r="GS2717" s="73"/>
      <c r="GT2717" s="73"/>
      <c r="GU2717" s="73"/>
      <c r="GV2717" s="73"/>
      <c r="GW2717" s="73"/>
      <c r="GX2717" s="73"/>
      <c r="GY2717" s="73"/>
      <c r="GZ2717" s="73"/>
      <c r="HA2717" s="73"/>
      <c r="HB2717" s="73"/>
      <c r="HC2717" s="73"/>
      <c r="HD2717" s="73"/>
      <c r="HE2717" s="73"/>
      <c r="HF2717" s="73"/>
      <c r="HG2717" s="73"/>
      <c r="HH2717" s="73"/>
      <c r="HI2717" s="73"/>
      <c r="HJ2717" s="73"/>
      <c r="HK2717" s="73"/>
      <c r="HL2717" s="73"/>
      <c r="HM2717" s="73"/>
      <c r="HN2717" s="73"/>
      <c r="HO2717" s="73"/>
      <c r="HP2717" s="73"/>
      <c r="HQ2717" s="73"/>
      <c r="HR2717" s="73"/>
      <c r="HS2717" s="73"/>
      <c r="HT2717" s="73"/>
      <c r="HU2717" s="73"/>
      <c r="HV2717" s="73"/>
      <c r="HW2717" s="73"/>
      <c r="HX2717" s="73"/>
      <c r="HY2717" s="73"/>
      <c r="HZ2717" s="73"/>
      <c r="IA2717" s="73"/>
      <c r="IB2717" s="73"/>
      <c r="IC2717" s="73"/>
      <c r="ID2717" s="73"/>
      <c r="IE2717" s="73"/>
      <c r="IF2717" s="73"/>
      <c r="IG2717" s="73"/>
      <c r="IH2717" s="73"/>
      <c r="II2717" s="73"/>
      <c r="IJ2717" s="73"/>
      <c r="IK2717" s="73"/>
      <c r="IL2717" s="73"/>
      <c r="IM2717" s="73"/>
      <c r="IN2717" s="73"/>
      <c r="IO2717" s="73"/>
      <c r="IP2717" s="73"/>
      <c r="IQ2717" s="73"/>
      <c r="IR2717" s="73"/>
      <c r="IS2717" s="73"/>
      <c r="IT2717" s="73"/>
      <c r="IU2717" s="73"/>
      <c r="IV2717" s="73"/>
      <c r="IW2717" s="73"/>
      <c r="IX2717" s="73"/>
      <c r="IY2717" s="73"/>
      <c r="IZ2717" s="73"/>
      <c r="JA2717" s="73"/>
      <c r="JB2717" s="73"/>
      <c r="JC2717" s="73"/>
    </row>
    <row r="2718" spans="2:263" s="72" customFormat="1">
      <c r="B2718" s="73"/>
      <c r="C2718" s="73"/>
      <c r="D2718" s="73"/>
      <c r="E2718" s="73"/>
      <c r="F2718" s="73"/>
      <c r="G2718" s="73"/>
      <c r="H2718" s="73"/>
      <c r="I2718" s="73"/>
      <c r="J2718" s="73"/>
      <c r="K2718" s="73"/>
      <c r="L2718" s="73"/>
      <c r="M2718" s="73"/>
      <c r="N2718" s="73"/>
      <c r="O2718" s="73"/>
      <c r="P2718" s="73"/>
      <c r="Q2718" s="73"/>
      <c r="R2718" s="73"/>
      <c r="S2718" s="73"/>
      <c r="T2718" s="73"/>
      <c r="U2718" s="73"/>
      <c r="V2718" s="73"/>
      <c r="W2718" s="73"/>
      <c r="GL2718" s="73"/>
      <c r="GM2718" s="73"/>
      <c r="GN2718" s="73"/>
      <c r="GO2718" s="73"/>
      <c r="GP2718" s="73"/>
      <c r="GQ2718" s="73"/>
      <c r="GR2718" s="73"/>
      <c r="GS2718" s="73"/>
      <c r="GT2718" s="73"/>
      <c r="GU2718" s="73"/>
      <c r="GV2718" s="73"/>
      <c r="GW2718" s="73"/>
      <c r="GX2718" s="73"/>
      <c r="GY2718" s="73"/>
      <c r="GZ2718" s="73"/>
      <c r="HA2718" s="73"/>
      <c r="HB2718" s="73"/>
      <c r="HC2718" s="73"/>
      <c r="HD2718" s="73"/>
      <c r="HE2718" s="73"/>
      <c r="HF2718" s="73"/>
      <c r="HG2718" s="73"/>
      <c r="HH2718" s="73"/>
      <c r="HI2718" s="73"/>
      <c r="HJ2718" s="73"/>
      <c r="HK2718" s="73"/>
      <c r="HL2718" s="73"/>
      <c r="HM2718" s="73"/>
      <c r="HN2718" s="73"/>
      <c r="HO2718" s="73"/>
      <c r="HP2718" s="73"/>
      <c r="HQ2718" s="73"/>
      <c r="HR2718" s="73"/>
      <c r="HS2718" s="73"/>
      <c r="HT2718" s="73"/>
      <c r="HU2718" s="73"/>
      <c r="HV2718" s="73"/>
      <c r="HW2718" s="73"/>
      <c r="HX2718" s="73"/>
      <c r="HY2718" s="73"/>
      <c r="HZ2718" s="73"/>
      <c r="IA2718" s="73"/>
      <c r="IB2718" s="73"/>
      <c r="IC2718" s="73"/>
      <c r="ID2718" s="73"/>
      <c r="IE2718" s="73"/>
      <c r="IF2718" s="73"/>
      <c r="IG2718" s="73"/>
      <c r="IH2718" s="73"/>
      <c r="II2718" s="73"/>
      <c r="IJ2718" s="73"/>
      <c r="IK2718" s="73"/>
      <c r="IL2718" s="73"/>
      <c r="IM2718" s="73"/>
      <c r="IN2718" s="73"/>
      <c r="IO2718" s="73"/>
      <c r="IP2718" s="73"/>
      <c r="IQ2718" s="73"/>
      <c r="IR2718" s="73"/>
      <c r="IS2718" s="73"/>
      <c r="IT2718" s="73"/>
      <c r="IU2718" s="73"/>
      <c r="IV2718" s="73"/>
      <c r="IW2718" s="73"/>
      <c r="IX2718" s="73"/>
      <c r="IY2718" s="73"/>
      <c r="IZ2718" s="73"/>
      <c r="JA2718" s="73"/>
      <c r="JB2718" s="73"/>
      <c r="JC2718" s="73"/>
    </row>
    <row r="2719" spans="2:263" s="72" customFormat="1">
      <c r="B2719" s="73"/>
      <c r="C2719" s="73"/>
      <c r="D2719" s="73"/>
      <c r="E2719" s="73"/>
      <c r="F2719" s="73"/>
      <c r="G2719" s="73"/>
      <c r="H2719" s="73"/>
      <c r="I2719" s="73"/>
      <c r="J2719" s="73"/>
      <c r="K2719" s="73"/>
      <c r="L2719" s="73"/>
      <c r="M2719" s="73"/>
      <c r="N2719" s="73"/>
      <c r="O2719" s="73"/>
      <c r="P2719" s="73"/>
      <c r="Q2719" s="73"/>
      <c r="R2719" s="73"/>
      <c r="S2719" s="73"/>
      <c r="T2719" s="73"/>
      <c r="U2719" s="73"/>
      <c r="V2719" s="73"/>
      <c r="W2719" s="73"/>
      <c r="GL2719" s="73"/>
      <c r="GM2719" s="73"/>
      <c r="GN2719" s="73"/>
      <c r="GO2719" s="73"/>
      <c r="GP2719" s="73"/>
      <c r="GQ2719" s="73"/>
      <c r="GR2719" s="73"/>
      <c r="GS2719" s="73"/>
      <c r="GT2719" s="73"/>
      <c r="GU2719" s="73"/>
      <c r="GV2719" s="73"/>
      <c r="GW2719" s="73"/>
      <c r="GX2719" s="73"/>
      <c r="GY2719" s="73"/>
      <c r="GZ2719" s="73"/>
      <c r="HA2719" s="73"/>
      <c r="HB2719" s="73"/>
      <c r="HC2719" s="73"/>
      <c r="HD2719" s="73"/>
      <c r="HE2719" s="73"/>
      <c r="HF2719" s="73"/>
      <c r="HG2719" s="73"/>
      <c r="HH2719" s="73"/>
      <c r="HI2719" s="73"/>
      <c r="HJ2719" s="73"/>
      <c r="HK2719" s="73"/>
      <c r="HL2719" s="73"/>
      <c r="HM2719" s="73"/>
      <c r="HN2719" s="73"/>
      <c r="HO2719" s="73"/>
      <c r="HP2719" s="73"/>
      <c r="HQ2719" s="73"/>
      <c r="HR2719" s="73"/>
      <c r="HS2719" s="73"/>
      <c r="HT2719" s="73"/>
      <c r="HU2719" s="73"/>
      <c r="HV2719" s="73"/>
      <c r="HW2719" s="73"/>
      <c r="HX2719" s="73"/>
      <c r="HY2719" s="73"/>
      <c r="HZ2719" s="73"/>
      <c r="IA2719" s="73"/>
      <c r="IB2719" s="73"/>
      <c r="IC2719" s="73"/>
      <c r="ID2719" s="73"/>
      <c r="IE2719" s="73"/>
      <c r="IF2719" s="73"/>
      <c r="IG2719" s="73"/>
      <c r="IH2719" s="73"/>
      <c r="II2719" s="73"/>
      <c r="IJ2719" s="73"/>
      <c r="IK2719" s="73"/>
      <c r="IL2719" s="73"/>
      <c r="IM2719" s="73"/>
      <c r="IN2719" s="73"/>
      <c r="IO2719" s="73"/>
      <c r="IP2719" s="73"/>
      <c r="IQ2719" s="73"/>
      <c r="IR2719" s="73"/>
      <c r="IS2719" s="73"/>
      <c r="IT2719" s="73"/>
      <c r="IU2719" s="73"/>
      <c r="IV2719" s="73"/>
      <c r="IW2719" s="73"/>
      <c r="IX2719" s="73"/>
      <c r="IY2719" s="73"/>
      <c r="IZ2719" s="73"/>
      <c r="JA2719" s="73"/>
      <c r="JB2719" s="73"/>
      <c r="JC2719" s="73"/>
    </row>
    <row r="2720" spans="2:263" s="72" customFormat="1">
      <c r="B2720" s="73"/>
      <c r="C2720" s="73"/>
      <c r="D2720" s="73"/>
      <c r="E2720" s="73"/>
      <c r="F2720" s="73"/>
      <c r="G2720" s="73"/>
      <c r="H2720" s="73"/>
      <c r="I2720" s="73"/>
      <c r="J2720" s="73"/>
      <c r="K2720" s="73"/>
      <c r="L2720" s="73"/>
      <c r="M2720" s="73"/>
      <c r="N2720" s="73"/>
      <c r="O2720" s="73"/>
      <c r="P2720" s="73"/>
      <c r="Q2720" s="73"/>
      <c r="R2720" s="73"/>
      <c r="S2720" s="73"/>
      <c r="T2720" s="73"/>
      <c r="U2720" s="73"/>
      <c r="V2720" s="73"/>
      <c r="W2720" s="73"/>
      <c r="GL2720" s="73"/>
      <c r="GM2720" s="73"/>
      <c r="GN2720" s="73"/>
      <c r="GO2720" s="73"/>
      <c r="GP2720" s="73"/>
      <c r="GQ2720" s="73"/>
      <c r="GR2720" s="73"/>
      <c r="GS2720" s="73"/>
      <c r="GT2720" s="73"/>
      <c r="GU2720" s="73"/>
      <c r="GV2720" s="73"/>
      <c r="GW2720" s="73"/>
      <c r="GX2720" s="73"/>
      <c r="GY2720" s="73"/>
      <c r="GZ2720" s="73"/>
      <c r="HA2720" s="73"/>
      <c r="HB2720" s="73"/>
      <c r="HC2720" s="73"/>
      <c r="HD2720" s="73"/>
      <c r="HE2720" s="73"/>
      <c r="HF2720" s="73"/>
      <c r="HG2720" s="73"/>
      <c r="HH2720" s="73"/>
      <c r="HI2720" s="73"/>
      <c r="HJ2720" s="73"/>
      <c r="HK2720" s="73"/>
      <c r="HL2720" s="73"/>
      <c r="HM2720" s="73"/>
      <c r="HN2720" s="73"/>
      <c r="HO2720" s="73"/>
      <c r="HP2720" s="73"/>
      <c r="HQ2720" s="73"/>
      <c r="HR2720" s="73"/>
      <c r="HS2720" s="73"/>
      <c r="HT2720" s="73"/>
      <c r="HU2720" s="73"/>
      <c r="HV2720" s="73"/>
      <c r="HW2720" s="73"/>
      <c r="HX2720" s="73"/>
      <c r="HY2720" s="73"/>
      <c r="HZ2720" s="73"/>
      <c r="IA2720" s="73"/>
      <c r="IB2720" s="73"/>
      <c r="IC2720" s="73"/>
      <c r="ID2720" s="73"/>
      <c r="IE2720" s="73"/>
      <c r="IF2720" s="73"/>
      <c r="IG2720" s="73"/>
      <c r="IH2720" s="73"/>
      <c r="II2720" s="73"/>
      <c r="IJ2720" s="73"/>
      <c r="IK2720" s="73"/>
      <c r="IL2720" s="73"/>
      <c r="IM2720" s="73"/>
      <c r="IN2720" s="73"/>
      <c r="IO2720" s="73"/>
      <c r="IP2720" s="73"/>
      <c r="IQ2720" s="73"/>
      <c r="IR2720" s="73"/>
      <c r="IS2720" s="73"/>
      <c r="IT2720" s="73"/>
      <c r="IU2720" s="73"/>
      <c r="IV2720" s="73"/>
      <c r="IW2720" s="73"/>
      <c r="IX2720" s="73"/>
      <c r="IY2720" s="73"/>
      <c r="IZ2720" s="73"/>
      <c r="JA2720" s="73"/>
      <c r="JB2720" s="73"/>
      <c r="JC2720" s="73"/>
    </row>
    <row r="2721" spans="2:263" s="72" customFormat="1">
      <c r="B2721" s="73"/>
      <c r="C2721" s="73"/>
      <c r="D2721" s="73"/>
      <c r="E2721" s="73"/>
      <c r="F2721" s="73"/>
      <c r="G2721" s="73"/>
      <c r="H2721" s="73"/>
      <c r="I2721" s="73"/>
      <c r="J2721" s="73"/>
      <c r="K2721" s="73"/>
      <c r="L2721" s="73"/>
      <c r="M2721" s="73"/>
      <c r="N2721" s="73"/>
      <c r="O2721" s="73"/>
      <c r="P2721" s="73"/>
      <c r="Q2721" s="73"/>
      <c r="R2721" s="73"/>
      <c r="S2721" s="73"/>
      <c r="T2721" s="73"/>
      <c r="U2721" s="73"/>
      <c r="V2721" s="73"/>
      <c r="W2721" s="73"/>
      <c r="GL2721" s="73"/>
      <c r="GM2721" s="73"/>
      <c r="GN2721" s="73"/>
      <c r="GO2721" s="73"/>
      <c r="GP2721" s="73"/>
      <c r="GQ2721" s="73"/>
      <c r="GR2721" s="73"/>
      <c r="GS2721" s="73"/>
      <c r="GT2721" s="73"/>
      <c r="GU2721" s="73"/>
      <c r="GV2721" s="73"/>
      <c r="GW2721" s="73"/>
      <c r="GX2721" s="73"/>
      <c r="GY2721" s="73"/>
      <c r="GZ2721" s="73"/>
      <c r="HA2721" s="73"/>
      <c r="HB2721" s="73"/>
      <c r="HC2721" s="73"/>
      <c r="HD2721" s="73"/>
      <c r="HE2721" s="73"/>
      <c r="HF2721" s="73"/>
      <c r="HG2721" s="73"/>
      <c r="HH2721" s="73"/>
      <c r="HI2721" s="73"/>
      <c r="HJ2721" s="73"/>
      <c r="HK2721" s="73"/>
      <c r="HL2721" s="73"/>
      <c r="HM2721" s="73"/>
      <c r="HN2721" s="73"/>
      <c r="HO2721" s="73"/>
      <c r="HP2721" s="73"/>
      <c r="HQ2721" s="73"/>
      <c r="HR2721" s="73"/>
      <c r="HS2721" s="73"/>
      <c r="HT2721" s="73"/>
      <c r="HU2721" s="73"/>
      <c r="HV2721" s="73"/>
      <c r="HW2721" s="73"/>
      <c r="HX2721" s="73"/>
      <c r="HY2721" s="73"/>
      <c r="HZ2721" s="73"/>
      <c r="IA2721" s="73"/>
      <c r="IB2721" s="73"/>
      <c r="IC2721" s="73"/>
      <c r="ID2721" s="73"/>
      <c r="IE2721" s="73"/>
      <c r="IF2721" s="73"/>
      <c r="IG2721" s="73"/>
      <c r="IH2721" s="73"/>
      <c r="II2721" s="73"/>
      <c r="IJ2721" s="73"/>
      <c r="IK2721" s="73"/>
      <c r="IL2721" s="73"/>
      <c r="IM2721" s="73"/>
      <c r="IN2721" s="73"/>
      <c r="IO2721" s="73"/>
      <c r="IP2721" s="73"/>
      <c r="IQ2721" s="73"/>
      <c r="IR2721" s="73"/>
      <c r="IS2721" s="73"/>
      <c r="IT2721" s="73"/>
      <c r="IU2721" s="73"/>
      <c r="IV2721" s="73"/>
      <c r="IW2721" s="73"/>
      <c r="IX2721" s="73"/>
      <c r="IY2721" s="73"/>
      <c r="IZ2721" s="73"/>
      <c r="JA2721" s="73"/>
      <c r="JB2721" s="73"/>
      <c r="JC2721" s="73"/>
    </row>
    <row r="2722" spans="2:263" s="72" customFormat="1">
      <c r="B2722" s="73"/>
      <c r="C2722" s="73"/>
      <c r="D2722" s="73"/>
      <c r="E2722" s="73"/>
      <c r="F2722" s="73"/>
      <c r="G2722" s="73"/>
      <c r="H2722" s="73"/>
      <c r="I2722" s="73"/>
      <c r="J2722" s="73"/>
      <c r="K2722" s="73"/>
      <c r="L2722" s="73"/>
      <c r="M2722" s="73"/>
      <c r="N2722" s="73"/>
      <c r="O2722" s="73"/>
      <c r="P2722" s="73"/>
      <c r="Q2722" s="73"/>
      <c r="R2722" s="73"/>
      <c r="S2722" s="73"/>
      <c r="T2722" s="73"/>
      <c r="U2722" s="73"/>
      <c r="V2722" s="73"/>
      <c r="W2722" s="73"/>
      <c r="GL2722" s="73"/>
      <c r="GM2722" s="73"/>
      <c r="GN2722" s="73"/>
      <c r="GO2722" s="73"/>
      <c r="GP2722" s="73"/>
      <c r="GQ2722" s="73"/>
      <c r="GR2722" s="73"/>
      <c r="GS2722" s="73"/>
      <c r="GT2722" s="73"/>
      <c r="GU2722" s="73"/>
      <c r="GV2722" s="73"/>
      <c r="GW2722" s="73"/>
      <c r="GX2722" s="73"/>
      <c r="GY2722" s="73"/>
      <c r="GZ2722" s="73"/>
      <c r="HA2722" s="73"/>
      <c r="HB2722" s="73"/>
      <c r="HC2722" s="73"/>
      <c r="HD2722" s="73"/>
      <c r="HE2722" s="73"/>
      <c r="HF2722" s="73"/>
      <c r="HG2722" s="73"/>
      <c r="HH2722" s="73"/>
      <c r="HI2722" s="73"/>
      <c r="HJ2722" s="73"/>
      <c r="HK2722" s="73"/>
      <c r="HL2722" s="73"/>
      <c r="HM2722" s="73"/>
      <c r="HN2722" s="73"/>
      <c r="HO2722" s="73"/>
      <c r="HP2722" s="73"/>
      <c r="HQ2722" s="73"/>
      <c r="HR2722" s="73"/>
      <c r="HS2722" s="73"/>
      <c r="HT2722" s="73"/>
      <c r="HU2722" s="73"/>
      <c r="HV2722" s="73"/>
      <c r="HW2722" s="73"/>
      <c r="HX2722" s="73"/>
      <c r="HY2722" s="73"/>
      <c r="HZ2722" s="73"/>
      <c r="IA2722" s="73"/>
      <c r="IB2722" s="73"/>
      <c r="IC2722" s="73"/>
      <c r="ID2722" s="73"/>
      <c r="IE2722" s="73"/>
      <c r="IF2722" s="73"/>
      <c r="IG2722" s="73"/>
      <c r="IH2722" s="73"/>
      <c r="II2722" s="73"/>
      <c r="IJ2722" s="73"/>
      <c r="IK2722" s="73"/>
      <c r="IL2722" s="73"/>
      <c r="IM2722" s="73"/>
      <c r="IN2722" s="73"/>
      <c r="IO2722" s="73"/>
      <c r="IP2722" s="73"/>
      <c r="IQ2722" s="73"/>
      <c r="IR2722" s="73"/>
      <c r="IS2722" s="73"/>
      <c r="IT2722" s="73"/>
      <c r="IU2722" s="73"/>
      <c r="IV2722" s="73"/>
      <c r="IW2722" s="73"/>
      <c r="IX2722" s="73"/>
      <c r="IY2722" s="73"/>
      <c r="IZ2722" s="73"/>
      <c r="JA2722" s="73"/>
      <c r="JB2722" s="73"/>
      <c r="JC2722" s="73"/>
    </row>
    <row r="2723" spans="2:263" s="72" customFormat="1">
      <c r="B2723" s="73"/>
      <c r="C2723" s="73"/>
      <c r="D2723" s="73"/>
      <c r="E2723" s="73"/>
      <c r="F2723" s="73"/>
      <c r="G2723" s="73"/>
      <c r="H2723" s="73"/>
      <c r="I2723" s="73"/>
      <c r="J2723" s="73"/>
      <c r="K2723" s="73"/>
      <c r="L2723" s="73"/>
      <c r="M2723" s="73"/>
      <c r="N2723" s="73"/>
      <c r="O2723" s="73"/>
      <c r="P2723" s="73"/>
      <c r="Q2723" s="73"/>
      <c r="R2723" s="73"/>
      <c r="S2723" s="73"/>
      <c r="T2723" s="73"/>
      <c r="U2723" s="73"/>
      <c r="V2723" s="73"/>
      <c r="W2723" s="73"/>
      <c r="GL2723" s="73"/>
      <c r="GM2723" s="73"/>
      <c r="GN2723" s="73"/>
      <c r="GO2723" s="73"/>
      <c r="GP2723" s="73"/>
      <c r="GQ2723" s="73"/>
      <c r="GR2723" s="73"/>
      <c r="GS2723" s="73"/>
      <c r="GT2723" s="73"/>
      <c r="GU2723" s="73"/>
      <c r="GV2723" s="73"/>
      <c r="GW2723" s="73"/>
      <c r="GX2723" s="73"/>
      <c r="GY2723" s="73"/>
      <c r="GZ2723" s="73"/>
      <c r="HA2723" s="73"/>
      <c r="HB2723" s="73"/>
      <c r="HC2723" s="73"/>
      <c r="HD2723" s="73"/>
      <c r="HE2723" s="73"/>
      <c r="HF2723" s="73"/>
      <c r="HG2723" s="73"/>
      <c r="HH2723" s="73"/>
      <c r="HI2723" s="73"/>
      <c r="HJ2723" s="73"/>
      <c r="HK2723" s="73"/>
      <c r="HL2723" s="73"/>
      <c r="HM2723" s="73"/>
      <c r="HN2723" s="73"/>
      <c r="HO2723" s="73"/>
      <c r="HP2723" s="73"/>
      <c r="HQ2723" s="73"/>
      <c r="HR2723" s="73"/>
      <c r="HS2723" s="73"/>
      <c r="HT2723" s="73"/>
      <c r="HU2723" s="73"/>
      <c r="HV2723" s="73"/>
      <c r="HW2723" s="73"/>
      <c r="HX2723" s="73"/>
      <c r="HY2723" s="73"/>
      <c r="HZ2723" s="73"/>
      <c r="IA2723" s="73"/>
      <c r="IB2723" s="73"/>
      <c r="IC2723" s="73"/>
      <c r="ID2723" s="73"/>
      <c r="IE2723" s="73"/>
      <c r="IF2723" s="73"/>
      <c r="IG2723" s="73"/>
      <c r="IH2723" s="73"/>
      <c r="II2723" s="73"/>
      <c r="IJ2723" s="73"/>
      <c r="IK2723" s="73"/>
      <c r="IL2723" s="73"/>
      <c r="IM2723" s="73"/>
      <c r="IN2723" s="73"/>
      <c r="IO2723" s="73"/>
      <c r="IP2723" s="73"/>
      <c r="IQ2723" s="73"/>
      <c r="IR2723" s="73"/>
      <c r="IS2723" s="73"/>
      <c r="IT2723" s="73"/>
      <c r="IU2723" s="73"/>
      <c r="IV2723" s="73"/>
      <c r="IW2723" s="73"/>
      <c r="IX2723" s="73"/>
      <c r="IY2723" s="73"/>
      <c r="IZ2723" s="73"/>
      <c r="JA2723" s="73"/>
      <c r="JB2723" s="73"/>
      <c r="JC2723" s="73"/>
    </row>
    <row r="2724" spans="2:263" s="72" customFormat="1">
      <c r="B2724" s="73"/>
      <c r="C2724" s="73"/>
      <c r="D2724" s="73"/>
      <c r="E2724" s="73"/>
      <c r="F2724" s="73"/>
      <c r="G2724" s="73"/>
      <c r="H2724" s="73"/>
      <c r="I2724" s="73"/>
      <c r="J2724" s="73"/>
      <c r="K2724" s="73"/>
      <c r="L2724" s="73"/>
      <c r="M2724" s="73"/>
      <c r="N2724" s="73"/>
      <c r="O2724" s="73"/>
      <c r="P2724" s="73"/>
      <c r="Q2724" s="73"/>
      <c r="R2724" s="73"/>
      <c r="S2724" s="73"/>
      <c r="T2724" s="73"/>
      <c r="U2724" s="73"/>
      <c r="V2724" s="73"/>
      <c r="W2724" s="73"/>
      <c r="GL2724" s="73"/>
      <c r="GM2724" s="73"/>
      <c r="GN2724" s="73"/>
      <c r="GO2724" s="73"/>
      <c r="GP2724" s="73"/>
      <c r="GQ2724" s="73"/>
      <c r="GR2724" s="73"/>
      <c r="GS2724" s="73"/>
      <c r="GT2724" s="73"/>
      <c r="GU2724" s="73"/>
      <c r="GV2724" s="73"/>
      <c r="GW2724" s="73"/>
      <c r="GX2724" s="73"/>
      <c r="GY2724" s="73"/>
      <c r="GZ2724" s="73"/>
      <c r="HA2724" s="73"/>
      <c r="HB2724" s="73"/>
      <c r="HC2724" s="73"/>
      <c r="HD2724" s="73"/>
      <c r="HE2724" s="73"/>
      <c r="HF2724" s="73"/>
      <c r="HG2724" s="73"/>
      <c r="HH2724" s="73"/>
      <c r="HI2724" s="73"/>
      <c r="HJ2724" s="73"/>
      <c r="HK2724" s="73"/>
      <c r="HL2724" s="73"/>
      <c r="HM2724" s="73"/>
      <c r="HN2724" s="73"/>
      <c r="HO2724" s="73"/>
      <c r="HP2724" s="73"/>
      <c r="HQ2724" s="73"/>
      <c r="HR2724" s="73"/>
      <c r="HS2724" s="73"/>
      <c r="HT2724" s="73"/>
      <c r="HU2724" s="73"/>
      <c r="HV2724" s="73"/>
      <c r="HW2724" s="73"/>
      <c r="HX2724" s="73"/>
      <c r="HY2724" s="73"/>
      <c r="HZ2724" s="73"/>
      <c r="IA2724" s="73"/>
      <c r="IB2724" s="73"/>
      <c r="IC2724" s="73"/>
      <c r="ID2724" s="73"/>
      <c r="IE2724" s="73"/>
      <c r="IF2724" s="73"/>
      <c r="IG2724" s="73"/>
      <c r="IH2724" s="73"/>
      <c r="II2724" s="73"/>
      <c r="IJ2724" s="73"/>
      <c r="IK2724" s="73"/>
      <c r="IL2724" s="73"/>
      <c r="IM2724" s="73"/>
      <c r="IN2724" s="73"/>
      <c r="IO2724" s="73"/>
      <c r="IP2724" s="73"/>
      <c r="IQ2724" s="73"/>
      <c r="IR2724" s="73"/>
      <c r="IS2724" s="73"/>
      <c r="IT2724" s="73"/>
      <c r="IU2724" s="73"/>
      <c r="IV2724" s="73"/>
      <c r="IW2724" s="73"/>
      <c r="IX2724" s="73"/>
      <c r="IY2724" s="73"/>
      <c r="IZ2724" s="73"/>
      <c r="JA2724" s="73"/>
      <c r="JB2724" s="73"/>
      <c r="JC2724" s="73"/>
    </row>
    <row r="2725" spans="2:263" s="72" customFormat="1">
      <c r="B2725" s="73"/>
      <c r="C2725" s="73"/>
      <c r="D2725" s="73"/>
      <c r="E2725" s="73"/>
      <c r="F2725" s="73"/>
      <c r="G2725" s="73"/>
      <c r="H2725" s="73"/>
      <c r="I2725" s="73"/>
      <c r="J2725" s="73"/>
      <c r="K2725" s="73"/>
      <c r="L2725" s="73"/>
      <c r="M2725" s="73"/>
      <c r="N2725" s="73"/>
      <c r="O2725" s="73"/>
      <c r="P2725" s="73"/>
      <c r="Q2725" s="73"/>
      <c r="R2725" s="73"/>
      <c r="S2725" s="73"/>
      <c r="T2725" s="73"/>
      <c r="U2725" s="73"/>
      <c r="V2725" s="73"/>
      <c r="W2725" s="73"/>
      <c r="GL2725" s="73"/>
      <c r="GM2725" s="73"/>
      <c r="GN2725" s="73"/>
      <c r="GO2725" s="73"/>
      <c r="GP2725" s="73"/>
      <c r="GQ2725" s="73"/>
      <c r="GR2725" s="73"/>
      <c r="GS2725" s="73"/>
      <c r="GT2725" s="73"/>
      <c r="GU2725" s="73"/>
      <c r="GV2725" s="73"/>
      <c r="GW2725" s="73"/>
      <c r="GX2725" s="73"/>
      <c r="GY2725" s="73"/>
      <c r="GZ2725" s="73"/>
      <c r="HA2725" s="73"/>
      <c r="HB2725" s="73"/>
      <c r="HC2725" s="73"/>
      <c r="HD2725" s="73"/>
      <c r="HE2725" s="73"/>
      <c r="HF2725" s="73"/>
      <c r="HG2725" s="73"/>
      <c r="HH2725" s="73"/>
      <c r="HI2725" s="73"/>
      <c r="HJ2725" s="73"/>
      <c r="HK2725" s="73"/>
      <c r="HL2725" s="73"/>
      <c r="HM2725" s="73"/>
      <c r="HN2725" s="73"/>
      <c r="HO2725" s="73"/>
      <c r="HP2725" s="73"/>
      <c r="HQ2725" s="73"/>
      <c r="HR2725" s="73"/>
      <c r="HS2725" s="73"/>
      <c r="HT2725" s="73"/>
      <c r="HU2725" s="73"/>
      <c r="HV2725" s="73"/>
      <c r="HW2725" s="73"/>
      <c r="HX2725" s="73"/>
      <c r="HY2725" s="73"/>
      <c r="HZ2725" s="73"/>
      <c r="IA2725" s="73"/>
      <c r="IB2725" s="73"/>
      <c r="IC2725" s="73"/>
      <c r="ID2725" s="73"/>
      <c r="IE2725" s="73"/>
      <c r="IF2725" s="73"/>
      <c r="IG2725" s="73"/>
      <c r="IH2725" s="73"/>
      <c r="II2725" s="73"/>
      <c r="IJ2725" s="73"/>
      <c r="IK2725" s="73"/>
      <c r="IL2725" s="73"/>
      <c r="IM2725" s="73"/>
      <c r="IN2725" s="73"/>
      <c r="IO2725" s="73"/>
      <c r="IP2725" s="73"/>
      <c r="IQ2725" s="73"/>
      <c r="IR2725" s="73"/>
      <c r="IS2725" s="73"/>
      <c r="IT2725" s="73"/>
      <c r="IU2725" s="73"/>
      <c r="IV2725" s="73"/>
      <c r="IW2725" s="73"/>
      <c r="IX2725" s="73"/>
      <c r="IY2725" s="73"/>
      <c r="IZ2725" s="73"/>
      <c r="JA2725" s="73"/>
      <c r="JB2725" s="73"/>
      <c r="JC2725" s="73"/>
    </row>
    <row r="2726" spans="2:263" s="72" customFormat="1">
      <c r="B2726" s="73"/>
      <c r="C2726" s="73"/>
      <c r="D2726" s="73"/>
      <c r="E2726" s="73"/>
      <c r="F2726" s="73"/>
      <c r="G2726" s="73"/>
      <c r="H2726" s="73"/>
      <c r="I2726" s="73"/>
      <c r="J2726" s="73"/>
      <c r="K2726" s="73"/>
      <c r="L2726" s="73"/>
      <c r="M2726" s="73"/>
      <c r="N2726" s="73"/>
      <c r="O2726" s="73"/>
      <c r="P2726" s="73"/>
      <c r="Q2726" s="73"/>
      <c r="R2726" s="73"/>
      <c r="S2726" s="73"/>
      <c r="T2726" s="73"/>
      <c r="U2726" s="73"/>
      <c r="V2726" s="73"/>
      <c r="W2726" s="73"/>
      <c r="GL2726" s="73"/>
      <c r="GM2726" s="73"/>
      <c r="GN2726" s="73"/>
      <c r="GO2726" s="73"/>
      <c r="GP2726" s="73"/>
      <c r="GQ2726" s="73"/>
      <c r="GR2726" s="73"/>
      <c r="GS2726" s="73"/>
      <c r="GT2726" s="73"/>
      <c r="GU2726" s="73"/>
      <c r="GV2726" s="73"/>
      <c r="GW2726" s="73"/>
      <c r="GX2726" s="73"/>
      <c r="GY2726" s="73"/>
      <c r="GZ2726" s="73"/>
      <c r="HA2726" s="73"/>
      <c r="HB2726" s="73"/>
      <c r="HC2726" s="73"/>
      <c r="HD2726" s="73"/>
      <c r="HE2726" s="73"/>
      <c r="HF2726" s="73"/>
      <c r="HG2726" s="73"/>
      <c r="HH2726" s="73"/>
      <c r="HI2726" s="73"/>
      <c r="HJ2726" s="73"/>
      <c r="HK2726" s="73"/>
      <c r="HL2726" s="73"/>
      <c r="HM2726" s="73"/>
      <c r="HN2726" s="73"/>
      <c r="HO2726" s="73"/>
      <c r="HP2726" s="73"/>
      <c r="HQ2726" s="73"/>
      <c r="HR2726" s="73"/>
      <c r="HS2726" s="73"/>
      <c r="HT2726" s="73"/>
      <c r="HU2726" s="73"/>
      <c r="HV2726" s="73"/>
      <c r="HW2726" s="73"/>
      <c r="HX2726" s="73"/>
      <c r="HY2726" s="73"/>
      <c r="HZ2726" s="73"/>
      <c r="IA2726" s="73"/>
      <c r="IB2726" s="73"/>
      <c r="IC2726" s="73"/>
      <c r="ID2726" s="73"/>
      <c r="IE2726" s="73"/>
      <c r="IF2726" s="73"/>
      <c r="IG2726" s="73"/>
      <c r="IH2726" s="73"/>
      <c r="II2726" s="73"/>
      <c r="IJ2726" s="73"/>
      <c r="IK2726" s="73"/>
      <c r="IL2726" s="73"/>
      <c r="IM2726" s="73"/>
      <c r="IN2726" s="73"/>
      <c r="IO2726" s="73"/>
      <c r="IP2726" s="73"/>
      <c r="IQ2726" s="73"/>
      <c r="IR2726" s="73"/>
      <c r="IS2726" s="73"/>
      <c r="IT2726" s="73"/>
      <c r="IU2726" s="73"/>
      <c r="IV2726" s="73"/>
      <c r="IW2726" s="73"/>
      <c r="IX2726" s="73"/>
      <c r="IY2726" s="73"/>
      <c r="IZ2726" s="73"/>
      <c r="JA2726" s="73"/>
      <c r="JB2726" s="73"/>
      <c r="JC2726" s="73"/>
    </row>
    <row r="2727" spans="2:263" s="72" customFormat="1">
      <c r="B2727" s="73"/>
      <c r="C2727" s="73"/>
      <c r="D2727" s="73"/>
      <c r="E2727" s="73"/>
      <c r="F2727" s="73"/>
      <c r="G2727" s="73"/>
      <c r="H2727" s="73"/>
      <c r="I2727" s="73"/>
      <c r="J2727" s="73"/>
      <c r="K2727" s="73"/>
      <c r="L2727" s="73"/>
      <c r="M2727" s="73"/>
      <c r="N2727" s="73"/>
      <c r="O2727" s="73"/>
      <c r="P2727" s="73"/>
      <c r="Q2727" s="73"/>
      <c r="R2727" s="73"/>
      <c r="S2727" s="73"/>
      <c r="T2727" s="73"/>
      <c r="U2727" s="73"/>
      <c r="V2727" s="73"/>
      <c r="W2727" s="73"/>
      <c r="GL2727" s="73"/>
      <c r="GM2727" s="73"/>
      <c r="GN2727" s="73"/>
      <c r="GO2727" s="73"/>
      <c r="GP2727" s="73"/>
      <c r="GQ2727" s="73"/>
      <c r="GR2727" s="73"/>
      <c r="GS2727" s="73"/>
      <c r="GT2727" s="73"/>
      <c r="GU2727" s="73"/>
      <c r="GV2727" s="73"/>
      <c r="GW2727" s="73"/>
      <c r="GX2727" s="73"/>
      <c r="GY2727" s="73"/>
      <c r="GZ2727" s="73"/>
      <c r="HA2727" s="73"/>
      <c r="HB2727" s="73"/>
      <c r="HC2727" s="73"/>
      <c r="HD2727" s="73"/>
      <c r="HE2727" s="73"/>
      <c r="HF2727" s="73"/>
      <c r="HG2727" s="73"/>
      <c r="HH2727" s="73"/>
      <c r="HI2727" s="73"/>
      <c r="HJ2727" s="73"/>
      <c r="HK2727" s="73"/>
      <c r="HL2727" s="73"/>
      <c r="HM2727" s="73"/>
      <c r="HN2727" s="73"/>
      <c r="HO2727" s="73"/>
      <c r="HP2727" s="73"/>
      <c r="HQ2727" s="73"/>
      <c r="HR2727" s="73"/>
      <c r="HS2727" s="73"/>
      <c r="HT2727" s="73"/>
      <c r="HU2727" s="73"/>
      <c r="HV2727" s="73"/>
      <c r="HW2727" s="73"/>
      <c r="HX2727" s="73"/>
      <c r="HY2727" s="73"/>
      <c r="HZ2727" s="73"/>
      <c r="IA2727" s="73"/>
      <c r="IB2727" s="73"/>
      <c r="IC2727" s="73"/>
      <c r="ID2727" s="73"/>
      <c r="IE2727" s="73"/>
      <c r="IF2727" s="73"/>
      <c r="IG2727" s="73"/>
      <c r="IH2727" s="73"/>
      <c r="II2727" s="73"/>
      <c r="IJ2727" s="73"/>
      <c r="IK2727" s="73"/>
      <c r="IL2727" s="73"/>
      <c r="IM2727" s="73"/>
      <c r="IN2727" s="73"/>
      <c r="IO2727" s="73"/>
      <c r="IP2727" s="73"/>
      <c r="IQ2727" s="73"/>
      <c r="IR2727" s="73"/>
      <c r="IS2727" s="73"/>
      <c r="IT2727" s="73"/>
      <c r="IU2727" s="73"/>
      <c r="IV2727" s="73"/>
      <c r="IW2727" s="73"/>
      <c r="IX2727" s="73"/>
      <c r="IY2727" s="73"/>
      <c r="IZ2727" s="73"/>
      <c r="JA2727" s="73"/>
      <c r="JB2727" s="73"/>
      <c r="JC2727" s="73"/>
    </row>
    <row r="2728" spans="2:263" s="72" customFormat="1">
      <c r="B2728" s="73"/>
      <c r="C2728" s="73"/>
      <c r="D2728" s="73"/>
      <c r="E2728" s="73"/>
      <c r="F2728" s="73"/>
      <c r="G2728" s="73"/>
      <c r="H2728" s="73"/>
      <c r="I2728" s="73"/>
      <c r="J2728" s="73"/>
      <c r="K2728" s="73"/>
      <c r="L2728" s="73"/>
      <c r="M2728" s="73"/>
      <c r="N2728" s="73"/>
      <c r="O2728" s="73"/>
      <c r="P2728" s="73"/>
      <c r="Q2728" s="73"/>
      <c r="R2728" s="73"/>
      <c r="S2728" s="73"/>
      <c r="T2728" s="73"/>
      <c r="U2728" s="73"/>
      <c r="V2728" s="73"/>
      <c r="W2728" s="73"/>
      <c r="GL2728" s="73"/>
      <c r="GM2728" s="73"/>
      <c r="GN2728" s="73"/>
      <c r="GO2728" s="73"/>
      <c r="GP2728" s="73"/>
      <c r="GQ2728" s="73"/>
      <c r="GR2728" s="73"/>
      <c r="GS2728" s="73"/>
      <c r="GT2728" s="73"/>
      <c r="GU2728" s="73"/>
      <c r="GV2728" s="73"/>
      <c r="GW2728" s="73"/>
      <c r="GX2728" s="73"/>
      <c r="GY2728" s="73"/>
      <c r="GZ2728" s="73"/>
      <c r="HA2728" s="73"/>
      <c r="HB2728" s="73"/>
      <c r="HC2728" s="73"/>
      <c r="HD2728" s="73"/>
      <c r="HE2728" s="73"/>
      <c r="HF2728" s="73"/>
      <c r="HG2728" s="73"/>
      <c r="HH2728" s="73"/>
      <c r="HI2728" s="73"/>
      <c r="HJ2728" s="73"/>
      <c r="HK2728" s="73"/>
      <c r="HL2728" s="73"/>
      <c r="HM2728" s="73"/>
      <c r="HN2728" s="73"/>
      <c r="HO2728" s="73"/>
      <c r="HP2728" s="73"/>
      <c r="HQ2728" s="73"/>
      <c r="HR2728" s="73"/>
      <c r="HS2728" s="73"/>
      <c r="HT2728" s="73"/>
      <c r="HU2728" s="73"/>
      <c r="HV2728" s="73"/>
      <c r="HW2728" s="73"/>
      <c r="HX2728" s="73"/>
      <c r="HY2728" s="73"/>
      <c r="HZ2728" s="73"/>
      <c r="IA2728" s="73"/>
      <c r="IB2728" s="73"/>
      <c r="IC2728" s="73"/>
      <c r="ID2728" s="73"/>
      <c r="IE2728" s="73"/>
      <c r="IF2728" s="73"/>
      <c r="IG2728" s="73"/>
      <c r="IH2728" s="73"/>
      <c r="II2728" s="73"/>
      <c r="IJ2728" s="73"/>
      <c r="IK2728" s="73"/>
      <c r="IL2728" s="73"/>
      <c r="IM2728" s="73"/>
      <c r="IN2728" s="73"/>
      <c r="IO2728" s="73"/>
      <c r="IP2728" s="73"/>
      <c r="IQ2728" s="73"/>
      <c r="IR2728" s="73"/>
      <c r="IS2728" s="73"/>
      <c r="IT2728" s="73"/>
      <c r="IU2728" s="73"/>
      <c r="IV2728" s="73"/>
      <c r="IW2728" s="73"/>
      <c r="IX2728" s="73"/>
      <c r="IY2728" s="73"/>
      <c r="IZ2728" s="73"/>
      <c r="JA2728" s="73"/>
      <c r="JB2728" s="73"/>
      <c r="JC2728" s="73"/>
    </row>
    <row r="2729" spans="2:263" s="72" customFormat="1">
      <c r="B2729" s="73"/>
      <c r="C2729" s="73"/>
      <c r="D2729" s="73"/>
      <c r="E2729" s="73"/>
      <c r="F2729" s="73"/>
      <c r="G2729" s="73"/>
      <c r="H2729" s="73"/>
      <c r="I2729" s="73"/>
      <c r="J2729" s="73"/>
      <c r="K2729" s="73"/>
      <c r="L2729" s="73"/>
      <c r="M2729" s="73"/>
      <c r="N2729" s="73"/>
      <c r="O2729" s="73"/>
      <c r="P2729" s="73"/>
      <c r="Q2729" s="73"/>
      <c r="R2729" s="73"/>
      <c r="S2729" s="73"/>
      <c r="T2729" s="73"/>
      <c r="U2729" s="73"/>
      <c r="V2729" s="73"/>
      <c r="W2729" s="73"/>
      <c r="GL2729" s="73"/>
      <c r="GM2729" s="73"/>
      <c r="GN2729" s="73"/>
      <c r="GO2729" s="73"/>
      <c r="GP2729" s="73"/>
      <c r="GQ2729" s="73"/>
      <c r="GR2729" s="73"/>
      <c r="GS2729" s="73"/>
      <c r="GT2729" s="73"/>
      <c r="GU2729" s="73"/>
      <c r="GV2729" s="73"/>
      <c r="GW2729" s="73"/>
      <c r="GX2729" s="73"/>
      <c r="GY2729" s="73"/>
      <c r="GZ2729" s="73"/>
      <c r="HA2729" s="73"/>
      <c r="HB2729" s="73"/>
      <c r="HC2729" s="73"/>
      <c r="HD2729" s="73"/>
      <c r="HE2729" s="73"/>
      <c r="HF2729" s="73"/>
      <c r="HG2729" s="73"/>
      <c r="HH2729" s="73"/>
      <c r="HI2729" s="73"/>
      <c r="HJ2729" s="73"/>
      <c r="HK2729" s="73"/>
      <c r="HL2729" s="73"/>
      <c r="HM2729" s="73"/>
      <c r="HN2729" s="73"/>
      <c r="HO2729" s="73"/>
      <c r="HP2729" s="73"/>
      <c r="HQ2729" s="73"/>
      <c r="HR2729" s="73"/>
      <c r="HS2729" s="73"/>
      <c r="HT2729" s="73"/>
      <c r="HU2729" s="73"/>
      <c r="HV2729" s="73"/>
      <c r="HW2729" s="73"/>
      <c r="HX2729" s="73"/>
      <c r="HY2729" s="73"/>
      <c r="HZ2729" s="73"/>
      <c r="IA2729" s="73"/>
      <c r="IB2729" s="73"/>
      <c r="IC2729" s="73"/>
      <c r="ID2729" s="73"/>
      <c r="IE2729" s="73"/>
      <c r="IF2729" s="73"/>
      <c r="IG2729" s="73"/>
      <c r="IH2729" s="73"/>
      <c r="II2729" s="73"/>
      <c r="IJ2729" s="73"/>
      <c r="IK2729" s="73"/>
      <c r="IL2729" s="73"/>
      <c r="IM2729" s="73"/>
      <c r="IN2729" s="73"/>
      <c r="IO2729" s="73"/>
      <c r="IP2729" s="73"/>
      <c r="IQ2729" s="73"/>
      <c r="IR2729" s="73"/>
      <c r="IS2729" s="73"/>
      <c r="IT2729" s="73"/>
      <c r="IU2729" s="73"/>
      <c r="IV2729" s="73"/>
      <c r="IW2729" s="73"/>
      <c r="IX2729" s="73"/>
      <c r="IY2729" s="73"/>
      <c r="IZ2729" s="73"/>
      <c r="JA2729" s="73"/>
      <c r="JB2729" s="73"/>
      <c r="JC2729" s="73"/>
    </row>
    <row r="2730" spans="2:263" s="72" customFormat="1">
      <c r="B2730" s="73"/>
      <c r="C2730" s="73"/>
      <c r="D2730" s="73"/>
      <c r="E2730" s="73"/>
      <c r="F2730" s="73"/>
      <c r="G2730" s="73"/>
      <c r="H2730" s="73"/>
      <c r="I2730" s="73"/>
      <c r="J2730" s="73"/>
      <c r="K2730" s="73"/>
      <c r="L2730" s="73"/>
      <c r="M2730" s="73"/>
      <c r="N2730" s="73"/>
      <c r="O2730" s="73"/>
      <c r="P2730" s="73"/>
      <c r="Q2730" s="73"/>
      <c r="R2730" s="73"/>
      <c r="S2730" s="73"/>
      <c r="T2730" s="73"/>
      <c r="U2730" s="73"/>
      <c r="V2730" s="73"/>
      <c r="W2730" s="73"/>
      <c r="GL2730" s="73"/>
      <c r="GM2730" s="73"/>
      <c r="GN2730" s="73"/>
      <c r="GO2730" s="73"/>
      <c r="GP2730" s="73"/>
      <c r="GQ2730" s="73"/>
      <c r="GR2730" s="73"/>
      <c r="GS2730" s="73"/>
      <c r="GT2730" s="73"/>
      <c r="GU2730" s="73"/>
      <c r="GV2730" s="73"/>
      <c r="GW2730" s="73"/>
      <c r="GX2730" s="73"/>
      <c r="GY2730" s="73"/>
      <c r="GZ2730" s="73"/>
      <c r="HA2730" s="73"/>
      <c r="HB2730" s="73"/>
      <c r="HC2730" s="73"/>
      <c r="HD2730" s="73"/>
      <c r="HE2730" s="73"/>
      <c r="HF2730" s="73"/>
      <c r="HG2730" s="73"/>
      <c r="HH2730" s="73"/>
      <c r="HI2730" s="73"/>
      <c r="HJ2730" s="73"/>
      <c r="HK2730" s="73"/>
      <c r="HL2730" s="73"/>
      <c r="HM2730" s="73"/>
      <c r="HN2730" s="73"/>
      <c r="HO2730" s="73"/>
      <c r="HP2730" s="73"/>
      <c r="HQ2730" s="73"/>
      <c r="HR2730" s="73"/>
      <c r="HS2730" s="73"/>
      <c r="HT2730" s="73"/>
      <c r="HU2730" s="73"/>
      <c r="HV2730" s="73"/>
      <c r="HW2730" s="73"/>
      <c r="HX2730" s="73"/>
      <c r="HY2730" s="73"/>
      <c r="HZ2730" s="73"/>
      <c r="IA2730" s="73"/>
      <c r="IB2730" s="73"/>
      <c r="IC2730" s="73"/>
      <c r="ID2730" s="73"/>
      <c r="IE2730" s="73"/>
      <c r="IF2730" s="73"/>
      <c r="IG2730" s="73"/>
      <c r="IH2730" s="73"/>
      <c r="II2730" s="73"/>
      <c r="IJ2730" s="73"/>
      <c r="IK2730" s="73"/>
      <c r="IL2730" s="73"/>
      <c r="IM2730" s="73"/>
      <c r="IN2730" s="73"/>
      <c r="IO2730" s="73"/>
      <c r="IP2730" s="73"/>
      <c r="IQ2730" s="73"/>
      <c r="IR2730" s="73"/>
      <c r="IS2730" s="73"/>
      <c r="IT2730" s="73"/>
      <c r="IU2730" s="73"/>
      <c r="IV2730" s="73"/>
      <c r="IW2730" s="73"/>
      <c r="IX2730" s="73"/>
      <c r="IY2730" s="73"/>
      <c r="IZ2730" s="73"/>
      <c r="JA2730" s="73"/>
      <c r="JB2730" s="73"/>
      <c r="JC2730" s="73"/>
    </row>
    <row r="2731" spans="2:263" s="72" customFormat="1">
      <c r="B2731" s="73"/>
      <c r="C2731" s="73"/>
      <c r="D2731" s="73"/>
      <c r="E2731" s="73"/>
      <c r="F2731" s="73"/>
      <c r="G2731" s="73"/>
      <c r="H2731" s="73"/>
      <c r="I2731" s="73"/>
      <c r="J2731" s="73"/>
      <c r="K2731" s="73"/>
      <c r="L2731" s="73"/>
      <c r="M2731" s="73"/>
      <c r="N2731" s="73"/>
      <c r="O2731" s="73"/>
      <c r="P2731" s="73"/>
      <c r="Q2731" s="73"/>
      <c r="R2731" s="73"/>
      <c r="S2731" s="73"/>
      <c r="T2731" s="73"/>
      <c r="U2731" s="73"/>
      <c r="V2731" s="73"/>
      <c r="W2731" s="73"/>
      <c r="GL2731" s="73"/>
      <c r="GM2731" s="73"/>
      <c r="GN2731" s="73"/>
      <c r="GO2731" s="73"/>
      <c r="GP2731" s="73"/>
      <c r="GQ2731" s="73"/>
      <c r="GR2731" s="73"/>
      <c r="GS2731" s="73"/>
      <c r="GT2731" s="73"/>
      <c r="GU2731" s="73"/>
      <c r="GV2731" s="73"/>
      <c r="GW2731" s="73"/>
      <c r="GX2731" s="73"/>
      <c r="GY2731" s="73"/>
      <c r="GZ2731" s="73"/>
      <c r="HA2731" s="73"/>
      <c r="HB2731" s="73"/>
      <c r="HC2731" s="73"/>
      <c r="HD2731" s="73"/>
      <c r="HE2731" s="73"/>
      <c r="HF2731" s="73"/>
      <c r="HG2731" s="73"/>
      <c r="HH2731" s="73"/>
      <c r="HI2731" s="73"/>
      <c r="HJ2731" s="73"/>
      <c r="HK2731" s="73"/>
      <c r="HL2731" s="73"/>
      <c r="HM2731" s="73"/>
      <c r="HN2731" s="73"/>
      <c r="HO2731" s="73"/>
      <c r="HP2731" s="73"/>
      <c r="HQ2731" s="73"/>
      <c r="HR2731" s="73"/>
      <c r="HS2731" s="73"/>
      <c r="HT2731" s="73"/>
      <c r="HU2731" s="73"/>
      <c r="HV2731" s="73"/>
      <c r="HW2731" s="73"/>
      <c r="HX2731" s="73"/>
      <c r="HY2731" s="73"/>
      <c r="HZ2731" s="73"/>
      <c r="IA2731" s="73"/>
      <c r="IB2731" s="73"/>
      <c r="IC2731" s="73"/>
      <c r="ID2731" s="73"/>
      <c r="IE2731" s="73"/>
      <c r="IF2731" s="73"/>
      <c r="IG2731" s="73"/>
      <c r="IH2731" s="73"/>
      <c r="II2731" s="73"/>
      <c r="IJ2731" s="73"/>
      <c r="IK2731" s="73"/>
      <c r="IL2731" s="73"/>
      <c r="IM2731" s="73"/>
      <c r="IN2731" s="73"/>
      <c r="IO2731" s="73"/>
      <c r="IP2731" s="73"/>
      <c r="IQ2731" s="73"/>
      <c r="IR2731" s="73"/>
      <c r="IS2731" s="73"/>
      <c r="IT2731" s="73"/>
      <c r="IU2731" s="73"/>
      <c r="IV2731" s="73"/>
      <c r="IW2731" s="73"/>
      <c r="IX2731" s="73"/>
      <c r="IY2731" s="73"/>
      <c r="IZ2731" s="73"/>
      <c r="JA2731" s="73"/>
      <c r="JB2731" s="73"/>
      <c r="JC2731" s="73"/>
    </row>
    <row r="2732" spans="2:263" s="72" customFormat="1">
      <c r="B2732" s="73"/>
      <c r="C2732" s="73"/>
      <c r="D2732" s="73"/>
      <c r="E2732" s="73"/>
      <c r="F2732" s="73"/>
      <c r="G2732" s="73"/>
      <c r="H2732" s="73"/>
      <c r="I2732" s="73"/>
      <c r="J2732" s="73"/>
      <c r="K2732" s="73"/>
      <c r="L2732" s="73"/>
      <c r="M2732" s="73"/>
      <c r="N2732" s="73"/>
      <c r="O2732" s="73"/>
      <c r="P2732" s="73"/>
      <c r="Q2732" s="73"/>
      <c r="R2732" s="73"/>
      <c r="S2732" s="73"/>
      <c r="T2732" s="73"/>
      <c r="U2732" s="73"/>
      <c r="V2732" s="73"/>
      <c r="W2732" s="73"/>
      <c r="GL2732" s="73"/>
      <c r="GM2732" s="73"/>
      <c r="GN2732" s="73"/>
      <c r="GO2732" s="73"/>
      <c r="GP2732" s="73"/>
      <c r="GQ2732" s="73"/>
      <c r="GR2732" s="73"/>
      <c r="GS2732" s="73"/>
      <c r="GT2732" s="73"/>
      <c r="GU2732" s="73"/>
      <c r="GV2732" s="73"/>
      <c r="GW2732" s="73"/>
      <c r="GX2732" s="73"/>
      <c r="GY2732" s="73"/>
      <c r="GZ2732" s="73"/>
      <c r="HA2732" s="73"/>
      <c r="HB2732" s="73"/>
      <c r="HC2732" s="73"/>
      <c r="HD2732" s="73"/>
      <c r="HE2732" s="73"/>
      <c r="HF2732" s="73"/>
      <c r="HG2732" s="73"/>
      <c r="HH2732" s="73"/>
      <c r="HI2732" s="73"/>
      <c r="HJ2732" s="73"/>
      <c r="HK2732" s="73"/>
      <c r="HL2732" s="73"/>
      <c r="HM2732" s="73"/>
      <c r="HN2732" s="73"/>
      <c r="HO2732" s="73"/>
      <c r="HP2732" s="73"/>
      <c r="HQ2732" s="73"/>
      <c r="HR2732" s="73"/>
      <c r="HS2732" s="73"/>
      <c r="HT2732" s="73"/>
      <c r="HU2732" s="73"/>
      <c r="HV2732" s="73"/>
      <c r="HW2732" s="73"/>
      <c r="HX2732" s="73"/>
      <c r="HY2732" s="73"/>
      <c r="HZ2732" s="73"/>
      <c r="IA2732" s="73"/>
      <c r="IB2732" s="73"/>
      <c r="IC2732" s="73"/>
      <c r="ID2732" s="73"/>
      <c r="IE2732" s="73"/>
      <c r="IF2732" s="73"/>
      <c r="IG2732" s="73"/>
      <c r="IH2732" s="73"/>
      <c r="II2732" s="73"/>
      <c r="IJ2732" s="73"/>
      <c r="IK2732" s="73"/>
      <c r="IL2732" s="73"/>
      <c r="IM2732" s="73"/>
      <c r="IN2732" s="73"/>
      <c r="IO2732" s="73"/>
      <c r="IP2732" s="73"/>
      <c r="IQ2732" s="73"/>
      <c r="IR2732" s="73"/>
      <c r="IS2732" s="73"/>
      <c r="IT2732" s="73"/>
      <c r="IU2732" s="73"/>
      <c r="IV2732" s="73"/>
      <c r="IW2732" s="73"/>
      <c r="IX2732" s="73"/>
      <c r="IY2732" s="73"/>
      <c r="IZ2732" s="73"/>
      <c r="JA2732" s="73"/>
      <c r="JB2732" s="73"/>
      <c r="JC2732" s="73"/>
    </row>
    <row r="2733" spans="2:263" s="72" customFormat="1">
      <c r="B2733" s="73"/>
      <c r="C2733" s="73"/>
      <c r="D2733" s="73"/>
      <c r="E2733" s="73"/>
      <c r="F2733" s="73"/>
      <c r="G2733" s="73"/>
      <c r="H2733" s="73"/>
      <c r="I2733" s="73"/>
      <c r="J2733" s="73"/>
      <c r="K2733" s="73"/>
      <c r="L2733" s="73"/>
      <c r="M2733" s="73"/>
      <c r="N2733" s="73"/>
      <c r="O2733" s="73"/>
      <c r="P2733" s="73"/>
      <c r="Q2733" s="73"/>
      <c r="R2733" s="73"/>
      <c r="S2733" s="73"/>
      <c r="T2733" s="73"/>
      <c r="U2733" s="73"/>
      <c r="V2733" s="73"/>
      <c r="W2733" s="73"/>
      <c r="GL2733" s="73"/>
      <c r="GM2733" s="73"/>
      <c r="GN2733" s="73"/>
      <c r="GO2733" s="73"/>
      <c r="GP2733" s="73"/>
      <c r="GQ2733" s="73"/>
      <c r="GR2733" s="73"/>
      <c r="GS2733" s="73"/>
      <c r="GT2733" s="73"/>
      <c r="GU2733" s="73"/>
      <c r="GV2733" s="73"/>
      <c r="GW2733" s="73"/>
      <c r="GX2733" s="73"/>
      <c r="GY2733" s="73"/>
      <c r="GZ2733" s="73"/>
      <c r="HA2733" s="73"/>
      <c r="HB2733" s="73"/>
      <c r="HC2733" s="73"/>
      <c r="HD2733" s="73"/>
      <c r="HE2733" s="73"/>
      <c r="HF2733" s="73"/>
      <c r="HG2733" s="73"/>
      <c r="HH2733" s="73"/>
      <c r="HI2733" s="73"/>
      <c r="HJ2733" s="73"/>
      <c r="HK2733" s="73"/>
      <c r="HL2733" s="73"/>
      <c r="HM2733" s="73"/>
      <c r="HN2733" s="73"/>
      <c r="HO2733" s="73"/>
      <c r="HP2733" s="73"/>
      <c r="HQ2733" s="73"/>
      <c r="HR2733" s="73"/>
      <c r="HS2733" s="73"/>
      <c r="HT2733" s="73"/>
      <c r="HU2733" s="73"/>
      <c r="HV2733" s="73"/>
      <c r="HW2733" s="73"/>
      <c r="HX2733" s="73"/>
      <c r="HY2733" s="73"/>
      <c r="HZ2733" s="73"/>
      <c r="IA2733" s="73"/>
      <c r="IB2733" s="73"/>
      <c r="IC2733" s="73"/>
      <c r="ID2733" s="73"/>
      <c r="IE2733" s="73"/>
      <c r="IF2733" s="73"/>
      <c r="IG2733" s="73"/>
      <c r="IH2733" s="73"/>
      <c r="II2733" s="73"/>
      <c r="IJ2733" s="73"/>
      <c r="IK2733" s="73"/>
      <c r="IL2733" s="73"/>
      <c r="IM2733" s="73"/>
      <c r="IN2733" s="73"/>
      <c r="IO2733" s="73"/>
      <c r="IP2733" s="73"/>
      <c r="IQ2733" s="73"/>
      <c r="IR2733" s="73"/>
      <c r="IS2733" s="73"/>
      <c r="IT2733" s="73"/>
      <c r="IU2733" s="73"/>
      <c r="IV2733" s="73"/>
      <c r="IW2733" s="73"/>
      <c r="IX2733" s="73"/>
      <c r="IY2733" s="73"/>
      <c r="IZ2733" s="73"/>
      <c r="JA2733" s="73"/>
      <c r="JB2733" s="73"/>
      <c r="JC2733" s="73"/>
    </row>
    <row r="2734" spans="2:263" s="72" customFormat="1">
      <c r="B2734" s="73"/>
      <c r="C2734" s="73"/>
      <c r="D2734" s="73"/>
      <c r="E2734" s="73"/>
      <c r="F2734" s="73"/>
      <c r="G2734" s="73"/>
      <c r="H2734" s="73"/>
      <c r="I2734" s="73"/>
      <c r="J2734" s="73"/>
      <c r="K2734" s="73"/>
      <c r="L2734" s="73"/>
      <c r="M2734" s="73"/>
      <c r="N2734" s="73"/>
      <c r="O2734" s="73"/>
      <c r="P2734" s="73"/>
      <c r="Q2734" s="73"/>
      <c r="R2734" s="73"/>
      <c r="S2734" s="73"/>
      <c r="T2734" s="73"/>
      <c r="U2734" s="73"/>
      <c r="V2734" s="73"/>
      <c r="W2734" s="73"/>
      <c r="GL2734" s="73"/>
      <c r="GM2734" s="73"/>
      <c r="GN2734" s="73"/>
      <c r="GO2734" s="73"/>
      <c r="GP2734" s="73"/>
      <c r="GQ2734" s="73"/>
      <c r="GR2734" s="73"/>
      <c r="GS2734" s="73"/>
      <c r="GT2734" s="73"/>
      <c r="GU2734" s="73"/>
      <c r="GV2734" s="73"/>
      <c r="GW2734" s="73"/>
      <c r="GX2734" s="73"/>
      <c r="GY2734" s="73"/>
      <c r="GZ2734" s="73"/>
      <c r="HA2734" s="73"/>
      <c r="HB2734" s="73"/>
      <c r="HC2734" s="73"/>
      <c r="HD2734" s="73"/>
      <c r="HE2734" s="73"/>
      <c r="HF2734" s="73"/>
      <c r="HG2734" s="73"/>
      <c r="HH2734" s="73"/>
      <c r="HI2734" s="73"/>
      <c r="HJ2734" s="73"/>
      <c r="HK2734" s="73"/>
      <c r="HL2734" s="73"/>
      <c r="HM2734" s="73"/>
      <c r="HN2734" s="73"/>
      <c r="HO2734" s="73"/>
      <c r="HP2734" s="73"/>
      <c r="HQ2734" s="73"/>
      <c r="HR2734" s="73"/>
      <c r="HS2734" s="73"/>
      <c r="HT2734" s="73"/>
      <c r="HU2734" s="73"/>
      <c r="HV2734" s="73"/>
      <c r="HW2734" s="73"/>
      <c r="HX2734" s="73"/>
      <c r="HY2734" s="73"/>
      <c r="HZ2734" s="73"/>
      <c r="IA2734" s="73"/>
      <c r="IB2734" s="73"/>
      <c r="IC2734" s="73"/>
      <c r="ID2734" s="73"/>
      <c r="IE2734" s="73"/>
      <c r="IF2734" s="73"/>
      <c r="IG2734" s="73"/>
      <c r="IH2734" s="73"/>
      <c r="II2734" s="73"/>
      <c r="IJ2734" s="73"/>
      <c r="IK2734" s="73"/>
      <c r="IL2734" s="73"/>
      <c r="IM2734" s="73"/>
      <c r="IN2734" s="73"/>
      <c r="IO2734" s="73"/>
      <c r="IP2734" s="73"/>
      <c r="IQ2734" s="73"/>
      <c r="IR2734" s="73"/>
      <c r="IS2734" s="73"/>
      <c r="IT2734" s="73"/>
      <c r="IU2734" s="73"/>
      <c r="IV2734" s="73"/>
      <c r="IW2734" s="73"/>
      <c r="IX2734" s="73"/>
      <c r="IY2734" s="73"/>
      <c r="IZ2734" s="73"/>
      <c r="JA2734" s="73"/>
      <c r="JB2734" s="73"/>
      <c r="JC2734" s="73"/>
    </row>
    <row r="2735" spans="2:263" s="72" customFormat="1">
      <c r="B2735" s="73"/>
      <c r="C2735" s="73"/>
      <c r="D2735" s="73"/>
      <c r="E2735" s="73"/>
      <c r="F2735" s="73"/>
      <c r="G2735" s="73"/>
      <c r="H2735" s="73"/>
      <c r="I2735" s="73"/>
      <c r="J2735" s="73"/>
      <c r="K2735" s="73"/>
      <c r="L2735" s="73"/>
      <c r="M2735" s="73"/>
      <c r="N2735" s="73"/>
      <c r="O2735" s="73"/>
      <c r="P2735" s="73"/>
      <c r="Q2735" s="73"/>
      <c r="R2735" s="73"/>
      <c r="S2735" s="73"/>
      <c r="T2735" s="73"/>
      <c r="U2735" s="73"/>
      <c r="V2735" s="73"/>
      <c r="W2735" s="73"/>
      <c r="GL2735" s="73"/>
      <c r="GM2735" s="73"/>
      <c r="GN2735" s="73"/>
      <c r="GO2735" s="73"/>
      <c r="GP2735" s="73"/>
      <c r="GQ2735" s="73"/>
      <c r="GR2735" s="73"/>
      <c r="GS2735" s="73"/>
      <c r="GT2735" s="73"/>
      <c r="GU2735" s="73"/>
      <c r="GV2735" s="73"/>
      <c r="GW2735" s="73"/>
      <c r="GX2735" s="73"/>
      <c r="GY2735" s="73"/>
      <c r="GZ2735" s="73"/>
      <c r="HA2735" s="73"/>
      <c r="HB2735" s="73"/>
      <c r="HC2735" s="73"/>
      <c r="HD2735" s="73"/>
      <c r="HE2735" s="73"/>
      <c r="HF2735" s="73"/>
      <c r="HG2735" s="73"/>
      <c r="HH2735" s="73"/>
      <c r="HI2735" s="73"/>
      <c r="HJ2735" s="73"/>
      <c r="HK2735" s="73"/>
      <c r="HL2735" s="73"/>
      <c r="HM2735" s="73"/>
      <c r="HN2735" s="73"/>
      <c r="HO2735" s="73"/>
      <c r="HP2735" s="73"/>
      <c r="HQ2735" s="73"/>
      <c r="HR2735" s="73"/>
      <c r="HS2735" s="73"/>
      <c r="HT2735" s="73"/>
      <c r="HU2735" s="73"/>
      <c r="HV2735" s="73"/>
      <c r="HW2735" s="73"/>
      <c r="HX2735" s="73"/>
      <c r="HY2735" s="73"/>
      <c r="HZ2735" s="73"/>
      <c r="IA2735" s="73"/>
      <c r="IB2735" s="73"/>
      <c r="IC2735" s="73"/>
      <c r="ID2735" s="73"/>
      <c r="IE2735" s="73"/>
      <c r="IF2735" s="73"/>
      <c r="IG2735" s="73"/>
      <c r="IH2735" s="73"/>
      <c r="II2735" s="73"/>
      <c r="IJ2735" s="73"/>
      <c r="IK2735" s="73"/>
      <c r="IL2735" s="73"/>
      <c r="IM2735" s="73"/>
      <c r="IN2735" s="73"/>
      <c r="IO2735" s="73"/>
      <c r="IP2735" s="73"/>
      <c r="IQ2735" s="73"/>
      <c r="IR2735" s="73"/>
      <c r="IS2735" s="73"/>
      <c r="IT2735" s="73"/>
      <c r="IU2735" s="73"/>
      <c r="IV2735" s="73"/>
      <c r="IW2735" s="73"/>
      <c r="IX2735" s="73"/>
      <c r="IY2735" s="73"/>
      <c r="IZ2735" s="73"/>
      <c r="JA2735" s="73"/>
      <c r="JB2735" s="73"/>
      <c r="JC2735" s="73"/>
    </row>
    <row r="2736" spans="2:263" s="72" customFormat="1">
      <c r="B2736" s="73"/>
      <c r="C2736" s="73"/>
      <c r="D2736" s="73"/>
      <c r="E2736" s="73"/>
      <c r="F2736" s="73"/>
      <c r="G2736" s="73"/>
      <c r="H2736" s="73"/>
      <c r="I2736" s="73"/>
      <c r="J2736" s="73"/>
      <c r="K2736" s="73"/>
      <c r="L2736" s="73"/>
      <c r="M2736" s="73"/>
      <c r="N2736" s="73"/>
      <c r="O2736" s="73"/>
      <c r="P2736" s="73"/>
      <c r="Q2736" s="73"/>
      <c r="R2736" s="73"/>
      <c r="S2736" s="73"/>
      <c r="T2736" s="73"/>
      <c r="U2736" s="73"/>
      <c r="V2736" s="73"/>
      <c r="W2736" s="73"/>
      <c r="GL2736" s="73"/>
      <c r="GM2736" s="73"/>
      <c r="GN2736" s="73"/>
      <c r="GO2736" s="73"/>
      <c r="GP2736" s="73"/>
      <c r="GQ2736" s="73"/>
      <c r="GR2736" s="73"/>
      <c r="GS2736" s="73"/>
      <c r="GT2736" s="73"/>
      <c r="GU2736" s="73"/>
      <c r="GV2736" s="73"/>
      <c r="GW2736" s="73"/>
      <c r="GX2736" s="73"/>
      <c r="GY2736" s="73"/>
      <c r="GZ2736" s="73"/>
      <c r="HA2736" s="73"/>
      <c r="HB2736" s="73"/>
      <c r="HC2736" s="73"/>
      <c r="HD2736" s="73"/>
      <c r="HE2736" s="73"/>
      <c r="HF2736" s="73"/>
      <c r="HG2736" s="73"/>
      <c r="HH2736" s="73"/>
      <c r="HI2736" s="73"/>
      <c r="HJ2736" s="73"/>
      <c r="HK2736" s="73"/>
      <c r="HL2736" s="73"/>
      <c r="HM2736" s="73"/>
      <c r="HN2736" s="73"/>
      <c r="HO2736" s="73"/>
      <c r="HP2736" s="73"/>
      <c r="HQ2736" s="73"/>
      <c r="HR2736" s="73"/>
      <c r="HS2736" s="73"/>
      <c r="HT2736" s="73"/>
      <c r="HU2736" s="73"/>
      <c r="HV2736" s="73"/>
      <c r="HW2736" s="73"/>
      <c r="HX2736" s="73"/>
      <c r="HY2736" s="73"/>
      <c r="HZ2736" s="73"/>
      <c r="IA2736" s="73"/>
      <c r="IB2736" s="73"/>
      <c r="IC2736" s="73"/>
      <c r="ID2736" s="73"/>
      <c r="IE2736" s="73"/>
      <c r="IF2736" s="73"/>
      <c r="IG2736" s="73"/>
      <c r="IH2736" s="73"/>
      <c r="II2736" s="73"/>
      <c r="IJ2736" s="73"/>
      <c r="IK2736" s="73"/>
      <c r="IL2736" s="73"/>
      <c r="IM2736" s="73"/>
      <c r="IN2736" s="73"/>
      <c r="IO2736" s="73"/>
      <c r="IP2736" s="73"/>
      <c r="IQ2736" s="73"/>
      <c r="IR2736" s="73"/>
      <c r="IS2736" s="73"/>
      <c r="IT2736" s="73"/>
      <c r="IU2736" s="73"/>
      <c r="IV2736" s="73"/>
      <c r="IW2736" s="73"/>
      <c r="IX2736" s="73"/>
      <c r="IY2736" s="73"/>
      <c r="IZ2736" s="73"/>
      <c r="JA2736" s="73"/>
      <c r="JB2736" s="73"/>
      <c r="JC2736" s="73"/>
    </row>
    <row r="2737" spans="2:263" s="72" customFormat="1">
      <c r="B2737" s="73"/>
      <c r="C2737" s="73"/>
      <c r="D2737" s="73"/>
      <c r="E2737" s="73"/>
      <c r="F2737" s="73"/>
      <c r="G2737" s="73"/>
      <c r="H2737" s="73"/>
      <c r="I2737" s="73"/>
      <c r="J2737" s="73"/>
      <c r="K2737" s="73"/>
      <c r="L2737" s="73"/>
      <c r="M2737" s="73"/>
      <c r="N2737" s="73"/>
      <c r="O2737" s="73"/>
      <c r="P2737" s="73"/>
      <c r="Q2737" s="73"/>
      <c r="R2737" s="73"/>
      <c r="S2737" s="73"/>
      <c r="T2737" s="73"/>
      <c r="U2737" s="73"/>
      <c r="V2737" s="73"/>
      <c r="W2737" s="73"/>
      <c r="GL2737" s="73"/>
      <c r="GM2737" s="73"/>
      <c r="GN2737" s="73"/>
      <c r="GO2737" s="73"/>
      <c r="GP2737" s="73"/>
      <c r="GQ2737" s="73"/>
      <c r="GR2737" s="73"/>
      <c r="GS2737" s="73"/>
      <c r="GT2737" s="73"/>
      <c r="GU2737" s="73"/>
      <c r="GV2737" s="73"/>
      <c r="GW2737" s="73"/>
      <c r="GX2737" s="73"/>
      <c r="GY2737" s="73"/>
      <c r="GZ2737" s="73"/>
      <c r="HA2737" s="73"/>
      <c r="HB2737" s="73"/>
      <c r="HC2737" s="73"/>
      <c r="HD2737" s="73"/>
      <c r="HE2737" s="73"/>
      <c r="HF2737" s="73"/>
      <c r="HG2737" s="73"/>
      <c r="HH2737" s="73"/>
      <c r="HI2737" s="73"/>
      <c r="HJ2737" s="73"/>
      <c r="HK2737" s="73"/>
      <c r="HL2737" s="73"/>
      <c r="HM2737" s="73"/>
      <c r="HN2737" s="73"/>
      <c r="HO2737" s="73"/>
      <c r="HP2737" s="73"/>
      <c r="HQ2737" s="73"/>
      <c r="HR2737" s="73"/>
      <c r="HS2737" s="73"/>
      <c r="HT2737" s="73"/>
      <c r="HU2737" s="73"/>
      <c r="HV2737" s="73"/>
      <c r="HW2737" s="73"/>
      <c r="HX2737" s="73"/>
      <c r="HY2737" s="73"/>
      <c r="HZ2737" s="73"/>
      <c r="IA2737" s="73"/>
      <c r="IB2737" s="73"/>
      <c r="IC2737" s="73"/>
      <c r="ID2737" s="73"/>
      <c r="IE2737" s="73"/>
      <c r="IF2737" s="73"/>
      <c r="IG2737" s="73"/>
      <c r="IH2737" s="73"/>
      <c r="II2737" s="73"/>
      <c r="IJ2737" s="73"/>
      <c r="IK2737" s="73"/>
      <c r="IL2737" s="73"/>
      <c r="IM2737" s="73"/>
      <c r="IN2737" s="73"/>
      <c r="IO2737" s="73"/>
      <c r="IP2737" s="73"/>
      <c r="IQ2737" s="73"/>
      <c r="IR2737" s="73"/>
      <c r="IS2737" s="73"/>
      <c r="IT2737" s="73"/>
      <c r="IU2737" s="73"/>
      <c r="IV2737" s="73"/>
      <c r="IW2737" s="73"/>
      <c r="IX2737" s="73"/>
      <c r="IY2737" s="73"/>
      <c r="IZ2737" s="73"/>
      <c r="JA2737" s="73"/>
      <c r="JB2737" s="73"/>
      <c r="JC2737" s="73"/>
    </row>
    <row r="2738" spans="2:263" s="72" customFormat="1">
      <c r="B2738" s="73"/>
      <c r="C2738" s="73"/>
      <c r="D2738" s="73"/>
      <c r="E2738" s="73"/>
      <c r="F2738" s="73"/>
      <c r="G2738" s="73"/>
      <c r="H2738" s="73"/>
      <c r="I2738" s="73"/>
      <c r="J2738" s="73"/>
      <c r="K2738" s="73"/>
      <c r="L2738" s="73"/>
      <c r="M2738" s="73"/>
      <c r="N2738" s="73"/>
      <c r="O2738" s="73"/>
      <c r="P2738" s="73"/>
      <c r="Q2738" s="73"/>
      <c r="R2738" s="73"/>
      <c r="S2738" s="73"/>
      <c r="T2738" s="73"/>
      <c r="U2738" s="73"/>
      <c r="V2738" s="73"/>
      <c r="W2738" s="73"/>
      <c r="GL2738" s="73"/>
      <c r="GM2738" s="73"/>
      <c r="GN2738" s="73"/>
      <c r="GO2738" s="73"/>
      <c r="GP2738" s="73"/>
      <c r="GQ2738" s="73"/>
      <c r="GR2738" s="73"/>
      <c r="GS2738" s="73"/>
      <c r="GT2738" s="73"/>
      <c r="GU2738" s="73"/>
      <c r="GV2738" s="73"/>
      <c r="GW2738" s="73"/>
      <c r="GX2738" s="73"/>
      <c r="GY2738" s="73"/>
      <c r="GZ2738" s="73"/>
      <c r="HA2738" s="73"/>
      <c r="HB2738" s="73"/>
      <c r="HC2738" s="73"/>
      <c r="HD2738" s="73"/>
      <c r="HE2738" s="73"/>
      <c r="HF2738" s="73"/>
      <c r="HG2738" s="73"/>
      <c r="HH2738" s="73"/>
      <c r="HI2738" s="73"/>
      <c r="HJ2738" s="73"/>
      <c r="HK2738" s="73"/>
      <c r="HL2738" s="73"/>
      <c r="HM2738" s="73"/>
      <c r="HN2738" s="73"/>
      <c r="HO2738" s="73"/>
      <c r="HP2738" s="73"/>
      <c r="HQ2738" s="73"/>
      <c r="HR2738" s="73"/>
      <c r="HS2738" s="73"/>
      <c r="HT2738" s="73"/>
      <c r="HU2738" s="73"/>
      <c r="HV2738" s="73"/>
      <c r="HW2738" s="73"/>
      <c r="HX2738" s="73"/>
      <c r="HY2738" s="73"/>
      <c r="HZ2738" s="73"/>
      <c r="IA2738" s="73"/>
      <c r="IB2738" s="73"/>
      <c r="IC2738" s="73"/>
      <c r="ID2738" s="73"/>
      <c r="IE2738" s="73"/>
      <c r="IF2738" s="73"/>
      <c r="IG2738" s="73"/>
      <c r="IH2738" s="73"/>
      <c r="II2738" s="73"/>
      <c r="IJ2738" s="73"/>
      <c r="IK2738" s="73"/>
      <c r="IL2738" s="73"/>
      <c r="IM2738" s="73"/>
      <c r="IN2738" s="73"/>
      <c r="IO2738" s="73"/>
      <c r="IP2738" s="73"/>
      <c r="IQ2738" s="73"/>
      <c r="IR2738" s="73"/>
      <c r="IS2738" s="73"/>
      <c r="IT2738" s="73"/>
      <c r="IU2738" s="73"/>
      <c r="IV2738" s="73"/>
      <c r="IW2738" s="73"/>
      <c r="IX2738" s="73"/>
      <c r="IY2738" s="73"/>
      <c r="IZ2738" s="73"/>
      <c r="JA2738" s="73"/>
      <c r="JB2738" s="73"/>
      <c r="JC2738" s="73"/>
    </row>
    <row r="2739" spans="2:263" s="72" customFormat="1">
      <c r="B2739" s="73"/>
      <c r="C2739" s="73"/>
      <c r="D2739" s="73"/>
      <c r="E2739" s="73"/>
      <c r="F2739" s="73"/>
      <c r="G2739" s="73"/>
      <c r="H2739" s="73"/>
      <c r="I2739" s="73"/>
      <c r="J2739" s="73"/>
      <c r="K2739" s="73"/>
      <c r="L2739" s="73"/>
      <c r="M2739" s="73"/>
      <c r="N2739" s="73"/>
      <c r="O2739" s="73"/>
      <c r="P2739" s="73"/>
      <c r="Q2739" s="73"/>
      <c r="R2739" s="73"/>
      <c r="S2739" s="73"/>
      <c r="T2739" s="73"/>
      <c r="U2739" s="73"/>
      <c r="V2739" s="73"/>
      <c r="W2739" s="73"/>
      <c r="GL2739" s="73"/>
      <c r="GM2739" s="73"/>
      <c r="GN2739" s="73"/>
      <c r="GO2739" s="73"/>
      <c r="GP2739" s="73"/>
      <c r="GQ2739" s="73"/>
      <c r="GR2739" s="73"/>
      <c r="GS2739" s="73"/>
      <c r="GT2739" s="73"/>
      <c r="GU2739" s="73"/>
      <c r="GV2739" s="73"/>
      <c r="GW2739" s="73"/>
      <c r="GX2739" s="73"/>
      <c r="GY2739" s="73"/>
      <c r="GZ2739" s="73"/>
      <c r="HA2739" s="73"/>
      <c r="HB2739" s="73"/>
      <c r="HC2739" s="73"/>
      <c r="HD2739" s="73"/>
      <c r="HE2739" s="73"/>
      <c r="HF2739" s="73"/>
      <c r="HG2739" s="73"/>
      <c r="HH2739" s="73"/>
      <c r="HI2739" s="73"/>
      <c r="HJ2739" s="73"/>
      <c r="HK2739" s="73"/>
      <c r="HL2739" s="73"/>
      <c r="HM2739" s="73"/>
      <c r="HN2739" s="73"/>
      <c r="HO2739" s="73"/>
      <c r="HP2739" s="73"/>
      <c r="HQ2739" s="73"/>
      <c r="HR2739" s="73"/>
      <c r="HS2739" s="73"/>
      <c r="HT2739" s="73"/>
      <c r="HU2739" s="73"/>
      <c r="HV2739" s="73"/>
      <c r="HW2739" s="73"/>
      <c r="HX2739" s="73"/>
      <c r="HY2739" s="73"/>
      <c r="HZ2739" s="73"/>
      <c r="IA2739" s="73"/>
      <c r="IB2739" s="73"/>
      <c r="IC2739" s="73"/>
      <c r="ID2739" s="73"/>
      <c r="IE2739" s="73"/>
      <c r="IF2739" s="73"/>
      <c r="IG2739" s="73"/>
      <c r="IH2739" s="73"/>
      <c r="II2739" s="73"/>
      <c r="IJ2739" s="73"/>
      <c r="IK2739" s="73"/>
      <c r="IL2739" s="73"/>
      <c r="IM2739" s="73"/>
      <c r="IN2739" s="73"/>
      <c r="IO2739" s="73"/>
      <c r="IP2739" s="73"/>
      <c r="IQ2739" s="73"/>
      <c r="IR2739" s="73"/>
      <c r="IS2739" s="73"/>
      <c r="IT2739" s="73"/>
      <c r="IU2739" s="73"/>
      <c r="IV2739" s="73"/>
      <c r="IW2739" s="73"/>
      <c r="IX2739" s="73"/>
      <c r="IY2739" s="73"/>
      <c r="IZ2739" s="73"/>
      <c r="JA2739" s="73"/>
      <c r="JB2739" s="73"/>
      <c r="JC2739" s="73"/>
    </row>
    <row r="2740" spans="2:263" s="72" customFormat="1">
      <c r="B2740" s="73"/>
      <c r="C2740" s="73"/>
      <c r="D2740" s="73"/>
      <c r="E2740" s="73"/>
      <c r="F2740" s="73"/>
      <c r="G2740" s="73"/>
      <c r="H2740" s="73"/>
      <c r="I2740" s="73"/>
      <c r="J2740" s="73"/>
      <c r="K2740" s="73"/>
      <c r="L2740" s="73"/>
      <c r="M2740" s="73"/>
      <c r="N2740" s="73"/>
      <c r="O2740" s="73"/>
      <c r="P2740" s="73"/>
      <c r="Q2740" s="73"/>
      <c r="R2740" s="73"/>
      <c r="S2740" s="73"/>
      <c r="T2740" s="73"/>
      <c r="U2740" s="73"/>
      <c r="V2740" s="73"/>
      <c r="W2740" s="73"/>
      <c r="GL2740" s="73"/>
      <c r="GM2740" s="73"/>
      <c r="GN2740" s="73"/>
      <c r="GO2740" s="73"/>
      <c r="GP2740" s="73"/>
      <c r="GQ2740" s="73"/>
      <c r="GR2740" s="73"/>
      <c r="GS2740" s="73"/>
      <c r="GT2740" s="73"/>
      <c r="GU2740" s="73"/>
      <c r="GV2740" s="73"/>
      <c r="GW2740" s="73"/>
      <c r="GX2740" s="73"/>
      <c r="GY2740" s="73"/>
      <c r="GZ2740" s="73"/>
      <c r="HA2740" s="73"/>
      <c r="HB2740" s="73"/>
      <c r="HC2740" s="73"/>
      <c r="HD2740" s="73"/>
      <c r="HE2740" s="73"/>
      <c r="HF2740" s="73"/>
      <c r="HG2740" s="73"/>
      <c r="HH2740" s="73"/>
      <c r="HI2740" s="73"/>
      <c r="HJ2740" s="73"/>
      <c r="HK2740" s="73"/>
      <c r="HL2740" s="73"/>
      <c r="HM2740" s="73"/>
      <c r="HN2740" s="73"/>
      <c r="HO2740" s="73"/>
      <c r="HP2740" s="73"/>
      <c r="HQ2740" s="73"/>
      <c r="HR2740" s="73"/>
      <c r="HS2740" s="73"/>
      <c r="HT2740" s="73"/>
      <c r="HU2740" s="73"/>
      <c r="HV2740" s="73"/>
      <c r="HW2740" s="73"/>
      <c r="HX2740" s="73"/>
      <c r="HY2740" s="73"/>
      <c r="HZ2740" s="73"/>
      <c r="IA2740" s="73"/>
      <c r="IB2740" s="73"/>
      <c r="IC2740" s="73"/>
      <c r="ID2740" s="73"/>
      <c r="IE2740" s="73"/>
      <c r="IF2740" s="73"/>
      <c r="IG2740" s="73"/>
      <c r="IH2740" s="73"/>
      <c r="II2740" s="73"/>
      <c r="IJ2740" s="73"/>
      <c r="IK2740" s="73"/>
      <c r="IL2740" s="73"/>
      <c r="IM2740" s="73"/>
      <c r="IN2740" s="73"/>
      <c r="IO2740" s="73"/>
      <c r="IP2740" s="73"/>
      <c r="IQ2740" s="73"/>
      <c r="IR2740" s="73"/>
      <c r="IS2740" s="73"/>
      <c r="IT2740" s="73"/>
      <c r="IU2740" s="73"/>
      <c r="IV2740" s="73"/>
      <c r="IW2740" s="73"/>
      <c r="IX2740" s="73"/>
      <c r="IY2740" s="73"/>
      <c r="IZ2740" s="73"/>
      <c r="JA2740" s="73"/>
      <c r="JB2740" s="73"/>
      <c r="JC2740" s="73"/>
    </row>
    <row r="2741" spans="2:263" s="72" customFormat="1">
      <c r="B2741" s="73"/>
      <c r="C2741" s="73"/>
      <c r="D2741" s="73"/>
      <c r="E2741" s="73"/>
      <c r="F2741" s="73"/>
      <c r="G2741" s="73"/>
      <c r="H2741" s="73"/>
      <c r="I2741" s="73"/>
      <c r="J2741" s="73"/>
      <c r="K2741" s="73"/>
      <c r="L2741" s="73"/>
      <c r="M2741" s="73"/>
      <c r="N2741" s="73"/>
      <c r="O2741" s="73"/>
      <c r="P2741" s="73"/>
      <c r="Q2741" s="73"/>
      <c r="R2741" s="73"/>
      <c r="S2741" s="73"/>
      <c r="T2741" s="73"/>
      <c r="U2741" s="73"/>
      <c r="V2741" s="73"/>
      <c r="W2741" s="73"/>
      <c r="GL2741" s="73"/>
      <c r="GM2741" s="73"/>
      <c r="GN2741" s="73"/>
      <c r="GO2741" s="73"/>
      <c r="GP2741" s="73"/>
      <c r="GQ2741" s="73"/>
      <c r="GR2741" s="73"/>
      <c r="GS2741" s="73"/>
      <c r="GT2741" s="73"/>
      <c r="GU2741" s="73"/>
      <c r="GV2741" s="73"/>
      <c r="GW2741" s="73"/>
      <c r="GX2741" s="73"/>
      <c r="GY2741" s="73"/>
      <c r="GZ2741" s="73"/>
      <c r="HA2741" s="73"/>
      <c r="HB2741" s="73"/>
      <c r="HC2741" s="73"/>
      <c r="HD2741" s="73"/>
      <c r="HE2741" s="73"/>
      <c r="HF2741" s="73"/>
      <c r="HG2741" s="73"/>
      <c r="HH2741" s="73"/>
      <c r="HI2741" s="73"/>
      <c r="HJ2741" s="73"/>
      <c r="HK2741" s="73"/>
      <c r="HL2741" s="73"/>
      <c r="HM2741" s="73"/>
      <c r="HN2741" s="73"/>
      <c r="HO2741" s="73"/>
      <c r="HP2741" s="73"/>
      <c r="HQ2741" s="73"/>
      <c r="HR2741" s="73"/>
      <c r="HS2741" s="73"/>
      <c r="HT2741" s="73"/>
      <c r="HU2741" s="73"/>
      <c r="HV2741" s="73"/>
      <c r="HW2741" s="73"/>
      <c r="HX2741" s="73"/>
      <c r="HY2741" s="73"/>
      <c r="HZ2741" s="73"/>
      <c r="IA2741" s="73"/>
      <c r="IB2741" s="73"/>
      <c r="IC2741" s="73"/>
      <c r="ID2741" s="73"/>
      <c r="IE2741" s="73"/>
      <c r="IF2741" s="73"/>
      <c r="IG2741" s="73"/>
      <c r="IH2741" s="73"/>
      <c r="II2741" s="73"/>
      <c r="IJ2741" s="73"/>
      <c r="IK2741" s="73"/>
      <c r="IL2741" s="73"/>
      <c r="IM2741" s="73"/>
      <c r="IN2741" s="73"/>
      <c r="IO2741" s="73"/>
      <c r="IP2741" s="73"/>
      <c r="IQ2741" s="73"/>
      <c r="IR2741" s="73"/>
      <c r="IS2741" s="73"/>
      <c r="IT2741" s="73"/>
      <c r="IU2741" s="73"/>
      <c r="IV2741" s="73"/>
      <c r="IW2741" s="73"/>
      <c r="IX2741" s="73"/>
      <c r="IY2741" s="73"/>
      <c r="IZ2741" s="73"/>
      <c r="JA2741" s="73"/>
      <c r="JB2741" s="73"/>
      <c r="JC2741" s="73"/>
    </row>
    <row r="2742" spans="2:263" s="72" customFormat="1">
      <c r="B2742" s="73"/>
      <c r="C2742" s="73"/>
      <c r="D2742" s="73"/>
      <c r="E2742" s="73"/>
      <c r="F2742" s="73"/>
      <c r="G2742" s="73"/>
      <c r="H2742" s="73"/>
      <c r="I2742" s="73"/>
      <c r="J2742" s="73"/>
      <c r="K2742" s="73"/>
      <c r="L2742" s="73"/>
      <c r="M2742" s="73"/>
      <c r="N2742" s="73"/>
      <c r="O2742" s="73"/>
      <c r="P2742" s="73"/>
      <c r="Q2742" s="73"/>
      <c r="R2742" s="73"/>
      <c r="S2742" s="73"/>
      <c r="T2742" s="73"/>
      <c r="U2742" s="73"/>
      <c r="V2742" s="73"/>
      <c r="W2742" s="73"/>
      <c r="GL2742" s="73"/>
      <c r="GM2742" s="73"/>
      <c r="GN2742" s="73"/>
      <c r="GO2742" s="73"/>
      <c r="GP2742" s="73"/>
      <c r="GQ2742" s="73"/>
      <c r="GR2742" s="73"/>
      <c r="GS2742" s="73"/>
      <c r="GT2742" s="73"/>
      <c r="GU2742" s="73"/>
      <c r="GV2742" s="73"/>
      <c r="GW2742" s="73"/>
      <c r="GX2742" s="73"/>
      <c r="GY2742" s="73"/>
      <c r="GZ2742" s="73"/>
      <c r="HA2742" s="73"/>
      <c r="HB2742" s="73"/>
      <c r="HC2742" s="73"/>
      <c r="HD2742" s="73"/>
      <c r="HE2742" s="73"/>
      <c r="HF2742" s="73"/>
      <c r="HG2742" s="73"/>
      <c r="HH2742" s="73"/>
      <c r="HI2742" s="73"/>
      <c r="HJ2742" s="73"/>
      <c r="HK2742" s="73"/>
      <c r="HL2742" s="73"/>
      <c r="HM2742" s="73"/>
      <c r="HN2742" s="73"/>
      <c r="HO2742" s="73"/>
      <c r="HP2742" s="73"/>
      <c r="HQ2742" s="73"/>
      <c r="HR2742" s="73"/>
      <c r="HS2742" s="73"/>
      <c r="HT2742" s="73"/>
      <c r="HU2742" s="73"/>
      <c r="HV2742" s="73"/>
      <c r="HW2742" s="73"/>
      <c r="HX2742" s="73"/>
      <c r="HY2742" s="73"/>
      <c r="HZ2742" s="73"/>
      <c r="IA2742" s="73"/>
      <c r="IB2742" s="73"/>
      <c r="IC2742" s="73"/>
      <c r="ID2742" s="73"/>
      <c r="IE2742" s="73"/>
      <c r="IF2742" s="73"/>
      <c r="IG2742" s="73"/>
      <c r="IH2742" s="73"/>
      <c r="II2742" s="73"/>
      <c r="IJ2742" s="73"/>
      <c r="IK2742" s="73"/>
      <c r="IL2742" s="73"/>
      <c r="IM2742" s="73"/>
      <c r="IN2742" s="73"/>
      <c r="IO2742" s="73"/>
      <c r="IP2742" s="73"/>
      <c r="IQ2742" s="73"/>
      <c r="IR2742" s="73"/>
      <c r="IS2742" s="73"/>
      <c r="IT2742" s="73"/>
      <c r="IU2742" s="73"/>
      <c r="IV2742" s="73"/>
      <c r="IW2742" s="73"/>
      <c r="IX2742" s="73"/>
      <c r="IY2742" s="73"/>
      <c r="IZ2742" s="73"/>
      <c r="JA2742" s="73"/>
      <c r="JB2742" s="73"/>
      <c r="JC2742" s="73"/>
    </row>
    <row r="2743" spans="2:263" s="72" customFormat="1">
      <c r="B2743" s="73"/>
      <c r="C2743" s="73"/>
      <c r="D2743" s="73"/>
      <c r="E2743" s="73"/>
      <c r="F2743" s="73"/>
      <c r="G2743" s="73"/>
      <c r="H2743" s="73"/>
      <c r="I2743" s="73"/>
      <c r="J2743" s="73"/>
      <c r="K2743" s="73"/>
      <c r="L2743" s="73"/>
      <c r="M2743" s="73"/>
      <c r="N2743" s="73"/>
      <c r="O2743" s="73"/>
      <c r="P2743" s="73"/>
      <c r="Q2743" s="73"/>
      <c r="R2743" s="73"/>
      <c r="S2743" s="73"/>
      <c r="T2743" s="73"/>
      <c r="U2743" s="73"/>
      <c r="V2743" s="73"/>
      <c r="W2743" s="73"/>
      <c r="GL2743" s="73"/>
      <c r="GM2743" s="73"/>
      <c r="GN2743" s="73"/>
      <c r="GO2743" s="73"/>
      <c r="GP2743" s="73"/>
      <c r="GQ2743" s="73"/>
      <c r="GR2743" s="73"/>
      <c r="GS2743" s="73"/>
      <c r="GT2743" s="73"/>
      <c r="GU2743" s="73"/>
      <c r="GV2743" s="73"/>
      <c r="GW2743" s="73"/>
      <c r="GX2743" s="73"/>
      <c r="GY2743" s="73"/>
      <c r="GZ2743" s="73"/>
      <c r="HA2743" s="73"/>
      <c r="HB2743" s="73"/>
      <c r="HC2743" s="73"/>
      <c r="HD2743" s="73"/>
      <c r="HE2743" s="73"/>
      <c r="HF2743" s="73"/>
      <c r="HG2743" s="73"/>
      <c r="HH2743" s="73"/>
      <c r="HI2743" s="73"/>
      <c r="HJ2743" s="73"/>
      <c r="HK2743" s="73"/>
      <c r="HL2743" s="73"/>
      <c r="HM2743" s="73"/>
      <c r="HN2743" s="73"/>
      <c r="HO2743" s="73"/>
      <c r="HP2743" s="73"/>
      <c r="HQ2743" s="73"/>
      <c r="HR2743" s="73"/>
      <c r="HS2743" s="73"/>
      <c r="HT2743" s="73"/>
      <c r="HU2743" s="73"/>
      <c r="HV2743" s="73"/>
      <c r="HW2743" s="73"/>
      <c r="HX2743" s="73"/>
      <c r="HY2743" s="73"/>
      <c r="HZ2743" s="73"/>
      <c r="IA2743" s="73"/>
      <c r="IB2743" s="73"/>
      <c r="IC2743" s="73"/>
      <c r="ID2743" s="73"/>
      <c r="IE2743" s="73"/>
      <c r="IF2743" s="73"/>
      <c r="IG2743" s="73"/>
      <c r="IH2743" s="73"/>
      <c r="II2743" s="73"/>
      <c r="IJ2743" s="73"/>
      <c r="IK2743" s="73"/>
      <c r="IL2743" s="73"/>
      <c r="IM2743" s="73"/>
      <c r="IN2743" s="73"/>
      <c r="IO2743" s="73"/>
      <c r="IP2743" s="73"/>
      <c r="IQ2743" s="73"/>
      <c r="IR2743" s="73"/>
      <c r="IS2743" s="73"/>
      <c r="IT2743" s="73"/>
      <c r="IU2743" s="73"/>
      <c r="IV2743" s="73"/>
      <c r="IW2743" s="73"/>
      <c r="IX2743" s="73"/>
      <c r="IY2743" s="73"/>
      <c r="IZ2743" s="73"/>
      <c r="JA2743" s="73"/>
      <c r="JB2743" s="73"/>
      <c r="JC2743" s="73"/>
    </row>
    <row r="2744" spans="2:263" s="72" customFormat="1">
      <c r="B2744" s="73"/>
      <c r="C2744" s="73"/>
      <c r="D2744" s="73"/>
      <c r="E2744" s="73"/>
      <c r="F2744" s="73"/>
      <c r="G2744" s="73"/>
      <c r="H2744" s="73"/>
      <c r="I2744" s="73"/>
      <c r="J2744" s="73"/>
      <c r="K2744" s="73"/>
      <c r="L2744" s="73"/>
      <c r="M2744" s="73"/>
      <c r="N2744" s="73"/>
      <c r="O2744" s="73"/>
      <c r="P2744" s="73"/>
      <c r="Q2744" s="73"/>
      <c r="R2744" s="73"/>
      <c r="S2744" s="73"/>
      <c r="T2744" s="73"/>
      <c r="U2744" s="73"/>
      <c r="V2744" s="73"/>
      <c r="W2744" s="73"/>
      <c r="GL2744" s="73"/>
      <c r="GM2744" s="73"/>
      <c r="GN2744" s="73"/>
      <c r="GO2744" s="73"/>
      <c r="GP2744" s="73"/>
      <c r="GQ2744" s="73"/>
      <c r="GR2744" s="73"/>
      <c r="GS2744" s="73"/>
      <c r="GT2744" s="73"/>
      <c r="GU2744" s="73"/>
      <c r="GV2744" s="73"/>
      <c r="GW2744" s="73"/>
      <c r="GX2744" s="73"/>
      <c r="GY2744" s="73"/>
      <c r="GZ2744" s="73"/>
      <c r="HA2744" s="73"/>
      <c r="HB2744" s="73"/>
      <c r="HC2744" s="73"/>
      <c r="HD2744" s="73"/>
      <c r="HE2744" s="73"/>
      <c r="HF2744" s="73"/>
      <c r="HG2744" s="73"/>
      <c r="HH2744" s="73"/>
      <c r="HI2744" s="73"/>
      <c r="HJ2744" s="73"/>
      <c r="HK2744" s="73"/>
      <c r="HL2744" s="73"/>
      <c r="HM2744" s="73"/>
      <c r="HN2744" s="73"/>
      <c r="HO2744" s="73"/>
      <c r="HP2744" s="73"/>
      <c r="HQ2744" s="73"/>
      <c r="HR2744" s="73"/>
      <c r="HS2744" s="73"/>
      <c r="HT2744" s="73"/>
      <c r="HU2744" s="73"/>
      <c r="HV2744" s="73"/>
      <c r="HW2744" s="73"/>
      <c r="HX2744" s="73"/>
      <c r="HY2744" s="73"/>
      <c r="HZ2744" s="73"/>
      <c r="IA2744" s="73"/>
      <c r="IB2744" s="73"/>
      <c r="IC2744" s="73"/>
      <c r="ID2744" s="73"/>
      <c r="IE2744" s="73"/>
      <c r="IF2744" s="73"/>
      <c r="IG2744" s="73"/>
      <c r="IH2744" s="73"/>
      <c r="II2744" s="73"/>
      <c r="IJ2744" s="73"/>
      <c r="IK2744" s="73"/>
      <c r="IL2744" s="73"/>
      <c r="IM2744" s="73"/>
      <c r="IN2744" s="73"/>
      <c r="IO2744" s="73"/>
      <c r="IP2744" s="73"/>
      <c r="IQ2744" s="73"/>
      <c r="IR2744" s="73"/>
      <c r="IS2744" s="73"/>
      <c r="IT2744" s="73"/>
      <c r="IU2744" s="73"/>
      <c r="IV2744" s="73"/>
      <c r="IW2744" s="73"/>
      <c r="IX2744" s="73"/>
      <c r="IY2744" s="73"/>
      <c r="IZ2744" s="73"/>
      <c r="JA2744" s="73"/>
      <c r="JB2744" s="73"/>
      <c r="JC2744" s="73"/>
    </row>
    <row r="2745" spans="2:263" s="72" customFormat="1">
      <c r="B2745" s="73"/>
      <c r="C2745" s="73"/>
      <c r="D2745" s="73"/>
      <c r="E2745" s="73"/>
      <c r="F2745" s="73"/>
      <c r="G2745" s="73"/>
      <c r="H2745" s="73"/>
      <c r="I2745" s="73"/>
      <c r="J2745" s="73"/>
      <c r="K2745" s="73"/>
      <c r="L2745" s="73"/>
      <c r="M2745" s="73"/>
      <c r="N2745" s="73"/>
      <c r="O2745" s="73"/>
      <c r="P2745" s="73"/>
      <c r="Q2745" s="73"/>
      <c r="R2745" s="73"/>
      <c r="S2745" s="73"/>
      <c r="T2745" s="73"/>
      <c r="U2745" s="73"/>
      <c r="V2745" s="73"/>
      <c r="W2745" s="73"/>
      <c r="GL2745" s="73"/>
      <c r="GM2745" s="73"/>
      <c r="GN2745" s="73"/>
      <c r="GO2745" s="73"/>
      <c r="GP2745" s="73"/>
      <c r="GQ2745" s="73"/>
      <c r="GR2745" s="73"/>
      <c r="GS2745" s="73"/>
      <c r="GT2745" s="73"/>
      <c r="GU2745" s="73"/>
      <c r="GV2745" s="73"/>
      <c r="GW2745" s="73"/>
      <c r="GX2745" s="73"/>
      <c r="GY2745" s="73"/>
      <c r="GZ2745" s="73"/>
      <c r="HA2745" s="73"/>
      <c r="HB2745" s="73"/>
      <c r="HC2745" s="73"/>
      <c r="HD2745" s="73"/>
      <c r="HE2745" s="73"/>
      <c r="HF2745" s="73"/>
      <c r="HG2745" s="73"/>
      <c r="HH2745" s="73"/>
      <c r="HI2745" s="73"/>
      <c r="HJ2745" s="73"/>
      <c r="HK2745" s="73"/>
      <c r="HL2745" s="73"/>
      <c r="HM2745" s="73"/>
      <c r="HN2745" s="73"/>
      <c r="HO2745" s="73"/>
      <c r="HP2745" s="73"/>
      <c r="HQ2745" s="73"/>
      <c r="HR2745" s="73"/>
      <c r="HS2745" s="73"/>
      <c r="HT2745" s="73"/>
      <c r="HU2745" s="73"/>
      <c r="HV2745" s="73"/>
      <c r="HW2745" s="73"/>
      <c r="HX2745" s="73"/>
      <c r="HY2745" s="73"/>
      <c r="HZ2745" s="73"/>
      <c r="IA2745" s="73"/>
      <c r="IB2745" s="73"/>
      <c r="IC2745" s="73"/>
      <c r="ID2745" s="73"/>
      <c r="IE2745" s="73"/>
      <c r="IF2745" s="73"/>
      <c r="IG2745" s="73"/>
      <c r="IH2745" s="73"/>
      <c r="II2745" s="73"/>
      <c r="IJ2745" s="73"/>
      <c r="IK2745" s="73"/>
      <c r="IL2745" s="73"/>
      <c r="IM2745" s="73"/>
      <c r="IN2745" s="73"/>
      <c r="IO2745" s="73"/>
      <c r="IP2745" s="73"/>
      <c r="IQ2745" s="73"/>
      <c r="IR2745" s="73"/>
      <c r="IS2745" s="73"/>
      <c r="IT2745" s="73"/>
      <c r="IU2745" s="73"/>
      <c r="IV2745" s="73"/>
      <c r="IW2745" s="73"/>
      <c r="IX2745" s="73"/>
      <c r="IY2745" s="73"/>
      <c r="IZ2745" s="73"/>
      <c r="JA2745" s="73"/>
      <c r="JB2745" s="73"/>
      <c r="JC2745" s="73"/>
    </row>
    <row r="2746" spans="2:263" s="72" customFormat="1">
      <c r="B2746" s="73"/>
      <c r="C2746" s="73"/>
      <c r="D2746" s="73"/>
      <c r="E2746" s="73"/>
      <c r="F2746" s="73"/>
      <c r="G2746" s="73"/>
      <c r="H2746" s="73"/>
      <c r="I2746" s="73"/>
      <c r="J2746" s="73"/>
      <c r="K2746" s="73"/>
      <c r="L2746" s="73"/>
      <c r="M2746" s="73"/>
      <c r="N2746" s="73"/>
      <c r="O2746" s="73"/>
      <c r="P2746" s="73"/>
      <c r="Q2746" s="73"/>
      <c r="R2746" s="73"/>
      <c r="S2746" s="73"/>
      <c r="T2746" s="73"/>
      <c r="U2746" s="73"/>
      <c r="V2746" s="73"/>
      <c r="W2746" s="73"/>
      <c r="GL2746" s="73"/>
      <c r="GM2746" s="73"/>
      <c r="GN2746" s="73"/>
      <c r="GO2746" s="73"/>
      <c r="GP2746" s="73"/>
      <c r="GQ2746" s="73"/>
      <c r="GR2746" s="73"/>
      <c r="GS2746" s="73"/>
      <c r="GT2746" s="73"/>
      <c r="GU2746" s="73"/>
      <c r="GV2746" s="73"/>
      <c r="GW2746" s="73"/>
      <c r="GX2746" s="73"/>
      <c r="GY2746" s="73"/>
      <c r="GZ2746" s="73"/>
      <c r="HA2746" s="73"/>
      <c r="HB2746" s="73"/>
      <c r="HC2746" s="73"/>
      <c r="HD2746" s="73"/>
      <c r="HE2746" s="73"/>
      <c r="HF2746" s="73"/>
      <c r="HG2746" s="73"/>
      <c r="HH2746" s="73"/>
      <c r="HI2746" s="73"/>
      <c r="HJ2746" s="73"/>
      <c r="HK2746" s="73"/>
      <c r="HL2746" s="73"/>
      <c r="HM2746" s="73"/>
      <c r="HN2746" s="73"/>
      <c r="HO2746" s="73"/>
      <c r="HP2746" s="73"/>
      <c r="HQ2746" s="73"/>
      <c r="HR2746" s="73"/>
      <c r="HS2746" s="73"/>
      <c r="HT2746" s="73"/>
      <c r="HU2746" s="73"/>
      <c r="HV2746" s="73"/>
      <c r="HW2746" s="73"/>
      <c r="HX2746" s="73"/>
      <c r="HY2746" s="73"/>
      <c r="HZ2746" s="73"/>
      <c r="IA2746" s="73"/>
      <c r="IB2746" s="73"/>
      <c r="IC2746" s="73"/>
      <c r="ID2746" s="73"/>
      <c r="IE2746" s="73"/>
      <c r="IF2746" s="73"/>
      <c r="IG2746" s="73"/>
      <c r="IH2746" s="73"/>
      <c r="II2746" s="73"/>
      <c r="IJ2746" s="73"/>
      <c r="IK2746" s="73"/>
      <c r="IL2746" s="73"/>
      <c r="IM2746" s="73"/>
      <c r="IN2746" s="73"/>
      <c r="IO2746" s="73"/>
      <c r="IP2746" s="73"/>
      <c r="IQ2746" s="73"/>
      <c r="IR2746" s="73"/>
      <c r="IS2746" s="73"/>
      <c r="IT2746" s="73"/>
      <c r="IU2746" s="73"/>
      <c r="IV2746" s="73"/>
      <c r="IW2746" s="73"/>
      <c r="IX2746" s="73"/>
      <c r="IY2746" s="73"/>
      <c r="IZ2746" s="73"/>
      <c r="JA2746" s="73"/>
      <c r="JB2746" s="73"/>
      <c r="JC2746" s="73"/>
    </row>
    <row r="2747" spans="2:263" s="72" customFormat="1">
      <c r="B2747" s="73"/>
      <c r="C2747" s="73"/>
      <c r="D2747" s="73"/>
      <c r="E2747" s="73"/>
      <c r="F2747" s="73"/>
      <c r="G2747" s="73"/>
      <c r="H2747" s="73"/>
      <c r="I2747" s="73"/>
      <c r="J2747" s="73"/>
      <c r="K2747" s="73"/>
      <c r="L2747" s="73"/>
      <c r="M2747" s="73"/>
      <c r="N2747" s="73"/>
      <c r="O2747" s="73"/>
      <c r="P2747" s="73"/>
      <c r="Q2747" s="73"/>
      <c r="R2747" s="73"/>
      <c r="S2747" s="73"/>
      <c r="T2747" s="73"/>
      <c r="U2747" s="73"/>
      <c r="V2747" s="73"/>
      <c r="W2747" s="73"/>
      <c r="GL2747" s="73"/>
      <c r="GM2747" s="73"/>
      <c r="GN2747" s="73"/>
      <c r="GO2747" s="73"/>
      <c r="GP2747" s="73"/>
      <c r="GQ2747" s="73"/>
      <c r="GR2747" s="73"/>
      <c r="GS2747" s="73"/>
      <c r="GT2747" s="73"/>
      <c r="GU2747" s="73"/>
      <c r="GV2747" s="73"/>
      <c r="GW2747" s="73"/>
      <c r="GX2747" s="73"/>
      <c r="GY2747" s="73"/>
      <c r="GZ2747" s="73"/>
      <c r="HA2747" s="73"/>
      <c r="HB2747" s="73"/>
      <c r="HC2747" s="73"/>
      <c r="HD2747" s="73"/>
      <c r="HE2747" s="73"/>
      <c r="HF2747" s="73"/>
      <c r="HG2747" s="73"/>
      <c r="HH2747" s="73"/>
      <c r="HI2747" s="73"/>
      <c r="HJ2747" s="73"/>
      <c r="HK2747" s="73"/>
      <c r="HL2747" s="73"/>
      <c r="HM2747" s="73"/>
      <c r="HN2747" s="73"/>
      <c r="HO2747" s="73"/>
      <c r="HP2747" s="73"/>
      <c r="HQ2747" s="73"/>
      <c r="HR2747" s="73"/>
      <c r="HS2747" s="73"/>
      <c r="HT2747" s="73"/>
      <c r="HU2747" s="73"/>
      <c r="HV2747" s="73"/>
      <c r="HW2747" s="73"/>
      <c r="HX2747" s="73"/>
      <c r="HY2747" s="73"/>
      <c r="HZ2747" s="73"/>
      <c r="IA2747" s="73"/>
      <c r="IB2747" s="73"/>
      <c r="IC2747" s="73"/>
      <c r="ID2747" s="73"/>
      <c r="IE2747" s="73"/>
      <c r="IF2747" s="73"/>
      <c r="IG2747" s="73"/>
      <c r="IH2747" s="73"/>
      <c r="II2747" s="73"/>
      <c r="IJ2747" s="73"/>
      <c r="IK2747" s="73"/>
      <c r="IL2747" s="73"/>
      <c r="IM2747" s="73"/>
      <c r="IN2747" s="73"/>
      <c r="IO2747" s="73"/>
      <c r="IP2747" s="73"/>
      <c r="IQ2747" s="73"/>
      <c r="IR2747" s="73"/>
      <c r="IS2747" s="73"/>
      <c r="IT2747" s="73"/>
      <c r="IU2747" s="73"/>
      <c r="IV2747" s="73"/>
      <c r="IW2747" s="73"/>
      <c r="IX2747" s="73"/>
      <c r="IY2747" s="73"/>
      <c r="IZ2747" s="73"/>
      <c r="JA2747" s="73"/>
      <c r="JB2747" s="73"/>
      <c r="JC2747" s="73"/>
    </row>
    <row r="2748" spans="2:263" s="72" customFormat="1">
      <c r="B2748" s="73"/>
      <c r="C2748" s="73"/>
      <c r="D2748" s="73"/>
      <c r="E2748" s="73"/>
      <c r="F2748" s="73"/>
      <c r="G2748" s="73"/>
      <c r="H2748" s="73"/>
      <c r="I2748" s="73"/>
      <c r="J2748" s="73"/>
      <c r="K2748" s="73"/>
      <c r="L2748" s="73"/>
      <c r="M2748" s="73"/>
      <c r="N2748" s="73"/>
      <c r="O2748" s="73"/>
      <c r="P2748" s="73"/>
      <c r="Q2748" s="73"/>
      <c r="R2748" s="73"/>
      <c r="S2748" s="73"/>
      <c r="T2748" s="73"/>
      <c r="U2748" s="73"/>
      <c r="V2748" s="73"/>
      <c r="W2748" s="73"/>
      <c r="GL2748" s="73"/>
      <c r="GM2748" s="73"/>
      <c r="GN2748" s="73"/>
      <c r="GO2748" s="73"/>
      <c r="GP2748" s="73"/>
      <c r="GQ2748" s="73"/>
      <c r="GR2748" s="73"/>
      <c r="GS2748" s="73"/>
      <c r="GT2748" s="73"/>
      <c r="GU2748" s="73"/>
      <c r="GV2748" s="73"/>
      <c r="GW2748" s="73"/>
      <c r="GX2748" s="73"/>
      <c r="GY2748" s="73"/>
      <c r="GZ2748" s="73"/>
      <c r="HA2748" s="73"/>
      <c r="HB2748" s="73"/>
      <c r="HC2748" s="73"/>
      <c r="HD2748" s="73"/>
      <c r="HE2748" s="73"/>
      <c r="HF2748" s="73"/>
      <c r="HG2748" s="73"/>
      <c r="HH2748" s="73"/>
      <c r="HI2748" s="73"/>
      <c r="HJ2748" s="73"/>
      <c r="HK2748" s="73"/>
      <c r="HL2748" s="73"/>
      <c r="HM2748" s="73"/>
      <c r="HN2748" s="73"/>
      <c r="HO2748" s="73"/>
      <c r="HP2748" s="73"/>
      <c r="HQ2748" s="73"/>
      <c r="HR2748" s="73"/>
      <c r="HS2748" s="73"/>
      <c r="HT2748" s="73"/>
      <c r="HU2748" s="73"/>
      <c r="HV2748" s="73"/>
      <c r="HW2748" s="73"/>
      <c r="HX2748" s="73"/>
      <c r="HY2748" s="73"/>
      <c r="HZ2748" s="73"/>
      <c r="IA2748" s="73"/>
      <c r="IB2748" s="73"/>
      <c r="IC2748" s="73"/>
      <c r="ID2748" s="73"/>
      <c r="IE2748" s="73"/>
      <c r="IF2748" s="73"/>
      <c r="IG2748" s="73"/>
      <c r="IH2748" s="73"/>
      <c r="II2748" s="73"/>
      <c r="IJ2748" s="73"/>
      <c r="IK2748" s="73"/>
      <c r="IL2748" s="73"/>
      <c r="IM2748" s="73"/>
      <c r="IN2748" s="73"/>
      <c r="IO2748" s="73"/>
      <c r="IP2748" s="73"/>
      <c r="IQ2748" s="73"/>
      <c r="IR2748" s="73"/>
      <c r="IS2748" s="73"/>
      <c r="IT2748" s="73"/>
      <c r="IU2748" s="73"/>
      <c r="IV2748" s="73"/>
      <c r="IW2748" s="73"/>
      <c r="IX2748" s="73"/>
      <c r="IY2748" s="73"/>
      <c r="IZ2748" s="73"/>
      <c r="JA2748" s="73"/>
      <c r="JB2748" s="73"/>
      <c r="JC2748" s="73"/>
    </row>
    <row r="2749" spans="2:263" s="72" customFormat="1">
      <c r="B2749" s="73"/>
      <c r="C2749" s="73"/>
      <c r="D2749" s="73"/>
      <c r="E2749" s="73"/>
      <c r="F2749" s="73"/>
      <c r="G2749" s="73"/>
      <c r="H2749" s="73"/>
      <c r="I2749" s="73"/>
      <c r="J2749" s="73"/>
      <c r="K2749" s="73"/>
      <c r="L2749" s="73"/>
      <c r="M2749" s="73"/>
      <c r="N2749" s="73"/>
      <c r="O2749" s="73"/>
      <c r="P2749" s="73"/>
      <c r="Q2749" s="73"/>
      <c r="R2749" s="73"/>
      <c r="S2749" s="73"/>
      <c r="T2749" s="73"/>
      <c r="U2749" s="73"/>
      <c r="V2749" s="73"/>
      <c r="W2749" s="73"/>
      <c r="GL2749" s="73"/>
      <c r="GM2749" s="73"/>
      <c r="GN2749" s="73"/>
      <c r="GO2749" s="73"/>
      <c r="GP2749" s="73"/>
      <c r="GQ2749" s="73"/>
      <c r="GR2749" s="73"/>
      <c r="GS2749" s="73"/>
      <c r="GT2749" s="73"/>
      <c r="GU2749" s="73"/>
      <c r="GV2749" s="73"/>
      <c r="GW2749" s="73"/>
      <c r="GX2749" s="73"/>
      <c r="GY2749" s="73"/>
      <c r="GZ2749" s="73"/>
      <c r="HA2749" s="73"/>
      <c r="HB2749" s="73"/>
      <c r="HC2749" s="73"/>
      <c r="HD2749" s="73"/>
      <c r="HE2749" s="73"/>
      <c r="HF2749" s="73"/>
      <c r="HG2749" s="73"/>
      <c r="HH2749" s="73"/>
      <c r="HI2749" s="73"/>
      <c r="HJ2749" s="73"/>
      <c r="HK2749" s="73"/>
      <c r="HL2749" s="73"/>
      <c r="HM2749" s="73"/>
      <c r="HN2749" s="73"/>
      <c r="HO2749" s="73"/>
      <c r="HP2749" s="73"/>
      <c r="HQ2749" s="73"/>
      <c r="HR2749" s="73"/>
      <c r="HS2749" s="73"/>
      <c r="HT2749" s="73"/>
      <c r="HU2749" s="73"/>
      <c r="HV2749" s="73"/>
      <c r="HW2749" s="73"/>
      <c r="HX2749" s="73"/>
      <c r="HY2749" s="73"/>
      <c r="HZ2749" s="73"/>
      <c r="IA2749" s="73"/>
      <c r="IB2749" s="73"/>
      <c r="IC2749" s="73"/>
      <c r="ID2749" s="73"/>
      <c r="IE2749" s="73"/>
      <c r="IF2749" s="73"/>
      <c r="IG2749" s="73"/>
      <c r="IH2749" s="73"/>
      <c r="II2749" s="73"/>
      <c r="IJ2749" s="73"/>
      <c r="IK2749" s="73"/>
      <c r="IL2749" s="73"/>
      <c r="IM2749" s="73"/>
      <c r="IN2749" s="73"/>
      <c r="IO2749" s="73"/>
      <c r="IP2749" s="73"/>
      <c r="IQ2749" s="73"/>
      <c r="IR2749" s="73"/>
      <c r="IS2749" s="73"/>
      <c r="IT2749" s="73"/>
      <c r="IU2749" s="73"/>
      <c r="IV2749" s="73"/>
      <c r="IW2749" s="73"/>
      <c r="IX2749" s="73"/>
      <c r="IY2749" s="73"/>
      <c r="IZ2749" s="73"/>
      <c r="JA2749" s="73"/>
      <c r="JB2749" s="73"/>
      <c r="JC2749" s="73"/>
    </row>
    <row r="2750" spans="2:263" s="72" customFormat="1">
      <c r="B2750" s="73"/>
      <c r="C2750" s="73"/>
      <c r="D2750" s="73"/>
      <c r="E2750" s="73"/>
      <c r="F2750" s="73"/>
      <c r="G2750" s="73"/>
      <c r="H2750" s="73"/>
      <c r="I2750" s="73"/>
      <c r="J2750" s="73"/>
      <c r="K2750" s="73"/>
      <c r="L2750" s="73"/>
      <c r="M2750" s="73"/>
      <c r="N2750" s="73"/>
      <c r="O2750" s="73"/>
      <c r="P2750" s="73"/>
      <c r="Q2750" s="73"/>
      <c r="R2750" s="73"/>
      <c r="S2750" s="73"/>
      <c r="T2750" s="73"/>
      <c r="U2750" s="73"/>
      <c r="V2750" s="73"/>
      <c r="W2750" s="73"/>
      <c r="GL2750" s="73"/>
      <c r="GM2750" s="73"/>
      <c r="GN2750" s="73"/>
      <c r="GO2750" s="73"/>
      <c r="GP2750" s="73"/>
      <c r="GQ2750" s="73"/>
      <c r="GR2750" s="73"/>
      <c r="GS2750" s="73"/>
      <c r="GT2750" s="73"/>
      <c r="GU2750" s="73"/>
      <c r="GV2750" s="73"/>
      <c r="GW2750" s="73"/>
      <c r="GX2750" s="73"/>
      <c r="GY2750" s="73"/>
      <c r="GZ2750" s="73"/>
      <c r="HA2750" s="73"/>
      <c r="HB2750" s="73"/>
      <c r="HC2750" s="73"/>
      <c r="HD2750" s="73"/>
      <c r="HE2750" s="73"/>
      <c r="HF2750" s="73"/>
      <c r="HG2750" s="73"/>
      <c r="HH2750" s="73"/>
      <c r="HI2750" s="73"/>
      <c r="HJ2750" s="73"/>
      <c r="HK2750" s="73"/>
      <c r="HL2750" s="73"/>
      <c r="HM2750" s="73"/>
      <c r="HN2750" s="73"/>
      <c r="HO2750" s="73"/>
      <c r="HP2750" s="73"/>
      <c r="HQ2750" s="73"/>
      <c r="HR2750" s="73"/>
      <c r="HS2750" s="73"/>
      <c r="HT2750" s="73"/>
      <c r="HU2750" s="73"/>
      <c r="HV2750" s="73"/>
      <c r="HW2750" s="73"/>
      <c r="HX2750" s="73"/>
      <c r="HY2750" s="73"/>
      <c r="HZ2750" s="73"/>
      <c r="IA2750" s="73"/>
      <c r="IB2750" s="73"/>
      <c r="IC2750" s="73"/>
      <c r="ID2750" s="73"/>
      <c r="IE2750" s="73"/>
      <c r="IF2750" s="73"/>
      <c r="IG2750" s="73"/>
      <c r="IH2750" s="73"/>
      <c r="II2750" s="73"/>
      <c r="IJ2750" s="73"/>
      <c r="IK2750" s="73"/>
      <c r="IL2750" s="73"/>
      <c r="IM2750" s="73"/>
      <c r="IN2750" s="73"/>
      <c r="IO2750" s="73"/>
      <c r="IP2750" s="73"/>
      <c r="IQ2750" s="73"/>
      <c r="IR2750" s="73"/>
      <c r="IS2750" s="73"/>
      <c r="IT2750" s="73"/>
      <c r="IU2750" s="73"/>
      <c r="IV2750" s="73"/>
      <c r="IW2750" s="73"/>
      <c r="IX2750" s="73"/>
      <c r="IY2750" s="73"/>
      <c r="IZ2750" s="73"/>
      <c r="JA2750" s="73"/>
      <c r="JB2750" s="73"/>
      <c r="JC2750" s="73"/>
    </row>
    <row r="2751" spans="2:263" s="72" customFormat="1">
      <c r="B2751" s="73"/>
      <c r="C2751" s="73"/>
      <c r="D2751" s="73"/>
      <c r="E2751" s="73"/>
      <c r="F2751" s="73"/>
      <c r="G2751" s="73"/>
      <c r="H2751" s="73"/>
      <c r="I2751" s="73"/>
      <c r="J2751" s="73"/>
      <c r="K2751" s="73"/>
      <c r="L2751" s="73"/>
      <c r="M2751" s="73"/>
      <c r="N2751" s="73"/>
      <c r="O2751" s="73"/>
      <c r="P2751" s="73"/>
      <c r="Q2751" s="73"/>
      <c r="R2751" s="73"/>
      <c r="S2751" s="73"/>
      <c r="T2751" s="73"/>
      <c r="U2751" s="73"/>
      <c r="V2751" s="73"/>
      <c r="W2751" s="73"/>
      <c r="GL2751" s="73"/>
      <c r="GM2751" s="73"/>
      <c r="GN2751" s="73"/>
      <c r="GO2751" s="73"/>
      <c r="GP2751" s="73"/>
      <c r="GQ2751" s="73"/>
      <c r="GR2751" s="73"/>
      <c r="GS2751" s="73"/>
      <c r="GT2751" s="73"/>
      <c r="GU2751" s="73"/>
      <c r="GV2751" s="73"/>
      <c r="GW2751" s="73"/>
      <c r="GX2751" s="73"/>
      <c r="GY2751" s="73"/>
      <c r="GZ2751" s="73"/>
      <c r="HA2751" s="73"/>
      <c r="HB2751" s="73"/>
      <c r="HC2751" s="73"/>
      <c r="HD2751" s="73"/>
      <c r="HE2751" s="73"/>
      <c r="HF2751" s="73"/>
      <c r="HG2751" s="73"/>
      <c r="HH2751" s="73"/>
      <c r="HI2751" s="73"/>
      <c r="HJ2751" s="73"/>
      <c r="HK2751" s="73"/>
      <c r="HL2751" s="73"/>
      <c r="HM2751" s="73"/>
      <c r="HN2751" s="73"/>
      <c r="HO2751" s="73"/>
      <c r="HP2751" s="73"/>
      <c r="HQ2751" s="73"/>
      <c r="HR2751" s="73"/>
      <c r="HS2751" s="73"/>
      <c r="HT2751" s="73"/>
      <c r="HU2751" s="73"/>
      <c r="HV2751" s="73"/>
      <c r="HW2751" s="73"/>
      <c r="HX2751" s="73"/>
      <c r="HY2751" s="73"/>
      <c r="HZ2751" s="73"/>
      <c r="IA2751" s="73"/>
      <c r="IB2751" s="73"/>
      <c r="IC2751" s="73"/>
      <c r="ID2751" s="73"/>
      <c r="IE2751" s="73"/>
      <c r="IF2751" s="73"/>
      <c r="IG2751" s="73"/>
      <c r="IH2751" s="73"/>
      <c r="II2751" s="73"/>
      <c r="IJ2751" s="73"/>
      <c r="IK2751" s="73"/>
      <c r="IL2751" s="73"/>
      <c r="IM2751" s="73"/>
      <c r="IN2751" s="73"/>
      <c r="IO2751" s="73"/>
      <c r="IP2751" s="73"/>
      <c r="IQ2751" s="73"/>
      <c r="IR2751" s="73"/>
      <c r="IS2751" s="73"/>
      <c r="IT2751" s="73"/>
      <c r="IU2751" s="73"/>
      <c r="IV2751" s="73"/>
      <c r="IW2751" s="73"/>
      <c r="IX2751" s="73"/>
      <c r="IY2751" s="73"/>
      <c r="IZ2751" s="73"/>
      <c r="JA2751" s="73"/>
      <c r="JB2751" s="73"/>
      <c r="JC2751" s="73"/>
    </row>
    <row r="2752" spans="2:263" s="72" customFormat="1">
      <c r="B2752" s="73"/>
      <c r="C2752" s="73"/>
      <c r="D2752" s="73"/>
      <c r="E2752" s="73"/>
      <c r="F2752" s="73"/>
      <c r="G2752" s="73"/>
      <c r="H2752" s="73"/>
      <c r="I2752" s="73"/>
      <c r="J2752" s="73"/>
      <c r="K2752" s="73"/>
      <c r="L2752" s="73"/>
      <c r="M2752" s="73"/>
      <c r="N2752" s="73"/>
      <c r="O2752" s="73"/>
      <c r="P2752" s="73"/>
      <c r="Q2752" s="73"/>
      <c r="R2752" s="73"/>
      <c r="S2752" s="73"/>
      <c r="T2752" s="73"/>
      <c r="U2752" s="73"/>
      <c r="V2752" s="73"/>
      <c r="W2752" s="73"/>
      <c r="GL2752" s="73"/>
      <c r="GM2752" s="73"/>
      <c r="GN2752" s="73"/>
      <c r="GO2752" s="73"/>
      <c r="GP2752" s="73"/>
      <c r="GQ2752" s="73"/>
      <c r="GR2752" s="73"/>
      <c r="GS2752" s="73"/>
      <c r="GT2752" s="73"/>
      <c r="GU2752" s="73"/>
      <c r="GV2752" s="73"/>
      <c r="GW2752" s="73"/>
      <c r="GX2752" s="73"/>
      <c r="GY2752" s="73"/>
      <c r="GZ2752" s="73"/>
      <c r="HA2752" s="73"/>
      <c r="HB2752" s="73"/>
      <c r="HC2752" s="73"/>
      <c r="HD2752" s="73"/>
      <c r="HE2752" s="73"/>
      <c r="HF2752" s="73"/>
      <c r="HG2752" s="73"/>
      <c r="HH2752" s="73"/>
      <c r="HI2752" s="73"/>
      <c r="HJ2752" s="73"/>
      <c r="HK2752" s="73"/>
      <c r="HL2752" s="73"/>
      <c r="HM2752" s="73"/>
      <c r="HN2752" s="73"/>
      <c r="HO2752" s="73"/>
      <c r="HP2752" s="73"/>
      <c r="HQ2752" s="73"/>
      <c r="HR2752" s="73"/>
      <c r="HS2752" s="73"/>
      <c r="HT2752" s="73"/>
      <c r="HU2752" s="73"/>
      <c r="HV2752" s="73"/>
      <c r="HW2752" s="73"/>
      <c r="HX2752" s="73"/>
      <c r="HY2752" s="73"/>
      <c r="HZ2752" s="73"/>
      <c r="IA2752" s="73"/>
      <c r="IB2752" s="73"/>
      <c r="IC2752" s="73"/>
      <c r="ID2752" s="73"/>
      <c r="IE2752" s="73"/>
      <c r="IF2752" s="73"/>
      <c r="IG2752" s="73"/>
      <c r="IH2752" s="73"/>
      <c r="II2752" s="73"/>
      <c r="IJ2752" s="73"/>
      <c r="IK2752" s="73"/>
      <c r="IL2752" s="73"/>
      <c r="IM2752" s="73"/>
      <c r="IN2752" s="73"/>
      <c r="IO2752" s="73"/>
      <c r="IP2752" s="73"/>
      <c r="IQ2752" s="73"/>
      <c r="IR2752" s="73"/>
      <c r="IS2752" s="73"/>
      <c r="IT2752" s="73"/>
      <c r="IU2752" s="73"/>
      <c r="IV2752" s="73"/>
      <c r="IW2752" s="73"/>
      <c r="IX2752" s="73"/>
      <c r="IY2752" s="73"/>
      <c r="IZ2752" s="73"/>
      <c r="JA2752" s="73"/>
      <c r="JB2752" s="73"/>
      <c r="JC2752" s="73"/>
    </row>
    <row r="2753" spans="2:263" s="72" customFormat="1">
      <c r="B2753" s="73"/>
      <c r="C2753" s="73"/>
      <c r="D2753" s="73"/>
      <c r="E2753" s="73"/>
      <c r="F2753" s="73"/>
      <c r="G2753" s="73"/>
      <c r="H2753" s="73"/>
      <c r="I2753" s="73"/>
      <c r="J2753" s="73"/>
      <c r="K2753" s="73"/>
      <c r="L2753" s="73"/>
      <c r="M2753" s="73"/>
      <c r="N2753" s="73"/>
      <c r="O2753" s="73"/>
      <c r="P2753" s="73"/>
      <c r="Q2753" s="73"/>
      <c r="R2753" s="73"/>
      <c r="S2753" s="73"/>
      <c r="T2753" s="73"/>
      <c r="U2753" s="73"/>
      <c r="V2753" s="73"/>
      <c r="W2753" s="73"/>
      <c r="GL2753" s="73"/>
      <c r="GM2753" s="73"/>
      <c r="GN2753" s="73"/>
      <c r="GO2753" s="73"/>
      <c r="GP2753" s="73"/>
      <c r="GQ2753" s="73"/>
      <c r="GR2753" s="73"/>
      <c r="GS2753" s="73"/>
      <c r="GT2753" s="73"/>
      <c r="GU2753" s="73"/>
      <c r="GV2753" s="73"/>
      <c r="GW2753" s="73"/>
      <c r="GX2753" s="73"/>
      <c r="GY2753" s="73"/>
      <c r="GZ2753" s="73"/>
      <c r="HA2753" s="73"/>
      <c r="HB2753" s="73"/>
      <c r="HC2753" s="73"/>
      <c r="HD2753" s="73"/>
      <c r="HE2753" s="73"/>
      <c r="HF2753" s="73"/>
      <c r="HG2753" s="73"/>
      <c r="HH2753" s="73"/>
      <c r="HI2753" s="73"/>
      <c r="HJ2753" s="73"/>
      <c r="HK2753" s="73"/>
      <c r="HL2753" s="73"/>
      <c r="HM2753" s="73"/>
      <c r="HN2753" s="73"/>
      <c r="HO2753" s="73"/>
      <c r="HP2753" s="73"/>
      <c r="HQ2753" s="73"/>
      <c r="HR2753" s="73"/>
      <c r="HS2753" s="73"/>
      <c r="HT2753" s="73"/>
      <c r="HU2753" s="73"/>
      <c r="HV2753" s="73"/>
      <c r="HW2753" s="73"/>
      <c r="HX2753" s="73"/>
      <c r="HY2753" s="73"/>
      <c r="HZ2753" s="73"/>
      <c r="IA2753" s="73"/>
      <c r="IB2753" s="73"/>
      <c r="IC2753" s="73"/>
      <c r="ID2753" s="73"/>
      <c r="IE2753" s="73"/>
      <c r="IF2753" s="73"/>
      <c r="IG2753" s="73"/>
      <c r="IH2753" s="73"/>
      <c r="II2753" s="73"/>
      <c r="IJ2753" s="73"/>
      <c r="IK2753" s="73"/>
      <c r="IL2753" s="73"/>
      <c r="IM2753" s="73"/>
      <c r="IN2753" s="73"/>
      <c r="IO2753" s="73"/>
      <c r="IP2753" s="73"/>
      <c r="IQ2753" s="73"/>
      <c r="IR2753" s="73"/>
      <c r="IS2753" s="73"/>
      <c r="IT2753" s="73"/>
      <c r="IU2753" s="73"/>
      <c r="IV2753" s="73"/>
      <c r="IW2753" s="73"/>
      <c r="IX2753" s="73"/>
      <c r="IY2753" s="73"/>
      <c r="IZ2753" s="73"/>
      <c r="JA2753" s="73"/>
      <c r="JB2753" s="73"/>
      <c r="JC2753" s="73"/>
    </row>
    <row r="2754" spans="2:263" s="72" customFormat="1">
      <c r="B2754" s="73"/>
      <c r="C2754" s="73"/>
      <c r="D2754" s="73"/>
      <c r="E2754" s="73"/>
      <c r="F2754" s="73"/>
      <c r="G2754" s="73"/>
      <c r="H2754" s="73"/>
      <c r="I2754" s="73"/>
      <c r="J2754" s="73"/>
      <c r="K2754" s="73"/>
      <c r="L2754" s="73"/>
      <c r="M2754" s="73"/>
      <c r="N2754" s="73"/>
      <c r="O2754" s="73"/>
      <c r="P2754" s="73"/>
      <c r="Q2754" s="73"/>
      <c r="R2754" s="73"/>
      <c r="S2754" s="73"/>
      <c r="T2754" s="73"/>
      <c r="U2754" s="73"/>
      <c r="V2754" s="73"/>
      <c r="W2754" s="73"/>
      <c r="GL2754" s="73"/>
      <c r="GM2754" s="73"/>
      <c r="GN2754" s="73"/>
      <c r="GO2754" s="73"/>
      <c r="GP2754" s="73"/>
      <c r="GQ2754" s="73"/>
      <c r="GR2754" s="73"/>
      <c r="GS2754" s="73"/>
      <c r="GT2754" s="73"/>
      <c r="GU2754" s="73"/>
      <c r="GV2754" s="73"/>
      <c r="GW2754" s="73"/>
      <c r="GX2754" s="73"/>
      <c r="GY2754" s="73"/>
      <c r="GZ2754" s="73"/>
      <c r="HA2754" s="73"/>
      <c r="HB2754" s="73"/>
      <c r="HC2754" s="73"/>
      <c r="HD2754" s="73"/>
      <c r="HE2754" s="73"/>
      <c r="HF2754" s="73"/>
      <c r="HG2754" s="73"/>
      <c r="HH2754" s="73"/>
      <c r="HI2754" s="73"/>
      <c r="HJ2754" s="73"/>
      <c r="HK2754" s="73"/>
      <c r="HL2754" s="73"/>
      <c r="HM2754" s="73"/>
      <c r="HN2754" s="73"/>
      <c r="HO2754" s="73"/>
      <c r="HP2754" s="73"/>
      <c r="HQ2754" s="73"/>
      <c r="HR2754" s="73"/>
      <c r="HS2754" s="73"/>
      <c r="HT2754" s="73"/>
      <c r="HU2754" s="73"/>
      <c r="HV2754" s="73"/>
      <c r="HW2754" s="73"/>
      <c r="HX2754" s="73"/>
      <c r="HY2754" s="73"/>
      <c r="HZ2754" s="73"/>
      <c r="IA2754" s="73"/>
      <c r="IB2754" s="73"/>
      <c r="IC2754" s="73"/>
      <c r="ID2754" s="73"/>
      <c r="IE2754" s="73"/>
      <c r="IF2754" s="73"/>
      <c r="IG2754" s="73"/>
      <c r="IH2754" s="73"/>
      <c r="II2754" s="73"/>
      <c r="IJ2754" s="73"/>
      <c r="IK2754" s="73"/>
      <c r="IL2754" s="73"/>
      <c r="IM2754" s="73"/>
      <c r="IN2754" s="73"/>
      <c r="IO2754" s="73"/>
      <c r="IP2754" s="73"/>
      <c r="IQ2754" s="73"/>
      <c r="IR2754" s="73"/>
      <c r="IS2754" s="73"/>
      <c r="IT2754" s="73"/>
      <c r="IU2754" s="73"/>
      <c r="IV2754" s="73"/>
      <c r="IW2754" s="73"/>
      <c r="IX2754" s="73"/>
      <c r="IY2754" s="73"/>
      <c r="IZ2754" s="73"/>
      <c r="JA2754" s="73"/>
      <c r="JB2754" s="73"/>
      <c r="JC2754" s="73"/>
    </row>
    <row r="2755" spans="2:263" s="72" customFormat="1">
      <c r="B2755" s="73"/>
      <c r="C2755" s="73"/>
      <c r="D2755" s="73"/>
      <c r="E2755" s="73"/>
      <c r="F2755" s="73"/>
      <c r="G2755" s="73"/>
      <c r="H2755" s="73"/>
      <c r="I2755" s="73"/>
      <c r="J2755" s="73"/>
      <c r="K2755" s="73"/>
      <c r="L2755" s="73"/>
      <c r="M2755" s="73"/>
      <c r="N2755" s="73"/>
      <c r="O2755" s="73"/>
      <c r="P2755" s="73"/>
      <c r="Q2755" s="73"/>
      <c r="R2755" s="73"/>
      <c r="S2755" s="73"/>
      <c r="T2755" s="73"/>
      <c r="U2755" s="73"/>
      <c r="V2755" s="73"/>
      <c r="W2755" s="73"/>
      <c r="GL2755" s="73"/>
      <c r="GM2755" s="73"/>
      <c r="GN2755" s="73"/>
      <c r="GO2755" s="73"/>
      <c r="GP2755" s="73"/>
      <c r="GQ2755" s="73"/>
      <c r="GR2755" s="73"/>
      <c r="GS2755" s="73"/>
      <c r="GT2755" s="73"/>
      <c r="GU2755" s="73"/>
      <c r="GV2755" s="73"/>
      <c r="GW2755" s="73"/>
      <c r="GX2755" s="73"/>
      <c r="GY2755" s="73"/>
      <c r="GZ2755" s="73"/>
      <c r="HA2755" s="73"/>
      <c r="HB2755" s="73"/>
      <c r="HC2755" s="73"/>
      <c r="HD2755" s="73"/>
      <c r="HE2755" s="73"/>
      <c r="HF2755" s="73"/>
      <c r="HG2755" s="73"/>
      <c r="HH2755" s="73"/>
      <c r="HI2755" s="73"/>
      <c r="HJ2755" s="73"/>
      <c r="HK2755" s="73"/>
      <c r="HL2755" s="73"/>
      <c r="HM2755" s="73"/>
      <c r="HN2755" s="73"/>
      <c r="HO2755" s="73"/>
      <c r="HP2755" s="73"/>
      <c r="HQ2755" s="73"/>
      <c r="HR2755" s="73"/>
      <c r="HS2755" s="73"/>
      <c r="HT2755" s="73"/>
      <c r="HU2755" s="73"/>
      <c r="HV2755" s="73"/>
      <c r="HW2755" s="73"/>
      <c r="HX2755" s="73"/>
      <c r="HY2755" s="73"/>
      <c r="HZ2755" s="73"/>
      <c r="IA2755" s="73"/>
      <c r="IB2755" s="73"/>
      <c r="IC2755" s="73"/>
      <c r="ID2755" s="73"/>
      <c r="IE2755" s="73"/>
      <c r="IF2755" s="73"/>
      <c r="IG2755" s="73"/>
      <c r="IH2755" s="73"/>
      <c r="II2755" s="73"/>
      <c r="IJ2755" s="73"/>
      <c r="IK2755" s="73"/>
      <c r="IL2755" s="73"/>
      <c r="IM2755" s="73"/>
      <c r="IN2755" s="73"/>
      <c r="IO2755" s="73"/>
      <c r="IP2755" s="73"/>
      <c r="IQ2755" s="73"/>
      <c r="IR2755" s="73"/>
      <c r="IS2755" s="73"/>
      <c r="IT2755" s="73"/>
      <c r="IU2755" s="73"/>
      <c r="IV2755" s="73"/>
      <c r="IW2755" s="73"/>
      <c r="IX2755" s="73"/>
      <c r="IY2755" s="73"/>
      <c r="IZ2755" s="73"/>
      <c r="JA2755" s="73"/>
      <c r="JB2755" s="73"/>
      <c r="JC2755" s="73"/>
    </row>
    <row r="2756" spans="2:263" s="72" customFormat="1">
      <c r="B2756" s="73"/>
      <c r="C2756" s="73"/>
      <c r="D2756" s="73"/>
      <c r="E2756" s="73"/>
      <c r="F2756" s="73"/>
      <c r="G2756" s="73"/>
      <c r="H2756" s="73"/>
      <c r="I2756" s="73"/>
      <c r="J2756" s="73"/>
      <c r="K2756" s="73"/>
      <c r="L2756" s="73"/>
      <c r="M2756" s="73"/>
      <c r="N2756" s="73"/>
      <c r="O2756" s="73"/>
      <c r="P2756" s="73"/>
      <c r="Q2756" s="73"/>
      <c r="R2756" s="73"/>
      <c r="S2756" s="73"/>
      <c r="T2756" s="73"/>
      <c r="U2756" s="73"/>
      <c r="V2756" s="73"/>
      <c r="W2756" s="73"/>
      <c r="GL2756" s="73"/>
      <c r="GM2756" s="73"/>
      <c r="GN2756" s="73"/>
      <c r="GO2756" s="73"/>
      <c r="GP2756" s="73"/>
      <c r="GQ2756" s="73"/>
      <c r="GR2756" s="73"/>
      <c r="GS2756" s="73"/>
      <c r="GT2756" s="73"/>
      <c r="GU2756" s="73"/>
      <c r="GV2756" s="73"/>
      <c r="GW2756" s="73"/>
      <c r="GX2756" s="73"/>
      <c r="GY2756" s="73"/>
      <c r="GZ2756" s="73"/>
      <c r="HA2756" s="73"/>
      <c r="HB2756" s="73"/>
      <c r="HC2756" s="73"/>
      <c r="HD2756" s="73"/>
      <c r="HE2756" s="73"/>
      <c r="HF2756" s="73"/>
      <c r="HG2756" s="73"/>
      <c r="HH2756" s="73"/>
      <c r="HI2756" s="73"/>
      <c r="HJ2756" s="73"/>
      <c r="HK2756" s="73"/>
      <c r="HL2756" s="73"/>
      <c r="HM2756" s="73"/>
      <c r="HN2756" s="73"/>
      <c r="HO2756" s="73"/>
      <c r="HP2756" s="73"/>
      <c r="HQ2756" s="73"/>
      <c r="HR2756" s="73"/>
      <c r="HS2756" s="73"/>
      <c r="HT2756" s="73"/>
      <c r="HU2756" s="73"/>
      <c r="HV2756" s="73"/>
      <c r="HW2756" s="73"/>
      <c r="HX2756" s="73"/>
      <c r="HY2756" s="73"/>
      <c r="HZ2756" s="73"/>
      <c r="IA2756" s="73"/>
      <c r="IB2756" s="73"/>
      <c r="IC2756" s="73"/>
      <c r="ID2756" s="73"/>
      <c r="IE2756" s="73"/>
      <c r="IF2756" s="73"/>
      <c r="IG2756" s="73"/>
      <c r="IH2756" s="73"/>
      <c r="II2756" s="73"/>
      <c r="IJ2756" s="73"/>
      <c r="IK2756" s="73"/>
      <c r="IL2756" s="73"/>
      <c r="IM2756" s="73"/>
      <c r="IN2756" s="73"/>
      <c r="IO2756" s="73"/>
      <c r="IP2756" s="73"/>
      <c r="IQ2756" s="73"/>
      <c r="IR2756" s="73"/>
      <c r="IS2756" s="73"/>
      <c r="IT2756" s="73"/>
      <c r="IU2756" s="73"/>
      <c r="IV2756" s="73"/>
      <c r="IW2756" s="73"/>
      <c r="IX2756" s="73"/>
      <c r="IY2756" s="73"/>
      <c r="IZ2756" s="73"/>
      <c r="JA2756" s="73"/>
      <c r="JB2756" s="73"/>
      <c r="JC2756" s="73"/>
    </row>
    <row r="2757" spans="2:263" s="72" customFormat="1">
      <c r="B2757" s="73"/>
      <c r="C2757" s="73"/>
      <c r="D2757" s="73"/>
      <c r="E2757" s="73"/>
      <c r="F2757" s="73"/>
      <c r="G2757" s="73"/>
      <c r="H2757" s="73"/>
      <c r="I2757" s="73"/>
      <c r="J2757" s="73"/>
      <c r="K2757" s="73"/>
      <c r="L2757" s="73"/>
      <c r="M2757" s="73"/>
      <c r="N2757" s="73"/>
      <c r="O2757" s="73"/>
      <c r="P2757" s="73"/>
      <c r="Q2757" s="73"/>
      <c r="R2757" s="73"/>
      <c r="S2757" s="73"/>
      <c r="T2757" s="73"/>
      <c r="U2757" s="73"/>
      <c r="V2757" s="73"/>
      <c r="W2757" s="73"/>
      <c r="GL2757" s="73"/>
      <c r="GM2757" s="73"/>
      <c r="GN2757" s="73"/>
      <c r="GO2757" s="73"/>
      <c r="GP2757" s="73"/>
      <c r="GQ2757" s="73"/>
      <c r="GR2757" s="73"/>
      <c r="GS2757" s="73"/>
      <c r="GT2757" s="73"/>
      <c r="GU2757" s="73"/>
      <c r="GV2757" s="73"/>
      <c r="GW2757" s="73"/>
      <c r="GX2757" s="73"/>
      <c r="GY2757" s="73"/>
      <c r="GZ2757" s="73"/>
      <c r="HA2757" s="73"/>
      <c r="HB2757" s="73"/>
      <c r="HC2757" s="73"/>
      <c r="HD2757" s="73"/>
      <c r="HE2757" s="73"/>
      <c r="HF2757" s="73"/>
      <c r="HG2757" s="73"/>
      <c r="HH2757" s="73"/>
      <c r="HI2757" s="73"/>
      <c r="HJ2757" s="73"/>
      <c r="HK2757" s="73"/>
      <c r="HL2757" s="73"/>
      <c r="HM2757" s="73"/>
      <c r="HN2757" s="73"/>
      <c r="HO2757" s="73"/>
      <c r="HP2757" s="73"/>
      <c r="HQ2757" s="73"/>
      <c r="HR2757" s="73"/>
      <c r="HS2757" s="73"/>
      <c r="HT2757" s="73"/>
      <c r="HU2757" s="73"/>
      <c r="HV2757" s="73"/>
      <c r="HW2757" s="73"/>
      <c r="HX2757" s="73"/>
      <c r="HY2757" s="73"/>
      <c r="HZ2757" s="73"/>
      <c r="IA2757" s="73"/>
      <c r="IB2757" s="73"/>
      <c r="IC2757" s="73"/>
      <c r="ID2757" s="73"/>
      <c r="IE2757" s="73"/>
      <c r="IF2757" s="73"/>
      <c r="IG2757" s="73"/>
      <c r="IH2757" s="73"/>
      <c r="II2757" s="73"/>
      <c r="IJ2757" s="73"/>
      <c r="IK2757" s="73"/>
      <c r="IL2757" s="73"/>
      <c r="IM2757" s="73"/>
      <c r="IN2757" s="73"/>
      <c r="IO2757" s="73"/>
      <c r="IP2757" s="73"/>
      <c r="IQ2757" s="73"/>
      <c r="IR2757" s="73"/>
      <c r="IS2757" s="73"/>
      <c r="IT2757" s="73"/>
      <c r="IU2757" s="73"/>
      <c r="IV2757" s="73"/>
      <c r="IW2757" s="73"/>
      <c r="IX2757" s="73"/>
      <c r="IY2757" s="73"/>
      <c r="IZ2757" s="73"/>
      <c r="JA2757" s="73"/>
      <c r="JB2757" s="73"/>
      <c r="JC2757" s="73"/>
    </row>
    <row r="2758" spans="2:263" s="72" customFormat="1">
      <c r="B2758" s="73"/>
      <c r="C2758" s="73"/>
      <c r="D2758" s="73"/>
      <c r="E2758" s="73"/>
      <c r="F2758" s="73"/>
      <c r="G2758" s="73"/>
      <c r="H2758" s="73"/>
      <c r="I2758" s="73"/>
      <c r="J2758" s="73"/>
      <c r="K2758" s="73"/>
      <c r="L2758" s="73"/>
      <c r="M2758" s="73"/>
      <c r="N2758" s="73"/>
      <c r="O2758" s="73"/>
      <c r="P2758" s="73"/>
      <c r="Q2758" s="73"/>
      <c r="R2758" s="73"/>
      <c r="S2758" s="73"/>
      <c r="T2758" s="73"/>
      <c r="U2758" s="73"/>
      <c r="V2758" s="73"/>
      <c r="W2758" s="73"/>
      <c r="GL2758" s="73"/>
      <c r="GM2758" s="73"/>
      <c r="GN2758" s="73"/>
      <c r="GO2758" s="73"/>
      <c r="GP2758" s="73"/>
      <c r="GQ2758" s="73"/>
      <c r="GR2758" s="73"/>
      <c r="GS2758" s="73"/>
      <c r="GT2758" s="73"/>
      <c r="GU2758" s="73"/>
      <c r="GV2758" s="73"/>
      <c r="GW2758" s="73"/>
      <c r="GX2758" s="73"/>
      <c r="GY2758" s="73"/>
      <c r="GZ2758" s="73"/>
      <c r="HA2758" s="73"/>
      <c r="HB2758" s="73"/>
      <c r="HC2758" s="73"/>
      <c r="HD2758" s="73"/>
      <c r="HE2758" s="73"/>
      <c r="HF2758" s="73"/>
      <c r="HG2758" s="73"/>
      <c r="HH2758" s="73"/>
      <c r="HI2758" s="73"/>
      <c r="HJ2758" s="73"/>
      <c r="HK2758" s="73"/>
      <c r="HL2758" s="73"/>
      <c r="HM2758" s="73"/>
      <c r="HN2758" s="73"/>
      <c r="HO2758" s="73"/>
      <c r="HP2758" s="73"/>
      <c r="HQ2758" s="73"/>
      <c r="HR2758" s="73"/>
      <c r="HS2758" s="73"/>
      <c r="HT2758" s="73"/>
      <c r="HU2758" s="73"/>
      <c r="HV2758" s="73"/>
      <c r="HW2758" s="73"/>
      <c r="HX2758" s="73"/>
      <c r="HY2758" s="73"/>
      <c r="HZ2758" s="73"/>
      <c r="IA2758" s="73"/>
      <c r="IB2758" s="73"/>
      <c r="IC2758" s="73"/>
      <c r="ID2758" s="73"/>
      <c r="IE2758" s="73"/>
      <c r="IF2758" s="73"/>
      <c r="IG2758" s="73"/>
      <c r="IH2758" s="73"/>
      <c r="II2758" s="73"/>
      <c r="IJ2758" s="73"/>
      <c r="IK2758" s="73"/>
      <c r="IL2758" s="73"/>
      <c r="IM2758" s="73"/>
      <c r="IN2758" s="73"/>
      <c r="IO2758" s="73"/>
      <c r="IP2758" s="73"/>
      <c r="IQ2758" s="73"/>
      <c r="IR2758" s="73"/>
      <c r="IS2758" s="73"/>
      <c r="IT2758" s="73"/>
      <c r="IU2758" s="73"/>
      <c r="IV2758" s="73"/>
      <c r="IW2758" s="73"/>
      <c r="IX2758" s="73"/>
      <c r="IY2758" s="73"/>
      <c r="IZ2758" s="73"/>
      <c r="JA2758" s="73"/>
      <c r="JB2758" s="73"/>
      <c r="JC2758" s="73"/>
    </row>
    <row r="2759" spans="2:263" s="72" customFormat="1">
      <c r="B2759" s="73"/>
      <c r="C2759" s="73"/>
      <c r="D2759" s="73"/>
      <c r="E2759" s="73"/>
      <c r="F2759" s="73"/>
      <c r="G2759" s="73"/>
      <c r="H2759" s="73"/>
      <c r="I2759" s="73"/>
      <c r="J2759" s="73"/>
      <c r="K2759" s="73"/>
      <c r="L2759" s="73"/>
      <c r="M2759" s="73"/>
      <c r="N2759" s="73"/>
      <c r="O2759" s="73"/>
      <c r="P2759" s="73"/>
      <c r="Q2759" s="73"/>
      <c r="R2759" s="73"/>
      <c r="S2759" s="73"/>
      <c r="T2759" s="73"/>
      <c r="U2759" s="73"/>
      <c r="V2759" s="73"/>
      <c r="W2759" s="73"/>
      <c r="GL2759" s="73"/>
      <c r="GM2759" s="73"/>
      <c r="GN2759" s="73"/>
      <c r="GO2759" s="73"/>
      <c r="GP2759" s="73"/>
      <c r="GQ2759" s="73"/>
      <c r="GR2759" s="73"/>
      <c r="GS2759" s="73"/>
      <c r="GT2759" s="73"/>
      <c r="GU2759" s="73"/>
      <c r="GV2759" s="73"/>
      <c r="GW2759" s="73"/>
      <c r="GX2759" s="73"/>
      <c r="GY2759" s="73"/>
      <c r="GZ2759" s="73"/>
      <c r="HA2759" s="73"/>
      <c r="HB2759" s="73"/>
      <c r="HC2759" s="73"/>
      <c r="HD2759" s="73"/>
      <c r="HE2759" s="73"/>
      <c r="HF2759" s="73"/>
      <c r="HG2759" s="73"/>
      <c r="HH2759" s="73"/>
      <c r="HI2759" s="73"/>
      <c r="HJ2759" s="73"/>
      <c r="HK2759" s="73"/>
      <c r="HL2759" s="73"/>
      <c r="HM2759" s="73"/>
      <c r="HN2759" s="73"/>
      <c r="HO2759" s="73"/>
      <c r="HP2759" s="73"/>
      <c r="HQ2759" s="73"/>
      <c r="HR2759" s="73"/>
      <c r="HS2759" s="73"/>
      <c r="HT2759" s="73"/>
      <c r="HU2759" s="73"/>
      <c r="HV2759" s="73"/>
      <c r="HW2759" s="73"/>
      <c r="HX2759" s="73"/>
      <c r="HY2759" s="73"/>
      <c r="HZ2759" s="73"/>
      <c r="IA2759" s="73"/>
      <c r="IB2759" s="73"/>
      <c r="IC2759" s="73"/>
      <c r="ID2759" s="73"/>
      <c r="IE2759" s="73"/>
      <c r="IF2759" s="73"/>
      <c r="IG2759" s="73"/>
      <c r="IH2759" s="73"/>
      <c r="II2759" s="73"/>
      <c r="IJ2759" s="73"/>
      <c r="IK2759" s="73"/>
      <c r="IL2759" s="73"/>
      <c r="IM2759" s="73"/>
      <c r="IN2759" s="73"/>
      <c r="IO2759" s="73"/>
      <c r="IP2759" s="73"/>
      <c r="IQ2759" s="73"/>
      <c r="IR2759" s="73"/>
      <c r="IS2759" s="73"/>
      <c r="IT2759" s="73"/>
      <c r="IU2759" s="73"/>
      <c r="IV2759" s="73"/>
      <c r="IW2759" s="73"/>
      <c r="IX2759" s="73"/>
      <c r="IY2759" s="73"/>
      <c r="IZ2759" s="73"/>
      <c r="JA2759" s="73"/>
      <c r="JB2759" s="73"/>
      <c r="JC2759" s="73"/>
    </row>
    <row r="2760" spans="2:263" s="72" customFormat="1">
      <c r="B2760" s="73"/>
      <c r="C2760" s="73"/>
      <c r="D2760" s="73"/>
      <c r="E2760" s="73"/>
      <c r="F2760" s="73"/>
      <c r="G2760" s="73"/>
      <c r="H2760" s="73"/>
      <c r="I2760" s="73"/>
      <c r="J2760" s="73"/>
      <c r="K2760" s="73"/>
      <c r="L2760" s="73"/>
      <c r="M2760" s="73"/>
      <c r="N2760" s="73"/>
      <c r="O2760" s="73"/>
      <c r="P2760" s="73"/>
      <c r="Q2760" s="73"/>
      <c r="R2760" s="73"/>
      <c r="S2760" s="73"/>
      <c r="T2760" s="73"/>
      <c r="U2760" s="73"/>
      <c r="V2760" s="73"/>
      <c r="W2760" s="73"/>
      <c r="GL2760" s="73"/>
      <c r="GM2760" s="73"/>
      <c r="GN2760" s="73"/>
      <c r="GO2760" s="73"/>
      <c r="GP2760" s="73"/>
      <c r="GQ2760" s="73"/>
      <c r="GR2760" s="73"/>
      <c r="GS2760" s="73"/>
      <c r="GT2760" s="73"/>
      <c r="GU2760" s="73"/>
      <c r="GV2760" s="73"/>
      <c r="GW2760" s="73"/>
      <c r="GX2760" s="73"/>
      <c r="GY2760" s="73"/>
      <c r="GZ2760" s="73"/>
      <c r="HA2760" s="73"/>
      <c r="HB2760" s="73"/>
      <c r="HC2760" s="73"/>
      <c r="HD2760" s="73"/>
      <c r="HE2760" s="73"/>
      <c r="HF2760" s="73"/>
      <c r="HG2760" s="73"/>
      <c r="HH2760" s="73"/>
      <c r="HI2760" s="73"/>
      <c r="HJ2760" s="73"/>
      <c r="HK2760" s="73"/>
      <c r="HL2760" s="73"/>
      <c r="HM2760" s="73"/>
      <c r="HN2760" s="73"/>
      <c r="HO2760" s="73"/>
      <c r="HP2760" s="73"/>
      <c r="HQ2760" s="73"/>
      <c r="HR2760" s="73"/>
      <c r="HS2760" s="73"/>
      <c r="HT2760" s="73"/>
      <c r="HU2760" s="73"/>
      <c r="HV2760" s="73"/>
      <c r="HW2760" s="73"/>
      <c r="HX2760" s="73"/>
      <c r="HY2760" s="73"/>
      <c r="HZ2760" s="73"/>
      <c r="IA2760" s="73"/>
      <c r="IB2760" s="73"/>
      <c r="IC2760" s="73"/>
      <c r="ID2760" s="73"/>
      <c r="IE2760" s="73"/>
      <c r="IF2760" s="73"/>
      <c r="IG2760" s="73"/>
      <c r="IH2760" s="73"/>
      <c r="II2760" s="73"/>
      <c r="IJ2760" s="73"/>
      <c r="IK2760" s="73"/>
      <c r="IL2760" s="73"/>
      <c r="IM2760" s="73"/>
      <c r="IN2760" s="73"/>
      <c r="IO2760" s="73"/>
      <c r="IP2760" s="73"/>
      <c r="IQ2760" s="73"/>
      <c r="IR2760" s="73"/>
      <c r="IS2760" s="73"/>
      <c r="IT2760" s="73"/>
      <c r="IU2760" s="73"/>
      <c r="IV2760" s="73"/>
      <c r="IW2760" s="73"/>
      <c r="IX2760" s="73"/>
      <c r="IY2760" s="73"/>
      <c r="IZ2760" s="73"/>
      <c r="JA2760" s="73"/>
      <c r="JB2760" s="73"/>
      <c r="JC2760" s="73"/>
    </row>
    <row r="2761" spans="2:263" s="72" customFormat="1">
      <c r="B2761" s="73"/>
      <c r="C2761" s="73"/>
      <c r="D2761" s="73"/>
      <c r="E2761" s="73"/>
      <c r="F2761" s="73"/>
      <c r="G2761" s="73"/>
      <c r="H2761" s="73"/>
      <c r="I2761" s="73"/>
      <c r="J2761" s="73"/>
      <c r="K2761" s="73"/>
      <c r="L2761" s="73"/>
      <c r="M2761" s="73"/>
      <c r="N2761" s="73"/>
      <c r="O2761" s="73"/>
      <c r="P2761" s="73"/>
      <c r="Q2761" s="73"/>
      <c r="R2761" s="73"/>
      <c r="S2761" s="73"/>
      <c r="T2761" s="73"/>
      <c r="U2761" s="73"/>
      <c r="V2761" s="73"/>
      <c r="W2761" s="73"/>
      <c r="GL2761" s="73"/>
      <c r="GM2761" s="73"/>
      <c r="GN2761" s="73"/>
      <c r="GO2761" s="73"/>
      <c r="GP2761" s="73"/>
      <c r="GQ2761" s="73"/>
      <c r="GR2761" s="73"/>
      <c r="GS2761" s="73"/>
      <c r="GT2761" s="73"/>
      <c r="GU2761" s="73"/>
      <c r="GV2761" s="73"/>
      <c r="GW2761" s="73"/>
      <c r="GX2761" s="73"/>
      <c r="GY2761" s="73"/>
      <c r="GZ2761" s="73"/>
      <c r="HA2761" s="73"/>
      <c r="HB2761" s="73"/>
      <c r="HC2761" s="73"/>
      <c r="HD2761" s="73"/>
      <c r="HE2761" s="73"/>
      <c r="HF2761" s="73"/>
      <c r="HG2761" s="73"/>
      <c r="HH2761" s="73"/>
      <c r="HI2761" s="73"/>
      <c r="HJ2761" s="73"/>
      <c r="HK2761" s="73"/>
      <c r="HL2761" s="73"/>
      <c r="HM2761" s="73"/>
      <c r="HN2761" s="73"/>
      <c r="HO2761" s="73"/>
      <c r="HP2761" s="73"/>
      <c r="HQ2761" s="73"/>
      <c r="HR2761" s="73"/>
      <c r="HS2761" s="73"/>
      <c r="HT2761" s="73"/>
      <c r="HU2761" s="73"/>
      <c r="HV2761" s="73"/>
      <c r="HW2761" s="73"/>
      <c r="HX2761" s="73"/>
      <c r="HY2761" s="73"/>
      <c r="HZ2761" s="73"/>
      <c r="IA2761" s="73"/>
      <c r="IB2761" s="73"/>
      <c r="IC2761" s="73"/>
      <c r="ID2761" s="73"/>
      <c r="IE2761" s="73"/>
      <c r="IF2761" s="73"/>
      <c r="IG2761" s="73"/>
      <c r="IH2761" s="73"/>
      <c r="II2761" s="73"/>
      <c r="IJ2761" s="73"/>
      <c r="IK2761" s="73"/>
      <c r="IL2761" s="73"/>
      <c r="IM2761" s="73"/>
      <c r="IN2761" s="73"/>
      <c r="IO2761" s="73"/>
      <c r="IP2761" s="73"/>
      <c r="IQ2761" s="73"/>
      <c r="IR2761" s="73"/>
      <c r="IS2761" s="73"/>
      <c r="IT2761" s="73"/>
      <c r="IU2761" s="73"/>
      <c r="IV2761" s="73"/>
      <c r="IW2761" s="73"/>
      <c r="IX2761" s="73"/>
      <c r="IY2761" s="73"/>
      <c r="IZ2761" s="73"/>
      <c r="JA2761" s="73"/>
      <c r="JB2761" s="73"/>
      <c r="JC2761" s="73"/>
    </row>
    <row r="2762" spans="2:263" s="72" customFormat="1">
      <c r="B2762" s="73"/>
      <c r="C2762" s="73"/>
      <c r="D2762" s="73"/>
      <c r="E2762" s="73"/>
      <c r="F2762" s="73"/>
      <c r="G2762" s="73"/>
      <c r="H2762" s="73"/>
      <c r="I2762" s="73"/>
      <c r="J2762" s="73"/>
      <c r="K2762" s="73"/>
      <c r="L2762" s="73"/>
      <c r="M2762" s="73"/>
      <c r="N2762" s="73"/>
      <c r="O2762" s="73"/>
      <c r="P2762" s="73"/>
      <c r="Q2762" s="73"/>
      <c r="R2762" s="73"/>
      <c r="S2762" s="73"/>
      <c r="T2762" s="73"/>
      <c r="U2762" s="73"/>
      <c r="V2762" s="73"/>
      <c r="W2762" s="73"/>
      <c r="GL2762" s="73"/>
      <c r="GM2762" s="73"/>
      <c r="GN2762" s="73"/>
      <c r="GO2762" s="73"/>
      <c r="GP2762" s="73"/>
      <c r="GQ2762" s="73"/>
      <c r="GR2762" s="73"/>
      <c r="GS2762" s="73"/>
      <c r="GT2762" s="73"/>
      <c r="GU2762" s="73"/>
      <c r="GV2762" s="73"/>
      <c r="GW2762" s="73"/>
      <c r="GX2762" s="73"/>
      <c r="GY2762" s="73"/>
      <c r="GZ2762" s="73"/>
      <c r="HA2762" s="73"/>
      <c r="HB2762" s="73"/>
      <c r="HC2762" s="73"/>
      <c r="HD2762" s="73"/>
      <c r="HE2762" s="73"/>
      <c r="HF2762" s="73"/>
      <c r="HG2762" s="73"/>
      <c r="HH2762" s="73"/>
      <c r="HI2762" s="73"/>
      <c r="HJ2762" s="73"/>
      <c r="HK2762" s="73"/>
      <c r="HL2762" s="73"/>
      <c r="HM2762" s="73"/>
      <c r="HN2762" s="73"/>
      <c r="HO2762" s="73"/>
      <c r="HP2762" s="73"/>
      <c r="HQ2762" s="73"/>
      <c r="HR2762" s="73"/>
      <c r="HS2762" s="73"/>
      <c r="HT2762" s="73"/>
      <c r="HU2762" s="73"/>
      <c r="HV2762" s="73"/>
      <c r="HW2762" s="73"/>
      <c r="HX2762" s="73"/>
      <c r="HY2762" s="73"/>
      <c r="HZ2762" s="73"/>
      <c r="IA2762" s="73"/>
      <c r="IB2762" s="73"/>
      <c r="IC2762" s="73"/>
      <c r="ID2762" s="73"/>
      <c r="IE2762" s="73"/>
      <c r="IF2762" s="73"/>
      <c r="IG2762" s="73"/>
      <c r="IH2762" s="73"/>
      <c r="II2762" s="73"/>
      <c r="IJ2762" s="73"/>
      <c r="IK2762" s="73"/>
      <c r="IL2762" s="73"/>
      <c r="IM2762" s="73"/>
      <c r="IN2762" s="73"/>
      <c r="IO2762" s="73"/>
      <c r="IP2762" s="73"/>
      <c r="IQ2762" s="73"/>
      <c r="IR2762" s="73"/>
      <c r="IS2762" s="73"/>
      <c r="IT2762" s="73"/>
      <c r="IU2762" s="73"/>
      <c r="IV2762" s="73"/>
      <c r="IW2762" s="73"/>
      <c r="IX2762" s="73"/>
      <c r="IY2762" s="73"/>
      <c r="IZ2762" s="73"/>
      <c r="JA2762" s="73"/>
      <c r="JB2762" s="73"/>
      <c r="JC2762" s="73"/>
    </row>
    <row r="2763" spans="2:263" s="72" customFormat="1">
      <c r="B2763" s="73"/>
      <c r="C2763" s="73"/>
      <c r="D2763" s="73"/>
      <c r="E2763" s="73"/>
      <c r="F2763" s="73"/>
      <c r="G2763" s="73"/>
      <c r="H2763" s="73"/>
      <c r="I2763" s="73"/>
      <c r="J2763" s="73"/>
      <c r="K2763" s="73"/>
      <c r="L2763" s="73"/>
      <c r="M2763" s="73"/>
      <c r="N2763" s="73"/>
      <c r="O2763" s="73"/>
      <c r="P2763" s="73"/>
      <c r="Q2763" s="73"/>
      <c r="R2763" s="73"/>
      <c r="S2763" s="73"/>
      <c r="T2763" s="73"/>
      <c r="U2763" s="73"/>
      <c r="V2763" s="73"/>
      <c r="W2763" s="73"/>
      <c r="GL2763" s="73"/>
      <c r="GM2763" s="73"/>
      <c r="GN2763" s="73"/>
      <c r="GO2763" s="73"/>
      <c r="GP2763" s="73"/>
      <c r="GQ2763" s="73"/>
      <c r="GR2763" s="73"/>
      <c r="GS2763" s="73"/>
      <c r="GT2763" s="73"/>
      <c r="GU2763" s="73"/>
      <c r="GV2763" s="73"/>
      <c r="GW2763" s="73"/>
      <c r="GX2763" s="73"/>
      <c r="GY2763" s="73"/>
      <c r="GZ2763" s="73"/>
      <c r="HA2763" s="73"/>
      <c r="HB2763" s="73"/>
      <c r="HC2763" s="73"/>
      <c r="HD2763" s="73"/>
      <c r="HE2763" s="73"/>
      <c r="HF2763" s="73"/>
      <c r="HG2763" s="73"/>
      <c r="HH2763" s="73"/>
      <c r="HI2763" s="73"/>
      <c r="HJ2763" s="73"/>
      <c r="HK2763" s="73"/>
      <c r="HL2763" s="73"/>
      <c r="HM2763" s="73"/>
      <c r="HN2763" s="73"/>
      <c r="HO2763" s="73"/>
      <c r="HP2763" s="73"/>
      <c r="HQ2763" s="73"/>
      <c r="HR2763" s="73"/>
      <c r="HS2763" s="73"/>
      <c r="HT2763" s="73"/>
      <c r="HU2763" s="73"/>
      <c r="HV2763" s="73"/>
      <c r="HW2763" s="73"/>
      <c r="HX2763" s="73"/>
      <c r="HY2763" s="73"/>
      <c r="HZ2763" s="73"/>
      <c r="IA2763" s="73"/>
      <c r="IB2763" s="73"/>
      <c r="IC2763" s="73"/>
      <c r="ID2763" s="73"/>
      <c r="IE2763" s="73"/>
      <c r="IF2763" s="73"/>
      <c r="IG2763" s="73"/>
      <c r="IH2763" s="73"/>
      <c r="II2763" s="73"/>
      <c r="IJ2763" s="73"/>
      <c r="IK2763" s="73"/>
      <c r="IL2763" s="73"/>
      <c r="IM2763" s="73"/>
      <c r="IN2763" s="73"/>
      <c r="IO2763" s="73"/>
      <c r="IP2763" s="73"/>
      <c r="IQ2763" s="73"/>
      <c r="IR2763" s="73"/>
      <c r="IS2763" s="73"/>
      <c r="IT2763" s="73"/>
      <c r="IU2763" s="73"/>
      <c r="IV2763" s="73"/>
      <c r="IW2763" s="73"/>
      <c r="IX2763" s="73"/>
      <c r="IY2763" s="73"/>
      <c r="IZ2763" s="73"/>
      <c r="JA2763" s="73"/>
      <c r="JB2763" s="73"/>
      <c r="JC2763" s="73"/>
    </row>
    <row r="2764" spans="2:263" s="72" customFormat="1">
      <c r="B2764" s="73"/>
      <c r="C2764" s="73"/>
      <c r="D2764" s="73"/>
      <c r="E2764" s="73"/>
      <c r="F2764" s="73"/>
      <c r="G2764" s="73"/>
      <c r="H2764" s="73"/>
      <c r="I2764" s="73"/>
      <c r="J2764" s="73"/>
      <c r="K2764" s="73"/>
      <c r="L2764" s="73"/>
      <c r="M2764" s="73"/>
      <c r="N2764" s="73"/>
      <c r="O2764" s="73"/>
      <c r="P2764" s="73"/>
      <c r="Q2764" s="73"/>
      <c r="R2764" s="73"/>
      <c r="S2764" s="73"/>
      <c r="T2764" s="73"/>
      <c r="U2764" s="73"/>
      <c r="V2764" s="73"/>
      <c r="W2764" s="73"/>
      <c r="GL2764" s="73"/>
      <c r="GM2764" s="73"/>
      <c r="GN2764" s="73"/>
      <c r="GO2764" s="73"/>
      <c r="GP2764" s="73"/>
      <c r="GQ2764" s="73"/>
      <c r="GR2764" s="73"/>
      <c r="GS2764" s="73"/>
      <c r="GT2764" s="73"/>
      <c r="GU2764" s="73"/>
      <c r="GV2764" s="73"/>
      <c r="GW2764" s="73"/>
      <c r="GX2764" s="73"/>
      <c r="GY2764" s="73"/>
      <c r="GZ2764" s="73"/>
      <c r="HA2764" s="73"/>
      <c r="HB2764" s="73"/>
      <c r="HC2764" s="73"/>
      <c r="HD2764" s="73"/>
      <c r="HE2764" s="73"/>
      <c r="HF2764" s="73"/>
      <c r="HG2764" s="73"/>
      <c r="HH2764" s="73"/>
      <c r="HI2764" s="73"/>
      <c r="HJ2764" s="73"/>
      <c r="HK2764" s="73"/>
      <c r="HL2764" s="73"/>
      <c r="HM2764" s="73"/>
      <c r="HN2764" s="73"/>
      <c r="HO2764" s="73"/>
      <c r="HP2764" s="73"/>
      <c r="HQ2764" s="73"/>
      <c r="HR2764" s="73"/>
      <c r="HS2764" s="73"/>
      <c r="HT2764" s="73"/>
      <c r="HU2764" s="73"/>
      <c r="HV2764" s="73"/>
      <c r="HW2764" s="73"/>
      <c r="HX2764" s="73"/>
      <c r="HY2764" s="73"/>
      <c r="HZ2764" s="73"/>
      <c r="IA2764" s="73"/>
      <c r="IB2764" s="73"/>
      <c r="IC2764" s="73"/>
      <c r="ID2764" s="73"/>
      <c r="IE2764" s="73"/>
      <c r="IF2764" s="73"/>
      <c r="IG2764" s="73"/>
      <c r="IH2764" s="73"/>
      <c r="II2764" s="73"/>
      <c r="IJ2764" s="73"/>
      <c r="IK2764" s="73"/>
      <c r="IL2764" s="73"/>
      <c r="IM2764" s="73"/>
      <c r="IN2764" s="73"/>
      <c r="IO2764" s="73"/>
      <c r="IP2764" s="73"/>
      <c r="IQ2764" s="73"/>
      <c r="IR2764" s="73"/>
      <c r="IS2764" s="73"/>
      <c r="IT2764" s="73"/>
      <c r="IU2764" s="73"/>
      <c r="IV2764" s="73"/>
      <c r="IW2764" s="73"/>
      <c r="IX2764" s="73"/>
      <c r="IY2764" s="73"/>
      <c r="IZ2764" s="73"/>
      <c r="JA2764" s="73"/>
      <c r="JB2764" s="73"/>
      <c r="JC2764" s="73"/>
    </row>
    <row r="2765" spans="2:263" s="72" customFormat="1">
      <c r="B2765" s="73"/>
      <c r="C2765" s="73"/>
      <c r="D2765" s="73"/>
      <c r="E2765" s="73"/>
      <c r="F2765" s="73"/>
      <c r="G2765" s="73"/>
      <c r="H2765" s="73"/>
      <c r="I2765" s="73"/>
      <c r="J2765" s="73"/>
      <c r="K2765" s="73"/>
      <c r="L2765" s="73"/>
      <c r="M2765" s="73"/>
      <c r="N2765" s="73"/>
      <c r="O2765" s="73"/>
      <c r="P2765" s="73"/>
      <c r="Q2765" s="73"/>
      <c r="R2765" s="73"/>
      <c r="S2765" s="73"/>
      <c r="T2765" s="73"/>
      <c r="U2765" s="73"/>
      <c r="V2765" s="73"/>
      <c r="W2765" s="73"/>
      <c r="GL2765" s="73"/>
      <c r="GM2765" s="73"/>
      <c r="GN2765" s="73"/>
      <c r="GO2765" s="73"/>
      <c r="GP2765" s="73"/>
      <c r="GQ2765" s="73"/>
      <c r="GR2765" s="73"/>
      <c r="GS2765" s="73"/>
      <c r="GT2765" s="73"/>
      <c r="GU2765" s="73"/>
      <c r="GV2765" s="73"/>
      <c r="GW2765" s="73"/>
      <c r="GX2765" s="73"/>
      <c r="GY2765" s="73"/>
      <c r="GZ2765" s="73"/>
      <c r="HA2765" s="73"/>
      <c r="HB2765" s="73"/>
      <c r="HC2765" s="73"/>
      <c r="HD2765" s="73"/>
      <c r="HE2765" s="73"/>
      <c r="HF2765" s="73"/>
      <c r="HG2765" s="73"/>
      <c r="HH2765" s="73"/>
      <c r="HI2765" s="73"/>
      <c r="HJ2765" s="73"/>
      <c r="HK2765" s="73"/>
      <c r="HL2765" s="73"/>
      <c r="HM2765" s="73"/>
      <c r="HN2765" s="73"/>
      <c r="HO2765" s="73"/>
      <c r="HP2765" s="73"/>
      <c r="HQ2765" s="73"/>
      <c r="HR2765" s="73"/>
      <c r="HS2765" s="73"/>
      <c r="HT2765" s="73"/>
      <c r="HU2765" s="73"/>
      <c r="HV2765" s="73"/>
      <c r="HW2765" s="73"/>
      <c r="HX2765" s="73"/>
      <c r="HY2765" s="73"/>
      <c r="HZ2765" s="73"/>
      <c r="IA2765" s="73"/>
      <c r="IB2765" s="73"/>
      <c r="IC2765" s="73"/>
      <c r="ID2765" s="73"/>
      <c r="IE2765" s="73"/>
      <c r="IF2765" s="73"/>
      <c r="IG2765" s="73"/>
      <c r="IH2765" s="73"/>
      <c r="II2765" s="73"/>
      <c r="IJ2765" s="73"/>
      <c r="IK2765" s="73"/>
      <c r="IL2765" s="73"/>
      <c r="IM2765" s="73"/>
      <c r="IN2765" s="73"/>
      <c r="IO2765" s="73"/>
      <c r="IP2765" s="73"/>
      <c r="IQ2765" s="73"/>
      <c r="IR2765" s="73"/>
      <c r="IS2765" s="73"/>
      <c r="IT2765" s="73"/>
      <c r="IU2765" s="73"/>
      <c r="IV2765" s="73"/>
      <c r="IW2765" s="73"/>
      <c r="IX2765" s="73"/>
      <c r="IY2765" s="73"/>
      <c r="IZ2765" s="73"/>
      <c r="JA2765" s="73"/>
      <c r="JB2765" s="73"/>
      <c r="JC2765" s="73"/>
    </row>
    <row r="2766" spans="2:263" s="72" customFormat="1">
      <c r="B2766" s="73"/>
      <c r="C2766" s="73"/>
      <c r="D2766" s="73"/>
      <c r="E2766" s="73"/>
      <c r="F2766" s="73"/>
      <c r="G2766" s="73"/>
      <c r="H2766" s="73"/>
      <c r="I2766" s="73"/>
      <c r="J2766" s="73"/>
      <c r="K2766" s="73"/>
      <c r="L2766" s="73"/>
      <c r="M2766" s="73"/>
      <c r="N2766" s="73"/>
      <c r="O2766" s="73"/>
      <c r="P2766" s="73"/>
      <c r="Q2766" s="73"/>
      <c r="R2766" s="73"/>
      <c r="S2766" s="73"/>
      <c r="T2766" s="73"/>
      <c r="U2766" s="73"/>
      <c r="V2766" s="73"/>
      <c r="W2766" s="73"/>
      <c r="GL2766" s="73"/>
      <c r="GM2766" s="73"/>
      <c r="GN2766" s="73"/>
      <c r="GO2766" s="73"/>
      <c r="GP2766" s="73"/>
      <c r="GQ2766" s="73"/>
      <c r="GR2766" s="73"/>
      <c r="GS2766" s="73"/>
      <c r="GT2766" s="73"/>
      <c r="GU2766" s="73"/>
      <c r="GV2766" s="73"/>
      <c r="GW2766" s="73"/>
      <c r="GX2766" s="73"/>
      <c r="GY2766" s="73"/>
      <c r="GZ2766" s="73"/>
      <c r="HA2766" s="73"/>
      <c r="HB2766" s="73"/>
      <c r="HC2766" s="73"/>
      <c r="HD2766" s="73"/>
      <c r="HE2766" s="73"/>
      <c r="HF2766" s="73"/>
      <c r="HG2766" s="73"/>
      <c r="HH2766" s="73"/>
      <c r="HI2766" s="73"/>
      <c r="HJ2766" s="73"/>
      <c r="HK2766" s="73"/>
      <c r="HL2766" s="73"/>
      <c r="HM2766" s="73"/>
      <c r="HN2766" s="73"/>
      <c r="HO2766" s="73"/>
      <c r="HP2766" s="73"/>
      <c r="HQ2766" s="73"/>
      <c r="HR2766" s="73"/>
      <c r="HS2766" s="73"/>
      <c r="HT2766" s="73"/>
      <c r="HU2766" s="73"/>
      <c r="HV2766" s="73"/>
      <c r="HW2766" s="73"/>
      <c r="HX2766" s="73"/>
      <c r="HY2766" s="73"/>
      <c r="HZ2766" s="73"/>
      <c r="IA2766" s="73"/>
      <c r="IB2766" s="73"/>
      <c r="IC2766" s="73"/>
      <c r="ID2766" s="73"/>
      <c r="IE2766" s="73"/>
      <c r="IF2766" s="73"/>
      <c r="IG2766" s="73"/>
      <c r="IH2766" s="73"/>
      <c r="II2766" s="73"/>
      <c r="IJ2766" s="73"/>
      <c r="IK2766" s="73"/>
      <c r="IL2766" s="73"/>
      <c r="IM2766" s="73"/>
      <c r="IN2766" s="73"/>
      <c r="IO2766" s="73"/>
      <c r="IP2766" s="73"/>
      <c r="IQ2766" s="73"/>
      <c r="IR2766" s="73"/>
      <c r="IS2766" s="73"/>
      <c r="IT2766" s="73"/>
      <c r="IU2766" s="73"/>
      <c r="IV2766" s="73"/>
      <c r="IW2766" s="73"/>
      <c r="IX2766" s="73"/>
      <c r="IY2766" s="73"/>
      <c r="IZ2766" s="73"/>
      <c r="JA2766" s="73"/>
      <c r="JB2766" s="73"/>
      <c r="JC2766" s="73"/>
    </row>
    <row r="2767" spans="2:263" s="72" customFormat="1">
      <c r="B2767" s="73"/>
      <c r="C2767" s="73"/>
      <c r="D2767" s="73"/>
      <c r="E2767" s="73"/>
      <c r="F2767" s="73"/>
      <c r="G2767" s="73"/>
      <c r="H2767" s="73"/>
      <c r="I2767" s="73"/>
      <c r="J2767" s="73"/>
      <c r="K2767" s="73"/>
      <c r="L2767" s="73"/>
      <c r="M2767" s="73"/>
      <c r="N2767" s="73"/>
      <c r="O2767" s="73"/>
      <c r="P2767" s="73"/>
      <c r="Q2767" s="73"/>
      <c r="R2767" s="73"/>
      <c r="S2767" s="73"/>
      <c r="T2767" s="73"/>
      <c r="U2767" s="73"/>
      <c r="V2767" s="73"/>
      <c r="W2767" s="73"/>
      <c r="GL2767" s="73"/>
      <c r="GM2767" s="73"/>
      <c r="GN2767" s="73"/>
      <c r="GO2767" s="73"/>
      <c r="GP2767" s="73"/>
      <c r="GQ2767" s="73"/>
      <c r="GR2767" s="73"/>
      <c r="GS2767" s="73"/>
      <c r="GT2767" s="73"/>
      <c r="GU2767" s="73"/>
      <c r="GV2767" s="73"/>
      <c r="GW2767" s="73"/>
      <c r="GX2767" s="73"/>
      <c r="GY2767" s="73"/>
      <c r="GZ2767" s="73"/>
      <c r="HA2767" s="73"/>
      <c r="HB2767" s="73"/>
      <c r="HC2767" s="73"/>
      <c r="HD2767" s="73"/>
      <c r="HE2767" s="73"/>
      <c r="HF2767" s="73"/>
      <c r="HG2767" s="73"/>
      <c r="HH2767" s="73"/>
      <c r="HI2767" s="73"/>
      <c r="HJ2767" s="73"/>
      <c r="HK2767" s="73"/>
      <c r="HL2767" s="73"/>
      <c r="HM2767" s="73"/>
      <c r="HN2767" s="73"/>
      <c r="HO2767" s="73"/>
      <c r="HP2767" s="73"/>
      <c r="HQ2767" s="73"/>
      <c r="HR2767" s="73"/>
      <c r="HS2767" s="73"/>
      <c r="HT2767" s="73"/>
      <c r="HU2767" s="73"/>
      <c r="HV2767" s="73"/>
      <c r="HW2767" s="73"/>
      <c r="HX2767" s="73"/>
      <c r="HY2767" s="73"/>
      <c r="HZ2767" s="73"/>
      <c r="IA2767" s="73"/>
      <c r="IB2767" s="73"/>
      <c r="IC2767" s="73"/>
      <c r="ID2767" s="73"/>
      <c r="IE2767" s="73"/>
      <c r="IF2767" s="73"/>
      <c r="IG2767" s="73"/>
      <c r="IH2767" s="73"/>
      <c r="II2767" s="73"/>
      <c r="IJ2767" s="73"/>
      <c r="IK2767" s="73"/>
      <c r="IL2767" s="73"/>
      <c r="IM2767" s="73"/>
      <c r="IN2767" s="73"/>
      <c r="IO2767" s="73"/>
      <c r="IP2767" s="73"/>
      <c r="IQ2767" s="73"/>
      <c r="IR2767" s="73"/>
      <c r="IS2767" s="73"/>
      <c r="IT2767" s="73"/>
      <c r="IU2767" s="73"/>
      <c r="IV2767" s="73"/>
      <c r="IW2767" s="73"/>
      <c r="IX2767" s="73"/>
      <c r="IY2767" s="73"/>
      <c r="IZ2767" s="73"/>
      <c r="JA2767" s="73"/>
      <c r="JB2767" s="73"/>
      <c r="JC2767" s="73"/>
    </row>
    <row r="2768" spans="2:263" s="72" customFormat="1">
      <c r="B2768" s="73"/>
      <c r="C2768" s="73"/>
      <c r="D2768" s="73"/>
      <c r="E2768" s="73"/>
      <c r="F2768" s="73"/>
      <c r="G2768" s="73"/>
      <c r="H2768" s="73"/>
      <c r="I2768" s="73"/>
      <c r="J2768" s="73"/>
      <c r="K2768" s="73"/>
      <c r="L2768" s="73"/>
      <c r="M2768" s="73"/>
      <c r="N2768" s="73"/>
      <c r="O2768" s="73"/>
      <c r="P2768" s="73"/>
      <c r="Q2768" s="73"/>
      <c r="R2768" s="73"/>
      <c r="S2768" s="73"/>
      <c r="T2768" s="73"/>
      <c r="U2768" s="73"/>
      <c r="V2768" s="73"/>
      <c r="W2768" s="73"/>
      <c r="GL2768" s="73"/>
      <c r="GM2768" s="73"/>
      <c r="GN2768" s="73"/>
      <c r="GO2768" s="73"/>
      <c r="GP2768" s="73"/>
      <c r="GQ2768" s="73"/>
      <c r="GR2768" s="73"/>
      <c r="GS2768" s="73"/>
      <c r="GT2768" s="73"/>
      <c r="GU2768" s="73"/>
      <c r="GV2768" s="73"/>
      <c r="GW2768" s="73"/>
      <c r="GX2768" s="73"/>
      <c r="GY2768" s="73"/>
      <c r="GZ2768" s="73"/>
      <c r="HA2768" s="73"/>
      <c r="HB2768" s="73"/>
      <c r="HC2768" s="73"/>
      <c r="HD2768" s="73"/>
      <c r="HE2768" s="73"/>
      <c r="HF2768" s="73"/>
      <c r="HG2768" s="73"/>
      <c r="HH2768" s="73"/>
      <c r="HI2768" s="73"/>
      <c r="HJ2768" s="73"/>
      <c r="HK2768" s="73"/>
      <c r="HL2768" s="73"/>
      <c r="HM2768" s="73"/>
      <c r="HN2768" s="73"/>
      <c r="HO2768" s="73"/>
      <c r="HP2768" s="73"/>
      <c r="HQ2768" s="73"/>
      <c r="HR2768" s="73"/>
      <c r="HS2768" s="73"/>
      <c r="HT2768" s="73"/>
      <c r="HU2768" s="73"/>
      <c r="HV2768" s="73"/>
      <c r="HW2768" s="73"/>
      <c r="HX2768" s="73"/>
      <c r="HY2768" s="73"/>
      <c r="HZ2768" s="73"/>
      <c r="IA2768" s="73"/>
      <c r="IB2768" s="73"/>
      <c r="IC2768" s="73"/>
      <c r="ID2768" s="73"/>
      <c r="IE2768" s="73"/>
      <c r="IF2768" s="73"/>
      <c r="IG2768" s="73"/>
      <c r="IH2768" s="73"/>
      <c r="II2768" s="73"/>
      <c r="IJ2768" s="73"/>
      <c r="IK2768" s="73"/>
      <c r="IL2768" s="73"/>
      <c r="IM2768" s="73"/>
      <c r="IN2768" s="73"/>
      <c r="IO2768" s="73"/>
      <c r="IP2768" s="73"/>
      <c r="IQ2768" s="73"/>
      <c r="IR2768" s="73"/>
      <c r="IS2768" s="73"/>
      <c r="IT2768" s="73"/>
      <c r="IU2768" s="73"/>
      <c r="IV2768" s="73"/>
      <c r="IW2768" s="73"/>
      <c r="IX2768" s="73"/>
      <c r="IY2768" s="73"/>
      <c r="IZ2768" s="73"/>
      <c r="JA2768" s="73"/>
      <c r="JB2768" s="73"/>
      <c r="JC2768" s="73"/>
    </row>
    <row r="2769" spans="2:263" s="72" customFormat="1">
      <c r="B2769" s="73"/>
      <c r="C2769" s="73"/>
      <c r="D2769" s="73"/>
      <c r="E2769" s="73"/>
      <c r="F2769" s="73"/>
      <c r="G2769" s="73"/>
      <c r="H2769" s="73"/>
      <c r="I2769" s="73"/>
      <c r="J2769" s="73"/>
      <c r="K2769" s="73"/>
      <c r="L2769" s="73"/>
      <c r="M2769" s="73"/>
      <c r="N2769" s="73"/>
      <c r="O2769" s="73"/>
      <c r="P2769" s="73"/>
      <c r="Q2769" s="73"/>
      <c r="R2769" s="73"/>
      <c r="S2769" s="73"/>
      <c r="T2769" s="73"/>
      <c r="U2769" s="73"/>
      <c r="V2769" s="73"/>
      <c r="W2769" s="73"/>
      <c r="GL2769" s="73"/>
      <c r="GM2769" s="73"/>
      <c r="GN2769" s="73"/>
      <c r="GO2769" s="73"/>
      <c r="GP2769" s="73"/>
      <c r="GQ2769" s="73"/>
      <c r="GR2769" s="73"/>
      <c r="GS2769" s="73"/>
      <c r="GT2769" s="73"/>
      <c r="GU2769" s="73"/>
      <c r="GV2769" s="73"/>
      <c r="GW2769" s="73"/>
      <c r="GX2769" s="73"/>
      <c r="GY2769" s="73"/>
      <c r="GZ2769" s="73"/>
      <c r="HA2769" s="73"/>
      <c r="HB2769" s="73"/>
      <c r="HC2769" s="73"/>
      <c r="HD2769" s="73"/>
      <c r="HE2769" s="73"/>
      <c r="HF2769" s="73"/>
      <c r="HG2769" s="73"/>
      <c r="HH2769" s="73"/>
      <c r="HI2769" s="73"/>
      <c r="HJ2769" s="73"/>
      <c r="HK2769" s="73"/>
      <c r="HL2769" s="73"/>
      <c r="HM2769" s="73"/>
      <c r="HN2769" s="73"/>
      <c r="HO2769" s="73"/>
      <c r="HP2769" s="73"/>
      <c r="HQ2769" s="73"/>
      <c r="HR2769" s="73"/>
      <c r="HS2769" s="73"/>
      <c r="HT2769" s="73"/>
      <c r="HU2769" s="73"/>
      <c r="HV2769" s="73"/>
      <c r="HW2769" s="73"/>
      <c r="HX2769" s="73"/>
      <c r="HY2769" s="73"/>
      <c r="HZ2769" s="73"/>
      <c r="IA2769" s="73"/>
      <c r="IB2769" s="73"/>
      <c r="IC2769" s="73"/>
      <c r="ID2769" s="73"/>
      <c r="IE2769" s="73"/>
      <c r="IF2769" s="73"/>
      <c r="IG2769" s="73"/>
      <c r="IH2769" s="73"/>
      <c r="II2769" s="73"/>
      <c r="IJ2769" s="73"/>
      <c r="IK2769" s="73"/>
      <c r="IL2769" s="73"/>
      <c r="IM2769" s="73"/>
      <c r="IN2769" s="73"/>
      <c r="IO2769" s="73"/>
      <c r="IP2769" s="73"/>
      <c r="IQ2769" s="73"/>
      <c r="IR2769" s="73"/>
      <c r="IS2769" s="73"/>
      <c r="IT2769" s="73"/>
      <c r="IU2769" s="73"/>
      <c r="IV2769" s="73"/>
      <c r="IW2769" s="73"/>
      <c r="IX2769" s="73"/>
      <c r="IY2769" s="73"/>
      <c r="IZ2769" s="73"/>
      <c r="JA2769" s="73"/>
      <c r="JB2769" s="73"/>
      <c r="JC2769" s="73"/>
    </row>
    <row r="2770" spans="2:263" s="72" customFormat="1">
      <c r="B2770" s="73"/>
      <c r="C2770" s="73"/>
      <c r="D2770" s="73"/>
      <c r="E2770" s="73"/>
      <c r="F2770" s="73"/>
      <c r="G2770" s="73"/>
      <c r="H2770" s="73"/>
      <c r="I2770" s="73"/>
      <c r="J2770" s="73"/>
      <c r="K2770" s="73"/>
      <c r="L2770" s="73"/>
      <c r="M2770" s="73"/>
      <c r="N2770" s="73"/>
      <c r="O2770" s="73"/>
      <c r="P2770" s="73"/>
      <c r="Q2770" s="73"/>
      <c r="R2770" s="73"/>
      <c r="S2770" s="73"/>
      <c r="T2770" s="73"/>
      <c r="U2770" s="73"/>
      <c r="V2770" s="73"/>
      <c r="W2770" s="73"/>
      <c r="GL2770" s="73"/>
      <c r="GM2770" s="73"/>
      <c r="GN2770" s="73"/>
      <c r="GO2770" s="73"/>
      <c r="GP2770" s="73"/>
      <c r="GQ2770" s="73"/>
      <c r="GR2770" s="73"/>
      <c r="GS2770" s="73"/>
      <c r="GT2770" s="73"/>
      <c r="GU2770" s="73"/>
      <c r="GV2770" s="73"/>
      <c r="GW2770" s="73"/>
      <c r="GX2770" s="73"/>
      <c r="GY2770" s="73"/>
      <c r="GZ2770" s="73"/>
      <c r="HA2770" s="73"/>
      <c r="HB2770" s="73"/>
      <c r="HC2770" s="73"/>
      <c r="HD2770" s="73"/>
      <c r="HE2770" s="73"/>
      <c r="HF2770" s="73"/>
      <c r="HG2770" s="73"/>
      <c r="HH2770" s="73"/>
      <c r="HI2770" s="73"/>
      <c r="HJ2770" s="73"/>
      <c r="HK2770" s="73"/>
      <c r="HL2770" s="73"/>
      <c r="HM2770" s="73"/>
      <c r="HN2770" s="73"/>
      <c r="HO2770" s="73"/>
      <c r="HP2770" s="73"/>
      <c r="HQ2770" s="73"/>
      <c r="HR2770" s="73"/>
      <c r="HS2770" s="73"/>
      <c r="HT2770" s="73"/>
      <c r="HU2770" s="73"/>
      <c r="HV2770" s="73"/>
      <c r="HW2770" s="73"/>
      <c r="HX2770" s="73"/>
      <c r="HY2770" s="73"/>
      <c r="HZ2770" s="73"/>
      <c r="IA2770" s="73"/>
      <c r="IB2770" s="73"/>
      <c r="IC2770" s="73"/>
      <c r="ID2770" s="73"/>
      <c r="IE2770" s="73"/>
      <c r="IF2770" s="73"/>
      <c r="IG2770" s="73"/>
      <c r="IH2770" s="73"/>
      <c r="II2770" s="73"/>
      <c r="IJ2770" s="73"/>
      <c r="IK2770" s="73"/>
      <c r="IL2770" s="73"/>
      <c r="IM2770" s="73"/>
      <c r="IN2770" s="73"/>
      <c r="IO2770" s="73"/>
      <c r="IP2770" s="73"/>
      <c r="IQ2770" s="73"/>
      <c r="IR2770" s="73"/>
      <c r="IS2770" s="73"/>
      <c r="IT2770" s="73"/>
      <c r="IU2770" s="73"/>
      <c r="IV2770" s="73"/>
      <c r="IW2770" s="73"/>
      <c r="IX2770" s="73"/>
      <c r="IY2770" s="73"/>
      <c r="IZ2770" s="73"/>
      <c r="JA2770" s="73"/>
      <c r="JB2770" s="73"/>
      <c r="JC2770" s="73"/>
    </row>
    <row r="2771" spans="2:263" s="72" customFormat="1">
      <c r="B2771" s="73"/>
      <c r="C2771" s="73"/>
      <c r="D2771" s="73"/>
      <c r="E2771" s="73"/>
      <c r="F2771" s="73"/>
      <c r="G2771" s="73"/>
      <c r="H2771" s="73"/>
      <c r="I2771" s="73"/>
      <c r="J2771" s="73"/>
      <c r="K2771" s="73"/>
      <c r="L2771" s="73"/>
      <c r="M2771" s="73"/>
      <c r="N2771" s="73"/>
      <c r="O2771" s="73"/>
      <c r="P2771" s="73"/>
      <c r="Q2771" s="73"/>
      <c r="R2771" s="73"/>
      <c r="S2771" s="73"/>
      <c r="T2771" s="73"/>
      <c r="U2771" s="73"/>
      <c r="V2771" s="73"/>
      <c r="W2771" s="73"/>
      <c r="GL2771" s="73"/>
      <c r="GM2771" s="73"/>
      <c r="GN2771" s="73"/>
      <c r="GO2771" s="73"/>
      <c r="GP2771" s="73"/>
      <c r="GQ2771" s="73"/>
      <c r="GR2771" s="73"/>
      <c r="GS2771" s="73"/>
      <c r="GT2771" s="73"/>
      <c r="GU2771" s="73"/>
      <c r="GV2771" s="73"/>
      <c r="GW2771" s="73"/>
      <c r="GX2771" s="73"/>
      <c r="GY2771" s="73"/>
      <c r="GZ2771" s="73"/>
      <c r="HA2771" s="73"/>
      <c r="HB2771" s="73"/>
      <c r="HC2771" s="73"/>
      <c r="HD2771" s="73"/>
      <c r="HE2771" s="73"/>
      <c r="HF2771" s="73"/>
      <c r="HG2771" s="73"/>
      <c r="HH2771" s="73"/>
      <c r="HI2771" s="73"/>
      <c r="HJ2771" s="73"/>
      <c r="HK2771" s="73"/>
      <c r="HL2771" s="73"/>
      <c r="HM2771" s="73"/>
      <c r="HN2771" s="73"/>
      <c r="HO2771" s="73"/>
      <c r="HP2771" s="73"/>
      <c r="HQ2771" s="73"/>
      <c r="HR2771" s="73"/>
      <c r="HS2771" s="73"/>
      <c r="HT2771" s="73"/>
      <c r="HU2771" s="73"/>
      <c r="HV2771" s="73"/>
      <c r="HW2771" s="73"/>
      <c r="HX2771" s="73"/>
      <c r="HY2771" s="73"/>
      <c r="HZ2771" s="73"/>
      <c r="IA2771" s="73"/>
      <c r="IB2771" s="73"/>
      <c r="IC2771" s="73"/>
      <c r="ID2771" s="73"/>
      <c r="IE2771" s="73"/>
      <c r="IF2771" s="73"/>
      <c r="IG2771" s="73"/>
      <c r="IH2771" s="73"/>
      <c r="II2771" s="73"/>
      <c r="IJ2771" s="73"/>
      <c r="IK2771" s="73"/>
      <c r="IL2771" s="73"/>
      <c r="IM2771" s="73"/>
      <c r="IN2771" s="73"/>
      <c r="IO2771" s="73"/>
      <c r="IP2771" s="73"/>
      <c r="IQ2771" s="73"/>
      <c r="IR2771" s="73"/>
      <c r="IS2771" s="73"/>
      <c r="IT2771" s="73"/>
      <c r="IU2771" s="73"/>
      <c r="IV2771" s="73"/>
      <c r="IW2771" s="73"/>
      <c r="IX2771" s="73"/>
      <c r="IY2771" s="73"/>
      <c r="IZ2771" s="73"/>
      <c r="JA2771" s="73"/>
      <c r="JB2771" s="73"/>
      <c r="JC2771" s="73"/>
    </row>
    <row r="2772" spans="2:263" s="72" customFormat="1">
      <c r="B2772" s="73"/>
      <c r="C2772" s="73"/>
      <c r="D2772" s="73"/>
      <c r="E2772" s="73"/>
      <c r="F2772" s="73"/>
      <c r="G2772" s="73"/>
      <c r="H2772" s="73"/>
      <c r="I2772" s="73"/>
      <c r="J2772" s="73"/>
      <c r="K2772" s="73"/>
      <c r="L2772" s="73"/>
      <c r="M2772" s="73"/>
      <c r="N2772" s="73"/>
      <c r="O2772" s="73"/>
      <c r="P2772" s="73"/>
      <c r="Q2772" s="73"/>
      <c r="R2772" s="73"/>
      <c r="S2772" s="73"/>
      <c r="T2772" s="73"/>
      <c r="U2772" s="73"/>
      <c r="V2772" s="73"/>
      <c r="W2772" s="73"/>
      <c r="GL2772" s="73"/>
      <c r="GM2772" s="73"/>
      <c r="GN2772" s="73"/>
      <c r="GO2772" s="73"/>
      <c r="GP2772" s="73"/>
      <c r="GQ2772" s="73"/>
      <c r="GR2772" s="73"/>
      <c r="GS2772" s="73"/>
      <c r="GT2772" s="73"/>
      <c r="GU2772" s="73"/>
      <c r="GV2772" s="73"/>
      <c r="GW2772" s="73"/>
      <c r="GX2772" s="73"/>
      <c r="GY2772" s="73"/>
      <c r="GZ2772" s="73"/>
      <c r="HA2772" s="73"/>
      <c r="HB2772" s="73"/>
      <c r="HC2772" s="73"/>
      <c r="HD2772" s="73"/>
      <c r="HE2772" s="73"/>
      <c r="HF2772" s="73"/>
      <c r="HG2772" s="73"/>
      <c r="HH2772" s="73"/>
      <c r="HI2772" s="73"/>
      <c r="HJ2772" s="73"/>
      <c r="HK2772" s="73"/>
      <c r="HL2772" s="73"/>
      <c r="HM2772" s="73"/>
      <c r="HN2772" s="73"/>
      <c r="HO2772" s="73"/>
      <c r="HP2772" s="73"/>
      <c r="HQ2772" s="73"/>
      <c r="HR2772" s="73"/>
      <c r="HS2772" s="73"/>
      <c r="HT2772" s="73"/>
      <c r="HU2772" s="73"/>
      <c r="HV2772" s="73"/>
      <c r="HW2772" s="73"/>
      <c r="HX2772" s="73"/>
      <c r="HY2772" s="73"/>
      <c r="HZ2772" s="73"/>
      <c r="IA2772" s="73"/>
      <c r="IB2772" s="73"/>
      <c r="IC2772" s="73"/>
      <c r="ID2772" s="73"/>
      <c r="IE2772" s="73"/>
      <c r="IF2772" s="73"/>
      <c r="IG2772" s="73"/>
      <c r="IH2772" s="73"/>
      <c r="II2772" s="73"/>
      <c r="IJ2772" s="73"/>
      <c r="IK2772" s="73"/>
      <c r="IL2772" s="73"/>
      <c r="IM2772" s="73"/>
      <c r="IN2772" s="73"/>
      <c r="IO2772" s="73"/>
      <c r="IP2772" s="73"/>
      <c r="IQ2772" s="73"/>
      <c r="IR2772" s="73"/>
      <c r="IS2772" s="73"/>
      <c r="IT2772" s="73"/>
      <c r="IU2772" s="73"/>
      <c r="IV2772" s="73"/>
      <c r="IW2772" s="73"/>
      <c r="IX2772" s="73"/>
      <c r="IY2772" s="73"/>
      <c r="IZ2772" s="73"/>
      <c r="JA2772" s="73"/>
      <c r="JB2772" s="73"/>
      <c r="JC2772" s="73"/>
    </row>
    <row r="2773" spans="2:263" s="72" customFormat="1">
      <c r="B2773" s="73"/>
      <c r="C2773" s="73"/>
      <c r="D2773" s="73"/>
      <c r="E2773" s="73"/>
      <c r="F2773" s="73"/>
      <c r="G2773" s="73"/>
      <c r="H2773" s="73"/>
      <c r="I2773" s="73"/>
      <c r="J2773" s="73"/>
      <c r="K2773" s="73"/>
      <c r="L2773" s="73"/>
      <c r="M2773" s="73"/>
      <c r="N2773" s="73"/>
      <c r="O2773" s="73"/>
      <c r="P2773" s="73"/>
      <c r="Q2773" s="73"/>
      <c r="R2773" s="73"/>
      <c r="S2773" s="73"/>
      <c r="T2773" s="73"/>
      <c r="U2773" s="73"/>
      <c r="V2773" s="73"/>
      <c r="W2773" s="73"/>
      <c r="GL2773" s="73"/>
      <c r="GM2773" s="73"/>
      <c r="GN2773" s="73"/>
      <c r="GO2773" s="73"/>
      <c r="GP2773" s="73"/>
      <c r="GQ2773" s="73"/>
      <c r="GR2773" s="73"/>
      <c r="GS2773" s="73"/>
      <c r="GT2773" s="73"/>
      <c r="GU2773" s="73"/>
      <c r="GV2773" s="73"/>
      <c r="GW2773" s="73"/>
      <c r="GX2773" s="73"/>
      <c r="GY2773" s="73"/>
      <c r="GZ2773" s="73"/>
      <c r="HA2773" s="73"/>
      <c r="HB2773" s="73"/>
      <c r="HC2773" s="73"/>
      <c r="HD2773" s="73"/>
      <c r="HE2773" s="73"/>
      <c r="HF2773" s="73"/>
      <c r="HG2773" s="73"/>
      <c r="HH2773" s="73"/>
      <c r="HI2773" s="73"/>
      <c r="HJ2773" s="73"/>
      <c r="HK2773" s="73"/>
      <c r="HL2773" s="73"/>
      <c r="HM2773" s="73"/>
      <c r="HN2773" s="73"/>
      <c r="HO2773" s="73"/>
      <c r="HP2773" s="73"/>
      <c r="HQ2773" s="73"/>
      <c r="HR2773" s="73"/>
      <c r="HS2773" s="73"/>
      <c r="HT2773" s="73"/>
      <c r="HU2773" s="73"/>
      <c r="HV2773" s="73"/>
      <c r="HW2773" s="73"/>
      <c r="HX2773" s="73"/>
      <c r="HY2773" s="73"/>
      <c r="HZ2773" s="73"/>
      <c r="IA2773" s="73"/>
      <c r="IB2773" s="73"/>
      <c r="IC2773" s="73"/>
      <c r="ID2773" s="73"/>
      <c r="IE2773" s="73"/>
      <c r="IF2773" s="73"/>
      <c r="IG2773" s="73"/>
      <c r="IH2773" s="73"/>
      <c r="II2773" s="73"/>
      <c r="IJ2773" s="73"/>
      <c r="IK2773" s="73"/>
      <c r="IL2773" s="73"/>
      <c r="IM2773" s="73"/>
      <c r="IN2773" s="73"/>
      <c r="IO2773" s="73"/>
      <c r="IP2773" s="73"/>
      <c r="IQ2773" s="73"/>
      <c r="IR2773" s="73"/>
      <c r="IS2773" s="73"/>
      <c r="IT2773" s="73"/>
      <c r="IU2773" s="73"/>
      <c r="IV2773" s="73"/>
      <c r="IW2773" s="73"/>
      <c r="IX2773" s="73"/>
      <c r="IY2773" s="73"/>
      <c r="IZ2773" s="73"/>
      <c r="JA2773" s="73"/>
      <c r="JB2773" s="73"/>
      <c r="JC2773" s="73"/>
    </row>
    <row r="2774" spans="2:263" s="72" customFormat="1">
      <c r="B2774" s="73"/>
      <c r="C2774" s="73"/>
      <c r="D2774" s="73"/>
      <c r="E2774" s="73"/>
      <c r="F2774" s="73"/>
      <c r="G2774" s="73"/>
      <c r="H2774" s="73"/>
      <c r="I2774" s="73"/>
      <c r="J2774" s="73"/>
      <c r="K2774" s="73"/>
      <c r="L2774" s="73"/>
      <c r="M2774" s="73"/>
      <c r="N2774" s="73"/>
      <c r="O2774" s="73"/>
      <c r="P2774" s="73"/>
      <c r="Q2774" s="73"/>
      <c r="R2774" s="73"/>
      <c r="S2774" s="73"/>
      <c r="T2774" s="73"/>
      <c r="U2774" s="73"/>
      <c r="V2774" s="73"/>
      <c r="W2774" s="73"/>
      <c r="GL2774" s="73"/>
      <c r="GM2774" s="73"/>
      <c r="GN2774" s="73"/>
      <c r="GO2774" s="73"/>
      <c r="GP2774" s="73"/>
      <c r="GQ2774" s="73"/>
      <c r="GR2774" s="73"/>
      <c r="GS2774" s="73"/>
      <c r="GT2774" s="73"/>
      <c r="GU2774" s="73"/>
      <c r="GV2774" s="73"/>
      <c r="GW2774" s="73"/>
      <c r="GX2774" s="73"/>
      <c r="GY2774" s="73"/>
      <c r="GZ2774" s="73"/>
      <c r="HA2774" s="73"/>
      <c r="HB2774" s="73"/>
      <c r="HC2774" s="73"/>
      <c r="HD2774" s="73"/>
      <c r="HE2774" s="73"/>
      <c r="HF2774" s="73"/>
      <c r="HG2774" s="73"/>
      <c r="HH2774" s="73"/>
      <c r="HI2774" s="73"/>
      <c r="HJ2774" s="73"/>
      <c r="HK2774" s="73"/>
      <c r="HL2774" s="73"/>
      <c r="HM2774" s="73"/>
      <c r="HN2774" s="73"/>
      <c r="HO2774" s="73"/>
      <c r="HP2774" s="73"/>
      <c r="HQ2774" s="73"/>
      <c r="HR2774" s="73"/>
      <c r="HS2774" s="73"/>
      <c r="HT2774" s="73"/>
      <c r="HU2774" s="73"/>
      <c r="HV2774" s="73"/>
      <c r="HW2774" s="73"/>
      <c r="HX2774" s="73"/>
      <c r="HY2774" s="73"/>
      <c r="HZ2774" s="73"/>
      <c r="IA2774" s="73"/>
      <c r="IB2774" s="73"/>
      <c r="IC2774" s="73"/>
      <c r="ID2774" s="73"/>
      <c r="IE2774" s="73"/>
      <c r="IF2774" s="73"/>
      <c r="IG2774" s="73"/>
      <c r="IH2774" s="73"/>
      <c r="II2774" s="73"/>
      <c r="IJ2774" s="73"/>
      <c r="IK2774" s="73"/>
      <c r="IL2774" s="73"/>
      <c r="IM2774" s="73"/>
      <c r="IN2774" s="73"/>
      <c r="IO2774" s="73"/>
      <c r="IP2774" s="73"/>
      <c r="IQ2774" s="73"/>
      <c r="IR2774" s="73"/>
      <c r="IS2774" s="73"/>
      <c r="IT2774" s="73"/>
      <c r="IU2774" s="73"/>
      <c r="IV2774" s="73"/>
      <c r="IW2774" s="73"/>
      <c r="IX2774" s="73"/>
      <c r="IY2774" s="73"/>
      <c r="IZ2774" s="73"/>
      <c r="JA2774" s="73"/>
      <c r="JB2774" s="73"/>
      <c r="JC2774" s="73"/>
    </row>
    <row r="2775" spans="2:263" s="72" customFormat="1">
      <c r="B2775" s="73"/>
      <c r="C2775" s="73"/>
      <c r="D2775" s="73"/>
      <c r="E2775" s="73"/>
      <c r="F2775" s="73"/>
      <c r="G2775" s="73"/>
      <c r="H2775" s="73"/>
      <c r="I2775" s="73"/>
      <c r="J2775" s="73"/>
      <c r="K2775" s="73"/>
      <c r="L2775" s="73"/>
      <c r="M2775" s="73"/>
      <c r="N2775" s="73"/>
      <c r="O2775" s="73"/>
      <c r="P2775" s="73"/>
      <c r="Q2775" s="73"/>
      <c r="R2775" s="73"/>
      <c r="S2775" s="73"/>
      <c r="T2775" s="73"/>
      <c r="U2775" s="73"/>
      <c r="V2775" s="73"/>
      <c r="W2775" s="73"/>
      <c r="GL2775" s="73"/>
      <c r="GM2775" s="73"/>
      <c r="GN2775" s="73"/>
      <c r="GO2775" s="73"/>
      <c r="GP2775" s="73"/>
      <c r="GQ2775" s="73"/>
      <c r="GR2775" s="73"/>
      <c r="GS2775" s="73"/>
      <c r="GT2775" s="73"/>
      <c r="GU2775" s="73"/>
      <c r="GV2775" s="73"/>
      <c r="GW2775" s="73"/>
      <c r="GX2775" s="73"/>
      <c r="GY2775" s="73"/>
      <c r="GZ2775" s="73"/>
      <c r="HA2775" s="73"/>
      <c r="HB2775" s="73"/>
      <c r="HC2775" s="73"/>
      <c r="HD2775" s="73"/>
      <c r="HE2775" s="73"/>
      <c r="HF2775" s="73"/>
      <c r="HG2775" s="73"/>
      <c r="HH2775" s="73"/>
      <c r="HI2775" s="73"/>
      <c r="HJ2775" s="73"/>
      <c r="HK2775" s="73"/>
      <c r="HL2775" s="73"/>
      <c r="HM2775" s="73"/>
      <c r="HN2775" s="73"/>
      <c r="HO2775" s="73"/>
      <c r="HP2775" s="73"/>
      <c r="HQ2775" s="73"/>
      <c r="HR2775" s="73"/>
      <c r="HS2775" s="73"/>
      <c r="HT2775" s="73"/>
      <c r="HU2775" s="73"/>
      <c r="HV2775" s="73"/>
      <c r="HW2775" s="73"/>
      <c r="HX2775" s="73"/>
      <c r="HY2775" s="73"/>
      <c r="HZ2775" s="73"/>
      <c r="IA2775" s="73"/>
      <c r="IB2775" s="73"/>
      <c r="IC2775" s="73"/>
      <c r="ID2775" s="73"/>
      <c r="IE2775" s="73"/>
      <c r="IF2775" s="73"/>
      <c r="IG2775" s="73"/>
      <c r="IH2775" s="73"/>
      <c r="II2775" s="73"/>
      <c r="IJ2775" s="73"/>
      <c r="IK2775" s="73"/>
      <c r="IL2775" s="73"/>
      <c r="IM2775" s="73"/>
      <c r="IN2775" s="73"/>
      <c r="IO2775" s="73"/>
      <c r="IP2775" s="73"/>
      <c r="IQ2775" s="73"/>
      <c r="IR2775" s="73"/>
      <c r="IS2775" s="73"/>
      <c r="IT2775" s="73"/>
      <c r="IU2775" s="73"/>
      <c r="IV2775" s="73"/>
      <c r="IW2775" s="73"/>
      <c r="IX2775" s="73"/>
      <c r="IY2775" s="73"/>
      <c r="IZ2775" s="73"/>
      <c r="JA2775" s="73"/>
      <c r="JB2775" s="73"/>
      <c r="JC2775" s="73"/>
    </row>
    <row r="2776" spans="2:263" s="72" customFormat="1">
      <c r="B2776" s="73"/>
      <c r="C2776" s="73"/>
      <c r="D2776" s="73"/>
      <c r="E2776" s="73"/>
      <c r="F2776" s="73"/>
      <c r="G2776" s="73"/>
      <c r="H2776" s="73"/>
      <c r="I2776" s="73"/>
      <c r="J2776" s="73"/>
      <c r="K2776" s="73"/>
      <c r="L2776" s="73"/>
      <c r="M2776" s="73"/>
      <c r="N2776" s="73"/>
      <c r="O2776" s="73"/>
      <c r="P2776" s="73"/>
      <c r="Q2776" s="73"/>
      <c r="R2776" s="73"/>
      <c r="S2776" s="73"/>
      <c r="T2776" s="73"/>
      <c r="U2776" s="73"/>
      <c r="V2776" s="73"/>
      <c r="W2776" s="73"/>
      <c r="GL2776" s="73"/>
      <c r="GM2776" s="73"/>
      <c r="GN2776" s="73"/>
      <c r="GO2776" s="73"/>
      <c r="GP2776" s="73"/>
      <c r="GQ2776" s="73"/>
      <c r="GR2776" s="73"/>
      <c r="GS2776" s="73"/>
      <c r="GT2776" s="73"/>
      <c r="GU2776" s="73"/>
      <c r="GV2776" s="73"/>
      <c r="GW2776" s="73"/>
      <c r="GX2776" s="73"/>
      <c r="GY2776" s="73"/>
      <c r="GZ2776" s="73"/>
      <c r="HA2776" s="73"/>
      <c r="HB2776" s="73"/>
      <c r="HC2776" s="73"/>
      <c r="HD2776" s="73"/>
      <c r="HE2776" s="73"/>
      <c r="HF2776" s="73"/>
      <c r="HG2776" s="73"/>
      <c r="HH2776" s="73"/>
      <c r="HI2776" s="73"/>
      <c r="HJ2776" s="73"/>
      <c r="HK2776" s="73"/>
      <c r="HL2776" s="73"/>
      <c r="HM2776" s="73"/>
      <c r="HN2776" s="73"/>
      <c r="HO2776" s="73"/>
      <c r="HP2776" s="73"/>
      <c r="HQ2776" s="73"/>
      <c r="HR2776" s="73"/>
      <c r="HS2776" s="73"/>
      <c r="HT2776" s="73"/>
      <c r="HU2776" s="73"/>
      <c r="HV2776" s="73"/>
      <c r="HW2776" s="73"/>
      <c r="HX2776" s="73"/>
      <c r="HY2776" s="73"/>
      <c r="HZ2776" s="73"/>
      <c r="IA2776" s="73"/>
      <c r="IB2776" s="73"/>
      <c r="IC2776" s="73"/>
      <c r="ID2776" s="73"/>
      <c r="IE2776" s="73"/>
      <c r="IF2776" s="73"/>
      <c r="IG2776" s="73"/>
      <c r="IH2776" s="73"/>
      <c r="II2776" s="73"/>
      <c r="IJ2776" s="73"/>
      <c r="IK2776" s="73"/>
      <c r="IL2776" s="73"/>
      <c r="IM2776" s="73"/>
      <c r="IN2776" s="73"/>
      <c r="IO2776" s="73"/>
      <c r="IP2776" s="73"/>
      <c r="IQ2776" s="73"/>
      <c r="IR2776" s="73"/>
      <c r="IS2776" s="73"/>
      <c r="IT2776" s="73"/>
      <c r="IU2776" s="73"/>
      <c r="IV2776" s="73"/>
      <c r="IW2776" s="73"/>
      <c r="IX2776" s="73"/>
      <c r="IY2776" s="73"/>
      <c r="IZ2776" s="73"/>
      <c r="JA2776" s="73"/>
      <c r="JB2776" s="73"/>
      <c r="JC2776" s="73"/>
    </row>
    <row r="2777" spans="2:263" s="72" customFormat="1">
      <c r="B2777" s="73"/>
      <c r="C2777" s="73"/>
      <c r="D2777" s="73"/>
      <c r="E2777" s="73"/>
      <c r="F2777" s="73"/>
      <c r="G2777" s="73"/>
      <c r="H2777" s="73"/>
      <c r="I2777" s="73"/>
      <c r="J2777" s="73"/>
      <c r="K2777" s="73"/>
      <c r="L2777" s="73"/>
      <c r="M2777" s="73"/>
      <c r="N2777" s="73"/>
      <c r="O2777" s="73"/>
      <c r="P2777" s="73"/>
      <c r="Q2777" s="73"/>
      <c r="R2777" s="73"/>
      <c r="S2777" s="73"/>
      <c r="T2777" s="73"/>
      <c r="U2777" s="73"/>
      <c r="V2777" s="73"/>
      <c r="W2777" s="73"/>
      <c r="GL2777" s="73"/>
      <c r="GM2777" s="73"/>
      <c r="GN2777" s="73"/>
      <c r="GO2777" s="73"/>
      <c r="GP2777" s="73"/>
      <c r="GQ2777" s="73"/>
      <c r="GR2777" s="73"/>
      <c r="GS2777" s="73"/>
      <c r="GT2777" s="73"/>
      <c r="GU2777" s="73"/>
      <c r="GV2777" s="73"/>
      <c r="GW2777" s="73"/>
      <c r="GX2777" s="73"/>
      <c r="GY2777" s="73"/>
      <c r="GZ2777" s="73"/>
      <c r="HA2777" s="73"/>
      <c r="HB2777" s="73"/>
      <c r="HC2777" s="73"/>
      <c r="HD2777" s="73"/>
      <c r="HE2777" s="73"/>
      <c r="HF2777" s="73"/>
      <c r="HG2777" s="73"/>
      <c r="HH2777" s="73"/>
      <c r="HI2777" s="73"/>
      <c r="HJ2777" s="73"/>
      <c r="HK2777" s="73"/>
      <c r="HL2777" s="73"/>
      <c r="HM2777" s="73"/>
      <c r="HN2777" s="73"/>
      <c r="HO2777" s="73"/>
      <c r="HP2777" s="73"/>
      <c r="HQ2777" s="73"/>
      <c r="HR2777" s="73"/>
      <c r="HS2777" s="73"/>
      <c r="HT2777" s="73"/>
      <c r="HU2777" s="73"/>
      <c r="HV2777" s="73"/>
      <c r="HW2777" s="73"/>
      <c r="HX2777" s="73"/>
      <c r="HY2777" s="73"/>
      <c r="HZ2777" s="73"/>
      <c r="IA2777" s="73"/>
      <c r="IB2777" s="73"/>
      <c r="IC2777" s="73"/>
      <c r="ID2777" s="73"/>
      <c r="IE2777" s="73"/>
      <c r="IF2777" s="73"/>
      <c r="IG2777" s="73"/>
      <c r="IH2777" s="73"/>
      <c r="II2777" s="73"/>
      <c r="IJ2777" s="73"/>
      <c r="IK2777" s="73"/>
      <c r="IL2777" s="73"/>
      <c r="IM2777" s="73"/>
      <c r="IN2777" s="73"/>
      <c r="IO2777" s="73"/>
      <c r="IP2777" s="73"/>
      <c r="IQ2777" s="73"/>
      <c r="IR2777" s="73"/>
      <c r="IS2777" s="73"/>
      <c r="IT2777" s="73"/>
      <c r="IU2777" s="73"/>
      <c r="IV2777" s="73"/>
      <c r="IW2777" s="73"/>
      <c r="IX2777" s="73"/>
      <c r="IY2777" s="73"/>
      <c r="IZ2777" s="73"/>
      <c r="JA2777" s="73"/>
      <c r="JB2777" s="73"/>
      <c r="JC2777" s="73"/>
    </row>
    <row r="2778" spans="2:263" s="72" customFormat="1">
      <c r="B2778" s="73"/>
      <c r="C2778" s="73"/>
      <c r="D2778" s="73"/>
      <c r="E2778" s="73"/>
      <c r="F2778" s="73"/>
      <c r="G2778" s="73"/>
      <c r="H2778" s="73"/>
      <c r="I2778" s="73"/>
      <c r="J2778" s="73"/>
      <c r="K2778" s="73"/>
      <c r="L2778" s="73"/>
      <c r="M2778" s="73"/>
      <c r="N2778" s="73"/>
      <c r="O2778" s="73"/>
      <c r="P2778" s="73"/>
      <c r="Q2778" s="73"/>
      <c r="R2778" s="73"/>
      <c r="S2778" s="73"/>
      <c r="T2778" s="73"/>
      <c r="U2778" s="73"/>
      <c r="V2778" s="73"/>
      <c r="W2778" s="73"/>
      <c r="GL2778" s="73"/>
      <c r="GM2778" s="73"/>
      <c r="GN2778" s="73"/>
      <c r="GO2778" s="73"/>
      <c r="GP2778" s="73"/>
      <c r="GQ2778" s="73"/>
      <c r="GR2778" s="73"/>
      <c r="GS2778" s="73"/>
      <c r="GT2778" s="73"/>
      <c r="GU2778" s="73"/>
      <c r="GV2778" s="73"/>
      <c r="GW2778" s="73"/>
      <c r="GX2778" s="73"/>
      <c r="GY2778" s="73"/>
      <c r="GZ2778" s="73"/>
      <c r="HA2778" s="73"/>
      <c r="HB2778" s="73"/>
      <c r="HC2778" s="73"/>
      <c r="HD2778" s="73"/>
      <c r="HE2778" s="73"/>
      <c r="HF2778" s="73"/>
      <c r="HG2778" s="73"/>
      <c r="HH2778" s="73"/>
      <c r="HI2778" s="73"/>
      <c r="HJ2778" s="73"/>
      <c r="HK2778" s="73"/>
      <c r="HL2778" s="73"/>
      <c r="HM2778" s="73"/>
      <c r="HN2778" s="73"/>
      <c r="HO2778" s="73"/>
      <c r="HP2778" s="73"/>
      <c r="HQ2778" s="73"/>
      <c r="HR2778" s="73"/>
      <c r="HS2778" s="73"/>
      <c r="HT2778" s="73"/>
      <c r="HU2778" s="73"/>
      <c r="HV2778" s="73"/>
      <c r="HW2778" s="73"/>
      <c r="HX2778" s="73"/>
      <c r="HY2778" s="73"/>
      <c r="HZ2778" s="73"/>
      <c r="IA2778" s="73"/>
      <c r="IB2778" s="73"/>
      <c r="IC2778" s="73"/>
      <c r="ID2778" s="73"/>
      <c r="IE2778" s="73"/>
      <c r="IF2778" s="73"/>
      <c r="IG2778" s="73"/>
      <c r="IH2778" s="73"/>
      <c r="II2778" s="73"/>
      <c r="IJ2778" s="73"/>
      <c r="IK2778" s="73"/>
      <c r="IL2778" s="73"/>
      <c r="IM2778" s="73"/>
      <c r="IN2778" s="73"/>
      <c r="IO2778" s="73"/>
      <c r="IP2778" s="73"/>
      <c r="IQ2778" s="73"/>
      <c r="IR2778" s="73"/>
      <c r="IS2778" s="73"/>
      <c r="IT2778" s="73"/>
      <c r="IU2778" s="73"/>
      <c r="IV2778" s="73"/>
      <c r="IW2778" s="73"/>
      <c r="IX2778" s="73"/>
      <c r="IY2778" s="73"/>
      <c r="IZ2778" s="73"/>
      <c r="JA2778" s="73"/>
      <c r="JB2778" s="73"/>
      <c r="JC2778" s="73"/>
    </row>
    <row r="2779" spans="2:263" s="72" customFormat="1">
      <c r="B2779" s="73"/>
      <c r="C2779" s="73"/>
      <c r="D2779" s="73"/>
      <c r="E2779" s="73"/>
      <c r="F2779" s="73"/>
      <c r="G2779" s="73"/>
      <c r="H2779" s="73"/>
      <c r="I2779" s="73"/>
      <c r="J2779" s="73"/>
      <c r="K2779" s="73"/>
      <c r="L2779" s="73"/>
      <c r="M2779" s="73"/>
      <c r="N2779" s="73"/>
      <c r="O2779" s="73"/>
      <c r="P2779" s="73"/>
      <c r="Q2779" s="73"/>
      <c r="R2779" s="73"/>
      <c r="S2779" s="73"/>
      <c r="T2779" s="73"/>
      <c r="U2779" s="73"/>
      <c r="V2779" s="73"/>
      <c r="W2779" s="73"/>
      <c r="GL2779" s="73"/>
      <c r="GM2779" s="73"/>
      <c r="GN2779" s="73"/>
      <c r="GO2779" s="73"/>
      <c r="GP2779" s="73"/>
      <c r="GQ2779" s="73"/>
      <c r="GR2779" s="73"/>
      <c r="GS2779" s="73"/>
      <c r="GT2779" s="73"/>
      <c r="GU2779" s="73"/>
      <c r="GV2779" s="73"/>
      <c r="GW2779" s="73"/>
      <c r="GX2779" s="73"/>
      <c r="GY2779" s="73"/>
      <c r="GZ2779" s="73"/>
      <c r="HA2779" s="73"/>
      <c r="HB2779" s="73"/>
      <c r="HC2779" s="73"/>
      <c r="HD2779" s="73"/>
      <c r="HE2779" s="73"/>
      <c r="HF2779" s="73"/>
      <c r="HG2779" s="73"/>
      <c r="HH2779" s="73"/>
      <c r="HI2779" s="73"/>
      <c r="HJ2779" s="73"/>
      <c r="HK2779" s="73"/>
      <c r="HL2779" s="73"/>
      <c r="HM2779" s="73"/>
      <c r="HN2779" s="73"/>
      <c r="HO2779" s="73"/>
      <c r="HP2779" s="73"/>
      <c r="HQ2779" s="73"/>
      <c r="HR2779" s="73"/>
      <c r="HS2779" s="73"/>
      <c r="HT2779" s="73"/>
      <c r="HU2779" s="73"/>
      <c r="HV2779" s="73"/>
      <c r="HW2779" s="73"/>
      <c r="HX2779" s="73"/>
      <c r="HY2779" s="73"/>
      <c r="HZ2779" s="73"/>
      <c r="IA2779" s="73"/>
      <c r="IB2779" s="73"/>
      <c r="IC2779" s="73"/>
      <c r="ID2779" s="73"/>
      <c r="IE2779" s="73"/>
      <c r="IF2779" s="73"/>
      <c r="IG2779" s="73"/>
      <c r="IH2779" s="73"/>
      <c r="II2779" s="73"/>
      <c r="IJ2779" s="73"/>
      <c r="IK2779" s="73"/>
      <c r="IL2779" s="73"/>
      <c r="IM2779" s="73"/>
      <c r="IN2779" s="73"/>
      <c r="IO2779" s="73"/>
      <c r="IP2779" s="73"/>
      <c r="IQ2779" s="73"/>
      <c r="IR2779" s="73"/>
      <c r="IS2779" s="73"/>
      <c r="IT2779" s="73"/>
      <c r="IU2779" s="73"/>
      <c r="IV2779" s="73"/>
      <c r="IW2779" s="73"/>
      <c r="IX2779" s="73"/>
      <c r="IY2779" s="73"/>
      <c r="IZ2779" s="73"/>
      <c r="JA2779" s="73"/>
      <c r="JB2779" s="73"/>
      <c r="JC2779" s="73"/>
    </row>
    <row r="2780" spans="2:263" s="72" customFormat="1">
      <c r="B2780" s="73"/>
      <c r="C2780" s="73"/>
      <c r="D2780" s="73"/>
      <c r="E2780" s="73"/>
      <c r="F2780" s="73"/>
      <c r="G2780" s="73"/>
      <c r="H2780" s="73"/>
      <c r="I2780" s="73"/>
      <c r="J2780" s="73"/>
      <c r="K2780" s="73"/>
      <c r="L2780" s="73"/>
      <c r="M2780" s="73"/>
      <c r="N2780" s="73"/>
      <c r="O2780" s="73"/>
      <c r="P2780" s="73"/>
      <c r="Q2780" s="73"/>
      <c r="R2780" s="73"/>
      <c r="S2780" s="73"/>
      <c r="T2780" s="73"/>
      <c r="U2780" s="73"/>
      <c r="V2780" s="73"/>
      <c r="W2780" s="73"/>
      <c r="GL2780" s="73"/>
      <c r="GM2780" s="73"/>
      <c r="GN2780" s="73"/>
      <c r="GO2780" s="73"/>
      <c r="GP2780" s="73"/>
      <c r="GQ2780" s="73"/>
      <c r="GR2780" s="73"/>
      <c r="GS2780" s="73"/>
      <c r="GT2780" s="73"/>
      <c r="GU2780" s="73"/>
      <c r="GV2780" s="73"/>
      <c r="GW2780" s="73"/>
      <c r="GX2780" s="73"/>
      <c r="GY2780" s="73"/>
      <c r="GZ2780" s="73"/>
      <c r="HA2780" s="73"/>
      <c r="HB2780" s="73"/>
      <c r="HC2780" s="73"/>
      <c r="HD2780" s="73"/>
      <c r="HE2780" s="73"/>
      <c r="HF2780" s="73"/>
      <c r="HG2780" s="73"/>
      <c r="HH2780" s="73"/>
      <c r="HI2780" s="73"/>
      <c r="HJ2780" s="73"/>
      <c r="HK2780" s="73"/>
      <c r="HL2780" s="73"/>
      <c r="HM2780" s="73"/>
      <c r="HN2780" s="73"/>
      <c r="HO2780" s="73"/>
      <c r="HP2780" s="73"/>
      <c r="HQ2780" s="73"/>
      <c r="HR2780" s="73"/>
      <c r="HS2780" s="73"/>
      <c r="HT2780" s="73"/>
      <c r="HU2780" s="73"/>
      <c r="HV2780" s="73"/>
      <c r="HW2780" s="73"/>
      <c r="HX2780" s="73"/>
      <c r="HY2780" s="73"/>
      <c r="HZ2780" s="73"/>
      <c r="IA2780" s="73"/>
      <c r="IB2780" s="73"/>
      <c r="IC2780" s="73"/>
      <c r="ID2780" s="73"/>
      <c r="IE2780" s="73"/>
      <c r="IF2780" s="73"/>
      <c r="IG2780" s="73"/>
      <c r="IH2780" s="73"/>
      <c r="II2780" s="73"/>
      <c r="IJ2780" s="73"/>
      <c r="IK2780" s="73"/>
      <c r="IL2780" s="73"/>
      <c r="IM2780" s="73"/>
      <c r="IN2780" s="73"/>
      <c r="IO2780" s="73"/>
      <c r="IP2780" s="73"/>
      <c r="IQ2780" s="73"/>
      <c r="IR2780" s="73"/>
      <c r="IS2780" s="73"/>
      <c r="IT2780" s="73"/>
      <c r="IU2780" s="73"/>
      <c r="IV2780" s="73"/>
      <c r="IW2780" s="73"/>
      <c r="IX2780" s="73"/>
      <c r="IY2780" s="73"/>
      <c r="IZ2780" s="73"/>
      <c r="JA2780" s="73"/>
      <c r="JB2780" s="73"/>
      <c r="JC2780" s="73"/>
    </row>
    <row r="2781" spans="2:263" s="72" customFormat="1">
      <c r="B2781" s="73"/>
      <c r="C2781" s="73"/>
      <c r="D2781" s="73"/>
      <c r="E2781" s="73"/>
      <c r="F2781" s="73"/>
      <c r="G2781" s="73"/>
      <c r="H2781" s="73"/>
      <c r="I2781" s="73"/>
      <c r="J2781" s="73"/>
      <c r="K2781" s="73"/>
      <c r="L2781" s="73"/>
      <c r="M2781" s="73"/>
      <c r="N2781" s="73"/>
      <c r="O2781" s="73"/>
      <c r="P2781" s="73"/>
      <c r="Q2781" s="73"/>
      <c r="R2781" s="73"/>
      <c r="S2781" s="73"/>
      <c r="T2781" s="73"/>
      <c r="U2781" s="73"/>
      <c r="V2781" s="73"/>
      <c r="W2781" s="73"/>
      <c r="GL2781" s="73"/>
      <c r="GM2781" s="73"/>
      <c r="GN2781" s="73"/>
      <c r="GO2781" s="73"/>
      <c r="GP2781" s="73"/>
      <c r="GQ2781" s="73"/>
      <c r="GR2781" s="73"/>
      <c r="GS2781" s="73"/>
      <c r="GT2781" s="73"/>
      <c r="GU2781" s="73"/>
      <c r="GV2781" s="73"/>
      <c r="GW2781" s="73"/>
      <c r="GX2781" s="73"/>
      <c r="GY2781" s="73"/>
      <c r="GZ2781" s="73"/>
      <c r="HA2781" s="73"/>
      <c r="HB2781" s="73"/>
      <c r="HC2781" s="73"/>
      <c r="HD2781" s="73"/>
      <c r="HE2781" s="73"/>
      <c r="HF2781" s="73"/>
      <c r="HG2781" s="73"/>
      <c r="HH2781" s="73"/>
      <c r="HI2781" s="73"/>
      <c r="HJ2781" s="73"/>
      <c r="HK2781" s="73"/>
      <c r="HL2781" s="73"/>
      <c r="HM2781" s="73"/>
      <c r="HN2781" s="73"/>
      <c r="HO2781" s="73"/>
      <c r="HP2781" s="73"/>
      <c r="HQ2781" s="73"/>
      <c r="HR2781" s="73"/>
      <c r="HS2781" s="73"/>
      <c r="HT2781" s="73"/>
      <c r="HU2781" s="73"/>
      <c r="HV2781" s="73"/>
      <c r="HW2781" s="73"/>
      <c r="HX2781" s="73"/>
      <c r="HY2781" s="73"/>
      <c r="HZ2781" s="73"/>
      <c r="IA2781" s="73"/>
      <c r="IB2781" s="73"/>
      <c r="IC2781" s="73"/>
      <c r="ID2781" s="73"/>
      <c r="IE2781" s="73"/>
      <c r="IF2781" s="73"/>
      <c r="IG2781" s="73"/>
      <c r="IH2781" s="73"/>
      <c r="II2781" s="73"/>
      <c r="IJ2781" s="73"/>
      <c r="IK2781" s="73"/>
      <c r="IL2781" s="73"/>
      <c r="IM2781" s="73"/>
      <c r="IN2781" s="73"/>
      <c r="IO2781" s="73"/>
      <c r="IP2781" s="73"/>
      <c r="IQ2781" s="73"/>
      <c r="IR2781" s="73"/>
      <c r="IS2781" s="73"/>
      <c r="IT2781" s="73"/>
      <c r="IU2781" s="73"/>
      <c r="IV2781" s="73"/>
      <c r="IW2781" s="73"/>
      <c r="IX2781" s="73"/>
      <c r="IY2781" s="73"/>
      <c r="IZ2781" s="73"/>
      <c r="JA2781" s="73"/>
      <c r="JB2781" s="73"/>
      <c r="JC2781" s="73"/>
    </row>
    <row r="2782" spans="2:263" s="72" customFormat="1">
      <c r="B2782" s="73"/>
      <c r="C2782" s="73"/>
      <c r="D2782" s="73"/>
      <c r="E2782" s="73"/>
      <c r="F2782" s="73"/>
      <c r="G2782" s="73"/>
      <c r="H2782" s="73"/>
      <c r="I2782" s="73"/>
      <c r="J2782" s="73"/>
      <c r="K2782" s="73"/>
      <c r="L2782" s="73"/>
      <c r="M2782" s="73"/>
      <c r="N2782" s="73"/>
      <c r="O2782" s="73"/>
      <c r="P2782" s="73"/>
      <c r="Q2782" s="73"/>
      <c r="R2782" s="73"/>
      <c r="S2782" s="73"/>
      <c r="T2782" s="73"/>
      <c r="U2782" s="73"/>
      <c r="V2782" s="73"/>
      <c r="W2782" s="73"/>
      <c r="GL2782" s="73"/>
      <c r="GM2782" s="73"/>
      <c r="GN2782" s="73"/>
      <c r="GO2782" s="73"/>
      <c r="GP2782" s="73"/>
      <c r="GQ2782" s="73"/>
      <c r="GR2782" s="73"/>
      <c r="GS2782" s="73"/>
      <c r="GT2782" s="73"/>
      <c r="GU2782" s="73"/>
      <c r="GV2782" s="73"/>
      <c r="GW2782" s="73"/>
      <c r="GX2782" s="73"/>
      <c r="GY2782" s="73"/>
      <c r="GZ2782" s="73"/>
      <c r="HA2782" s="73"/>
      <c r="HB2782" s="73"/>
      <c r="HC2782" s="73"/>
      <c r="HD2782" s="73"/>
      <c r="HE2782" s="73"/>
      <c r="HF2782" s="73"/>
      <c r="HG2782" s="73"/>
      <c r="HH2782" s="73"/>
      <c r="HI2782" s="73"/>
      <c r="HJ2782" s="73"/>
      <c r="HK2782" s="73"/>
      <c r="HL2782" s="73"/>
      <c r="HM2782" s="73"/>
      <c r="HN2782" s="73"/>
      <c r="HO2782" s="73"/>
      <c r="HP2782" s="73"/>
      <c r="HQ2782" s="73"/>
      <c r="HR2782" s="73"/>
      <c r="HS2782" s="73"/>
      <c r="HT2782" s="73"/>
      <c r="HU2782" s="73"/>
      <c r="HV2782" s="73"/>
      <c r="HW2782" s="73"/>
      <c r="HX2782" s="73"/>
      <c r="HY2782" s="73"/>
      <c r="HZ2782" s="73"/>
      <c r="IA2782" s="73"/>
      <c r="IB2782" s="73"/>
      <c r="IC2782" s="73"/>
      <c r="ID2782" s="73"/>
      <c r="IE2782" s="73"/>
      <c r="IF2782" s="73"/>
      <c r="IG2782" s="73"/>
      <c r="IH2782" s="73"/>
      <c r="II2782" s="73"/>
      <c r="IJ2782" s="73"/>
      <c r="IK2782" s="73"/>
      <c r="IL2782" s="73"/>
      <c r="IM2782" s="73"/>
      <c r="IN2782" s="73"/>
      <c r="IO2782" s="73"/>
      <c r="IP2782" s="73"/>
      <c r="IQ2782" s="73"/>
      <c r="IR2782" s="73"/>
      <c r="IS2782" s="73"/>
      <c r="IT2782" s="73"/>
      <c r="IU2782" s="73"/>
      <c r="IV2782" s="73"/>
      <c r="IW2782" s="73"/>
      <c r="IX2782" s="73"/>
      <c r="IY2782" s="73"/>
      <c r="IZ2782" s="73"/>
      <c r="JA2782" s="73"/>
      <c r="JB2782" s="73"/>
      <c r="JC2782" s="73"/>
    </row>
    <row r="2783" spans="2:263" s="72" customFormat="1">
      <c r="B2783" s="73"/>
      <c r="C2783" s="73"/>
      <c r="D2783" s="73"/>
      <c r="E2783" s="73"/>
      <c r="F2783" s="73"/>
      <c r="G2783" s="73"/>
      <c r="H2783" s="73"/>
      <c r="I2783" s="73"/>
      <c r="J2783" s="73"/>
      <c r="K2783" s="73"/>
      <c r="L2783" s="73"/>
      <c r="M2783" s="73"/>
      <c r="N2783" s="73"/>
      <c r="O2783" s="73"/>
      <c r="P2783" s="73"/>
      <c r="Q2783" s="73"/>
      <c r="R2783" s="73"/>
      <c r="S2783" s="73"/>
      <c r="T2783" s="73"/>
      <c r="U2783" s="73"/>
      <c r="V2783" s="73"/>
      <c r="W2783" s="73"/>
      <c r="GL2783" s="73"/>
      <c r="GM2783" s="73"/>
      <c r="GN2783" s="73"/>
      <c r="GO2783" s="73"/>
      <c r="GP2783" s="73"/>
      <c r="GQ2783" s="73"/>
      <c r="GR2783" s="73"/>
      <c r="GS2783" s="73"/>
      <c r="GT2783" s="73"/>
      <c r="GU2783" s="73"/>
      <c r="GV2783" s="73"/>
      <c r="GW2783" s="73"/>
      <c r="GX2783" s="73"/>
      <c r="GY2783" s="73"/>
      <c r="GZ2783" s="73"/>
      <c r="HA2783" s="73"/>
      <c r="HB2783" s="73"/>
      <c r="HC2783" s="73"/>
      <c r="HD2783" s="73"/>
      <c r="HE2783" s="73"/>
      <c r="HF2783" s="73"/>
      <c r="HG2783" s="73"/>
      <c r="HH2783" s="73"/>
      <c r="HI2783" s="73"/>
      <c r="HJ2783" s="73"/>
      <c r="HK2783" s="73"/>
      <c r="HL2783" s="73"/>
      <c r="HM2783" s="73"/>
      <c r="HN2783" s="73"/>
      <c r="HO2783" s="73"/>
      <c r="HP2783" s="73"/>
      <c r="HQ2783" s="73"/>
      <c r="HR2783" s="73"/>
      <c r="HS2783" s="73"/>
      <c r="HT2783" s="73"/>
      <c r="HU2783" s="73"/>
      <c r="HV2783" s="73"/>
      <c r="HW2783" s="73"/>
      <c r="HX2783" s="73"/>
      <c r="HY2783" s="73"/>
      <c r="HZ2783" s="73"/>
      <c r="IA2783" s="73"/>
      <c r="IB2783" s="73"/>
      <c r="IC2783" s="73"/>
      <c r="ID2783" s="73"/>
      <c r="IE2783" s="73"/>
      <c r="IF2783" s="73"/>
      <c r="IG2783" s="73"/>
      <c r="IH2783" s="73"/>
      <c r="II2783" s="73"/>
      <c r="IJ2783" s="73"/>
      <c r="IK2783" s="73"/>
      <c r="IL2783" s="73"/>
      <c r="IM2783" s="73"/>
      <c r="IN2783" s="73"/>
      <c r="IO2783" s="73"/>
      <c r="IP2783" s="73"/>
      <c r="IQ2783" s="73"/>
      <c r="IR2783" s="73"/>
      <c r="IS2783" s="73"/>
      <c r="IT2783" s="73"/>
      <c r="IU2783" s="73"/>
      <c r="IV2783" s="73"/>
      <c r="IW2783" s="73"/>
      <c r="IX2783" s="73"/>
      <c r="IY2783" s="73"/>
      <c r="IZ2783" s="73"/>
      <c r="JA2783" s="73"/>
      <c r="JB2783" s="73"/>
      <c r="JC2783" s="73"/>
    </row>
    <row r="2784" spans="2:263" s="72" customFormat="1">
      <c r="B2784" s="73"/>
      <c r="C2784" s="73"/>
      <c r="D2784" s="73"/>
      <c r="E2784" s="73"/>
      <c r="F2784" s="73"/>
      <c r="G2784" s="73"/>
      <c r="H2784" s="73"/>
      <c r="I2784" s="73"/>
      <c r="J2784" s="73"/>
      <c r="K2784" s="73"/>
      <c r="L2784" s="73"/>
      <c r="M2784" s="73"/>
      <c r="N2784" s="73"/>
      <c r="O2784" s="73"/>
      <c r="P2784" s="73"/>
      <c r="Q2784" s="73"/>
      <c r="R2784" s="73"/>
      <c r="S2784" s="73"/>
      <c r="T2784" s="73"/>
      <c r="U2784" s="73"/>
      <c r="V2784" s="73"/>
      <c r="W2784" s="73"/>
      <c r="GL2784" s="73"/>
      <c r="GM2784" s="73"/>
      <c r="GN2784" s="73"/>
      <c r="GO2784" s="73"/>
      <c r="GP2784" s="73"/>
      <c r="GQ2784" s="73"/>
      <c r="GR2784" s="73"/>
      <c r="GS2784" s="73"/>
      <c r="GT2784" s="73"/>
      <c r="GU2784" s="73"/>
      <c r="GV2784" s="73"/>
      <c r="GW2784" s="73"/>
      <c r="GX2784" s="73"/>
      <c r="GY2784" s="73"/>
      <c r="GZ2784" s="73"/>
      <c r="HA2784" s="73"/>
      <c r="HB2784" s="73"/>
      <c r="HC2784" s="73"/>
      <c r="HD2784" s="73"/>
      <c r="HE2784" s="73"/>
      <c r="HF2784" s="73"/>
      <c r="HG2784" s="73"/>
      <c r="HH2784" s="73"/>
      <c r="HI2784" s="73"/>
      <c r="HJ2784" s="73"/>
      <c r="HK2784" s="73"/>
      <c r="HL2784" s="73"/>
      <c r="HM2784" s="73"/>
      <c r="HN2784" s="73"/>
      <c r="HO2784" s="73"/>
      <c r="HP2784" s="73"/>
      <c r="HQ2784" s="73"/>
      <c r="HR2784" s="73"/>
      <c r="HS2784" s="73"/>
      <c r="HT2784" s="73"/>
      <c r="HU2784" s="73"/>
      <c r="HV2784" s="73"/>
      <c r="HW2784" s="73"/>
      <c r="HX2784" s="73"/>
      <c r="HY2784" s="73"/>
      <c r="HZ2784" s="73"/>
      <c r="IA2784" s="73"/>
      <c r="IB2784" s="73"/>
      <c r="IC2784" s="73"/>
      <c r="ID2784" s="73"/>
      <c r="IE2784" s="73"/>
      <c r="IF2784" s="73"/>
      <c r="IG2784" s="73"/>
      <c r="IH2784" s="73"/>
      <c r="II2784" s="73"/>
      <c r="IJ2784" s="73"/>
      <c r="IK2784" s="73"/>
      <c r="IL2784" s="73"/>
      <c r="IM2784" s="73"/>
      <c r="IN2784" s="73"/>
      <c r="IO2784" s="73"/>
      <c r="IP2784" s="73"/>
      <c r="IQ2784" s="73"/>
      <c r="IR2784" s="73"/>
      <c r="IS2784" s="73"/>
      <c r="IT2784" s="73"/>
      <c r="IU2784" s="73"/>
      <c r="IV2784" s="73"/>
      <c r="IW2784" s="73"/>
      <c r="IX2784" s="73"/>
      <c r="IY2784" s="73"/>
      <c r="IZ2784" s="73"/>
      <c r="JA2784" s="73"/>
      <c r="JB2784" s="73"/>
      <c r="JC2784" s="73"/>
    </row>
    <row r="2785" spans="2:263" s="72" customFormat="1">
      <c r="B2785" s="73"/>
      <c r="C2785" s="73"/>
      <c r="D2785" s="73"/>
      <c r="E2785" s="73"/>
      <c r="F2785" s="73"/>
      <c r="G2785" s="73"/>
      <c r="H2785" s="73"/>
      <c r="I2785" s="73"/>
      <c r="J2785" s="73"/>
      <c r="K2785" s="73"/>
      <c r="L2785" s="73"/>
      <c r="M2785" s="73"/>
      <c r="N2785" s="73"/>
      <c r="O2785" s="73"/>
      <c r="P2785" s="73"/>
      <c r="Q2785" s="73"/>
      <c r="R2785" s="73"/>
      <c r="S2785" s="73"/>
      <c r="T2785" s="73"/>
      <c r="U2785" s="73"/>
      <c r="V2785" s="73"/>
      <c r="W2785" s="73"/>
      <c r="GL2785" s="73"/>
      <c r="GM2785" s="73"/>
      <c r="GN2785" s="73"/>
      <c r="GO2785" s="73"/>
      <c r="GP2785" s="73"/>
      <c r="GQ2785" s="73"/>
      <c r="GR2785" s="73"/>
      <c r="GS2785" s="73"/>
      <c r="GT2785" s="73"/>
      <c r="GU2785" s="73"/>
      <c r="GV2785" s="73"/>
      <c r="GW2785" s="73"/>
      <c r="GX2785" s="73"/>
      <c r="GY2785" s="73"/>
      <c r="GZ2785" s="73"/>
      <c r="HA2785" s="73"/>
      <c r="HB2785" s="73"/>
      <c r="HC2785" s="73"/>
      <c r="HD2785" s="73"/>
      <c r="HE2785" s="73"/>
      <c r="HF2785" s="73"/>
      <c r="HG2785" s="73"/>
      <c r="HH2785" s="73"/>
      <c r="HI2785" s="73"/>
      <c r="HJ2785" s="73"/>
      <c r="HK2785" s="73"/>
      <c r="HL2785" s="73"/>
      <c r="HM2785" s="73"/>
      <c r="HN2785" s="73"/>
      <c r="HO2785" s="73"/>
      <c r="HP2785" s="73"/>
      <c r="HQ2785" s="73"/>
      <c r="HR2785" s="73"/>
      <c r="HS2785" s="73"/>
      <c r="HT2785" s="73"/>
      <c r="HU2785" s="73"/>
      <c r="HV2785" s="73"/>
      <c r="HW2785" s="73"/>
      <c r="HX2785" s="73"/>
      <c r="HY2785" s="73"/>
      <c r="HZ2785" s="73"/>
      <c r="IA2785" s="73"/>
      <c r="IB2785" s="73"/>
      <c r="IC2785" s="73"/>
      <c r="ID2785" s="73"/>
      <c r="IE2785" s="73"/>
      <c r="IF2785" s="73"/>
      <c r="IG2785" s="73"/>
      <c r="IH2785" s="73"/>
      <c r="II2785" s="73"/>
      <c r="IJ2785" s="73"/>
      <c r="IK2785" s="73"/>
      <c r="IL2785" s="73"/>
      <c r="IM2785" s="73"/>
      <c r="IN2785" s="73"/>
      <c r="IO2785" s="73"/>
      <c r="IP2785" s="73"/>
      <c r="IQ2785" s="73"/>
      <c r="IR2785" s="73"/>
      <c r="IS2785" s="73"/>
      <c r="IT2785" s="73"/>
      <c r="IU2785" s="73"/>
      <c r="IV2785" s="73"/>
      <c r="IW2785" s="73"/>
      <c r="IX2785" s="73"/>
      <c r="IY2785" s="73"/>
      <c r="IZ2785" s="73"/>
      <c r="JA2785" s="73"/>
      <c r="JB2785" s="73"/>
      <c r="JC2785" s="73"/>
    </row>
    <row r="2786" spans="2:263" s="72" customFormat="1">
      <c r="B2786" s="73"/>
      <c r="C2786" s="73"/>
      <c r="D2786" s="73"/>
      <c r="E2786" s="73"/>
      <c r="F2786" s="73"/>
      <c r="G2786" s="73"/>
      <c r="H2786" s="73"/>
      <c r="I2786" s="73"/>
      <c r="J2786" s="73"/>
      <c r="K2786" s="73"/>
      <c r="L2786" s="73"/>
      <c r="M2786" s="73"/>
      <c r="N2786" s="73"/>
      <c r="O2786" s="73"/>
      <c r="P2786" s="73"/>
      <c r="Q2786" s="73"/>
      <c r="R2786" s="73"/>
      <c r="S2786" s="73"/>
      <c r="T2786" s="73"/>
      <c r="U2786" s="73"/>
      <c r="V2786" s="73"/>
      <c r="W2786" s="73"/>
      <c r="GL2786" s="73"/>
      <c r="GM2786" s="73"/>
      <c r="GN2786" s="73"/>
      <c r="GO2786" s="73"/>
      <c r="GP2786" s="73"/>
      <c r="GQ2786" s="73"/>
      <c r="GR2786" s="73"/>
      <c r="GS2786" s="73"/>
      <c r="GT2786" s="73"/>
      <c r="GU2786" s="73"/>
      <c r="GV2786" s="73"/>
      <c r="GW2786" s="73"/>
      <c r="GX2786" s="73"/>
      <c r="GY2786" s="73"/>
      <c r="GZ2786" s="73"/>
      <c r="HA2786" s="73"/>
      <c r="HB2786" s="73"/>
      <c r="HC2786" s="73"/>
      <c r="HD2786" s="73"/>
      <c r="HE2786" s="73"/>
      <c r="HF2786" s="73"/>
      <c r="HG2786" s="73"/>
      <c r="HH2786" s="73"/>
      <c r="HI2786" s="73"/>
      <c r="HJ2786" s="73"/>
      <c r="HK2786" s="73"/>
      <c r="HL2786" s="73"/>
      <c r="HM2786" s="73"/>
      <c r="HN2786" s="73"/>
      <c r="HO2786" s="73"/>
      <c r="HP2786" s="73"/>
      <c r="HQ2786" s="73"/>
      <c r="HR2786" s="73"/>
      <c r="HS2786" s="73"/>
      <c r="HT2786" s="73"/>
      <c r="HU2786" s="73"/>
      <c r="HV2786" s="73"/>
      <c r="HW2786" s="73"/>
      <c r="HX2786" s="73"/>
      <c r="HY2786" s="73"/>
      <c r="HZ2786" s="73"/>
      <c r="IA2786" s="73"/>
      <c r="IB2786" s="73"/>
      <c r="IC2786" s="73"/>
      <c r="ID2786" s="73"/>
      <c r="IE2786" s="73"/>
      <c r="IF2786" s="73"/>
      <c r="IG2786" s="73"/>
      <c r="IH2786" s="73"/>
      <c r="II2786" s="73"/>
      <c r="IJ2786" s="73"/>
      <c r="IK2786" s="73"/>
      <c r="IL2786" s="73"/>
      <c r="IM2786" s="73"/>
      <c r="IN2786" s="73"/>
      <c r="IO2786" s="73"/>
      <c r="IP2786" s="73"/>
      <c r="IQ2786" s="73"/>
      <c r="IR2786" s="73"/>
      <c r="IS2786" s="73"/>
      <c r="IT2786" s="73"/>
      <c r="IU2786" s="73"/>
      <c r="IV2786" s="73"/>
      <c r="IW2786" s="73"/>
      <c r="IX2786" s="73"/>
      <c r="IY2786" s="73"/>
      <c r="IZ2786" s="73"/>
      <c r="JA2786" s="73"/>
      <c r="JB2786" s="73"/>
      <c r="JC2786" s="73"/>
    </row>
    <row r="2787" spans="2:263" s="72" customFormat="1">
      <c r="B2787" s="73"/>
      <c r="C2787" s="73"/>
      <c r="D2787" s="73"/>
      <c r="E2787" s="73"/>
      <c r="F2787" s="73"/>
      <c r="G2787" s="73"/>
      <c r="H2787" s="73"/>
      <c r="I2787" s="73"/>
      <c r="J2787" s="73"/>
      <c r="K2787" s="73"/>
      <c r="L2787" s="73"/>
      <c r="M2787" s="73"/>
      <c r="N2787" s="73"/>
      <c r="O2787" s="73"/>
      <c r="P2787" s="73"/>
      <c r="Q2787" s="73"/>
      <c r="R2787" s="73"/>
      <c r="S2787" s="73"/>
      <c r="T2787" s="73"/>
      <c r="U2787" s="73"/>
      <c r="V2787" s="73"/>
      <c r="W2787" s="73"/>
      <c r="GL2787" s="73"/>
      <c r="GM2787" s="73"/>
      <c r="GN2787" s="73"/>
      <c r="GO2787" s="73"/>
      <c r="GP2787" s="73"/>
      <c r="GQ2787" s="73"/>
      <c r="GR2787" s="73"/>
      <c r="GS2787" s="73"/>
      <c r="GT2787" s="73"/>
      <c r="GU2787" s="73"/>
      <c r="GV2787" s="73"/>
      <c r="GW2787" s="73"/>
      <c r="GX2787" s="73"/>
      <c r="GY2787" s="73"/>
      <c r="GZ2787" s="73"/>
      <c r="HA2787" s="73"/>
      <c r="HB2787" s="73"/>
      <c r="HC2787" s="73"/>
      <c r="HD2787" s="73"/>
      <c r="HE2787" s="73"/>
      <c r="HF2787" s="73"/>
      <c r="HG2787" s="73"/>
      <c r="HH2787" s="73"/>
      <c r="HI2787" s="73"/>
      <c r="HJ2787" s="73"/>
      <c r="HK2787" s="73"/>
      <c r="HL2787" s="73"/>
      <c r="HM2787" s="73"/>
      <c r="HN2787" s="73"/>
      <c r="HO2787" s="73"/>
      <c r="HP2787" s="73"/>
      <c r="HQ2787" s="73"/>
      <c r="HR2787" s="73"/>
      <c r="HS2787" s="73"/>
      <c r="HT2787" s="73"/>
      <c r="HU2787" s="73"/>
      <c r="HV2787" s="73"/>
      <c r="HW2787" s="73"/>
      <c r="HX2787" s="73"/>
      <c r="HY2787" s="73"/>
      <c r="HZ2787" s="73"/>
      <c r="IA2787" s="73"/>
      <c r="IB2787" s="73"/>
      <c r="IC2787" s="73"/>
      <c r="ID2787" s="73"/>
      <c r="IE2787" s="73"/>
      <c r="IF2787" s="73"/>
      <c r="IG2787" s="73"/>
      <c r="IH2787" s="73"/>
      <c r="II2787" s="73"/>
      <c r="IJ2787" s="73"/>
      <c r="IK2787" s="73"/>
      <c r="IL2787" s="73"/>
      <c r="IM2787" s="73"/>
      <c r="IN2787" s="73"/>
      <c r="IO2787" s="73"/>
      <c r="IP2787" s="73"/>
      <c r="IQ2787" s="73"/>
      <c r="IR2787" s="73"/>
      <c r="IS2787" s="73"/>
      <c r="IT2787" s="73"/>
      <c r="IU2787" s="73"/>
      <c r="IV2787" s="73"/>
      <c r="IW2787" s="73"/>
      <c r="IX2787" s="73"/>
      <c r="IY2787" s="73"/>
      <c r="IZ2787" s="73"/>
      <c r="JA2787" s="73"/>
      <c r="JB2787" s="73"/>
      <c r="JC2787" s="73"/>
    </row>
    <row r="2788" spans="2:263" s="72" customFormat="1">
      <c r="B2788" s="73"/>
      <c r="C2788" s="73"/>
      <c r="D2788" s="73"/>
      <c r="E2788" s="73"/>
      <c r="F2788" s="73"/>
      <c r="G2788" s="73"/>
      <c r="H2788" s="73"/>
      <c r="I2788" s="73"/>
      <c r="J2788" s="73"/>
      <c r="K2788" s="73"/>
      <c r="L2788" s="73"/>
      <c r="M2788" s="73"/>
      <c r="N2788" s="73"/>
      <c r="O2788" s="73"/>
      <c r="P2788" s="73"/>
      <c r="Q2788" s="73"/>
      <c r="R2788" s="73"/>
      <c r="S2788" s="73"/>
      <c r="T2788" s="73"/>
      <c r="U2788" s="73"/>
      <c r="V2788" s="73"/>
      <c r="W2788" s="73"/>
      <c r="GL2788" s="73"/>
      <c r="GM2788" s="73"/>
      <c r="GN2788" s="73"/>
      <c r="GO2788" s="73"/>
      <c r="GP2788" s="73"/>
      <c r="GQ2788" s="73"/>
      <c r="GR2788" s="73"/>
      <c r="GS2788" s="73"/>
      <c r="GT2788" s="73"/>
      <c r="GU2788" s="73"/>
      <c r="GV2788" s="73"/>
      <c r="GW2788" s="73"/>
      <c r="GX2788" s="73"/>
      <c r="GY2788" s="73"/>
      <c r="GZ2788" s="73"/>
      <c r="HA2788" s="73"/>
      <c r="HB2788" s="73"/>
      <c r="HC2788" s="73"/>
      <c r="HD2788" s="73"/>
      <c r="HE2788" s="73"/>
      <c r="HF2788" s="73"/>
      <c r="HG2788" s="73"/>
      <c r="HH2788" s="73"/>
      <c r="HI2788" s="73"/>
      <c r="HJ2788" s="73"/>
      <c r="HK2788" s="73"/>
      <c r="HL2788" s="73"/>
      <c r="HM2788" s="73"/>
      <c r="HN2788" s="73"/>
      <c r="HO2788" s="73"/>
      <c r="HP2788" s="73"/>
      <c r="HQ2788" s="73"/>
      <c r="HR2788" s="73"/>
      <c r="HS2788" s="73"/>
      <c r="HT2788" s="73"/>
      <c r="HU2788" s="73"/>
      <c r="HV2788" s="73"/>
      <c r="HW2788" s="73"/>
      <c r="HX2788" s="73"/>
      <c r="HY2788" s="73"/>
      <c r="HZ2788" s="73"/>
      <c r="IA2788" s="73"/>
      <c r="IB2788" s="73"/>
      <c r="IC2788" s="73"/>
      <c r="ID2788" s="73"/>
      <c r="IE2788" s="73"/>
      <c r="IF2788" s="73"/>
      <c r="IG2788" s="73"/>
      <c r="IH2788" s="73"/>
      <c r="II2788" s="73"/>
      <c r="IJ2788" s="73"/>
      <c r="IK2788" s="73"/>
      <c r="IL2788" s="73"/>
      <c r="IM2788" s="73"/>
      <c r="IN2788" s="73"/>
      <c r="IO2788" s="73"/>
      <c r="IP2788" s="73"/>
      <c r="IQ2788" s="73"/>
      <c r="IR2788" s="73"/>
      <c r="IS2788" s="73"/>
      <c r="IT2788" s="73"/>
      <c r="IU2788" s="73"/>
      <c r="IV2788" s="73"/>
      <c r="IW2788" s="73"/>
      <c r="IX2788" s="73"/>
      <c r="IY2788" s="73"/>
      <c r="IZ2788" s="73"/>
      <c r="JA2788" s="73"/>
      <c r="JB2788" s="73"/>
      <c r="JC2788" s="73"/>
    </row>
    <row r="2789" spans="2:263" s="72" customFormat="1">
      <c r="B2789" s="73"/>
      <c r="C2789" s="73"/>
      <c r="D2789" s="73"/>
      <c r="E2789" s="73"/>
      <c r="F2789" s="73"/>
      <c r="G2789" s="73"/>
      <c r="H2789" s="73"/>
      <c r="I2789" s="73"/>
      <c r="J2789" s="73"/>
      <c r="K2789" s="73"/>
      <c r="L2789" s="73"/>
      <c r="M2789" s="73"/>
      <c r="N2789" s="73"/>
      <c r="O2789" s="73"/>
      <c r="P2789" s="73"/>
      <c r="Q2789" s="73"/>
      <c r="R2789" s="73"/>
      <c r="S2789" s="73"/>
      <c r="T2789" s="73"/>
      <c r="U2789" s="73"/>
      <c r="V2789" s="73"/>
      <c r="W2789" s="73"/>
      <c r="GL2789" s="73"/>
      <c r="GM2789" s="73"/>
      <c r="GN2789" s="73"/>
      <c r="GO2789" s="73"/>
      <c r="GP2789" s="73"/>
      <c r="GQ2789" s="73"/>
      <c r="GR2789" s="73"/>
      <c r="GS2789" s="73"/>
      <c r="GT2789" s="73"/>
      <c r="GU2789" s="73"/>
      <c r="GV2789" s="73"/>
      <c r="GW2789" s="73"/>
      <c r="GX2789" s="73"/>
      <c r="GY2789" s="73"/>
      <c r="GZ2789" s="73"/>
      <c r="HA2789" s="73"/>
      <c r="HB2789" s="73"/>
      <c r="HC2789" s="73"/>
      <c r="HD2789" s="73"/>
      <c r="HE2789" s="73"/>
      <c r="HF2789" s="73"/>
      <c r="HG2789" s="73"/>
      <c r="HH2789" s="73"/>
      <c r="HI2789" s="73"/>
      <c r="HJ2789" s="73"/>
      <c r="HK2789" s="73"/>
      <c r="HL2789" s="73"/>
      <c r="HM2789" s="73"/>
      <c r="HN2789" s="73"/>
      <c r="HO2789" s="73"/>
      <c r="HP2789" s="73"/>
      <c r="HQ2789" s="73"/>
      <c r="HR2789" s="73"/>
      <c r="HS2789" s="73"/>
      <c r="HT2789" s="73"/>
      <c r="HU2789" s="73"/>
      <c r="HV2789" s="73"/>
      <c r="HW2789" s="73"/>
      <c r="HX2789" s="73"/>
      <c r="HY2789" s="73"/>
      <c r="HZ2789" s="73"/>
      <c r="IA2789" s="73"/>
      <c r="IB2789" s="73"/>
      <c r="IC2789" s="73"/>
      <c r="ID2789" s="73"/>
      <c r="IE2789" s="73"/>
      <c r="IF2789" s="73"/>
      <c r="IG2789" s="73"/>
      <c r="IH2789" s="73"/>
      <c r="II2789" s="73"/>
      <c r="IJ2789" s="73"/>
      <c r="IK2789" s="73"/>
      <c r="IL2789" s="73"/>
      <c r="IM2789" s="73"/>
      <c r="IN2789" s="73"/>
      <c r="IO2789" s="73"/>
      <c r="IP2789" s="73"/>
      <c r="IQ2789" s="73"/>
      <c r="IR2789" s="73"/>
      <c r="IS2789" s="73"/>
      <c r="IT2789" s="73"/>
      <c r="IU2789" s="73"/>
      <c r="IV2789" s="73"/>
      <c r="IW2789" s="73"/>
      <c r="IX2789" s="73"/>
      <c r="IY2789" s="73"/>
      <c r="IZ2789" s="73"/>
      <c r="JA2789" s="73"/>
      <c r="JB2789" s="73"/>
      <c r="JC2789" s="73"/>
    </row>
    <row r="2790" spans="2:263" s="72" customFormat="1">
      <c r="B2790" s="73"/>
      <c r="C2790" s="73"/>
      <c r="D2790" s="73"/>
      <c r="E2790" s="73"/>
      <c r="F2790" s="73"/>
      <c r="G2790" s="73"/>
      <c r="H2790" s="73"/>
      <c r="I2790" s="73"/>
      <c r="J2790" s="73"/>
      <c r="K2790" s="73"/>
      <c r="L2790" s="73"/>
      <c r="M2790" s="73"/>
      <c r="N2790" s="73"/>
      <c r="O2790" s="73"/>
      <c r="P2790" s="73"/>
      <c r="Q2790" s="73"/>
      <c r="R2790" s="73"/>
      <c r="S2790" s="73"/>
      <c r="T2790" s="73"/>
      <c r="U2790" s="73"/>
      <c r="V2790" s="73"/>
      <c r="W2790" s="73"/>
      <c r="GL2790" s="73"/>
      <c r="GM2790" s="73"/>
      <c r="GN2790" s="73"/>
      <c r="GO2790" s="73"/>
      <c r="GP2790" s="73"/>
      <c r="GQ2790" s="73"/>
      <c r="GR2790" s="73"/>
      <c r="GS2790" s="73"/>
      <c r="GT2790" s="73"/>
      <c r="GU2790" s="73"/>
      <c r="GV2790" s="73"/>
      <c r="GW2790" s="73"/>
      <c r="GX2790" s="73"/>
      <c r="GY2790" s="73"/>
      <c r="GZ2790" s="73"/>
      <c r="HA2790" s="73"/>
      <c r="HB2790" s="73"/>
      <c r="HC2790" s="73"/>
      <c r="HD2790" s="73"/>
      <c r="HE2790" s="73"/>
      <c r="HF2790" s="73"/>
      <c r="HG2790" s="73"/>
      <c r="HH2790" s="73"/>
      <c r="HI2790" s="73"/>
      <c r="HJ2790" s="73"/>
      <c r="HK2790" s="73"/>
      <c r="HL2790" s="73"/>
      <c r="HM2790" s="73"/>
      <c r="HN2790" s="73"/>
      <c r="HO2790" s="73"/>
      <c r="HP2790" s="73"/>
      <c r="HQ2790" s="73"/>
      <c r="HR2790" s="73"/>
      <c r="HS2790" s="73"/>
      <c r="HT2790" s="73"/>
      <c r="HU2790" s="73"/>
      <c r="HV2790" s="73"/>
      <c r="HW2790" s="73"/>
      <c r="HX2790" s="73"/>
      <c r="HY2790" s="73"/>
      <c r="HZ2790" s="73"/>
      <c r="IA2790" s="73"/>
      <c r="IB2790" s="73"/>
      <c r="IC2790" s="73"/>
      <c r="ID2790" s="73"/>
      <c r="IE2790" s="73"/>
      <c r="IF2790" s="73"/>
      <c r="IG2790" s="73"/>
      <c r="IH2790" s="73"/>
      <c r="II2790" s="73"/>
      <c r="IJ2790" s="73"/>
      <c r="IK2790" s="73"/>
      <c r="IL2790" s="73"/>
      <c r="IM2790" s="73"/>
      <c r="IN2790" s="73"/>
      <c r="IO2790" s="73"/>
      <c r="IP2790" s="73"/>
      <c r="IQ2790" s="73"/>
      <c r="IR2790" s="73"/>
      <c r="IS2790" s="73"/>
      <c r="IT2790" s="73"/>
      <c r="IU2790" s="73"/>
      <c r="IV2790" s="73"/>
      <c r="IW2790" s="73"/>
      <c r="IX2790" s="73"/>
      <c r="IY2790" s="73"/>
      <c r="IZ2790" s="73"/>
      <c r="JA2790" s="73"/>
      <c r="JB2790" s="73"/>
      <c r="JC2790" s="73"/>
    </row>
    <row r="2791" spans="2:263" s="72" customFormat="1">
      <c r="B2791" s="73"/>
      <c r="C2791" s="73"/>
      <c r="D2791" s="73"/>
      <c r="E2791" s="73"/>
      <c r="F2791" s="73"/>
      <c r="G2791" s="73"/>
      <c r="H2791" s="73"/>
      <c r="I2791" s="73"/>
      <c r="J2791" s="73"/>
      <c r="K2791" s="73"/>
      <c r="L2791" s="73"/>
      <c r="M2791" s="73"/>
      <c r="N2791" s="73"/>
      <c r="O2791" s="73"/>
      <c r="P2791" s="73"/>
      <c r="Q2791" s="73"/>
      <c r="R2791" s="73"/>
      <c r="S2791" s="73"/>
      <c r="T2791" s="73"/>
      <c r="U2791" s="73"/>
      <c r="V2791" s="73"/>
      <c r="W2791" s="73"/>
      <c r="GL2791" s="73"/>
      <c r="GM2791" s="73"/>
      <c r="GN2791" s="73"/>
      <c r="GO2791" s="73"/>
      <c r="GP2791" s="73"/>
      <c r="GQ2791" s="73"/>
      <c r="GR2791" s="73"/>
      <c r="GS2791" s="73"/>
      <c r="GT2791" s="73"/>
      <c r="GU2791" s="73"/>
      <c r="GV2791" s="73"/>
      <c r="GW2791" s="73"/>
      <c r="GX2791" s="73"/>
      <c r="GY2791" s="73"/>
      <c r="GZ2791" s="73"/>
      <c r="HA2791" s="73"/>
      <c r="HB2791" s="73"/>
      <c r="HC2791" s="73"/>
      <c r="HD2791" s="73"/>
      <c r="HE2791" s="73"/>
      <c r="HF2791" s="73"/>
      <c r="HG2791" s="73"/>
      <c r="HH2791" s="73"/>
      <c r="HI2791" s="73"/>
      <c r="HJ2791" s="73"/>
      <c r="HK2791" s="73"/>
      <c r="HL2791" s="73"/>
      <c r="HM2791" s="73"/>
      <c r="HN2791" s="73"/>
      <c r="HO2791" s="73"/>
      <c r="HP2791" s="73"/>
      <c r="HQ2791" s="73"/>
      <c r="HR2791" s="73"/>
      <c r="HS2791" s="73"/>
      <c r="HT2791" s="73"/>
      <c r="HU2791" s="73"/>
      <c r="HV2791" s="73"/>
      <c r="HW2791" s="73"/>
      <c r="HX2791" s="73"/>
      <c r="HY2791" s="73"/>
      <c r="HZ2791" s="73"/>
      <c r="IA2791" s="73"/>
      <c r="IB2791" s="73"/>
      <c r="IC2791" s="73"/>
      <c r="ID2791" s="73"/>
      <c r="IE2791" s="73"/>
      <c r="IF2791" s="73"/>
      <c r="IG2791" s="73"/>
      <c r="IH2791" s="73"/>
      <c r="II2791" s="73"/>
      <c r="IJ2791" s="73"/>
      <c r="IK2791" s="73"/>
      <c r="IL2791" s="73"/>
      <c r="IM2791" s="73"/>
      <c r="IN2791" s="73"/>
      <c r="IO2791" s="73"/>
      <c r="IP2791" s="73"/>
      <c r="IQ2791" s="73"/>
      <c r="IR2791" s="73"/>
      <c r="IS2791" s="73"/>
      <c r="IT2791" s="73"/>
      <c r="IU2791" s="73"/>
      <c r="IV2791" s="73"/>
      <c r="IW2791" s="73"/>
      <c r="IX2791" s="73"/>
      <c r="IY2791" s="73"/>
      <c r="IZ2791" s="73"/>
      <c r="JA2791" s="73"/>
      <c r="JB2791" s="73"/>
      <c r="JC2791" s="73"/>
    </row>
    <row r="2792" spans="2:263" s="72" customFormat="1">
      <c r="B2792" s="73"/>
      <c r="C2792" s="73"/>
      <c r="D2792" s="73"/>
      <c r="E2792" s="73"/>
      <c r="F2792" s="73"/>
      <c r="G2792" s="73"/>
      <c r="H2792" s="73"/>
      <c r="I2792" s="73"/>
      <c r="J2792" s="73"/>
      <c r="K2792" s="73"/>
      <c r="L2792" s="73"/>
      <c r="M2792" s="73"/>
      <c r="N2792" s="73"/>
      <c r="O2792" s="73"/>
      <c r="P2792" s="73"/>
      <c r="Q2792" s="73"/>
      <c r="R2792" s="73"/>
      <c r="S2792" s="73"/>
      <c r="T2792" s="73"/>
      <c r="U2792" s="73"/>
      <c r="V2792" s="73"/>
      <c r="W2792" s="73"/>
      <c r="GL2792" s="73"/>
      <c r="GM2792" s="73"/>
      <c r="GN2792" s="73"/>
      <c r="GO2792" s="73"/>
      <c r="GP2792" s="73"/>
      <c r="GQ2792" s="73"/>
      <c r="GR2792" s="73"/>
      <c r="GS2792" s="73"/>
      <c r="GT2792" s="73"/>
      <c r="GU2792" s="73"/>
      <c r="GV2792" s="73"/>
      <c r="GW2792" s="73"/>
      <c r="GX2792" s="73"/>
      <c r="GY2792" s="73"/>
      <c r="GZ2792" s="73"/>
      <c r="HA2792" s="73"/>
      <c r="HB2792" s="73"/>
      <c r="HC2792" s="73"/>
      <c r="HD2792" s="73"/>
      <c r="HE2792" s="73"/>
      <c r="HF2792" s="73"/>
      <c r="HG2792" s="73"/>
      <c r="HH2792" s="73"/>
      <c r="HI2792" s="73"/>
      <c r="HJ2792" s="73"/>
      <c r="HK2792" s="73"/>
      <c r="HL2792" s="73"/>
      <c r="HM2792" s="73"/>
      <c r="HN2792" s="73"/>
      <c r="HO2792" s="73"/>
      <c r="HP2792" s="73"/>
      <c r="HQ2792" s="73"/>
      <c r="HR2792" s="73"/>
      <c r="HS2792" s="73"/>
      <c r="HT2792" s="73"/>
      <c r="HU2792" s="73"/>
      <c r="HV2792" s="73"/>
      <c r="HW2792" s="73"/>
      <c r="HX2792" s="73"/>
      <c r="HY2792" s="73"/>
      <c r="HZ2792" s="73"/>
      <c r="IA2792" s="73"/>
      <c r="IB2792" s="73"/>
      <c r="IC2792" s="73"/>
      <c r="ID2792" s="73"/>
      <c r="IE2792" s="73"/>
      <c r="IF2792" s="73"/>
      <c r="IG2792" s="73"/>
      <c r="IH2792" s="73"/>
      <c r="II2792" s="73"/>
      <c r="IJ2792" s="73"/>
      <c r="IK2792" s="73"/>
      <c r="IL2792" s="73"/>
      <c r="IM2792" s="73"/>
      <c r="IN2792" s="73"/>
      <c r="IO2792" s="73"/>
      <c r="IP2792" s="73"/>
      <c r="IQ2792" s="73"/>
      <c r="IR2792" s="73"/>
      <c r="IS2792" s="73"/>
      <c r="IT2792" s="73"/>
      <c r="IU2792" s="73"/>
      <c r="IV2792" s="73"/>
      <c r="IW2792" s="73"/>
      <c r="IX2792" s="73"/>
      <c r="IY2792" s="73"/>
      <c r="IZ2792" s="73"/>
      <c r="JA2792" s="73"/>
      <c r="JB2792" s="73"/>
      <c r="JC2792" s="73"/>
    </row>
    <row r="2793" spans="2:263" s="72" customFormat="1">
      <c r="B2793" s="73"/>
      <c r="C2793" s="73"/>
      <c r="D2793" s="73"/>
      <c r="E2793" s="73"/>
      <c r="F2793" s="73"/>
      <c r="G2793" s="73"/>
      <c r="H2793" s="73"/>
      <c r="I2793" s="73"/>
      <c r="J2793" s="73"/>
      <c r="K2793" s="73"/>
      <c r="L2793" s="73"/>
      <c r="M2793" s="73"/>
      <c r="N2793" s="73"/>
      <c r="O2793" s="73"/>
      <c r="P2793" s="73"/>
      <c r="Q2793" s="73"/>
      <c r="R2793" s="73"/>
      <c r="S2793" s="73"/>
      <c r="T2793" s="73"/>
      <c r="U2793" s="73"/>
      <c r="V2793" s="73"/>
      <c r="W2793" s="73"/>
      <c r="GL2793" s="73"/>
      <c r="GM2793" s="73"/>
      <c r="GN2793" s="73"/>
      <c r="GO2793" s="73"/>
      <c r="GP2793" s="73"/>
      <c r="GQ2793" s="73"/>
      <c r="GR2793" s="73"/>
      <c r="GS2793" s="73"/>
      <c r="GT2793" s="73"/>
      <c r="GU2793" s="73"/>
      <c r="GV2793" s="73"/>
      <c r="GW2793" s="73"/>
      <c r="GX2793" s="73"/>
      <c r="GY2793" s="73"/>
      <c r="GZ2793" s="73"/>
      <c r="HA2793" s="73"/>
      <c r="HB2793" s="73"/>
      <c r="HC2793" s="73"/>
      <c r="HD2793" s="73"/>
      <c r="HE2793" s="73"/>
      <c r="HF2793" s="73"/>
      <c r="HG2793" s="73"/>
      <c r="HH2793" s="73"/>
      <c r="HI2793" s="73"/>
      <c r="HJ2793" s="73"/>
      <c r="HK2793" s="73"/>
      <c r="HL2793" s="73"/>
      <c r="HM2793" s="73"/>
      <c r="HN2793" s="73"/>
      <c r="HO2793" s="73"/>
      <c r="HP2793" s="73"/>
      <c r="HQ2793" s="73"/>
      <c r="HR2793" s="73"/>
      <c r="HS2793" s="73"/>
      <c r="HT2793" s="73"/>
      <c r="HU2793" s="73"/>
      <c r="HV2793" s="73"/>
      <c r="HW2793" s="73"/>
      <c r="HX2793" s="73"/>
      <c r="HY2793" s="73"/>
      <c r="HZ2793" s="73"/>
      <c r="IA2793" s="73"/>
      <c r="IB2793" s="73"/>
      <c r="IC2793" s="73"/>
      <c r="ID2793" s="73"/>
      <c r="IE2793" s="73"/>
      <c r="IF2793" s="73"/>
      <c r="IG2793" s="73"/>
      <c r="IH2793" s="73"/>
      <c r="II2793" s="73"/>
      <c r="IJ2793" s="73"/>
      <c r="IK2793" s="73"/>
      <c r="IL2793" s="73"/>
      <c r="IM2793" s="73"/>
      <c r="IN2793" s="73"/>
      <c r="IO2793" s="73"/>
      <c r="IP2793" s="73"/>
      <c r="IQ2793" s="73"/>
      <c r="IR2793" s="73"/>
      <c r="IS2793" s="73"/>
      <c r="IT2793" s="73"/>
      <c r="IU2793" s="73"/>
      <c r="IV2793" s="73"/>
      <c r="IW2793" s="73"/>
      <c r="IX2793" s="73"/>
      <c r="IY2793" s="73"/>
      <c r="IZ2793" s="73"/>
      <c r="JA2793" s="73"/>
      <c r="JB2793" s="73"/>
      <c r="JC2793" s="73"/>
    </row>
    <row r="2794" spans="2:263" s="72" customFormat="1">
      <c r="B2794" s="73"/>
      <c r="C2794" s="73"/>
      <c r="D2794" s="73"/>
      <c r="E2794" s="73"/>
      <c r="F2794" s="73"/>
      <c r="G2794" s="73"/>
      <c r="H2794" s="73"/>
      <c r="I2794" s="73"/>
      <c r="J2794" s="73"/>
      <c r="K2794" s="73"/>
      <c r="L2794" s="73"/>
      <c r="M2794" s="73"/>
      <c r="N2794" s="73"/>
      <c r="O2794" s="73"/>
      <c r="P2794" s="73"/>
      <c r="Q2794" s="73"/>
      <c r="R2794" s="73"/>
      <c r="S2794" s="73"/>
      <c r="T2794" s="73"/>
      <c r="U2794" s="73"/>
      <c r="V2794" s="73"/>
      <c r="W2794" s="73"/>
      <c r="GL2794" s="73"/>
      <c r="GM2794" s="73"/>
      <c r="GN2794" s="73"/>
      <c r="GO2794" s="73"/>
      <c r="GP2794" s="73"/>
      <c r="GQ2794" s="73"/>
      <c r="GR2794" s="73"/>
      <c r="GS2794" s="73"/>
      <c r="GT2794" s="73"/>
      <c r="GU2794" s="73"/>
      <c r="GV2794" s="73"/>
      <c r="GW2794" s="73"/>
      <c r="GX2794" s="73"/>
      <c r="GY2794" s="73"/>
      <c r="GZ2794" s="73"/>
      <c r="HA2794" s="73"/>
      <c r="HB2794" s="73"/>
      <c r="HC2794" s="73"/>
      <c r="HD2794" s="73"/>
      <c r="HE2794" s="73"/>
      <c r="HF2794" s="73"/>
      <c r="HG2794" s="73"/>
      <c r="HH2794" s="73"/>
      <c r="HI2794" s="73"/>
      <c r="HJ2794" s="73"/>
      <c r="HK2794" s="73"/>
      <c r="HL2794" s="73"/>
      <c r="HM2794" s="73"/>
      <c r="HN2794" s="73"/>
      <c r="HO2794" s="73"/>
      <c r="HP2794" s="73"/>
      <c r="HQ2794" s="73"/>
      <c r="HR2794" s="73"/>
      <c r="HS2794" s="73"/>
      <c r="HT2794" s="73"/>
      <c r="HU2794" s="73"/>
      <c r="HV2794" s="73"/>
      <c r="HW2794" s="73"/>
      <c r="HX2794" s="73"/>
      <c r="HY2794" s="73"/>
      <c r="HZ2794" s="73"/>
      <c r="IA2794" s="73"/>
      <c r="IB2794" s="73"/>
      <c r="IC2794" s="73"/>
      <c r="ID2794" s="73"/>
      <c r="IE2794" s="73"/>
      <c r="IF2794" s="73"/>
      <c r="IG2794" s="73"/>
      <c r="IH2794" s="73"/>
      <c r="II2794" s="73"/>
      <c r="IJ2794" s="73"/>
      <c r="IK2794" s="73"/>
      <c r="IL2794" s="73"/>
      <c r="IM2794" s="73"/>
      <c r="IN2794" s="73"/>
      <c r="IO2794" s="73"/>
      <c r="IP2794" s="73"/>
      <c r="IQ2794" s="73"/>
      <c r="IR2794" s="73"/>
      <c r="IS2794" s="73"/>
      <c r="IT2794" s="73"/>
      <c r="IU2794" s="73"/>
      <c r="IV2794" s="73"/>
      <c r="IW2794" s="73"/>
      <c r="IX2794" s="73"/>
      <c r="IY2794" s="73"/>
      <c r="IZ2794" s="73"/>
      <c r="JA2794" s="73"/>
      <c r="JB2794" s="73"/>
      <c r="JC2794" s="73"/>
    </row>
    <row r="2795" spans="2:263" s="72" customFormat="1">
      <c r="B2795" s="73"/>
      <c r="C2795" s="73"/>
      <c r="D2795" s="73"/>
      <c r="E2795" s="73"/>
      <c r="F2795" s="73"/>
      <c r="G2795" s="73"/>
      <c r="H2795" s="73"/>
      <c r="I2795" s="73"/>
      <c r="J2795" s="73"/>
      <c r="K2795" s="73"/>
      <c r="L2795" s="73"/>
      <c r="M2795" s="73"/>
      <c r="N2795" s="73"/>
      <c r="O2795" s="73"/>
      <c r="P2795" s="73"/>
      <c r="Q2795" s="73"/>
      <c r="R2795" s="73"/>
      <c r="S2795" s="73"/>
      <c r="T2795" s="73"/>
      <c r="U2795" s="73"/>
      <c r="V2795" s="73"/>
      <c r="W2795" s="73"/>
      <c r="GL2795" s="73"/>
      <c r="GM2795" s="73"/>
      <c r="GN2795" s="73"/>
      <c r="GO2795" s="73"/>
      <c r="GP2795" s="73"/>
      <c r="GQ2795" s="73"/>
      <c r="GR2795" s="73"/>
      <c r="GS2795" s="73"/>
      <c r="GT2795" s="73"/>
      <c r="GU2795" s="73"/>
      <c r="GV2795" s="73"/>
      <c r="GW2795" s="73"/>
      <c r="GX2795" s="73"/>
      <c r="GY2795" s="73"/>
      <c r="GZ2795" s="73"/>
      <c r="HA2795" s="73"/>
      <c r="HB2795" s="73"/>
      <c r="HC2795" s="73"/>
      <c r="HD2795" s="73"/>
      <c r="HE2795" s="73"/>
      <c r="HF2795" s="73"/>
      <c r="HG2795" s="73"/>
      <c r="HH2795" s="73"/>
      <c r="HI2795" s="73"/>
      <c r="HJ2795" s="73"/>
      <c r="HK2795" s="73"/>
      <c r="HL2795" s="73"/>
      <c r="HM2795" s="73"/>
      <c r="HN2795" s="73"/>
      <c r="HO2795" s="73"/>
      <c r="HP2795" s="73"/>
      <c r="HQ2795" s="73"/>
      <c r="HR2795" s="73"/>
      <c r="HS2795" s="73"/>
      <c r="HT2795" s="73"/>
      <c r="HU2795" s="73"/>
      <c r="HV2795" s="73"/>
      <c r="HW2795" s="73"/>
      <c r="HX2795" s="73"/>
      <c r="HY2795" s="73"/>
      <c r="HZ2795" s="73"/>
      <c r="IA2795" s="73"/>
      <c r="IB2795" s="73"/>
      <c r="IC2795" s="73"/>
      <c r="ID2795" s="73"/>
      <c r="IE2795" s="73"/>
      <c r="IF2795" s="73"/>
      <c r="IG2795" s="73"/>
      <c r="IH2795" s="73"/>
      <c r="II2795" s="73"/>
      <c r="IJ2795" s="73"/>
      <c r="IK2795" s="73"/>
      <c r="IL2795" s="73"/>
      <c r="IM2795" s="73"/>
      <c r="IN2795" s="73"/>
      <c r="IO2795" s="73"/>
      <c r="IP2795" s="73"/>
      <c r="IQ2795" s="73"/>
      <c r="IR2795" s="73"/>
      <c r="IS2795" s="73"/>
      <c r="IT2795" s="73"/>
      <c r="IU2795" s="73"/>
      <c r="IV2795" s="73"/>
      <c r="IW2795" s="73"/>
      <c r="IX2795" s="73"/>
      <c r="IY2795" s="73"/>
      <c r="IZ2795" s="73"/>
      <c r="JA2795" s="73"/>
      <c r="JB2795" s="73"/>
      <c r="JC2795" s="73"/>
    </row>
    <row r="2796" spans="2:263" s="72" customFormat="1">
      <c r="B2796" s="73"/>
      <c r="C2796" s="73"/>
      <c r="D2796" s="73"/>
      <c r="E2796" s="73"/>
      <c r="F2796" s="73"/>
      <c r="G2796" s="73"/>
      <c r="H2796" s="73"/>
      <c r="I2796" s="73"/>
      <c r="J2796" s="73"/>
      <c r="K2796" s="73"/>
      <c r="L2796" s="73"/>
      <c r="M2796" s="73"/>
      <c r="N2796" s="73"/>
      <c r="O2796" s="73"/>
      <c r="P2796" s="73"/>
      <c r="Q2796" s="73"/>
      <c r="R2796" s="73"/>
      <c r="S2796" s="73"/>
      <c r="T2796" s="73"/>
      <c r="U2796" s="73"/>
      <c r="V2796" s="73"/>
      <c r="W2796" s="73"/>
      <c r="GL2796" s="73"/>
      <c r="GM2796" s="73"/>
      <c r="GN2796" s="73"/>
      <c r="GO2796" s="73"/>
      <c r="GP2796" s="73"/>
      <c r="GQ2796" s="73"/>
      <c r="GR2796" s="73"/>
      <c r="GS2796" s="73"/>
      <c r="GT2796" s="73"/>
      <c r="GU2796" s="73"/>
      <c r="GV2796" s="73"/>
      <c r="GW2796" s="73"/>
      <c r="GX2796" s="73"/>
      <c r="GY2796" s="73"/>
      <c r="GZ2796" s="73"/>
      <c r="HA2796" s="73"/>
      <c r="HB2796" s="73"/>
      <c r="HC2796" s="73"/>
      <c r="HD2796" s="73"/>
      <c r="HE2796" s="73"/>
      <c r="HF2796" s="73"/>
      <c r="HG2796" s="73"/>
      <c r="HH2796" s="73"/>
      <c r="HI2796" s="73"/>
      <c r="HJ2796" s="73"/>
      <c r="HK2796" s="73"/>
      <c r="HL2796" s="73"/>
      <c r="HM2796" s="73"/>
      <c r="HN2796" s="73"/>
      <c r="HO2796" s="73"/>
      <c r="HP2796" s="73"/>
      <c r="HQ2796" s="73"/>
      <c r="HR2796" s="73"/>
      <c r="HS2796" s="73"/>
      <c r="HT2796" s="73"/>
      <c r="HU2796" s="73"/>
      <c r="HV2796" s="73"/>
      <c r="HW2796" s="73"/>
      <c r="HX2796" s="73"/>
      <c r="HY2796" s="73"/>
      <c r="HZ2796" s="73"/>
      <c r="IA2796" s="73"/>
      <c r="IB2796" s="73"/>
      <c r="IC2796" s="73"/>
      <c r="ID2796" s="73"/>
      <c r="IE2796" s="73"/>
      <c r="IF2796" s="73"/>
      <c r="IG2796" s="73"/>
      <c r="IH2796" s="73"/>
      <c r="II2796" s="73"/>
      <c r="IJ2796" s="73"/>
      <c r="IK2796" s="73"/>
      <c r="IL2796" s="73"/>
      <c r="IM2796" s="73"/>
      <c r="IN2796" s="73"/>
      <c r="IO2796" s="73"/>
      <c r="IP2796" s="73"/>
      <c r="IQ2796" s="73"/>
      <c r="IR2796" s="73"/>
      <c r="IS2796" s="73"/>
      <c r="IT2796" s="73"/>
      <c r="IU2796" s="73"/>
      <c r="IV2796" s="73"/>
      <c r="IW2796" s="73"/>
      <c r="IX2796" s="73"/>
      <c r="IY2796" s="73"/>
      <c r="IZ2796" s="73"/>
      <c r="JA2796" s="73"/>
      <c r="JB2796" s="73"/>
      <c r="JC2796" s="73"/>
    </row>
    <row r="2797" spans="2:263" s="72" customFormat="1">
      <c r="B2797" s="73"/>
      <c r="C2797" s="73"/>
      <c r="D2797" s="73"/>
      <c r="E2797" s="73"/>
      <c r="F2797" s="73"/>
      <c r="G2797" s="73"/>
      <c r="H2797" s="73"/>
      <c r="I2797" s="73"/>
      <c r="J2797" s="73"/>
      <c r="K2797" s="73"/>
      <c r="L2797" s="73"/>
      <c r="M2797" s="73"/>
      <c r="N2797" s="73"/>
      <c r="O2797" s="73"/>
      <c r="P2797" s="73"/>
      <c r="Q2797" s="73"/>
      <c r="R2797" s="73"/>
      <c r="S2797" s="73"/>
      <c r="T2797" s="73"/>
      <c r="U2797" s="73"/>
      <c r="V2797" s="73"/>
      <c r="W2797" s="73"/>
      <c r="GL2797" s="73"/>
      <c r="GM2797" s="73"/>
      <c r="GN2797" s="73"/>
      <c r="GO2797" s="73"/>
      <c r="GP2797" s="73"/>
      <c r="GQ2797" s="73"/>
      <c r="GR2797" s="73"/>
      <c r="GS2797" s="73"/>
      <c r="GT2797" s="73"/>
      <c r="GU2797" s="73"/>
      <c r="GV2797" s="73"/>
      <c r="GW2797" s="73"/>
      <c r="GX2797" s="73"/>
      <c r="GY2797" s="73"/>
      <c r="GZ2797" s="73"/>
      <c r="HA2797" s="73"/>
      <c r="HB2797" s="73"/>
      <c r="HC2797" s="73"/>
      <c r="HD2797" s="73"/>
      <c r="HE2797" s="73"/>
      <c r="HF2797" s="73"/>
      <c r="HG2797" s="73"/>
      <c r="HH2797" s="73"/>
      <c r="HI2797" s="73"/>
      <c r="HJ2797" s="73"/>
      <c r="HK2797" s="73"/>
      <c r="HL2797" s="73"/>
      <c r="HM2797" s="73"/>
      <c r="HN2797" s="73"/>
      <c r="HO2797" s="73"/>
      <c r="HP2797" s="73"/>
      <c r="HQ2797" s="73"/>
      <c r="HR2797" s="73"/>
      <c r="HS2797" s="73"/>
      <c r="HT2797" s="73"/>
      <c r="HU2797" s="73"/>
      <c r="HV2797" s="73"/>
      <c r="HW2797" s="73"/>
      <c r="HX2797" s="73"/>
      <c r="HY2797" s="73"/>
      <c r="HZ2797" s="73"/>
      <c r="IA2797" s="73"/>
      <c r="IB2797" s="73"/>
      <c r="IC2797" s="73"/>
      <c r="ID2797" s="73"/>
      <c r="IE2797" s="73"/>
      <c r="IF2797" s="73"/>
      <c r="IG2797" s="73"/>
      <c r="IH2797" s="73"/>
      <c r="II2797" s="73"/>
      <c r="IJ2797" s="73"/>
      <c r="IK2797" s="73"/>
      <c r="IL2797" s="73"/>
      <c r="IM2797" s="73"/>
      <c r="IN2797" s="73"/>
      <c r="IO2797" s="73"/>
      <c r="IP2797" s="73"/>
      <c r="IQ2797" s="73"/>
      <c r="IR2797" s="73"/>
      <c r="IS2797" s="73"/>
      <c r="IT2797" s="73"/>
      <c r="IU2797" s="73"/>
      <c r="IV2797" s="73"/>
      <c r="IW2797" s="73"/>
      <c r="IX2797" s="73"/>
      <c r="IY2797" s="73"/>
      <c r="IZ2797" s="73"/>
      <c r="JA2797" s="73"/>
      <c r="JB2797" s="73"/>
      <c r="JC2797" s="73"/>
    </row>
    <row r="2798" spans="2:263" s="72" customFormat="1">
      <c r="B2798" s="73"/>
      <c r="C2798" s="73"/>
      <c r="D2798" s="73"/>
      <c r="E2798" s="73"/>
      <c r="F2798" s="73"/>
      <c r="G2798" s="73"/>
      <c r="H2798" s="73"/>
      <c r="I2798" s="73"/>
      <c r="J2798" s="73"/>
      <c r="K2798" s="73"/>
      <c r="L2798" s="73"/>
      <c r="M2798" s="73"/>
      <c r="N2798" s="73"/>
      <c r="O2798" s="73"/>
      <c r="P2798" s="73"/>
      <c r="Q2798" s="73"/>
      <c r="R2798" s="73"/>
      <c r="S2798" s="73"/>
      <c r="T2798" s="73"/>
      <c r="U2798" s="73"/>
      <c r="V2798" s="73"/>
      <c r="W2798" s="73"/>
      <c r="GL2798" s="73"/>
      <c r="GM2798" s="73"/>
      <c r="GN2798" s="73"/>
      <c r="GO2798" s="73"/>
      <c r="GP2798" s="73"/>
      <c r="GQ2798" s="73"/>
      <c r="GR2798" s="73"/>
      <c r="GS2798" s="73"/>
      <c r="GT2798" s="73"/>
      <c r="GU2798" s="73"/>
      <c r="GV2798" s="73"/>
      <c r="GW2798" s="73"/>
      <c r="GX2798" s="73"/>
      <c r="GY2798" s="73"/>
      <c r="GZ2798" s="73"/>
      <c r="HA2798" s="73"/>
      <c r="HB2798" s="73"/>
      <c r="HC2798" s="73"/>
      <c r="HD2798" s="73"/>
      <c r="HE2798" s="73"/>
      <c r="HF2798" s="73"/>
      <c r="HG2798" s="73"/>
      <c r="HH2798" s="73"/>
      <c r="HI2798" s="73"/>
      <c r="HJ2798" s="73"/>
      <c r="HK2798" s="73"/>
      <c r="HL2798" s="73"/>
      <c r="HM2798" s="73"/>
      <c r="HN2798" s="73"/>
      <c r="HO2798" s="73"/>
      <c r="HP2798" s="73"/>
      <c r="HQ2798" s="73"/>
      <c r="HR2798" s="73"/>
      <c r="HS2798" s="73"/>
      <c r="HT2798" s="73"/>
      <c r="HU2798" s="73"/>
      <c r="HV2798" s="73"/>
      <c r="HW2798" s="73"/>
      <c r="HX2798" s="73"/>
      <c r="HY2798" s="73"/>
      <c r="HZ2798" s="73"/>
      <c r="IA2798" s="73"/>
      <c r="IB2798" s="73"/>
      <c r="IC2798" s="73"/>
      <c r="ID2798" s="73"/>
      <c r="IE2798" s="73"/>
      <c r="IF2798" s="73"/>
      <c r="IG2798" s="73"/>
      <c r="IH2798" s="73"/>
      <c r="II2798" s="73"/>
      <c r="IJ2798" s="73"/>
      <c r="IK2798" s="73"/>
      <c r="IL2798" s="73"/>
      <c r="IM2798" s="73"/>
      <c r="IN2798" s="73"/>
      <c r="IO2798" s="73"/>
      <c r="IP2798" s="73"/>
      <c r="IQ2798" s="73"/>
      <c r="IR2798" s="73"/>
      <c r="IS2798" s="73"/>
      <c r="IT2798" s="73"/>
      <c r="IU2798" s="73"/>
      <c r="IV2798" s="73"/>
      <c r="IW2798" s="73"/>
      <c r="IX2798" s="73"/>
      <c r="IY2798" s="73"/>
      <c r="IZ2798" s="73"/>
      <c r="JA2798" s="73"/>
      <c r="JB2798" s="73"/>
      <c r="JC2798" s="73"/>
    </row>
    <row r="2799" spans="2:263" s="72" customFormat="1">
      <c r="B2799" s="73"/>
      <c r="C2799" s="73"/>
      <c r="D2799" s="73"/>
      <c r="E2799" s="73"/>
      <c r="F2799" s="73"/>
      <c r="G2799" s="73"/>
      <c r="H2799" s="73"/>
      <c r="I2799" s="73"/>
      <c r="J2799" s="73"/>
      <c r="K2799" s="73"/>
      <c r="L2799" s="73"/>
      <c r="M2799" s="73"/>
      <c r="N2799" s="73"/>
      <c r="O2799" s="73"/>
      <c r="P2799" s="73"/>
      <c r="Q2799" s="73"/>
      <c r="R2799" s="73"/>
      <c r="S2799" s="73"/>
      <c r="T2799" s="73"/>
      <c r="U2799" s="73"/>
      <c r="V2799" s="73"/>
      <c r="W2799" s="73"/>
      <c r="GL2799" s="73"/>
      <c r="GM2799" s="73"/>
      <c r="GN2799" s="73"/>
      <c r="GO2799" s="73"/>
      <c r="GP2799" s="73"/>
      <c r="GQ2799" s="73"/>
      <c r="GR2799" s="73"/>
      <c r="GS2799" s="73"/>
      <c r="GT2799" s="73"/>
      <c r="GU2799" s="73"/>
      <c r="GV2799" s="73"/>
      <c r="GW2799" s="73"/>
      <c r="GX2799" s="73"/>
      <c r="GY2799" s="73"/>
      <c r="GZ2799" s="73"/>
      <c r="HA2799" s="73"/>
      <c r="HB2799" s="73"/>
      <c r="HC2799" s="73"/>
      <c r="HD2799" s="73"/>
      <c r="HE2799" s="73"/>
      <c r="HF2799" s="73"/>
      <c r="HG2799" s="73"/>
      <c r="HH2799" s="73"/>
      <c r="HI2799" s="73"/>
      <c r="HJ2799" s="73"/>
      <c r="HK2799" s="73"/>
      <c r="HL2799" s="73"/>
      <c r="HM2799" s="73"/>
      <c r="HN2799" s="73"/>
      <c r="HO2799" s="73"/>
      <c r="HP2799" s="73"/>
      <c r="HQ2799" s="73"/>
      <c r="HR2799" s="73"/>
      <c r="HS2799" s="73"/>
      <c r="HT2799" s="73"/>
      <c r="HU2799" s="73"/>
      <c r="HV2799" s="73"/>
      <c r="HW2799" s="73"/>
      <c r="HX2799" s="73"/>
      <c r="HY2799" s="73"/>
      <c r="HZ2799" s="73"/>
      <c r="IA2799" s="73"/>
      <c r="IB2799" s="73"/>
      <c r="IC2799" s="73"/>
      <c r="ID2799" s="73"/>
      <c r="IE2799" s="73"/>
      <c r="IF2799" s="73"/>
      <c r="IG2799" s="73"/>
      <c r="IH2799" s="73"/>
      <c r="II2799" s="73"/>
      <c r="IJ2799" s="73"/>
      <c r="IK2799" s="73"/>
      <c r="IL2799" s="73"/>
      <c r="IM2799" s="73"/>
      <c r="IN2799" s="73"/>
      <c r="IO2799" s="73"/>
      <c r="IP2799" s="73"/>
      <c r="IQ2799" s="73"/>
      <c r="IR2799" s="73"/>
      <c r="IS2799" s="73"/>
      <c r="IT2799" s="73"/>
      <c r="IU2799" s="73"/>
      <c r="IV2799" s="73"/>
      <c r="IW2799" s="73"/>
      <c r="IX2799" s="73"/>
      <c r="IY2799" s="73"/>
      <c r="IZ2799" s="73"/>
      <c r="JA2799" s="73"/>
      <c r="JB2799" s="73"/>
      <c r="JC2799" s="73"/>
    </row>
    <row r="2800" spans="2:263" s="72" customFormat="1">
      <c r="B2800" s="73"/>
      <c r="C2800" s="73"/>
      <c r="D2800" s="73"/>
      <c r="E2800" s="73"/>
      <c r="F2800" s="73"/>
      <c r="G2800" s="73"/>
      <c r="H2800" s="73"/>
      <c r="I2800" s="73"/>
      <c r="J2800" s="73"/>
      <c r="K2800" s="73"/>
      <c r="L2800" s="73"/>
      <c r="M2800" s="73"/>
      <c r="N2800" s="73"/>
      <c r="O2800" s="73"/>
      <c r="P2800" s="73"/>
      <c r="Q2800" s="73"/>
      <c r="R2800" s="73"/>
      <c r="S2800" s="73"/>
      <c r="T2800" s="73"/>
      <c r="U2800" s="73"/>
      <c r="V2800" s="73"/>
      <c r="W2800" s="73"/>
      <c r="GL2800" s="73"/>
      <c r="GM2800" s="73"/>
      <c r="GN2800" s="73"/>
      <c r="GO2800" s="73"/>
      <c r="GP2800" s="73"/>
      <c r="GQ2800" s="73"/>
      <c r="GR2800" s="73"/>
      <c r="GS2800" s="73"/>
      <c r="GT2800" s="73"/>
      <c r="GU2800" s="73"/>
      <c r="GV2800" s="73"/>
      <c r="GW2800" s="73"/>
      <c r="GX2800" s="73"/>
      <c r="GY2800" s="73"/>
      <c r="GZ2800" s="73"/>
      <c r="HA2800" s="73"/>
      <c r="HB2800" s="73"/>
      <c r="HC2800" s="73"/>
      <c r="HD2800" s="73"/>
      <c r="HE2800" s="73"/>
      <c r="HF2800" s="73"/>
      <c r="HG2800" s="73"/>
      <c r="HH2800" s="73"/>
      <c r="HI2800" s="73"/>
      <c r="HJ2800" s="73"/>
      <c r="HK2800" s="73"/>
      <c r="HL2800" s="73"/>
      <c r="HM2800" s="73"/>
      <c r="HN2800" s="73"/>
      <c r="HO2800" s="73"/>
      <c r="HP2800" s="73"/>
      <c r="HQ2800" s="73"/>
      <c r="HR2800" s="73"/>
      <c r="HS2800" s="73"/>
      <c r="HT2800" s="73"/>
      <c r="HU2800" s="73"/>
      <c r="HV2800" s="73"/>
      <c r="HW2800" s="73"/>
      <c r="HX2800" s="73"/>
      <c r="HY2800" s="73"/>
      <c r="HZ2800" s="73"/>
      <c r="IA2800" s="73"/>
      <c r="IB2800" s="73"/>
      <c r="IC2800" s="73"/>
      <c r="ID2800" s="73"/>
      <c r="IE2800" s="73"/>
      <c r="IF2800" s="73"/>
      <c r="IG2800" s="73"/>
      <c r="IH2800" s="73"/>
      <c r="II2800" s="73"/>
      <c r="IJ2800" s="73"/>
      <c r="IK2800" s="73"/>
      <c r="IL2800" s="73"/>
      <c r="IM2800" s="73"/>
      <c r="IN2800" s="73"/>
      <c r="IO2800" s="73"/>
      <c r="IP2800" s="73"/>
      <c r="IQ2800" s="73"/>
      <c r="IR2800" s="73"/>
      <c r="IS2800" s="73"/>
      <c r="IT2800" s="73"/>
      <c r="IU2800" s="73"/>
      <c r="IV2800" s="73"/>
      <c r="IW2800" s="73"/>
      <c r="IX2800" s="73"/>
      <c r="IY2800" s="73"/>
      <c r="IZ2800" s="73"/>
      <c r="JA2800" s="73"/>
      <c r="JB2800" s="73"/>
      <c r="JC2800" s="73"/>
    </row>
    <row r="2801" spans="2:263" s="72" customFormat="1">
      <c r="B2801" s="73"/>
      <c r="C2801" s="73"/>
      <c r="D2801" s="73"/>
      <c r="E2801" s="73"/>
      <c r="F2801" s="73"/>
      <c r="G2801" s="73"/>
      <c r="H2801" s="73"/>
      <c r="I2801" s="73"/>
      <c r="J2801" s="73"/>
      <c r="K2801" s="73"/>
      <c r="L2801" s="73"/>
      <c r="M2801" s="73"/>
      <c r="N2801" s="73"/>
      <c r="O2801" s="73"/>
      <c r="P2801" s="73"/>
      <c r="Q2801" s="73"/>
      <c r="R2801" s="73"/>
      <c r="S2801" s="73"/>
      <c r="T2801" s="73"/>
      <c r="U2801" s="73"/>
      <c r="V2801" s="73"/>
      <c r="W2801" s="73"/>
      <c r="GL2801" s="73"/>
      <c r="GM2801" s="73"/>
      <c r="GN2801" s="73"/>
      <c r="GO2801" s="73"/>
      <c r="GP2801" s="73"/>
      <c r="GQ2801" s="73"/>
      <c r="GR2801" s="73"/>
      <c r="GS2801" s="73"/>
      <c r="GT2801" s="73"/>
      <c r="GU2801" s="73"/>
      <c r="GV2801" s="73"/>
      <c r="GW2801" s="73"/>
      <c r="GX2801" s="73"/>
      <c r="GY2801" s="73"/>
      <c r="GZ2801" s="73"/>
      <c r="HA2801" s="73"/>
      <c r="HB2801" s="73"/>
      <c r="HC2801" s="73"/>
      <c r="HD2801" s="73"/>
      <c r="HE2801" s="73"/>
      <c r="HF2801" s="73"/>
      <c r="HG2801" s="73"/>
      <c r="HH2801" s="73"/>
      <c r="HI2801" s="73"/>
      <c r="HJ2801" s="73"/>
      <c r="HK2801" s="73"/>
      <c r="HL2801" s="73"/>
      <c r="HM2801" s="73"/>
      <c r="HN2801" s="73"/>
      <c r="HO2801" s="73"/>
      <c r="HP2801" s="73"/>
      <c r="HQ2801" s="73"/>
      <c r="HR2801" s="73"/>
      <c r="HS2801" s="73"/>
      <c r="HT2801" s="73"/>
      <c r="HU2801" s="73"/>
      <c r="HV2801" s="73"/>
      <c r="HW2801" s="73"/>
      <c r="HX2801" s="73"/>
      <c r="HY2801" s="73"/>
      <c r="HZ2801" s="73"/>
      <c r="IA2801" s="73"/>
      <c r="IB2801" s="73"/>
      <c r="IC2801" s="73"/>
      <c r="ID2801" s="73"/>
      <c r="IE2801" s="73"/>
      <c r="IF2801" s="73"/>
      <c r="IG2801" s="73"/>
      <c r="IH2801" s="73"/>
      <c r="II2801" s="73"/>
      <c r="IJ2801" s="73"/>
      <c r="IK2801" s="73"/>
      <c r="IL2801" s="73"/>
      <c r="IM2801" s="73"/>
      <c r="IN2801" s="73"/>
      <c r="IO2801" s="73"/>
      <c r="IP2801" s="73"/>
      <c r="IQ2801" s="73"/>
      <c r="IR2801" s="73"/>
      <c r="IS2801" s="73"/>
      <c r="IT2801" s="73"/>
      <c r="IU2801" s="73"/>
      <c r="IV2801" s="73"/>
      <c r="IW2801" s="73"/>
      <c r="IX2801" s="73"/>
      <c r="IY2801" s="73"/>
      <c r="IZ2801" s="73"/>
      <c r="JA2801" s="73"/>
      <c r="JB2801" s="73"/>
      <c r="JC2801" s="73"/>
    </row>
    <row r="2802" spans="2:263" s="72" customFormat="1">
      <c r="B2802" s="73"/>
      <c r="C2802" s="73"/>
      <c r="D2802" s="73"/>
      <c r="E2802" s="73"/>
      <c r="F2802" s="73"/>
      <c r="G2802" s="73"/>
      <c r="H2802" s="73"/>
      <c r="I2802" s="73"/>
      <c r="J2802" s="73"/>
      <c r="K2802" s="73"/>
      <c r="L2802" s="73"/>
      <c r="M2802" s="73"/>
      <c r="N2802" s="73"/>
      <c r="O2802" s="73"/>
      <c r="P2802" s="73"/>
      <c r="Q2802" s="73"/>
      <c r="R2802" s="73"/>
      <c r="S2802" s="73"/>
      <c r="T2802" s="73"/>
      <c r="U2802" s="73"/>
      <c r="V2802" s="73"/>
      <c r="W2802" s="73"/>
      <c r="GL2802" s="73"/>
      <c r="GM2802" s="73"/>
      <c r="GN2802" s="73"/>
      <c r="GO2802" s="73"/>
      <c r="GP2802" s="73"/>
      <c r="GQ2802" s="73"/>
      <c r="GR2802" s="73"/>
      <c r="GS2802" s="73"/>
      <c r="GT2802" s="73"/>
      <c r="GU2802" s="73"/>
      <c r="GV2802" s="73"/>
      <c r="GW2802" s="73"/>
      <c r="GX2802" s="73"/>
      <c r="GY2802" s="73"/>
      <c r="GZ2802" s="73"/>
      <c r="HA2802" s="73"/>
      <c r="HB2802" s="73"/>
      <c r="HC2802" s="73"/>
      <c r="HD2802" s="73"/>
      <c r="HE2802" s="73"/>
      <c r="HF2802" s="73"/>
      <c r="HG2802" s="73"/>
      <c r="HH2802" s="73"/>
      <c r="HI2802" s="73"/>
      <c r="HJ2802" s="73"/>
      <c r="HK2802" s="73"/>
      <c r="HL2802" s="73"/>
      <c r="HM2802" s="73"/>
      <c r="HN2802" s="73"/>
      <c r="HO2802" s="73"/>
      <c r="HP2802" s="73"/>
      <c r="HQ2802" s="73"/>
      <c r="HR2802" s="73"/>
      <c r="HS2802" s="73"/>
      <c r="HT2802" s="73"/>
      <c r="HU2802" s="73"/>
      <c r="HV2802" s="73"/>
      <c r="HW2802" s="73"/>
      <c r="HX2802" s="73"/>
      <c r="HY2802" s="73"/>
      <c r="HZ2802" s="73"/>
      <c r="IA2802" s="73"/>
      <c r="IB2802" s="73"/>
      <c r="IC2802" s="73"/>
      <c r="ID2802" s="73"/>
      <c r="IE2802" s="73"/>
      <c r="IF2802" s="73"/>
      <c r="IG2802" s="73"/>
      <c r="IH2802" s="73"/>
      <c r="II2802" s="73"/>
      <c r="IJ2802" s="73"/>
      <c r="IK2802" s="73"/>
      <c r="IL2802" s="73"/>
      <c r="IM2802" s="73"/>
      <c r="IN2802" s="73"/>
      <c r="IO2802" s="73"/>
      <c r="IP2802" s="73"/>
      <c r="IQ2802" s="73"/>
      <c r="IR2802" s="73"/>
      <c r="IS2802" s="73"/>
      <c r="IT2802" s="73"/>
      <c r="IU2802" s="73"/>
      <c r="IV2802" s="73"/>
      <c r="IW2802" s="73"/>
      <c r="IX2802" s="73"/>
      <c r="IY2802" s="73"/>
      <c r="IZ2802" s="73"/>
      <c r="JA2802" s="73"/>
      <c r="JB2802" s="73"/>
      <c r="JC2802" s="73"/>
    </row>
    <row r="2803" spans="2:263" s="72" customFormat="1">
      <c r="B2803" s="73"/>
      <c r="C2803" s="73"/>
      <c r="D2803" s="73"/>
      <c r="E2803" s="73"/>
      <c r="F2803" s="73"/>
      <c r="G2803" s="73"/>
      <c r="H2803" s="73"/>
      <c r="I2803" s="73"/>
      <c r="J2803" s="73"/>
      <c r="K2803" s="73"/>
      <c r="L2803" s="73"/>
      <c r="M2803" s="73"/>
      <c r="N2803" s="73"/>
      <c r="O2803" s="73"/>
      <c r="P2803" s="73"/>
      <c r="Q2803" s="73"/>
      <c r="R2803" s="73"/>
      <c r="S2803" s="73"/>
      <c r="T2803" s="73"/>
      <c r="U2803" s="73"/>
      <c r="V2803" s="73"/>
      <c r="W2803" s="73"/>
      <c r="GL2803" s="73"/>
      <c r="GM2803" s="73"/>
      <c r="GN2803" s="73"/>
      <c r="GO2803" s="73"/>
      <c r="GP2803" s="73"/>
      <c r="GQ2803" s="73"/>
      <c r="GR2803" s="73"/>
      <c r="GS2803" s="73"/>
      <c r="GT2803" s="73"/>
      <c r="GU2803" s="73"/>
      <c r="GV2803" s="73"/>
      <c r="GW2803" s="73"/>
      <c r="GX2803" s="73"/>
      <c r="GY2803" s="73"/>
      <c r="GZ2803" s="73"/>
      <c r="HA2803" s="73"/>
      <c r="HB2803" s="73"/>
      <c r="HC2803" s="73"/>
      <c r="HD2803" s="73"/>
      <c r="HE2803" s="73"/>
      <c r="HF2803" s="73"/>
      <c r="HG2803" s="73"/>
      <c r="HH2803" s="73"/>
      <c r="HI2803" s="73"/>
      <c r="HJ2803" s="73"/>
      <c r="HK2803" s="73"/>
      <c r="HL2803" s="73"/>
      <c r="HM2803" s="73"/>
      <c r="HN2803" s="73"/>
      <c r="HO2803" s="73"/>
      <c r="HP2803" s="73"/>
      <c r="HQ2803" s="73"/>
      <c r="HR2803" s="73"/>
      <c r="HS2803" s="73"/>
      <c r="HT2803" s="73"/>
      <c r="HU2803" s="73"/>
      <c r="HV2803" s="73"/>
      <c r="HW2803" s="73"/>
      <c r="HX2803" s="73"/>
      <c r="HY2803" s="73"/>
      <c r="HZ2803" s="73"/>
      <c r="IA2803" s="73"/>
      <c r="IB2803" s="73"/>
      <c r="IC2803" s="73"/>
      <c r="ID2803" s="73"/>
      <c r="IE2803" s="73"/>
      <c r="IF2803" s="73"/>
      <c r="IG2803" s="73"/>
      <c r="IH2803" s="73"/>
      <c r="II2803" s="73"/>
      <c r="IJ2803" s="73"/>
      <c r="IK2803" s="73"/>
      <c r="IL2803" s="73"/>
      <c r="IM2803" s="73"/>
      <c r="IN2803" s="73"/>
      <c r="IO2803" s="73"/>
      <c r="IP2803" s="73"/>
      <c r="IQ2803" s="73"/>
      <c r="IR2803" s="73"/>
      <c r="IS2803" s="73"/>
      <c r="IT2803" s="73"/>
      <c r="IU2803" s="73"/>
      <c r="IV2803" s="73"/>
      <c r="IW2803" s="73"/>
      <c r="IX2803" s="73"/>
      <c r="IY2803" s="73"/>
      <c r="IZ2803" s="73"/>
      <c r="JA2803" s="73"/>
      <c r="JB2803" s="73"/>
      <c r="JC2803" s="73"/>
    </row>
    <row r="2804" spans="2:263" s="72" customFormat="1">
      <c r="B2804" s="73"/>
      <c r="C2804" s="73"/>
      <c r="D2804" s="73"/>
      <c r="E2804" s="73"/>
      <c r="F2804" s="73"/>
      <c r="G2804" s="73"/>
      <c r="H2804" s="73"/>
      <c r="I2804" s="73"/>
      <c r="J2804" s="73"/>
      <c r="K2804" s="73"/>
      <c r="L2804" s="73"/>
      <c r="M2804" s="73"/>
      <c r="N2804" s="73"/>
      <c r="O2804" s="73"/>
      <c r="P2804" s="73"/>
      <c r="Q2804" s="73"/>
      <c r="R2804" s="73"/>
      <c r="S2804" s="73"/>
      <c r="T2804" s="73"/>
      <c r="U2804" s="73"/>
      <c r="V2804" s="73"/>
      <c r="W2804" s="73"/>
      <c r="GL2804" s="73"/>
      <c r="GM2804" s="73"/>
      <c r="GN2804" s="73"/>
      <c r="GO2804" s="73"/>
      <c r="GP2804" s="73"/>
      <c r="GQ2804" s="73"/>
      <c r="GR2804" s="73"/>
      <c r="GS2804" s="73"/>
      <c r="GT2804" s="73"/>
      <c r="GU2804" s="73"/>
      <c r="GV2804" s="73"/>
      <c r="GW2804" s="73"/>
      <c r="GX2804" s="73"/>
      <c r="GY2804" s="73"/>
      <c r="GZ2804" s="73"/>
      <c r="HA2804" s="73"/>
      <c r="HB2804" s="73"/>
      <c r="HC2804" s="73"/>
      <c r="HD2804" s="73"/>
      <c r="HE2804" s="73"/>
      <c r="HF2804" s="73"/>
      <c r="HG2804" s="73"/>
      <c r="HH2804" s="73"/>
      <c r="HI2804" s="73"/>
      <c r="HJ2804" s="73"/>
      <c r="HK2804" s="73"/>
      <c r="HL2804" s="73"/>
      <c r="HM2804" s="73"/>
      <c r="HN2804" s="73"/>
      <c r="HO2804" s="73"/>
      <c r="HP2804" s="73"/>
      <c r="HQ2804" s="73"/>
      <c r="HR2804" s="73"/>
      <c r="HS2804" s="73"/>
      <c r="HT2804" s="73"/>
      <c r="HU2804" s="73"/>
      <c r="HV2804" s="73"/>
      <c r="HW2804" s="73"/>
      <c r="HX2804" s="73"/>
      <c r="HY2804" s="73"/>
      <c r="HZ2804" s="73"/>
      <c r="IA2804" s="73"/>
      <c r="IB2804" s="73"/>
      <c r="IC2804" s="73"/>
      <c r="ID2804" s="73"/>
      <c r="IE2804" s="73"/>
      <c r="IF2804" s="73"/>
      <c r="IG2804" s="73"/>
      <c r="IH2804" s="73"/>
      <c r="II2804" s="73"/>
      <c r="IJ2804" s="73"/>
      <c r="IK2804" s="73"/>
      <c r="IL2804" s="73"/>
      <c r="IM2804" s="73"/>
      <c r="IN2804" s="73"/>
      <c r="IO2804" s="73"/>
      <c r="IP2804" s="73"/>
      <c r="IQ2804" s="73"/>
      <c r="IR2804" s="73"/>
      <c r="IS2804" s="73"/>
      <c r="IT2804" s="73"/>
      <c r="IU2804" s="73"/>
      <c r="IV2804" s="73"/>
      <c r="IW2804" s="73"/>
      <c r="IX2804" s="73"/>
      <c r="IY2804" s="73"/>
      <c r="IZ2804" s="73"/>
      <c r="JA2804" s="73"/>
      <c r="JB2804" s="73"/>
      <c r="JC2804" s="73"/>
    </row>
    <row r="2805" spans="2:263" s="72" customFormat="1">
      <c r="B2805" s="73"/>
      <c r="C2805" s="73"/>
      <c r="D2805" s="73"/>
      <c r="E2805" s="73"/>
      <c r="F2805" s="73"/>
      <c r="G2805" s="73"/>
      <c r="H2805" s="73"/>
      <c r="I2805" s="73"/>
      <c r="J2805" s="73"/>
      <c r="K2805" s="73"/>
      <c r="L2805" s="73"/>
      <c r="M2805" s="73"/>
      <c r="N2805" s="73"/>
      <c r="O2805" s="73"/>
      <c r="P2805" s="73"/>
      <c r="Q2805" s="73"/>
      <c r="R2805" s="73"/>
      <c r="S2805" s="73"/>
      <c r="T2805" s="73"/>
      <c r="U2805" s="73"/>
      <c r="V2805" s="73"/>
      <c r="W2805" s="73"/>
      <c r="GL2805" s="73"/>
      <c r="GM2805" s="73"/>
      <c r="GN2805" s="73"/>
      <c r="GO2805" s="73"/>
      <c r="GP2805" s="73"/>
      <c r="GQ2805" s="73"/>
      <c r="GR2805" s="73"/>
      <c r="GS2805" s="73"/>
      <c r="GT2805" s="73"/>
      <c r="GU2805" s="73"/>
      <c r="GV2805" s="73"/>
      <c r="GW2805" s="73"/>
      <c r="GX2805" s="73"/>
      <c r="GY2805" s="73"/>
      <c r="GZ2805" s="73"/>
      <c r="HA2805" s="73"/>
      <c r="HB2805" s="73"/>
      <c r="HC2805" s="73"/>
      <c r="HD2805" s="73"/>
      <c r="HE2805" s="73"/>
      <c r="HF2805" s="73"/>
      <c r="HG2805" s="73"/>
      <c r="HH2805" s="73"/>
      <c r="HI2805" s="73"/>
      <c r="HJ2805" s="73"/>
      <c r="HK2805" s="73"/>
      <c r="HL2805" s="73"/>
      <c r="HM2805" s="73"/>
      <c r="HN2805" s="73"/>
      <c r="HO2805" s="73"/>
      <c r="HP2805" s="73"/>
      <c r="HQ2805" s="73"/>
      <c r="HR2805" s="73"/>
      <c r="HS2805" s="73"/>
      <c r="HT2805" s="73"/>
      <c r="HU2805" s="73"/>
      <c r="HV2805" s="73"/>
      <c r="HW2805" s="73"/>
      <c r="HX2805" s="73"/>
      <c r="HY2805" s="73"/>
      <c r="HZ2805" s="73"/>
      <c r="IA2805" s="73"/>
      <c r="IB2805" s="73"/>
      <c r="IC2805" s="73"/>
      <c r="ID2805" s="73"/>
      <c r="IE2805" s="73"/>
      <c r="IF2805" s="73"/>
      <c r="IG2805" s="73"/>
      <c r="IH2805" s="73"/>
      <c r="II2805" s="73"/>
      <c r="IJ2805" s="73"/>
      <c r="IK2805" s="73"/>
      <c r="IL2805" s="73"/>
      <c r="IM2805" s="73"/>
      <c r="IN2805" s="73"/>
      <c r="IO2805" s="73"/>
      <c r="IP2805" s="73"/>
      <c r="IQ2805" s="73"/>
      <c r="IR2805" s="73"/>
      <c r="IS2805" s="73"/>
      <c r="IT2805" s="73"/>
      <c r="IU2805" s="73"/>
      <c r="IV2805" s="73"/>
      <c r="IW2805" s="73"/>
      <c r="IX2805" s="73"/>
      <c r="IY2805" s="73"/>
      <c r="IZ2805" s="73"/>
      <c r="JA2805" s="73"/>
      <c r="JB2805" s="73"/>
      <c r="JC2805" s="73"/>
    </row>
    <row r="2806" spans="2:263" s="72" customFormat="1">
      <c r="B2806" s="73"/>
      <c r="C2806" s="73"/>
      <c r="D2806" s="73"/>
      <c r="E2806" s="73"/>
      <c r="F2806" s="73"/>
      <c r="G2806" s="73"/>
      <c r="H2806" s="73"/>
      <c r="I2806" s="73"/>
      <c r="J2806" s="73"/>
      <c r="K2806" s="73"/>
      <c r="L2806" s="73"/>
      <c r="M2806" s="73"/>
      <c r="N2806" s="73"/>
      <c r="O2806" s="73"/>
      <c r="P2806" s="73"/>
      <c r="Q2806" s="73"/>
      <c r="R2806" s="73"/>
      <c r="S2806" s="73"/>
      <c r="T2806" s="73"/>
      <c r="U2806" s="73"/>
      <c r="V2806" s="73"/>
      <c r="W2806" s="73"/>
      <c r="GL2806" s="73"/>
      <c r="GM2806" s="73"/>
      <c r="GN2806" s="73"/>
      <c r="GO2806" s="73"/>
      <c r="GP2806" s="73"/>
      <c r="GQ2806" s="73"/>
      <c r="GR2806" s="73"/>
      <c r="GS2806" s="73"/>
      <c r="GT2806" s="73"/>
      <c r="GU2806" s="73"/>
      <c r="GV2806" s="73"/>
      <c r="GW2806" s="73"/>
      <c r="GX2806" s="73"/>
      <c r="GY2806" s="73"/>
      <c r="GZ2806" s="73"/>
      <c r="HA2806" s="73"/>
      <c r="HB2806" s="73"/>
      <c r="HC2806" s="73"/>
      <c r="HD2806" s="73"/>
      <c r="HE2806" s="73"/>
      <c r="HF2806" s="73"/>
      <c r="HG2806" s="73"/>
      <c r="HH2806" s="73"/>
      <c r="HI2806" s="73"/>
      <c r="HJ2806" s="73"/>
      <c r="HK2806" s="73"/>
      <c r="HL2806" s="73"/>
      <c r="HM2806" s="73"/>
      <c r="HN2806" s="73"/>
      <c r="HO2806" s="73"/>
      <c r="HP2806" s="73"/>
      <c r="HQ2806" s="73"/>
      <c r="HR2806" s="73"/>
      <c r="HS2806" s="73"/>
      <c r="HT2806" s="73"/>
      <c r="HU2806" s="73"/>
      <c r="HV2806" s="73"/>
      <c r="HW2806" s="73"/>
      <c r="HX2806" s="73"/>
      <c r="HY2806" s="73"/>
      <c r="HZ2806" s="73"/>
      <c r="IA2806" s="73"/>
      <c r="IB2806" s="73"/>
      <c r="IC2806" s="73"/>
      <c r="ID2806" s="73"/>
      <c r="IE2806" s="73"/>
      <c r="IF2806" s="73"/>
      <c r="IG2806" s="73"/>
      <c r="IH2806" s="73"/>
      <c r="II2806" s="73"/>
      <c r="IJ2806" s="73"/>
      <c r="IK2806" s="73"/>
      <c r="IL2806" s="73"/>
      <c r="IM2806" s="73"/>
      <c r="IN2806" s="73"/>
      <c r="IO2806" s="73"/>
      <c r="IP2806" s="73"/>
      <c r="IQ2806" s="73"/>
      <c r="IR2806" s="73"/>
      <c r="IS2806" s="73"/>
      <c r="IT2806" s="73"/>
      <c r="IU2806" s="73"/>
      <c r="IV2806" s="73"/>
      <c r="IW2806" s="73"/>
      <c r="IX2806" s="73"/>
      <c r="IY2806" s="73"/>
      <c r="IZ2806" s="73"/>
      <c r="JA2806" s="73"/>
      <c r="JB2806" s="73"/>
      <c r="JC2806" s="73"/>
    </row>
    <row r="2807" spans="2:263" s="72" customFormat="1">
      <c r="B2807" s="73"/>
      <c r="C2807" s="73"/>
      <c r="D2807" s="73"/>
      <c r="E2807" s="73"/>
      <c r="F2807" s="73"/>
      <c r="G2807" s="73"/>
      <c r="H2807" s="73"/>
      <c r="I2807" s="73"/>
      <c r="J2807" s="73"/>
      <c r="K2807" s="73"/>
      <c r="L2807" s="73"/>
      <c r="M2807" s="73"/>
      <c r="N2807" s="73"/>
      <c r="O2807" s="73"/>
      <c r="P2807" s="73"/>
      <c r="Q2807" s="73"/>
      <c r="R2807" s="73"/>
      <c r="S2807" s="73"/>
      <c r="T2807" s="73"/>
      <c r="U2807" s="73"/>
      <c r="V2807" s="73"/>
      <c r="W2807" s="73"/>
      <c r="GL2807" s="73"/>
      <c r="GM2807" s="73"/>
      <c r="GN2807" s="73"/>
      <c r="GO2807" s="73"/>
      <c r="GP2807" s="73"/>
      <c r="GQ2807" s="73"/>
      <c r="GR2807" s="73"/>
      <c r="GS2807" s="73"/>
      <c r="GT2807" s="73"/>
      <c r="GU2807" s="73"/>
      <c r="GV2807" s="73"/>
      <c r="GW2807" s="73"/>
      <c r="GX2807" s="73"/>
      <c r="GY2807" s="73"/>
      <c r="GZ2807" s="73"/>
      <c r="HA2807" s="73"/>
      <c r="HB2807" s="73"/>
      <c r="HC2807" s="73"/>
      <c r="HD2807" s="73"/>
      <c r="HE2807" s="73"/>
      <c r="HF2807" s="73"/>
      <c r="HG2807" s="73"/>
      <c r="HH2807" s="73"/>
      <c r="HI2807" s="73"/>
      <c r="HJ2807" s="73"/>
      <c r="HK2807" s="73"/>
      <c r="HL2807" s="73"/>
      <c r="HM2807" s="73"/>
      <c r="HN2807" s="73"/>
      <c r="HO2807" s="73"/>
      <c r="HP2807" s="73"/>
      <c r="HQ2807" s="73"/>
      <c r="HR2807" s="73"/>
      <c r="HS2807" s="73"/>
      <c r="HT2807" s="73"/>
      <c r="HU2807" s="73"/>
      <c r="HV2807" s="73"/>
      <c r="HW2807" s="73"/>
      <c r="HX2807" s="73"/>
      <c r="HY2807" s="73"/>
      <c r="HZ2807" s="73"/>
      <c r="IA2807" s="73"/>
      <c r="IB2807" s="73"/>
      <c r="IC2807" s="73"/>
      <c r="ID2807" s="73"/>
      <c r="IE2807" s="73"/>
      <c r="IF2807" s="73"/>
      <c r="IG2807" s="73"/>
      <c r="IH2807" s="73"/>
      <c r="II2807" s="73"/>
      <c r="IJ2807" s="73"/>
      <c r="IK2807" s="73"/>
      <c r="IL2807" s="73"/>
      <c r="IM2807" s="73"/>
      <c r="IN2807" s="73"/>
      <c r="IO2807" s="73"/>
      <c r="IP2807" s="73"/>
      <c r="IQ2807" s="73"/>
      <c r="IR2807" s="73"/>
      <c r="IS2807" s="73"/>
      <c r="IT2807" s="73"/>
      <c r="IU2807" s="73"/>
      <c r="IV2807" s="73"/>
      <c r="IW2807" s="73"/>
      <c r="IX2807" s="73"/>
      <c r="IY2807" s="73"/>
      <c r="IZ2807" s="73"/>
      <c r="JA2807" s="73"/>
      <c r="JB2807" s="73"/>
      <c r="JC2807" s="73"/>
    </row>
    <row r="2808" spans="2:263" s="72" customFormat="1">
      <c r="B2808" s="73"/>
      <c r="C2808" s="73"/>
      <c r="D2808" s="73"/>
      <c r="E2808" s="73"/>
      <c r="F2808" s="73"/>
      <c r="G2808" s="73"/>
      <c r="H2808" s="73"/>
      <c r="I2808" s="73"/>
      <c r="J2808" s="73"/>
      <c r="K2808" s="73"/>
      <c r="L2808" s="73"/>
      <c r="M2808" s="73"/>
      <c r="N2808" s="73"/>
      <c r="O2808" s="73"/>
      <c r="P2808" s="73"/>
      <c r="Q2808" s="73"/>
      <c r="R2808" s="73"/>
      <c r="S2808" s="73"/>
      <c r="T2808" s="73"/>
      <c r="U2808" s="73"/>
      <c r="V2808" s="73"/>
      <c r="W2808" s="73"/>
      <c r="GL2808" s="73"/>
      <c r="GM2808" s="73"/>
      <c r="GN2808" s="73"/>
      <c r="GO2808" s="73"/>
      <c r="GP2808" s="73"/>
      <c r="GQ2808" s="73"/>
      <c r="GR2808" s="73"/>
      <c r="GS2808" s="73"/>
      <c r="GT2808" s="73"/>
      <c r="GU2808" s="73"/>
      <c r="GV2808" s="73"/>
      <c r="GW2808" s="73"/>
      <c r="GX2808" s="73"/>
      <c r="GY2808" s="73"/>
      <c r="GZ2808" s="73"/>
      <c r="HA2808" s="73"/>
      <c r="HB2808" s="73"/>
      <c r="HC2808" s="73"/>
      <c r="HD2808" s="73"/>
      <c r="HE2808" s="73"/>
      <c r="HF2808" s="73"/>
      <c r="HG2808" s="73"/>
      <c r="HH2808" s="73"/>
      <c r="HI2808" s="73"/>
      <c r="HJ2808" s="73"/>
      <c r="HK2808" s="73"/>
      <c r="HL2808" s="73"/>
      <c r="HM2808" s="73"/>
      <c r="HN2808" s="73"/>
      <c r="HO2808" s="73"/>
      <c r="HP2808" s="73"/>
      <c r="HQ2808" s="73"/>
      <c r="HR2808" s="73"/>
      <c r="HS2808" s="73"/>
      <c r="HT2808" s="73"/>
      <c r="HU2808" s="73"/>
      <c r="HV2808" s="73"/>
      <c r="HW2808" s="73"/>
      <c r="HX2808" s="73"/>
      <c r="HY2808" s="73"/>
      <c r="HZ2808" s="73"/>
      <c r="IA2808" s="73"/>
      <c r="IB2808" s="73"/>
      <c r="IC2808" s="73"/>
      <c r="ID2808" s="73"/>
      <c r="IE2808" s="73"/>
      <c r="IF2808" s="73"/>
      <c r="IG2808" s="73"/>
      <c r="IH2808" s="73"/>
      <c r="II2808" s="73"/>
      <c r="IJ2808" s="73"/>
      <c r="IK2808" s="73"/>
      <c r="IL2808" s="73"/>
      <c r="IM2808" s="73"/>
      <c r="IN2808" s="73"/>
      <c r="IO2808" s="73"/>
      <c r="IP2808" s="73"/>
      <c r="IQ2808" s="73"/>
      <c r="IR2808" s="73"/>
      <c r="IS2808" s="73"/>
      <c r="IT2808" s="73"/>
      <c r="IU2808" s="73"/>
      <c r="IV2808" s="73"/>
      <c r="IW2808" s="73"/>
      <c r="IX2808" s="73"/>
      <c r="IY2808" s="73"/>
      <c r="IZ2808" s="73"/>
      <c r="JA2808" s="73"/>
      <c r="JB2808" s="73"/>
      <c r="JC2808" s="73"/>
    </row>
    <row r="2809" spans="2:263" s="72" customFormat="1">
      <c r="B2809" s="73"/>
      <c r="C2809" s="73"/>
      <c r="D2809" s="73"/>
      <c r="E2809" s="73"/>
      <c r="F2809" s="73"/>
      <c r="G2809" s="73"/>
      <c r="H2809" s="73"/>
      <c r="I2809" s="73"/>
      <c r="J2809" s="73"/>
      <c r="K2809" s="73"/>
      <c r="L2809" s="73"/>
      <c r="M2809" s="73"/>
      <c r="N2809" s="73"/>
      <c r="O2809" s="73"/>
      <c r="P2809" s="73"/>
      <c r="Q2809" s="73"/>
      <c r="R2809" s="73"/>
      <c r="S2809" s="73"/>
      <c r="T2809" s="73"/>
      <c r="U2809" s="73"/>
      <c r="V2809" s="73"/>
      <c r="W2809" s="73"/>
      <c r="GL2809" s="73"/>
      <c r="GM2809" s="73"/>
      <c r="GN2809" s="73"/>
      <c r="GO2809" s="73"/>
      <c r="GP2809" s="73"/>
      <c r="GQ2809" s="73"/>
      <c r="GR2809" s="73"/>
      <c r="GS2809" s="73"/>
      <c r="GT2809" s="73"/>
      <c r="GU2809" s="73"/>
      <c r="GV2809" s="73"/>
      <c r="GW2809" s="73"/>
      <c r="GX2809" s="73"/>
      <c r="GY2809" s="73"/>
      <c r="GZ2809" s="73"/>
      <c r="HA2809" s="73"/>
      <c r="HB2809" s="73"/>
      <c r="HC2809" s="73"/>
      <c r="HD2809" s="73"/>
      <c r="HE2809" s="73"/>
      <c r="HF2809" s="73"/>
      <c r="HG2809" s="73"/>
      <c r="HH2809" s="73"/>
      <c r="HI2809" s="73"/>
      <c r="HJ2809" s="73"/>
      <c r="HK2809" s="73"/>
      <c r="HL2809" s="73"/>
      <c r="HM2809" s="73"/>
      <c r="HN2809" s="73"/>
      <c r="HO2809" s="73"/>
      <c r="HP2809" s="73"/>
      <c r="HQ2809" s="73"/>
      <c r="HR2809" s="73"/>
      <c r="HS2809" s="73"/>
      <c r="HT2809" s="73"/>
      <c r="HU2809" s="73"/>
      <c r="HV2809" s="73"/>
      <c r="HW2809" s="73"/>
      <c r="HX2809" s="73"/>
      <c r="HY2809" s="73"/>
      <c r="HZ2809" s="73"/>
      <c r="IA2809" s="73"/>
      <c r="IB2809" s="73"/>
      <c r="IC2809" s="73"/>
      <c r="ID2809" s="73"/>
      <c r="IE2809" s="73"/>
      <c r="IF2809" s="73"/>
      <c r="IG2809" s="73"/>
      <c r="IH2809" s="73"/>
      <c r="II2809" s="73"/>
      <c r="IJ2809" s="73"/>
      <c r="IK2809" s="73"/>
      <c r="IL2809" s="73"/>
      <c r="IM2809" s="73"/>
      <c r="IN2809" s="73"/>
      <c r="IO2809" s="73"/>
      <c r="IP2809" s="73"/>
      <c r="IQ2809" s="73"/>
      <c r="IR2809" s="73"/>
      <c r="IS2809" s="73"/>
      <c r="IT2809" s="73"/>
      <c r="IU2809" s="73"/>
      <c r="IV2809" s="73"/>
      <c r="IW2809" s="73"/>
      <c r="IX2809" s="73"/>
      <c r="IY2809" s="73"/>
      <c r="IZ2809" s="73"/>
      <c r="JA2809" s="73"/>
      <c r="JB2809" s="73"/>
      <c r="JC2809" s="73"/>
    </row>
    <row r="2810" spans="2:263" s="72" customFormat="1">
      <c r="B2810" s="73"/>
      <c r="C2810" s="73"/>
      <c r="D2810" s="73"/>
      <c r="E2810" s="73"/>
      <c r="F2810" s="73"/>
      <c r="G2810" s="73"/>
      <c r="H2810" s="73"/>
      <c r="I2810" s="73"/>
      <c r="J2810" s="73"/>
      <c r="K2810" s="73"/>
      <c r="L2810" s="73"/>
      <c r="M2810" s="73"/>
      <c r="N2810" s="73"/>
      <c r="O2810" s="73"/>
      <c r="P2810" s="73"/>
      <c r="Q2810" s="73"/>
      <c r="R2810" s="73"/>
      <c r="S2810" s="73"/>
      <c r="T2810" s="73"/>
      <c r="U2810" s="73"/>
      <c r="V2810" s="73"/>
      <c r="W2810" s="73"/>
      <c r="GL2810" s="73"/>
      <c r="GM2810" s="73"/>
      <c r="GN2810" s="73"/>
      <c r="GO2810" s="73"/>
      <c r="GP2810" s="73"/>
      <c r="GQ2810" s="73"/>
      <c r="GR2810" s="73"/>
      <c r="GS2810" s="73"/>
      <c r="GT2810" s="73"/>
      <c r="GU2810" s="73"/>
      <c r="GV2810" s="73"/>
      <c r="GW2810" s="73"/>
      <c r="GX2810" s="73"/>
      <c r="GY2810" s="73"/>
      <c r="GZ2810" s="73"/>
      <c r="HA2810" s="73"/>
      <c r="HB2810" s="73"/>
      <c r="HC2810" s="73"/>
      <c r="HD2810" s="73"/>
      <c r="HE2810" s="73"/>
      <c r="HF2810" s="73"/>
      <c r="HG2810" s="73"/>
      <c r="HH2810" s="73"/>
      <c r="HI2810" s="73"/>
      <c r="HJ2810" s="73"/>
      <c r="HK2810" s="73"/>
      <c r="HL2810" s="73"/>
      <c r="HM2810" s="73"/>
      <c r="HN2810" s="73"/>
      <c r="HO2810" s="73"/>
      <c r="HP2810" s="73"/>
      <c r="HQ2810" s="73"/>
      <c r="HR2810" s="73"/>
      <c r="HS2810" s="73"/>
      <c r="HT2810" s="73"/>
      <c r="HU2810" s="73"/>
      <c r="HV2810" s="73"/>
      <c r="HW2810" s="73"/>
      <c r="HX2810" s="73"/>
      <c r="HY2810" s="73"/>
      <c r="HZ2810" s="73"/>
      <c r="IA2810" s="73"/>
      <c r="IB2810" s="73"/>
      <c r="IC2810" s="73"/>
      <c r="ID2810" s="73"/>
      <c r="IE2810" s="73"/>
      <c r="IF2810" s="73"/>
      <c r="IG2810" s="73"/>
      <c r="IH2810" s="73"/>
      <c r="II2810" s="73"/>
      <c r="IJ2810" s="73"/>
      <c r="IK2810" s="73"/>
      <c r="IL2810" s="73"/>
      <c r="IM2810" s="73"/>
      <c r="IN2810" s="73"/>
      <c r="IO2810" s="73"/>
      <c r="IP2810" s="73"/>
      <c r="IQ2810" s="73"/>
      <c r="IR2810" s="73"/>
      <c r="IS2810" s="73"/>
      <c r="IT2810" s="73"/>
      <c r="IU2810" s="73"/>
      <c r="IV2810" s="73"/>
      <c r="IW2810" s="73"/>
      <c r="IX2810" s="73"/>
      <c r="IY2810" s="73"/>
      <c r="IZ2810" s="73"/>
      <c r="JA2810" s="73"/>
      <c r="JB2810" s="73"/>
      <c r="JC2810" s="73"/>
    </row>
    <row r="2811" spans="2:263" s="72" customFormat="1">
      <c r="B2811" s="73"/>
      <c r="C2811" s="73"/>
      <c r="D2811" s="73"/>
      <c r="E2811" s="73"/>
      <c r="F2811" s="73"/>
      <c r="G2811" s="73"/>
      <c r="H2811" s="73"/>
      <c r="I2811" s="73"/>
      <c r="J2811" s="73"/>
      <c r="K2811" s="73"/>
      <c r="L2811" s="73"/>
      <c r="M2811" s="73"/>
      <c r="N2811" s="73"/>
      <c r="O2811" s="73"/>
      <c r="P2811" s="73"/>
      <c r="Q2811" s="73"/>
      <c r="R2811" s="73"/>
      <c r="S2811" s="73"/>
      <c r="T2811" s="73"/>
      <c r="U2811" s="73"/>
      <c r="V2811" s="73"/>
      <c r="W2811" s="73"/>
      <c r="GL2811" s="73"/>
      <c r="GM2811" s="73"/>
      <c r="GN2811" s="73"/>
      <c r="GO2811" s="73"/>
      <c r="GP2811" s="73"/>
      <c r="GQ2811" s="73"/>
      <c r="GR2811" s="73"/>
      <c r="GS2811" s="73"/>
      <c r="GT2811" s="73"/>
      <c r="GU2811" s="73"/>
      <c r="GV2811" s="73"/>
      <c r="GW2811" s="73"/>
      <c r="GX2811" s="73"/>
      <c r="GY2811" s="73"/>
      <c r="GZ2811" s="73"/>
      <c r="HA2811" s="73"/>
      <c r="HB2811" s="73"/>
      <c r="HC2811" s="73"/>
      <c r="HD2811" s="73"/>
      <c r="HE2811" s="73"/>
      <c r="HF2811" s="73"/>
      <c r="HG2811" s="73"/>
      <c r="HH2811" s="73"/>
      <c r="HI2811" s="73"/>
      <c r="HJ2811" s="73"/>
      <c r="HK2811" s="73"/>
      <c r="HL2811" s="73"/>
      <c r="HM2811" s="73"/>
      <c r="HN2811" s="73"/>
      <c r="HO2811" s="73"/>
      <c r="HP2811" s="73"/>
      <c r="HQ2811" s="73"/>
      <c r="HR2811" s="73"/>
      <c r="HS2811" s="73"/>
      <c r="HT2811" s="73"/>
      <c r="HU2811" s="73"/>
      <c r="HV2811" s="73"/>
      <c r="HW2811" s="73"/>
      <c r="HX2811" s="73"/>
      <c r="HY2811" s="73"/>
      <c r="HZ2811" s="73"/>
      <c r="IA2811" s="73"/>
      <c r="IB2811" s="73"/>
      <c r="IC2811" s="73"/>
      <c r="ID2811" s="73"/>
      <c r="IE2811" s="73"/>
      <c r="IF2811" s="73"/>
      <c r="IG2811" s="73"/>
      <c r="IH2811" s="73"/>
      <c r="II2811" s="73"/>
      <c r="IJ2811" s="73"/>
      <c r="IK2811" s="73"/>
      <c r="IL2811" s="73"/>
      <c r="IM2811" s="73"/>
      <c r="IN2811" s="73"/>
      <c r="IO2811" s="73"/>
      <c r="IP2811" s="73"/>
      <c r="IQ2811" s="73"/>
      <c r="IR2811" s="73"/>
      <c r="IS2811" s="73"/>
      <c r="IT2811" s="73"/>
      <c r="IU2811" s="73"/>
      <c r="IV2811" s="73"/>
      <c r="IW2811" s="73"/>
      <c r="IX2811" s="73"/>
      <c r="IY2811" s="73"/>
      <c r="IZ2811" s="73"/>
      <c r="JA2811" s="73"/>
      <c r="JB2811" s="73"/>
      <c r="JC2811" s="73"/>
    </row>
    <row r="2812" spans="2:263" s="72" customFormat="1">
      <c r="B2812" s="73"/>
      <c r="C2812" s="73"/>
      <c r="D2812" s="73"/>
      <c r="E2812" s="73"/>
      <c r="F2812" s="73"/>
      <c r="G2812" s="73"/>
      <c r="H2812" s="73"/>
      <c r="I2812" s="73"/>
      <c r="J2812" s="73"/>
      <c r="K2812" s="73"/>
      <c r="L2812" s="73"/>
      <c r="M2812" s="73"/>
      <c r="N2812" s="73"/>
      <c r="O2812" s="73"/>
      <c r="P2812" s="73"/>
      <c r="Q2812" s="73"/>
      <c r="R2812" s="73"/>
      <c r="S2812" s="73"/>
      <c r="T2812" s="73"/>
      <c r="U2812" s="73"/>
      <c r="V2812" s="73"/>
      <c r="W2812" s="73"/>
      <c r="GL2812" s="73"/>
      <c r="GM2812" s="73"/>
      <c r="GN2812" s="73"/>
      <c r="GO2812" s="73"/>
      <c r="GP2812" s="73"/>
      <c r="GQ2812" s="73"/>
      <c r="GR2812" s="73"/>
      <c r="GS2812" s="73"/>
      <c r="GT2812" s="73"/>
      <c r="GU2812" s="73"/>
      <c r="GV2812" s="73"/>
      <c r="GW2812" s="73"/>
      <c r="GX2812" s="73"/>
      <c r="GY2812" s="73"/>
      <c r="GZ2812" s="73"/>
      <c r="HA2812" s="73"/>
      <c r="HB2812" s="73"/>
      <c r="HC2812" s="73"/>
      <c r="HD2812" s="73"/>
      <c r="HE2812" s="73"/>
      <c r="HF2812" s="73"/>
      <c r="HG2812" s="73"/>
      <c r="HH2812" s="73"/>
      <c r="HI2812" s="73"/>
      <c r="HJ2812" s="73"/>
      <c r="HK2812" s="73"/>
      <c r="HL2812" s="73"/>
      <c r="HM2812" s="73"/>
      <c r="HN2812" s="73"/>
      <c r="HO2812" s="73"/>
      <c r="HP2812" s="73"/>
      <c r="HQ2812" s="73"/>
      <c r="HR2812" s="73"/>
      <c r="HS2812" s="73"/>
      <c r="HT2812" s="73"/>
      <c r="HU2812" s="73"/>
      <c r="HV2812" s="73"/>
      <c r="HW2812" s="73"/>
      <c r="HX2812" s="73"/>
      <c r="HY2812" s="73"/>
      <c r="HZ2812" s="73"/>
      <c r="IA2812" s="73"/>
      <c r="IB2812" s="73"/>
      <c r="IC2812" s="73"/>
      <c r="ID2812" s="73"/>
      <c r="IE2812" s="73"/>
      <c r="IF2812" s="73"/>
      <c r="IG2812" s="73"/>
      <c r="IH2812" s="73"/>
      <c r="II2812" s="73"/>
      <c r="IJ2812" s="73"/>
      <c r="IK2812" s="73"/>
      <c r="IL2812" s="73"/>
      <c r="IM2812" s="73"/>
      <c r="IN2812" s="73"/>
      <c r="IO2812" s="73"/>
      <c r="IP2812" s="73"/>
      <c r="IQ2812" s="73"/>
      <c r="IR2812" s="73"/>
      <c r="IS2812" s="73"/>
      <c r="IT2812" s="73"/>
      <c r="IU2812" s="73"/>
      <c r="IV2812" s="73"/>
      <c r="IW2812" s="73"/>
      <c r="IX2812" s="73"/>
      <c r="IY2812" s="73"/>
      <c r="IZ2812" s="73"/>
      <c r="JA2812" s="73"/>
      <c r="JB2812" s="73"/>
      <c r="JC2812" s="73"/>
    </row>
    <row r="2813" spans="2:263" s="72" customFormat="1">
      <c r="B2813" s="73"/>
      <c r="C2813" s="73"/>
      <c r="D2813" s="73"/>
      <c r="E2813" s="73"/>
      <c r="F2813" s="73"/>
      <c r="G2813" s="73"/>
      <c r="H2813" s="73"/>
      <c r="I2813" s="73"/>
      <c r="J2813" s="73"/>
      <c r="K2813" s="73"/>
      <c r="L2813" s="73"/>
      <c r="M2813" s="73"/>
      <c r="N2813" s="73"/>
      <c r="O2813" s="73"/>
      <c r="P2813" s="73"/>
      <c r="Q2813" s="73"/>
      <c r="R2813" s="73"/>
      <c r="S2813" s="73"/>
      <c r="T2813" s="73"/>
      <c r="U2813" s="73"/>
      <c r="V2813" s="73"/>
      <c r="W2813" s="73"/>
      <c r="GL2813" s="73"/>
      <c r="GM2813" s="73"/>
      <c r="GN2813" s="73"/>
      <c r="GO2813" s="73"/>
      <c r="GP2813" s="73"/>
      <c r="GQ2813" s="73"/>
      <c r="GR2813" s="73"/>
      <c r="GS2813" s="73"/>
      <c r="GT2813" s="73"/>
      <c r="GU2813" s="73"/>
      <c r="GV2813" s="73"/>
      <c r="GW2813" s="73"/>
      <c r="GX2813" s="73"/>
      <c r="GY2813" s="73"/>
      <c r="GZ2813" s="73"/>
      <c r="HA2813" s="73"/>
      <c r="HB2813" s="73"/>
      <c r="HC2813" s="73"/>
      <c r="HD2813" s="73"/>
      <c r="HE2813" s="73"/>
      <c r="HF2813" s="73"/>
      <c r="HG2813" s="73"/>
      <c r="HH2813" s="73"/>
      <c r="HI2813" s="73"/>
      <c r="HJ2813" s="73"/>
      <c r="HK2813" s="73"/>
      <c r="HL2813" s="73"/>
      <c r="HM2813" s="73"/>
      <c r="HN2813" s="73"/>
      <c r="HO2813" s="73"/>
      <c r="HP2813" s="73"/>
      <c r="HQ2813" s="73"/>
      <c r="HR2813" s="73"/>
      <c r="HS2813" s="73"/>
      <c r="HT2813" s="73"/>
      <c r="HU2813" s="73"/>
      <c r="HV2813" s="73"/>
      <c r="HW2813" s="73"/>
      <c r="HX2813" s="73"/>
      <c r="HY2813" s="73"/>
      <c r="HZ2813" s="73"/>
      <c r="IA2813" s="73"/>
      <c r="IB2813" s="73"/>
      <c r="IC2813" s="73"/>
      <c r="ID2813" s="73"/>
      <c r="IE2813" s="73"/>
      <c r="IF2813" s="73"/>
      <c r="IG2813" s="73"/>
      <c r="IH2813" s="73"/>
      <c r="II2813" s="73"/>
      <c r="IJ2813" s="73"/>
      <c r="IK2813" s="73"/>
      <c r="IL2813" s="73"/>
      <c r="IM2813" s="73"/>
      <c r="IN2813" s="73"/>
      <c r="IO2813" s="73"/>
      <c r="IP2813" s="73"/>
      <c r="IQ2813" s="73"/>
      <c r="IR2813" s="73"/>
      <c r="IS2813" s="73"/>
      <c r="IT2813" s="73"/>
      <c r="IU2813" s="73"/>
      <c r="IV2813" s="73"/>
      <c r="IW2813" s="73"/>
      <c r="IX2813" s="73"/>
      <c r="IY2813" s="73"/>
      <c r="IZ2813" s="73"/>
      <c r="JA2813" s="73"/>
      <c r="JB2813" s="73"/>
      <c r="JC2813" s="73"/>
    </row>
    <row r="2814" spans="2:263" s="72" customFormat="1">
      <c r="B2814" s="73"/>
      <c r="C2814" s="73"/>
      <c r="D2814" s="73"/>
      <c r="E2814" s="73"/>
      <c r="F2814" s="73"/>
      <c r="G2814" s="73"/>
      <c r="H2814" s="73"/>
      <c r="I2814" s="73"/>
      <c r="J2814" s="73"/>
      <c r="K2814" s="73"/>
      <c r="L2814" s="73"/>
      <c r="M2814" s="73"/>
      <c r="N2814" s="73"/>
      <c r="O2814" s="73"/>
      <c r="P2814" s="73"/>
      <c r="Q2814" s="73"/>
      <c r="R2814" s="73"/>
      <c r="S2814" s="73"/>
      <c r="T2814" s="73"/>
      <c r="U2814" s="73"/>
      <c r="V2814" s="73"/>
      <c r="W2814" s="73"/>
      <c r="GL2814" s="73"/>
      <c r="GM2814" s="73"/>
      <c r="GN2814" s="73"/>
      <c r="GO2814" s="73"/>
      <c r="GP2814" s="73"/>
      <c r="GQ2814" s="73"/>
      <c r="GR2814" s="73"/>
      <c r="GS2814" s="73"/>
      <c r="GT2814" s="73"/>
      <c r="GU2814" s="73"/>
      <c r="GV2814" s="73"/>
      <c r="GW2814" s="73"/>
      <c r="GX2814" s="73"/>
      <c r="GY2814" s="73"/>
      <c r="GZ2814" s="73"/>
      <c r="HA2814" s="73"/>
      <c r="HB2814" s="73"/>
      <c r="HC2814" s="73"/>
      <c r="HD2814" s="73"/>
      <c r="HE2814" s="73"/>
      <c r="HF2814" s="73"/>
      <c r="HG2814" s="73"/>
      <c r="HH2814" s="73"/>
      <c r="HI2814" s="73"/>
      <c r="HJ2814" s="73"/>
      <c r="HK2814" s="73"/>
      <c r="HL2814" s="73"/>
      <c r="HM2814" s="73"/>
      <c r="HN2814" s="73"/>
      <c r="HO2814" s="73"/>
      <c r="HP2814" s="73"/>
      <c r="HQ2814" s="73"/>
      <c r="HR2814" s="73"/>
      <c r="HS2814" s="73"/>
      <c r="HT2814" s="73"/>
      <c r="HU2814" s="73"/>
      <c r="HV2814" s="73"/>
      <c r="HW2814" s="73"/>
      <c r="HX2814" s="73"/>
      <c r="HY2814" s="73"/>
      <c r="HZ2814" s="73"/>
      <c r="IA2814" s="73"/>
      <c r="IB2814" s="73"/>
      <c r="IC2814" s="73"/>
      <c r="ID2814" s="73"/>
      <c r="IE2814" s="73"/>
      <c r="IF2814" s="73"/>
      <c r="IG2814" s="73"/>
      <c r="IH2814" s="73"/>
      <c r="II2814" s="73"/>
      <c r="IJ2814" s="73"/>
      <c r="IK2814" s="73"/>
      <c r="IL2814" s="73"/>
      <c r="IM2814" s="73"/>
      <c r="IN2814" s="73"/>
      <c r="IO2814" s="73"/>
      <c r="IP2814" s="73"/>
      <c r="IQ2814" s="73"/>
      <c r="IR2814" s="73"/>
      <c r="IS2814" s="73"/>
      <c r="IT2814" s="73"/>
      <c r="IU2814" s="73"/>
      <c r="IV2814" s="73"/>
      <c r="IW2814" s="73"/>
      <c r="IX2814" s="73"/>
      <c r="IY2814" s="73"/>
      <c r="IZ2814" s="73"/>
      <c r="JA2814" s="73"/>
      <c r="JB2814" s="73"/>
      <c r="JC2814" s="73"/>
    </row>
    <row r="2815" spans="2:263" s="72" customFormat="1">
      <c r="B2815" s="73"/>
      <c r="C2815" s="73"/>
      <c r="D2815" s="73"/>
      <c r="E2815" s="73"/>
      <c r="F2815" s="73"/>
      <c r="G2815" s="73"/>
      <c r="H2815" s="73"/>
      <c r="I2815" s="73"/>
      <c r="J2815" s="73"/>
      <c r="K2815" s="73"/>
      <c r="L2815" s="73"/>
      <c r="M2815" s="73"/>
      <c r="N2815" s="73"/>
      <c r="O2815" s="73"/>
      <c r="P2815" s="73"/>
      <c r="Q2815" s="73"/>
      <c r="R2815" s="73"/>
      <c r="S2815" s="73"/>
      <c r="T2815" s="73"/>
      <c r="U2815" s="73"/>
      <c r="V2815" s="73"/>
      <c r="W2815" s="73"/>
      <c r="GL2815" s="73"/>
      <c r="GM2815" s="73"/>
      <c r="GN2815" s="73"/>
      <c r="GO2815" s="73"/>
      <c r="GP2815" s="73"/>
      <c r="GQ2815" s="73"/>
      <c r="GR2815" s="73"/>
      <c r="GS2815" s="73"/>
      <c r="GT2815" s="73"/>
      <c r="GU2815" s="73"/>
      <c r="GV2815" s="73"/>
      <c r="GW2815" s="73"/>
      <c r="GX2815" s="73"/>
      <c r="GY2815" s="73"/>
      <c r="GZ2815" s="73"/>
      <c r="HA2815" s="73"/>
      <c r="HB2815" s="73"/>
      <c r="HC2815" s="73"/>
      <c r="HD2815" s="73"/>
      <c r="HE2815" s="73"/>
      <c r="HF2815" s="73"/>
      <c r="HG2815" s="73"/>
      <c r="HH2815" s="73"/>
      <c r="HI2815" s="73"/>
      <c r="HJ2815" s="73"/>
      <c r="HK2815" s="73"/>
      <c r="HL2815" s="73"/>
      <c r="HM2815" s="73"/>
      <c r="HN2815" s="73"/>
      <c r="HO2815" s="73"/>
      <c r="HP2815" s="73"/>
      <c r="HQ2815" s="73"/>
      <c r="HR2815" s="73"/>
      <c r="HS2815" s="73"/>
      <c r="HT2815" s="73"/>
      <c r="HU2815" s="73"/>
      <c r="HV2815" s="73"/>
      <c r="HW2815" s="73"/>
      <c r="HX2815" s="73"/>
      <c r="HY2815" s="73"/>
      <c r="HZ2815" s="73"/>
      <c r="IA2815" s="73"/>
      <c r="IB2815" s="73"/>
      <c r="IC2815" s="73"/>
      <c r="ID2815" s="73"/>
      <c r="IE2815" s="73"/>
      <c r="IF2815" s="73"/>
      <c r="IG2815" s="73"/>
      <c r="IH2815" s="73"/>
      <c r="II2815" s="73"/>
      <c r="IJ2815" s="73"/>
      <c r="IK2815" s="73"/>
      <c r="IL2815" s="73"/>
      <c r="IM2815" s="73"/>
      <c r="IN2815" s="73"/>
      <c r="IO2815" s="73"/>
      <c r="IP2815" s="73"/>
      <c r="IQ2815" s="73"/>
      <c r="IR2815" s="73"/>
      <c r="IS2815" s="73"/>
      <c r="IT2815" s="73"/>
      <c r="IU2815" s="73"/>
      <c r="IV2815" s="73"/>
      <c r="IW2815" s="73"/>
      <c r="IX2815" s="73"/>
      <c r="IY2815" s="73"/>
      <c r="IZ2815" s="73"/>
      <c r="JA2815" s="73"/>
      <c r="JB2815" s="73"/>
      <c r="JC2815" s="73"/>
    </row>
    <row r="2816" spans="2:263" s="72" customFormat="1">
      <c r="B2816" s="73"/>
      <c r="C2816" s="73"/>
      <c r="D2816" s="73"/>
      <c r="E2816" s="73"/>
      <c r="F2816" s="73"/>
      <c r="G2816" s="73"/>
      <c r="H2816" s="73"/>
      <c r="I2816" s="73"/>
      <c r="J2816" s="73"/>
      <c r="K2816" s="73"/>
      <c r="L2816" s="73"/>
      <c r="M2816" s="73"/>
      <c r="N2816" s="73"/>
      <c r="O2816" s="73"/>
      <c r="P2816" s="73"/>
      <c r="Q2816" s="73"/>
      <c r="R2816" s="73"/>
      <c r="S2816" s="73"/>
      <c r="T2816" s="73"/>
      <c r="U2816" s="73"/>
      <c r="V2816" s="73"/>
      <c r="W2816" s="73"/>
      <c r="GL2816" s="73"/>
      <c r="GM2816" s="73"/>
      <c r="GN2816" s="73"/>
      <c r="GO2816" s="73"/>
      <c r="GP2816" s="73"/>
      <c r="GQ2816" s="73"/>
      <c r="GR2816" s="73"/>
      <c r="GS2816" s="73"/>
      <c r="GT2816" s="73"/>
      <c r="GU2816" s="73"/>
      <c r="GV2816" s="73"/>
      <c r="GW2816" s="73"/>
      <c r="GX2816" s="73"/>
      <c r="GY2816" s="73"/>
      <c r="GZ2816" s="73"/>
      <c r="HA2816" s="73"/>
      <c r="HB2816" s="73"/>
      <c r="HC2816" s="73"/>
      <c r="HD2816" s="73"/>
      <c r="HE2816" s="73"/>
      <c r="HF2816" s="73"/>
      <c r="HG2816" s="73"/>
      <c r="HH2816" s="73"/>
      <c r="HI2816" s="73"/>
      <c r="HJ2816" s="73"/>
      <c r="HK2816" s="73"/>
      <c r="HL2816" s="73"/>
      <c r="HM2816" s="73"/>
      <c r="HN2816" s="73"/>
      <c r="HO2816" s="73"/>
      <c r="HP2816" s="73"/>
      <c r="HQ2816" s="73"/>
      <c r="HR2816" s="73"/>
      <c r="HS2816" s="73"/>
      <c r="HT2816" s="73"/>
      <c r="HU2816" s="73"/>
      <c r="HV2816" s="73"/>
      <c r="HW2816" s="73"/>
      <c r="HX2816" s="73"/>
      <c r="HY2816" s="73"/>
      <c r="HZ2816" s="73"/>
      <c r="IA2816" s="73"/>
      <c r="IB2816" s="73"/>
      <c r="IC2816" s="73"/>
      <c r="ID2816" s="73"/>
      <c r="IE2816" s="73"/>
      <c r="IF2816" s="73"/>
      <c r="IG2816" s="73"/>
      <c r="IH2816" s="73"/>
      <c r="II2816" s="73"/>
      <c r="IJ2816" s="73"/>
      <c r="IK2816" s="73"/>
      <c r="IL2816" s="73"/>
      <c r="IM2816" s="73"/>
      <c r="IN2816" s="73"/>
      <c r="IO2816" s="73"/>
      <c r="IP2816" s="73"/>
      <c r="IQ2816" s="73"/>
      <c r="IR2816" s="73"/>
      <c r="IS2816" s="73"/>
      <c r="IT2816" s="73"/>
      <c r="IU2816" s="73"/>
      <c r="IV2816" s="73"/>
      <c r="IW2816" s="73"/>
      <c r="IX2816" s="73"/>
      <c r="IY2816" s="73"/>
      <c r="IZ2816" s="73"/>
      <c r="JA2816" s="73"/>
      <c r="JB2816" s="73"/>
      <c r="JC2816" s="73"/>
    </row>
    <row r="2817" spans="2:263" s="72" customFormat="1">
      <c r="B2817" s="73"/>
      <c r="C2817" s="73"/>
      <c r="D2817" s="73"/>
      <c r="E2817" s="73"/>
      <c r="F2817" s="73"/>
      <c r="G2817" s="73"/>
      <c r="H2817" s="73"/>
      <c r="I2817" s="73"/>
      <c r="J2817" s="73"/>
      <c r="K2817" s="73"/>
      <c r="L2817" s="73"/>
      <c r="M2817" s="73"/>
      <c r="N2817" s="73"/>
      <c r="O2817" s="73"/>
      <c r="P2817" s="73"/>
      <c r="Q2817" s="73"/>
      <c r="R2817" s="73"/>
      <c r="S2817" s="73"/>
      <c r="T2817" s="73"/>
      <c r="U2817" s="73"/>
      <c r="V2817" s="73"/>
      <c r="W2817" s="73"/>
      <c r="GL2817" s="73"/>
      <c r="GM2817" s="73"/>
      <c r="GN2817" s="73"/>
      <c r="GO2817" s="73"/>
      <c r="GP2817" s="73"/>
      <c r="GQ2817" s="73"/>
      <c r="GR2817" s="73"/>
      <c r="GS2817" s="73"/>
      <c r="GT2817" s="73"/>
      <c r="GU2817" s="73"/>
      <c r="GV2817" s="73"/>
      <c r="GW2817" s="73"/>
      <c r="GX2817" s="73"/>
      <c r="GY2817" s="73"/>
      <c r="GZ2817" s="73"/>
      <c r="HA2817" s="73"/>
      <c r="HB2817" s="73"/>
      <c r="HC2817" s="73"/>
      <c r="HD2817" s="73"/>
      <c r="HE2817" s="73"/>
      <c r="HF2817" s="73"/>
      <c r="HG2817" s="73"/>
      <c r="HH2817" s="73"/>
      <c r="HI2817" s="73"/>
      <c r="HJ2817" s="73"/>
      <c r="HK2817" s="73"/>
      <c r="HL2817" s="73"/>
      <c r="HM2817" s="73"/>
      <c r="HN2817" s="73"/>
      <c r="HO2817" s="73"/>
      <c r="HP2817" s="73"/>
      <c r="HQ2817" s="73"/>
      <c r="HR2817" s="73"/>
      <c r="HS2817" s="73"/>
      <c r="HT2817" s="73"/>
      <c r="HU2817" s="73"/>
      <c r="HV2817" s="73"/>
      <c r="HW2817" s="73"/>
      <c r="HX2817" s="73"/>
      <c r="HY2817" s="73"/>
      <c r="HZ2817" s="73"/>
      <c r="IA2817" s="73"/>
      <c r="IB2817" s="73"/>
      <c r="IC2817" s="73"/>
      <c r="ID2817" s="73"/>
      <c r="IE2817" s="73"/>
      <c r="IF2817" s="73"/>
      <c r="IG2817" s="73"/>
      <c r="IH2817" s="73"/>
      <c r="II2817" s="73"/>
      <c r="IJ2817" s="73"/>
      <c r="IK2817" s="73"/>
      <c r="IL2817" s="73"/>
      <c r="IM2817" s="73"/>
      <c r="IN2817" s="73"/>
      <c r="IO2817" s="73"/>
      <c r="IP2817" s="73"/>
      <c r="IQ2817" s="73"/>
      <c r="IR2817" s="73"/>
      <c r="IS2817" s="73"/>
      <c r="IT2817" s="73"/>
      <c r="IU2817" s="73"/>
      <c r="IV2817" s="73"/>
      <c r="IW2817" s="73"/>
      <c r="IX2817" s="73"/>
      <c r="IY2817" s="73"/>
      <c r="IZ2817" s="73"/>
      <c r="JA2817" s="73"/>
      <c r="JB2817" s="73"/>
      <c r="JC2817" s="73"/>
    </row>
    <row r="2818" spans="2:263" s="72" customFormat="1">
      <c r="B2818" s="73"/>
      <c r="C2818" s="73"/>
      <c r="D2818" s="73"/>
      <c r="E2818" s="73"/>
      <c r="F2818" s="73"/>
      <c r="G2818" s="73"/>
      <c r="H2818" s="73"/>
      <c r="I2818" s="73"/>
      <c r="J2818" s="73"/>
      <c r="K2818" s="73"/>
      <c r="L2818" s="73"/>
      <c r="M2818" s="73"/>
      <c r="N2818" s="73"/>
      <c r="O2818" s="73"/>
      <c r="P2818" s="73"/>
      <c r="Q2818" s="73"/>
      <c r="R2818" s="73"/>
      <c r="S2818" s="73"/>
      <c r="T2818" s="73"/>
      <c r="U2818" s="73"/>
      <c r="V2818" s="73"/>
      <c r="W2818" s="73"/>
      <c r="GL2818" s="73"/>
      <c r="GM2818" s="73"/>
      <c r="GN2818" s="73"/>
      <c r="GO2818" s="73"/>
      <c r="GP2818" s="73"/>
      <c r="GQ2818" s="73"/>
      <c r="GR2818" s="73"/>
      <c r="GS2818" s="73"/>
      <c r="GT2818" s="73"/>
      <c r="GU2818" s="73"/>
      <c r="GV2818" s="73"/>
      <c r="GW2818" s="73"/>
      <c r="GX2818" s="73"/>
      <c r="GY2818" s="73"/>
      <c r="GZ2818" s="73"/>
      <c r="HA2818" s="73"/>
      <c r="HB2818" s="73"/>
      <c r="HC2818" s="73"/>
      <c r="HD2818" s="73"/>
      <c r="HE2818" s="73"/>
      <c r="HF2818" s="73"/>
      <c r="HG2818" s="73"/>
      <c r="HH2818" s="73"/>
      <c r="HI2818" s="73"/>
      <c r="HJ2818" s="73"/>
      <c r="HK2818" s="73"/>
      <c r="HL2818" s="73"/>
      <c r="HM2818" s="73"/>
      <c r="HN2818" s="73"/>
      <c r="HO2818" s="73"/>
      <c r="HP2818" s="73"/>
      <c r="HQ2818" s="73"/>
      <c r="HR2818" s="73"/>
      <c r="HS2818" s="73"/>
      <c r="HT2818" s="73"/>
      <c r="HU2818" s="73"/>
      <c r="HV2818" s="73"/>
      <c r="HW2818" s="73"/>
      <c r="HX2818" s="73"/>
      <c r="HY2818" s="73"/>
      <c r="HZ2818" s="73"/>
      <c r="IA2818" s="73"/>
      <c r="IB2818" s="73"/>
      <c r="IC2818" s="73"/>
      <c r="ID2818" s="73"/>
      <c r="IE2818" s="73"/>
      <c r="IF2818" s="73"/>
      <c r="IG2818" s="73"/>
      <c r="IH2818" s="73"/>
      <c r="II2818" s="73"/>
      <c r="IJ2818" s="73"/>
      <c r="IK2818" s="73"/>
      <c r="IL2818" s="73"/>
      <c r="IM2818" s="73"/>
      <c r="IN2818" s="73"/>
      <c r="IO2818" s="73"/>
      <c r="IP2818" s="73"/>
      <c r="IQ2818" s="73"/>
      <c r="IR2818" s="73"/>
      <c r="IS2818" s="73"/>
      <c r="IT2818" s="73"/>
      <c r="IU2818" s="73"/>
      <c r="IV2818" s="73"/>
      <c r="IW2818" s="73"/>
      <c r="IX2818" s="73"/>
      <c r="IY2818" s="73"/>
      <c r="IZ2818" s="73"/>
      <c r="JA2818" s="73"/>
      <c r="JB2818" s="73"/>
      <c r="JC2818" s="73"/>
    </row>
    <row r="2819" spans="2:263" s="72" customFormat="1">
      <c r="B2819" s="73"/>
      <c r="C2819" s="73"/>
      <c r="D2819" s="73"/>
      <c r="E2819" s="73"/>
      <c r="F2819" s="73"/>
      <c r="G2819" s="73"/>
      <c r="H2819" s="73"/>
      <c r="I2819" s="73"/>
      <c r="J2819" s="73"/>
      <c r="K2819" s="73"/>
      <c r="L2819" s="73"/>
      <c r="M2819" s="73"/>
      <c r="N2819" s="73"/>
      <c r="O2819" s="73"/>
      <c r="P2819" s="73"/>
      <c r="Q2819" s="73"/>
      <c r="R2819" s="73"/>
      <c r="S2819" s="73"/>
      <c r="T2819" s="73"/>
      <c r="U2819" s="73"/>
      <c r="V2819" s="73"/>
      <c r="W2819" s="73"/>
      <c r="GL2819" s="73"/>
      <c r="GM2819" s="73"/>
      <c r="GN2819" s="73"/>
      <c r="GO2819" s="73"/>
      <c r="GP2819" s="73"/>
      <c r="GQ2819" s="73"/>
      <c r="GR2819" s="73"/>
      <c r="GS2819" s="73"/>
      <c r="GT2819" s="73"/>
      <c r="GU2819" s="73"/>
      <c r="GV2819" s="73"/>
      <c r="GW2819" s="73"/>
      <c r="GX2819" s="73"/>
      <c r="GY2819" s="73"/>
      <c r="GZ2819" s="73"/>
      <c r="HA2819" s="73"/>
      <c r="HB2819" s="73"/>
      <c r="HC2819" s="73"/>
      <c r="HD2819" s="73"/>
      <c r="HE2819" s="73"/>
      <c r="HF2819" s="73"/>
      <c r="HG2819" s="73"/>
      <c r="HH2819" s="73"/>
      <c r="HI2819" s="73"/>
      <c r="HJ2819" s="73"/>
      <c r="HK2819" s="73"/>
      <c r="HL2819" s="73"/>
      <c r="HM2819" s="73"/>
      <c r="HN2819" s="73"/>
      <c r="HO2819" s="73"/>
      <c r="HP2819" s="73"/>
      <c r="HQ2819" s="73"/>
      <c r="HR2819" s="73"/>
      <c r="HS2819" s="73"/>
      <c r="HT2819" s="73"/>
      <c r="HU2819" s="73"/>
      <c r="HV2819" s="73"/>
      <c r="HW2819" s="73"/>
      <c r="HX2819" s="73"/>
      <c r="HY2819" s="73"/>
      <c r="HZ2819" s="73"/>
      <c r="IA2819" s="73"/>
      <c r="IB2819" s="73"/>
      <c r="IC2819" s="73"/>
      <c r="ID2819" s="73"/>
      <c r="IE2819" s="73"/>
      <c r="IF2819" s="73"/>
      <c r="IG2819" s="73"/>
      <c r="IH2819" s="73"/>
      <c r="II2819" s="73"/>
      <c r="IJ2819" s="73"/>
      <c r="IK2819" s="73"/>
      <c r="IL2819" s="73"/>
      <c r="IM2819" s="73"/>
      <c r="IN2819" s="73"/>
      <c r="IO2819" s="73"/>
      <c r="IP2819" s="73"/>
      <c r="IQ2819" s="73"/>
      <c r="IR2819" s="73"/>
      <c r="IS2819" s="73"/>
      <c r="IT2819" s="73"/>
      <c r="IU2819" s="73"/>
      <c r="IV2819" s="73"/>
      <c r="IW2819" s="73"/>
      <c r="IX2819" s="73"/>
      <c r="IY2819" s="73"/>
      <c r="IZ2819" s="73"/>
      <c r="JA2819" s="73"/>
      <c r="JB2819" s="73"/>
      <c r="JC2819" s="73"/>
    </row>
    <row r="2820" spans="2:263" s="72" customFormat="1">
      <c r="B2820" s="73"/>
      <c r="C2820" s="73"/>
      <c r="D2820" s="73"/>
      <c r="E2820" s="73"/>
      <c r="F2820" s="73"/>
      <c r="G2820" s="73"/>
      <c r="H2820" s="73"/>
      <c r="I2820" s="73"/>
      <c r="J2820" s="73"/>
      <c r="K2820" s="73"/>
      <c r="L2820" s="73"/>
      <c r="M2820" s="73"/>
      <c r="N2820" s="73"/>
      <c r="O2820" s="73"/>
      <c r="P2820" s="73"/>
      <c r="Q2820" s="73"/>
      <c r="R2820" s="73"/>
      <c r="S2820" s="73"/>
      <c r="T2820" s="73"/>
      <c r="U2820" s="73"/>
      <c r="V2820" s="73"/>
      <c r="W2820" s="73"/>
      <c r="GL2820" s="73"/>
      <c r="GM2820" s="73"/>
      <c r="GN2820" s="73"/>
      <c r="GO2820" s="73"/>
      <c r="GP2820" s="73"/>
      <c r="GQ2820" s="73"/>
      <c r="GR2820" s="73"/>
      <c r="GS2820" s="73"/>
      <c r="GT2820" s="73"/>
      <c r="GU2820" s="73"/>
      <c r="GV2820" s="73"/>
      <c r="GW2820" s="73"/>
      <c r="GX2820" s="73"/>
      <c r="GY2820" s="73"/>
      <c r="GZ2820" s="73"/>
      <c r="HA2820" s="73"/>
      <c r="HB2820" s="73"/>
      <c r="HC2820" s="73"/>
      <c r="HD2820" s="73"/>
      <c r="HE2820" s="73"/>
      <c r="HF2820" s="73"/>
      <c r="HG2820" s="73"/>
      <c r="HH2820" s="73"/>
      <c r="HI2820" s="73"/>
      <c r="HJ2820" s="73"/>
      <c r="HK2820" s="73"/>
      <c r="HL2820" s="73"/>
      <c r="HM2820" s="73"/>
      <c r="HN2820" s="73"/>
      <c r="HO2820" s="73"/>
      <c r="HP2820" s="73"/>
      <c r="HQ2820" s="73"/>
      <c r="HR2820" s="73"/>
      <c r="HS2820" s="73"/>
      <c r="HT2820" s="73"/>
      <c r="HU2820" s="73"/>
      <c r="HV2820" s="73"/>
      <c r="HW2820" s="73"/>
      <c r="HX2820" s="73"/>
      <c r="HY2820" s="73"/>
      <c r="HZ2820" s="73"/>
      <c r="IA2820" s="73"/>
      <c r="IB2820" s="73"/>
      <c r="IC2820" s="73"/>
      <c r="ID2820" s="73"/>
      <c r="IE2820" s="73"/>
      <c r="IF2820" s="73"/>
      <c r="IG2820" s="73"/>
      <c r="IH2820" s="73"/>
      <c r="II2820" s="73"/>
      <c r="IJ2820" s="73"/>
      <c r="IK2820" s="73"/>
      <c r="IL2820" s="73"/>
      <c r="IM2820" s="73"/>
      <c r="IN2820" s="73"/>
      <c r="IO2820" s="73"/>
      <c r="IP2820" s="73"/>
      <c r="IQ2820" s="73"/>
      <c r="IR2820" s="73"/>
      <c r="IS2820" s="73"/>
      <c r="IT2820" s="73"/>
      <c r="IU2820" s="73"/>
      <c r="IV2820" s="73"/>
      <c r="IW2820" s="73"/>
      <c r="IX2820" s="73"/>
      <c r="IY2820" s="73"/>
      <c r="IZ2820" s="73"/>
      <c r="JA2820" s="73"/>
      <c r="JB2820" s="73"/>
      <c r="JC2820" s="73"/>
    </row>
    <row r="2821" spans="2:263" s="72" customFormat="1">
      <c r="B2821" s="73"/>
      <c r="C2821" s="73"/>
      <c r="D2821" s="73"/>
      <c r="E2821" s="73"/>
      <c r="F2821" s="73"/>
      <c r="G2821" s="73"/>
      <c r="H2821" s="73"/>
      <c r="I2821" s="73"/>
      <c r="J2821" s="73"/>
      <c r="K2821" s="73"/>
      <c r="L2821" s="73"/>
      <c r="M2821" s="73"/>
      <c r="N2821" s="73"/>
      <c r="O2821" s="73"/>
      <c r="P2821" s="73"/>
      <c r="Q2821" s="73"/>
      <c r="R2821" s="73"/>
      <c r="S2821" s="73"/>
      <c r="T2821" s="73"/>
      <c r="U2821" s="73"/>
      <c r="V2821" s="73"/>
      <c r="W2821" s="73"/>
      <c r="GL2821" s="73"/>
      <c r="GM2821" s="73"/>
      <c r="GN2821" s="73"/>
      <c r="GO2821" s="73"/>
      <c r="GP2821" s="73"/>
      <c r="GQ2821" s="73"/>
      <c r="GR2821" s="73"/>
      <c r="GS2821" s="73"/>
      <c r="GT2821" s="73"/>
      <c r="GU2821" s="73"/>
      <c r="GV2821" s="73"/>
      <c r="GW2821" s="73"/>
      <c r="GX2821" s="73"/>
      <c r="GY2821" s="73"/>
      <c r="GZ2821" s="73"/>
      <c r="HA2821" s="73"/>
      <c r="HB2821" s="73"/>
      <c r="HC2821" s="73"/>
      <c r="HD2821" s="73"/>
      <c r="HE2821" s="73"/>
      <c r="HF2821" s="73"/>
      <c r="HG2821" s="73"/>
      <c r="HH2821" s="73"/>
      <c r="HI2821" s="73"/>
      <c r="HJ2821" s="73"/>
      <c r="HK2821" s="73"/>
      <c r="HL2821" s="73"/>
      <c r="HM2821" s="73"/>
      <c r="HN2821" s="73"/>
      <c r="HO2821" s="73"/>
      <c r="HP2821" s="73"/>
      <c r="HQ2821" s="73"/>
      <c r="HR2821" s="73"/>
      <c r="HS2821" s="73"/>
      <c r="HT2821" s="73"/>
      <c r="HU2821" s="73"/>
      <c r="HV2821" s="73"/>
      <c r="HW2821" s="73"/>
      <c r="HX2821" s="73"/>
      <c r="HY2821" s="73"/>
      <c r="HZ2821" s="73"/>
      <c r="IA2821" s="73"/>
      <c r="IB2821" s="73"/>
      <c r="IC2821" s="73"/>
      <c r="ID2821" s="73"/>
      <c r="IE2821" s="73"/>
      <c r="IF2821" s="73"/>
      <c r="IG2821" s="73"/>
      <c r="IH2821" s="73"/>
      <c r="II2821" s="73"/>
      <c r="IJ2821" s="73"/>
      <c r="IK2821" s="73"/>
      <c r="IL2821" s="73"/>
      <c r="IM2821" s="73"/>
      <c r="IN2821" s="73"/>
      <c r="IO2821" s="73"/>
      <c r="IP2821" s="73"/>
      <c r="IQ2821" s="73"/>
      <c r="IR2821" s="73"/>
      <c r="IS2821" s="73"/>
      <c r="IT2821" s="73"/>
      <c r="IU2821" s="73"/>
      <c r="IV2821" s="73"/>
      <c r="IW2821" s="73"/>
      <c r="IX2821" s="73"/>
      <c r="IY2821" s="73"/>
      <c r="IZ2821" s="73"/>
      <c r="JA2821" s="73"/>
      <c r="JB2821" s="73"/>
      <c r="JC2821" s="73"/>
    </row>
    <row r="2822" spans="2:263" s="72" customFormat="1">
      <c r="B2822" s="73"/>
      <c r="C2822" s="73"/>
      <c r="D2822" s="73"/>
      <c r="E2822" s="73"/>
      <c r="F2822" s="73"/>
      <c r="G2822" s="73"/>
      <c r="H2822" s="73"/>
      <c r="I2822" s="73"/>
      <c r="J2822" s="73"/>
      <c r="K2822" s="73"/>
      <c r="L2822" s="73"/>
      <c r="M2822" s="73"/>
      <c r="N2822" s="73"/>
      <c r="O2822" s="73"/>
      <c r="P2822" s="73"/>
      <c r="Q2822" s="73"/>
      <c r="R2822" s="73"/>
      <c r="S2822" s="73"/>
      <c r="T2822" s="73"/>
      <c r="U2822" s="73"/>
      <c r="V2822" s="73"/>
      <c r="W2822" s="73"/>
      <c r="GL2822" s="73"/>
      <c r="GM2822" s="73"/>
      <c r="GN2822" s="73"/>
      <c r="GO2822" s="73"/>
      <c r="GP2822" s="73"/>
      <c r="GQ2822" s="73"/>
      <c r="GR2822" s="73"/>
      <c r="GS2822" s="73"/>
      <c r="GT2822" s="73"/>
      <c r="GU2822" s="73"/>
      <c r="GV2822" s="73"/>
      <c r="GW2822" s="73"/>
      <c r="GX2822" s="73"/>
      <c r="GY2822" s="73"/>
      <c r="GZ2822" s="73"/>
      <c r="HA2822" s="73"/>
      <c r="HB2822" s="73"/>
      <c r="HC2822" s="73"/>
      <c r="HD2822" s="73"/>
      <c r="HE2822" s="73"/>
      <c r="HF2822" s="73"/>
      <c r="HG2822" s="73"/>
      <c r="HH2822" s="73"/>
      <c r="HI2822" s="73"/>
      <c r="HJ2822" s="73"/>
      <c r="HK2822" s="73"/>
      <c r="HL2822" s="73"/>
      <c r="HM2822" s="73"/>
      <c r="HN2822" s="73"/>
      <c r="HO2822" s="73"/>
      <c r="HP2822" s="73"/>
      <c r="HQ2822" s="73"/>
      <c r="HR2822" s="73"/>
      <c r="HS2822" s="73"/>
      <c r="HT2822" s="73"/>
      <c r="HU2822" s="73"/>
      <c r="HV2822" s="73"/>
      <c r="HW2822" s="73"/>
      <c r="HX2822" s="73"/>
      <c r="HY2822" s="73"/>
      <c r="HZ2822" s="73"/>
      <c r="IA2822" s="73"/>
      <c r="IB2822" s="73"/>
      <c r="IC2822" s="73"/>
      <c r="ID2822" s="73"/>
      <c r="IE2822" s="73"/>
      <c r="IF2822" s="73"/>
      <c r="IG2822" s="73"/>
      <c r="IH2822" s="73"/>
      <c r="II2822" s="73"/>
      <c r="IJ2822" s="73"/>
      <c r="IK2822" s="73"/>
      <c r="IL2822" s="73"/>
      <c r="IM2822" s="73"/>
      <c r="IN2822" s="73"/>
      <c r="IO2822" s="73"/>
      <c r="IP2822" s="73"/>
      <c r="IQ2822" s="73"/>
      <c r="IR2822" s="73"/>
      <c r="IS2822" s="73"/>
      <c r="IT2822" s="73"/>
      <c r="IU2822" s="73"/>
      <c r="IV2822" s="73"/>
      <c r="IW2822" s="73"/>
      <c r="IX2822" s="73"/>
      <c r="IY2822" s="73"/>
      <c r="IZ2822" s="73"/>
      <c r="JA2822" s="73"/>
      <c r="JB2822" s="73"/>
      <c r="JC2822" s="73"/>
    </row>
    <row r="2823" spans="2:263" s="72" customFormat="1">
      <c r="B2823" s="73"/>
      <c r="C2823" s="73"/>
      <c r="D2823" s="73"/>
      <c r="E2823" s="73"/>
      <c r="F2823" s="73"/>
      <c r="G2823" s="73"/>
      <c r="H2823" s="73"/>
      <c r="I2823" s="73"/>
      <c r="J2823" s="73"/>
      <c r="K2823" s="73"/>
      <c r="L2823" s="73"/>
      <c r="M2823" s="73"/>
      <c r="N2823" s="73"/>
      <c r="O2823" s="73"/>
      <c r="P2823" s="73"/>
      <c r="Q2823" s="73"/>
      <c r="R2823" s="73"/>
      <c r="S2823" s="73"/>
      <c r="T2823" s="73"/>
      <c r="U2823" s="73"/>
      <c r="V2823" s="73"/>
      <c r="W2823" s="73"/>
      <c r="GL2823" s="73"/>
      <c r="GM2823" s="73"/>
      <c r="GN2823" s="73"/>
      <c r="GO2823" s="73"/>
      <c r="GP2823" s="73"/>
      <c r="GQ2823" s="73"/>
      <c r="GR2823" s="73"/>
      <c r="GS2823" s="73"/>
      <c r="GT2823" s="73"/>
      <c r="GU2823" s="73"/>
      <c r="GV2823" s="73"/>
      <c r="GW2823" s="73"/>
      <c r="GX2823" s="73"/>
      <c r="GY2823" s="73"/>
      <c r="GZ2823" s="73"/>
      <c r="HA2823" s="73"/>
      <c r="HB2823" s="73"/>
      <c r="HC2823" s="73"/>
      <c r="HD2823" s="73"/>
      <c r="HE2823" s="73"/>
      <c r="HF2823" s="73"/>
      <c r="HG2823" s="73"/>
      <c r="HH2823" s="73"/>
      <c r="HI2823" s="73"/>
      <c r="HJ2823" s="73"/>
      <c r="HK2823" s="73"/>
      <c r="HL2823" s="73"/>
      <c r="HM2823" s="73"/>
      <c r="HN2823" s="73"/>
      <c r="HO2823" s="73"/>
      <c r="HP2823" s="73"/>
      <c r="HQ2823" s="73"/>
      <c r="HR2823" s="73"/>
      <c r="HS2823" s="73"/>
      <c r="HT2823" s="73"/>
      <c r="HU2823" s="73"/>
      <c r="HV2823" s="73"/>
      <c r="HW2823" s="73"/>
      <c r="HX2823" s="73"/>
      <c r="HY2823" s="73"/>
      <c r="HZ2823" s="73"/>
      <c r="IA2823" s="73"/>
      <c r="IB2823" s="73"/>
      <c r="IC2823" s="73"/>
      <c r="ID2823" s="73"/>
      <c r="IE2823" s="73"/>
      <c r="IF2823" s="73"/>
      <c r="IG2823" s="73"/>
      <c r="IH2823" s="73"/>
      <c r="II2823" s="73"/>
      <c r="IJ2823" s="73"/>
      <c r="IK2823" s="73"/>
      <c r="IL2823" s="73"/>
      <c r="IM2823" s="73"/>
      <c r="IN2823" s="73"/>
      <c r="IO2823" s="73"/>
      <c r="IP2823" s="73"/>
      <c r="IQ2823" s="73"/>
      <c r="IR2823" s="73"/>
      <c r="IS2823" s="73"/>
      <c r="IT2823" s="73"/>
      <c r="IU2823" s="73"/>
      <c r="IV2823" s="73"/>
      <c r="IW2823" s="73"/>
      <c r="IX2823" s="73"/>
      <c r="IY2823" s="73"/>
      <c r="IZ2823" s="73"/>
      <c r="JA2823" s="73"/>
      <c r="JB2823" s="73"/>
      <c r="JC2823" s="73"/>
    </row>
    <row r="2824" spans="2:263" s="72" customFormat="1">
      <c r="B2824" s="73"/>
      <c r="C2824" s="73"/>
      <c r="D2824" s="73"/>
      <c r="E2824" s="73"/>
      <c r="F2824" s="73"/>
      <c r="G2824" s="73"/>
      <c r="H2824" s="73"/>
      <c r="I2824" s="73"/>
      <c r="J2824" s="73"/>
      <c r="K2824" s="73"/>
      <c r="L2824" s="73"/>
      <c r="M2824" s="73"/>
      <c r="N2824" s="73"/>
      <c r="O2824" s="73"/>
      <c r="P2824" s="73"/>
      <c r="Q2824" s="73"/>
      <c r="R2824" s="73"/>
      <c r="S2824" s="73"/>
      <c r="T2824" s="73"/>
      <c r="U2824" s="73"/>
      <c r="V2824" s="73"/>
      <c r="W2824" s="73"/>
      <c r="GL2824" s="73"/>
      <c r="GM2824" s="73"/>
      <c r="GN2824" s="73"/>
      <c r="GO2824" s="73"/>
      <c r="GP2824" s="73"/>
      <c r="GQ2824" s="73"/>
      <c r="GR2824" s="73"/>
      <c r="GS2824" s="73"/>
      <c r="GT2824" s="73"/>
      <c r="GU2824" s="73"/>
      <c r="GV2824" s="73"/>
      <c r="GW2824" s="73"/>
      <c r="GX2824" s="73"/>
      <c r="GY2824" s="73"/>
      <c r="GZ2824" s="73"/>
      <c r="HA2824" s="73"/>
      <c r="HB2824" s="73"/>
      <c r="HC2824" s="73"/>
      <c r="HD2824" s="73"/>
      <c r="HE2824" s="73"/>
      <c r="HF2824" s="73"/>
      <c r="HG2824" s="73"/>
      <c r="HH2824" s="73"/>
      <c r="HI2824" s="73"/>
      <c r="HJ2824" s="73"/>
      <c r="HK2824" s="73"/>
      <c r="HL2824" s="73"/>
      <c r="HM2824" s="73"/>
      <c r="HN2824" s="73"/>
      <c r="HO2824" s="73"/>
      <c r="HP2824" s="73"/>
      <c r="HQ2824" s="73"/>
      <c r="HR2824" s="73"/>
      <c r="HS2824" s="73"/>
      <c r="HT2824" s="73"/>
      <c r="HU2824" s="73"/>
      <c r="HV2824" s="73"/>
      <c r="HW2824" s="73"/>
      <c r="HX2824" s="73"/>
      <c r="HY2824" s="73"/>
      <c r="HZ2824" s="73"/>
      <c r="IA2824" s="73"/>
      <c r="IB2824" s="73"/>
      <c r="IC2824" s="73"/>
      <c r="ID2824" s="73"/>
      <c r="IE2824" s="73"/>
      <c r="IF2824" s="73"/>
      <c r="IG2824" s="73"/>
      <c r="IH2824" s="73"/>
      <c r="II2824" s="73"/>
      <c r="IJ2824" s="73"/>
      <c r="IK2824" s="73"/>
      <c r="IL2824" s="73"/>
      <c r="IM2824" s="73"/>
      <c r="IN2824" s="73"/>
      <c r="IO2824" s="73"/>
      <c r="IP2824" s="73"/>
      <c r="IQ2824" s="73"/>
      <c r="IR2824" s="73"/>
      <c r="IS2824" s="73"/>
      <c r="IT2824" s="73"/>
      <c r="IU2824" s="73"/>
      <c r="IV2824" s="73"/>
      <c r="IW2824" s="73"/>
      <c r="IX2824" s="73"/>
      <c r="IY2824" s="73"/>
      <c r="IZ2824" s="73"/>
      <c r="JA2824" s="73"/>
      <c r="JB2824" s="73"/>
      <c r="JC2824" s="73"/>
    </row>
    <row r="2825" spans="2:263" s="72" customFormat="1">
      <c r="B2825" s="73"/>
      <c r="C2825" s="73"/>
      <c r="D2825" s="73"/>
      <c r="E2825" s="73"/>
      <c r="F2825" s="73"/>
      <c r="G2825" s="73"/>
      <c r="H2825" s="73"/>
      <c r="I2825" s="73"/>
      <c r="J2825" s="73"/>
      <c r="K2825" s="73"/>
      <c r="L2825" s="73"/>
      <c r="M2825" s="73"/>
      <c r="N2825" s="73"/>
      <c r="O2825" s="73"/>
      <c r="P2825" s="73"/>
      <c r="Q2825" s="73"/>
      <c r="R2825" s="73"/>
      <c r="S2825" s="73"/>
      <c r="T2825" s="73"/>
      <c r="U2825" s="73"/>
      <c r="V2825" s="73"/>
      <c r="W2825" s="73"/>
      <c r="GL2825" s="73"/>
      <c r="GM2825" s="73"/>
      <c r="GN2825" s="73"/>
      <c r="GO2825" s="73"/>
      <c r="GP2825" s="73"/>
      <c r="GQ2825" s="73"/>
      <c r="GR2825" s="73"/>
      <c r="GS2825" s="73"/>
      <c r="GT2825" s="73"/>
      <c r="GU2825" s="73"/>
      <c r="GV2825" s="73"/>
      <c r="GW2825" s="73"/>
      <c r="GX2825" s="73"/>
      <c r="GY2825" s="73"/>
      <c r="GZ2825" s="73"/>
      <c r="HA2825" s="73"/>
      <c r="HB2825" s="73"/>
      <c r="HC2825" s="73"/>
      <c r="HD2825" s="73"/>
      <c r="HE2825" s="73"/>
      <c r="HF2825" s="73"/>
      <c r="HG2825" s="73"/>
      <c r="HH2825" s="73"/>
      <c r="HI2825" s="73"/>
      <c r="HJ2825" s="73"/>
      <c r="HK2825" s="73"/>
      <c r="HL2825" s="73"/>
      <c r="HM2825" s="73"/>
      <c r="HN2825" s="73"/>
      <c r="HO2825" s="73"/>
      <c r="HP2825" s="73"/>
      <c r="HQ2825" s="73"/>
      <c r="HR2825" s="73"/>
      <c r="HS2825" s="73"/>
      <c r="HT2825" s="73"/>
      <c r="HU2825" s="73"/>
      <c r="HV2825" s="73"/>
      <c r="HW2825" s="73"/>
      <c r="HX2825" s="73"/>
      <c r="HY2825" s="73"/>
      <c r="HZ2825" s="73"/>
      <c r="IA2825" s="73"/>
      <c r="IB2825" s="73"/>
      <c r="IC2825" s="73"/>
      <c r="ID2825" s="73"/>
      <c r="IE2825" s="73"/>
      <c r="IF2825" s="73"/>
      <c r="IG2825" s="73"/>
      <c r="IH2825" s="73"/>
      <c r="II2825" s="73"/>
      <c r="IJ2825" s="73"/>
      <c r="IK2825" s="73"/>
      <c r="IL2825" s="73"/>
      <c r="IM2825" s="73"/>
      <c r="IN2825" s="73"/>
      <c r="IO2825" s="73"/>
      <c r="IP2825" s="73"/>
      <c r="IQ2825" s="73"/>
      <c r="IR2825" s="73"/>
      <c r="IS2825" s="73"/>
      <c r="IT2825" s="73"/>
      <c r="IU2825" s="73"/>
      <c r="IV2825" s="73"/>
      <c r="IW2825" s="73"/>
      <c r="IX2825" s="73"/>
      <c r="IY2825" s="73"/>
      <c r="IZ2825" s="73"/>
      <c r="JA2825" s="73"/>
      <c r="JB2825" s="73"/>
      <c r="JC2825" s="73"/>
    </row>
    <row r="2826" spans="2:263" s="72" customFormat="1">
      <c r="B2826" s="73"/>
      <c r="C2826" s="73"/>
      <c r="D2826" s="73"/>
      <c r="E2826" s="73"/>
      <c r="F2826" s="73"/>
      <c r="G2826" s="73"/>
      <c r="H2826" s="73"/>
      <c r="I2826" s="73"/>
      <c r="J2826" s="73"/>
      <c r="K2826" s="73"/>
      <c r="L2826" s="73"/>
      <c r="M2826" s="73"/>
      <c r="N2826" s="73"/>
      <c r="O2826" s="73"/>
      <c r="P2826" s="73"/>
      <c r="Q2826" s="73"/>
      <c r="R2826" s="73"/>
      <c r="S2826" s="73"/>
      <c r="T2826" s="73"/>
      <c r="U2826" s="73"/>
      <c r="V2826" s="73"/>
      <c r="W2826" s="73"/>
      <c r="GL2826" s="73"/>
      <c r="GM2826" s="73"/>
      <c r="GN2826" s="73"/>
      <c r="GO2826" s="73"/>
      <c r="GP2826" s="73"/>
      <c r="GQ2826" s="73"/>
      <c r="GR2826" s="73"/>
      <c r="GS2826" s="73"/>
      <c r="GT2826" s="73"/>
      <c r="GU2826" s="73"/>
      <c r="GV2826" s="73"/>
      <c r="GW2826" s="73"/>
      <c r="GX2826" s="73"/>
      <c r="GY2826" s="73"/>
      <c r="GZ2826" s="73"/>
      <c r="HA2826" s="73"/>
      <c r="HB2826" s="73"/>
      <c r="HC2826" s="73"/>
      <c r="HD2826" s="73"/>
      <c r="HE2826" s="73"/>
      <c r="HF2826" s="73"/>
      <c r="HG2826" s="73"/>
      <c r="HH2826" s="73"/>
      <c r="HI2826" s="73"/>
      <c r="HJ2826" s="73"/>
      <c r="HK2826" s="73"/>
      <c r="HL2826" s="73"/>
      <c r="HM2826" s="73"/>
      <c r="HN2826" s="73"/>
      <c r="HO2826" s="73"/>
      <c r="HP2826" s="73"/>
      <c r="HQ2826" s="73"/>
      <c r="HR2826" s="73"/>
      <c r="HS2826" s="73"/>
      <c r="HT2826" s="73"/>
      <c r="HU2826" s="73"/>
      <c r="HV2826" s="73"/>
      <c r="HW2826" s="73"/>
      <c r="HX2826" s="73"/>
      <c r="HY2826" s="73"/>
      <c r="HZ2826" s="73"/>
      <c r="IA2826" s="73"/>
      <c r="IB2826" s="73"/>
      <c r="IC2826" s="73"/>
      <c r="ID2826" s="73"/>
      <c r="IE2826" s="73"/>
      <c r="IF2826" s="73"/>
      <c r="IG2826" s="73"/>
      <c r="IH2826" s="73"/>
      <c r="II2826" s="73"/>
      <c r="IJ2826" s="73"/>
      <c r="IK2826" s="73"/>
      <c r="IL2826" s="73"/>
      <c r="IM2826" s="73"/>
      <c r="IN2826" s="73"/>
      <c r="IO2826" s="73"/>
      <c r="IP2826" s="73"/>
      <c r="IQ2826" s="73"/>
      <c r="IR2826" s="73"/>
      <c r="IS2826" s="73"/>
      <c r="IT2826" s="73"/>
      <c r="IU2826" s="73"/>
      <c r="IV2826" s="73"/>
      <c r="IW2826" s="73"/>
      <c r="IX2826" s="73"/>
      <c r="IY2826" s="73"/>
      <c r="IZ2826" s="73"/>
      <c r="JA2826" s="73"/>
      <c r="JB2826" s="73"/>
      <c r="JC2826" s="73"/>
    </row>
    <row r="2827" spans="2:263" s="72" customFormat="1">
      <c r="B2827" s="73"/>
      <c r="C2827" s="73"/>
      <c r="D2827" s="73"/>
      <c r="E2827" s="73"/>
      <c r="F2827" s="73"/>
      <c r="G2827" s="73"/>
      <c r="H2827" s="73"/>
      <c r="I2827" s="73"/>
      <c r="J2827" s="73"/>
      <c r="K2827" s="73"/>
      <c r="L2827" s="73"/>
      <c r="M2827" s="73"/>
      <c r="N2827" s="73"/>
      <c r="O2827" s="73"/>
      <c r="P2827" s="73"/>
      <c r="Q2827" s="73"/>
      <c r="R2827" s="73"/>
      <c r="S2827" s="73"/>
      <c r="T2827" s="73"/>
      <c r="U2827" s="73"/>
      <c r="V2827" s="73"/>
      <c r="W2827" s="73"/>
      <c r="GL2827" s="73"/>
      <c r="GM2827" s="73"/>
      <c r="GN2827" s="73"/>
      <c r="GO2827" s="73"/>
      <c r="GP2827" s="73"/>
      <c r="GQ2827" s="73"/>
      <c r="GR2827" s="73"/>
      <c r="GS2827" s="73"/>
      <c r="GT2827" s="73"/>
      <c r="GU2827" s="73"/>
      <c r="GV2827" s="73"/>
      <c r="GW2827" s="73"/>
      <c r="GX2827" s="73"/>
      <c r="GY2827" s="73"/>
      <c r="GZ2827" s="73"/>
      <c r="HA2827" s="73"/>
      <c r="HB2827" s="73"/>
      <c r="HC2827" s="73"/>
      <c r="HD2827" s="73"/>
      <c r="HE2827" s="73"/>
      <c r="HF2827" s="73"/>
      <c r="HG2827" s="73"/>
      <c r="HH2827" s="73"/>
      <c r="HI2827" s="73"/>
      <c r="HJ2827" s="73"/>
      <c r="HK2827" s="73"/>
      <c r="HL2827" s="73"/>
      <c r="HM2827" s="73"/>
      <c r="HN2827" s="73"/>
      <c r="HO2827" s="73"/>
      <c r="HP2827" s="73"/>
      <c r="HQ2827" s="73"/>
      <c r="HR2827" s="73"/>
      <c r="HS2827" s="73"/>
      <c r="HT2827" s="73"/>
      <c r="HU2827" s="73"/>
      <c r="HV2827" s="73"/>
      <c r="HW2827" s="73"/>
      <c r="HX2827" s="73"/>
      <c r="HY2827" s="73"/>
      <c r="HZ2827" s="73"/>
      <c r="IA2827" s="73"/>
      <c r="IB2827" s="73"/>
      <c r="IC2827" s="73"/>
      <c r="ID2827" s="73"/>
      <c r="IE2827" s="73"/>
      <c r="IF2827" s="73"/>
      <c r="IG2827" s="73"/>
      <c r="IH2827" s="73"/>
      <c r="II2827" s="73"/>
      <c r="IJ2827" s="73"/>
      <c r="IK2827" s="73"/>
      <c r="IL2827" s="73"/>
      <c r="IM2827" s="73"/>
      <c r="IN2827" s="73"/>
      <c r="IO2827" s="73"/>
      <c r="IP2827" s="73"/>
      <c r="IQ2827" s="73"/>
      <c r="IR2827" s="73"/>
      <c r="IS2827" s="73"/>
      <c r="IT2827" s="73"/>
      <c r="IU2827" s="73"/>
      <c r="IV2827" s="73"/>
      <c r="IW2827" s="73"/>
      <c r="IX2827" s="73"/>
      <c r="IY2827" s="73"/>
      <c r="IZ2827" s="73"/>
      <c r="JA2827" s="73"/>
      <c r="JB2827" s="73"/>
      <c r="JC2827" s="73"/>
    </row>
    <row r="2828" spans="2:263" s="72" customFormat="1">
      <c r="B2828" s="73"/>
      <c r="C2828" s="73"/>
      <c r="D2828" s="73"/>
      <c r="E2828" s="73"/>
      <c r="F2828" s="73"/>
      <c r="G2828" s="73"/>
      <c r="H2828" s="73"/>
      <c r="I2828" s="73"/>
      <c r="J2828" s="73"/>
      <c r="K2828" s="73"/>
      <c r="L2828" s="73"/>
      <c r="M2828" s="73"/>
      <c r="N2828" s="73"/>
      <c r="O2828" s="73"/>
      <c r="P2828" s="73"/>
      <c r="Q2828" s="73"/>
      <c r="R2828" s="73"/>
      <c r="S2828" s="73"/>
      <c r="T2828" s="73"/>
      <c r="U2828" s="73"/>
      <c r="V2828" s="73"/>
      <c r="W2828" s="73"/>
      <c r="GL2828" s="73"/>
      <c r="GM2828" s="73"/>
      <c r="GN2828" s="73"/>
      <c r="GO2828" s="73"/>
      <c r="GP2828" s="73"/>
      <c r="GQ2828" s="73"/>
      <c r="GR2828" s="73"/>
      <c r="GS2828" s="73"/>
      <c r="GT2828" s="73"/>
      <c r="GU2828" s="73"/>
      <c r="GV2828" s="73"/>
      <c r="GW2828" s="73"/>
      <c r="GX2828" s="73"/>
      <c r="GY2828" s="73"/>
      <c r="GZ2828" s="73"/>
      <c r="HA2828" s="73"/>
      <c r="HB2828" s="73"/>
      <c r="HC2828" s="73"/>
      <c r="HD2828" s="73"/>
      <c r="HE2828" s="73"/>
      <c r="HF2828" s="73"/>
      <c r="HG2828" s="73"/>
      <c r="HH2828" s="73"/>
      <c r="HI2828" s="73"/>
      <c r="HJ2828" s="73"/>
      <c r="HK2828" s="73"/>
      <c r="HL2828" s="73"/>
      <c r="HM2828" s="73"/>
      <c r="HN2828" s="73"/>
      <c r="HO2828" s="73"/>
      <c r="HP2828" s="73"/>
      <c r="HQ2828" s="73"/>
      <c r="HR2828" s="73"/>
      <c r="HS2828" s="73"/>
      <c r="HT2828" s="73"/>
      <c r="HU2828" s="73"/>
      <c r="HV2828" s="73"/>
      <c r="HW2828" s="73"/>
      <c r="HX2828" s="73"/>
      <c r="HY2828" s="73"/>
      <c r="HZ2828" s="73"/>
      <c r="IA2828" s="73"/>
      <c r="IB2828" s="73"/>
      <c r="IC2828" s="73"/>
      <c r="ID2828" s="73"/>
      <c r="IE2828" s="73"/>
      <c r="IF2828" s="73"/>
      <c r="IG2828" s="73"/>
      <c r="IH2828" s="73"/>
      <c r="II2828" s="73"/>
      <c r="IJ2828" s="73"/>
      <c r="IK2828" s="73"/>
      <c r="IL2828" s="73"/>
      <c r="IM2828" s="73"/>
      <c r="IN2828" s="73"/>
      <c r="IO2828" s="73"/>
      <c r="IP2828" s="73"/>
      <c r="IQ2828" s="73"/>
      <c r="IR2828" s="73"/>
      <c r="IS2828" s="73"/>
      <c r="IT2828" s="73"/>
      <c r="IU2828" s="73"/>
      <c r="IV2828" s="73"/>
      <c r="IW2828" s="73"/>
      <c r="IX2828" s="73"/>
      <c r="IY2828" s="73"/>
      <c r="IZ2828" s="73"/>
      <c r="JA2828" s="73"/>
      <c r="JB2828" s="73"/>
      <c r="JC2828" s="73"/>
    </row>
    <row r="2829" spans="2:263" s="72" customFormat="1">
      <c r="B2829" s="73"/>
      <c r="C2829" s="73"/>
      <c r="D2829" s="73"/>
      <c r="E2829" s="73"/>
      <c r="F2829" s="73"/>
      <c r="G2829" s="73"/>
      <c r="H2829" s="73"/>
      <c r="I2829" s="73"/>
      <c r="J2829" s="73"/>
      <c r="K2829" s="73"/>
      <c r="L2829" s="73"/>
      <c r="M2829" s="73"/>
      <c r="N2829" s="73"/>
      <c r="O2829" s="73"/>
      <c r="P2829" s="73"/>
      <c r="Q2829" s="73"/>
      <c r="R2829" s="73"/>
      <c r="S2829" s="73"/>
      <c r="T2829" s="73"/>
      <c r="U2829" s="73"/>
      <c r="V2829" s="73"/>
      <c r="W2829" s="73"/>
      <c r="GL2829" s="73"/>
      <c r="GM2829" s="73"/>
      <c r="GN2829" s="73"/>
      <c r="GO2829" s="73"/>
      <c r="GP2829" s="73"/>
      <c r="GQ2829" s="73"/>
      <c r="GR2829" s="73"/>
      <c r="GS2829" s="73"/>
      <c r="GT2829" s="73"/>
      <c r="GU2829" s="73"/>
      <c r="GV2829" s="73"/>
      <c r="GW2829" s="73"/>
      <c r="GX2829" s="73"/>
      <c r="GY2829" s="73"/>
      <c r="GZ2829" s="73"/>
      <c r="HA2829" s="73"/>
      <c r="HB2829" s="73"/>
      <c r="HC2829" s="73"/>
      <c r="HD2829" s="73"/>
      <c r="HE2829" s="73"/>
      <c r="HF2829" s="73"/>
      <c r="HG2829" s="73"/>
      <c r="HH2829" s="73"/>
      <c r="HI2829" s="73"/>
      <c r="HJ2829" s="73"/>
      <c r="HK2829" s="73"/>
      <c r="HL2829" s="73"/>
      <c r="HM2829" s="73"/>
      <c r="HN2829" s="73"/>
      <c r="HO2829" s="73"/>
      <c r="HP2829" s="73"/>
      <c r="HQ2829" s="73"/>
      <c r="HR2829" s="73"/>
      <c r="HS2829" s="73"/>
      <c r="HT2829" s="73"/>
      <c r="HU2829" s="73"/>
      <c r="HV2829" s="73"/>
      <c r="HW2829" s="73"/>
      <c r="HX2829" s="73"/>
      <c r="HY2829" s="73"/>
      <c r="HZ2829" s="73"/>
      <c r="IA2829" s="73"/>
      <c r="IB2829" s="73"/>
      <c r="IC2829" s="73"/>
      <c r="ID2829" s="73"/>
      <c r="IE2829" s="73"/>
      <c r="IF2829" s="73"/>
      <c r="IG2829" s="73"/>
      <c r="IH2829" s="73"/>
      <c r="II2829" s="73"/>
      <c r="IJ2829" s="73"/>
      <c r="IK2829" s="73"/>
      <c r="IL2829" s="73"/>
      <c r="IM2829" s="73"/>
      <c r="IN2829" s="73"/>
      <c r="IO2829" s="73"/>
      <c r="IP2829" s="73"/>
      <c r="IQ2829" s="73"/>
      <c r="IR2829" s="73"/>
      <c r="IS2829" s="73"/>
      <c r="IT2829" s="73"/>
      <c r="IU2829" s="73"/>
      <c r="IV2829" s="73"/>
      <c r="IW2829" s="73"/>
      <c r="IX2829" s="73"/>
      <c r="IY2829" s="73"/>
      <c r="IZ2829" s="73"/>
      <c r="JA2829" s="73"/>
      <c r="JB2829" s="73"/>
      <c r="JC2829" s="73"/>
    </row>
    <row r="2830" spans="2:263" s="72" customFormat="1">
      <c r="B2830" s="73"/>
      <c r="C2830" s="73"/>
      <c r="D2830" s="73"/>
      <c r="E2830" s="73"/>
      <c r="F2830" s="73"/>
      <c r="G2830" s="73"/>
      <c r="H2830" s="73"/>
      <c r="I2830" s="73"/>
      <c r="J2830" s="73"/>
      <c r="K2830" s="73"/>
      <c r="L2830" s="73"/>
      <c r="M2830" s="73"/>
      <c r="N2830" s="73"/>
      <c r="O2830" s="73"/>
      <c r="P2830" s="73"/>
      <c r="Q2830" s="73"/>
      <c r="R2830" s="73"/>
      <c r="S2830" s="73"/>
      <c r="T2830" s="73"/>
      <c r="U2830" s="73"/>
      <c r="V2830" s="73"/>
      <c r="W2830" s="73"/>
      <c r="GL2830" s="73"/>
      <c r="GM2830" s="73"/>
      <c r="GN2830" s="73"/>
      <c r="GO2830" s="73"/>
      <c r="GP2830" s="73"/>
      <c r="GQ2830" s="73"/>
      <c r="GR2830" s="73"/>
      <c r="GS2830" s="73"/>
      <c r="GT2830" s="73"/>
      <c r="GU2830" s="73"/>
      <c r="GV2830" s="73"/>
      <c r="GW2830" s="73"/>
      <c r="GX2830" s="73"/>
      <c r="GY2830" s="73"/>
      <c r="GZ2830" s="73"/>
      <c r="HA2830" s="73"/>
      <c r="HB2830" s="73"/>
      <c r="HC2830" s="73"/>
      <c r="HD2830" s="73"/>
      <c r="HE2830" s="73"/>
      <c r="HF2830" s="73"/>
      <c r="HG2830" s="73"/>
      <c r="HH2830" s="73"/>
      <c r="HI2830" s="73"/>
      <c r="HJ2830" s="73"/>
      <c r="HK2830" s="73"/>
      <c r="HL2830" s="73"/>
      <c r="HM2830" s="73"/>
      <c r="HN2830" s="73"/>
      <c r="HO2830" s="73"/>
      <c r="HP2830" s="73"/>
      <c r="HQ2830" s="73"/>
      <c r="HR2830" s="73"/>
      <c r="HS2830" s="73"/>
      <c r="HT2830" s="73"/>
      <c r="HU2830" s="73"/>
      <c r="HV2830" s="73"/>
      <c r="HW2830" s="73"/>
      <c r="HX2830" s="73"/>
      <c r="HY2830" s="73"/>
      <c r="HZ2830" s="73"/>
      <c r="IA2830" s="73"/>
      <c r="IB2830" s="73"/>
      <c r="IC2830" s="73"/>
      <c r="ID2830" s="73"/>
      <c r="IE2830" s="73"/>
      <c r="IF2830" s="73"/>
      <c r="IG2830" s="73"/>
      <c r="IH2830" s="73"/>
      <c r="II2830" s="73"/>
      <c r="IJ2830" s="73"/>
      <c r="IK2830" s="73"/>
      <c r="IL2830" s="73"/>
      <c r="IM2830" s="73"/>
      <c r="IN2830" s="73"/>
      <c r="IO2830" s="73"/>
      <c r="IP2830" s="73"/>
      <c r="IQ2830" s="73"/>
      <c r="IR2830" s="73"/>
      <c r="IS2830" s="73"/>
      <c r="IT2830" s="73"/>
      <c r="IU2830" s="73"/>
      <c r="IV2830" s="73"/>
      <c r="IW2830" s="73"/>
      <c r="IX2830" s="73"/>
      <c r="IY2830" s="73"/>
      <c r="IZ2830" s="73"/>
      <c r="JA2830" s="73"/>
      <c r="JB2830" s="73"/>
      <c r="JC2830" s="73"/>
    </row>
    <row r="2831" spans="2:263" s="72" customFormat="1">
      <c r="B2831" s="73"/>
      <c r="C2831" s="73"/>
      <c r="D2831" s="73"/>
      <c r="E2831" s="73"/>
      <c r="F2831" s="73"/>
      <c r="G2831" s="73"/>
      <c r="H2831" s="73"/>
      <c r="I2831" s="73"/>
      <c r="J2831" s="73"/>
      <c r="K2831" s="73"/>
      <c r="L2831" s="73"/>
      <c r="M2831" s="73"/>
      <c r="N2831" s="73"/>
      <c r="O2831" s="73"/>
      <c r="P2831" s="73"/>
      <c r="Q2831" s="73"/>
      <c r="R2831" s="73"/>
      <c r="S2831" s="73"/>
      <c r="T2831" s="73"/>
      <c r="U2831" s="73"/>
      <c r="V2831" s="73"/>
      <c r="W2831" s="73"/>
      <c r="GL2831" s="73"/>
      <c r="GM2831" s="73"/>
      <c r="GN2831" s="73"/>
      <c r="GO2831" s="73"/>
      <c r="GP2831" s="73"/>
      <c r="GQ2831" s="73"/>
      <c r="GR2831" s="73"/>
      <c r="GS2831" s="73"/>
      <c r="GT2831" s="73"/>
      <c r="GU2831" s="73"/>
      <c r="GV2831" s="73"/>
      <c r="GW2831" s="73"/>
      <c r="GX2831" s="73"/>
      <c r="GY2831" s="73"/>
      <c r="GZ2831" s="73"/>
      <c r="HA2831" s="73"/>
      <c r="HB2831" s="73"/>
      <c r="HC2831" s="73"/>
      <c r="HD2831" s="73"/>
      <c r="HE2831" s="73"/>
      <c r="HF2831" s="73"/>
      <c r="HG2831" s="73"/>
      <c r="HH2831" s="73"/>
      <c r="HI2831" s="73"/>
      <c r="HJ2831" s="73"/>
      <c r="HK2831" s="73"/>
      <c r="HL2831" s="73"/>
      <c r="HM2831" s="73"/>
      <c r="HN2831" s="73"/>
      <c r="HO2831" s="73"/>
      <c r="HP2831" s="73"/>
      <c r="HQ2831" s="73"/>
      <c r="HR2831" s="73"/>
      <c r="HS2831" s="73"/>
      <c r="HT2831" s="73"/>
      <c r="HU2831" s="73"/>
      <c r="HV2831" s="73"/>
      <c r="HW2831" s="73"/>
      <c r="HX2831" s="73"/>
      <c r="HY2831" s="73"/>
      <c r="HZ2831" s="73"/>
      <c r="IA2831" s="73"/>
      <c r="IB2831" s="73"/>
      <c r="IC2831" s="73"/>
      <c r="ID2831" s="73"/>
      <c r="IE2831" s="73"/>
      <c r="IF2831" s="73"/>
      <c r="IG2831" s="73"/>
      <c r="IH2831" s="73"/>
      <c r="II2831" s="73"/>
      <c r="IJ2831" s="73"/>
      <c r="IK2831" s="73"/>
      <c r="IL2831" s="73"/>
      <c r="IM2831" s="73"/>
      <c r="IN2831" s="73"/>
      <c r="IO2831" s="73"/>
      <c r="IP2831" s="73"/>
      <c r="IQ2831" s="73"/>
      <c r="IR2831" s="73"/>
      <c r="IS2831" s="73"/>
      <c r="IT2831" s="73"/>
      <c r="IU2831" s="73"/>
      <c r="IV2831" s="73"/>
      <c r="IW2831" s="73"/>
      <c r="IX2831" s="73"/>
      <c r="IY2831" s="73"/>
      <c r="IZ2831" s="73"/>
      <c r="JA2831" s="73"/>
      <c r="JB2831" s="73"/>
      <c r="JC2831" s="73"/>
    </row>
    <row r="2832" spans="2:263" s="72" customFormat="1">
      <c r="B2832" s="73"/>
      <c r="C2832" s="73"/>
      <c r="D2832" s="73"/>
      <c r="E2832" s="73"/>
      <c r="F2832" s="73"/>
      <c r="G2832" s="73"/>
      <c r="H2832" s="73"/>
      <c r="I2832" s="73"/>
      <c r="J2832" s="73"/>
      <c r="K2832" s="73"/>
      <c r="L2832" s="73"/>
      <c r="M2832" s="73"/>
      <c r="N2832" s="73"/>
      <c r="O2832" s="73"/>
      <c r="P2832" s="73"/>
      <c r="Q2832" s="73"/>
      <c r="R2832" s="73"/>
      <c r="S2832" s="73"/>
      <c r="T2832" s="73"/>
      <c r="U2832" s="73"/>
      <c r="V2832" s="73"/>
      <c r="W2832" s="73"/>
      <c r="GL2832" s="73"/>
      <c r="GM2832" s="73"/>
      <c r="GN2832" s="73"/>
      <c r="GO2832" s="73"/>
      <c r="GP2832" s="73"/>
      <c r="GQ2832" s="73"/>
      <c r="GR2832" s="73"/>
      <c r="GS2832" s="73"/>
      <c r="GT2832" s="73"/>
      <c r="GU2832" s="73"/>
      <c r="GV2832" s="73"/>
      <c r="GW2832" s="73"/>
      <c r="GX2832" s="73"/>
      <c r="GY2832" s="73"/>
      <c r="GZ2832" s="73"/>
      <c r="HA2832" s="73"/>
      <c r="HB2832" s="73"/>
      <c r="HC2832" s="73"/>
      <c r="HD2832" s="73"/>
      <c r="HE2832" s="73"/>
      <c r="HF2832" s="73"/>
      <c r="HG2832" s="73"/>
      <c r="HH2832" s="73"/>
      <c r="HI2832" s="73"/>
      <c r="HJ2832" s="73"/>
      <c r="HK2832" s="73"/>
      <c r="HL2832" s="73"/>
      <c r="HM2832" s="73"/>
      <c r="HN2832" s="73"/>
      <c r="HO2832" s="73"/>
      <c r="HP2832" s="73"/>
      <c r="HQ2832" s="73"/>
      <c r="HR2832" s="73"/>
      <c r="HS2832" s="73"/>
      <c r="HT2832" s="73"/>
      <c r="HU2832" s="73"/>
      <c r="HV2832" s="73"/>
      <c r="HW2832" s="73"/>
      <c r="HX2832" s="73"/>
      <c r="HY2832" s="73"/>
      <c r="HZ2832" s="73"/>
      <c r="IA2832" s="73"/>
      <c r="IB2832" s="73"/>
      <c r="IC2832" s="73"/>
      <c r="ID2832" s="73"/>
      <c r="IE2832" s="73"/>
      <c r="IF2832" s="73"/>
      <c r="IG2832" s="73"/>
      <c r="IH2832" s="73"/>
      <c r="II2832" s="73"/>
      <c r="IJ2832" s="73"/>
      <c r="IK2832" s="73"/>
      <c r="IL2832" s="73"/>
      <c r="IM2832" s="73"/>
      <c r="IN2832" s="73"/>
      <c r="IO2832" s="73"/>
      <c r="IP2832" s="73"/>
      <c r="IQ2832" s="73"/>
      <c r="IR2832" s="73"/>
      <c r="IS2832" s="73"/>
      <c r="IT2832" s="73"/>
      <c r="IU2832" s="73"/>
      <c r="IV2832" s="73"/>
      <c r="IW2832" s="73"/>
      <c r="IX2832" s="73"/>
      <c r="IY2832" s="73"/>
      <c r="IZ2832" s="73"/>
      <c r="JA2832" s="73"/>
      <c r="JB2832" s="73"/>
      <c r="JC2832" s="73"/>
    </row>
    <row r="2833" spans="2:263" s="72" customFormat="1">
      <c r="B2833" s="73"/>
      <c r="C2833" s="73"/>
      <c r="D2833" s="73"/>
      <c r="E2833" s="73"/>
      <c r="F2833" s="73"/>
      <c r="G2833" s="73"/>
      <c r="H2833" s="73"/>
      <c r="I2833" s="73"/>
      <c r="J2833" s="73"/>
      <c r="K2833" s="73"/>
      <c r="L2833" s="73"/>
      <c r="M2833" s="73"/>
      <c r="N2833" s="73"/>
      <c r="O2833" s="73"/>
      <c r="P2833" s="73"/>
      <c r="Q2833" s="73"/>
      <c r="R2833" s="73"/>
      <c r="S2833" s="73"/>
      <c r="T2833" s="73"/>
      <c r="U2833" s="73"/>
      <c r="V2833" s="73"/>
      <c r="W2833" s="73"/>
      <c r="GL2833" s="73"/>
      <c r="GM2833" s="73"/>
      <c r="GN2833" s="73"/>
      <c r="GO2833" s="73"/>
      <c r="GP2833" s="73"/>
      <c r="GQ2833" s="73"/>
      <c r="GR2833" s="73"/>
      <c r="GS2833" s="73"/>
      <c r="GT2833" s="73"/>
      <c r="GU2833" s="73"/>
      <c r="GV2833" s="73"/>
      <c r="GW2833" s="73"/>
      <c r="GX2833" s="73"/>
      <c r="GY2833" s="73"/>
      <c r="GZ2833" s="73"/>
      <c r="HA2833" s="73"/>
      <c r="HB2833" s="73"/>
      <c r="HC2833" s="73"/>
      <c r="HD2833" s="73"/>
      <c r="HE2833" s="73"/>
      <c r="HF2833" s="73"/>
      <c r="HG2833" s="73"/>
      <c r="HH2833" s="73"/>
      <c r="HI2833" s="73"/>
      <c r="HJ2833" s="73"/>
      <c r="HK2833" s="73"/>
      <c r="HL2833" s="73"/>
      <c r="HM2833" s="73"/>
      <c r="HN2833" s="73"/>
      <c r="HO2833" s="73"/>
      <c r="HP2833" s="73"/>
      <c r="HQ2833" s="73"/>
      <c r="HR2833" s="73"/>
      <c r="HS2833" s="73"/>
      <c r="HT2833" s="73"/>
      <c r="HU2833" s="73"/>
      <c r="HV2833" s="73"/>
      <c r="HW2833" s="73"/>
      <c r="HX2833" s="73"/>
      <c r="HY2833" s="73"/>
      <c r="HZ2833" s="73"/>
      <c r="IA2833" s="73"/>
      <c r="IB2833" s="73"/>
      <c r="IC2833" s="73"/>
      <c r="ID2833" s="73"/>
      <c r="IE2833" s="73"/>
      <c r="IF2833" s="73"/>
      <c r="IG2833" s="73"/>
      <c r="IH2833" s="73"/>
      <c r="II2833" s="73"/>
      <c r="IJ2833" s="73"/>
      <c r="IK2833" s="73"/>
      <c r="IL2833" s="73"/>
      <c r="IM2833" s="73"/>
      <c r="IN2833" s="73"/>
      <c r="IO2833" s="73"/>
      <c r="IP2833" s="73"/>
      <c r="IQ2833" s="73"/>
      <c r="IR2833" s="73"/>
      <c r="IS2833" s="73"/>
      <c r="IT2833" s="73"/>
      <c r="IU2833" s="73"/>
      <c r="IV2833" s="73"/>
      <c r="IW2833" s="73"/>
      <c r="IX2833" s="73"/>
      <c r="IY2833" s="73"/>
      <c r="IZ2833" s="73"/>
      <c r="JA2833" s="73"/>
      <c r="JB2833" s="73"/>
      <c r="JC2833" s="73"/>
    </row>
    <row r="2834" spans="2:263" s="72" customFormat="1">
      <c r="B2834" s="73"/>
      <c r="C2834" s="73"/>
      <c r="D2834" s="73"/>
      <c r="E2834" s="73"/>
      <c r="F2834" s="73"/>
      <c r="G2834" s="73"/>
      <c r="H2834" s="73"/>
      <c r="I2834" s="73"/>
      <c r="J2834" s="73"/>
      <c r="K2834" s="73"/>
      <c r="L2834" s="73"/>
      <c r="M2834" s="73"/>
      <c r="N2834" s="73"/>
      <c r="O2834" s="73"/>
      <c r="P2834" s="73"/>
      <c r="Q2834" s="73"/>
      <c r="R2834" s="73"/>
      <c r="S2834" s="73"/>
      <c r="T2834" s="73"/>
      <c r="U2834" s="73"/>
      <c r="V2834" s="73"/>
      <c r="W2834" s="73"/>
      <c r="GL2834" s="73"/>
      <c r="GM2834" s="73"/>
      <c r="GN2834" s="73"/>
      <c r="GO2834" s="73"/>
      <c r="GP2834" s="73"/>
      <c r="GQ2834" s="73"/>
      <c r="GR2834" s="73"/>
      <c r="GS2834" s="73"/>
      <c r="GT2834" s="73"/>
      <c r="GU2834" s="73"/>
      <c r="GV2834" s="73"/>
      <c r="GW2834" s="73"/>
      <c r="GX2834" s="73"/>
      <c r="GY2834" s="73"/>
      <c r="GZ2834" s="73"/>
      <c r="HA2834" s="73"/>
      <c r="HB2834" s="73"/>
      <c r="HC2834" s="73"/>
      <c r="HD2834" s="73"/>
      <c r="HE2834" s="73"/>
      <c r="HF2834" s="73"/>
      <c r="HG2834" s="73"/>
      <c r="HH2834" s="73"/>
      <c r="HI2834" s="73"/>
      <c r="HJ2834" s="73"/>
      <c r="HK2834" s="73"/>
      <c r="HL2834" s="73"/>
      <c r="HM2834" s="73"/>
      <c r="HN2834" s="73"/>
      <c r="HO2834" s="73"/>
      <c r="HP2834" s="73"/>
      <c r="HQ2834" s="73"/>
      <c r="HR2834" s="73"/>
      <c r="HS2834" s="73"/>
      <c r="HT2834" s="73"/>
      <c r="HU2834" s="73"/>
      <c r="HV2834" s="73"/>
      <c r="HW2834" s="73"/>
      <c r="HX2834" s="73"/>
      <c r="HY2834" s="73"/>
      <c r="HZ2834" s="73"/>
      <c r="IA2834" s="73"/>
      <c r="IB2834" s="73"/>
      <c r="IC2834" s="73"/>
      <c r="ID2834" s="73"/>
      <c r="IE2834" s="73"/>
      <c r="IF2834" s="73"/>
      <c r="IG2834" s="73"/>
      <c r="IH2834" s="73"/>
      <c r="II2834" s="73"/>
      <c r="IJ2834" s="73"/>
      <c r="IK2834" s="73"/>
      <c r="IL2834" s="73"/>
      <c r="IM2834" s="73"/>
      <c r="IN2834" s="73"/>
      <c r="IO2834" s="73"/>
      <c r="IP2834" s="73"/>
      <c r="IQ2834" s="73"/>
      <c r="IR2834" s="73"/>
      <c r="IS2834" s="73"/>
      <c r="IT2834" s="73"/>
      <c r="IU2834" s="73"/>
      <c r="IV2834" s="73"/>
      <c r="IW2834" s="73"/>
      <c r="IX2834" s="73"/>
      <c r="IY2834" s="73"/>
      <c r="IZ2834" s="73"/>
      <c r="JA2834" s="73"/>
      <c r="JB2834" s="73"/>
      <c r="JC2834" s="73"/>
    </row>
    <row r="2835" spans="2:263" s="72" customFormat="1">
      <c r="B2835" s="73"/>
      <c r="C2835" s="73"/>
      <c r="D2835" s="73"/>
      <c r="E2835" s="73"/>
      <c r="F2835" s="73"/>
      <c r="G2835" s="73"/>
      <c r="H2835" s="73"/>
      <c r="I2835" s="73"/>
      <c r="J2835" s="73"/>
      <c r="K2835" s="73"/>
      <c r="L2835" s="73"/>
      <c r="M2835" s="73"/>
      <c r="N2835" s="73"/>
      <c r="O2835" s="73"/>
      <c r="P2835" s="73"/>
      <c r="Q2835" s="73"/>
      <c r="R2835" s="73"/>
      <c r="S2835" s="73"/>
      <c r="T2835" s="73"/>
      <c r="U2835" s="73"/>
      <c r="V2835" s="73"/>
      <c r="W2835" s="73"/>
      <c r="GL2835" s="73"/>
      <c r="GM2835" s="73"/>
      <c r="GN2835" s="73"/>
      <c r="GO2835" s="73"/>
      <c r="GP2835" s="73"/>
      <c r="GQ2835" s="73"/>
      <c r="GR2835" s="73"/>
      <c r="GS2835" s="73"/>
      <c r="GT2835" s="73"/>
      <c r="GU2835" s="73"/>
      <c r="GV2835" s="73"/>
      <c r="GW2835" s="73"/>
      <c r="GX2835" s="73"/>
      <c r="GY2835" s="73"/>
      <c r="GZ2835" s="73"/>
      <c r="HA2835" s="73"/>
      <c r="HB2835" s="73"/>
      <c r="HC2835" s="73"/>
      <c r="HD2835" s="73"/>
      <c r="HE2835" s="73"/>
      <c r="HF2835" s="73"/>
      <c r="HG2835" s="73"/>
      <c r="HH2835" s="73"/>
      <c r="HI2835" s="73"/>
      <c r="HJ2835" s="73"/>
      <c r="HK2835" s="73"/>
      <c r="HL2835" s="73"/>
      <c r="HM2835" s="73"/>
      <c r="HN2835" s="73"/>
      <c r="HO2835" s="73"/>
      <c r="HP2835" s="73"/>
      <c r="HQ2835" s="73"/>
      <c r="HR2835" s="73"/>
      <c r="HS2835" s="73"/>
      <c r="HT2835" s="73"/>
      <c r="HU2835" s="73"/>
      <c r="HV2835" s="73"/>
      <c r="HW2835" s="73"/>
      <c r="HX2835" s="73"/>
      <c r="HY2835" s="73"/>
      <c r="HZ2835" s="73"/>
      <c r="IA2835" s="73"/>
      <c r="IB2835" s="73"/>
      <c r="IC2835" s="73"/>
      <c r="ID2835" s="73"/>
      <c r="IE2835" s="73"/>
      <c r="IF2835" s="73"/>
      <c r="IG2835" s="73"/>
      <c r="IH2835" s="73"/>
      <c r="II2835" s="73"/>
      <c r="IJ2835" s="73"/>
      <c r="IK2835" s="73"/>
      <c r="IL2835" s="73"/>
      <c r="IM2835" s="73"/>
      <c r="IN2835" s="73"/>
      <c r="IO2835" s="73"/>
      <c r="IP2835" s="73"/>
      <c r="IQ2835" s="73"/>
      <c r="IR2835" s="73"/>
      <c r="IS2835" s="73"/>
      <c r="IT2835" s="73"/>
      <c r="IU2835" s="73"/>
      <c r="IV2835" s="73"/>
      <c r="IW2835" s="73"/>
      <c r="IX2835" s="73"/>
      <c r="IY2835" s="73"/>
      <c r="IZ2835" s="73"/>
      <c r="JA2835" s="73"/>
      <c r="JB2835" s="73"/>
      <c r="JC2835" s="73"/>
    </row>
    <row r="2836" spans="2:263" s="72" customFormat="1">
      <c r="B2836" s="73"/>
      <c r="C2836" s="73"/>
      <c r="D2836" s="73"/>
      <c r="E2836" s="73"/>
      <c r="F2836" s="73"/>
      <c r="G2836" s="73"/>
      <c r="H2836" s="73"/>
      <c r="I2836" s="73"/>
      <c r="J2836" s="73"/>
      <c r="K2836" s="73"/>
      <c r="L2836" s="73"/>
      <c r="M2836" s="73"/>
      <c r="N2836" s="73"/>
      <c r="O2836" s="73"/>
      <c r="P2836" s="73"/>
      <c r="Q2836" s="73"/>
      <c r="R2836" s="73"/>
      <c r="S2836" s="73"/>
      <c r="T2836" s="73"/>
      <c r="U2836" s="73"/>
      <c r="V2836" s="73"/>
      <c r="W2836" s="73"/>
      <c r="GL2836" s="73"/>
      <c r="GM2836" s="73"/>
      <c r="GN2836" s="73"/>
      <c r="GO2836" s="73"/>
      <c r="GP2836" s="73"/>
      <c r="GQ2836" s="73"/>
      <c r="GR2836" s="73"/>
      <c r="GS2836" s="73"/>
      <c r="GT2836" s="73"/>
      <c r="GU2836" s="73"/>
      <c r="GV2836" s="73"/>
      <c r="GW2836" s="73"/>
      <c r="GX2836" s="73"/>
      <c r="GY2836" s="73"/>
      <c r="GZ2836" s="73"/>
      <c r="HA2836" s="73"/>
      <c r="HB2836" s="73"/>
      <c r="HC2836" s="73"/>
      <c r="HD2836" s="73"/>
      <c r="HE2836" s="73"/>
      <c r="HF2836" s="73"/>
      <c r="HG2836" s="73"/>
      <c r="HH2836" s="73"/>
      <c r="HI2836" s="73"/>
      <c r="HJ2836" s="73"/>
      <c r="HK2836" s="73"/>
      <c r="HL2836" s="73"/>
      <c r="HM2836" s="73"/>
      <c r="HN2836" s="73"/>
      <c r="HO2836" s="73"/>
      <c r="HP2836" s="73"/>
      <c r="HQ2836" s="73"/>
      <c r="HR2836" s="73"/>
      <c r="HS2836" s="73"/>
      <c r="HT2836" s="73"/>
      <c r="HU2836" s="73"/>
      <c r="HV2836" s="73"/>
      <c r="HW2836" s="73"/>
      <c r="HX2836" s="73"/>
      <c r="HY2836" s="73"/>
      <c r="HZ2836" s="73"/>
      <c r="IA2836" s="73"/>
      <c r="IB2836" s="73"/>
      <c r="IC2836" s="73"/>
      <c r="ID2836" s="73"/>
      <c r="IE2836" s="73"/>
      <c r="IF2836" s="73"/>
      <c r="IG2836" s="73"/>
      <c r="IH2836" s="73"/>
      <c r="II2836" s="73"/>
      <c r="IJ2836" s="73"/>
      <c r="IK2836" s="73"/>
      <c r="IL2836" s="73"/>
      <c r="IM2836" s="73"/>
      <c r="IN2836" s="73"/>
      <c r="IO2836" s="73"/>
      <c r="IP2836" s="73"/>
      <c r="IQ2836" s="73"/>
      <c r="IR2836" s="73"/>
      <c r="IS2836" s="73"/>
      <c r="IT2836" s="73"/>
      <c r="IU2836" s="73"/>
      <c r="IV2836" s="73"/>
      <c r="IW2836" s="73"/>
      <c r="IX2836" s="73"/>
      <c r="IY2836" s="73"/>
      <c r="IZ2836" s="73"/>
      <c r="JA2836" s="73"/>
      <c r="JB2836" s="73"/>
      <c r="JC2836" s="73"/>
    </row>
    <row r="2837" spans="2:263" s="72" customFormat="1">
      <c r="B2837" s="73"/>
      <c r="C2837" s="73"/>
      <c r="D2837" s="73"/>
      <c r="E2837" s="73"/>
      <c r="F2837" s="73"/>
      <c r="G2837" s="73"/>
      <c r="H2837" s="73"/>
      <c r="I2837" s="73"/>
      <c r="J2837" s="73"/>
      <c r="K2837" s="73"/>
      <c r="L2837" s="73"/>
      <c r="M2837" s="73"/>
      <c r="N2837" s="73"/>
      <c r="O2837" s="73"/>
      <c r="P2837" s="73"/>
      <c r="Q2837" s="73"/>
      <c r="R2837" s="73"/>
      <c r="S2837" s="73"/>
      <c r="T2837" s="73"/>
      <c r="U2837" s="73"/>
      <c r="V2837" s="73"/>
      <c r="W2837" s="73"/>
      <c r="GL2837" s="73"/>
      <c r="GM2837" s="73"/>
      <c r="GN2837" s="73"/>
      <c r="GO2837" s="73"/>
      <c r="GP2837" s="73"/>
      <c r="GQ2837" s="73"/>
      <c r="GR2837" s="73"/>
      <c r="GS2837" s="73"/>
      <c r="GT2837" s="73"/>
      <c r="GU2837" s="73"/>
      <c r="GV2837" s="73"/>
      <c r="GW2837" s="73"/>
      <c r="GX2837" s="73"/>
      <c r="GY2837" s="73"/>
      <c r="GZ2837" s="73"/>
      <c r="HA2837" s="73"/>
      <c r="HB2837" s="73"/>
      <c r="HC2837" s="73"/>
      <c r="HD2837" s="73"/>
      <c r="HE2837" s="73"/>
      <c r="HF2837" s="73"/>
      <c r="HG2837" s="73"/>
      <c r="HH2837" s="73"/>
      <c r="HI2837" s="73"/>
      <c r="HJ2837" s="73"/>
      <c r="HK2837" s="73"/>
      <c r="HL2837" s="73"/>
      <c r="HM2837" s="73"/>
      <c r="HN2837" s="73"/>
      <c r="HO2837" s="73"/>
      <c r="HP2837" s="73"/>
      <c r="HQ2837" s="73"/>
      <c r="HR2837" s="73"/>
      <c r="HS2837" s="73"/>
      <c r="HT2837" s="73"/>
      <c r="HU2837" s="73"/>
      <c r="HV2837" s="73"/>
      <c r="HW2837" s="73"/>
      <c r="HX2837" s="73"/>
      <c r="HY2837" s="73"/>
      <c r="HZ2837" s="73"/>
      <c r="IA2837" s="73"/>
      <c r="IB2837" s="73"/>
      <c r="IC2837" s="73"/>
      <c r="ID2837" s="73"/>
      <c r="IE2837" s="73"/>
      <c r="IF2837" s="73"/>
      <c r="IG2837" s="73"/>
      <c r="IH2837" s="73"/>
      <c r="II2837" s="73"/>
      <c r="IJ2837" s="73"/>
      <c r="IK2837" s="73"/>
      <c r="IL2837" s="73"/>
      <c r="IM2837" s="73"/>
      <c r="IN2837" s="73"/>
      <c r="IO2837" s="73"/>
      <c r="IP2837" s="73"/>
      <c r="IQ2837" s="73"/>
      <c r="IR2837" s="73"/>
      <c r="IS2837" s="73"/>
      <c r="IT2837" s="73"/>
      <c r="IU2837" s="73"/>
      <c r="IV2837" s="73"/>
      <c r="IW2837" s="73"/>
      <c r="IX2837" s="73"/>
      <c r="IY2837" s="73"/>
      <c r="IZ2837" s="73"/>
      <c r="JA2837" s="73"/>
      <c r="JB2837" s="73"/>
      <c r="JC2837" s="73"/>
    </row>
    <row r="2838" spans="2:263" s="72" customFormat="1">
      <c r="B2838" s="73"/>
      <c r="C2838" s="73"/>
      <c r="D2838" s="73"/>
      <c r="E2838" s="73"/>
      <c r="F2838" s="73"/>
      <c r="G2838" s="73"/>
      <c r="H2838" s="73"/>
      <c r="I2838" s="73"/>
      <c r="J2838" s="73"/>
      <c r="K2838" s="73"/>
      <c r="L2838" s="73"/>
      <c r="M2838" s="73"/>
      <c r="N2838" s="73"/>
      <c r="O2838" s="73"/>
      <c r="P2838" s="73"/>
      <c r="Q2838" s="73"/>
      <c r="R2838" s="73"/>
      <c r="S2838" s="73"/>
      <c r="T2838" s="73"/>
      <c r="U2838" s="73"/>
      <c r="V2838" s="73"/>
      <c r="W2838" s="73"/>
      <c r="GL2838" s="73"/>
      <c r="GM2838" s="73"/>
      <c r="GN2838" s="73"/>
      <c r="GO2838" s="73"/>
      <c r="GP2838" s="73"/>
      <c r="GQ2838" s="73"/>
      <c r="GR2838" s="73"/>
      <c r="GS2838" s="73"/>
      <c r="GT2838" s="73"/>
      <c r="GU2838" s="73"/>
      <c r="GV2838" s="73"/>
      <c r="GW2838" s="73"/>
      <c r="GX2838" s="73"/>
      <c r="GY2838" s="73"/>
      <c r="GZ2838" s="73"/>
      <c r="HA2838" s="73"/>
      <c r="HB2838" s="73"/>
      <c r="HC2838" s="73"/>
      <c r="HD2838" s="73"/>
      <c r="HE2838" s="73"/>
      <c r="HF2838" s="73"/>
      <c r="HG2838" s="73"/>
      <c r="HH2838" s="73"/>
      <c r="HI2838" s="73"/>
      <c r="HJ2838" s="73"/>
      <c r="HK2838" s="73"/>
      <c r="HL2838" s="73"/>
      <c r="HM2838" s="73"/>
      <c r="HN2838" s="73"/>
      <c r="HO2838" s="73"/>
      <c r="HP2838" s="73"/>
      <c r="HQ2838" s="73"/>
      <c r="HR2838" s="73"/>
      <c r="HS2838" s="73"/>
      <c r="HT2838" s="73"/>
      <c r="HU2838" s="73"/>
      <c r="HV2838" s="73"/>
      <c r="HW2838" s="73"/>
      <c r="HX2838" s="73"/>
      <c r="HY2838" s="73"/>
      <c r="HZ2838" s="73"/>
      <c r="IA2838" s="73"/>
      <c r="IB2838" s="73"/>
      <c r="IC2838" s="73"/>
      <c r="ID2838" s="73"/>
      <c r="IE2838" s="73"/>
      <c r="IF2838" s="73"/>
      <c r="IG2838" s="73"/>
      <c r="IH2838" s="73"/>
      <c r="II2838" s="73"/>
      <c r="IJ2838" s="73"/>
      <c r="IK2838" s="73"/>
      <c r="IL2838" s="73"/>
      <c r="IM2838" s="73"/>
      <c r="IN2838" s="73"/>
      <c r="IO2838" s="73"/>
      <c r="IP2838" s="73"/>
      <c r="IQ2838" s="73"/>
      <c r="IR2838" s="73"/>
      <c r="IS2838" s="73"/>
      <c r="IT2838" s="73"/>
      <c r="IU2838" s="73"/>
      <c r="IV2838" s="73"/>
      <c r="IW2838" s="73"/>
      <c r="IX2838" s="73"/>
      <c r="IY2838" s="73"/>
      <c r="IZ2838" s="73"/>
      <c r="JA2838" s="73"/>
      <c r="JB2838" s="73"/>
      <c r="JC2838" s="73"/>
    </row>
    <row r="2839" spans="2:263" s="72" customFormat="1">
      <c r="B2839" s="73"/>
      <c r="C2839" s="73"/>
      <c r="D2839" s="73"/>
      <c r="E2839" s="73"/>
      <c r="F2839" s="73"/>
      <c r="G2839" s="73"/>
      <c r="H2839" s="73"/>
      <c r="I2839" s="73"/>
      <c r="J2839" s="73"/>
      <c r="K2839" s="73"/>
      <c r="L2839" s="73"/>
      <c r="M2839" s="73"/>
      <c r="N2839" s="73"/>
      <c r="O2839" s="73"/>
      <c r="P2839" s="73"/>
      <c r="Q2839" s="73"/>
      <c r="R2839" s="73"/>
      <c r="S2839" s="73"/>
      <c r="T2839" s="73"/>
      <c r="U2839" s="73"/>
      <c r="V2839" s="73"/>
      <c r="W2839" s="73"/>
      <c r="GL2839" s="73"/>
      <c r="GM2839" s="73"/>
      <c r="GN2839" s="73"/>
      <c r="GO2839" s="73"/>
      <c r="GP2839" s="73"/>
      <c r="GQ2839" s="73"/>
      <c r="GR2839" s="73"/>
      <c r="GS2839" s="73"/>
      <c r="GT2839" s="73"/>
      <c r="GU2839" s="73"/>
      <c r="GV2839" s="73"/>
      <c r="GW2839" s="73"/>
      <c r="GX2839" s="73"/>
      <c r="GY2839" s="73"/>
      <c r="GZ2839" s="73"/>
      <c r="HA2839" s="73"/>
      <c r="HB2839" s="73"/>
      <c r="HC2839" s="73"/>
      <c r="HD2839" s="73"/>
      <c r="HE2839" s="73"/>
      <c r="HF2839" s="73"/>
      <c r="HG2839" s="73"/>
      <c r="HH2839" s="73"/>
      <c r="HI2839" s="73"/>
      <c r="HJ2839" s="73"/>
      <c r="HK2839" s="73"/>
      <c r="HL2839" s="73"/>
      <c r="HM2839" s="73"/>
      <c r="HN2839" s="73"/>
      <c r="HO2839" s="73"/>
      <c r="HP2839" s="73"/>
      <c r="HQ2839" s="73"/>
      <c r="HR2839" s="73"/>
      <c r="HS2839" s="73"/>
      <c r="HT2839" s="73"/>
      <c r="HU2839" s="73"/>
      <c r="HV2839" s="73"/>
      <c r="HW2839" s="73"/>
      <c r="HX2839" s="73"/>
      <c r="HY2839" s="73"/>
      <c r="HZ2839" s="73"/>
      <c r="IA2839" s="73"/>
      <c r="IB2839" s="73"/>
      <c r="IC2839" s="73"/>
      <c r="ID2839" s="73"/>
      <c r="IE2839" s="73"/>
      <c r="IF2839" s="73"/>
      <c r="IG2839" s="73"/>
      <c r="IH2839" s="73"/>
      <c r="II2839" s="73"/>
      <c r="IJ2839" s="73"/>
      <c r="IK2839" s="73"/>
      <c r="IL2839" s="73"/>
      <c r="IM2839" s="73"/>
      <c r="IN2839" s="73"/>
      <c r="IO2839" s="73"/>
      <c r="IP2839" s="73"/>
      <c r="IQ2839" s="73"/>
      <c r="IR2839" s="73"/>
      <c r="IS2839" s="73"/>
      <c r="IT2839" s="73"/>
      <c r="IU2839" s="73"/>
      <c r="IV2839" s="73"/>
      <c r="IW2839" s="73"/>
      <c r="IX2839" s="73"/>
      <c r="IY2839" s="73"/>
      <c r="IZ2839" s="73"/>
      <c r="JA2839" s="73"/>
      <c r="JB2839" s="73"/>
      <c r="JC2839" s="73"/>
    </row>
    <row r="2840" spans="2:263" s="72" customFormat="1">
      <c r="B2840" s="73"/>
      <c r="C2840" s="73"/>
      <c r="D2840" s="73"/>
      <c r="E2840" s="73"/>
      <c r="F2840" s="73"/>
      <c r="G2840" s="73"/>
      <c r="H2840" s="73"/>
      <c r="I2840" s="73"/>
      <c r="J2840" s="73"/>
      <c r="K2840" s="73"/>
      <c r="L2840" s="73"/>
      <c r="M2840" s="73"/>
      <c r="N2840" s="73"/>
      <c r="O2840" s="73"/>
      <c r="P2840" s="73"/>
      <c r="Q2840" s="73"/>
      <c r="R2840" s="73"/>
      <c r="S2840" s="73"/>
      <c r="T2840" s="73"/>
      <c r="U2840" s="73"/>
      <c r="V2840" s="73"/>
      <c r="W2840" s="73"/>
      <c r="GL2840" s="73"/>
      <c r="GM2840" s="73"/>
      <c r="GN2840" s="73"/>
      <c r="GO2840" s="73"/>
      <c r="GP2840" s="73"/>
      <c r="GQ2840" s="73"/>
      <c r="GR2840" s="73"/>
      <c r="GS2840" s="73"/>
      <c r="GT2840" s="73"/>
      <c r="GU2840" s="73"/>
      <c r="GV2840" s="73"/>
      <c r="GW2840" s="73"/>
      <c r="GX2840" s="73"/>
      <c r="GY2840" s="73"/>
      <c r="GZ2840" s="73"/>
      <c r="HA2840" s="73"/>
      <c r="HB2840" s="73"/>
      <c r="HC2840" s="73"/>
      <c r="HD2840" s="73"/>
      <c r="HE2840" s="73"/>
      <c r="HF2840" s="73"/>
      <c r="HG2840" s="73"/>
      <c r="HH2840" s="73"/>
      <c r="HI2840" s="73"/>
      <c r="HJ2840" s="73"/>
      <c r="HK2840" s="73"/>
      <c r="HL2840" s="73"/>
      <c r="HM2840" s="73"/>
      <c r="HN2840" s="73"/>
      <c r="HO2840" s="73"/>
      <c r="HP2840" s="73"/>
      <c r="HQ2840" s="73"/>
      <c r="HR2840" s="73"/>
      <c r="HS2840" s="73"/>
      <c r="HT2840" s="73"/>
      <c r="HU2840" s="73"/>
      <c r="HV2840" s="73"/>
      <c r="HW2840" s="73"/>
      <c r="HX2840" s="73"/>
      <c r="HY2840" s="73"/>
      <c r="HZ2840" s="73"/>
      <c r="IA2840" s="73"/>
      <c r="IB2840" s="73"/>
      <c r="IC2840" s="73"/>
      <c r="ID2840" s="73"/>
      <c r="IE2840" s="73"/>
      <c r="IF2840" s="73"/>
      <c r="IG2840" s="73"/>
      <c r="IH2840" s="73"/>
      <c r="II2840" s="73"/>
      <c r="IJ2840" s="73"/>
      <c r="IK2840" s="73"/>
      <c r="IL2840" s="73"/>
      <c r="IM2840" s="73"/>
      <c r="IN2840" s="73"/>
      <c r="IO2840" s="73"/>
      <c r="IP2840" s="73"/>
      <c r="IQ2840" s="73"/>
      <c r="IR2840" s="73"/>
      <c r="IS2840" s="73"/>
      <c r="IT2840" s="73"/>
      <c r="IU2840" s="73"/>
      <c r="IV2840" s="73"/>
      <c r="IW2840" s="73"/>
      <c r="IX2840" s="73"/>
      <c r="IY2840" s="73"/>
      <c r="IZ2840" s="73"/>
      <c r="JA2840" s="73"/>
      <c r="JB2840" s="73"/>
      <c r="JC2840" s="73"/>
    </row>
    <row r="2841" spans="2:263" s="72" customFormat="1">
      <c r="B2841" s="73"/>
      <c r="C2841" s="73"/>
      <c r="D2841" s="73"/>
      <c r="E2841" s="73"/>
      <c r="F2841" s="73"/>
      <c r="G2841" s="73"/>
      <c r="H2841" s="73"/>
      <c r="I2841" s="73"/>
      <c r="J2841" s="73"/>
      <c r="K2841" s="73"/>
      <c r="L2841" s="73"/>
      <c r="M2841" s="73"/>
      <c r="N2841" s="73"/>
      <c r="O2841" s="73"/>
      <c r="P2841" s="73"/>
      <c r="Q2841" s="73"/>
      <c r="R2841" s="73"/>
      <c r="S2841" s="73"/>
      <c r="T2841" s="73"/>
      <c r="U2841" s="73"/>
      <c r="V2841" s="73"/>
      <c r="W2841" s="73"/>
      <c r="GL2841" s="73"/>
      <c r="GM2841" s="73"/>
      <c r="GN2841" s="73"/>
      <c r="GO2841" s="73"/>
      <c r="GP2841" s="73"/>
      <c r="GQ2841" s="73"/>
      <c r="GR2841" s="73"/>
      <c r="GS2841" s="73"/>
      <c r="GT2841" s="73"/>
      <c r="GU2841" s="73"/>
      <c r="GV2841" s="73"/>
      <c r="GW2841" s="73"/>
      <c r="GX2841" s="73"/>
      <c r="GY2841" s="73"/>
      <c r="GZ2841" s="73"/>
      <c r="HA2841" s="73"/>
      <c r="HB2841" s="73"/>
      <c r="HC2841" s="73"/>
      <c r="HD2841" s="73"/>
      <c r="HE2841" s="73"/>
      <c r="HF2841" s="73"/>
      <c r="HG2841" s="73"/>
      <c r="HH2841" s="73"/>
      <c r="HI2841" s="73"/>
      <c r="HJ2841" s="73"/>
      <c r="HK2841" s="73"/>
      <c r="HL2841" s="73"/>
      <c r="HM2841" s="73"/>
      <c r="HN2841" s="73"/>
      <c r="HO2841" s="73"/>
      <c r="HP2841" s="73"/>
      <c r="HQ2841" s="73"/>
      <c r="HR2841" s="73"/>
      <c r="HS2841" s="73"/>
      <c r="HT2841" s="73"/>
      <c r="HU2841" s="73"/>
      <c r="HV2841" s="73"/>
      <c r="HW2841" s="73"/>
      <c r="HX2841" s="73"/>
      <c r="HY2841" s="73"/>
      <c r="HZ2841" s="73"/>
      <c r="IA2841" s="73"/>
      <c r="IB2841" s="73"/>
      <c r="IC2841" s="73"/>
      <c r="ID2841" s="73"/>
      <c r="IE2841" s="73"/>
      <c r="IF2841" s="73"/>
      <c r="IG2841" s="73"/>
      <c r="IH2841" s="73"/>
      <c r="II2841" s="73"/>
      <c r="IJ2841" s="73"/>
      <c r="IK2841" s="73"/>
      <c r="IL2841" s="73"/>
      <c r="IM2841" s="73"/>
      <c r="IN2841" s="73"/>
      <c r="IO2841" s="73"/>
      <c r="IP2841" s="73"/>
      <c r="IQ2841" s="73"/>
      <c r="IR2841" s="73"/>
      <c r="IS2841" s="73"/>
      <c r="IT2841" s="73"/>
      <c r="IU2841" s="73"/>
      <c r="IV2841" s="73"/>
      <c r="IW2841" s="73"/>
      <c r="IX2841" s="73"/>
      <c r="IY2841" s="73"/>
      <c r="IZ2841" s="73"/>
      <c r="JA2841" s="73"/>
      <c r="JB2841" s="73"/>
      <c r="JC2841" s="73"/>
    </row>
    <row r="2842" spans="2:263" s="72" customFormat="1">
      <c r="B2842" s="73"/>
      <c r="C2842" s="73"/>
      <c r="D2842" s="73"/>
      <c r="E2842" s="73"/>
      <c r="F2842" s="73"/>
      <c r="G2842" s="73"/>
      <c r="H2842" s="73"/>
      <c r="I2842" s="73"/>
      <c r="J2842" s="73"/>
      <c r="K2842" s="73"/>
      <c r="L2842" s="73"/>
      <c r="M2842" s="73"/>
      <c r="N2842" s="73"/>
      <c r="O2842" s="73"/>
      <c r="P2842" s="73"/>
      <c r="Q2842" s="73"/>
      <c r="R2842" s="73"/>
      <c r="S2842" s="73"/>
      <c r="T2842" s="73"/>
      <c r="U2842" s="73"/>
      <c r="V2842" s="73"/>
      <c r="W2842" s="73"/>
      <c r="GL2842" s="73"/>
      <c r="GM2842" s="73"/>
      <c r="GN2842" s="73"/>
      <c r="GO2842" s="73"/>
      <c r="GP2842" s="73"/>
      <c r="GQ2842" s="73"/>
      <c r="GR2842" s="73"/>
      <c r="GS2842" s="73"/>
      <c r="GT2842" s="73"/>
      <c r="GU2842" s="73"/>
      <c r="GV2842" s="73"/>
      <c r="GW2842" s="73"/>
      <c r="GX2842" s="73"/>
      <c r="GY2842" s="73"/>
      <c r="GZ2842" s="73"/>
      <c r="HA2842" s="73"/>
      <c r="HB2842" s="73"/>
      <c r="HC2842" s="73"/>
      <c r="HD2842" s="73"/>
      <c r="HE2842" s="73"/>
      <c r="HF2842" s="73"/>
      <c r="HG2842" s="73"/>
      <c r="HH2842" s="73"/>
      <c r="HI2842" s="73"/>
      <c r="HJ2842" s="73"/>
      <c r="HK2842" s="73"/>
      <c r="HL2842" s="73"/>
      <c r="HM2842" s="73"/>
      <c r="HN2842" s="73"/>
      <c r="HO2842" s="73"/>
      <c r="HP2842" s="73"/>
      <c r="HQ2842" s="73"/>
      <c r="HR2842" s="73"/>
      <c r="HS2842" s="73"/>
      <c r="HT2842" s="73"/>
      <c r="HU2842" s="73"/>
      <c r="HV2842" s="73"/>
      <c r="HW2842" s="73"/>
      <c r="HX2842" s="73"/>
      <c r="HY2842" s="73"/>
      <c r="HZ2842" s="73"/>
      <c r="IA2842" s="73"/>
      <c r="IB2842" s="73"/>
      <c r="IC2842" s="73"/>
      <c r="ID2842" s="73"/>
      <c r="IE2842" s="73"/>
      <c r="IF2842" s="73"/>
      <c r="IG2842" s="73"/>
      <c r="IH2842" s="73"/>
      <c r="II2842" s="73"/>
      <c r="IJ2842" s="73"/>
      <c r="IK2842" s="73"/>
      <c r="IL2842" s="73"/>
      <c r="IM2842" s="73"/>
      <c r="IN2842" s="73"/>
      <c r="IO2842" s="73"/>
      <c r="IP2842" s="73"/>
      <c r="IQ2842" s="73"/>
      <c r="IR2842" s="73"/>
      <c r="IS2842" s="73"/>
      <c r="IT2842" s="73"/>
      <c r="IU2842" s="73"/>
      <c r="IV2842" s="73"/>
      <c r="IW2842" s="73"/>
      <c r="IX2842" s="73"/>
      <c r="IY2842" s="73"/>
      <c r="IZ2842" s="73"/>
      <c r="JA2842" s="73"/>
      <c r="JB2842" s="73"/>
      <c r="JC2842" s="73"/>
    </row>
    <row r="2843" spans="2:263" s="72" customFormat="1">
      <c r="B2843" s="73"/>
      <c r="C2843" s="73"/>
      <c r="D2843" s="73"/>
      <c r="E2843" s="73"/>
      <c r="F2843" s="73"/>
      <c r="G2843" s="73"/>
      <c r="H2843" s="73"/>
      <c r="I2843" s="73"/>
      <c r="J2843" s="73"/>
      <c r="K2843" s="73"/>
      <c r="L2843" s="73"/>
      <c r="M2843" s="73"/>
      <c r="N2843" s="73"/>
      <c r="O2843" s="73"/>
      <c r="P2843" s="73"/>
      <c r="Q2843" s="73"/>
      <c r="R2843" s="73"/>
      <c r="S2843" s="73"/>
      <c r="T2843" s="73"/>
      <c r="U2843" s="73"/>
      <c r="V2843" s="73"/>
      <c r="W2843" s="73"/>
      <c r="GL2843" s="73"/>
      <c r="GM2843" s="73"/>
      <c r="GN2843" s="73"/>
      <c r="GO2843" s="73"/>
      <c r="GP2843" s="73"/>
      <c r="GQ2843" s="73"/>
      <c r="GR2843" s="73"/>
      <c r="GS2843" s="73"/>
      <c r="GT2843" s="73"/>
      <c r="GU2843" s="73"/>
      <c r="GV2843" s="73"/>
      <c r="GW2843" s="73"/>
      <c r="GX2843" s="73"/>
      <c r="GY2843" s="73"/>
      <c r="GZ2843" s="73"/>
      <c r="HA2843" s="73"/>
      <c r="HB2843" s="73"/>
      <c r="HC2843" s="73"/>
      <c r="HD2843" s="73"/>
      <c r="HE2843" s="73"/>
      <c r="HF2843" s="73"/>
      <c r="HG2843" s="73"/>
      <c r="HH2843" s="73"/>
      <c r="HI2843" s="73"/>
      <c r="HJ2843" s="73"/>
      <c r="HK2843" s="73"/>
      <c r="HL2843" s="73"/>
      <c r="HM2843" s="73"/>
      <c r="HN2843" s="73"/>
      <c r="HO2843" s="73"/>
      <c r="HP2843" s="73"/>
      <c r="HQ2843" s="73"/>
      <c r="HR2843" s="73"/>
      <c r="HS2843" s="73"/>
      <c r="HT2843" s="73"/>
      <c r="HU2843" s="73"/>
      <c r="HV2843" s="73"/>
      <c r="HW2843" s="73"/>
      <c r="HX2843" s="73"/>
      <c r="HY2843" s="73"/>
      <c r="HZ2843" s="73"/>
      <c r="IA2843" s="73"/>
      <c r="IB2843" s="73"/>
      <c r="IC2843" s="73"/>
      <c r="ID2843" s="73"/>
      <c r="IE2843" s="73"/>
      <c r="IF2843" s="73"/>
      <c r="IG2843" s="73"/>
      <c r="IH2843" s="73"/>
      <c r="II2843" s="73"/>
      <c r="IJ2843" s="73"/>
      <c r="IK2843" s="73"/>
      <c r="IL2843" s="73"/>
      <c r="IM2843" s="73"/>
      <c r="IN2843" s="73"/>
      <c r="IO2843" s="73"/>
      <c r="IP2843" s="73"/>
      <c r="IQ2843" s="73"/>
      <c r="IR2843" s="73"/>
      <c r="IS2843" s="73"/>
      <c r="IT2843" s="73"/>
      <c r="IU2843" s="73"/>
      <c r="IV2843" s="73"/>
      <c r="IW2843" s="73"/>
      <c r="IX2843" s="73"/>
      <c r="IY2843" s="73"/>
      <c r="IZ2843" s="73"/>
      <c r="JA2843" s="73"/>
      <c r="JB2843" s="73"/>
      <c r="JC2843" s="73"/>
    </row>
    <row r="2844" spans="2:263" s="72" customFormat="1">
      <c r="B2844" s="73"/>
      <c r="C2844" s="73"/>
      <c r="D2844" s="73"/>
      <c r="E2844" s="73"/>
      <c r="F2844" s="73"/>
      <c r="G2844" s="73"/>
      <c r="H2844" s="73"/>
      <c r="I2844" s="73"/>
      <c r="J2844" s="73"/>
      <c r="K2844" s="73"/>
      <c r="L2844" s="73"/>
      <c r="M2844" s="73"/>
      <c r="N2844" s="73"/>
      <c r="O2844" s="73"/>
      <c r="P2844" s="73"/>
      <c r="Q2844" s="73"/>
      <c r="R2844" s="73"/>
      <c r="S2844" s="73"/>
      <c r="T2844" s="73"/>
      <c r="U2844" s="73"/>
      <c r="V2844" s="73"/>
      <c r="W2844" s="73"/>
      <c r="GL2844" s="73"/>
      <c r="GM2844" s="73"/>
      <c r="GN2844" s="73"/>
      <c r="GO2844" s="73"/>
      <c r="GP2844" s="73"/>
      <c r="GQ2844" s="73"/>
      <c r="GR2844" s="73"/>
      <c r="GS2844" s="73"/>
      <c r="GT2844" s="73"/>
      <c r="GU2844" s="73"/>
      <c r="GV2844" s="73"/>
      <c r="GW2844" s="73"/>
      <c r="GX2844" s="73"/>
      <c r="GY2844" s="73"/>
      <c r="GZ2844" s="73"/>
      <c r="HA2844" s="73"/>
      <c r="HB2844" s="73"/>
      <c r="HC2844" s="73"/>
      <c r="HD2844" s="73"/>
      <c r="HE2844" s="73"/>
      <c r="HF2844" s="73"/>
      <c r="HG2844" s="73"/>
      <c r="HH2844" s="73"/>
      <c r="HI2844" s="73"/>
      <c r="HJ2844" s="73"/>
      <c r="HK2844" s="73"/>
      <c r="HL2844" s="73"/>
      <c r="HM2844" s="73"/>
      <c r="HN2844" s="73"/>
      <c r="HO2844" s="73"/>
      <c r="HP2844" s="73"/>
      <c r="HQ2844" s="73"/>
      <c r="HR2844" s="73"/>
      <c r="HS2844" s="73"/>
      <c r="HT2844" s="73"/>
      <c r="HU2844" s="73"/>
      <c r="HV2844" s="73"/>
      <c r="HW2844" s="73"/>
      <c r="HX2844" s="73"/>
      <c r="HY2844" s="73"/>
      <c r="HZ2844" s="73"/>
      <c r="IA2844" s="73"/>
      <c r="IB2844" s="73"/>
      <c r="IC2844" s="73"/>
      <c r="ID2844" s="73"/>
      <c r="IE2844" s="73"/>
      <c r="IF2844" s="73"/>
      <c r="IG2844" s="73"/>
      <c r="IH2844" s="73"/>
      <c r="II2844" s="73"/>
      <c r="IJ2844" s="73"/>
      <c r="IK2844" s="73"/>
      <c r="IL2844" s="73"/>
      <c r="IM2844" s="73"/>
      <c r="IN2844" s="73"/>
      <c r="IO2844" s="73"/>
      <c r="IP2844" s="73"/>
      <c r="IQ2844" s="73"/>
      <c r="IR2844" s="73"/>
      <c r="IS2844" s="73"/>
      <c r="IT2844" s="73"/>
      <c r="IU2844" s="73"/>
      <c r="IV2844" s="73"/>
      <c r="IW2844" s="73"/>
      <c r="IX2844" s="73"/>
      <c r="IY2844" s="73"/>
      <c r="IZ2844" s="73"/>
      <c r="JA2844" s="73"/>
      <c r="JB2844" s="73"/>
      <c r="JC2844" s="73"/>
    </row>
    <row r="2845" spans="2:263" s="72" customFormat="1">
      <c r="B2845" s="73"/>
      <c r="C2845" s="73"/>
      <c r="D2845" s="73"/>
      <c r="E2845" s="73"/>
      <c r="F2845" s="73"/>
      <c r="G2845" s="73"/>
      <c r="H2845" s="73"/>
      <c r="I2845" s="73"/>
      <c r="J2845" s="73"/>
      <c r="K2845" s="73"/>
      <c r="L2845" s="73"/>
      <c r="M2845" s="73"/>
      <c r="N2845" s="73"/>
      <c r="O2845" s="73"/>
      <c r="P2845" s="73"/>
      <c r="Q2845" s="73"/>
      <c r="R2845" s="73"/>
      <c r="S2845" s="73"/>
      <c r="T2845" s="73"/>
      <c r="U2845" s="73"/>
      <c r="V2845" s="73"/>
      <c r="W2845" s="73"/>
      <c r="GL2845" s="73"/>
      <c r="GM2845" s="73"/>
      <c r="GN2845" s="73"/>
      <c r="GO2845" s="73"/>
      <c r="GP2845" s="73"/>
      <c r="GQ2845" s="73"/>
      <c r="GR2845" s="73"/>
      <c r="GS2845" s="73"/>
      <c r="GT2845" s="73"/>
      <c r="GU2845" s="73"/>
      <c r="GV2845" s="73"/>
      <c r="GW2845" s="73"/>
      <c r="GX2845" s="73"/>
      <c r="GY2845" s="73"/>
      <c r="GZ2845" s="73"/>
      <c r="HA2845" s="73"/>
      <c r="HB2845" s="73"/>
      <c r="HC2845" s="73"/>
      <c r="HD2845" s="73"/>
      <c r="HE2845" s="73"/>
      <c r="HF2845" s="73"/>
      <c r="HG2845" s="73"/>
      <c r="HH2845" s="73"/>
      <c r="HI2845" s="73"/>
      <c r="HJ2845" s="73"/>
      <c r="HK2845" s="73"/>
      <c r="HL2845" s="73"/>
      <c r="HM2845" s="73"/>
      <c r="HN2845" s="73"/>
      <c r="HO2845" s="73"/>
      <c r="HP2845" s="73"/>
      <c r="HQ2845" s="73"/>
      <c r="HR2845" s="73"/>
      <c r="HS2845" s="73"/>
      <c r="HT2845" s="73"/>
      <c r="HU2845" s="73"/>
      <c r="HV2845" s="73"/>
      <c r="HW2845" s="73"/>
      <c r="HX2845" s="73"/>
      <c r="HY2845" s="73"/>
      <c r="HZ2845" s="73"/>
      <c r="IA2845" s="73"/>
      <c r="IB2845" s="73"/>
      <c r="IC2845" s="73"/>
      <c r="ID2845" s="73"/>
      <c r="IE2845" s="73"/>
      <c r="IF2845" s="73"/>
      <c r="IG2845" s="73"/>
      <c r="IH2845" s="73"/>
      <c r="II2845" s="73"/>
      <c r="IJ2845" s="73"/>
      <c r="IK2845" s="73"/>
      <c r="IL2845" s="73"/>
      <c r="IM2845" s="73"/>
      <c r="IN2845" s="73"/>
      <c r="IO2845" s="73"/>
      <c r="IP2845" s="73"/>
      <c r="IQ2845" s="73"/>
      <c r="IR2845" s="73"/>
      <c r="IS2845" s="73"/>
      <c r="IT2845" s="73"/>
      <c r="IU2845" s="73"/>
      <c r="IV2845" s="73"/>
      <c r="IW2845" s="73"/>
      <c r="IX2845" s="73"/>
      <c r="IY2845" s="73"/>
      <c r="IZ2845" s="73"/>
      <c r="JA2845" s="73"/>
      <c r="JB2845" s="73"/>
      <c r="JC2845" s="73"/>
    </row>
    <row r="2846" spans="2:263" s="72" customFormat="1">
      <c r="B2846" s="73"/>
      <c r="C2846" s="73"/>
      <c r="D2846" s="73"/>
      <c r="E2846" s="73"/>
      <c r="F2846" s="73"/>
      <c r="G2846" s="73"/>
      <c r="H2846" s="73"/>
      <c r="I2846" s="73"/>
      <c r="J2846" s="73"/>
      <c r="K2846" s="73"/>
      <c r="L2846" s="73"/>
      <c r="M2846" s="73"/>
      <c r="N2846" s="73"/>
      <c r="O2846" s="73"/>
      <c r="P2846" s="73"/>
      <c r="Q2846" s="73"/>
      <c r="R2846" s="73"/>
      <c r="S2846" s="73"/>
      <c r="T2846" s="73"/>
      <c r="U2846" s="73"/>
      <c r="V2846" s="73"/>
      <c r="W2846" s="73"/>
      <c r="GL2846" s="73"/>
      <c r="GM2846" s="73"/>
      <c r="GN2846" s="73"/>
      <c r="GO2846" s="73"/>
      <c r="GP2846" s="73"/>
      <c r="GQ2846" s="73"/>
      <c r="GR2846" s="73"/>
      <c r="GS2846" s="73"/>
      <c r="GT2846" s="73"/>
      <c r="GU2846" s="73"/>
      <c r="GV2846" s="73"/>
      <c r="GW2846" s="73"/>
      <c r="GX2846" s="73"/>
      <c r="GY2846" s="73"/>
      <c r="GZ2846" s="73"/>
      <c r="HA2846" s="73"/>
      <c r="HB2846" s="73"/>
      <c r="HC2846" s="73"/>
      <c r="HD2846" s="73"/>
      <c r="HE2846" s="73"/>
      <c r="HF2846" s="73"/>
      <c r="HG2846" s="73"/>
      <c r="HH2846" s="73"/>
      <c r="HI2846" s="73"/>
      <c r="HJ2846" s="73"/>
      <c r="HK2846" s="73"/>
      <c r="HL2846" s="73"/>
      <c r="HM2846" s="73"/>
      <c r="HN2846" s="73"/>
      <c r="HO2846" s="73"/>
      <c r="HP2846" s="73"/>
      <c r="HQ2846" s="73"/>
      <c r="HR2846" s="73"/>
      <c r="HS2846" s="73"/>
      <c r="HT2846" s="73"/>
      <c r="HU2846" s="73"/>
      <c r="HV2846" s="73"/>
      <c r="HW2846" s="73"/>
      <c r="HX2846" s="73"/>
      <c r="HY2846" s="73"/>
      <c r="HZ2846" s="73"/>
      <c r="IA2846" s="73"/>
      <c r="IB2846" s="73"/>
      <c r="IC2846" s="73"/>
      <c r="ID2846" s="73"/>
      <c r="IE2846" s="73"/>
      <c r="IF2846" s="73"/>
      <c r="IG2846" s="73"/>
      <c r="IH2846" s="73"/>
      <c r="II2846" s="73"/>
      <c r="IJ2846" s="73"/>
      <c r="IK2846" s="73"/>
      <c r="IL2846" s="73"/>
      <c r="IM2846" s="73"/>
      <c r="IN2846" s="73"/>
      <c r="IO2846" s="73"/>
      <c r="IP2846" s="73"/>
      <c r="IQ2846" s="73"/>
      <c r="IR2846" s="73"/>
      <c r="IS2846" s="73"/>
      <c r="IT2846" s="73"/>
      <c r="IU2846" s="73"/>
      <c r="IV2846" s="73"/>
      <c r="IW2846" s="73"/>
      <c r="IX2846" s="73"/>
      <c r="IY2846" s="73"/>
      <c r="IZ2846" s="73"/>
      <c r="JA2846" s="73"/>
      <c r="JB2846" s="73"/>
      <c r="JC2846" s="73"/>
    </row>
    <row r="2847" spans="2:263" s="72" customFormat="1">
      <c r="B2847" s="73"/>
      <c r="C2847" s="73"/>
      <c r="D2847" s="73"/>
      <c r="E2847" s="73"/>
      <c r="F2847" s="73"/>
      <c r="G2847" s="73"/>
      <c r="H2847" s="73"/>
      <c r="I2847" s="73"/>
      <c r="J2847" s="73"/>
      <c r="K2847" s="73"/>
      <c r="L2847" s="73"/>
      <c r="M2847" s="73"/>
      <c r="N2847" s="73"/>
      <c r="O2847" s="73"/>
      <c r="P2847" s="73"/>
      <c r="Q2847" s="73"/>
      <c r="R2847" s="73"/>
      <c r="S2847" s="73"/>
      <c r="T2847" s="73"/>
      <c r="U2847" s="73"/>
      <c r="V2847" s="73"/>
      <c r="W2847" s="73"/>
      <c r="GL2847" s="73"/>
      <c r="GM2847" s="73"/>
      <c r="GN2847" s="73"/>
      <c r="GO2847" s="73"/>
      <c r="GP2847" s="73"/>
      <c r="GQ2847" s="73"/>
      <c r="GR2847" s="73"/>
      <c r="GS2847" s="73"/>
      <c r="GT2847" s="73"/>
      <c r="GU2847" s="73"/>
      <c r="GV2847" s="73"/>
      <c r="GW2847" s="73"/>
      <c r="GX2847" s="73"/>
      <c r="GY2847" s="73"/>
      <c r="GZ2847" s="73"/>
      <c r="HA2847" s="73"/>
      <c r="HB2847" s="73"/>
      <c r="HC2847" s="73"/>
      <c r="HD2847" s="73"/>
      <c r="HE2847" s="73"/>
      <c r="HF2847" s="73"/>
      <c r="HG2847" s="73"/>
      <c r="HH2847" s="73"/>
      <c r="HI2847" s="73"/>
      <c r="HJ2847" s="73"/>
      <c r="HK2847" s="73"/>
      <c r="HL2847" s="73"/>
      <c r="HM2847" s="73"/>
      <c r="HN2847" s="73"/>
      <c r="HO2847" s="73"/>
      <c r="HP2847" s="73"/>
      <c r="HQ2847" s="73"/>
      <c r="HR2847" s="73"/>
      <c r="HS2847" s="73"/>
      <c r="HT2847" s="73"/>
      <c r="HU2847" s="73"/>
      <c r="HV2847" s="73"/>
      <c r="HW2847" s="73"/>
      <c r="HX2847" s="73"/>
      <c r="HY2847" s="73"/>
      <c r="HZ2847" s="73"/>
      <c r="IA2847" s="73"/>
      <c r="IB2847" s="73"/>
      <c r="IC2847" s="73"/>
      <c r="ID2847" s="73"/>
      <c r="IE2847" s="73"/>
      <c r="IF2847" s="73"/>
      <c r="IG2847" s="73"/>
      <c r="IH2847" s="73"/>
      <c r="II2847" s="73"/>
      <c r="IJ2847" s="73"/>
      <c r="IK2847" s="73"/>
      <c r="IL2847" s="73"/>
      <c r="IM2847" s="73"/>
      <c r="IN2847" s="73"/>
      <c r="IO2847" s="73"/>
      <c r="IP2847" s="73"/>
      <c r="IQ2847" s="73"/>
      <c r="IR2847" s="73"/>
      <c r="IS2847" s="73"/>
      <c r="IT2847" s="73"/>
      <c r="IU2847" s="73"/>
      <c r="IV2847" s="73"/>
      <c r="IW2847" s="73"/>
      <c r="IX2847" s="73"/>
      <c r="IY2847" s="73"/>
      <c r="IZ2847" s="73"/>
      <c r="JA2847" s="73"/>
      <c r="JB2847" s="73"/>
      <c r="JC2847" s="73"/>
    </row>
    <row r="2848" spans="2:263" s="72" customFormat="1">
      <c r="B2848" s="73"/>
      <c r="C2848" s="73"/>
      <c r="D2848" s="73"/>
      <c r="E2848" s="73"/>
      <c r="F2848" s="73"/>
      <c r="G2848" s="73"/>
      <c r="H2848" s="73"/>
      <c r="I2848" s="73"/>
      <c r="J2848" s="73"/>
      <c r="K2848" s="73"/>
      <c r="L2848" s="73"/>
      <c r="M2848" s="73"/>
      <c r="N2848" s="73"/>
      <c r="O2848" s="73"/>
      <c r="P2848" s="73"/>
      <c r="Q2848" s="73"/>
      <c r="R2848" s="73"/>
      <c r="S2848" s="73"/>
      <c r="T2848" s="73"/>
      <c r="U2848" s="73"/>
      <c r="V2848" s="73"/>
      <c r="W2848" s="73"/>
      <c r="GL2848" s="73"/>
      <c r="GM2848" s="73"/>
      <c r="GN2848" s="73"/>
      <c r="GO2848" s="73"/>
      <c r="GP2848" s="73"/>
      <c r="GQ2848" s="73"/>
      <c r="GR2848" s="73"/>
      <c r="GS2848" s="73"/>
      <c r="GT2848" s="73"/>
      <c r="GU2848" s="73"/>
      <c r="GV2848" s="73"/>
      <c r="GW2848" s="73"/>
      <c r="GX2848" s="73"/>
      <c r="GY2848" s="73"/>
      <c r="GZ2848" s="73"/>
      <c r="HA2848" s="73"/>
      <c r="HB2848" s="73"/>
      <c r="HC2848" s="73"/>
      <c r="HD2848" s="73"/>
      <c r="HE2848" s="73"/>
      <c r="HF2848" s="73"/>
      <c r="HG2848" s="73"/>
      <c r="HH2848" s="73"/>
      <c r="HI2848" s="73"/>
      <c r="HJ2848" s="73"/>
      <c r="HK2848" s="73"/>
      <c r="HL2848" s="73"/>
      <c r="HM2848" s="73"/>
      <c r="HN2848" s="73"/>
      <c r="HO2848" s="73"/>
      <c r="HP2848" s="73"/>
      <c r="HQ2848" s="73"/>
      <c r="HR2848" s="73"/>
      <c r="HS2848" s="73"/>
      <c r="HT2848" s="73"/>
      <c r="HU2848" s="73"/>
      <c r="HV2848" s="73"/>
      <c r="HW2848" s="73"/>
      <c r="HX2848" s="73"/>
      <c r="HY2848" s="73"/>
      <c r="HZ2848" s="73"/>
      <c r="IA2848" s="73"/>
      <c r="IB2848" s="73"/>
      <c r="IC2848" s="73"/>
      <c r="ID2848" s="73"/>
      <c r="IE2848" s="73"/>
      <c r="IF2848" s="73"/>
      <c r="IG2848" s="73"/>
      <c r="IH2848" s="73"/>
      <c r="II2848" s="73"/>
      <c r="IJ2848" s="73"/>
      <c r="IK2848" s="73"/>
      <c r="IL2848" s="73"/>
      <c r="IM2848" s="73"/>
      <c r="IN2848" s="73"/>
      <c r="IO2848" s="73"/>
      <c r="IP2848" s="73"/>
      <c r="IQ2848" s="73"/>
      <c r="IR2848" s="73"/>
      <c r="IS2848" s="73"/>
      <c r="IT2848" s="73"/>
      <c r="IU2848" s="73"/>
      <c r="IV2848" s="73"/>
      <c r="IW2848" s="73"/>
      <c r="IX2848" s="73"/>
      <c r="IY2848" s="73"/>
      <c r="IZ2848" s="73"/>
      <c r="JA2848" s="73"/>
      <c r="JB2848" s="73"/>
      <c r="JC2848" s="73"/>
    </row>
    <row r="2849" spans="2:263" s="72" customFormat="1">
      <c r="B2849" s="73"/>
      <c r="C2849" s="73"/>
      <c r="D2849" s="73"/>
      <c r="E2849" s="73"/>
      <c r="F2849" s="73"/>
      <c r="G2849" s="73"/>
      <c r="H2849" s="73"/>
      <c r="I2849" s="73"/>
      <c r="J2849" s="73"/>
      <c r="K2849" s="73"/>
      <c r="L2849" s="73"/>
      <c r="M2849" s="73"/>
      <c r="N2849" s="73"/>
      <c r="O2849" s="73"/>
      <c r="P2849" s="73"/>
      <c r="Q2849" s="73"/>
      <c r="R2849" s="73"/>
      <c r="S2849" s="73"/>
      <c r="T2849" s="73"/>
      <c r="U2849" s="73"/>
      <c r="V2849" s="73"/>
      <c r="W2849" s="73"/>
      <c r="GL2849" s="73"/>
      <c r="GM2849" s="73"/>
      <c r="GN2849" s="73"/>
      <c r="GO2849" s="73"/>
      <c r="GP2849" s="73"/>
      <c r="GQ2849" s="73"/>
      <c r="GR2849" s="73"/>
      <c r="GS2849" s="73"/>
      <c r="GT2849" s="73"/>
      <c r="GU2849" s="73"/>
      <c r="GV2849" s="73"/>
      <c r="GW2849" s="73"/>
      <c r="GX2849" s="73"/>
      <c r="GY2849" s="73"/>
      <c r="GZ2849" s="73"/>
      <c r="HA2849" s="73"/>
      <c r="HB2849" s="73"/>
      <c r="HC2849" s="73"/>
      <c r="HD2849" s="73"/>
      <c r="HE2849" s="73"/>
      <c r="HF2849" s="73"/>
      <c r="HG2849" s="73"/>
      <c r="HH2849" s="73"/>
      <c r="HI2849" s="73"/>
      <c r="HJ2849" s="73"/>
      <c r="HK2849" s="73"/>
      <c r="HL2849" s="73"/>
      <c r="HM2849" s="73"/>
      <c r="HN2849" s="73"/>
      <c r="HO2849" s="73"/>
      <c r="HP2849" s="73"/>
      <c r="HQ2849" s="73"/>
      <c r="HR2849" s="73"/>
      <c r="HS2849" s="73"/>
      <c r="HT2849" s="73"/>
      <c r="HU2849" s="73"/>
      <c r="HV2849" s="73"/>
      <c r="HW2849" s="73"/>
      <c r="HX2849" s="73"/>
      <c r="HY2849" s="73"/>
      <c r="HZ2849" s="73"/>
      <c r="IA2849" s="73"/>
      <c r="IB2849" s="73"/>
      <c r="IC2849" s="73"/>
      <c r="ID2849" s="73"/>
      <c r="IE2849" s="73"/>
      <c r="IF2849" s="73"/>
      <c r="IG2849" s="73"/>
      <c r="IH2849" s="73"/>
      <c r="II2849" s="73"/>
      <c r="IJ2849" s="73"/>
      <c r="IK2849" s="73"/>
      <c r="IL2849" s="73"/>
      <c r="IM2849" s="73"/>
      <c r="IN2849" s="73"/>
      <c r="IO2849" s="73"/>
      <c r="IP2849" s="73"/>
      <c r="IQ2849" s="73"/>
      <c r="IR2849" s="73"/>
      <c r="IS2849" s="73"/>
      <c r="IT2849" s="73"/>
      <c r="IU2849" s="73"/>
      <c r="IV2849" s="73"/>
      <c r="IW2849" s="73"/>
      <c r="IX2849" s="73"/>
      <c r="IY2849" s="73"/>
      <c r="IZ2849" s="73"/>
      <c r="JA2849" s="73"/>
      <c r="JB2849" s="73"/>
      <c r="JC2849" s="73"/>
    </row>
    <row r="2850" spans="2:263" s="72" customFormat="1">
      <c r="B2850" s="73"/>
      <c r="C2850" s="73"/>
      <c r="D2850" s="73"/>
      <c r="E2850" s="73"/>
      <c r="F2850" s="73"/>
      <c r="G2850" s="73"/>
      <c r="H2850" s="73"/>
      <c r="I2850" s="73"/>
      <c r="J2850" s="73"/>
      <c r="K2850" s="73"/>
      <c r="L2850" s="73"/>
      <c r="M2850" s="73"/>
      <c r="N2850" s="73"/>
      <c r="O2850" s="73"/>
      <c r="P2850" s="73"/>
      <c r="Q2850" s="73"/>
      <c r="R2850" s="73"/>
      <c r="S2850" s="73"/>
      <c r="T2850" s="73"/>
      <c r="U2850" s="73"/>
      <c r="V2850" s="73"/>
      <c r="W2850" s="73"/>
      <c r="GL2850" s="73"/>
      <c r="GM2850" s="73"/>
      <c r="GN2850" s="73"/>
      <c r="GO2850" s="73"/>
      <c r="GP2850" s="73"/>
      <c r="GQ2850" s="73"/>
      <c r="GR2850" s="73"/>
      <c r="GS2850" s="73"/>
      <c r="GT2850" s="73"/>
      <c r="GU2850" s="73"/>
      <c r="GV2850" s="73"/>
      <c r="GW2850" s="73"/>
      <c r="GX2850" s="73"/>
      <c r="GY2850" s="73"/>
      <c r="GZ2850" s="73"/>
      <c r="HA2850" s="73"/>
      <c r="HB2850" s="73"/>
      <c r="HC2850" s="73"/>
      <c r="HD2850" s="73"/>
      <c r="HE2850" s="73"/>
      <c r="HF2850" s="73"/>
      <c r="HG2850" s="73"/>
      <c r="HH2850" s="73"/>
      <c r="HI2850" s="73"/>
      <c r="HJ2850" s="73"/>
      <c r="HK2850" s="73"/>
      <c r="HL2850" s="73"/>
      <c r="HM2850" s="73"/>
      <c r="HN2850" s="73"/>
      <c r="HO2850" s="73"/>
      <c r="HP2850" s="73"/>
      <c r="HQ2850" s="73"/>
      <c r="HR2850" s="73"/>
      <c r="HS2850" s="73"/>
      <c r="HT2850" s="73"/>
      <c r="HU2850" s="73"/>
      <c r="HV2850" s="73"/>
      <c r="HW2850" s="73"/>
      <c r="HX2850" s="73"/>
      <c r="HY2850" s="73"/>
      <c r="HZ2850" s="73"/>
      <c r="IA2850" s="73"/>
      <c r="IB2850" s="73"/>
      <c r="IC2850" s="73"/>
      <c r="ID2850" s="73"/>
      <c r="IE2850" s="73"/>
      <c r="IF2850" s="73"/>
      <c r="IG2850" s="73"/>
      <c r="IH2850" s="73"/>
      <c r="II2850" s="73"/>
      <c r="IJ2850" s="73"/>
      <c r="IK2850" s="73"/>
      <c r="IL2850" s="73"/>
      <c r="IM2850" s="73"/>
      <c r="IN2850" s="73"/>
      <c r="IO2850" s="73"/>
      <c r="IP2850" s="73"/>
      <c r="IQ2850" s="73"/>
      <c r="IR2850" s="73"/>
      <c r="IS2850" s="73"/>
      <c r="IT2850" s="73"/>
      <c r="IU2850" s="73"/>
      <c r="IV2850" s="73"/>
      <c r="IW2850" s="73"/>
      <c r="IX2850" s="73"/>
      <c r="IY2850" s="73"/>
      <c r="IZ2850" s="73"/>
      <c r="JA2850" s="73"/>
      <c r="JB2850" s="73"/>
      <c r="JC2850" s="73"/>
    </row>
    <row r="2851" spans="2:263" s="72" customFormat="1">
      <c r="B2851" s="73"/>
      <c r="C2851" s="73"/>
      <c r="D2851" s="73"/>
      <c r="E2851" s="73"/>
      <c r="F2851" s="73"/>
      <c r="G2851" s="73"/>
      <c r="H2851" s="73"/>
      <c r="I2851" s="73"/>
      <c r="J2851" s="73"/>
      <c r="K2851" s="73"/>
      <c r="L2851" s="73"/>
      <c r="M2851" s="73"/>
      <c r="N2851" s="73"/>
      <c r="O2851" s="73"/>
      <c r="P2851" s="73"/>
      <c r="Q2851" s="73"/>
      <c r="R2851" s="73"/>
      <c r="S2851" s="73"/>
      <c r="T2851" s="73"/>
      <c r="U2851" s="73"/>
      <c r="V2851" s="73"/>
      <c r="W2851" s="73"/>
      <c r="GL2851" s="73"/>
      <c r="GM2851" s="73"/>
      <c r="GN2851" s="73"/>
      <c r="GO2851" s="73"/>
      <c r="GP2851" s="73"/>
      <c r="GQ2851" s="73"/>
      <c r="GR2851" s="73"/>
      <c r="GS2851" s="73"/>
      <c r="GT2851" s="73"/>
      <c r="GU2851" s="73"/>
      <c r="GV2851" s="73"/>
      <c r="GW2851" s="73"/>
      <c r="GX2851" s="73"/>
      <c r="GY2851" s="73"/>
      <c r="GZ2851" s="73"/>
      <c r="HA2851" s="73"/>
      <c r="HB2851" s="73"/>
      <c r="HC2851" s="73"/>
      <c r="HD2851" s="73"/>
      <c r="HE2851" s="73"/>
      <c r="HF2851" s="73"/>
      <c r="HG2851" s="73"/>
      <c r="HH2851" s="73"/>
      <c r="HI2851" s="73"/>
      <c r="HJ2851" s="73"/>
      <c r="HK2851" s="73"/>
      <c r="HL2851" s="73"/>
      <c r="HM2851" s="73"/>
      <c r="HN2851" s="73"/>
      <c r="HO2851" s="73"/>
      <c r="HP2851" s="73"/>
      <c r="HQ2851" s="73"/>
      <c r="HR2851" s="73"/>
      <c r="HS2851" s="73"/>
      <c r="HT2851" s="73"/>
      <c r="HU2851" s="73"/>
      <c r="HV2851" s="73"/>
      <c r="HW2851" s="73"/>
      <c r="HX2851" s="73"/>
      <c r="HY2851" s="73"/>
      <c r="HZ2851" s="73"/>
      <c r="IA2851" s="73"/>
      <c r="IB2851" s="73"/>
      <c r="IC2851" s="73"/>
      <c r="ID2851" s="73"/>
      <c r="IE2851" s="73"/>
      <c r="IF2851" s="73"/>
      <c r="IG2851" s="73"/>
      <c r="IH2851" s="73"/>
      <c r="II2851" s="73"/>
      <c r="IJ2851" s="73"/>
      <c r="IK2851" s="73"/>
      <c r="IL2851" s="73"/>
      <c r="IM2851" s="73"/>
      <c r="IN2851" s="73"/>
      <c r="IO2851" s="73"/>
      <c r="IP2851" s="73"/>
      <c r="IQ2851" s="73"/>
      <c r="IR2851" s="73"/>
      <c r="IS2851" s="73"/>
      <c r="IT2851" s="73"/>
      <c r="IU2851" s="73"/>
      <c r="IV2851" s="73"/>
      <c r="IW2851" s="73"/>
      <c r="IX2851" s="73"/>
      <c r="IY2851" s="73"/>
      <c r="IZ2851" s="73"/>
      <c r="JA2851" s="73"/>
      <c r="JB2851" s="73"/>
      <c r="JC2851" s="73"/>
    </row>
    <row r="2852" spans="2:263" s="72" customFormat="1">
      <c r="B2852" s="73"/>
      <c r="C2852" s="73"/>
      <c r="D2852" s="73"/>
      <c r="E2852" s="73"/>
      <c r="F2852" s="73"/>
      <c r="G2852" s="73"/>
      <c r="H2852" s="73"/>
      <c r="I2852" s="73"/>
      <c r="J2852" s="73"/>
      <c r="K2852" s="73"/>
      <c r="L2852" s="73"/>
      <c r="M2852" s="73"/>
      <c r="N2852" s="73"/>
      <c r="O2852" s="73"/>
      <c r="P2852" s="73"/>
      <c r="Q2852" s="73"/>
      <c r="R2852" s="73"/>
      <c r="S2852" s="73"/>
      <c r="T2852" s="73"/>
      <c r="U2852" s="73"/>
      <c r="V2852" s="73"/>
      <c r="W2852" s="73"/>
      <c r="GL2852" s="73"/>
      <c r="GM2852" s="73"/>
      <c r="GN2852" s="73"/>
      <c r="GO2852" s="73"/>
      <c r="GP2852" s="73"/>
      <c r="GQ2852" s="73"/>
      <c r="GR2852" s="73"/>
      <c r="GS2852" s="73"/>
      <c r="GT2852" s="73"/>
      <c r="GU2852" s="73"/>
      <c r="GV2852" s="73"/>
      <c r="GW2852" s="73"/>
      <c r="GX2852" s="73"/>
      <c r="GY2852" s="73"/>
      <c r="GZ2852" s="73"/>
      <c r="HA2852" s="73"/>
      <c r="HB2852" s="73"/>
      <c r="HC2852" s="73"/>
      <c r="HD2852" s="73"/>
      <c r="HE2852" s="73"/>
      <c r="HF2852" s="73"/>
      <c r="HG2852" s="73"/>
      <c r="HH2852" s="73"/>
      <c r="HI2852" s="73"/>
      <c r="HJ2852" s="73"/>
      <c r="HK2852" s="73"/>
      <c r="HL2852" s="73"/>
      <c r="HM2852" s="73"/>
      <c r="HN2852" s="73"/>
      <c r="HO2852" s="73"/>
      <c r="HP2852" s="73"/>
      <c r="HQ2852" s="73"/>
      <c r="HR2852" s="73"/>
      <c r="HS2852" s="73"/>
      <c r="HT2852" s="73"/>
      <c r="HU2852" s="73"/>
      <c r="HV2852" s="73"/>
      <c r="HW2852" s="73"/>
      <c r="HX2852" s="73"/>
      <c r="HY2852" s="73"/>
      <c r="HZ2852" s="73"/>
      <c r="IA2852" s="73"/>
      <c r="IB2852" s="73"/>
      <c r="IC2852" s="73"/>
      <c r="ID2852" s="73"/>
      <c r="IE2852" s="73"/>
      <c r="IF2852" s="73"/>
      <c r="IG2852" s="73"/>
      <c r="IH2852" s="73"/>
      <c r="II2852" s="73"/>
      <c r="IJ2852" s="73"/>
      <c r="IK2852" s="73"/>
      <c r="IL2852" s="73"/>
      <c r="IM2852" s="73"/>
      <c r="IN2852" s="73"/>
      <c r="IO2852" s="73"/>
      <c r="IP2852" s="73"/>
      <c r="IQ2852" s="73"/>
      <c r="IR2852" s="73"/>
      <c r="IS2852" s="73"/>
      <c r="IT2852" s="73"/>
      <c r="IU2852" s="73"/>
      <c r="IV2852" s="73"/>
      <c r="IW2852" s="73"/>
      <c r="IX2852" s="73"/>
      <c r="IY2852" s="73"/>
      <c r="IZ2852" s="73"/>
      <c r="JA2852" s="73"/>
      <c r="JB2852" s="73"/>
      <c r="JC2852" s="73"/>
    </row>
    <row r="2853" spans="2:263" s="72" customFormat="1">
      <c r="B2853" s="73"/>
      <c r="C2853" s="73"/>
      <c r="D2853" s="73"/>
      <c r="E2853" s="73"/>
      <c r="F2853" s="73"/>
      <c r="G2853" s="73"/>
      <c r="H2853" s="73"/>
      <c r="I2853" s="73"/>
      <c r="J2853" s="73"/>
      <c r="K2853" s="73"/>
      <c r="L2853" s="73"/>
      <c r="M2853" s="73"/>
      <c r="N2853" s="73"/>
      <c r="O2853" s="73"/>
      <c r="P2853" s="73"/>
      <c r="Q2853" s="73"/>
      <c r="R2853" s="73"/>
      <c r="S2853" s="73"/>
      <c r="T2853" s="73"/>
      <c r="U2853" s="73"/>
      <c r="V2853" s="73"/>
      <c r="W2853" s="73"/>
      <c r="GL2853" s="73"/>
      <c r="GM2853" s="73"/>
      <c r="GN2853" s="73"/>
      <c r="GO2853" s="73"/>
      <c r="GP2853" s="73"/>
      <c r="GQ2853" s="73"/>
      <c r="GR2853" s="73"/>
      <c r="GS2853" s="73"/>
      <c r="GT2853" s="73"/>
      <c r="GU2853" s="73"/>
      <c r="GV2853" s="73"/>
      <c r="GW2853" s="73"/>
      <c r="GX2853" s="73"/>
      <c r="GY2853" s="73"/>
      <c r="GZ2853" s="73"/>
      <c r="HA2853" s="73"/>
      <c r="HB2853" s="73"/>
      <c r="HC2853" s="73"/>
      <c r="HD2853" s="73"/>
      <c r="HE2853" s="73"/>
      <c r="HF2853" s="73"/>
      <c r="HG2853" s="73"/>
      <c r="HH2853" s="73"/>
      <c r="HI2853" s="73"/>
      <c r="HJ2853" s="73"/>
      <c r="HK2853" s="73"/>
      <c r="HL2853" s="73"/>
      <c r="HM2853" s="73"/>
      <c r="HN2853" s="73"/>
      <c r="HO2853" s="73"/>
      <c r="HP2853" s="73"/>
      <c r="HQ2853" s="73"/>
      <c r="HR2853" s="73"/>
      <c r="HS2853" s="73"/>
      <c r="HT2853" s="73"/>
      <c r="HU2853" s="73"/>
      <c r="HV2853" s="73"/>
      <c r="HW2853" s="73"/>
      <c r="HX2853" s="73"/>
      <c r="HY2853" s="73"/>
      <c r="HZ2853" s="73"/>
      <c r="IA2853" s="73"/>
      <c r="IB2853" s="73"/>
      <c r="IC2853" s="73"/>
      <c r="ID2853" s="73"/>
      <c r="IE2853" s="73"/>
      <c r="IF2853" s="73"/>
      <c r="IG2853" s="73"/>
      <c r="IH2853" s="73"/>
      <c r="II2853" s="73"/>
      <c r="IJ2853" s="73"/>
      <c r="IK2853" s="73"/>
      <c r="IL2853" s="73"/>
      <c r="IM2853" s="73"/>
      <c r="IN2853" s="73"/>
      <c r="IO2853" s="73"/>
      <c r="IP2853" s="73"/>
      <c r="IQ2853" s="73"/>
      <c r="IR2853" s="73"/>
      <c r="IS2853" s="73"/>
      <c r="IT2853" s="73"/>
      <c r="IU2853" s="73"/>
      <c r="IV2853" s="73"/>
      <c r="IW2853" s="73"/>
      <c r="IX2853" s="73"/>
      <c r="IY2853" s="73"/>
      <c r="IZ2853" s="73"/>
      <c r="JA2853" s="73"/>
      <c r="JB2853" s="73"/>
      <c r="JC2853" s="73"/>
    </row>
    <row r="2854" spans="2:263" s="72" customFormat="1">
      <c r="B2854" s="73"/>
      <c r="C2854" s="73"/>
      <c r="D2854" s="73"/>
      <c r="E2854" s="73"/>
      <c r="F2854" s="73"/>
      <c r="G2854" s="73"/>
      <c r="H2854" s="73"/>
      <c r="I2854" s="73"/>
      <c r="J2854" s="73"/>
      <c r="K2854" s="73"/>
      <c r="L2854" s="73"/>
      <c r="M2854" s="73"/>
      <c r="N2854" s="73"/>
      <c r="O2854" s="73"/>
      <c r="P2854" s="73"/>
      <c r="Q2854" s="73"/>
      <c r="R2854" s="73"/>
      <c r="S2854" s="73"/>
      <c r="T2854" s="73"/>
      <c r="U2854" s="73"/>
      <c r="V2854" s="73"/>
      <c r="W2854" s="73"/>
      <c r="GL2854" s="73"/>
      <c r="GM2854" s="73"/>
      <c r="GN2854" s="73"/>
      <c r="GO2854" s="73"/>
      <c r="GP2854" s="73"/>
      <c r="GQ2854" s="73"/>
      <c r="GR2854" s="73"/>
      <c r="GS2854" s="73"/>
      <c r="GT2854" s="73"/>
      <c r="GU2854" s="73"/>
      <c r="GV2854" s="73"/>
      <c r="GW2854" s="73"/>
      <c r="GX2854" s="73"/>
      <c r="GY2854" s="73"/>
      <c r="GZ2854" s="73"/>
      <c r="HA2854" s="73"/>
      <c r="HB2854" s="73"/>
      <c r="HC2854" s="73"/>
      <c r="HD2854" s="73"/>
      <c r="HE2854" s="73"/>
      <c r="HF2854" s="73"/>
      <c r="HG2854" s="73"/>
      <c r="HH2854" s="73"/>
      <c r="HI2854" s="73"/>
      <c r="HJ2854" s="73"/>
      <c r="HK2854" s="73"/>
      <c r="HL2854" s="73"/>
      <c r="HM2854" s="73"/>
      <c r="HN2854" s="73"/>
      <c r="HO2854" s="73"/>
      <c r="HP2854" s="73"/>
      <c r="HQ2854" s="73"/>
      <c r="HR2854" s="73"/>
      <c r="HS2854" s="73"/>
      <c r="HT2854" s="73"/>
      <c r="HU2854" s="73"/>
      <c r="HV2854" s="73"/>
      <c r="HW2854" s="73"/>
      <c r="HX2854" s="73"/>
      <c r="HY2854" s="73"/>
      <c r="HZ2854" s="73"/>
      <c r="IA2854" s="73"/>
      <c r="IB2854" s="73"/>
      <c r="IC2854" s="73"/>
      <c r="ID2854" s="73"/>
      <c r="IE2854" s="73"/>
      <c r="IF2854" s="73"/>
      <c r="IG2854" s="73"/>
      <c r="IH2854" s="73"/>
      <c r="II2854" s="73"/>
      <c r="IJ2854" s="73"/>
      <c r="IK2854" s="73"/>
      <c r="IL2854" s="73"/>
      <c r="IM2854" s="73"/>
      <c r="IN2854" s="73"/>
      <c r="IO2854" s="73"/>
      <c r="IP2854" s="73"/>
      <c r="IQ2854" s="73"/>
      <c r="IR2854" s="73"/>
      <c r="IS2854" s="73"/>
      <c r="IT2854" s="73"/>
      <c r="IU2854" s="73"/>
      <c r="IV2854" s="73"/>
      <c r="IW2854" s="73"/>
      <c r="IX2854" s="73"/>
      <c r="IY2854" s="73"/>
      <c r="IZ2854" s="73"/>
      <c r="JA2854" s="73"/>
      <c r="JB2854" s="73"/>
      <c r="JC2854" s="73"/>
    </row>
    <row r="2855" spans="2:263" s="72" customFormat="1">
      <c r="B2855" s="73"/>
      <c r="C2855" s="73"/>
      <c r="D2855" s="73"/>
      <c r="E2855" s="73"/>
      <c r="F2855" s="73"/>
      <c r="G2855" s="73"/>
      <c r="H2855" s="73"/>
      <c r="I2855" s="73"/>
      <c r="J2855" s="73"/>
      <c r="K2855" s="73"/>
      <c r="L2855" s="73"/>
      <c r="M2855" s="73"/>
      <c r="N2855" s="73"/>
      <c r="O2855" s="73"/>
      <c r="P2855" s="73"/>
      <c r="Q2855" s="73"/>
      <c r="R2855" s="73"/>
      <c r="S2855" s="73"/>
      <c r="T2855" s="73"/>
      <c r="U2855" s="73"/>
      <c r="V2855" s="73"/>
      <c r="W2855" s="73"/>
      <c r="GL2855" s="73"/>
      <c r="GM2855" s="73"/>
      <c r="GN2855" s="73"/>
      <c r="GO2855" s="73"/>
      <c r="GP2855" s="73"/>
      <c r="GQ2855" s="73"/>
      <c r="GR2855" s="73"/>
      <c r="GS2855" s="73"/>
      <c r="GT2855" s="73"/>
      <c r="GU2855" s="73"/>
      <c r="GV2855" s="73"/>
      <c r="GW2855" s="73"/>
      <c r="GX2855" s="73"/>
      <c r="GY2855" s="73"/>
      <c r="GZ2855" s="73"/>
      <c r="HA2855" s="73"/>
      <c r="HB2855" s="73"/>
      <c r="HC2855" s="73"/>
      <c r="HD2855" s="73"/>
      <c r="HE2855" s="73"/>
      <c r="HF2855" s="73"/>
      <c r="HG2855" s="73"/>
      <c r="HH2855" s="73"/>
      <c r="HI2855" s="73"/>
      <c r="HJ2855" s="73"/>
      <c r="HK2855" s="73"/>
      <c r="HL2855" s="73"/>
      <c r="HM2855" s="73"/>
      <c r="HN2855" s="73"/>
      <c r="HO2855" s="73"/>
      <c r="HP2855" s="73"/>
      <c r="HQ2855" s="73"/>
      <c r="HR2855" s="73"/>
      <c r="HS2855" s="73"/>
      <c r="HT2855" s="73"/>
      <c r="HU2855" s="73"/>
      <c r="HV2855" s="73"/>
      <c r="HW2855" s="73"/>
      <c r="HX2855" s="73"/>
      <c r="HY2855" s="73"/>
      <c r="HZ2855" s="73"/>
      <c r="IA2855" s="73"/>
      <c r="IB2855" s="73"/>
      <c r="IC2855" s="73"/>
      <c r="ID2855" s="73"/>
      <c r="IE2855" s="73"/>
      <c r="IF2855" s="73"/>
      <c r="IG2855" s="73"/>
      <c r="IH2855" s="73"/>
      <c r="II2855" s="73"/>
      <c r="IJ2855" s="73"/>
      <c r="IK2855" s="73"/>
      <c r="IL2855" s="73"/>
      <c r="IM2855" s="73"/>
      <c r="IN2855" s="73"/>
      <c r="IO2855" s="73"/>
      <c r="IP2855" s="73"/>
      <c r="IQ2855" s="73"/>
      <c r="IR2855" s="73"/>
      <c r="IS2855" s="73"/>
      <c r="IT2855" s="73"/>
      <c r="IU2855" s="73"/>
      <c r="IV2855" s="73"/>
      <c r="IW2855" s="73"/>
      <c r="IX2855" s="73"/>
      <c r="IY2855" s="73"/>
      <c r="IZ2855" s="73"/>
      <c r="JA2855" s="73"/>
      <c r="JB2855" s="73"/>
      <c r="JC2855" s="73"/>
    </row>
    <row r="2856" spans="2:263" s="72" customFormat="1">
      <c r="B2856" s="73"/>
      <c r="C2856" s="73"/>
      <c r="D2856" s="73"/>
      <c r="E2856" s="73"/>
      <c r="F2856" s="73"/>
      <c r="G2856" s="73"/>
      <c r="H2856" s="73"/>
      <c r="I2856" s="73"/>
      <c r="J2856" s="73"/>
      <c r="K2856" s="73"/>
      <c r="L2856" s="73"/>
      <c r="M2856" s="73"/>
      <c r="N2856" s="73"/>
      <c r="O2856" s="73"/>
      <c r="P2856" s="73"/>
      <c r="Q2856" s="73"/>
      <c r="R2856" s="73"/>
      <c r="S2856" s="73"/>
      <c r="T2856" s="73"/>
      <c r="U2856" s="73"/>
      <c r="V2856" s="73"/>
      <c r="W2856" s="73"/>
      <c r="GL2856" s="73"/>
      <c r="GM2856" s="73"/>
      <c r="GN2856" s="73"/>
      <c r="GO2856" s="73"/>
      <c r="GP2856" s="73"/>
      <c r="GQ2856" s="73"/>
      <c r="GR2856" s="73"/>
      <c r="GS2856" s="73"/>
      <c r="GT2856" s="73"/>
      <c r="GU2856" s="73"/>
      <c r="GV2856" s="73"/>
      <c r="GW2856" s="73"/>
      <c r="GX2856" s="73"/>
      <c r="GY2856" s="73"/>
      <c r="GZ2856" s="73"/>
      <c r="HA2856" s="73"/>
      <c r="HB2856" s="73"/>
      <c r="HC2856" s="73"/>
      <c r="HD2856" s="73"/>
      <c r="HE2856" s="73"/>
      <c r="HF2856" s="73"/>
      <c r="HG2856" s="73"/>
      <c r="HH2856" s="73"/>
      <c r="HI2856" s="73"/>
      <c r="HJ2856" s="73"/>
      <c r="HK2856" s="73"/>
      <c r="HL2856" s="73"/>
      <c r="HM2856" s="73"/>
      <c r="HN2856" s="73"/>
      <c r="HO2856" s="73"/>
      <c r="HP2856" s="73"/>
      <c r="HQ2856" s="73"/>
      <c r="HR2856" s="73"/>
      <c r="HS2856" s="73"/>
      <c r="HT2856" s="73"/>
      <c r="HU2856" s="73"/>
      <c r="HV2856" s="73"/>
      <c r="HW2856" s="73"/>
      <c r="HX2856" s="73"/>
      <c r="HY2856" s="73"/>
      <c r="HZ2856" s="73"/>
      <c r="IA2856" s="73"/>
      <c r="IB2856" s="73"/>
      <c r="IC2856" s="73"/>
      <c r="ID2856" s="73"/>
      <c r="IE2856" s="73"/>
      <c r="IF2856" s="73"/>
      <c r="IG2856" s="73"/>
      <c r="IH2856" s="73"/>
      <c r="II2856" s="73"/>
      <c r="IJ2856" s="73"/>
      <c r="IK2856" s="73"/>
      <c r="IL2856" s="73"/>
      <c r="IM2856" s="73"/>
      <c r="IN2856" s="73"/>
      <c r="IO2856" s="73"/>
      <c r="IP2856" s="73"/>
      <c r="IQ2856" s="73"/>
      <c r="IR2856" s="73"/>
      <c r="IS2856" s="73"/>
      <c r="IT2856" s="73"/>
      <c r="IU2856" s="73"/>
      <c r="IV2856" s="73"/>
      <c r="IW2856" s="73"/>
      <c r="IX2856" s="73"/>
      <c r="IY2856" s="73"/>
      <c r="IZ2856" s="73"/>
      <c r="JA2856" s="73"/>
      <c r="JB2856" s="73"/>
      <c r="JC2856" s="73"/>
    </row>
    <row r="2857" spans="2:263" s="72" customFormat="1">
      <c r="B2857" s="73"/>
      <c r="C2857" s="73"/>
      <c r="D2857" s="73"/>
      <c r="E2857" s="73"/>
      <c r="F2857" s="73"/>
      <c r="G2857" s="73"/>
      <c r="H2857" s="73"/>
      <c r="I2857" s="73"/>
      <c r="J2857" s="73"/>
      <c r="K2857" s="73"/>
      <c r="L2857" s="73"/>
      <c r="M2857" s="73"/>
      <c r="N2857" s="73"/>
      <c r="O2857" s="73"/>
      <c r="P2857" s="73"/>
      <c r="Q2857" s="73"/>
      <c r="R2857" s="73"/>
      <c r="S2857" s="73"/>
      <c r="T2857" s="73"/>
      <c r="U2857" s="73"/>
      <c r="V2857" s="73"/>
      <c r="W2857" s="73"/>
      <c r="GL2857" s="73"/>
      <c r="GM2857" s="73"/>
      <c r="GN2857" s="73"/>
      <c r="GO2857" s="73"/>
      <c r="GP2857" s="73"/>
      <c r="GQ2857" s="73"/>
      <c r="GR2857" s="73"/>
      <c r="GS2857" s="73"/>
      <c r="GT2857" s="73"/>
      <c r="GU2857" s="73"/>
      <c r="GV2857" s="73"/>
      <c r="GW2857" s="73"/>
      <c r="GX2857" s="73"/>
      <c r="GY2857" s="73"/>
      <c r="GZ2857" s="73"/>
      <c r="HA2857" s="73"/>
      <c r="HB2857" s="73"/>
      <c r="HC2857" s="73"/>
      <c r="HD2857" s="73"/>
      <c r="HE2857" s="73"/>
      <c r="HF2857" s="73"/>
      <c r="HG2857" s="73"/>
      <c r="HH2857" s="73"/>
      <c r="HI2857" s="73"/>
      <c r="HJ2857" s="73"/>
      <c r="HK2857" s="73"/>
      <c r="HL2857" s="73"/>
      <c r="HM2857" s="73"/>
      <c r="HN2857" s="73"/>
      <c r="HO2857" s="73"/>
      <c r="HP2857" s="73"/>
      <c r="HQ2857" s="73"/>
      <c r="HR2857" s="73"/>
      <c r="HS2857" s="73"/>
      <c r="HT2857" s="73"/>
      <c r="HU2857" s="73"/>
      <c r="HV2857" s="73"/>
      <c r="HW2857" s="73"/>
      <c r="HX2857" s="73"/>
      <c r="HY2857" s="73"/>
      <c r="HZ2857" s="73"/>
      <c r="IA2857" s="73"/>
      <c r="IB2857" s="73"/>
      <c r="IC2857" s="73"/>
      <c r="ID2857" s="73"/>
      <c r="IE2857" s="73"/>
      <c r="IF2857" s="73"/>
      <c r="IG2857" s="73"/>
      <c r="IH2857" s="73"/>
      <c r="II2857" s="73"/>
      <c r="IJ2857" s="73"/>
      <c r="IK2857" s="73"/>
      <c r="IL2857" s="73"/>
      <c r="IM2857" s="73"/>
      <c r="IN2857" s="73"/>
      <c r="IO2857" s="73"/>
      <c r="IP2857" s="73"/>
      <c r="IQ2857" s="73"/>
      <c r="IR2857" s="73"/>
      <c r="IS2857" s="73"/>
      <c r="IT2857" s="73"/>
      <c r="IU2857" s="73"/>
      <c r="IV2857" s="73"/>
      <c r="IW2857" s="73"/>
      <c r="IX2857" s="73"/>
      <c r="IY2857" s="73"/>
      <c r="IZ2857" s="73"/>
      <c r="JA2857" s="73"/>
      <c r="JB2857" s="73"/>
      <c r="JC2857" s="73"/>
    </row>
    <row r="2858" spans="2:263" s="72" customFormat="1">
      <c r="B2858" s="73"/>
      <c r="C2858" s="73"/>
      <c r="D2858" s="73"/>
      <c r="E2858" s="73"/>
      <c r="F2858" s="73"/>
      <c r="G2858" s="73"/>
      <c r="H2858" s="73"/>
      <c r="I2858" s="73"/>
      <c r="J2858" s="73"/>
      <c r="K2858" s="73"/>
      <c r="L2858" s="73"/>
      <c r="M2858" s="73"/>
      <c r="N2858" s="73"/>
      <c r="O2858" s="73"/>
      <c r="P2858" s="73"/>
      <c r="Q2858" s="73"/>
      <c r="R2858" s="73"/>
      <c r="S2858" s="73"/>
      <c r="T2858" s="73"/>
      <c r="U2858" s="73"/>
      <c r="V2858" s="73"/>
      <c r="W2858" s="73"/>
      <c r="GL2858" s="73"/>
      <c r="GM2858" s="73"/>
      <c r="GN2858" s="73"/>
      <c r="GO2858" s="73"/>
      <c r="GP2858" s="73"/>
      <c r="GQ2858" s="73"/>
      <c r="GR2858" s="73"/>
      <c r="GS2858" s="73"/>
      <c r="GT2858" s="73"/>
      <c r="GU2858" s="73"/>
      <c r="GV2858" s="73"/>
      <c r="GW2858" s="73"/>
      <c r="GX2858" s="73"/>
      <c r="GY2858" s="73"/>
      <c r="GZ2858" s="73"/>
      <c r="HA2858" s="73"/>
      <c r="HB2858" s="73"/>
      <c r="HC2858" s="73"/>
      <c r="HD2858" s="73"/>
      <c r="HE2858" s="73"/>
      <c r="HF2858" s="73"/>
      <c r="HG2858" s="73"/>
      <c r="HH2858" s="73"/>
      <c r="HI2858" s="73"/>
      <c r="HJ2858" s="73"/>
      <c r="HK2858" s="73"/>
      <c r="HL2858" s="73"/>
      <c r="HM2858" s="73"/>
      <c r="HN2858" s="73"/>
      <c r="HO2858" s="73"/>
      <c r="HP2858" s="73"/>
      <c r="HQ2858" s="73"/>
      <c r="HR2858" s="73"/>
      <c r="HS2858" s="73"/>
      <c r="HT2858" s="73"/>
      <c r="HU2858" s="73"/>
      <c r="HV2858" s="73"/>
      <c r="HW2858" s="73"/>
      <c r="HX2858" s="73"/>
      <c r="HY2858" s="73"/>
      <c r="HZ2858" s="73"/>
      <c r="IA2858" s="73"/>
      <c r="IB2858" s="73"/>
      <c r="IC2858" s="73"/>
      <c r="ID2858" s="73"/>
      <c r="IE2858" s="73"/>
      <c r="IF2858" s="73"/>
      <c r="IG2858" s="73"/>
      <c r="IH2858" s="73"/>
      <c r="II2858" s="73"/>
      <c r="IJ2858" s="73"/>
      <c r="IK2858" s="73"/>
      <c r="IL2858" s="73"/>
      <c r="IM2858" s="73"/>
      <c r="IN2858" s="73"/>
      <c r="IO2858" s="73"/>
      <c r="IP2858" s="73"/>
      <c r="IQ2858" s="73"/>
      <c r="IR2858" s="73"/>
      <c r="IS2858" s="73"/>
      <c r="IT2858" s="73"/>
      <c r="IU2858" s="73"/>
      <c r="IV2858" s="73"/>
      <c r="IW2858" s="73"/>
      <c r="IX2858" s="73"/>
      <c r="IY2858" s="73"/>
      <c r="IZ2858" s="73"/>
      <c r="JA2858" s="73"/>
      <c r="JB2858" s="73"/>
      <c r="JC2858" s="73"/>
    </row>
    <row r="2859" spans="2:263" s="72" customFormat="1">
      <c r="B2859" s="73"/>
      <c r="C2859" s="73"/>
      <c r="D2859" s="73"/>
      <c r="E2859" s="73"/>
      <c r="F2859" s="73"/>
      <c r="G2859" s="73"/>
      <c r="H2859" s="73"/>
      <c r="I2859" s="73"/>
      <c r="J2859" s="73"/>
      <c r="K2859" s="73"/>
      <c r="L2859" s="73"/>
      <c r="M2859" s="73"/>
      <c r="N2859" s="73"/>
      <c r="O2859" s="73"/>
      <c r="P2859" s="73"/>
      <c r="Q2859" s="73"/>
      <c r="R2859" s="73"/>
      <c r="S2859" s="73"/>
      <c r="T2859" s="73"/>
      <c r="U2859" s="73"/>
      <c r="V2859" s="73"/>
      <c r="W2859" s="73"/>
      <c r="GL2859" s="73"/>
      <c r="GM2859" s="73"/>
      <c r="GN2859" s="73"/>
      <c r="GO2859" s="73"/>
      <c r="GP2859" s="73"/>
      <c r="GQ2859" s="73"/>
      <c r="GR2859" s="73"/>
      <c r="GS2859" s="73"/>
      <c r="GT2859" s="73"/>
      <c r="GU2859" s="73"/>
      <c r="GV2859" s="73"/>
      <c r="GW2859" s="73"/>
      <c r="GX2859" s="73"/>
      <c r="GY2859" s="73"/>
      <c r="GZ2859" s="73"/>
      <c r="HA2859" s="73"/>
      <c r="HB2859" s="73"/>
      <c r="HC2859" s="73"/>
      <c r="HD2859" s="73"/>
      <c r="HE2859" s="73"/>
      <c r="HF2859" s="73"/>
      <c r="HG2859" s="73"/>
      <c r="HH2859" s="73"/>
      <c r="HI2859" s="73"/>
      <c r="HJ2859" s="73"/>
      <c r="HK2859" s="73"/>
      <c r="HL2859" s="73"/>
      <c r="HM2859" s="73"/>
      <c r="HN2859" s="73"/>
      <c r="HO2859" s="73"/>
      <c r="HP2859" s="73"/>
      <c r="HQ2859" s="73"/>
      <c r="HR2859" s="73"/>
      <c r="HS2859" s="73"/>
      <c r="HT2859" s="73"/>
      <c r="HU2859" s="73"/>
      <c r="HV2859" s="73"/>
      <c r="HW2859" s="73"/>
      <c r="HX2859" s="73"/>
      <c r="HY2859" s="73"/>
      <c r="HZ2859" s="73"/>
      <c r="IA2859" s="73"/>
      <c r="IB2859" s="73"/>
      <c r="IC2859" s="73"/>
      <c r="ID2859" s="73"/>
      <c r="IE2859" s="73"/>
      <c r="IF2859" s="73"/>
      <c r="IG2859" s="73"/>
      <c r="IH2859" s="73"/>
      <c r="II2859" s="73"/>
      <c r="IJ2859" s="73"/>
      <c r="IK2859" s="73"/>
      <c r="IL2859" s="73"/>
      <c r="IM2859" s="73"/>
      <c r="IN2859" s="73"/>
      <c r="IO2859" s="73"/>
      <c r="IP2859" s="73"/>
      <c r="IQ2859" s="73"/>
      <c r="IR2859" s="73"/>
      <c r="IS2859" s="73"/>
      <c r="IT2859" s="73"/>
      <c r="IU2859" s="73"/>
      <c r="IV2859" s="73"/>
      <c r="IW2859" s="73"/>
      <c r="IX2859" s="73"/>
      <c r="IY2859" s="73"/>
      <c r="IZ2859" s="73"/>
      <c r="JA2859" s="73"/>
      <c r="JB2859" s="73"/>
      <c r="JC2859" s="73"/>
    </row>
    <row r="2860" spans="2:263" s="72" customFormat="1">
      <c r="B2860" s="73"/>
      <c r="C2860" s="73"/>
      <c r="D2860" s="73"/>
      <c r="E2860" s="73"/>
      <c r="F2860" s="73"/>
      <c r="G2860" s="73"/>
      <c r="H2860" s="73"/>
      <c r="I2860" s="73"/>
      <c r="J2860" s="73"/>
      <c r="K2860" s="73"/>
      <c r="L2860" s="73"/>
      <c r="M2860" s="73"/>
      <c r="N2860" s="73"/>
      <c r="O2860" s="73"/>
      <c r="P2860" s="73"/>
      <c r="Q2860" s="73"/>
      <c r="R2860" s="73"/>
      <c r="S2860" s="73"/>
      <c r="T2860" s="73"/>
      <c r="U2860" s="73"/>
      <c r="V2860" s="73"/>
      <c r="W2860" s="73"/>
      <c r="GL2860" s="73"/>
      <c r="GM2860" s="73"/>
      <c r="GN2860" s="73"/>
      <c r="GO2860" s="73"/>
      <c r="GP2860" s="73"/>
      <c r="GQ2860" s="73"/>
      <c r="GR2860" s="73"/>
      <c r="GS2860" s="73"/>
      <c r="GT2860" s="73"/>
      <c r="GU2860" s="73"/>
      <c r="GV2860" s="73"/>
      <c r="GW2860" s="73"/>
      <c r="GX2860" s="73"/>
      <c r="GY2860" s="73"/>
      <c r="GZ2860" s="73"/>
      <c r="HA2860" s="73"/>
      <c r="HB2860" s="73"/>
      <c r="HC2860" s="73"/>
      <c r="HD2860" s="73"/>
      <c r="HE2860" s="73"/>
      <c r="HF2860" s="73"/>
      <c r="HG2860" s="73"/>
      <c r="HH2860" s="73"/>
      <c r="HI2860" s="73"/>
      <c r="HJ2860" s="73"/>
      <c r="HK2860" s="73"/>
      <c r="HL2860" s="73"/>
      <c r="HM2860" s="73"/>
      <c r="HN2860" s="73"/>
      <c r="HO2860" s="73"/>
      <c r="HP2860" s="73"/>
      <c r="HQ2860" s="73"/>
      <c r="HR2860" s="73"/>
      <c r="HS2860" s="73"/>
      <c r="HT2860" s="73"/>
      <c r="HU2860" s="73"/>
      <c r="HV2860" s="73"/>
      <c r="HW2860" s="73"/>
      <c r="HX2860" s="73"/>
      <c r="HY2860" s="73"/>
      <c r="HZ2860" s="73"/>
      <c r="IA2860" s="73"/>
      <c r="IB2860" s="73"/>
      <c r="IC2860" s="73"/>
      <c r="ID2860" s="73"/>
      <c r="IE2860" s="73"/>
      <c r="IF2860" s="73"/>
      <c r="IG2860" s="73"/>
      <c r="IH2860" s="73"/>
      <c r="II2860" s="73"/>
      <c r="IJ2860" s="73"/>
      <c r="IK2860" s="73"/>
      <c r="IL2860" s="73"/>
      <c r="IM2860" s="73"/>
      <c r="IN2860" s="73"/>
      <c r="IO2860" s="73"/>
      <c r="IP2860" s="73"/>
      <c r="IQ2860" s="73"/>
      <c r="IR2860" s="73"/>
      <c r="IS2860" s="73"/>
      <c r="IT2860" s="73"/>
      <c r="IU2860" s="73"/>
      <c r="IV2860" s="73"/>
      <c r="IW2860" s="73"/>
      <c r="IX2860" s="73"/>
      <c r="IY2860" s="73"/>
      <c r="IZ2860" s="73"/>
      <c r="JA2860" s="73"/>
      <c r="JB2860" s="73"/>
      <c r="JC2860" s="73"/>
    </row>
    <row r="2861" spans="2:263" s="72" customFormat="1">
      <c r="B2861" s="73"/>
      <c r="C2861" s="73"/>
      <c r="D2861" s="73"/>
      <c r="E2861" s="73"/>
      <c r="F2861" s="73"/>
      <c r="G2861" s="73"/>
      <c r="H2861" s="73"/>
      <c r="I2861" s="73"/>
      <c r="J2861" s="73"/>
      <c r="K2861" s="73"/>
      <c r="L2861" s="73"/>
      <c r="M2861" s="73"/>
      <c r="N2861" s="73"/>
      <c r="O2861" s="73"/>
      <c r="P2861" s="73"/>
      <c r="Q2861" s="73"/>
      <c r="R2861" s="73"/>
      <c r="S2861" s="73"/>
      <c r="T2861" s="73"/>
      <c r="U2861" s="73"/>
      <c r="V2861" s="73"/>
      <c r="W2861" s="73"/>
      <c r="GL2861" s="73"/>
      <c r="GM2861" s="73"/>
      <c r="GN2861" s="73"/>
      <c r="GO2861" s="73"/>
      <c r="GP2861" s="73"/>
      <c r="GQ2861" s="73"/>
      <c r="GR2861" s="73"/>
      <c r="GS2861" s="73"/>
      <c r="GT2861" s="73"/>
      <c r="GU2861" s="73"/>
      <c r="GV2861" s="73"/>
      <c r="GW2861" s="73"/>
      <c r="GX2861" s="73"/>
      <c r="GY2861" s="73"/>
      <c r="GZ2861" s="73"/>
      <c r="HA2861" s="73"/>
      <c r="HB2861" s="73"/>
      <c r="HC2861" s="73"/>
      <c r="HD2861" s="73"/>
      <c r="HE2861" s="73"/>
      <c r="HF2861" s="73"/>
      <c r="HG2861" s="73"/>
      <c r="HH2861" s="73"/>
      <c r="HI2861" s="73"/>
      <c r="HJ2861" s="73"/>
      <c r="HK2861" s="73"/>
      <c r="HL2861" s="73"/>
      <c r="HM2861" s="73"/>
      <c r="HN2861" s="73"/>
      <c r="HO2861" s="73"/>
      <c r="HP2861" s="73"/>
      <c r="HQ2861" s="73"/>
      <c r="HR2861" s="73"/>
      <c r="HS2861" s="73"/>
      <c r="HT2861" s="73"/>
      <c r="HU2861" s="73"/>
      <c r="HV2861" s="73"/>
      <c r="HW2861" s="73"/>
      <c r="HX2861" s="73"/>
      <c r="HY2861" s="73"/>
      <c r="HZ2861" s="73"/>
      <c r="IA2861" s="73"/>
      <c r="IB2861" s="73"/>
      <c r="IC2861" s="73"/>
      <c r="ID2861" s="73"/>
      <c r="IE2861" s="73"/>
      <c r="IF2861" s="73"/>
      <c r="IG2861" s="73"/>
      <c r="IH2861" s="73"/>
      <c r="II2861" s="73"/>
      <c r="IJ2861" s="73"/>
      <c r="IK2861" s="73"/>
      <c r="IL2861" s="73"/>
      <c r="IM2861" s="73"/>
      <c r="IN2861" s="73"/>
      <c r="IO2861" s="73"/>
      <c r="IP2861" s="73"/>
      <c r="IQ2861" s="73"/>
      <c r="IR2861" s="73"/>
      <c r="IS2861" s="73"/>
      <c r="IT2861" s="73"/>
      <c r="IU2861" s="73"/>
      <c r="IV2861" s="73"/>
      <c r="IW2861" s="73"/>
      <c r="IX2861" s="73"/>
      <c r="IY2861" s="73"/>
      <c r="IZ2861" s="73"/>
      <c r="JA2861" s="73"/>
      <c r="JB2861" s="73"/>
      <c r="JC2861" s="73"/>
    </row>
    <row r="2862" spans="2:263" s="72" customFormat="1">
      <c r="B2862" s="73"/>
      <c r="C2862" s="73"/>
      <c r="D2862" s="73"/>
      <c r="E2862" s="73"/>
      <c r="F2862" s="73"/>
      <c r="G2862" s="73"/>
      <c r="H2862" s="73"/>
      <c r="I2862" s="73"/>
      <c r="J2862" s="73"/>
      <c r="K2862" s="73"/>
      <c r="L2862" s="73"/>
      <c r="M2862" s="73"/>
      <c r="N2862" s="73"/>
      <c r="O2862" s="73"/>
      <c r="P2862" s="73"/>
      <c r="Q2862" s="73"/>
      <c r="R2862" s="73"/>
      <c r="S2862" s="73"/>
      <c r="T2862" s="73"/>
      <c r="U2862" s="73"/>
      <c r="V2862" s="73"/>
      <c r="W2862" s="73"/>
      <c r="GL2862" s="73"/>
      <c r="GM2862" s="73"/>
      <c r="GN2862" s="73"/>
      <c r="GO2862" s="73"/>
      <c r="GP2862" s="73"/>
      <c r="GQ2862" s="73"/>
      <c r="GR2862" s="73"/>
      <c r="GS2862" s="73"/>
      <c r="GT2862" s="73"/>
      <c r="GU2862" s="73"/>
      <c r="GV2862" s="73"/>
      <c r="GW2862" s="73"/>
      <c r="GX2862" s="73"/>
      <c r="GY2862" s="73"/>
      <c r="GZ2862" s="73"/>
      <c r="HA2862" s="73"/>
      <c r="HB2862" s="73"/>
      <c r="HC2862" s="73"/>
      <c r="HD2862" s="73"/>
      <c r="HE2862" s="73"/>
      <c r="HF2862" s="73"/>
      <c r="HG2862" s="73"/>
      <c r="HH2862" s="73"/>
      <c r="HI2862" s="73"/>
      <c r="HJ2862" s="73"/>
      <c r="HK2862" s="73"/>
      <c r="HL2862" s="73"/>
      <c r="HM2862" s="73"/>
      <c r="HN2862" s="73"/>
      <c r="HO2862" s="73"/>
      <c r="HP2862" s="73"/>
      <c r="HQ2862" s="73"/>
      <c r="HR2862" s="73"/>
      <c r="HS2862" s="73"/>
      <c r="HT2862" s="73"/>
      <c r="HU2862" s="73"/>
      <c r="HV2862" s="73"/>
      <c r="HW2862" s="73"/>
      <c r="HX2862" s="73"/>
      <c r="HY2862" s="73"/>
      <c r="HZ2862" s="73"/>
      <c r="IA2862" s="73"/>
      <c r="IB2862" s="73"/>
      <c r="IC2862" s="73"/>
      <c r="ID2862" s="73"/>
      <c r="IE2862" s="73"/>
      <c r="IF2862" s="73"/>
      <c r="IG2862" s="73"/>
      <c r="IH2862" s="73"/>
      <c r="II2862" s="73"/>
      <c r="IJ2862" s="73"/>
      <c r="IK2862" s="73"/>
      <c r="IL2862" s="73"/>
      <c r="IM2862" s="73"/>
      <c r="IN2862" s="73"/>
      <c r="IO2862" s="73"/>
      <c r="IP2862" s="73"/>
      <c r="IQ2862" s="73"/>
      <c r="IR2862" s="73"/>
      <c r="IS2862" s="73"/>
      <c r="IT2862" s="73"/>
      <c r="IU2862" s="73"/>
      <c r="IV2862" s="73"/>
      <c r="IW2862" s="73"/>
      <c r="IX2862" s="73"/>
      <c r="IY2862" s="73"/>
      <c r="IZ2862" s="73"/>
      <c r="JA2862" s="73"/>
      <c r="JB2862" s="73"/>
      <c r="JC2862" s="73"/>
    </row>
    <row r="2863" spans="2:263" s="72" customFormat="1">
      <c r="B2863" s="73"/>
      <c r="C2863" s="73"/>
      <c r="D2863" s="73"/>
      <c r="E2863" s="73"/>
      <c r="F2863" s="73"/>
      <c r="G2863" s="73"/>
      <c r="H2863" s="73"/>
      <c r="I2863" s="73"/>
      <c r="J2863" s="73"/>
      <c r="K2863" s="73"/>
      <c r="L2863" s="73"/>
      <c r="M2863" s="73"/>
      <c r="N2863" s="73"/>
      <c r="O2863" s="73"/>
      <c r="P2863" s="73"/>
      <c r="Q2863" s="73"/>
      <c r="R2863" s="73"/>
      <c r="S2863" s="73"/>
      <c r="T2863" s="73"/>
      <c r="U2863" s="73"/>
      <c r="V2863" s="73"/>
      <c r="W2863" s="73"/>
      <c r="GL2863" s="73"/>
      <c r="GM2863" s="73"/>
      <c r="GN2863" s="73"/>
      <c r="GO2863" s="73"/>
      <c r="GP2863" s="73"/>
      <c r="GQ2863" s="73"/>
      <c r="GR2863" s="73"/>
      <c r="GS2863" s="73"/>
      <c r="GT2863" s="73"/>
      <c r="GU2863" s="73"/>
      <c r="GV2863" s="73"/>
      <c r="GW2863" s="73"/>
      <c r="GX2863" s="73"/>
      <c r="GY2863" s="73"/>
      <c r="GZ2863" s="73"/>
      <c r="HA2863" s="73"/>
      <c r="HB2863" s="73"/>
      <c r="HC2863" s="73"/>
      <c r="HD2863" s="73"/>
      <c r="HE2863" s="73"/>
      <c r="HF2863" s="73"/>
      <c r="HG2863" s="73"/>
      <c r="HH2863" s="73"/>
      <c r="HI2863" s="73"/>
      <c r="HJ2863" s="73"/>
      <c r="HK2863" s="73"/>
      <c r="HL2863" s="73"/>
      <c r="HM2863" s="73"/>
      <c r="HN2863" s="73"/>
      <c r="HO2863" s="73"/>
      <c r="HP2863" s="73"/>
      <c r="HQ2863" s="73"/>
      <c r="HR2863" s="73"/>
      <c r="HS2863" s="73"/>
      <c r="HT2863" s="73"/>
      <c r="HU2863" s="73"/>
      <c r="HV2863" s="73"/>
      <c r="HW2863" s="73"/>
      <c r="HX2863" s="73"/>
      <c r="HY2863" s="73"/>
      <c r="HZ2863" s="73"/>
      <c r="IA2863" s="73"/>
      <c r="IB2863" s="73"/>
      <c r="IC2863" s="73"/>
      <c r="ID2863" s="73"/>
      <c r="IE2863" s="73"/>
      <c r="IF2863" s="73"/>
      <c r="IG2863" s="73"/>
      <c r="IH2863" s="73"/>
      <c r="II2863" s="73"/>
      <c r="IJ2863" s="73"/>
      <c r="IK2863" s="73"/>
      <c r="IL2863" s="73"/>
      <c r="IM2863" s="73"/>
      <c r="IN2863" s="73"/>
      <c r="IO2863" s="73"/>
      <c r="IP2863" s="73"/>
      <c r="IQ2863" s="73"/>
      <c r="IR2863" s="73"/>
      <c r="IS2863" s="73"/>
      <c r="IT2863" s="73"/>
      <c r="IU2863" s="73"/>
      <c r="IV2863" s="73"/>
      <c r="IW2863" s="73"/>
      <c r="IX2863" s="73"/>
      <c r="IY2863" s="73"/>
      <c r="IZ2863" s="73"/>
      <c r="JA2863" s="73"/>
      <c r="JB2863" s="73"/>
      <c r="JC2863" s="73"/>
    </row>
    <row r="2864" spans="2:263" s="72" customFormat="1">
      <c r="B2864" s="73"/>
      <c r="C2864" s="73"/>
      <c r="D2864" s="73"/>
      <c r="E2864" s="73"/>
      <c r="F2864" s="73"/>
      <c r="G2864" s="73"/>
      <c r="H2864" s="73"/>
      <c r="I2864" s="73"/>
      <c r="J2864" s="73"/>
      <c r="K2864" s="73"/>
      <c r="L2864" s="73"/>
      <c r="M2864" s="73"/>
      <c r="N2864" s="73"/>
      <c r="O2864" s="73"/>
      <c r="P2864" s="73"/>
      <c r="Q2864" s="73"/>
      <c r="R2864" s="73"/>
      <c r="S2864" s="73"/>
      <c r="T2864" s="73"/>
      <c r="U2864" s="73"/>
      <c r="V2864" s="73"/>
      <c r="W2864" s="73"/>
      <c r="GL2864" s="73"/>
      <c r="GM2864" s="73"/>
      <c r="GN2864" s="73"/>
      <c r="GO2864" s="73"/>
      <c r="GP2864" s="73"/>
      <c r="GQ2864" s="73"/>
      <c r="GR2864" s="73"/>
      <c r="GS2864" s="73"/>
      <c r="GT2864" s="73"/>
      <c r="GU2864" s="73"/>
      <c r="GV2864" s="73"/>
      <c r="GW2864" s="73"/>
      <c r="GX2864" s="73"/>
      <c r="GY2864" s="73"/>
      <c r="GZ2864" s="73"/>
      <c r="HA2864" s="73"/>
      <c r="HB2864" s="73"/>
      <c r="HC2864" s="73"/>
      <c r="HD2864" s="73"/>
      <c r="HE2864" s="73"/>
      <c r="HF2864" s="73"/>
      <c r="HG2864" s="73"/>
      <c r="HH2864" s="73"/>
      <c r="HI2864" s="73"/>
      <c r="HJ2864" s="73"/>
      <c r="HK2864" s="73"/>
      <c r="HL2864" s="73"/>
      <c r="HM2864" s="73"/>
      <c r="HN2864" s="73"/>
      <c r="HO2864" s="73"/>
      <c r="HP2864" s="73"/>
      <c r="HQ2864" s="73"/>
      <c r="HR2864" s="73"/>
      <c r="HS2864" s="73"/>
      <c r="HT2864" s="73"/>
      <c r="HU2864" s="73"/>
      <c r="HV2864" s="73"/>
      <c r="HW2864" s="73"/>
      <c r="HX2864" s="73"/>
      <c r="HY2864" s="73"/>
      <c r="HZ2864" s="73"/>
      <c r="IA2864" s="73"/>
      <c r="IB2864" s="73"/>
      <c r="IC2864" s="73"/>
      <c r="ID2864" s="73"/>
      <c r="IE2864" s="73"/>
      <c r="IF2864" s="73"/>
      <c r="IG2864" s="73"/>
      <c r="IH2864" s="73"/>
      <c r="II2864" s="73"/>
      <c r="IJ2864" s="73"/>
      <c r="IK2864" s="73"/>
      <c r="IL2864" s="73"/>
      <c r="IM2864" s="73"/>
      <c r="IN2864" s="73"/>
      <c r="IO2864" s="73"/>
      <c r="IP2864" s="73"/>
      <c r="IQ2864" s="73"/>
      <c r="IR2864" s="73"/>
      <c r="IS2864" s="73"/>
      <c r="IT2864" s="73"/>
      <c r="IU2864" s="73"/>
      <c r="IV2864" s="73"/>
      <c r="IW2864" s="73"/>
      <c r="IX2864" s="73"/>
      <c r="IY2864" s="73"/>
      <c r="IZ2864" s="73"/>
      <c r="JA2864" s="73"/>
      <c r="JB2864" s="73"/>
      <c r="JC2864" s="73"/>
    </row>
    <row r="2865" spans="2:263" s="72" customFormat="1">
      <c r="B2865" s="73"/>
      <c r="C2865" s="73"/>
      <c r="D2865" s="73"/>
      <c r="E2865" s="73"/>
      <c r="F2865" s="73"/>
      <c r="G2865" s="73"/>
      <c r="H2865" s="73"/>
      <c r="I2865" s="73"/>
      <c r="J2865" s="73"/>
      <c r="K2865" s="73"/>
      <c r="L2865" s="73"/>
      <c r="M2865" s="73"/>
      <c r="N2865" s="73"/>
      <c r="O2865" s="73"/>
      <c r="P2865" s="73"/>
      <c r="Q2865" s="73"/>
      <c r="R2865" s="73"/>
      <c r="S2865" s="73"/>
      <c r="T2865" s="73"/>
      <c r="U2865" s="73"/>
      <c r="V2865" s="73"/>
      <c r="W2865" s="73"/>
      <c r="GL2865" s="73"/>
      <c r="GM2865" s="73"/>
      <c r="GN2865" s="73"/>
      <c r="GO2865" s="73"/>
      <c r="GP2865" s="73"/>
      <c r="GQ2865" s="73"/>
      <c r="GR2865" s="73"/>
      <c r="GS2865" s="73"/>
      <c r="GT2865" s="73"/>
      <c r="GU2865" s="73"/>
      <c r="GV2865" s="73"/>
      <c r="GW2865" s="73"/>
      <c r="GX2865" s="73"/>
      <c r="GY2865" s="73"/>
      <c r="GZ2865" s="73"/>
      <c r="HA2865" s="73"/>
      <c r="HB2865" s="73"/>
      <c r="HC2865" s="73"/>
      <c r="HD2865" s="73"/>
      <c r="HE2865" s="73"/>
      <c r="HF2865" s="73"/>
      <c r="HG2865" s="73"/>
      <c r="HH2865" s="73"/>
      <c r="HI2865" s="73"/>
      <c r="HJ2865" s="73"/>
      <c r="HK2865" s="73"/>
      <c r="HL2865" s="73"/>
      <c r="HM2865" s="73"/>
      <c r="HN2865" s="73"/>
      <c r="HO2865" s="73"/>
      <c r="HP2865" s="73"/>
      <c r="HQ2865" s="73"/>
      <c r="HR2865" s="73"/>
      <c r="HS2865" s="73"/>
      <c r="HT2865" s="73"/>
      <c r="HU2865" s="73"/>
      <c r="HV2865" s="73"/>
      <c r="HW2865" s="73"/>
      <c r="HX2865" s="73"/>
      <c r="HY2865" s="73"/>
      <c r="HZ2865" s="73"/>
      <c r="IA2865" s="73"/>
      <c r="IB2865" s="73"/>
      <c r="IC2865" s="73"/>
      <c r="ID2865" s="73"/>
      <c r="IE2865" s="73"/>
      <c r="IF2865" s="73"/>
      <c r="IG2865" s="73"/>
      <c r="IH2865" s="73"/>
      <c r="II2865" s="73"/>
      <c r="IJ2865" s="73"/>
      <c r="IK2865" s="73"/>
      <c r="IL2865" s="73"/>
      <c r="IM2865" s="73"/>
      <c r="IN2865" s="73"/>
      <c r="IO2865" s="73"/>
      <c r="IP2865" s="73"/>
      <c r="IQ2865" s="73"/>
      <c r="IR2865" s="73"/>
      <c r="IS2865" s="73"/>
      <c r="IT2865" s="73"/>
      <c r="IU2865" s="73"/>
      <c r="IV2865" s="73"/>
      <c r="IW2865" s="73"/>
      <c r="IX2865" s="73"/>
      <c r="IY2865" s="73"/>
      <c r="IZ2865" s="73"/>
      <c r="JA2865" s="73"/>
      <c r="JB2865" s="73"/>
      <c r="JC2865" s="73"/>
    </row>
    <row r="2866" spans="2:263" s="72" customFormat="1">
      <c r="B2866" s="73"/>
      <c r="C2866" s="73"/>
      <c r="D2866" s="73"/>
      <c r="E2866" s="73"/>
      <c r="F2866" s="73"/>
      <c r="G2866" s="73"/>
      <c r="H2866" s="73"/>
      <c r="I2866" s="73"/>
      <c r="J2866" s="73"/>
      <c r="K2866" s="73"/>
      <c r="L2866" s="73"/>
      <c r="M2866" s="73"/>
      <c r="N2866" s="73"/>
      <c r="O2866" s="73"/>
      <c r="P2866" s="73"/>
      <c r="Q2866" s="73"/>
      <c r="R2866" s="73"/>
      <c r="S2866" s="73"/>
      <c r="T2866" s="73"/>
      <c r="U2866" s="73"/>
      <c r="V2866" s="73"/>
      <c r="W2866" s="73"/>
      <c r="GL2866" s="73"/>
      <c r="GM2866" s="73"/>
      <c r="GN2866" s="73"/>
      <c r="GO2866" s="73"/>
      <c r="GP2866" s="73"/>
      <c r="GQ2866" s="73"/>
      <c r="GR2866" s="73"/>
      <c r="GS2866" s="73"/>
      <c r="GT2866" s="73"/>
      <c r="GU2866" s="73"/>
      <c r="GV2866" s="73"/>
      <c r="GW2866" s="73"/>
      <c r="GX2866" s="73"/>
      <c r="GY2866" s="73"/>
      <c r="GZ2866" s="73"/>
      <c r="HA2866" s="73"/>
      <c r="HB2866" s="73"/>
      <c r="HC2866" s="73"/>
      <c r="HD2866" s="73"/>
      <c r="HE2866" s="73"/>
      <c r="HF2866" s="73"/>
      <c r="HG2866" s="73"/>
      <c r="HH2866" s="73"/>
      <c r="HI2866" s="73"/>
      <c r="HJ2866" s="73"/>
      <c r="HK2866" s="73"/>
      <c r="HL2866" s="73"/>
      <c r="HM2866" s="73"/>
      <c r="HN2866" s="73"/>
      <c r="HO2866" s="73"/>
      <c r="HP2866" s="73"/>
      <c r="HQ2866" s="73"/>
      <c r="HR2866" s="73"/>
      <c r="HS2866" s="73"/>
      <c r="HT2866" s="73"/>
      <c r="HU2866" s="73"/>
      <c r="HV2866" s="73"/>
      <c r="HW2866" s="73"/>
      <c r="HX2866" s="73"/>
      <c r="HY2866" s="73"/>
      <c r="HZ2866" s="73"/>
      <c r="IA2866" s="73"/>
      <c r="IB2866" s="73"/>
      <c r="IC2866" s="73"/>
      <c r="ID2866" s="73"/>
      <c r="IE2866" s="73"/>
      <c r="IF2866" s="73"/>
      <c r="IG2866" s="73"/>
      <c r="IH2866" s="73"/>
      <c r="II2866" s="73"/>
      <c r="IJ2866" s="73"/>
      <c r="IK2866" s="73"/>
      <c r="IL2866" s="73"/>
      <c r="IM2866" s="73"/>
      <c r="IN2866" s="73"/>
      <c r="IO2866" s="73"/>
      <c r="IP2866" s="73"/>
      <c r="IQ2866" s="73"/>
      <c r="IR2866" s="73"/>
      <c r="IS2866" s="73"/>
      <c r="IT2866" s="73"/>
      <c r="IU2866" s="73"/>
      <c r="IV2866" s="73"/>
      <c r="IW2866" s="73"/>
      <c r="IX2866" s="73"/>
      <c r="IY2866" s="73"/>
      <c r="IZ2866" s="73"/>
      <c r="JA2866" s="73"/>
      <c r="JB2866" s="73"/>
      <c r="JC2866" s="73"/>
    </row>
    <row r="2867" spans="2:263" s="72" customFormat="1">
      <c r="B2867" s="73"/>
      <c r="C2867" s="73"/>
      <c r="D2867" s="73"/>
      <c r="E2867" s="73"/>
      <c r="F2867" s="73"/>
      <c r="G2867" s="73"/>
      <c r="H2867" s="73"/>
      <c r="I2867" s="73"/>
      <c r="J2867" s="73"/>
      <c r="K2867" s="73"/>
      <c r="L2867" s="73"/>
      <c r="M2867" s="73"/>
      <c r="N2867" s="73"/>
      <c r="O2867" s="73"/>
      <c r="P2867" s="73"/>
      <c r="Q2867" s="73"/>
      <c r="R2867" s="73"/>
      <c r="S2867" s="73"/>
      <c r="T2867" s="73"/>
      <c r="U2867" s="73"/>
      <c r="V2867" s="73"/>
      <c r="W2867" s="73"/>
      <c r="GL2867" s="73"/>
      <c r="GM2867" s="73"/>
      <c r="GN2867" s="73"/>
      <c r="GO2867" s="73"/>
      <c r="GP2867" s="73"/>
      <c r="GQ2867" s="73"/>
      <c r="GR2867" s="73"/>
      <c r="GS2867" s="73"/>
      <c r="GT2867" s="73"/>
      <c r="GU2867" s="73"/>
      <c r="GV2867" s="73"/>
      <c r="GW2867" s="73"/>
      <c r="GX2867" s="73"/>
      <c r="GY2867" s="73"/>
      <c r="GZ2867" s="73"/>
      <c r="HA2867" s="73"/>
      <c r="HB2867" s="73"/>
      <c r="HC2867" s="73"/>
      <c r="HD2867" s="73"/>
      <c r="HE2867" s="73"/>
      <c r="HF2867" s="73"/>
      <c r="HG2867" s="73"/>
      <c r="HH2867" s="73"/>
      <c r="HI2867" s="73"/>
      <c r="HJ2867" s="73"/>
      <c r="HK2867" s="73"/>
      <c r="HL2867" s="73"/>
      <c r="HM2867" s="73"/>
      <c r="HN2867" s="73"/>
      <c r="HO2867" s="73"/>
      <c r="HP2867" s="73"/>
      <c r="HQ2867" s="73"/>
      <c r="HR2867" s="73"/>
      <c r="HS2867" s="73"/>
      <c r="HT2867" s="73"/>
      <c r="HU2867" s="73"/>
      <c r="HV2867" s="73"/>
      <c r="HW2867" s="73"/>
      <c r="HX2867" s="73"/>
      <c r="HY2867" s="73"/>
      <c r="HZ2867" s="73"/>
      <c r="IA2867" s="73"/>
      <c r="IB2867" s="73"/>
      <c r="IC2867" s="73"/>
      <c r="ID2867" s="73"/>
      <c r="IE2867" s="73"/>
      <c r="IF2867" s="73"/>
      <c r="IG2867" s="73"/>
      <c r="IH2867" s="73"/>
      <c r="II2867" s="73"/>
      <c r="IJ2867" s="73"/>
      <c r="IK2867" s="73"/>
      <c r="IL2867" s="73"/>
      <c r="IM2867" s="73"/>
      <c r="IN2867" s="73"/>
      <c r="IO2867" s="73"/>
      <c r="IP2867" s="73"/>
      <c r="IQ2867" s="73"/>
      <c r="IR2867" s="73"/>
      <c r="IS2867" s="73"/>
      <c r="IT2867" s="73"/>
      <c r="IU2867" s="73"/>
      <c r="IV2867" s="73"/>
      <c r="IW2867" s="73"/>
      <c r="IX2867" s="73"/>
      <c r="IY2867" s="73"/>
      <c r="IZ2867" s="73"/>
      <c r="JA2867" s="73"/>
      <c r="JB2867" s="73"/>
      <c r="JC2867" s="73"/>
    </row>
    <row r="2868" spans="2:263" s="72" customFormat="1">
      <c r="B2868" s="73"/>
      <c r="C2868" s="73"/>
      <c r="D2868" s="73"/>
      <c r="E2868" s="73"/>
      <c r="F2868" s="73"/>
      <c r="G2868" s="73"/>
      <c r="H2868" s="73"/>
      <c r="I2868" s="73"/>
      <c r="J2868" s="73"/>
      <c r="K2868" s="73"/>
      <c r="L2868" s="73"/>
      <c r="M2868" s="73"/>
      <c r="N2868" s="73"/>
      <c r="O2868" s="73"/>
      <c r="P2868" s="73"/>
      <c r="Q2868" s="73"/>
      <c r="R2868" s="73"/>
      <c r="S2868" s="73"/>
      <c r="T2868" s="73"/>
      <c r="U2868" s="73"/>
      <c r="V2868" s="73"/>
      <c r="W2868" s="73"/>
      <c r="GL2868" s="73"/>
      <c r="GM2868" s="73"/>
      <c r="GN2868" s="73"/>
      <c r="GO2868" s="73"/>
      <c r="GP2868" s="73"/>
      <c r="GQ2868" s="73"/>
      <c r="GR2868" s="73"/>
      <c r="GS2868" s="73"/>
      <c r="GT2868" s="73"/>
      <c r="GU2868" s="73"/>
      <c r="GV2868" s="73"/>
      <c r="GW2868" s="73"/>
      <c r="GX2868" s="73"/>
      <c r="GY2868" s="73"/>
      <c r="GZ2868" s="73"/>
      <c r="HA2868" s="73"/>
      <c r="HB2868" s="73"/>
      <c r="HC2868" s="73"/>
      <c r="HD2868" s="73"/>
      <c r="HE2868" s="73"/>
      <c r="HF2868" s="73"/>
      <c r="HG2868" s="73"/>
      <c r="HH2868" s="73"/>
      <c r="HI2868" s="73"/>
      <c r="HJ2868" s="73"/>
      <c r="HK2868" s="73"/>
      <c r="HL2868" s="73"/>
      <c r="HM2868" s="73"/>
      <c r="HN2868" s="73"/>
      <c r="HO2868" s="73"/>
      <c r="HP2868" s="73"/>
      <c r="HQ2868" s="73"/>
      <c r="HR2868" s="73"/>
      <c r="HS2868" s="73"/>
      <c r="HT2868" s="73"/>
      <c r="HU2868" s="73"/>
      <c r="HV2868" s="73"/>
      <c r="HW2868" s="73"/>
      <c r="HX2868" s="73"/>
      <c r="HY2868" s="73"/>
      <c r="HZ2868" s="73"/>
      <c r="IA2868" s="73"/>
      <c r="IB2868" s="73"/>
      <c r="IC2868" s="73"/>
      <c r="ID2868" s="73"/>
      <c r="IE2868" s="73"/>
      <c r="IF2868" s="73"/>
      <c r="IG2868" s="73"/>
      <c r="IH2868" s="73"/>
      <c r="II2868" s="73"/>
      <c r="IJ2868" s="73"/>
      <c r="IK2868" s="73"/>
      <c r="IL2868" s="73"/>
      <c r="IM2868" s="73"/>
      <c r="IN2868" s="73"/>
      <c r="IO2868" s="73"/>
      <c r="IP2868" s="73"/>
      <c r="IQ2868" s="73"/>
      <c r="IR2868" s="73"/>
      <c r="IS2868" s="73"/>
      <c r="IT2868" s="73"/>
      <c r="IU2868" s="73"/>
      <c r="IV2868" s="73"/>
      <c r="IW2868" s="73"/>
      <c r="IX2868" s="73"/>
      <c r="IY2868" s="73"/>
      <c r="IZ2868" s="73"/>
      <c r="JA2868" s="73"/>
      <c r="JB2868" s="73"/>
      <c r="JC2868" s="73"/>
    </row>
    <row r="2869" spans="2:263" s="72" customFormat="1">
      <c r="B2869" s="73"/>
      <c r="C2869" s="73"/>
      <c r="D2869" s="73"/>
      <c r="E2869" s="73"/>
      <c r="F2869" s="73"/>
      <c r="G2869" s="73"/>
      <c r="H2869" s="73"/>
      <c r="I2869" s="73"/>
      <c r="J2869" s="73"/>
      <c r="K2869" s="73"/>
      <c r="L2869" s="73"/>
      <c r="M2869" s="73"/>
      <c r="N2869" s="73"/>
      <c r="O2869" s="73"/>
      <c r="P2869" s="73"/>
      <c r="Q2869" s="73"/>
      <c r="R2869" s="73"/>
      <c r="S2869" s="73"/>
      <c r="T2869" s="73"/>
      <c r="U2869" s="73"/>
      <c r="V2869" s="73"/>
      <c r="W2869" s="73"/>
      <c r="GL2869" s="73"/>
      <c r="GM2869" s="73"/>
      <c r="GN2869" s="73"/>
      <c r="GO2869" s="73"/>
      <c r="GP2869" s="73"/>
      <c r="GQ2869" s="73"/>
      <c r="GR2869" s="73"/>
      <c r="GS2869" s="73"/>
      <c r="GT2869" s="73"/>
      <c r="GU2869" s="73"/>
      <c r="GV2869" s="73"/>
      <c r="GW2869" s="73"/>
      <c r="GX2869" s="73"/>
      <c r="GY2869" s="73"/>
      <c r="GZ2869" s="73"/>
      <c r="HA2869" s="73"/>
      <c r="HB2869" s="73"/>
      <c r="HC2869" s="73"/>
      <c r="HD2869" s="73"/>
      <c r="HE2869" s="73"/>
      <c r="HF2869" s="73"/>
      <c r="HG2869" s="73"/>
      <c r="HH2869" s="73"/>
      <c r="HI2869" s="73"/>
      <c r="HJ2869" s="73"/>
      <c r="HK2869" s="73"/>
      <c r="HL2869" s="73"/>
      <c r="HM2869" s="73"/>
      <c r="HN2869" s="73"/>
      <c r="HO2869" s="73"/>
      <c r="HP2869" s="73"/>
      <c r="HQ2869" s="73"/>
      <c r="HR2869" s="73"/>
      <c r="HS2869" s="73"/>
      <c r="HT2869" s="73"/>
      <c r="HU2869" s="73"/>
      <c r="HV2869" s="73"/>
      <c r="HW2869" s="73"/>
      <c r="HX2869" s="73"/>
      <c r="HY2869" s="73"/>
      <c r="HZ2869" s="73"/>
      <c r="IA2869" s="73"/>
      <c r="IB2869" s="73"/>
      <c r="IC2869" s="73"/>
      <c r="ID2869" s="73"/>
      <c r="IE2869" s="73"/>
      <c r="IF2869" s="73"/>
      <c r="IG2869" s="73"/>
      <c r="IH2869" s="73"/>
      <c r="II2869" s="73"/>
      <c r="IJ2869" s="73"/>
      <c r="IK2869" s="73"/>
      <c r="IL2869" s="73"/>
      <c r="IM2869" s="73"/>
      <c r="IN2869" s="73"/>
      <c r="IO2869" s="73"/>
      <c r="IP2869" s="73"/>
      <c r="IQ2869" s="73"/>
      <c r="IR2869" s="73"/>
      <c r="IS2869" s="73"/>
      <c r="IT2869" s="73"/>
      <c r="IU2869" s="73"/>
      <c r="IV2869" s="73"/>
      <c r="IW2869" s="73"/>
      <c r="IX2869" s="73"/>
      <c r="IY2869" s="73"/>
      <c r="IZ2869" s="73"/>
      <c r="JA2869" s="73"/>
      <c r="JB2869" s="73"/>
      <c r="JC2869" s="73"/>
    </row>
    <row r="2870" spans="2:263" s="72" customFormat="1">
      <c r="B2870" s="73"/>
      <c r="C2870" s="73"/>
      <c r="D2870" s="73"/>
      <c r="E2870" s="73"/>
      <c r="F2870" s="73"/>
      <c r="G2870" s="73"/>
      <c r="H2870" s="73"/>
      <c r="I2870" s="73"/>
      <c r="J2870" s="73"/>
      <c r="K2870" s="73"/>
      <c r="L2870" s="73"/>
      <c r="M2870" s="73"/>
      <c r="N2870" s="73"/>
      <c r="O2870" s="73"/>
      <c r="P2870" s="73"/>
      <c r="Q2870" s="73"/>
      <c r="R2870" s="73"/>
      <c r="S2870" s="73"/>
      <c r="T2870" s="73"/>
      <c r="U2870" s="73"/>
      <c r="V2870" s="73"/>
      <c r="W2870" s="73"/>
      <c r="GL2870" s="73"/>
      <c r="GM2870" s="73"/>
      <c r="GN2870" s="73"/>
      <c r="GO2870" s="73"/>
      <c r="GP2870" s="73"/>
      <c r="GQ2870" s="73"/>
      <c r="GR2870" s="73"/>
      <c r="GS2870" s="73"/>
      <c r="GT2870" s="73"/>
      <c r="GU2870" s="73"/>
      <c r="GV2870" s="73"/>
      <c r="GW2870" s="73"/>
      <c r="GX2870" s="73"/>
      <c r="GY2870" s="73"/>
      <c r="GZ2870" s="73"/>
      <c r="HA2870" s="73"/>
      <c r="HB2870" s="73"/>
      <c r="HC2870" s="73"/>
      <c r="HD2870" s="73"/>
      <c r="HE2870" s="73"/>
      <c r="HF2870" s="73"/>
      <c r="HG2870" s="73"/>
      <c r="HH2870" s="73"/>
      <c r="HI2870" s="73"/>
      <c r="HJ2870" s="73"/>
      <c r="HK2870" s="73"/>
      <c r="HL2870" s="73"/>
      <c r="HM2870" s="73"/>
      <c r="HN2870" s="73"/>
      <c r="HO2870" s="73"/>
      <c r="HP2870" s="73"/>
      <c r="HQ2870" s="73"/>
      <c r="HR2870" s="73"/>
      <c r="HS2870" s="73"/>
      <c r="HT2870" s="73"/>
      <c r="HU2870" s="73"/>
      <c r="HV2870" s="73"/>
      <c r="HW2870" s="73"/>
      <c r="HX2870" s="73"/>
      <c r="HY2870" s="73"/>
      <c r="HZ2870" s="73"/>
      <c r="IA2870" s="73"/>
      <c r="IB2870" s="73"/>
      <c r="IC2870" s="73"/>
      <c r="ID2870" s="73"/>
      <c r="IE2870" s="73"/>
      <c r="IF2870" s="73"/>
      <c r="IG2870" s="73"/>
      <c r="IH2870" s="73"/>
      <c r="II2870" s="73"/>
      <c r="IJ2870" s="73"/>
      <c r="IK2870" s="73"/>
      <c r="IL2870" s="73"/>
      <c r="IM2870" s="73"/>
      <c r="IN2870" s="73"/>
      <c r="IO2870" s="73"/>
      <c r="IP2870" s="73"/>
      <c r="IQ2870" s="73"/>
      <c r="IR2870" s="73"/>
      <c r="IS2870" s="73"/>
      <c r="IT2870" s="73"/>
      <c r="IU2870" s="73"/>
      <c r="IV2870" s="73"/>
      <c r="IW2870" s="73"/>
      <c r="IX2870" s="73"/>
      <c r="IY2870" s="73"/>
      <c r="IZ2870" s="73"/>
      <c r="JA2870" s="73"/>
      <c r="JB2870" s="73"/>
      <c r="JC2870" s="73"/>
    </row>
    <row r="2871" spans="2:263" s="72" customFormat="1">
      <c r="B2871" s="73"/>
      <c r="C2871" s="73"/>
      <c r="D2871" s="73"/>
      <c r="E2871" s="73"/>
      <c r="F2871" s="73"/>
      <c r="G2871" s="73"/>
      <c r="H2871" s="73"/>
      <c r="I2871" s="73"/>
      <c r="J2871" s="73"/>
      <c r="K2871" s="73"/>
      <c r="L2871" s="73"/>
      <c r="M2871" s="73"/>
      <c r="N2871" s="73"/>
      <c r="O2871" s="73"/>
      <c r="P2871" s="73"/>
      <c r="Q2871" s="73"/>
      <c r="R2871" s="73"/>
      <c r="S2871" s="73"/>
      <c r="T2871" s="73"/>
      <c r="U2871" s="73"/>
      <c r="V2871" s="73"/>
      <c r="W2871" s="73"/>
      <c r="GL2871" s="73"/>
      <c r="GM2871" s="73"/>
      <c r="GN2871" s="73"/>
      <c r="GO2871" s="73"/>
      <c r="GP2871" s="73"/>
      <c r="GQ2871" s="73"/>
      <c r="GR2871" s="73"/>
      <c r="GS2871" s="73"/>
      <c r="GT2871" s="73"/>
      <c r="GU2871" s="73"/>
      <c r="GV2871" s="73"/>
      <c r="GW2871" s="73"/>
      <c r="GX2871" s="73"/>
      <c r="GY2871" s="73"/>
      <c r="GZ2871" s="73"/>
      <c r="HA2871" s="73"/>
      <c r="HB2871" s="73"/>
      <c r="HC2871" s="73"/>
      <c r="HD2871" s="73"/>
      <c r="HE2871" s="73"/>
      <c r="HF2871" s="73"/>
      <c r="HG2871" s="73"/>
      <c r="HH2871" s="73"/>
      <c r="HI2871" s="73"/>
      <c r="HJ2871" s="73"/>
      <c r="HK2871" s="73"/>
      <c r="HL2871" s="73"/>
      <c r="HM2871" s="73"/>
      <c r="HN2871" s="73"/>
      <c r="HO2871" s="73"/>
      <c r="HP2871" s="73"/>
      <c r="HQ2871" s="73"/>
      <c r="HR2871" s="73"/>
      <c r="HS2871" s="73"/>
      <c r="HT2871" s="73"/>
      <c r="HU2871" s="73"/>
      <c r="HV2871" s="73"/>
      <c r="HW2871" s="73"/>
      <c r="HX2871" s="73"/>
      <c r="HY2871" s="73"/>
      <c r="HZ2871" s="73"/>
      <c r="IA2871" s="73"/>
      <c r="IB2871" s="73"/>
      <c r="IC2871" s="73"/>
      <c r="ID2871" s="73"/>
      <c r="IE2871" s="73"/>
      <c r="IF2871" s="73"/>
      <c r="IG2871" s="73"/>
      <c r="IH2871" s="73"/>
      <c r="II2871" s="73"/>
      <c r="IJ2871" s="73"/>
      <c r="IK2871" s="73"/>
      <c r="IL2871" s="73"/>
      <c r="IM2871" s="73"/>
      <c r="IN2871" s="73"/>
      <c r="IO2871" s="73"/>
      <c r="IP2871" s="73"/>
      <c r="IQ2871" s="73"/>
      <c r="IR2871" s="73"/>
      <c r="IS2871" s="73"/>
      <c r="IT2871" s="73"/>
      <c r="IU2871" s="73"/>
      <c r="IV2871" s="73"/>
      <c r="IW2871" s="73"/>
      <c r="IX2871" s="73"/>
      <c r="IY2871" s="73"/>
      <c r="IZ2871" s="73"/>
      <c r="JA2871" s="73"/>
      <c r="JB2871" s="73"/>
      <c r="JC2871" s="73"/>
    </row>
    <row r="2872" spans="2:263" s="72" customFormat="1">
      <c r="B2872" s="73"/>
      <c r="C2872" s="73"/>
      <c r="D2872" s="73"/>
      <c r="E2872" s="73"/>
      <c r="F2872" s="73"/>
      <c r="G2872" s="73"/>
      <c r="H2872" s="73"/>
      <c r="I2872" s="73"/>
      <c r="J2872" s="73"/>
      <c r="K2872" s="73"/>
      <c r="L2872" s="73"/>
      <c r="M2872" s="73"/>
      <c r="N2872" s="73"/>
      <c r="O2872" s="73"/>
      <c r="P2872" s="73"/>
      <c r="Q2872" s="73"/>
      <c r="R2872" s="73"/>
      <c r="S2872" s="73"/>
      <c r="T2872" s="73"/>
      <c r="U2872" s="73"/>
      <c r="V2872" s="73"/>
      <c r="W2872" s="73"/>
      <c r="GL2872" s="73"/>
      <c r="GM2872" s="73"/>
      <c r="GN2872" s="73"/>
      <c r="GO2872" s="73"/>
      <c r="GP2872" s="73"/>
      <c r="GQ2872" s="73"/>
      <c r="GR2872" s="73"/>
      <c r="GS2872" s="73"/>
      <c r="GT2872" s="73"/>
      <c r="GU2872" s="73"/>
      <c r="GV2872" s="73"/>
      <c r="GW2872" s="73"/>
      <c r="GX2872" s="73"/>
      <c r="GY2872" s="73"/>
      <c r="GZ2872" s="73"/>
      <c r="HA2872" s="73"/>
      <c r="HB2872" s="73"/>
      <c r="HC2872" s="73"/>
      <c r="HD2872" s="73"/>
      <c r="HE2872" s="73"/>
      <c r="HF2872" s="73"/>
      <c r="HG2872" s="73"/>
      <c r="HH2872" s="73"/>
      <c r="HI2872" s="73"/>
      <c r="HJ2872" s="73"/>
      <c r="HK2872" s="73"/>
      <c r="HL2872" s="73"/>
      <c r="HM2872" s="73"/>
      <c r="HN2872" s="73"/>
      <c r="HO2872" s="73"/>
      <c r="HP2872" s="73"/>
      <c r="HQ2872" s="73"/>
      <c r="HR2872" s="73"/>
      <c r="HS2872" s="73"/>
      <c r="HT2872" s="73"/>
      <c r="HU2872" s="73"/>
      <c r="HV2872" s="73"/>
      <c r="HW2872" s="73"/>
      <c r="HX2872" s="73"/>
      <c r="HY2872" s="73"/>
      <c r="HZ2872" s="73"/>
      <c r="IA2872" s="73"/>
      <c r="IB2872" s="73"/>
      <c r="IC2872" s="73"/>
      <c r="ID2872" s="73"/>
      <c r="IE2872" s="73"/>
      <c r="IF2872" s="73"/>
      <c r="IG2872" s="73"/>
      <c r="IH2872" s="73"/>
      <c r="II2872" s="73"/>
      <c r="IJ2872" s="73"/>
      <c r="IK2872" s="73"/>
      <c r="IL2872" s="73"/>
      <c r="IM2872" s="73"/>
      <c r="IN2872" s="73"/>
      <c r="IO2872" s="73"/>
      <c r="IP2872" s="73"/>
      <c r="IQ2872" s="73"/>
      <c r="IR2872" s="73"/>
      <c r="IS2872" s="73"/>
      <c r="IT2872" s="73"/>
      <c r="IU2872" s="73"/>
      <c r="IV2872" s="73"/>
      <c r="IW2872" s="73"/>
      <c r="IX2872" s="73"/>
      <c r="IY2872" s="73"/>
      <c r="IZ2872" s="73"/>
      <c r="JA2872" s="73"/>
      <c r="JB2872" s="73"/>
      <c r="JC2872" s="73"/>
    </row>
    <row r="2873" spans="2:263" s="72" customFormat="1">
      <c r="B2873" s="73"/>
      <c r="C2873" s="73"/>
      <c r="D2873" s="73"/>
      <c r="E2873" s="73"/>
      <c r="F2873" s="73"/>
      <c r="G2873" s="73"/>
      <c r="H2873" s="73"/>
      <c r="I2873" s="73"/>
      <c r="J2873" s="73"/>
      <c r="K2873" s="73"/>
      <c r="L2873" s="73"/>
      <c r="M2873" s="73"/>
      <c r="N2873" s="73"/>
      <c r="O2873" s="73"/>
      <c r="P2873" s="73"/>
      <c r="Q2873" s="73"/>
      <c r="R2873" s="73"/>
      <c r="S2873" s="73"/>
      <c r="T2873" s="73"/>
      <c r="U2873" s="73"/>
      <c r="V2873" s="73"/>
      <c r="W2873" s="73"/>
      <c r="GL2873" s="73"/>
      <c r="GM2873" s="73"/>
      <c r="GN2873" s="73"/>
      <c r="GO2873" s="73"/>
      <c r="GP2873" s="73"/>
      <c r="GQ2873" s="73"/>
      <c r="GR2873" s="73"/>
      <c r="GS2873" s="73"/>
      <c r="GT2873" s="73"/>
      <c r="GU2873" s="73"/>
      <c r="GV2873" s="73"/>
      <c r="GW2873" s="73"/>
      <c r="GX2873" s="73"/>
      <c r="GY2873" s="73"/>
      <c r="GZ2873" s="73"/>
      <c r="HA2873" s="73"/>
      <c r="HB2873" s="73"/>
      <c r="HC2873" s="73"/>
      <c r="HD2873" s="73"/>
      <c r="HE2873" s="73"/>
      <c r="HF2873" s="73"/>
      <c r="HG2873" s="73"/>
      <c r="HH2873" s="73"/>
      <c r="HI2873" s="73"/>
      <c r="HJ2873" s="73"/>
      <c r="HK2873" s="73"/>
      <c r="HL2873" s="73"/>
      <c r="HM2873" s="73"/>
      <c r="HN2873" s="73"/>
      <c r="HO2873" s="73"/>
      <c r="HP2873" s="73"/>
      <c r="HQ2873" s="73"/>
      <c r="HR2873" s="73"/>
      <c r="HS2873" s="73"/>
      <c r="HT2873" s="73"/>
      <c r="HU2873" s="73"/>
      <c r="HV2873" s="73"/>
      <c r="HW2873" s="73"/>
      <c r="HX2873" s="73"/>
      <c r="HY2873" s="73"/>
      <c r="HZ2873" s="73"/>
      <c r="IA2873" s="73"/>
      <c r="IB2873" s="73"/>
      <c r="IC2873" s="73"/>
      <c r="ID2873" s="73"/>
      <c r="IE2873" s="73"/>
      <c r="IF2873" s="73"/>
      <c r="IG2873" s="73"/>
      <c r="IH2873" s="73"/>
      <c r="II2873" s="73"/>
      <c r="IJ2873" s="73"/>
      <c r="IK2873" s="73"/>
      <c r="IL2873" s="73"/>
      <c r="IM2873" s="73"/>
      <c r="IN2873" s="73"/>
      <c r="IO2873" s="73"/>
      <c r="IP2873" s="73"/>
      <c r="IQ2873" s="73"/>
      <c r="IR2873" s="73"/>
      <c r="IS2873" s="73"/>
      <c r="IT2873" s="73"/>
      <c r="IU2873" s="73"/>
      <c r="IV2873" s="73"/>
      <c r="IW2873" s="73"/>
      <c r="IX2873" s="73"/>
      <c r="IY2873" s="73"/>
      <c r="IZ2873" s="73"/>
      <c r="JA2873" s="73"/>
      <c r="JB2873" s="73"/>
      <c r="JC2873" s="73"/>
    </row>
    <row r="2874" spans="2:263" s="72" customFormat="1">
      <c r="B2874" s="73"/>
      <c r="C2874" s="73"/>
      <c r="D2874" s="73"/>
      <c r="E2874" s="73"/>
      <c r="F2874" s="73"/>
      <c r="G2874" s="73"/>
      <c r="H2874" s="73"/>
      <c r="I2874" s="73"/>
      <c r="J2874" s="73"/>
      <c r="K2874" s="73"/>
      <c r="L2874" s="73"/>
      <c r="M2874" s="73"/>
      <c r="N2874" s="73"/>
      <c r="O2874" s="73"/>
      <c r="P2874" s="73"/>
      <c r="Q2874" s="73"/>
      <c r="R2874" s="73"/>
      <c r="S2874" s="73"/>
      <c r="T2874" s="73"/>
      <c r="U2874" s="73"/>
      <c r="V2874" s="73"/>
      <c r="W2874" s="73"/>
      <c r="GL2874" s="73"/>
      <c r="GM2874" s="73"/>
      <c r="GN2874" s="73"/>
      <c r="GO2874" s="73"/>
      <c r="GP2874" s="73"/>
      <c r="GQ2874" s="73"/>
      <c r="GR2874" s="73"/>
      <c r="GS2874" s="73"/>
      <c r="GT2874" s="73"/>
      <c r="GU2874" s="73"/>
      <c r="GV2874" s="73"/>
      <c r="GW2874" s="73"/>
      <c r="GX2874" s="73"/>
      <c r="GY2874" s="73"/>
      <c r="GZ2874" s="73"/>
      <c r="HA2874" s="73"/>
      <c r="HB2874" s="73"/>
      <c r="HC2874" s="73"/>
      <c r="HD2874" s="73"/>
      <c r="HE2874" s="73"/>
      <c r="HF2874" s="73"/>
      <c r="HG2874" s="73"/>
      <c r="HH2874" s="73"/>
      <c r="HI2874" s="73"/>
      <c r="HJ2874" s="73"/>
      <c r="HK2874" s="73"/>
      <c r="HL2874" s="73"/>
      <c r="HM2874" s="73"/>
      <c r="HN2874" s="73"/>
      <c r="HO2874" s="73"/>
      <c r="HP2874" s="73"/>
      <c r="HQ2874" s="73"/>
      <c r="HR2874" s="73"/>
      <c r="HS2874" s="73"/>
      <c r="HT2874" s="73"/>
      <c r="HU2874" s="73"/>
      <c r="HV2874" s="73"/>
      <c r="HW2874" s="73"/>
      <c r="HX2874" s="73"/>
      <c r="HY2874" s="73"/>
      <c r="HZ2874" s="73"/>
      <c r="IA2874" s="73"/>
      <c r="IB2874" s="73"/>
      <c r="IC2874" s="73"/>
      <c r="ID2874" s="73"/>
      <c r="IE2874" s="73"/>
      <c r="IF2874" s="73"/>
      <c r="IG2874" s="73"/>
      <c r="IH2874" s="73"/>
      <c r="II2874" s="73"/>
      <c r="IJ2874" s="73"/>
      <c r="IK2874" s="73"/>
      <c r="IL2874" s="73"/>
      <c r="IM2874" s="73"/>
      <c r="IN2874" s="73"/>
      <c r="IO2874" s="73"/>
      <c r="IP2874" s="73"/>
      <c r="IQ2874" s="73"/>
      <c r="IR2874" s="73"/>
      <c r="IS2874" s="73"/>
      <c r="IT2874" s="73"/>
      <c r="IU2874" s="73"/>
      <c r="IV2874" s="73"/>
      <c r="IW2874" s="73"/>
      <c r="IX2874" s="73"/>
      <c r="IY2874" s="73"/>
      <c r="IZ2874" s="73"/>
      <c r="JA2874" s="73"/>
      <c r="JB2874" s="73"/>
      <c r="JC2874" s="73"/>
    </row>
    <row r="2875" spans="2:263" s="72" customFormat="1">
      <c r="B2875" s="73"/>
      <c r="C2875" s="73"/>
      <c r="D2875" s="73"/>
      <c r="E2875" s="73"/>
      <c r="F2875" s="73"/>
      <c r="G2875" s="73"/>
      <c r="H2875" s="73"/>
      <c r="I2875" s="73"/>
      <c r="J2875" s="73"/>
      <c r="K2875" s="73"/>
      <c r="L2875" s="73"/>
      <c r="M2875" s="73"/>
      <c r="N2875" s="73"/>
      <c r="O2875" s="73"/>
      <c r="P2875" s="73"/>
      <c r="Q2875" s="73"/>
      <c r="R2875" s="73"/>
      <c r="S2875" s="73"/>
      <c r="T2875" s="73"/>
      <c r="U2875" s="73"/>
      <c r="V2875" s="73"/>
      <c r="W2875" s="73"/>
      <c r="GL2875" s="73"/>
      <c r="GM2875" s="73"/>
      <c r="GN2875" s="73"/>
      <c r="GO2875" s="73"/>
      <c r="GP2875" s="73"/>
      <c r="GQ2875" s="73"/>
      <c r="GR2875" s="73"/>
      <c r="GS2875" s="73"/>
      <c r="GT2875" s="73"/>
      <c r="GU2875" s="73"/>
      <c r="GV2875" s="73"/>
      <c r="GW2875" s="73"/>
      <c r="GX2875" s="73"/>
      <c r="GY2875" s="73"/>
      <c r="GZ2875" s="73"/>
      <c r="HA2875" s="73"/>
      <c r="HB2875" s="73"/>
      <c r="HC2875" s="73"/>
      <c r="HD2875" s="73"/>
      <c r="HE2875" s="73"/>
      <c r="HF2875" s="73"/>
      <c r="HG2875" s="73"/>
      <c r="HH2875" s="73"/>
      <c r="HI2875" s="73"/>
      <c r="HJ2875" s="73"/>
      <c r="HK2875" s="73"/>
      <c r="HL2875" s="73"/>
      <c r="HM2875" s="73"/>
      <c r="HN2875" s="73"/>
      <c r="HO2875" s="73"/>
      <c r="HP2875" s="73"/>
      <c r="HQ2875" s="73"/>
      <c r="HR2875" s="73"/>
      <c r="HS2875" s="73"/>
      <c r="HT2875" s="73"/>
      <c r="HU2875" s="73"/>
      <c r="HV2875" s="73"/>
      <c r="HW2875" s="73"/>
      <c r="HX2875" s="73"/>
      <c r="HY2875" s="73"/>
      <c r="HZ2875" s="73"/>
      <c r="IA2875" s="73"/>
      <c r="IB2875" s="73"/>
      <c r="IC2875" s="73"/>
      <c r="ID2875" s="73"/>
      <c r="IE2875" s="73"/>
      <c r="IF2875" s="73"/>
      <c r="IG2875" s="73"/>
      <c r="IH2875" s="73"/>
      <c r="II2875" s="73"/>
      <c r="IJ2875" s="73"/>
      <c r="IK2875" s="73"/>
      <c r="IL2875" s="73"/>
      <c r="IM2875" s="73"/>
      <c r="IN2875" s="73"/>
      <c r="IO2875" s="73"/>
      <c r="IP2875" s="73"/>
      <c r="IQ2875" s="73"/>
      <c r="IR2875" s="73"/>
      <c r="IS2875" s="73"/>
      <c r="IT2875" s="73"/>
      <c r="IU2875" s="73"/>
      <c r="IV2875" s="73"/>
      <c r="IW2875" s="73"/>
      <c r="IX2875" s="73"/>
      <c r="IY2875" s="73"/>
      <c r="IZ2875" s="73"/>
      <c r="JA2875" s="73"/>
      <c r="JB2875" s="73"/>
      <c r="JC2875" s="73"/>
    </row>
    <row r="2876" spans="2:263" s="72" customFormat="1">
      <c r="B2876" s="73"/>
      <c r="C2876" s="73"/>
      <c r="D2876" s="73"/>
      <c r="E2876" s="73"/>
      <c r="F2876" s="73"/>
      <c r="G2876" s="73"/>
      <c r="H2876" s="73"/>
      <c r="I2876" s="73"/>
      <c r="J2876" s="73"/>
      <c r="K2876" s="73"/>
      <c r="L2876" s="73"/>
      <c r="M2876" s="73"/>
      <c r="N2876" s="73"/>
      <c r="O2876" s="73"/>
      <c r="P2876" s="73"/>
      <c r="Q2876" s="73"/>
      <c r="R2876" s="73"/>
      <c r="S2876" s="73"/>
      <c r="T2876" s="73"/>
      <c r="U2876" s="73"/>
      <c r="V2876" s="73"/>
      <c r="W2876" s="73"/>
      <c r="GL2876" s="73"/>
      <c r="GM2876" s="73"/>
      <c r="GN2876" s="73"/>
      <c r="GO2876" s="73"/>
      <c r="GP2876" s="73"/>
      <c r="GQ2876" s="73"/>
      <c r="GR2876" s="73"/>
      <c r="GS2876" s="73"/>
      <c r="GT2876" s="73"/>
      <c r="GU2876" s="73"/>
      <c r="GV2876" s="73"/>
      <c r="GW2876" s="73"/>
      <c r="GX2876" s="73"/>
      <c r="GY2876" s="73"/>
      <c r="GZ2876" s="73"/>
      <c r="HA2876" s="73"/>
      <c r="HB2876" s="73"/>
      <c r="HC2876" s="73"/>
      <c r="HD2876" s="73"/>
      <c r="HE2876" s="73"/>
      <c r="HF2876" s="73"/>
      <c r="HG2876" s="73"/>
      <c r="HH2876" s="73"/>
      <c r="HI2876" s="73"/>
      <c r="HJ2876" s="73"/>
      <c r="HK2876" s="73"/>
      <c r="HL2876" s="73"/>
      <c r="HM2876" s="73"/>
      <c r="HN2876" s="73"/>
      <c r="HO2876" s="73"/>
      <c r="HP2876" s="73"/>
      <c r="HQ2876" s="73"/>
      <c r="HR2876" s="73"/>
      <c r="HS2876" s="73"/>
      <c r="HT2876" s="73"/>
      <c r="HU2876" s="73"/>
      <c r="HV2876" s="73"/>
      <c r="HW2876" s="73"/>
      <c r="HX2876" s="73"/>
      <c r="HY2876" s="73"/>
      <c r="HZ2876" s="73"/>
      <c r="IA2876" s="73"/>
      <c r="IB2876" s="73"/>
      <c r="IC2876" s="73"/>
      <c r="ID2876" s="73"/>
      <c r="IE2876" s="73"/>
      <c r="IF2876" s="73"/>
      <c r="IG2876" s="73"/>
      <c r="IH2876" s="73"/>
      <c r="II2876" s="73"/>
      <c r="IJ2876" s="73"/>
      <c r="IK2876" s="73"/>
      <c r="IL2876" s="73"/>
      <c r="IM2876" s="73"/>
      <c r="IN2876" s="73"/>
      <c r="IO2876" s="73"/>
      <c r="IP2876" s="73"/>
      <c r="IQ2876" s="73"/>
      <c r="IR2876" s="73"/>
      <c r="IS2876" s="73"/>
      <c r="IT2876" s="73"/>
      <c r="IU2876" s="73"/>
      <c r="IV2876" s="73"/>
      <c r="IW2876" s="73"/>
      <c r="IX2876" s="73"/>
      <c r="IY2876" s="73"/>
      <c r="IZ2876" s="73"/>
      <c r="JA2876" s="73"/>
      <c r="JB2876" s="73"/>
      <c r="JC2876" s="73"/>
    </row>
    <row r="2877" spans="2:263" s="72" customFormat="1">
      <c r="B2877" s="73"/>
      <c r="C2877" s="73"/>
      <c r="D2877" s="73"/>
      <c r="E2877" s="73"/>
      <c r="F2877" s="73"/>
      <c r="G2877" s="73"/>
      <c r="H2877" s="73"/>
      <c r="I2877" s="73"/>
      <c r="J2877" s="73"/>
      <c r="K2877" s="73"/>
      <c r="L2877" s="73"/>
      <c r="M2877" s="73"/>
      <c r="N2877" s="73"/>
      <c r="O2877" s="73"/>
      <c r="P2877" s="73"/>
      <c r="Q2877" s="73"/>
      <c r="R2877" s="73"/>
      <c r="S2877" s="73"/>
      <c r="T2877" s="73"/>
      <c r="U2877" s="73"/>
      <c r="V2877" s="73"/>
      <c r="W2877" s="73"/>
      <c r="GL2877" s="73"/>
      <c r="GM2877" s="73"/>
      <c r="GN2877" s="73"/>
      <c r="GO2877" s="73"/>
      <c r="GP2877" s="73"/>
      <c r="GQ2877" s="73"/>
      <c r="GR2877" s="73"/>
      <c r="GS2877" s="73"/>
      <c r="GT2877" s="73"/>
      <c r="GU2877" s="73"/>
      <c r="GV2877" s="73"/>
      <c r="GW2877" s="73"/>
      <c r="GX2877" s="73"/>
      <c r="GY2877" s="73"/>
      <c r="GZ2877" s="73"/>
      <c r="HA2877" s="73"/>
      <c r="HB2877" s="73"/>
      <c r="HC2877" s="73"/>
      <c r="HD2877" s="73"/>
      <c r="HE2877" s="73"/>
      <c r="HF2877" s="73"/>
      <c r="HG2877" s="73"/>
      <c r="HH2877" s="73"/>
      <c r="HI2877" s="73"/>
      <c r="HJ2877" s="73"/>
      <c r="HK2877" s="73"/>
      <c r="HL2877" s="73"/>
      <c r="HM2877" s="73"/>
      <c r="HN2877" s="73"/>
      <c r="HO2877" s="73"/>
      <c r="HP2877" s="73"/>
      <c r="HQ2877" s="73"/>
      <c r="HR2877" s="73"/>
      <c r="HS2877" s="73"/>
      <c r="HT2877" s="73"/>
      <c r="HU2877" s="73"/>
      <c r="HV2877" s="73"/>
      <c r="HW2877" s="73"/>
      <c r="HX2877" s="73"/>
      <c r="HY2877" s="73"/>
      <c r="HZ2877" s="73"/>
      <c r="IA2877" s="73"/>
      <c r="IB2877" s="73"/>
      <c r="IC2877" s="73"/>
      <c r="ID2877" s="73"/>
      <c r="IE2877" s="73"/>
      <c r="IF2877" s="73"/>
      <c r="IG2877" s="73"/>
      <c r="IH2877" s="73"/>
      <c r="II2877" s="73"/>
      <c r="IJ2877" s="73"/>
      <c r="IK2877" s="73"/>
      <c r="IL2877" s="73"/>
      <c r="IM2877" s="73"/>
      <c r="IN2877" s="73"/>
      <c r="IO2877" s="73"/>
      <c r="IP2877" s="73"/>
      <c r="IQ2877" s="73"/>
      <c r="IR2877" s="73"/>
      <c r="IS2877" s="73"/>
      <c r="IT2877" s="73"/>
      <c r="IU2877" s="73"/>
      <c r="IV2877" s="73"/>
      <c r="IW2877" s="73"/>
      <c r="IX2877" s="73"/>
      <c r="IY2877" s="73"/>
      <c r="IZ2877" s="73"/>
      <c r="JA2877" s="73"/>
      <c r="JB2877" s="73"/>
      <c r="JC2877" s="73"/>
    </row>
    <row r="2878" spans="2:263" s="72" customFormat="1">
      <c r="B2878" s="73"/>
      <c r="C2878" s="73"/>
      <c r="D2878" s="73"/>
      <c r="E2878" s="73"/>
      <c r="F2878" s="73"/>
      <c r="G2878" s="73"/>
      <c r="H2878" s="73"/>
      <c r="I2878" s="73"/>
      <c r="J2878" s="73"/>
      <c r="K2878" s="73"/>
      <c r="L2878" s="73"/>
      <c r="M2878" s="73"/>
      <c r="N2878" s="73"/>
      <c r="O2878" s="73"/>
      <c r="P2878" s="73"/>
      <c r="Q2878" s="73"/>
      <c r="R2878" s="73"/>
      <c r="S2878" s="73"/>
      <c r="T2878" s="73"/>
      <c r="U2878" s="73"/>
      <c r="V2878" s="73"/>
      <c r="W2878" s="73"/>
      <c r="GL2878" s="73"/>
      <c r="GM2878" s="73"/>
      <c r="GN2878" s="73"/>
      <c r="GO2878" s="73"/>
      <c r="GP2878" s="73"/>
      <c r="GQ2878" s="73"/>
      <c r="GR2878" s="73"/>
      <c r="GS2878" s="73"/>
      <c r="GT2878" s="73"/>
      <c r="GU2878" s="73"/>
      <c r="GV2878" s="73"/>
      <c r="GW2878" s="73"/>
      <c r="GX2878" s="73"/>
      <c r="GY2878" s="73"/>
      <c r="GZ2878" s="73"/>
      <c r="HA2878" s="73"/>
      <c r="HB2878" s="73"/>
      <c r="HC2878" s="73"/>
      <c r="HD2878" s="73"/>
      <c r="HE2878" s="73"/>
      <c r="HF2878" s="73"/>
      <c r="HG2878" s="73"/>
      <c r="HH2878" s="73"/>
      <c r="HI2878" s="73"/>
      <c r="HJ2878" s="73"/>
      <c r="HK2878" s="73"/>
      <c r="HL2878" s="73"/>
      <c r="HM2878" s="73"/>
      <c r="HN2878" s="73"/>
      <c r="HO2878" s="73"/>
      <c r="HP2878" s="73"/>
      <c r="HQ2878" s="73"/>
      <c r="HR2878" s="73"/>
      <c r="HS2878" s="73"/>
      <c r="HT2878" s="73"/>
      <c r="HU2878" s="73"/>
      <c r="HV2878" s="73"/>
      <c r="HW2878" s="73"/>
      <c r="HX2878" s="73"/>
      <c r="HY2878" s="73"/>
      <c r="HZ2878" s="73"/>
      <c r="IA2878" s="73"/>
      <c r="IB2878" s="73"/>
      <c r="IC2878" s="73"/>
      <c r="ID2878" s="73"/>
      <c r="IE2878" s="73"/>
      <c r="IF2878" s="73"/>
      <c r="IG2878" s="73"/>
      <c r="IH2878" s="73"/>
      <c r="II2878" s="73"/>
      <c r="IJ2878" s="73"/>
      <c r="IK2878" s="73"/>
      <c r="IL2878" s="73"/>
      <c r="IM2878" s="73"/>
      <c r="IN2878" s="73"/>
      <c r="IO2878" s="73"/>
      <c r="IP2878" s="73"/>
      <c r="IQ2878" s="73"/>
      <c r="IR2878" s="73"/>
      <c r="IS2878" s="73"/>
      <c r="IT2878" s="73"/>
      <c r="IU2878" s="73"/>
      <c r="IV2878" s="73"/>
      <c r="IW2878" s="73"/>
      <c r="IX2878" s="73"/>
      <c r="IY2878" s="73"/>
      <c r="IZ2878" s="73"/>
      <c r="JA2878" s="73"/>
      <c r="JB2878" s="73"/>
      <c r="JC2878" s="73"/>
    </row>
    <row r="2879" spans="2:263" s="72" customFormat="1">
      <c r="B2879" s="73"/>
      <c r="C2879" s="73"/>
      <c r="D2879" s="73"/>
      <c r="E2879" s="73"/>
      <c r="F2879" s="73"/>
      <c r="G2879" s="73"/>
      <c r="H2879" s="73"/>
      <c r="I2879" s="73"/>
      <c r="J2879" s="73"/>
      <c r="K2879" s="73"/>
      <c r="L2879" s="73"/>
      <c r="M2879" s="73"/>
      <c r="N2879" s="73"/>
      <c r="O2879" s="73"/>
      <c r="P2879" s="73"/>
      <c r="Q2879" s="73"/>
      <c r="R2879" s="73"/>
      <c r="S2879" s="73"/>
      <c r="T2879" s="73"/>
      <c r="U2879" s="73"/>
      <c r="V2879" s="73"/>
      <c r="W2879" s="73"/>
      <c r="GL2879" s="73"/>
      <c r="GM2879" s="73"/>
      <c r="GN2879" s="73"/>
      <c r="GO2879" s="73"/>
      <c r="GP2879" s="73"/>
      <c r="GQ2879" s="73"/>
      <c r="GR2879" s="73"/>
      <c r="GS2879" s="73"/>
      <c r="GT2879" s="73"/>
      <c r="GU2879" s="73"/>
      <c r="GV2879" s="73"/>
      <c r="GW2879" s="73"/>
      <c r="GX2879" s="73"/>
      <c r="GY2879" s="73"/>
      <c r="GZ2879" s="73"/>
      <c r="HA2879" s="73"/>
      <c r="HB2879" s="73"/>
      <c r="HC2879" s="73"/>
      <c r="HD2879" s="73"/>
      <c r="HE2879" s="73"/>
      <c r="HF2879" s="73"/>
      <c r="HG2879" s="73"/>
      <c r="HH2879" s="73"/>
      <c r="HI2879" s="73"/>
      <c r="HJ2879" s="73"/>
      <c r="HK2879" s="73"/>
      <c r="HL2879" s="73"/>
      <c r="HM2879" s="73"/>
      <c r="HN2879" s="73"/>
      <c r="HO2879" s="73"/>
      <c r="HP2879" s="73"/>
      <c r="HQ2879" s="73"/>
      <c r="HR2879" s="73"/>
      <c r="HS2879" s="73"/>
      <c r="HT2879" s="73"/>
      <c r="HU2879" s="73"/>
      <c r="HV2879" s="73"/>
      <c r="HW2879" s="73"/>
      <c r="HX2879" s="73"/>
      <c r="HY2879" s="73"/>
      <c r="HZ2879" s="73"/>
      <c r="IA2879" s="73"/>
      <c r="IB2879" s="73"/>
      <c r="IC2879" s="73"/>
      <c r="ID2879" s="73"/>
      <c r="IE2879" s="73"/>
      <c r="IF2879" s="73"/>
      <c r="IG2879" s="73"/>
      <c r="IH2879" s="73"/>
      <c r="II2879" s="73"/>
      <c r="IJ2879" s="73"/>
      <c r="IK2879" s="73"/>
      <c r="IL2879" s="73"/>
      <c r="IM2879" s="73"/>
      <c r="IN2879" s="73"/>
      <c r="IO2879" s="73"/>
      <c r="IP2879" s="73"/>
      <c r="IQ2879" s="73"/>
      <c r="IR2879" s="73"/>
      <c r="IS2879" s="73"/>
      <c r="IT2879" s="73"/>
      <c r="IU2879" s="73"/>
      <c r="IV2879" s="73"/>
      <c r="IW2879" s="73"/>
      <c r="IX2879" s="73"/>
      <c r="IY2879" s="73"/>
      <c r="IZ2879" s="73"/>
      <c r="JA2879" s="73"/>
      <c r="JB2879" s="73"/>
      <c r="JC2879" s="73"/>
    </row>
    <row r="2880" spans="2:263" s="72" customFormat="1">
      <c r="B2880" s="73"/>
      <c r="C2880" s="73"/>
      <c r="D2880" s="73"/>
      <c r="E2880" s="73"/>
      <c r="F2880" s="73"/>
      <c r="G2880" s="73"/>
      <c r="H2880" s="73"/>
      <c r="I2880" s="73"/>
      <c r="J2880" s="73"/>
      <c r="K2880" s="73"/>
      <c r="L2880" s="73"/>
      <c r="M2880" s="73"/>
      <c r="N2880" s="73"/>
      <c r="O2880" s="73"/>
      <c r="P2880" s="73"/>
      <c r="Q2880" s="73"/>
      <c r="R2880" s="73"/>
      <c r="S2880" s="73"/>
      <c r="T2880" s="73"/>
      <c r="U2880" s="73"/>
      <c r="V2880" s="73"/>
      <c r="W2880" s="73"/>
      <c r="GL2880" s="73"/>
      <c r="GM2880" s="73"/>
      <c r="GN2880" s="73"/>
      <c r="GO2880" s="73"/>
      <c r="GP2880" s="73"/>
      <c r="GQ2880" s="73"/>
      <c r="GR2880" s="73"/>
      <c r="GS2880" s="73"/>
      <c r="GT2880" s="73"/>
      <c r="GU2880" s="73"/>
      <c r="GV2880" s="73"/>
      <c r="GW2880" s="73"/>
      <c r="GX2880" s="73"/>
      <c r="GY2880" s="73"/>
      <c r="GZ2880" s="73"/>
      <c r="HA2880" s="73"/>
      <c r="HB2880" s="73"/>
      <c r="HC2880" s="73"/>
      <c r="HD2880" s="73"/>
      <c r="HE2880" s="73"/>
      <c r="HF2880" s="73"/>
      <c r="HG2880" s="73"/>
      <c r="HH2880" s="73"/>
      <c r="HI2880" s="73"/>
      <c r="HJ2880" s="73"/>
      <c r="HK2880" s="73"/>
      <c r="HL2880" s="73"/>
      <c r="HM2880" s="73"/>
      <c r="HN2880" s="73"/>
      <c r="HO2880" s="73"/>
      <c r="HP2880" s="73"/>
      <c r="HQ2880" s="73"/>
      <c r="HR2880" s="73"/>
      <c r="HS2880" s="73"/>
      <c r="HT2880" s="73"/>
      <c r="HU2880" s="73"/>
      <c r="HV2880" s="73"/>
      <c r="HW2880" s="73"/>
      <c r="HX2880" s="73"/>
      <c r="HY2880" s="73"/>
      <c r="HZ2880" s="73"/>
      <c r="IA2880" s="73"/>
      <c r="IB2880" s="73"/>
      <c r="IC2880" s="73"/>
      <c r="ID2880" s="73"/>
      <c r="IE2880" s="73"/>
      <c r="IF2880" s="73"/>
      <c r="IG2880" s="73"/>
      <c r="IH2880" s="73"/>
      <c r="II2880" s="73"/>
      <c r="IJ2880" s="73"/>
      <c r="IK2880" s="73"/>
      <c r="IL2880" s="73"/>
      <c r="IM2880" s="73"/>
      <c r="IN2880" s="73"/>
      <c r="IO2880" s="73"/>
      <c r="IP2880" s="73"/>
      <c r="IQ2880" s="73"/>
      <c r="IR2880" s="73"/>
      <c r="IS2880" s="73"/>
      <c r="IT2880" s="73"/>
      <c r="IU2880" s="73"/>
      <c r="IV2880" s="73"/>
      <c r="IW2880" s="73"/>
      <c r="IX2880" s="73"/>
      <c r="IY2880" s="73"/>
      <c r="IZ2880" s="73"/>
      <c r="JA2880" s="73"/>
      <c r="JB2880" s="73"/>
      <c r="JC2880" s="73"/>
    </row>
    <row r="2881" spans="2:263" s="72" customFormat="1">
      <c r="B2881" s="73"/>
      <c r="C2881" s="73"/>
      <c r="D2881" s="73"/>
      <c r="E2881" s="73"/>
      <c r="F2881" s="73"/>
      <c r="G2881" s="73"/>
      <c r="H2881" s="73"/>
      <c r="I2881" s="73"/>
      <c r="J2881" s="73"/>
      <c r="K2881" s="73"/>
      <c r="L2881" s="73"/>
      <c r="M2881" s="73"/>
      <c r="N2881" s="73"/>
      <c r="O2881" s="73"/>
      <c r="P2881" s="73"/>
      <c r="Q2881" s="73"/>
      <c r="R2881" s="73"/>
      <c r="S2881" s="73"/>
      <c r="T2881" s="73"/>
      <c r="U2881" s="73"/>
      <c r="V2881" s="73"/>
      <c r="W2881" s="73"/>
      <c r="GL2881" s="73"/>
      <c r="GM2881" s="73"/>
      <c r="GN2881" s="73"/>
      <c r="GO2881" s="73"/>
      <c r="GP2881" s="73"/>
      <c r="GQ2881" s="73"/>
      <c r="GR2881" s="73"/>
      <c r="GS2881" s="73"/>
      <c r="GT2881" s="73"/>
      <c r="GU2881" s="73"/>
      <c r="GV2881" s="73"/>
      <c r="GW2881" s="73"/>
      <c r="GX2881" s="73"/>
      <c r="GY2881" s="73"/>
      <c r="GZ2881" s="73"/>
      <c r="HA2881" s="73"/>
      <c r="HB2881" s="73"/>
      <c r="HC2881" s="73"/>
      <c r="HD2881" s="73"/>
      <c r="HE2881" s="73"/>
      <c r="HF2881" s="73"/>
      <c r="HG2881" s="73"/>
      <c r="HH2881" s="73"/>
      <c r="HI2881" s="73"/>
      <c r="HJ2881" s="73"/>
      <c r="HK2881" s="73"/>
      <c r="HL2881" s="73"/>
      <c r="HM2881" s="73"/>
      <c r="HN2881" s="73"/>
      <c r="HO2881" s="73"/>
      <c r="HP2881" s="73"/>
      <c r="HQ2881" s="73"/>
      <c r="HR2881" s="73"/>
      <c r="HS2881" s="73"/>
      <c r="HT2881" s="73"/>
      <c r="HU2881" s="73"/>
      <c r="HV2881" s="73"/>
      <c r="HW2881" s="73"/>
      <c r="HX2881" s="73"/>
      <c r="HY2881" s="73"/>
      <c r="HZ2881" s="73"/>
      <c r="IA2881" s="73"/>
      <c r="IB2881" s="73"/>
      <c r="IC2881" s="73"/>
      <c r="ID2881" s="73"/>
      <c r="IE2881" s="73"/>
      <c r="IF2881" s="73"/>
      <c r="IG2881" s="73"/>
      <c r="IH2881" s="73"/>
      <c r="II2881" s="73"/>
      <c r="IJ2881" s="73"/>
      <c r="IK2881" s="73"/>
      <c r="IL2881" s="73"/>
      <c r="IM2881" s="73"/>
      <c r="IN2881" s="73"/>
      <c r="IO2881" s="73"/>
      <c r="IP2881" s="73"/>
      <c r="IQ2881" s="73"/>
      <c r="IR2881" s="73"/>
      <c r="IS2881" s="73"/>
      <c r="IT2881" s="73"/>
      <c r="IU2881" s="73"/>
      <c r="IV2881" s="73"/>
      <c r="IW2881" s="73"/>
      <c r="IX2881" s="73"/>
      <c r="IY2881" s="73"/>
      <c r="IZ2881" s="73"/>
      <c r="JA2881" s="73"/>
      <c r="JB2881" s="73"/>
      <c r="JC2881" s="73"/>
    </row>
    <row r="2882" spans="2:263" s="72" customFormat="1">
      <c r="B2882" s="73"/>
      <c r="C2882" s="73"/>
      <c r="D2882" s="73"/>
      <c r="E2882" s="73"/>
      <c r="F2882" s="73"/>
      <c r="G2882" s="73"/>
      <c r="H2882" s="73"/>
      <c r="I2882" s="73"/>
      <c r="J2882" s="73"/>
      <c r="K2882" s="73"/>
      <c r="L2882" s="73"/>
      <c r="M2882" s="73"/>
      <c r="N2882" s="73"/>
      <c r="O2882" s="73"/>
      <c r="P2882" s="73"/>
      <c r="Q2882" s="73"/>
      <c r="R2882" s="73"/>
      <c r="S2882" s="73"/>
      <c r="T2882" s="73"/>
      <c r="U2882" s="73"/>
      <c r="V2882" s="73"/>
      <c r="W2882" s="73"/>
      <c r="GL2882" s="73"/>
      <c r="GM2882" s="73"/>
      <c r="GN2882" s="73"/>
      <c r="GO2882" s="73"/>
      <c r="GP2882" s="73"/>
      <c r="GQ2882" s="73"/>
      <c r="GR2882" s="73"/>
      <c r="GS2882" s="73"/>
      <c r="GT2882" s="73"/>
      <c r="GU2882" s="73"/>
      <c r="GV2882" s="73"/>
      <c r="GW2882" s="73"/>
      <c r="GX2882" s="73"/>
      <c r="GY2882" s="73"/>
      <c r="GZ2882" s="73"/>
      <c r="HA2882" s="73"/>
      <c r="HB2882" s="73"/>
      <c r="HC2882" s="73"/>
      <c r="HD2882" s="73"/>
      <c r="HE2882" s="73"/>
      <c r="HF2882" s="73"/>
      <c r="HG2882" s="73"/>
      <c r="HH2882" s="73"/>
      <c r="HI2882" s="73"/>
      <c r="HJ2882" s="73"/>
      <c r="HK2882" s="73"/>
      <c r="HL2882" s="73"/>
      <c r="HM2882" s="73"/>
      <c r="HN2882" s="73"/>
      <c r="HO2882" s="73"/>
      <c r="HP2882" s="73"/>
      <c r="HQ2882" s="73"/>
      <c r="HR2882" s="73"/>
      <c r="HS2882" s="73"/>
      <c r="HT2882" s="73"/>
      <c r="HU2882" s="73"/>
      <c r="HV2882" s="73"/>
      <c r="HW2882" s="73"/>
      <c r="HX2882" s="73"/>
      <c r="HY2882" s="73"/>
      <c r="HZ2882" s="73"/>
      <c r="IA2882" s="73"/>
      <c r="IB2882" s="73"/>
      <c r="IC2882" s="73"/>
      <c r="ID2882" s="73"/>
      <c r="IE2882" s="73"/>
      <c r="IF2882" s="73"/>
      <c r="IG2882" s="73"/>
      <c r="IH2882" s="73"/>
      <c r="II2882" s="73"/>
      <c r="IJ2882" s="73"/>
      <c r="IK2882" s="73"/>
      <c r="IL2882" s="73"/>
      <c r="IM2882" s="73"/>
      <c r="IN2882" s="73"/>
      <c r="IO2882" s="73"/>
      <c r="IP2882" s="73"/>
      <c r="IQ2882" s="73"/>
      <c r="IR2882" s="73"/>
      <c r="IS2882" s="73"/>
      <c r="IT2882" s="73"/>
      <c r="IU2882" s="73"/>
      <c r="IV2882" s="73"/>
      <c r="IW2882" s="73"/>
      <c r="IX2882" s="73"/>
      <c r="IY2882" s="73"/>
      <c r="IZ2882" s="73"/>
      <c r="JA2882" s="73"/>
      <c r="JB2882" s="73"/>
      <c r="JC2882" s="73"/>
    </row>
    <row r="2883" spans="2:263" s="72" customFormat="1">
      <c r="B2883" s="73"/>
      <c r="C2883" s="73"/>
      <c r="D2883" s="73"/>
      <c r="E2883" s="73"/>
      <c r="F2883" s="73"/>
      <c r="G2883" s="73"/>
      <c r="H2883" s="73"/>
      <c r="I2883" s="73"/>
      <c r="J2883" s="73"/>
      <c r="K2883" s="73"/>
      <c r="L2883" s="73"/>
      <c r="M2883" s="73"/>
      <c r="N2883" s="73"/>
      <c r="O2883" s="73"/>
      <c r="P2883" s="73"/>
      <c r="Q2883" s="73"/>
      <c r="R2883" s="73"/>
      <c r="S2883" s="73"/>
      <c r="T2883" s="73"/>
      <c r="U2883" s="73"/>
      <c r="V2883" s="73"/>
      <c r="W2883" s="73"/>
      <c r="GL2883" s="73"/>
      <c r="GM2883" s="73"/>
      <c r="GN2883" s="73"/>
      <c r="GO2883" s="73"/>
      <c r="GP2883" s="73"/>
      <c r="GQ2883" s="73"/>
      <c r="GR2883" s="73"/>
      <c r="GS2883" s="73"/>
      <c r="GT2883" s="73"/>
      <c r="GU2883" s="73"/>
      <c r="GV2883" s="73"/>
      <c r="GW2883" s="73"/>
      <c r="GX2883" s="73"/>
      <c r="GY2883" s="73"/>
      <c r="GZ2883" s="73"/>
      <c r="HA2883" s="73"/>
      <c r="HB2883" s="73"/>
      <c r="HC2883" s="73"/>
      <c r="HD2883" s="73"/>
      <c r="HE2883" s="73"/>
      <c r="HF2883" s="73"/>
      <c r="HG2883" s="73"/>
      <c r="HH2883" s="73"/>
      <c r="HI2883" s="73"/>
      <c r="HJ2883" s="73"/>
      <c r="HK2883" s="73"/>
      <c r="HL2883" s="73"/>
      <c r="HM2883" s="73"/>
      <c r="HN2883" s="73"/>
      <c r="HO2883" s="73"/>
      <c r="HP2883" s="73"/>
      <c r="HQ2883" s="73"/>
      <c r="HR2883" s="73"/>
      <c r="HS2883" s="73"/>
      <c r="HT2883" s="73"/>
      <c r="HU2883" s="73"/>
      <c r="HV2883" s="73"/>
      <c r="HW2883" s="73"/>
      <c r="HX2883" s="73"/>
      <c r="HY2883" s="73"/>
      <c r="HZ2883" s="73"/>
      <c r="IA2883" s="73"/>
      <c r="IB2883" s="73"/>
      <c r="IC2883" s="73"/>
      <c r="ID2883" s="73"/>
      <c r="IE2883" s="73"/>
      <c r="IF2883" s="73"/>
      <c r="IG2883" s="73"/>
      <c r="IH2883" s="73"/>
      <c r="II2883" s="73"/>
      <c r="IJ2883" s="73"/>
      <c r="IK2883" s="73"/>
      <c r="IL2883" s="73"/>
      <c r="IM2883" s="73"/>
      <c r="IN2883" s="73"/>
      <c r="IO2883" s="73"/>
      <c r="IP2883" s="73"/>
      <c r="IQ2883" s="73"/>
      <c r="IR2883" s="73"/>
      <c r="IS2883" s="73"/>
      <c r="IT2883" s="73"/>
      <c r="IU2883" s="73"/>
      <c r="IV2883" s="73"/>
      <c r="IW2883" s="73"/>
      <c r="IX2883" s="73"/>
      <c r="IY2883" s="73"/>
      <c r="IZ2883" s="73"/>
      <c r="JA2883" s="73"/>
      <c r="JB2883" s="73"/>
      <c r="JC2883" s="73"/>
    </row>
    <row r="2884" spans="2:263" s="72" customFormat="1">
      <c r="B2884" s="73"/>
      <c r="C2884" s="73"/>
      <c r="D2884" s="73"/>
      <c r="E2884" s="73"/>
      <c r="F2884" s="73"/>
      <c r="G2884" s="73"/>
      <c r="H2884" s="73"/>
      <c r="I2884" s="73"/>
      <c r="J2884" s="73"/>
      <c r="K2884" s="73"/>
      <c r="L2884" s="73"/>
      <c r="M2884" s="73"/>
      <c r="N2884" s="73"/>
      <c r="O2884" s="73"/>
      <c r="P2884" s="73"/>
      <c r="Q2884" s="73"/>
      <c r="R2884" s="73"/>
      <c r="S2884" s="73"/>
      <c r="T2884" s="73"/>
      <c r="U2884" s="73"/>
      <c r="V2884" s="73"/>
      <c r="W2884" s="73"/>
      <c r="GL2884" s="73"/>
      <c r="GM2884" s="73"/>
      <c r="GN2884" s="73"/>
      <c r="GO2884" s="73"/>
      <c r="GP2884" s="73"/>
      <c r="GQ2884" s="73"/>
      <c r="GR2884" s="73"/>
      <c r="GS2884" s="73"/>
      <c r="GT2884" s="73"/>
      <c r="GU2884" s="73"/>
      <c r="GV2884" s="73"/>
      <c r="GW2884" s="73"/>
      <c r="GX2884" s="73"/>
      <c r="GY2884" s="73"/>
      <c r="GZ2884" s="73"/>
      <c r="HA2884" s="73"/>
      <c r="HB2884" s="73"/>
      <c r="HC2884" s="73"/>
      <c r="HD2884" s="73"/>
      <c r="HE2884" s="73"/>
      <c r="HF2884" s="73"/>
      <c r="HG2884" s="73"/>
      <c r="HH2884" s="73"/>
      <c r="HI2884" s="73"/>
      <c r="HJ2884" s="73"/>
      <c r="HK2884" s="73"/>
      <c r="HL2884" s="73"/>
      <c r="HM2884" s="73"/>
      <c r="HN2884" s="73"/>
      <c r="HO2884" s="73"/>
      <c r="HP2884" s="73"/>
      <c r="HQ2884" s="73"/>
      <c r="HR2884" s="73"/>
      <c r="HS2884" s="73"/>
      <c r="HT2884" s="73"/>
      <c r="HU2884" s="73"/>
      <c r="HV2884" s="73"/>
      <c r="HW2884" s="73"/>
      <c r="HX2884" s="73"/>
      <c r="HY2884" s="73"/>
      <c r="HZ2884" s="73"/>
      <c r="IA2884" s="73"/>
      <c r="IB2884" s="73"/>
      <c r="IC2884" s="73"/>
      <c r="ID2884" s="73"/>
      <c r="IE2884" s="73"/>
      <c r="IF2884" s="73"/>
      <c r="IG2884" s="73"/>
      <c r="IH2884" s="73"/>
      <c r="II2884" s="73"/>
      <c r="IJ2884" s="73"/>
      <c r="IK2884" s="73"/>
      <c r="IL2884" s="73"/>
      <c r="IM2884" s="73"/>
      <c r="IN2884" s="73"/>
      <c r="IO2884" s="73"/>
      <c r="IP2884" s="73"/>
      <c r="IQ2884" s="73"/>
      <c r="IR2884" s="73"/>
      <c r="IS2884" s="73"/>
      <c r="IT2884" s="73"/>
      <c r="IU2884" s="73"/>
      <c r="IV2884" s="73"/>
      <c r="IW2884" s="73"/>
      <c r="IX2884" s="73"/>
      <c r="IY2884" s="73"/>
      <c r="IZ2884" s="73"/>
      <c r="JA2884" s="73"/>
      <c r="JB2884" s="73"/>
      <c r="JC2884" s="73"/>
    </row>
    <row r="2885" spans="2:263" s="72" customFormat="1">
      <c r="B2885" s="73"/>
      <c r="C2885" s="73"/>
      <c r="D2885" s="73"/>
      <c r="E2885" s="73"/>
      <c r="F2885" s="73"/>
      <c r="G2885" s="73"/>
      <c r="H2885" s="73"/>
      <c r="I2885" s="73"/>
      <c r="J2885" s="73"/>
      <c r="K2885" s="73"/>
      <c r="L2885" s="73"/>
      <c r="M2885" s="73"/>
      <c r="N2885" s="73"/>
      <c r="O2885" s="73"/>
      <c r="P2885" s="73"/>
      <c r="Q2885" s="73"/>
      <c r="R2885" s="73"/>
      <c r="S2885" s="73"/>
      <c r="T2885" s="73"/>
      <c r="U2885" s="73"/>
      <c r="V2885" s="73"/>
      <c r="W2885" s="73"/>
      <c r="GL2885" s="73"/>
      <c r="GM2885" s="73"/>
      <c r="GN2885" s="73"/>
      <c r="GO2885" s="73"/>
      <c r="GP2885" s="73"/>
      <c r="GQ2885" s="73"/>
      <c r="GR2885" s="73"/>
      <c r="GS2885" s="73"/>
      <c r="GT2885" s="73"/>
      <c r="GU2885" s="73"/>
      <c r="GV2885" s="73"/>
      <c r="GW2885" s="73"/>
      <c r="GX2885" s="73"/>
      <c r="GY2885" s="73"/>
      <c r="GZ2885" s="73"/>
      <c r="HA2885" s="73"/>
      <c r="HB2885" s="73"/>
      <c r="HC2885" s="73"/>
      <c r="HD2885" s="73"/>
      <c r="HE2885" s="73"/>
      <c r="HF2885" s="73"/>
      <c r="HG2885" s="73"/>
      <c r="HH2885" s="73"/>
      <c r="HI2885" s="73"/>
      <c r="HJ2885" s="73"/>
      <c r="HK2885" s="73"/>
      <c r="HL2885" s="73"/>
      <c r="HM2885" s="73"/>
      <c r="HN2885" s="73"/>
      <c r="HO2885" s="73"/>
      <c r="HP2885" s="73"/>
      <c r="HQ2885" s="73"/>
      <c r="HR2885" s="73"/>
      <c r="HS2885" s="73"/>
      <c r="HT2885" s="73"/>
      <c r="HU2885" s="73"/>
      <c r="HV2885" s="73"/>
      <c r="HW2885" s="73"/>
      <c r="HX2885" s="73"/>
      <c r="HY2885" s="73"/>
      <c r="HZ2885" s="73"/>
      <c r="IA2885" s="73"/>
      <c r="IB2885" s="73"/>
      <c r="IC2885" s="73"/>
      <c r="ID2885" s="73"/>
      <c r="IE2885" s="73"/>
      <c r="IF2885" s="73"/>
      <c r="IG2885" s="73"/>
      <c r="IH2885" s="73"/>
      <c r="II2885" s="73"/>
      <c r="IJ2885" s="73"/>
      <c r="IK2885" s="73"/>
      <c r="IL2885" s="73"/>
      <c r="IM2885" s="73"/>
      <c r="IN2885" s="73"/>
      <c r="IO2885" s="73"/>
      <c r="IP2885" s="73"/>
      <c r="IQ2885" s="73"/>
      <c r="IR2885" s="73"/>
      <c r="IS2885" s="73"/>
      <c r="IT2885" s="73"/>
      <c r="IU2885" s="73"/>
      <c r="IV2885" s="73"/>
      <c r="IW2885" s="73"/>
      <c r="IX2885" s="73"/>
      <c r="IY2885" s="73"/>
      <c r="IZ2885" s="73"/>
      <c r="JA2885" s="73"/>
      <c r="JB2885" s="73"/>
      <c r="JC2885" s="73"/>
    </row>
    <row r="2886" spans="2:263" s="72" customFormat="1">
      <c r="B2886" s="73"/>
      <c r="C2886" s="73"/>
      <c r="D2886" s="73"/>
      <c r="E2886" s="73"/>
      <c r="F2886" s="73"/>
      <c r="G2886" s="73"/>
      <c r="H2886" s="73"/>
      <c r="I2886" s="73"/>
      <c r="J2886" s="73"/>
      <c r="K2886" s="73"/>
      <c r="L2886" s="73"/>
      <c r="M2886" s="73"/>
      <c r="N2886" s="73"/>
      <c r="O2886" s="73"/>
      <c r="P2886" s="73"/>
      <c r="Q2886" s="73"/>
      <c r="R2886" s="73"/>
      <c r="S2886" s="73"/>
      <c r="T2886" s="73"/>
      <c r="U2886" s="73"/>
      <c r="V2886" s="73"/>
      <c r="W2886" s="73"/>
      <c r="GL2886" s="73"/>
      <c r="GM2886" s="73"/>
      <c r="GN2886" s="73"/>
      <c r="GO2886" s="73"/>
      <c r="GP2886" s="73"/>
      <c r="GQ2886" s="73"/>
      <c r="GR2886" s="73"/>
      <c r="GS2886" s="73"/>
      <c r="GT2886" s="73"/>
      <c r="GU2886" s="73"/>
      <c r="GV2886" s="73"/>
      <c r="GW2886" s="73"/>
      <c r="GX2886" s="73"/>
      <c r="GY2886" s="73"/>
      <c r="GZ2886" s="73"/>
      <c r="HA2886" s="73"/>
      <c r="HB2886" s="73"/>
      <c r="HC2886" s="73"/>
      <c r="HD2886" s="73"/>
      <c r="HE2886" s="73"/>
      <c r="HF2886" s="73"/>
      <c r="HG2886" s="73"/>
      <c r="HH2886" s="73"/>
      <c r="HI2886" s="73"/>
      <c r="HJ2886" s="73"/>
      <c r="HK2886" s="73"/>
      <c r="HL2886" s="73"/>
      <c r="HM2886" s="73"/>
      <c r="HN2886" s="73"/>
      <c r="HO2886" s="73"/>
      <c r="HP2886" s="73"/>
      <c r="HQ2886" s="73"/>
      <c r="HR2886" s="73"/>
      <c r="HS2886" s="73"/>
      <c r="HT2886" s="73"/>
      <c r="HU2886" s="73"/>
      <c r="HV2886" s="73"/>
      <c r="HW2886" s="73"/>
      <c r="HX2886" s="73"/>
      <c r="HY2886" s="73"/>
      <c r="HZ2886" s="73"/>
      <c r="IA2886" s="73"/>
      <c r="IB2886" s="73"/>
      <c r="IC2886" s="73"/>
      <c r="ID2886" s="73"/>
      <c r="IE2886" s="73"/>
      <c r="IF2886" s="73"/>
      <c r="IG2886" s="73"/>
      <c r="IH2886" s="73"/>
      <c r="II2886" s="73"/>
      <c r="IJ2886" s="73"/>
      <c r="IK2886" s="73"/>
      <c r="IL2886" s="73"/>
      <c r="IM2886" s="73"/>
      <c r="IN2886" s="73"/>
      <c r="IO2886" s="73"/>
      <c r="IP2886" s="73"/>
      <c r="IQ2886" s="73"/>
      <c r="IR2886" s="73"/>
      <c r="IS2886" s="73"/>
      <c r="IT2886" s="73"/>
      <c r="IU2886" s="73"/>
      <c r="IV2886" s="73"/>
      <c r="IW2886" s="73"/>
      <c r="IX2886" s="73"/>
      <c r="IY2886" s="73"/>
      <c r="IZ2886" s="73"/>
      <c r="JA2886" s="73"/>
      <c r="JB2886" s="73"/>
      <c r="JC2886" s="73"/>
    </row>
    <row r="2887" spans="2:263" s="72" customFormat="1">
      <c r="B2887" s="73"/>
      <c r="C2887" s="73"/>
      <c r="D2887" s="73"/>
      <c r="E2887" s="73"/>
      <c r="F2887" s="73"/>
      <c r="G2887" s="73"/>
      <c r="H2887" s="73"/>
      <c r="I2887" s="73"/>
      <c r="J2887" s="73"/>
      <c r="K2887" s="73"/>
      <c r="L2887" s="73"/>
      <c r="M2887" s="73"/>
      <c r="N2887" s="73"/>
      <c r="O2887" s="73"/>
      <c r="P2887" s="73"/>
      <c r="Q2887" s="73"/>
      <c r="R2887" s="73"/>
      <c r="S2887" s="73"/>
      <c r="T2887" s="73"/>
      <c r="U2887" s="73"/>
      <c r="V2887" s="73"/>
      <c r="W2887" s="73"/>
      <c r="GL2887" s="73"/>
      <c r="GM2887" s="73"/>
      <c r="GN2887" s="73"/>
      <c r="GO2887" s="73"/>
      <c r="GP2887" s="73"/>
      <c r="GQ2887" s="73"/>
      <c r="GR2887" s="73"/>
      <c r="GS2887" s="73"/>
      <c r="GT2887" s="73"/>
      <c r="GU2887" s="73"/>
      <c r="GV2887" s="73"/>
      <c r="GW2887" s="73"/>
      <c r="GX2887" s="73"/>
      <c r="GY2887" s="73"/>
      <c r="GZ2887" s="73"/>
      <c r="HA2887" s="73"/>
      <c r="HB2887" s="73"/>
      <c r="HC2887" s="73"/>
      <c r="HD2887" s="73"/>
      <c r="HE2887" s="73"/>
      <c r="HF2887" s="73"/>
      <c r="HG2887" s="73"/>
      <c r="HH2887" s="73"/>
      <c r="HI2887" s="73"/>
      <c r="HJ2887" s="73"/>
      <c r="HK2887" s="73"/>
      <c r="HL2887" s="73"/>
      <c r="HM2887" s="73"/>
      <c r="HN2887" s="73"/>
      <c r="HO2887" s="73"/>
      <c r="HP2887" s="73"/>
      <c r="HQ2887" s="73"/>
      <c r="HR2887" s="73"/>
      <c r="HS2887" s="73"/>
      <c r="HT2887" s="73"/>
      <c r="HU2887" s="73"/>
      <c r="HV2887" s="73"/>
      <c r="HW2887" s="73"/>
      <c r="HX2887" s="73"/>
      <c r="HY2887" s="73"/>
      <c r="HZ2887" s="73"/>
      <c r="IA2887" s="73"/>
      <c r="IB2887" s="73"/>
      <c r="IC2887" s="73"/>
      <c r="ID2887" s="73"/>
      <c r="IE2887" s="73"/>
      <c r="IF2887" s="73"/>
      <c r="IG2887" s="73"/>
      <c r="IH2887" s="73"/>
      <c r="II2887" s="73"/>
      <c r="IJ2887" s="73"/>
      <c r="IK2887" s="73"/>
      <c r="IL2887" s="73"/>
      <c r="IM2887" s="73"/>
      <c r="IN2887" s="73"/>
      <c r="IO2887" s="73"/>
      <c r="IP2887" s="73"/>
      <c r="IQ2887" s="73"/>
      <c r="IR2887" s="73"/>
      <c r="IS2887" s="73"/>
      <c r="IT2887" s="73"/>
      <c r="IU2887" s="73"/>
      <c r="IV2887" s="73"/>
      <c r="IW2887" s="73"/>
      <c r="IX2887" s="73"/>
      <c r="IY2887" s="73"/>
      <c r="IZ2887" s="73"/>
      <c r="JA2887" s="73"/>
      <c r="JB2887" s="73"/>
      <c r="JC2887" s="73"/>
    </row>
    <row r="2888" spans="2:263" s="72" customFormat="1">
      <c r="B2888" s="73"/>
      <c r="C2888" s="73"/>
      <c r="D2888" s="73"/>
      <c r="E2888" s="73"/>
      <c r="F2888" s="73"/>
      <c r="G2888" s="73"/>
      <c r="H2888" s="73"/>
      <c r="I2888" s="73"/>
      <c r="J2888" s="73"/>
      <c r="K2888" s="73"/>
      <c r="L2888" s="73"/>
      <c r="M2888" s="73"/>
      <c r="N2888" s="73"/>
      <c r="O2888" s="73"/>
      <c r="P2888" s="73"/>
      <c r="Q2888" s="73"/>
      <c r="R2888" s="73"/>
      <c r="S2888" s="73"/>
      <c r="T2888" s="73"/>
      <c r="U2888" s="73"/>
      <c r="V2888" s="73"/>
      <c r="W2888" s="73"/>
      <c r="GL2888" s="73"/>
      <c r="GM2888" s="73"/>
      <c r="GN2888" s="73"/>
      <c r="GO2888" s="73"/>
      <c r="GP2888" s="73"/>
      <c r="GQ2888" s="73"/>
      <c r="GR2888" s="73"/>
      <c r="GS2888" s="73"/>
      <c r="GT2888" s="73"/>
      <c r="GU2888" s="73"/>
      <c r="GV2888" s="73"/>
      <c r="GW2888" s="73"/>
      <c r="GX2888" s="73"/>
      <c r="GY2888" s="73"/>
      <c r="GZ2888" s="73"/>
      <c r="HA2888" s="73"/>
      <c r="HB2888" s="73"/>
      <c r="HC2888" s="73"/>
      <c r="HD2888" s="73"/>
      <c r="HE2888" s="73"/>
      <c r="HF2888" s="73"/>
      <c r="HG2888" s="73"/>
      <c r="HH2888" s="73"/>
      <c r="HI2888" s="73"/>
      <c r="HJ2888" s="73"/>
      <c r="HK2888" s="73"/>
      <c r="HL2888" s="73"/>
      <c r="HM2888" s="73"/>
      <c r="HN2888" s="73"/>
      <c r="HO2888" s="73"/>
      <c r="HP2888" s="73"/>
      <c r="HQ2888" s="73"/>
      <c r="HR2888" s="73"/>
      <c r="HS2888" s="73"/>
      <c r="HT2888" s="73"/>
      <c r="HU2888" s="73"/>
      <c r="HV2888" s="73"/>
      <c r="HW2888" s="73"/>
      <c r="HX2888" s="73"/>
      <c r="HY2888" s="73"/>
      <c r="HZ2888" s="73"/>
      <c r="IA2888" s="73"/>
      <c r="IB2888" s="73"/>
      <c r="IC2888" s="73"/>
      <c r="ID2888" s="73"/>
      <c r="IE2888" s="73"/>
      <c r="IF2888" s="73"/>
      <c r="IG2888" s="73"/>
      <c r="IH2888" s="73"/>
      <c r="II2888" s="73"/>
      <c r="IJ2888" s="73"/>
      <c r="IK2888" s="73"/>
      <c r="IL2888" s="73"/>
      <c r="IM2888" s="73"/>
      <c r="IN2888" s="73"/>
      <c r="IO2888" s="73"/>
      <c r="IP2888" s="73"/>
      <c r="IQ2888" s="73"/>
      <c r="IR2888" s="73"/>
      <c r="IS2888" s="73"/>
      <c r="IT2888" s="73"/>
      <c r="IU2888" s="73"/>
      <c r="IV2888" s="73"/>
      <c r="IW2888" s="73"/>
      <c r="IX2888" s="73"/>
      <c r="IY2888" s="73"/>
      <c r="IZ2888" s="73"/>
      <c r="JA2888" s="73"/>
      <c r="JB2888" s="73"/>
      <c r="JC2888" s="73"/>
    </row>
    <row r="2889" spans="2:263" s="72" customFormat="1">
      <c r="B2889" s="73"/>
      <c r="C2889" s="73"/>
      <c r="D2889" s="73"/>
      <c r="E2889" s="73"/>
      <c r="F2889" s="73"/>
      <c r="G2889" s="73"/>
      <c r="H2889" s="73"/>
      <c r="I2889" s="73"/>
      <c r="J2889" s="73"/>
      <c r="K2889" s="73"/>
      <c r="L2889" s="73"/>
      <c r="M2889" s="73"/>
      <c r="N2889" s="73"/>
      <c r="O2889" s="73"/>
      <c r="P2889" s="73"/>
      <c r="Q2889" s="73"/>
      <c r="R2889" s="73"/>
      <c r="S2889" s="73"/>
      <c r="T2889" s="73"/>
      <c r="U2889" s="73"/>
      <c r="V2889" s="73"/>
      <c r="W2889" s="73"/>
      <c r="GL2889" s="73"/>
      <c r="GM2889" s="73"/>
      <c r="GN2889" s="73"/>
      <c r="GO2889" s="73"/>
      <c r="GP2889" s="73"/>
      <c r="GQ2889" s="73"/>
      <c r="GR2889" s="73"/>
      <c r="GS2889" s="73"/>
      <c r="GT2889" s="73"/>
      <c r="GU2889" s="73"/>
      <c r="GV2889" s="73"/>
      <c r="GW2889" s="73"/>
      <c r="GX2889" s="73"/>
      <c r="GY2889" s="73"/>
      <c r="GZ2889" s="73"/>
      <c r="HA2889" s="73"/>
      <c r="HB2889" s="73"/>
      <c r="HC2889" s="73"/>
      <c r="HD2889" s="73"/>
      <c r="HE2889" s="73"/>
      <c r="HF2889" s="73"/>
      <c r="HG2889" s="73"/>
      <c r="HH2889" s="73"/>
      <c r="HI2889" s="73"/>
      <c r="HJ2889" s="73"/>
      <c r="HK2889" s="73"/>
      <c r="HL2889" s="73"/>
      <c r="HM2889" s="73"/>
      <c r="HN2889" s="73"/>
      <c r="HO2889" s="73"/>
      <c r="HP2889" s="73"/>
      <c r="HQ2889" s="73"/>
      <c r="HR2889" s="73"/>
      <c r="HS2889" s="73"/>
      <c r="HT2889" s="73"/>
      <c r="HU2889" s="73"/>
      <c r="HV2889" s="73"/>
      <c r="HW2889" s="73"/>
      <c r="HX2889" s="73"/>
      <c r="HY2889" s="73"/>
      <c r="HZ2889" s="73"/>
      <c r="IA2889" s="73"/>
      <c r="IB2889" s="73"/>
      <c r="IC2889" s="73"/>
      <c r="ID2889" s="73"/>
      <c r="IE2889" s="73"/>
      <c r="IF2889" s="73"/>
      <c r="IG2889" s="73"/>
      <c r="IH2889" s="73"/>
      <c r="II2889" s="73"/>
      <c r="IJ2889" s="73"/>
      <c r="IK2889" s="73"/>
      <c r="IL2889" s="73"/>
      <c r="IM2889" s="73"/>
      <c r="IN2889" s="73"/>
      <c r="IO2889" s="73"/>
      <c r="IP2889" s="73"/>
      <c r="IQ2889" s="73"/>
      <c r="IR2889" s="73"/>
      <c r="IS2889" s="73"/>
      <c r="IT2889" s="73"/>
      <c r="IU2889" s="73"/>
      <c r="IV2889" s="73"/>
      <c r="IW2889" s="73"/>
      <c r="IX2889" s="73"/>
      <c r="IY2889" s="73"/>
      <c r="IZ2889" s="73"/>
      <c r="JA2889" s="73"/>
      <c r="JB2889" s="73"/>
      <c r="JC2889" s="73"/>
    </row>
    <row r="2890" spans="2:263" s="72" customFormat="1">
      <c r="B2890" s="73"/>
      <c r="C2890" s="73"/>
      <c r="D2890" s="73"/>
      <c r="E2890" s="73"/>
      <c r="F2890" s="73"/>
      <c r="G2890" s="73"/>
      <c r="H2890" s="73"/>
      <c r="I2890" s="73"/>
      <c r="J2890" s="73"/>
      <c r="K2890" s="73"/>
      <c r="L2890" s="73"/>
      <c r="M2890" s="73"/>
      <c r="N2890" s="73"/>
      <c r="O2890" s="73"/>
      <c r="P2890" s="73"/>
      <c r="Q2890" s="73"/>
      <c r="R2890" s="73"/>
      <c r="S2890" s="73"/>
      <c r="T2890" s="73"/>
      <c r="U2890" s="73"/>
      <c r="V2890" s="73"/>
      <c r="W2890" s="73"/>
      <c r="GL2890" s="73"/>
      <c r="GM2890" s="73"/>
      <c r="GN2890" s="73"/>
      <c r="GO2890" s="73"/>
      <c r="GP2890" s="73"/>
      <c r="GQ2890" s="73"/>
      <c r="GR2890" s="73"/>
      <c r="GS2890" s="73"/>
      <c r="GT2890" s="73"/>
      <c r="GU2890" s="73"/>
      <c r="GV2890" s="73"/>
      <c r="GW2890" s="73"/>
      <c r="GX2890" s="73"/>
      <c r="GY2890" s="73"/>
      <c r="GZ2890" s="73"/>
      <c r="HA2890" s="73"/>
      <c r="HB2890" s="73"/>
      <c r="HC2890" s="73"/>
      <c r="HD2890" s="73"/>
      <c r="HE2890" s="73"/>
      <c r="HF2890" s="73"/>
      <c r="HG2890" s="73"/>
      <c r="HH2890" s="73"/>
      <c r="HI2890" s="73"/>
      <c r="HJ2890" s="73"/>
      <c r="HK2890" s="73"/>
      <c r="HL2890" s="73"/>
      <c r="HM2890" s="73"/>
      <c r="HN2890" s="73"/>
      <c r="HO2890" s="73"/>
      <c r="HP2890" s="73"/>
      <c r="HQ2890" s="73"/>
      <c r="HR2890" s="73"/>
      <c r="HS2890" s="73"/>
      <c r="HT2890" s="73"/>
      <c r="HU2890" s="73"/>
      <c r="HV2890" s="73"/>
      <c r="HW2890" s="73"/>
      <c r="HX2890" s="73"/>
      <c r="HY2890" s="73"/>
      <c r="HZ2890" s="73"/>
      <c r="IA2890" s="73"/>
      <c r="IB2890" s="73"/>
      <c r="IC2890" s="73"/>
      <c r="ID2890" s="73"/>
      <c r="IE2890" s="73"/>
      <c r="IF2890" s="73"/>
      <c r="IG2890" s="73"/>
      <c r="IH2890" s="73"/>
      <c r="II2890" s="73"/>
      <c r="IJ2890" s="73"/>
      <c r="IK2890" s="73"/>
      <c r="IL2890" s="73"/>
      <c r="IM2890" s="73"/>
      <c r="IN2890" s="73"/>
      <c r="IO2890" s="73"/>
      <c r="IP2890" s="73"/>
      <c r="IQ2890" s="73"/>
      <c r="IR2890" s="73"/>
      <c r="IS2890" s="73"/>
      <c r="IT2890" s="73"/>
      <c r="IU2890" s="73"/>
      <c r="IV2890" s="73"/>
      <c r="IW2890" s="73"/>
      <c r="IX2890" s="73"/>
      <c r="IY2890" s="73"/>
      <c r="IZ2890" s="73"/>
      <c r="JA2890" s="73"/>
      <c r="JB2890" s="73"/>
      <c r="JC2890" s="73"/>
    </row>
    <row r="2891" spans="2:263" s="72" customFormat="1">
      <c r="B2891" s="73"/>
      <c r="C2891" s="73"/>
      <c r="D2891" s="73"/>
      <c r="E2891" s="73"/>
      <c r="F2891" s="73"/>
      <c r="G2891" s="73"/>
      <c r="H2891" s="73"/>
      <c r="I2891" s="73"/>
      <c r="J2891" s="73"/>
      <c r="K2891" s="73"/>
      <c r="L2891" s="73"/>
      <c r="M2891" s="73"/>
      <c r="N2891" s="73"/>
      <c r="O2891" s="73"/>
      <c r="P2891" s="73"/>
      <c r="Q2891" s="73"/>
      <c r="R2891" s="73"/>
      <c r="S2891" s="73"/>
      <c r="T2891" s="73"/>
      <c r="U2891" s="73"/>
      <c r="V2891" s="73"/>
      <c r="W2891" s="73"/>
      <c r="GL2891" s="73"/>
      <c r="GM2891" s="73"/>
      <c r="GN2891" s="73"/>
      <c r="GO2891" s="73"/>
      <c r="GP2891" s="73"/>
      <c r="GQ2891" s="73"/>
      <c r="GR2891" s="73"/>
      <c r="GS2891" s="73"/>
      <c r="GT2891" s="73"/>
      <c r="GU2891" s="73"/>
      <c r="GV2891" s="73"/>
      <c r="GW2891" s="73"/>
      <c r="GX2891" s="73"/>
      <c r="GY2891" s="73"/>
      <c r="GZ2891" s="73"/>
      <c r="HA2891" s="73"/>
      <c r="HB2891" s="73"/>
      <c r="HC2891" s="73"/>
      <c r="HD2891" s="73"/>
      <c r="HE2891" s="73"/>
      <c r="HF2891" s="73"/>
      <c r="HG2891" s="73"/>
      <c r="HH2891" s="73"/>
      <c r="HI2891" s="73"/>
      <c r="HJ2891" s="73"/>
      <c r="HK2891" s="73"/>
      <c r="HL2891" s="73"/>
      <c r="HM2891" s="73"/>
      <c r="HN2891" s="73"/>
      <c r="HO2891" s="73"/>
      <c r="HP2891" s="73"/>
      <c r="HQ2891" s="73"/>
      <c r="HR2891" s="73"/>
      <c r="HS2891" s="73"/>
      <c r="HT2891" s="73"/>
      <c r="HU2891" s="73"/>
      <c r="HV2891" s="73"/>
      <c r="HW2891" s="73"/>
      <c r="HX2891" s="73"/>
      <c r="HY2891" s="73"/>
      <c r="HZ2891" s="73"/>
      <c r="IA2891" s="73"/>
      <c r="IB2891" s="73"/>
      <c r="IC2891" s="73"/>
      <c r="ID2891" s="73"/>
      <c r="IE2891" s="73"/>
      <c r="IF2891" s="73"/>
      <c r="IG2891" s="73"/>
      <c r="IH2891" s="73"/>
      <c r="II2891" s="73"/>
      <c r="IJ2891" s="73"/>
      <c r="IK2891" s="73"/>
      <c r="IL2891" s="73"/>
      <c r="IM2891" s="73"/>
      <c r="IN2891" s="73"/>
      <c r="IO2891" s="73"/>
      <c r="IP2891" s="73"/>
      <c r="IQ2891" s="73"/>
      <c r="IR2891" s="73"/>
      <c r="IS2891" s="73"/>
      <c r="IT2891" s="73"/>
      <c r="IU2891" s="73"/>
      <c r="IV2891" s="73"/>
      <c r="IW2891" s="73"/>
      <c r="IX2891" s="73"/>
      <c r="IY2891" s="73"/>
      <c r="IZ2891" s="73"/>
      <c r="JA2891" s="73"/>
      <c r="JB2891" s="73"/>
      <c r="JC2891" s="73"/>
    </row>
    <row r="2892" spans="2:263" s="72" customFormat="1">
      <c r="B2892" s="73"/>
      <c r="C2892" s="73"/>
      <c r="D2892" s="73"/>
      <c r="E2892" s="73"/>
      <c r="F2892" s="73"/>
      <c r="G2892" s="73"/>
      <c r="H2892" s="73"/>
      <c r="I2892" s="73"/>
      <c r="J2892" s="73"/>
      <c r="K2892" s="73"/>
      <c r="L2892" s="73"/>
      <c r="M2892" s="73"/>
      <c r="N2892" s="73"/>
      <c r="O2892" s="73"/>
      <c r="P2892" s="73"/>
      <c r="Q2892" s="73"/>
      <c r="R2892" s="73"/>
      <c r="S2892" s="73"/>
      <c r="T2892" s="73"/>
      <c r="U2892" s="73"/>
      <c r="V2892" s="73"/>
      <c r="W2892" s="73"/>
      <c r="GL2892" s="73"/>
      <c r="GM2892" s="73"/>
      <c r="GN2892" s="73"/>
      <c r="GO2892" s="73"/>
      <c r="GP2892" s="73"/>
      <c r="GQ2892" s="73"/>
      <c r="GR2892" s="73"/>
      <c r="GS2892" s="73"/>
      <c r="GT2892" s="73"/>
      <c r="GU2892" s="73"/>
      <c r="GV2892" s="73"/>
      <c r="GW2892" s="73"/>
      <c r="GX2892" s="73"/>
      <c r="GY2892" s="73"/>
      <c r="GZ2892" s="73"/>
      <c r="HA2892" s="73"/>
      <c r="HB2892" s="73"/>
      <c r="HC2892" s="73"/>
      <c r="HD2892" s="73"/>
      <c r="HE2892" s="73"/>
      <c r="HF2892" s="73"/>
      <c r="HG2892" s="73"/>
      <c r="HH2892" s="73"/>
      <c r="HI2892" s="73"/>
      <c r="HJ2892" s="73"/>
      <c r="HK2892" s="73"/>
      <c r="HL2892" s="73"/>
      <c r="HM2892" s="73"/>
      <c r="HN2892" s="73"/>
      <c r="HO2892" s="73"/>
      <c r="HP2892" s="73"/>
      <c r="HQ2892" s="73"/>
      <c r="HR2892" s="73"/>
      <c r="HS2892" s="73"/>
      <c r="HT2892" s="73"/>
      <c r="HU2892" s="73"/>
      <c r="HV2892" s="73"/>
      <c r="HW2892" s="73"/>
      <c r="HX2892" s="73"/>
      <c r="HY2892" s="73"/>
      <c r="HZ2892" s="73"/>
      <c r="IA2892" s="73"/>
      <c r="IB2892" s="73"/>
      <c r="IC2892" s="73"/>
      <c r="ID2892" s="73"/>
      <c r="IE2892" s="73"/>
      <c r="IF2892" s="73"/>
      <c r="IG2892" s="73"/>
      <c r="IH2892" s="73"/>
      <c r="II2892" s="73"/>
      <c r="IJ2892" s="73"/>
      <c r="IK2892" s="73"/>
      <c r="IL2892" s="73"/>
      <c r="IM2892" s="73"/>
      <c r="IN2892" s="73"/>
      <c r="IO2892" s="73"/>
      <c r="IP2892" s="73"/>
      <c r="IQ2892" s="73"/>
      <c r="IR2892" s="73"/>
      <c r="IS2892" s="73"/>
      <c r="IT2892" s="73"/>
      <c r="IU2892" s="73"/>
      <c r="IV2892" s="73"/>
      <c r="IW2892" s="73"/>
      <c r="IX2892" s="73"/>
      <c r="IY2892" s="73"/>
      <c r="IZ2892" s="73"/>
      <c r="JA2892" s="73"/>
      <c r="JB2892" s="73"/>
      <c r="JC2892" s="73"/>
    </row>
    <row r="2893" spans="2:263" s="72" customFormat="1">
      <c r="B2893" s="73"/>
      <c r="C2893" s="73"/>
      <c r="D2893" s="73"/>
      <c r="E2893" s="73"/>
      <c r="F2893" s="73"/>
      <c r="G2893" s="73"/>
      <c r="H2893" s="73"/>
      <c r="I2893" s="73"/>
      <c r="J2893" s="73"/>
      <c r="K2893" s="73"/>
      <c r="L2893" s="73"/>
      <c r="M2893" s="73"/>
      <c r="N2893" s="73"/>
      <c r="O2893" s="73"/>
      <c r="P2893" s="73"/>
      <c r="Q2893" s="73"/>
      <c r="R2893" s="73"/>
      <c r="S2893" s="73"/>
      <c r="T2893" s="73"/>
      <c r="U2893" s="73"/>
      <c r="V2893" s="73"/>
      <c r="W2893" s="73"/>
      <c r="GL2893" s="73"/>
      <c r="GM2893" s="73"/>
      <c r="GN2893" s="73"/>
      <c r="GO2893" s="73"/>
      <c r="GP2893" s="73"/>
      <c r="GQ2893" s="73"/>
      <c r="GR2893" s="73"/>
      <c r="GS2893" s="73"/>
      <c r="GT2893" s="73"/>
      <c r="GU2893" s="73"/>
      <c r="GV2893" s="73"/>
      <c r="GW2893" s="73"/>
      <c r="GX2893" s="73"/>
      <c r="GY2893" s="73"/>
      <c r="GZ2893" s="73"/>
      <c r="HA2893" s="73"/>
      <c r="HB2893" s="73"/>
      <c r="HC2893" s="73"/>
      <c r="HD2893" s="73"/>
      <c r="HE2893" s="73"/>
      <c r="HF2893" s="73"/>
      <c r="HG2893" s="73"/>
      <c r="HH2893" s="73"/>
      <c r="HI2893" s="73"/>
      <c r="HJ2893" s="73"/>
      <c r="HK2893" s="73"/>
      <c r="HL2893" s="73"/>
      <c r="HM2893" s="73"/>
      <c r="HN2893" s="73"/>
      <c r="HO2893" s="73"/>
      <c r="HP2893" s="73"/>
      <c r="HQ2893" s="73"/>
      <c r="HR2893" s="73"/>
      <c r="HS2893" s="73"/>
      <c r="HT2893" s="73"/>
      <c r="HU2893" s="73"/>
      <c r="HV2893" s="73"/>
      <c r="HW2893" s="73"/>
      <c r="HX2893" s="73"/>
      <c r="HY2893" s="73"/>
      <c r="HZ2893" s="73"/>
      <c r="IA2893" s="73"/>
      <c r="IB2893" s="73"/>
      <c r="IC2893" s="73"/>
      <c r="ID2893" s="73"/>
      <c r="IE2893" s="73"/>
      <c r="IF2893" s="73"/>
      <c r="IG2893" s="73"/>
      <c r="IH2893" s="73"/>
      <c r="II2893" s="73"/>
      <c r="IJ2893" s="73"/>
      <c r="IK2893" s="73"/>
      <c r="IL2893" s="73"/>
      <c r="IM2893" s="73"/>
      <c r="IN2893" s="73"/>
      <c r="IO2893" s="73"/>
      <c r="IP2893" s="73"/>
      <c r="IQ2893" s="73"/>
      <c r="IR2893" s="73"/>
      <c r="IS2893" s="73"/>
      <c r="IT2893" s="73"/>
      <c r="IU2893" s="73"/>
      <c r="IV2893" s="73"/>
      <c r="IW2893" s="73"/>
      <c r="IX2893" s="73"/>
      <c r="IY2893" s="73"/>
      <c r="IZ2893" s="73"/>
      <c r="JA2893" s="73"/>
      <c r="JB2893" s="73"/>
      <c r="JC2893" s="73"/>
    </row>
    <row r="2894" spans="2:263" s="72" customFormat="1">
      <c r="B2894" s="73"/>
      <c r="C2894" s="73"/>
      <c r="D2894" s="73"/>
      <c r="E2894" s="73"/>
      <c r="F2894" s="73"/>
      <c r="G2894" s="73"/>
      <c r="H2894" s="73"/>
      <c r="I2894" s="73"/>
      <c r="J2894" s="73"/>
      <c r="K2894" s="73"/>
      <c r="L2894" s="73"/>
      <c r="M2894" s="73"/>
      <c r="N2894" s="73"/>
      <c r="O2894" s="73"/>
      <c r="P2894" s="73"/>
      <c r="Q2894" s="73"/>
      <c r="R2894" s="73"/>
      <c r="S2894" s="73"/>
      <c r="T2894" s="73"/>
      <c r="U2894" s="73"/>
      <c r="V2894" s="73"/>
      <c r="W2894" s="73"/>
      <c r="GL2894" s="73"/>
      <c r="GM2894" s="73"/>
      <c r="GN2894" s="73"/>
      <c r="GO2894" s="73"/>
      <c r="GP2894" s="73"/>
      <c r="GQ2894" s="73"/>
      <c r="GR2894" s="73"/>
      <c r="GS2894" s="73"/>
      <c r="GT2894" s="73"/>
      <c r="GU2894" s="73"/>
      <c r="GV2894" s="73"/>
      <c r="GW2894" s="73"/>
      <c r="GX2894" s="73"/>
      <c r="GY2894" s="73"/>
      <c r="GZ2894" s="73"/>
      <c r="HA2894" s="73"/>
      <c r="HB2894" s="73"/>
      <c r="HC2894" s="73"/>
      <c r="HD2894" s="73"/>
      <c r="HE2894" s="73"/>
      <c r="HF2894" s="73"/>
      <c r="HG2894" s="73"/>
      <c r="HH2894" s="73"/>
      <c r="HI2894" s="73"/>
      <c r="HJ2894" s="73"/>
      <c r="HK2894" s="73"/>
      <c r="HL2894" s="73"/>
      <c r="HM2894" s="73"/>
      <c r="HN2894" s="73"/>
      <c r="HO2894" s="73"/>
      <c r="HP2894" s="73"/>
      <c r="HQ2894" s="73"/>
      <c r="HR2894" s="73"/>
      <c r="HS2894" s="73"/>
      <c r="HT2894" s="73"/>
      <c r="HU2894" s="73"/>
      <c r="HV2894" s="73"/>
      <c r="HW2894" s="73"/>
      <c r="HX2894" s="73"/>
      <c r="HY2894" s="73"/>
      <c r="HZ2894" s="73"/>
      <c r="IA2894" s="73"/>
      <c r="IB2894" s="73"/>
      <c r="IC2894" s="73"/>
      <c r="ID2894" s="73"/>
      <c r="IE2894" s="73"/>
      <c r="IF2894" s="73"/>
      <c r="IG2894" s="73"/>
      <c r="IH2894" s="73"/>
      <c r="II2894" s="73"/>
      <c r="IJ2894" s="73"/>
      <c r="IK2894" s="73"/>
      <c r="IL2894" s="73"/>
      <c r="IM2894" s="73"/>
      <c r="IN2894" s="73"/>
      <c r="IO2894" s="73"/>
      <c r="IP2894" s="73"/>
      <c r="IQ2894" s="73"/>
      <c r="IR2894" s="73"/>
      <c r="IS2894" s="73"/>
      <c r="IT2894" s="73"/>
      <c r="IU2894" s="73"/>
      <c r="IV2894" s="73"/>
      <c r="IW2894" s="73"/>
      <c r="IX2894" s="73"/>
      <c r="IY2894" s="73"/>
      <c r="IZ2894" s="73"/>
      <c r="JA2894" s="73"/>
      <c r="JB2894" s="73"/>
      <c r="JC2894" s="73"/>
    </row>
    <row r="2895" spans="2:263" s="72" customFormat="1">
      <c r="B2895" s="73"/>
      <c r="C2895" s="73"/>
      <c r="D2895" s="73"/>
      <c r="E2895" s="73"/>
      <c r="F2895" s="73"/>
      <c r="G2895" s="73"/>
      <c r="H2895" s="73"/>
      <c r="I2895" s="73"/>
      <c r="J2895" s="73"/>
      <c r="K2895" s="73"/>
      <c r="L2895" s="73"/>
      <c r="M2895" s="73"/>
      <c r="N2895" s="73"/>
      <c r="O2895" s="73"/>
      <c r="P2895" s="73"/>
      <c r="Q2895" s="73"/>
      <c r="R2895" s="73"/>
      <c r="S2895" s="73"/>
      <c r="T2895" s="73"/>
      <c r="U2895" s="73"/>
      <c r="V2895" s="73"/>
      <c r="W2895" s="73"/>
      <c r="GL2895" s="73"/>
      <c r="GM2895" s="73"/>
      <c r="GN2895" s="73"/>
      <c r="GO2895" s="73"/>
      <c r="GP2895" s="73"/>
      <c r="GQ2895" s="73"/>
      <c r="GR2895" s="73"/>
      <c r="GS2895" s="73"/>
      <c r="GT2895" s="73"/>
      <c r="GU2895" s="73"/>
      <c r="GV2895" s="73"/>
      <c r="GW2895" s="73"/>
      <c r="GX2895" s="73"/>
      <c r="GY2895" s="73"/>
      <c r="GZ2895" s="73"/>
      <c r="HA2895" s="73"/>
      <c r="HB2895" s="73"/>
      <c r="HC2895" s="73"/>
      <c r="HD2895" s="73"/>
      <c r="HE2895" s="73"/>
      <c r="HF2895" s="73"/>
      <c r="HG2895" s="73"/>
      <c r="HH2895" s="73"/>
      <c r="HI2895" s="73"/>
      <c r="HJ2895" s="73"/>
      <c r="HK2895" s="73"/>
      <c r="HL2895" s="73"/>
      <c r="HM2895" s="73"/>
      <c r="HN2895" s="73"/>
      <c r="HO2895" s="73"/>
      <c r="HP2895" s="73"/>
      <c r="HQ2895" s="73"/>
      <c r="HR2895" s="73"/>
      <c r="HS2895" s="73"/>
      <c r="HT2895" s="73"/>
      <c r="HU2895" s="73"/>
      <c r="HV2895" s="73"/>
      <c r="HW2895" s="73"/>
      <c r="HX2895" s="73"/>
      <c r="HY2895" s="73"/>
      <c r="HZ2895" s="73"/>
      <c r="IA2895" s="73"/>
      <c r="IB2895" s="73"/>
      <c r="IC2895" s="73"/>
      <c r="ID2895" s="73"/>
      <c r="IE2895" s="73"/>
      <c r="IF2895" s="73"/>
      <c r="IG2895" s="73"/>
      <c r="IH2895" s="73"/>
      <c r="II2895" s="73"/>
      <c r="IJ2895" s="73"/>
      <c r="IK2895" s="73"/>
      <c r="IL2895" s="73"/>
      <c r="IM2895" s="73"/>
      <c r="IN2895" s="73"/>
      <c r="IO2895" s="73"/>
      <c r="IP2895" s="73"/>
      <c r="IQ2895" s="73"/>
      <c r="IR2895" s="73"/>
      <c r="IS2895" s="73"/>
      <c r="IT2895" s="73"/>
      <c r="IU2895" s="73"/>
      <c r="IV2895" s="73"/>
      <c r="IW2895" s="73"/>
      <c r="IX2895" s="73"/>
      <c r="IY2895" s="73"/>
      <c r="IZ2895" s="73"/>
      <c r="JA2895" s="73"/>
      <c r="JB2895" s="73"/>
      <c r="JC2895" s="73"/>
    </row>
    <row r="2896" spans="2:263" s="72" customFormat="1">
      <c r="B2896" s="73"/>
      <c r="C2896" s="73"/>
      <c r="D2896" s="73"/>
      <c r="E2896" s="73"/>
      <c r="F2896" s="73"/>
      <c r="G2896" s="73"/>
      <c r="H2896" s="73"/>
      <c r="I2896" s="73"/>
      <c r="J2896" s="73"/>
      <c r="K2896" s="73"/>
      <c r="L2896" s="73"/>
      <c r="M2896" s="73"/>
      <c r="N2896" s="73"/>
      <c r="O2896" s="73"/>
      <c r="P2896" s="73"/>
      <c r="Q2896" s="73"/>
      <c r="R2896" s="73"/>
      <c r="S2896" s="73"/>
      <c r="T2896" s="73"/>
      <c r="U2896" s="73"/>
      <c r="V2896" s="73"/>
      <c r="W2896" s="73"/>
      <c r="GL2896" s="73"/>
      <c r="GM2896" s="73"/>
      <c r="GN2896" s="73"/>
      <c r="GO2896" s="73"/>
      <c r="GP2896" s="73"/>
      <c r="GQ2896" s="73"/>
      <c r="GR2896" s="73"/>
      <c r="GS2896" s="73"/>
      <c r="GT2896" s="73"/>
      <c r="GU2896" s="73"/>
      <c r="GV2896" s="73"/>
      <c r="GW2896" s="73"/>
      <c r="GX2896" s="73"/>
      <c r="GY2896" s="73"/>
      <c r="GZ2896" s="73"/>
      <c r="HA2896" s="73"/>
      <c r="HB2896" s="73"/>
      <c r="HC2896" s="73"/>
      <c r="HD2896" s="73"/>
      <c r="HE2896" s="73"/>
      <c r="HF2896" s="73"/>
      <c r="HG2896" s="73"/>
      <c r="HH2896" s="73"/>
      <c r="HI2896" s="73"/>
      <c r="HJ2896" s="73"/>
      <c r="HK2896" s="73"/>
      <c r="HL2896" s="73"/>
      <c r="HM2896" s="73"/>
      <c r="HN2896" s="73"/>
      <c r="HO2896" s="73"/>
      <c r="HP2896" s="73"/>
      <c r="HQ2896" s="73"/>
      <c r="HR2896" s="73"/>
      <c r="HS2896" s="73"/>
      <c r="HT2896" s="73"/>
      <c r="HU2896" s="73"/>
      <c r="HV2896" s="73"/>
      <c r="HW2896" s="73"/>
      <c r="HX2896" s="73"/>
      <c r="HY2896" s="73"/>
      <c r="HZ2896" s="73"/>
      <c r="IA2896" s="73"/>
      <c r="IB2896" s="73"/>
      <c r="IC2896" s="73"/>
      <c r="ID2896" s="73"/>
      <c r="IE2896" s="73"/>
      <c r="IF2896" s="73"/>
      <c r="IG2896" s="73"/>
      <c r="IH2896" s="73"/>
      <c r="II2896" s="73"/>
      <c r="IJ2896" s="73"/>
      <c r="IK2896" s="73"/>
      <c r="IL2896" s="73"/>
      <c r="IM2896" s="73"/>
      <c r="IN2896" s="73"/>
      <c r="IO2896" s="73"/>
      <c r="IP2896" s="73"/>
      <c r="IQ2896" s="73"/>
      <c r="IR2896" s="73"/>
      <c r="IS2896" s="73"/>
      <c r="IT2896" s="73"/>
      <c r="IU2896" s="73"/>
      <c r="IV2896" s="73"/>
      <c r="IW2896" s="73"/>
      <c r="IX2896" s="73"/>
      <c r="IY2896" s="73"/>
      <c r="IZ2896" s="73"/>
      <c r="JA2896" s="73"/>
      <c r="JB2896" s="73"/>
      <c r="JC2896" s="73"/>
    </row>
    <row r="2897" spans="2:263" s="72" customFormat="1">
      <c r="B2897" s="73"/>
      <c r="C2897" s="73"/>
      <c r="D2897" s="73"/>
      <c r="E2897" s="73"/>
      <c r="F2897" s="73"/>
      <c r="G2897" s="73"/>
      <c r="H2897" s="73"/>
      <c r="I2897" s="73"/>
      <c r="J2897" s="73"/>
      <c r="K2897" s="73"/>
      <c r="L2897" s="73"/>
      <c r="M2897" s="73"/>
      <c r="N2897" s="73"/>
      <c r="O2897" s="73"/>
      <c r="P2897" s="73"/>
      <c r="Q2897" s="73"/>
      <c r="R2897" s="73"/>
      <c r="S2897" s="73"/>
      <c r="T2897" s="73"/>
      <c r="U2897" s="73"/>
      <c r="V2897" s="73"/>
      <c r="W2897" s="73"/>
      <c r="GL2897" s="73"/>
      <c r="GM2897" s="73"/>
      <c r="GN2897" s="73"/>
      <c r="GO2897" s="73"/>
      <c r="GP2897" s="73"/>
      <c r="GQ2897" s="73"/>
      <c r="GR2897" s="73"/>
      <c r="GS2897" s="73"/>
      <c r="GT2897" s="73"/>
      <c r="GU2897" s="73"/>
      <c r="GV2897" s="73"/>
      <c r="GW2897" s="73"/>
      <c r="GX2897" s="73"/>
      <c r="GY2897" s="73"/>
      <c r="GZ2897" s="73"/>
      <c r="HA2897" s="73"/>
      <c r="HB2897" s="73"/>
      <c r="HC2897" s="73"/>
      <c r="HD2897" s="73"/>
      <c r="HE2897" s="73"/>
      <c r="HF2897" s="73"/>
      <c r="HG2897" s="73"/>
      <c r="HH2897" s="73"/>
      <c r="HI2897" s="73"/>
      <c r="HJ2897" s="73"/>
      <c r="HK2897" s="73"/>
      <c r="HL2897" s="73"/>
      <c r="HM2897" s="73"/>
      <c r="HN2897" s="73"/>
      <c r="HO2897" s="73"/>
      <c r="HP2897" s="73"/>
      <c r="HQ2897" s="73"/>
      <c r="HR2897" s="73"/>
      <c r="HS2897" s="73"/>
      <c r="HT2897" s="73"/>
      <c r="HU2897" s="73"/>
      <c r="HV2897" s="73"/>
      <c r="HW2897" s="73"/>
      <c r="HX2897" s="73"/>
      <c r="HY2897" s="73"/>
      <c r="HZ2897" s="73"/>
      <c r="IA2897" s="73"/>
      <c r="IB2897" s="73"/>
      <c r="IC2897" s="73"/>
      <c r="ID2897" s="73"/>
      <c r="IE2897" s="73"/>
      <c r="IF2897" s="73"/>
      <c r="IG2897" s="73"/>
      <c r="IH2897" s="73"/>
      <c r="II2897" s="73"/>
      <c r="IJ2897" s="73"/>
      <c r="IK2897" s="73"/>
      <c r="IL2897" s="73"/>
      <c r="IM2897" s="73"/>
      <c r="IN2897" s="73"/>
      <c r="IO2897" s="73"/>
      <c r="IP2897" s="73"/>
      <c r="IQ2897" s="73"/>
      <c r="IR2897" s="73"/>
      <c r="IS2897" s="73"/>
      <c r="IT2897" s="73"/>
      <c r="IU2897" s="73"/>
      <c r="IV2897" s="73"/>
      <c r="IW2897" s="73"/>
      <c r="IX2897" s="73"/>
      <c r="IY2897" s="73"/>
      <c r="IZ2897" s="73"/>
      <c r="JA2897" s="73"/>
      <c r="JB2897" s="73"/>
      <c r="JC2897" s="73"/>
    </row>
    <row r="2898" spans="2:263" s="72" customFormat="1">
      <c r="B2898" s="73"/>
      <c r="C2898" s="73"/>
      <c r="D2898" s="73"/>
      <c r="E2898" s="73"/>
      <c r="F2898" s="73"/>
      <c r="G2898" s="73"/>
      <c r="H2898" s="73"/>
      <c r="I2898" s="73"/>
      <c r="J2898" s="73"/>
      <c r="K2898" s="73"/>
      <c r="L2898" s="73"/>
      <c r="M2898" s="73"/>
      <c r="N2898" s="73"/>
      <c r="O2898" s="73"/>
      <c r="P2898" s="73"/>
      <c r="Q2898" s="73"/>
      <c r="R2898" s="73"/>
      <c r="S2898" s="73"/>
      <c r="T2898" s="73"/>
      <c r="U2898" s="73"/>
      <c r="V2898" s="73"/>
      <c r="W2898" s="73"/>
      <c r="GL2898" s="73"/>
      <c r="GM2898" s="73"/>
      <c r="GN2898" s="73"/>
      <c r="GO2898" s="73"/>
      <c r="GP2898" s="73"/>
      <c r="GQ2898" s="73"/>
      <c r="GR2898" s="73"/>
      <c r="GS2898" s="73"/>
      <c r="GT2898" s="73"/>
      <c r="GU2898" s="73"/>
      <c r="GV2898" s="73"/>
      <c r="GW2898" s="73"/>
      <c r="GX2898" s="73"/>
      <c r="GY2898" s="73"/>
      <c r="GZ2898" s="73"/>
      <c r="HA2898" s="73"/>
      <c r="HB2898" s="73"/>
      <c r="HC2898" s="73"/>
      <c r="HD2898" s="73"/>
      <c r="HE2898" s="73"/>
      <c r="HF2898" s="73"/>
      <c r="HG2898" s="73"/>
      <c r="HH2898" s="73"/>
      <c r="HI2898" s="73"/>
      <c r="HJ2898" s="73"/>
      <c r="HK2898" s="73"/>
      <c r="HL2898" s="73"/>
      <c r="HM2898" s="73"/>
      <c r="HN2898" s="73"/>
      <c r="HO2898" s="73"/>
      <c r="HP2898" s="73"/>
      <c r="HQ2898" s="73"/>
      <c r="HR2898" s="73"/>
      <c r="HS2898" s="73"/>
      <c r="HT2898" s="73"/>
      <c r="HU2898" s="73"/>
      <c r="HV2898" s="73"/>
      <c r="HW2898" s="73"/>
      <c r="HX2898" s="73"/>
      <c r="HY2898" s="73"/>
      <c r="HZ2898" s="73"/>
      <c r="IA2898" s="73"/>
      <c r="IB2898" s="73"/>
      <c r="IC2898" s="73"/>
      <c r="ID2898" s="73"/>
      <c r="IE2898" s="73"/>
      <c r="IF2898" s="73"/>
      <c r="IG2898" s="73"/>
      <c r="IH2898" s="73"/>
      <c r="II2898" s="73"/>
      <c r="IJ2898" s="73"/>
      <c r="IK2898" s="73"/>
      <c r="IL2898" s="73"/>
      <c r="IM2898" s="73"/>
      <c r="IN2898" s="73"/>
      <c r="IO2898" s="73"/>
      <c r="IP2898" s="73"/>
      <c r="IQ2898" s="73"/>
      <c r="IR2898" s="73"/>
      <c r="IS2898" s="73"/>
      <c r="IT2898" s="73"/>
      <c r="IU2898" s="73"/>
      <c r="IV2898" s="73"/>
      <c r="IW2898" s="73"/>
      <c r="IX2898" s="73"/>
      <c r="IY2898" s="73"/>
      <c r="IZ2898" s="73"/>
      <c r="JA2898" s="73"/>
      <c r="JB2898" s="73"/>
      <c r="JC2898" s="73"/>
    </row>
    <row r="2899" spans="2:263" s="72" customFormat="1">
      <c r="B2899" s="73"/>
      <c r="C2899" s="73"/>
      <c r="D2899" s="73"/>
      <c r="E2899" s="73"/>
      <c r="F2899" s="73"/>
      <c r="G2899" s="73"/>
      <c r="H2899" s="73"/>
      <c r="I2899" s="73"/>
      <c r="J2899" s="73"/>
      <c r="K2899" s="73"/>
      <c r="L2899" s="73"/>
      <c r="M2899" s="73"/>
      <c r="N2899" s="73"/>
      <c r="O2899" s="73"/>
      <c r="P2899" s="73"/>
      <c r="Q2899" s="73"/>
      <c r="R2899" s="73"/>
      <c r="S2899" s="73"/>
      <c r="T2899" s="73"/>
      <c r="U2899" s="73"/>
      <c r="V2899" s="73"/>
      <c r="W2899" s="73"/>
      <c r="GL2899" s="73"/>
      <c r="GM2899" s="73"/>
      <c r="GN2899" s="73"/>
      <c r="GO2899" s="73"/>
      <c r="GP2899" s="73"/>
      <c r="GQ2899" s="73"/>
      <c r="GR2899" s="73"/>
      <c r="GS2899" s="73"/>
      <c r="GT2899" s="73"/>
      <c r="GU2899" s="73"/>
      <c r="GV2899" s="73"/>
      <c r="GW2899" s="73"/>
      <c r="GX2899" s="73"/>
      <c r="GY2899" s="73"/>
      <c r="GZ2899" s="73"/>
      <c r="HA2899" s="73"/>
      <c r="HB2899" s="73"/>
      <c r="HC2899" s="73"/>
      <c r="HD2899" s="73"/>
      <c r="HE2899" s="73"/>
      <c r="HF2899" s="73"/>
      <c r="HG2899" s="73"/>
      <c r="HH2899" s="73"/>
      <c r="HI2899" s="73"/>
      <c r="HJ2899" s="73"/>
      <c r="HK2899" s="73"/>
      <c r="HL2899" s="73"/>
      <c r="HM2899" s="73"/>
      <c r="HN2899" s="73"/>
      <c r="HO2899" s="73"/>
      <c r="HP2899" s="73"/>
      <c r="HQ2899" s="73"/>
      <c r="HR2899" s="73"/>
      <c r="HS2899" s="73"/>
      <c r="HT2899" s="73"/>
      <c r="HU2899" s="73"/>
      <c r="HV2899" s="73"/>
      <c r="HW2899" s="73"/>
      <c r="HX2899" s="73"/>
      <c r="HY2899" s="73"/>
      <c r="HZ2899" s="73"/>
      <c r="IA2899" s="73"/>
      <c r="IB2899" s="73"/>
      <c r="IC2899" s="73"/>
      <c r="ID2899" s="73"/>
      <c r="IE2899" s="73"/>
      <c r="IF2899" s="73"/>
      <c r="IG2899" s="73"/>
      <c r="IH2899" s="73"/>
      <c r="II2899" s="73"/>
      <c r="IJ2899" s="73"/>
      <c r="IK2899" s="73"/>
      <c r="IL2899" s="73"/>
      <c r="IM2899" s="73"/>
      <c r="IN2899" s="73"/>
      <c r="IO2899" s="73"/>
      <c r="IP2899" s="73"/>
      <c r="IQ2899" s="73"/>
      <c r="IR2899" s="73"/>
      <c r="IS2899" s="73"/>
      <c r="IT2899" s="73"/>
      <c r="IU2899" s="73"/>
      <c r="IV2899" s="73"/>
      <c r="IW2899" s="73"/>
      <c r="IX2899" s="73"/>
      <c r="IY2899" s="73"/>
      <c r="IZ2899" s="73"/>
      <c r="JA2899" s="73"/>
      <c r="JB2899" s="73"/>
      <c r="JC2899" s="73"/>
    </row>
    <row r="2900" spans="2:263" s="72" customFormat="1">
      <c r="B2900" s="73"/>
      <c r="C2900" s="73"/>
      <c r="D2900" s="73"/>
      <c r="E2900" s="73"/>
      <c r="F2900" s="73"/>
      <c r="G2900" s="73"/>
      <c r="H2900" s="73"/>
      <c r="I2900" s="73"/>
      <c r="J2900" s="73"/>
      <c r="K2900" s="73"/>
      <c r="L2900" s="73"/>
      <c r="M2900" s="73"/>
      <c r="N2900" s="73"/>
      <c r="O2900" s="73"/>
      <c r="P2900" s="73"/>
      <c r="Q2900" s="73"/>
      <c r="R2900" s="73"/>
      <c r="S2900" s="73"/>
      <c r="T2900" s="73"/>
      <c r="U2900" s="73"/>
      <c r="V2900" s="73"/>
      <c r="W2900" s="73"/>
      <c r="GL2900" s="73"/>
      <c r="GM2900" s="73"/>
      <c r="GN2900" s="73"/>
      <c r="GO2900" s="73"/>
      <c r="GP2900" s="73"/>
      <c r="GQ2900" s="73"/>
      <c r="GR2900" s="73"/>
      <c r="GS2900" s="73"/>
      <c r="GT2900" s="73"/>
      <c r="GU2900" s="73"/>
      <c r="GV2900" s="73"/>
      <c r="GW2900" s="73"/>
      <c r="GX2900" s="73"/>
      <c r="GY2900" s="73"/>
      <c r="GZ2900" s="73"/>
      <c r="HA2900" s="73"/>
      <c r="HB2900" s="73"/>
      <c r="HC2900" s="73"/>
      <c r="HD2900" s="73"/>
      <c r="HE2900" s="73"/>
      <c r="HF2900" s="73"/>
      <c r="HG2900" s="73"/>
      <c r="HH2900" s="73"/>
      <c r="HI2900" s="73"/>
      <c r="HJ2900" s="73"/>
      <c r="HK2900" s="73"/>
      <c r="HL2900" s="73"/>
      <c r="HM2900" s="73"/>
      <c r="HN2900" s="73"/>
      <c r="HO2900" s="73"/>
      <c r="HP2900" s="73"/>
      <c r="HQ2900" s="73"/>
      <c r="HR2900" s="73"/>
      <c r="HS2900" s="73"/>
      <c r="HT2900" s="73"/>
      <c r="HU2900" s="73"/>
      <c r="HV2900" s="73"/>
      <c r="HW2900" s="73"/>
      <c r="HX2900" s="73"/>
      <c r="HY2900" s="73"/>
      <c r="HZ2900" s="73"/>
      <c r="IA2900" s="73"/>
      <c r="IB2900" s="73"/>
      <c r="IC2900" s="73"/>
      <c r="ID2900" s="73"/>
      <c r="IE2900" s="73"/>
      <c r="IF2900" s="73"/>
      <c r="IG2900" s="73"/>
      <c r="IH2900" s="73"/>
      <c r="II2900" s="73"/>
      <c r="IJ2900" s="73"/>
      <c r="IK2900" s="73"/>
      <c r="IL2900" s="73"/>
      <c r="IM2900" s="73"/>
      <c r="IN2900" s="73"/>
      <c r="IO2900" s="73"/>
      <c r="IP2900" s="73"/>
      <c r="IQ2900" s="73"/>
      <c r="IR2900" s="73"/>
      <c r="IS2900" s="73"/>
      <c r="IT2900" s="73"/>
      <c r="IU2900" s="73"/>
      <c r="IV2900" s="73"/>
      <c r="IW2900" s="73"/>
      <c r="IX2900" s="73"/>
      <c r="IY2900" s="73"/>
      <c r="IZ2900" s="73"/>
      <c r="JA2900" s="73"/>
      <c r="JB2900" s="73"/>
      <c r="JC2900" s="73"/>
    </row>
    <row r="2901" spans="2:263" s="72" customFormat="1">
      <c r="B2901" s="73"/>
      <c r="C2901" s="73"/>
      <c r="D2901" s="73"/>
      <c r="E2901" s="73"/>
      <c r="F2901" s="73"/>
      <c r="G2901" s="73"/>
      <c r="H2901" s="73"/>
      <c r="I2901" s="73"/>
      <c r="J2901" s="73"/>
      <c r="K2901" s="73"/>
      <c r="L2901" s="73"/>
      <c r="M2901" s="73"/>
      <c r="N2901" s="73"/>
      <c r="O2901" s="73"/>
      <c r="P2901" s="73"/>
      <c r="Q2901" s="73"/>
      <c r="R2901" s="73"/>
      <c r="S2901" s="73"/>
      <c r="T2901" s="73"/>
      <c r="U2901" s="73"/>
      <c r="V2901" s="73"/>
      <c r="W2901" s="73"/>
      <c r="GL2901" s="73"/>
      <c r="GM2901" s="73"/>
      <c r="GN2901" s="73"/>
      <c r="GO2901" s="73"/>
      <c r="GP2901" s="73"/>
      <c r="GQ2901" s="73"/>
      <c r="GR2901" s="73"/>
      <c r="GS2901" s="73"/>
      <c r="GT2901" s="73"/>
      <c r="GU2901" s="73"/>
      <c r="GV2901" s="73"/>
      <c r="GW2901" s="73"/>
      <c r="GX2901" s="73"/>
      <c r="GY2901" s="73"/>
      <c r="GZ2901" s="73"/>
      <c r="HA2901" s="73"/>
      <c r="HB2901" s="73"/>
      <c r="HC2901" s="73"/>
      <c r="HD2901" s="73"/>
      <c r="HE2901" s="73"/>
      <c r="HF2901" s="73"/>
      <c r="HG2901" s="73"/>
      <c r="HH2901" s="73"/>
      <c r="HI2901" s="73"/>
      <c r="HJ2901" s="73"/>
      <c r="HK2901" s="73"/>
      <c r="HL2901" s="73"/>
      <c r="HM2901" s="73"/>
      <c r="HN2901" s="73"/>
      <c r="HO2901" s="73"/>
      <c r="HP2901" s="73"/>
      <c r="HQ2901" s="73"/>
      <c r="HR2901" s="73"/>
      <c r="HS2901" s="73"/>
      <c r="HT2901" s="73"/>
      <c r="HU2901" s="73"/>
      <c r="HV2901" s="73"/>
      <c r="HW2901" s="73"/>
      <c r="HX2901" s="73"/>
      <c r="HY2901" s="73"/>
      <c r="HZ2901" s="73"/>
      <c r="IA2901" s="73"/>
      <c r="IB2901" s="73"/>
      <c r="IC2901" s="73"/>
      <c r="ID2901" s="73"/>
      <c r="IE2901" s="73"/>
      <c r="IF2901" s="73"/>
      <c r="IG2901" s="73"/>
      <c r="IH2901" s="73"/>
      <c r="II2901" s="73"/>
      <c r="IJ2901" s="73"/>
      <c r="IK2901" s="73"/>
      <c r="IL2901" s="73"/>
      <c r="IM2901" s="73"/>
      <c r="IN2901" s="73"/>
      <c r="IO2901" s="73"/>
      <c r="IP2901" s="73"/>
      <c r="IQ2901" s="73"/>
      <c r="IR2901" s="73"/>
      <c r="IS2901" s="73"/>
      <c r="IT2901" s="73"/>
      <c r="IU2901" s="73"/>
      <c r="IV2901" s="73"/>
      <c r="IW2901" s="73"/>
      <c r="IX2901" s="73"/>
      <c r="IY2901" s="73"/>
      <c r="IZ2901" s="73"/>
      <c r="JA2901" s="73"/>
      <c r="JB2901" s="73"/>
      <c r="JC2901" s="73"/>
    </row>
    <row r="2902" spans="2:263" s="72" customFormat="1">
      <c r="B2902" s="73"/>
      <c r="C2902" s="73"/>
      <c r="D2902" s="73"/>
      <c r="E2902" s="73"/>
      <c r="F2902" s="73"/>
      <c r="G2902" s="73"/>
      <c r="H2902" s="73"/>
      <c r="I2902" s="73"/>
      <c r="J2902" s="73"/>
      <c r="K2902" s="73"/>
      <c r="L2902" s="73"/>
      <c r="M2902" s="73"/>
      <c r="N2902" s="73"/>
      <c r="O2902" s="73"/>
      <c r="P2902" s="73"/>
      <c r="Q2902" s="73"/>
      <c r="R2902" s="73"/>
      <c r="S2902" s="73"/>
      <c r="T2902" s="73"/>
      <c r="U2902" s="73"/>
      <c r="V2902" s="73"/>
      <c r="W2902" s="73"/>
      <c r="GL2902" s="73"/>
      <c r="GM2902" s="73"/>
      <c r="GN2902" s="73"/>
      <c r="GO2902" s="73"/>
      <c r="GP2902" s="73"/>
      <c r="GQ2902" s="73"/>
      <c r="GR2902" s="73"/>
      <c r="GS2902" s="73"/>
      <c r="GT2902" s="73"/>
      <c r="GU2902" s="73"/>
      <c r="GV2902" s="73"/>
      <c r="GW2902" s="73"/>
      <c r="GX2902" s="73"/>
      <c r="GY2902" s="73"/>
      <c r="GZ2902" s="73"/>
      <c r="HA2902" s="73"/>
      <c r="HB2902" s="73"/>
      <c r="HC2902" s="73"/>
      <c r="HD2902" s="73"/>
      <c r="HE2902" s="73"/>
      <c r="HF2902" s="73"/>
      <c r="HG2902" s="73"/>
      <c r="HH2902" s="73"/>
      <c r="HI2902" s="73"/>
      <c r="HJ2902" s="73"/>
      <c r="HK2902" s="73"/>
      <c r="HL2902" s="73"/>
      <c r="HM2902" s="73"/>
      <c r="HN2902" s="73"/>
      <c r="HO2902" s="73"/>
      <c r="HP2902" s="73"/>
      <c r="HQ2902" s="73"/>
      <c r="HR2902" s="73"/>
      <c r="HS2902" s="73"/>
      <c r="HT2902" s="73"/>
      <c r="HU2902" s="73"/>
      <c r="HV2902" s="73"/>
      <c r="HW2902" s="73"/>
      <c r="HX2902" s="73"/>
      <c r="HY2902" s="73"/>
      <c r="HZ2902" s="73"/>
      <c r="IA2902" s="73"/>
      <c r="IB2902" s="73"/>
      <c r="IC2902" s="73"/>
      <c r="ID2902" s="73"/>
      <c r="IE2902" s="73"/>
      <c r="IF2902" s="73"/>
      <c r="IG2902" s="73"/>
      <c r="IH2902" s="73"/>
      <c r="II2902" s="73"/>
      <c r="IJ2902" s="73"/>
      <c r="IK2902" s="73"/>
      <c r="IL2902" s="73"/>
      <c r="IM2902" s="73"/>
      <c r="IN2902" s="73"/>
      <c r="IO2902" s="73"/>
      <c r="IP2902" s="73"/>
      <c r="IQ2902" s="73"/>
      <c r="IR2902" s="73"/>
      <c r="IS2902" s="73"/>
      <c r="IT2902" s="73"/>
      <c r="IU2902" s="73"/>
      <c r="IV2902" s="73"/>
      <c r="IW2902" s="73"/>
      <c r="IX2902" s="73"/>
      <c r="IY2902" s="73"/>
      <c r="IZ2902" s="73"/>
      <c r="JA2902" s="73"/>
      <c r="JB2902" s="73"/>
      <c r="JC2902" s="73"/>
    </row>
    <row r="2903" spans="2:263" s="72" customFormat="1">
      <c r="B2903" s="73"/>
      <c r="C2903" s="73"/>
      <c r="D2903" s="73"/>
      <c r="E2903" s="73"/>
      <c r="F2903" s="73"/>
      <c r="G2903" s="73"/>
      <c r="H2903" s="73"/>
      <c r="I2903" s="73"/>
      <c r="J2903" s="73"/>
      <c r="K2903" s="73"/>
      <c r="L2903" s="73"/>
      <c r="M2903" s="73"/>
      <c r="N2903" s="73"/>
      <c r="O2903" s="73"/>
      <c r="P2903" s="73"/>
      <c r="Q2903" s="73"/>
      <c r="R2903" s="73"/>
      <c r="S2903" s="73"/>
      <c r="T2903" s="73"/>
      <c r="U2903" s="73"/>
      <c r="V2903" s="73"/>
      <c r="W2903" s="73"/>
      <c r="GL2903" s="73"/>
      <c r="GM2903" s="73"/>
      <c r="GN2903" s="73"/>
      <c r="GO2903" s="73"/>
      <c r="GP2903" s="73"/>
      <c r="GQ2903" s="73"/>
      <c r="GR2903" s="73"/>
      <c r="GS2903" s="73"/>
      <c r="GT2903" s="73"/>
      <c r="GU2903" s="73"/>
      <c r="GV2903" s="73"/>
      <c r="GW2903" s="73"/>
      <c r="GX2903" s="73"/>
      <c r="GY2903" s="73"/>
      <c r="GZ2903" s="73"/>
      <c r="HA2903" s="73"/>
      <c r="HB2903" s="73"/>
      <c r="HC2903" s="73"/>
      <c r="HD2903" s="73"/>
      <c r="HE2903" s="73"/>
      <c r="HF2903" s="73"/>
      <c r="HG2903" s="73"/>
      <c r="HH2903" s="73"/>
      <c r="HI2903" s="73"/>
      <c r="HJ2903" s="73"/>
      <c r="HK2903" s="73"/>
      <c r="HL2903" s="73"/>
      <c r="HM2903" s="73"/>
      <c r="HN2903" s="73"/>
      <c r="HO2903" s="73"/>
      <c r="HP2903" s="73"/>
      <c r="HQ2903" s="73"/>
      <c r="HR2903" s="73"/>
      <c r="HS2903" s="73"/>
      <c r="HT2903" s="73"/>
      <c r="HU2903" s="73"/>
      <c r="HV2903" s="73"/>
      <c r="HW2903" s="73"/>
      <c r="HX2903" s="73"/>
      <c r="HY2903" s="73"/>
      <c r="HZ2903" s="73"/>
      <c r="IA2903" s="73"/>
      <c r="IB2903" s="73"/>
      <c r="IC2903" s="73"/>
      <c r="ID2903" s="73"/>
      <c r="IE2903" s="73"/>
      <c r="IF2903" s="73"/>
      <c r="IG2903" s="73"/>
      <c r="IH2903" s="73"/>
      <c r="II2903" s="73"/>
      <c r="IJ2903" s="73"/>
      <c r="IK2903" s="73"/>
      <c r="IL2903" s="73"/>
      <c r="IM2903" s="73"/>
      <c r="IN2903" s="73"/>
      <c r="IO2903" s="73"/>
      <c r="IP2903" s="73"/>
      <c r="IQ2903" s="73"/>
      <c r="IR2903" s="73"/>
      <c r="IS2903" s="73"/>
      <c r="IT2903" s="73"/>
      <c r="IU2903" s="73"/>
      <c r="IV2903" s="73"/>
      <c r="IW2903" s="73"/>
      <c r="IX2903" s="73"/>
      <c r="IY2903" s="73"/>
      <c r="IZ2903" s="73"/>
      <c r="JA2903" s="73"/>
      <c r="JB2903" s="73"/>
      <c r="JC2903" s="73"/>
    </row>
    <row r="2904" spans="2:263" s="72" customFormat="1">
      <c r="B2904" s="73"/>
      <c r="C2904" s="73"/>
      <c r="D2904" s="73"/>
      <c r="E2904" s="73"/>
      <c r="F2904" s="73"/>
      <c r="G2904" s="73"/>
      <c r="H2904" s="73"/>
      <c r="I2904" s="73"/>
      <c r="J2904" s="73"/>
      <c r="K2904" s="73"/>
      <c r="L2904" s="73"/>
      <c r="M2904" s="73"/>
      <c r="N2904" s="73"/>
      <c r="O2904" s="73"/>
      <c r="P2904" s="73"/>
      <c r="Q2904" s="73"/>
      <c r="R2904" s="73"/>
      <c r="S2904" s="73"/>
      <c r="T2904" s="73"/>
      <c r="U2904" s="73"/>
      <c r="V2904" s="73"/>
      <c r="W2904" s="73"/>
      <c r="GL2904" s="73"/>
      <c r="GM2904" s="73"/>
      <c r="GN2904" s="73"/>
      <c r="GO2904" s="73"/>
      <c r="GP2904" s="73"/>
      <c r="GQ2904" s="73"/>
      <c r="GR2904" s="73"/>
      <c r="GS2904" s="73"/>
      <c r="GT2904" s="73"/>
      <c r="GU2904" s="73"/>
      <c r="GV2904" s="73"/>
      <c r="GW2904" s="73"/>
      <c r="GX2904" s="73"/>
      <c r="GY2904" s="73"/>
      <c r="GZ2904" s="73"/>
      <c r="HA2904" s="73"/>
      <c r="HB2904" s="73"/>
      <c r="HC2904" s="73"/>
      <c r="HD2904" s="73"/>
      <c r="HE2904" s="73"/>
      <c r="HF2904" s="73"/>
      <c r="HG2904" s="73"/>
      <c r="HH2904" s="73"/>
      <c r="HI2904" s="73"/>
      <c r="HJ2904" s="73"/>
      <c r="HK2904" s="73"/>
      <c r="HL2904" s="73"/>
      <c r="HM2904" s="73"/>
      <c r="HN2904" s="73"/>
      <c r="HO2904" s="73"/>
      <c r="HP2904" s="73"/>
      <c r="HQ2904" s="73"/>
      <c r="HR2904" s="73"/>
      <c r="HS2904" s="73"/>
      <c r="HT2904" s="73"/>
      <c r="HU2904" s="73"/>
      <c r="HV2904" s="73"/>
      <c r="HW2904" s="73"/>
      <c r="HX2904" s="73"/>
      <c r="HY2904" s="73"/>
      <c r="HZ2904" s="73"/>
      <c r="IA2904" s="73"/>
      <c r="IB2904" s="73"/>
      <c r="IC2904" s="73"/>
      <c r="ID2904" s="73"/>
      <c r="IE2904" s="73"/>
      <c r="IF2904" s="73"/>
      <c r="IG2904" s="73"/>
      <c r="IH2904" s="73"/>
      <c r="II2904" s="73"/>
      <c r="IJ2904" s="73"/>
      <c r="IK2904" s="73"/>
      <c r="IL2904" s="73"/>
      <c r="IM2904" s="73"/>
      <c r="IN2904" s="73"/>
      <c r="IO2904" s="73"/>
      <c r="IP2904" s="73"/>
      <c r="IQ2904" s="73"/>
      <c r="IR2904" s="73"/>
      <c r="IS2904" s="73"/>
      <c r="IT2904" s="73"/>
      <c r="IU2904" s="73"/>
      <c r="IV2904" s="73"/>
      <c r="IW2904" s="73"/>
      <c r="IX2904" s="73"/>
      <c r="IY2904" s="73"/>
      <c r="IZ2904" s="73"/>
      <c r="JA2904" s="73"/>
      <c r="JB2904" s="73"/>
      <c r="JC2904" s="73"/>
    </row>
    <row r="2905" spans="2:263" s="72" customFormat="1">
      <c r="B2905" s="73"/>
      <c r="C2905" s="73"/>
      <c r="D2905" s="73"/>
      <c r="E2905" s="73"/>
      <c r="F2905" s="73"/>
      <c r="G2905" s="73"/>
      <c r="H2905" s="73"/>
      <c r="I2905" s="73"/>
      <c r="J2905" s="73"/>
      <c r="K2905" s="73"/>
      <c r="L2905" s="73"/>
      <c r="M2905" s="73"/>
      <c r="N2905" s="73"/>
      <c r="O2905" s="73"/>
      <c r="P2905" s="73"/>
      <c r="Q2905" s="73"/>
      <c r="R2905" s="73"/>
      <c r="S2905" s="73"/>
      <c r="T2905" s="73"/>
      <c r="U2905" s="73"/>
      <c r="V2905" s="73"/>
      <c r="W2905" s="73"/>
      <c r="GL2905" s="73"/>
      <c r="GM2905" s="73"/>
      <c r="GN2905" s="73"/>
      <c r="GO2905" s="73"/>
      <c r="GP2905" s="73"/>
      <c r="GQ2905" s="73"/>
      <c r="GR2905" s="73"/>
      <c r="GS2905" s="73"/>
      <c r="GT2905" s="73"/>
      <c r="GU2905" s="73"/>
      <c r="GV2905" s="73"/>
      <c r="GW2905" s="73"/>
      <c r="GX2905" s="73"/>
      <c r="GY2905" s="73"/>
      <c r="GZ2905" s="73"/>
      <c r="HA2905" s="73"/>
      <c r="HB2905" s="73"/>
      <c r="HC2905" s="73"/>
      <c r="HD2905" s="73"/>
      <c r="HE2905" s="73"/>
      <c r="HF2905" s="73"/>
      <c r="HG2905" s="73"/>
      <c r="HH2905" s="73"/>
      <c r="HI2905" s="73"/>
      <c r="HJ2905" s="73"/>
      <c r="HK2905" s="73"/>
      <c r="HL2905" s="73"/>
      <c r="HM2905" s="73"/>
      <c r="HN2905" s="73"/>
      <c r="HO2905" s="73"/>
      <c r="HP2905" s="73"/>
      <c r="HQ2905" s="73"/>
      <c r="HR2905" s="73"/>
      <c r="HS2905" s="73"/>
      <c r="HT2905" s="73"/>
      <c r="HU2905" s="73"/>
      <c r="HV2905" s="73"/>
      <c r="HW2905" s="73"/>
      <c r="HX2905" s="73"/>
      <c r="HY2905" s="73"/>
      <c r="HZ2905" s="73"/>
      <c r="IA2905" s="73"/>
      <c r="IB2905" s="73"/>
      <c r="IC2905" s="73"/>
      <c r="ID2905" s="73"/>
      <c r="IE2905" s="73"/>
      <c r="IF2905" s="73"/>
      <c r="IG2905" s="73"/>
      <c r="IH2905" s="73"/>
      <c r="II2905" s="73"/>
      <c r="IJ2905" s="73"/>
      <c r="IK2905" s="73"/>
      <c r="IL2905" s="73"/>
      <c r="IM2905" s="73"/>
      <c r="IN2905" s="73"/>
      <c r="IO2905" s="73"/>
      <c r="IP2905" s="73"/>
      <c r="IQ2905" s="73"/>
      <c r="IR2905" s="73"/>
      <c r="IS2905" s="73"/>
      <c r="IT2905" s="73"/>
      <c r="IU2905" s="73"/>
      <c r="IV2905" s="73"/>
      <c r="IW2905" s="73"/>
      <c r="IX2905" s="73"/>
      <c r="IY2905" s="73"/>
      <c r="IZ2905" s="73"/>
      <c r="JA2905" s="73"/>
      <c r="JB2905" s="73"/>
      <c r="JC2905" s="73"/>
    </row>
    <row r="2906" spans="2:263" s="72" customFormat="1">
      <c r="B2906" s="73"/>
      <c r="C2906" s="73"/>
      <c r="D2906" s="73"/>
      <c r="E2906" s="73"/>
      <c r="F2906" s="73"/>
      <c r="G2906" s="73"/>
      <c r="H2906" s="73"/>
      <c r="I2906" s="73"/>
      <c r="J2906" s="73"/>
      <c r="K2906" s="73"/>
      <c r="L2906" s="73"/>
      <c r="M2906" s="73"/>
      <c r="N2906" s="73"/>
      <c r="O2906" s="73"/>
      <c r="P2906" s="73"/>
      <c r="Q2906" s="73"/>
      <c r="R2906" s="73"/>
      <c r="S2906" s="73"/>
      <c r="T2906" s="73"/>
      <c r="U2906" s="73"/>
      <c r="V2906" s="73"/>
      <c r="W2906" s="73"/>
      <c r="GL2906" s="73"/>
      <c r="GM2906" s="73"/>
      <c r="GN2906" s="73"/>
      <c r="GO2906" s="73"/>
      <c r="GP2906" s="73"/>
      <c r="GQ2906" s="73"/>
      <c r="GR2906" s="73"/>
      <c r="GS2906" s="73"/>
      <c r="GT2906" s="73"/>
      <c r="GU2906" s="73"/>
      <c r="GV2906" s="73"/>
      <c r="GW2906" s="73"/>
      <c r="GX2906" s="73"/>
      <c r="GY2906" s="73"/>
      <c r="GZ2906" s="73"/>
      <c r="HA2906" s="73"/>
      <c r="HB2906" s="73"/>
      <c r="HC2906" s="73"/>
      <c r="HD2906" s="73"/>
      <c r="HE2906" s="73"/>
      <c r="HF2906" s="73"/>
      <c r="HG2906" s="73"/>
      <c r="HH2906" s="73"/>
      <c r="HI2906" s="73"/>
      <c r="HJ2906" s="73"/>
      <c r="HK2906" s="73"/>
      <c r="HL2906" s="73"/>
      <c r="HM2906" s="73"/>
      <c r="HN2906" s="73"/>
      <c r="HO2906" s="73"/>
      <c r="HP2906" s="73"/>
      <c r="HQ2906" s="73"/>
      <c r="HR2906" s="73"/>
      <c r="HS2906" s="73"/>
      <c r="HT2906" s="73"/>
      <c r="HU2906" s="73"/>
      <c r="HV2906" s="73"/>
      <c r="HW2906" s="73"/>
      <c r="HX2906" s="73"/>
      <c r="HY2906" s="73"/>
      <c r="HZ2906" s="73"/>
      <c r="IA2906" s="73"/>
      <c r="IB2906" s="73"/>
      <c r="IC2906" s="73"/>
      <c r="ID2906" s="73"/>
      <c r="IE2906" s="73"/>
      <c r="IF2906" s="73"/>
      <c r="IG2906" s="73"/>
      <c r="IH2906" s="73"/>
      <c r="II2906" s="73"/>
      <c r="IJ2906" s="73"/>
      <c r="IK2906" s="73"/>
      <c r="IL2906" s="73"/>
      <c r="IM2906" s="73"/>
      <c r="IN2906" s="73"/>
      <c r="IO2906" s="73"/>
      <c r="IP2906" s="73"/>
      <c r="IQ2906" s="73"/>
      <c r="IR2906" s="73"/>
      <c r="IS2906" s="73"/>
      <c r="IT2906" s="73"/>
      <c r="IU2906" s="73"/>
      <c r="IV2906" s="73"/>
      <c r="IW2906" s="73"/>
      <c r="IX2906" s="73"/>
      <c r="IY2906" s="73"/>
      <c r="IZ2906" s="73"/>
      <c r="JA2906" s="73"/>
      <c r="JB2906" s="73"/>
      <c r="JC2906" s="73"/>
    </row>
    <row r="2907" spans="2:263" s="72" customFormat="1">
      <c r="B2907" s="73"/>
      <c r="C2907" s="73"/>
      <c r="D2907" s="73"/>
      <c r="E2907" s="73"/>
      <c r="F2907" s="73"/>
      <c r="G2907" s="73"/>
      <c r="H2907" s="73"/>
      <c r="I2907" s="73"/>
      <c r="J2907" s="73"/>
      <c r="K2907" s="73"/>
      <c r="L2907" s="73"/>
      <c r="M2907" s="73"/>
      <c r="N2907" s="73"/>
      <c r="O2907" s="73"/>
      <c r="P2907" s="73"/>
      <c r="Q2907" s="73"/>
      <c r="R2907" s="73"/>
      <c r="S2907" s="73"/>
      <c r="T2907" s="73"/>
      <c r="U2907" s="73"/>
      <c r="V2907" s="73"/>
      <c r="W2907" s="73"/>
      <c r="GL2907" s="73"/>
      <c r="GM2907" s="73"/>
      <c r="GN2907" s="73"/>
      <c r="GO2907" s="73"/>
      <c r="GP2907" s="73"/>
      <c r="GQ2907" s="73"/>
      <c r="GR2907" s="73"/>
      <c r="GS2907" s="73"/>
      <c r="GT2907" s="73"/>
      <c r="GU2907" s="73"/>
      <c r="GV2907" s="73"/>
      <c r="GW2907" s="73"/>
      <c r="GX2907" s="73"/>
      <c r="GY2907" s="73"/>
      <c r="GZ2907" s="73"/>
      <c r="HA2907" s="73"/>
      <c r="HB2907" s="73"/>
      <c r="HC2907" s="73"/>
      <c r="HD2907" s="73"/>
      <c r="HE2907" s="73"/>
      <c r="HF2907" s="73"/>
      <c r="HG2907" s="73"/>
      <c r="HH2907" s="73"/>
      <c r="HI2907" s="73"/>
      <c r="HJ2907" s="73"/>
      <c r="HK2907" s="73"/>
      <c r="HL2907" s="73"/>
      <c r="HM2907" s="73"/>
      <c r="HN2907" s="73"/>
      <c r="HO2907" s="73"/>
      <c r="HP2907" s="73"/>
      <c r="HQ2907" s="73"/>
      <c r="HR2907" s="73"/>
      <c r="HS2907" s="73"/>
      <c r="HT2907" s="73"/>
      <c r="HU2907" s="73"/>
      <c r="HV2907" s="73"/>
      <c r="HW2907" s="73"/>
      <c r="HX2907" s="73"/>
      <c r="HY2907" s="73"/>
      <c r="HZ2907" s="73"/>
      <c r="IA2907" s="73"/>
      <c r="IB2907" s="73"/>
      <c r="IC2907" s="73"/>
      <c r="ID2907" s="73"/>
      <c r="IE2907" s="73"/>
      <c r="IF2907" s="73"/>
      <c r="IG2907" s="73"/>
      <c r="IH2907" s="73"/>
      <c r="II2907" s="73"/>
      <c r="IJ2907" s="73"/>
      <c r="IK2907" s="73"/>
      <c r="IL2907" s="73"/>
      <c r="IM2907" s="73"/>
      <c r="IN2907" s="73"/>
      <c r="IO2907" s="73"/>
      <c r="IP2907" s="73"/>
      <c r="IQ2907" s="73"/>
      <c r="IR2907" s="73"/>
      <c r="IS2907" s="73"/>
      <c r="IT2907" s="73"/>
      <c r="IU2907" s="73"/>
      <c r="IV2907" s="73"/>
      <c r="IW2907" s="73"/>
      <c r="IX2907" s="73"/>
      <c r="IY2907" s="73"/>
      <c r="IZ2907" s="73"/>
      <c r="JA2907" s="73"/>
      <c r="JB2907" s="73"/>
      <c r="JC2907" s="73"/>
    </row>
    <row r="2908" spans="2:263" s="72" customFormat="1">
      <c r="B2908" s="73"/>
      <c r="C2908" s="73"/>
      <c r="D2908" s="73"/>
      <c r="E2908" s="73"/>
      <c r="F2908" s="73"/>
      <c r="G2908" s="73"/>
      <c r="H2908" s="73"/>
      <c r="I2908" s="73"/>
      <c r="J2908" s="73"/>
      <c r="K2908" s="73"/>
      <c r="L2908" s="73"/>
      <c r="M2908" s="73"/>
      <c r="N2908" s="73"/>
      <c r="O2908" s="73"/>
      <c r="P2908" s="73"/>
      <c r="Q2908" s="73"/>
      <c r="R2908" s="73"/>
      <c r="S2908" s="73"/>
      <c r="T2908" s="73"/>
      <c r="U2908" s="73"/>
      <c r="V2908" s="73"/>
      <c r="W2908" s="73"/>
      <c r="GL2908" s="73"/>
      <c r="GM2908" s="73"/>
      <c r="GN2908" s="73"/>
      <c r="GO2908" s="73"/>
      <c r="GP2908" s="73"/>
      <c r="GQ2908" s="73"/>
      <c r="GR2908" s="73"/>
      <c r="GS2908" s="73"/>
      <c r="GT2908" s="73"/>
      <c r="GU2908" s="73"/>
      <c r="GV2908" s="73"/>
      <c r="GW2908" s="73"/>
      <c r="GX2908" s="73"/>
      <c r="GY2908" s="73"/>
      <c r="GZ2908" s="73"/>
      <c r="HA2908" s="73"/>
      <c r="HB2908" s="73"/>
      <c r="HC2908" s="73"/>
      <c r="HD2908" s="73"/>
      <c r="HE2908" s="73"/>
      <c r="HF2908" s="73"/>
      <c r="HG2908" s="73"/>
      <c r="HH2908" s="73"/>
      <c r="HI2908" s="73"/>
      <c r="HJ2908" s="73"/>
      <c r="HK2908" s="73"/>
      <c r="HL2908" s="73"/>
      <c r="HM2908" s="73"/>
      <c r="HN2908" s="73"/>
      <c r="HO2908" s="73"/>
      <c r="HP2908" s="73"/>
      <c r="HQ2908" s="73"/>
      <c r="HR2908" s="73"/>
      <c r="HS2908" s="73"/>
      <c r="HT2908" s="73"/>
      <c r="HU2908" s="73"/>
      <c r="HV2908" s="73"/>
      <c r="HW2908" s="73"/>
      <c r="HX2908" s="73"/>
      <c r="HY2908" s="73"/>
      <c r="HZ2908" s="73"/>
      <c r="IA2908" s="73"/>
      <c r="IB2908" s="73"/>
      <c r="IC2908" s="73"/>
      <c r="ID2908" s="73"/>
      <c r="IE2908" s="73"/>
      <c r="IF2908" s="73"/>
      <c r="IG2908" s="73"/>
      <c r="IH2908" s="73"/>
      <c r="II2908" s="73"/>
      <c r="IJ2908" s="73"/>
      <c r="IK2908" s="73"/>
      <c r="IL2908" s="73"/>
      <c r="IM2908" s="73"/>
      <c r="IN2908" s="73"/>
      <c r="IO2908" s="73"/>
      <c r="IP2908" s="73"/>
      <c r="IQ2908" s="73"/>
      <c r="IR2908" s="73"/>
      <c r="IS2908" s="73"/>
      <c r="IT2908" s="73"/>
      <c r="IU2908" s="73"/>
      <c r="IV2908" s="73"/>
      <c r="IW2908" s="73"/>
      <c r="IX2908" s="73"/>
      <c r="IY2908" s="73"/>
      <c r="IZ2908" s="73"/>
      <c r="JA2908" s="73"/>
      <c r="JB2908" s="73"/>
      <c r="JC2908" s="73"/>
    </row>
    <row r="2909" spans="2:263" s="72" customFormat="1">
      <c r="B2909" s="73"/>
      <c r="C2909" s="73"/>
      <c r="D2909" s="73"/>
      <c r="E2909" s="73"/>
      <c r="F2909" s="73"/>
      <c r="G2909" s="73"/>
      <c r="H2909" s="73"/>
      <c r="I2909" s="73"/>
      <c r="J2909" s="73"/>
      <c r="K2909" s="73"/>
      <c r="L2909" s="73"/>
      <c r="M2909" s="73"/>
      <c r="N2909" s="73"/>
      <c r="O2909" s="73"/>
      <c r="P2909" s="73"/>
      <c r="Q2909" s="73"/>
      <c r="R2909" s="73"/>
      <c r="S2909" s="73"/>
      <c r="T2909" s="73"/>
      <c r="U2909" s="73"/>
      <c r="V2909" s="73"/>
      <c r="W2909" s="73"/>
      <c r="GL2909" s="73"/>
      <c r="GM2909" s="73"/>
      <c r="GN2909" s="73"/>
      <c r="GO2909" s="73"/>
      <c r="GP2909" s="73"/>
      <c r="GQ2909" s="73"/>
      <c r="GR2909" s="73"/>
      <c r="GS2909" s="73"/>
      <c r="GT2909" s="73"/>
      <c r="GU2909" s="73"/>
      <c r="GV2909" s="73"/>
      <c r="GW2909" s="73"/>
      <c r="GX2909" s="73"/>
      <c r="GY2909" s="73"/>
      <c r="GZ2909" s="73"/>
      <c r="HA2909" s="73"/>
      <c r="HB2909" s="73"/>
      <c r="HC2909" s="73"/>
      <c r="HD2909" s="73"/>
      <c r="HE2909" s="73"/>
      <c r="HF2909" s="73"/>
      <c r="HG2909" s="73"/>
      <c r="HH2909" s="73"/>
      <c r="HI2909" s="73"/>
      <c r="HJ2909" s="73"/>
      <c r="HK2909" s="73"/>
      <c r="HL2909" s="73"/>
      <c r="HM2909" s="73"/>
      <c r="HN2909" s="73"/>
      <c r="HO2909" s="73"/>
      <c r="HP2909" s="73"/>
      <c r="HQ2909" s="73"/>
      <c r="HR2909" s="73"/>
      <c r="HS2909" s="73"/>
      <c r="HT2909" s="73"/>
      <c r="HU2909" s="73"/>
      <c r="HV2909" s="73"/>
      <c r="HW2909" s="73"/>
      <c r="HX2909" s="73"/>
      <c r="HY2909" s="73"/>
      <c r="HZ2909" s="73"/>
      <c r="IA2909" s="73"/>
      <c r="IB2909" s="73"/>
      <c r="IC2909" s="73"/>
      <c r="ID2909" s="73"/>
      <c r="IE2909" s="73"/>
      <c r="IF2909" s="73"/>
      <c r="IG2909" s="73"/>
      <c r="IH2909" s="73"/>
      <c r="II2909" s="73"/>
      <c r="IJ2909" s="73"/>
      <c r="IK2909" s="73"/>
      <c r="IL2909" s="73"/>
      <c r="IM2909" s="73"/>
      <c r="IN2909" s="73"/>
      <c r="IO2909" s="73"/>
      <c r="IP2909" s="73"/>
      <c r="IQ2909" s="73"/>
      <c r="IR2909" s="73"/>
      <c r="IS2909" s="73"/>
      <c r="IT2909" s="73"/>
      <c r="IU2909" s="73"/>
      <c r="IV2909" s="73"/>
      <c r="IW2909" s="73"/>
      <c r="IX2909" s="73"/>
      <c r="IY2909" s="73"/>
      <c r="IZ2909" s="73"/>
      <c r="JA2909" s="73"/>
      <c r="JB2909" s="73"/>
      <c r="JC2909" s="73"/>
    </row>
    <row r="2910" spans="2:263" s="72" customFormat="1">
      <c r="B2910" s="73"/>
      <c r="C2910" s="73"/>
      <c r="D2910" s="73"/>
      <c r="E2910" s="73"/>
      <c r="F2910" s="73"/>
      <c r="G2910" s="73"/>
      <c r="H2910" s="73"/>
      <c r="I2910" s="73"/>
      <c r="J2910" s="73"/>
      <c r="K2910" s="73"/>
      <c r="L2910" s="73"/>
      <c r="M2910" s="73"/>
      <c r="N2910" s="73"/>
      <c r="O2910" s="73"/>
      <c r="P2910" s="73"/>
      <c r="Q2910" s="73"/>
      <c r="R2910" s="73"/>
      <c r="S2910" s="73"/>
      <c r="T2910" s="73"/>
      <c r="U2910" s="73"/>
      <c r="V2910" s="73"/>
      <c r="W2910" s="73"/>
      <c r="GL2910" s="73"/>
      <c r="GM2910" s="73"/>
      <c r="GN2910" s="73"/>
      <c r="GO2910" s="73"/>
      <c r="GP2910" s="73"/>
      <c r="GQ2910" s="73"/>
      <c r="GR2910" s="73"/>
      <c r="GS2910" s="73"/>
      <c r="GT2910" s="73"/>
      <c r="GU2910" s="73"/>
      <c r="GV2910" s="73"/>
      <c r="GW2910" s="73"/>
      <c r="GX2910" s="73"/>
      <c r="GY2910" s="73"/>
      <c r="GZ2910" s="73"/>
      <c r="HA2910" s="73"/>
      <c r="HB2910" s="73"/>
      <c r="HC2910" s="73"/>
      <c r="HD2910" s="73"/>
      <c r="HE2910" s="73"/>
      <c r="HF2910" s="73"/>
      <c r="HG2910" s="73"/>
      <c r="HH2910" s="73"/>
      <c r="HI2910" s="73"/>
      <c r="HJ2910" s="73"/>
      <c r="HK2910" s="73"/>
      <c r="HL2910" s="73"/>
      <c r="HM2910" s="73"/>
      <c r="HN2910" s="73"/>
      <c r="HO2910" s="73"/>
      <c r="HP2910" s="73"/>
      <c r="HQ2910" s="73"/>
      <c r="HR2910" s="73"/>
      <c r="HS2910" s="73"/>
      <c r="HT2910" s="73"/>
      <c r="HU2910" s="73"/>
      <c r="HV2910" s="73"/>
      <c r="HW2910" s="73"/>
      <c r="HX2910" s="73"/>
      <c r="HY2910" s="73"/>
      <c r="HZ2910" s="73"/>
      <c r="IA2910" s="73"/>
      <c r="IB2910" s="73"/>
      <c r="IC2910" s="73"/>
      <c r="ID2910" s="73"/>
      <c r="IE2910" s="73"/>
      <c r="IF2910" s="73"/>
      <c r="IG2910" s="73"/>
      <c r="IH2910" s="73"/>
      <c r="II2910" s="73"/>
      <c r="IJ2910" s="73"/>
      <c r="IK2910" s="73"/>
      <c r="IL2910" s="73"/>
      <c r="IM2910" s="73"/>
      <c r="IN2910" s="73"/>
      <c r="IO2910" s="73"/>
      <c r="IP2910" s="73"/>
      <c r="IQ2910" s="73"/>
      <c r="IR2910" s="73"/>
      <c r="IS2910" s="73"/>
      <c r="IT2910" s="73"/>
      <c r="IU2910" s="73"/>
      <c r="IV2910" s="73"/>
      <c r="IW2910" s="73"/>
      <c r="IX2910" s="73"/>
      <c r="IY2910" s="73"/>
      <c r="IZ2910" s="73"/>
      <c r="JA2910" s="73"/>
      <c r="JB2910" s="73"/>
      <c r="JC2910" s="73"/>
    </row>
    <row r="2911" spans="2:263" s="72" customFormat="1">
      <c r="B2911" s="73"/>
      <c r="C2911" s="73"/>
      <c r="D2911" s="73"/>
      <c r="E2911" s="73"/>
      <c r="F2911" s="73"/>
      <c r="G2911" s="73"/>
      <c r="H2911" s="73"/>
      <c r="I2911" s="73"/>
      <c r="J2911" s="73"/>
      <c r="K2911" s="73"/>
      <c r="L2911" s="73"/>
      <c r="M2911" s="73"/>
      <c r="N2911" s="73"/>
      <c r="O2911" s="73"/>
      <c r="P2911" s="73"/>
      <c r="Q2911" s="73"/>
      <c r="R2911" s="73"/>
      <c r="S2911" s="73"/>
      <c r="T2911" s="73"/>
      <c r="U2911" s="73"/>
      <c r="V2911" s="73"/>
      <c r="W2911" s="73"/>
      <c r="GL2911" s="73"/>
      <c r="GM2911" s="73"/>
      <c r="GN2911" s="73"/>
      <c r="GO2911" s="73"/>
      <c r="GP2911" s="73"/>
      <c r="GQ2911" s="73"/>
      <c r="GR2911" s="73"/>
      <c r="GS2911" s="73"/>
      <c r="GT2911" s="73"/>
      <c r="GU2911" s="73"/>
      <c r="GV2911" s="73"/>
      <c r="GW2911" s="73"/>
      <c r="GX2911" s="73"/>
      <c r="GY2911" s="73"/>
      <c r="GZ2911" s="73"/>
      <c r="HA2911" s="73"/>
      <c r="HB2911" s="73"/>
      <c r="HC2911" s="73"/>
      <c r="HD2911" s="73"/>
      <c r="HE2911" s="73"/>
      <c r="HF2911" s="73"/>
      <c r="HG2911" s="73"/>
      <c r="HH2911" s="73"/>
      <c r="HI2911" s="73"/>
      <c r="HJ2911" s="73"/>
      <c r="HK2911" s="73"/>
      <c r="HL2911" s="73"/>
      <c r="HM2911" s="73"/>
      <c r="HN2911" s="73"/>
      <c r="HO2911" s="73"/>
      <c r="HP2911" s="73"/>
      <c r="HQ2911" s="73"/>
      <c r="HR2911" s="73"/>
      <c r="HS2911" s="73"/>
      <c r="HT2911" s="73"/>
      <c r="HU2911" s="73"/>
      <c r="HV2911" s="73"/>
      <c r="HW2911" s="73"/>
      <c r="HX2911" s="73"/>
      <c r="HY2911" s="73"/>
      <c r="HZ2911" s="73"/>
      <c r="IA2911" s="73"/>
      <c r="IB2911" s="73"/>
      <c r="IC2911" s="73"/>
      <c r="ID2911" s="73"/>
      <c r="IE2911" s="73"/>
      <c r="IF2911" s="73"/>
      <c r="IG2911" s="73"/>
      <c r="IH2911" s="73"/>
      <c r="II2911" s="73"/>
      <c r="IJ2911" s="73"/>
      <c r="IK2911" s="73"/>
      <c r="IL2911" s="73"/>
      <c r="IM2911" s="73"/>
      <c r="IN2911" s="73"/>
      <c r="IO2911" s="73"/>
      <c r="IP2911" s="73"/>
      <c r="IQ2911" s="73"/>
      <c r="IR2911" s="73"/>
      <c r="IS2911" s="73"/>
      <c r="IT2911" s="73"/>
      <c r="IU2911" s="73"/>
      <c r="IV2911" s="73"/>
      <c r="IW2911" s="73"/>
      <c r="IX2911" s="73"/>
      <c r="IY2911" s="73"/>
      <c r="IZ2911" s="73"/>
      <c r="JA2911" s="73"/>
      <c r="JB2911" s="73"/>
      <c r="JC2911" s="73"/>
    </row>
    <row r="2912" spans="2:263" s="72" customFormat="1">
      <c r="B2912" s="73"/>
      <c r="C2912" s="73"/>
      <c r="D2912" s="73"/>
      <c r="E2912" s="73"/>
      <c r="F2912" s="73"/>
      <c r="G2912" s="73"/>
      <c r="H2912" s="73"/>
      <c r="I2912" s="73"/>
      <c r="J2912" s="73"/>
      <c r="K2912" s="73"/>
      <c r="L2912" s="73"/>
      <c r="M2912" s="73"/>
      <c r="N2912" s="73"/>
      <c r="O2912" s="73"/>
      <c r="P2912" s="73"/>
      <c r="Q2912" s="73"/>
      <c r="R2912" s="73"/>
      <c r="S2912" s="73"/>
      <c r="T2912" s="73"/>
      <c r="U2912" s="73"/>
      <c r="V2912" s="73"/>
      <c r="W2912" s="73"/>
      <c r="GL2912" s="73"/>
      <c r="GM2912" s="73"/>
      <c r="GN2912" s="73"/>
      <c r="GO2912" s="73"/>
      <c r="GP2912" s="73"/>
      <c r="GQ2912" s="73"/>
      <c r="GR2912" s="73"/>
      <c r="GS2912" s="73"/>
      <c r="GT2912" s="73"/>
      <c r="GU2912" s="73"/>
      <c r="GV2912" s="73"/>
      <c r="GW2912" s="73"/>
      <c r="GX2912" s="73"/>
      <c r="GY2912" s="73"/>
      <c r="GZ2912" s="73"/>
      <c r="HA2912" s="73"/>
      <c r="HB2912" s="73"/>
      <c r="HC2912" s="73"/>
      <c r="HD2912" s="73"/>
      <c r="HE2912" s="73"/>
      <c r="HF2912" s="73"/>
      <c r="HG2912" s="73"/>
      <c r="HH2912" s="73"/>
      <c r="HI2912" s="73"/>
      <c r="HJ2912" s="73"/>
      <c r="HK2912" s="73"/>
      <c r="HL2912" s="73"/>
      <c r="HM2912" s="73"/>
      <c r="HN2912" s="73"/>
      <c r="HO2912" s="73"/>
      <c r="HP2912" s="73"/>
      <c r="HQ2912" s="73"/>
      <c r="HR2912" s="73"/>
      <c r="HS2912" s="73"/>
      <c r="HT2912" s="73"/>
      <c r="HU2912" s="73"/>
      <c r="HV2912" s="73"/>
      <c r="HW2912" s="73"/>
      <c r="HX2912" s="73"/>
      <c r="HY2912" s="73"/>
      <c r="HZ2912" s="73"/>
      <c r="IA2912" s="73"/>
      <c r="IB2912" s="73"/>
      <c r="IC2912" s="73"/>
      <c r="ID2912" s="73"/>
      <c r="IE2912" s="73"/>
      <c r="IF2912" s="73"/>
      <c r="IG2912" s="73"/>
      <c r="IH2912" s="73"/>
      <c r="II2912" s="73"/>
      <c r="IJ2912" s="73"/>
      <c r="IK2912" s="73"/>
      <c r="IL2912" s="73"/>
      <c r="IM2912" s="73"/>
      <c r="IN2912" s="73"/>
      <c r="IO2912" s="73"/>
      <c r="IP2912" s="73"/>
      <c r="IQ2912" s="73"/>
      <c r="IR2912" s="73"/>
      <c r="IS2912" s="73"/>
      <c r="IT2912" s="73"/>
      <c r="IU2912" s="73"/>
      <c r="IV2912" s="73"/>
      <c r="IW2912" s="73"/>
      <c r="IX2912" s="73"/>
      <c r="IY2912" s="73"/>
      <c r="IZ2912" s="73"/>
      <c r="JA2912" s="73"/>
      <c r="JB2912" s="73"/>
      <c r="JC2912" s="73"/>
    </row>
    <row r="2913" spans="2:263" s="72" customFormat="1">
      <c r="B2913" s="73"/>
      <c r="C2913" s="73"/>
      <c r="D2913" s="73"/>
      <c r="E2913" s="73"/>
      <c r="F2913" s="73"/>
      <c r="G2913" s="73"/>
      <c r="H2913" s="73"/>
      <c r="I2913" s="73"/>
      <c r="J2913" s="73"/>
      <c r="K2913" s="73"/>
      <c r="L2913" s="73"/>
      <c r="M2913" s="73"/>
      <c r="N2913" s="73"/>
      <c r="O2913" s="73"/>
      <c r="P2913" s="73"/>
      <c r="Q2913" s="73"/>
      <c r="R2913" s="73"/>
      <c r="S2913" s="73"/>
      <c r="T2913" s="73"/>
      <c r="U2913" s="73"/>
      <c r="V2913" s="73"/>
      <c r="W2913" s="73"/>
      <c r="GL2913" s="73"/>
      <c r="GM2913" s="73"/>
      <c r="GN2913" s="73"/>
      <c r="GO2913" s="73"/>
      <c r="GP2913" s="73"/>
      <c r="GQ2913" s="73"/>
      <c r="GR2913" s="73"/>
      <c r="GS2913" s="73"/>
      <c r="GT2913" s="73"/>
      <c r="GU2913" s="73"/>
      <c r="GV2913" s="73"/>
      <c r="GW2913" s="73"/>
      <c r="GX2913" s="73"/>
      <c r="GY2913" s="73"/>
      <c r="GZ2913" s="73"/>
      <c r="HA2913" s="73"/>
      <c r="HB2913" s="73"/>
      <c r="HC2913" s="73"/>
      <c r="HD2913" s="73"/>
      <c r="HE2913" s="73"/>
      <c r="HF2913" s="73"/>
      <c r="HG2913" s="73"/>
      <c r="HH2913" s="73"/>
      <c r="HI2913" s="73"/>
      <c r="HJ2913" s="73"/>
      <c r="HK2913" s="73"/>
      <c r="HL2913" s="73"/>
      <c r="HM2913" s="73"/>
      <c r="HN2913" s="73"/>
      <c r="HO2913" s="73"/>
      <c r="HP2913" s="73"/>
      <c r="HQ2913" s="73"/>
      <c r="HR2913" s="73"/>
      <c r="HS2913" s="73"/>
      <c r="HT2913" s="73"/>
      <c r="HU2913" s="73"/>
      <c r="HV2913" s="73"/>
      <c r="HW2913" s="73"/>
      <c r="HX2913" s="73"/>
      <c r="HY2913" s="73"/>
      <c r="HZ2913" s="73"/>
      <c r="IA2913" s="73"/>
      <c r="IB2913" s="73"/>
      <c r="IC2913" s="73"/>
      <c r="ID2913" s="73"/>
      <c r="IE2913" s="73"/>
      <c r="IF2913" s="73"/>
      <c r="IG2913" s="73"/>
      <c r="IH2913" s="73"/>
      <c r="II2913" s="73"/>
      <c r="IJ2913" s="73"/>
      <c r="IK2913" s="73"/>
      <c r="IL2913" s="73"/>
      <c r="IM2913" s="73"/>
      <c r="IN2913" s="73"/>
      <c r="IO2913" s="73"/>
      <c r="IP2913" s="73"/>
      <c r="IQ2913" s="73"/>
      <c r="IR2913" s="73"/>
      <c r="IS2913" s="73"/>
      <c r="IT2913" s="73"/>
      <c r="IU2913" s="73"/>
      <c r="IV2913" s="73"/>
      <c r="IW2913" s="73"/>
      <c r="IX2913" s="73"/>
      <c r="IY2913" s="73"/>
      <c r="IZ2913" s="73"/>
      <c r="JA2913" s="73"/>
      <c r="JB2913" s="73"/>
      <c r="JC2913" s="73"/>
    </row>
    <row r="2914" spans="2:263" s="72" customFormat="1">
      <c r="B2914" s="73"/>
      <c r="C2914" s="73"/>
      <c r="D2914" s="73"/>
      <c r="E2914" s="73"/>
      <c r="F2914" s="73"/>
      <c r="G2914" s="73"/>
      <c r="H2914" s="73"/>
      <c r="I2914" s="73"/>
      <c r="J2914" s="73"/>
      <c r="K2914" s="73"/>
      <c r="L2914" s="73"/>
      <c r="M2914" s="73"/>
      <c r="N2914" s="73"/>
      <c r="O2914" s="73"/>
      <c r="P2914" s="73"/>
      <c r="Q2914" s="73"/>
      <c r="R2914" s="73"/>
      <c r="S2914" s="73"/>
      <c r="T2914" s="73"/>
      <c r="U2914" s="73"/>
      <c r="V2914" s="73"/>
      <c r="W2914" s="73"/>
      <c r="GL2914" s="73"/>
      <c r="GM2914" s="73"/>
      <c r="GN2914" s="73"/>
      <c r="GO2914" s="73"/>
      <c r="GP2914" s="73"/>
      <c r="GQ2914" s="73"/>
      <c r="GR2914" s="73"/>
      <c r="GS2914" s="73"/>
      <c r="GT2914" s="73"/>
      <c r="GU2914" s="73"/>
      <c r="GV2914" s="73"/>
      <c r="GW2914" s="73"/>
      <c r="GX2914" s="73"/>
      <c r="GY2914" s="73"/>
      <c r="GZ2914" s="73"/>
      <c r="HA2914" s="73"/>
      <c r="HB2914" s="73"/>
      <c r="HC2914" s="73"/>
      <c r="HD2914" s="73"/>
      <c r="HE2914" s="73"/>
      <c r="HF2914" s="73"/>
      <c r="HG2914" s="73"/>
      <c r="HH2914" s="73"/>
      <c r="HI2914" s="73"/>
      <c r="HJ2914" s="73"/>
      <c r="HK2914" s="73"/>
      <c r="HL2914" s="73"/>
      <c r="HM2914" s="73"/>
      <c r="HN2914" s="73"/>
      <c r="HO2914" s="73"/>
      <c r="HP2914" s="73"/>
      <c r="HQ2914" s="73"/>
      <c r="HR2914" s="73"/>
      <c r="HS2914" s="73"/>
      <c r="HT2914" s="73"/>
      <c r="HU2914" s="73"/>
      <c r="HV2914" s="73"/>
      <c r="HW2914" s="73"/>
      <c r="HX2914" s="73"/>
      <c r="HY2914" s="73"/>
      <c r="HZ2914" s="73"/>
      <c r="IA2914" s="73"/>
      <c r="IB2914" s="73"/>
      <c r="IC2914" s="73"/>
      <c r="ID2914" s="73"/>
      <c r="IE2914" s="73"/>
      <c r="IF2914" s="73"/>
      <c r="IG2914" s="73"/>
      <c r="IH2914" s="73"/>
      <c r="II2914" s="73"/>
      <c r="IJ2914" s="73"/>
      <c r="IK2914" s="73"/>
      <c r="IL2914" s="73"/>
      <c r="IM2914" s="73"/>
      <c r="IN2914" s="73"/>
      <c r="IO2914" s="73"/>
      <c r="IP2914" s="73"/>
      <c r="IQ2914" s="73"/>
      <c r="IR2914" s="73"/>
      <c r="IS2914" s="73"/>
      <c r="IT2914" s="73"/>
      <c r="IU2914" s="73"/>
      <c r="IV2914" s="73"/>
      <c r="IW2914" s="73"/>
      <c r="IX2914" s="73"/>
      <c r="IY2914" s="73"/>
      <c r="IZ2914" s="73"/>
      <c r="JA2914" s="73"/>
      <c r="JB2914" s="73"/>
      <c r="JC2914" s="73"/>
    </row>
    <row r="2915" spans="2:263" s="72" customFormat="1">
      <c r="B2915" s="73"/>
      <c r="C2915" s="73"/>
      <c r="D2915" s="73"/>
      <c r="E2915" s="73"/>
      <c r="F2915" s="73"/>
      <c r="G2915" s="73"/>
      <c r="H2915" s="73"/>
      <c r="I2915" s="73"/>
      <c r="J2915" s="73"/>
      <c r="K2915" s="73"/>
      <c r="L2915" s="73"/>
      <c r="M2915" s="73"/>
      <c r="N2915" s="73"/>
      <c r="O2915" s="73"/>
      <c r="P2915" s="73"/>
      <c r="Q2915" s="73"/>
      <c r="R2915" s="73"/>
      <c r="S2915" s="73"/>
      <c r="T2915" s="73"/>
      <c r="U2915" s="73"/>
      <c r="V2915" s="73"/>
      <c r="W2915" s="73"/>
      <c r="GL2915" s="73"/>
      <c r="GM2915" s="73"/>
      <c r="GN2915" s="73"/>
      <c r="GO2915" s="73"/>
      <c r="GP2915" s="73"/>
      <c r="GQ2915" s="73"/>
      <c r="GR2915" s="73"/>
      <c r="GS2915" s="73"/>
      <c r="GT2915" s="73"/>
      <c r="GU2915" s="73"/>
      <c r="GV2915" s="73"/>
      <c r="GW2915" s="73"/>
      <c r="GX2915" s="73"/>
      <c r="GY2915" s="73"/>
      <c r="GZ2915" s="73"/>
      <c r="HA2915" s="73"/>
      <c r="HB2915" s="73"/>
      <c r="HC2915" s="73"/>
      <c r="HD2915" s="73"/>
      <c r="HE2915" s="73"/>
      <c r="HF2915" s="73"/>
      <c r="HG2915" s="73"/>
      <c r="HH2915" s="73"/>
      <c r="HI2915" s="73"/>
      <c r="HJ2915" s="73"/>
      <c r="HK2915" s="73"/>
      <c r="HL2915" s="73"/>
      <c r="HM2915" s="73"/>
      <c r="HN2915" s="73"/>
      <c r="HO2915" s="73"/>
      <c r="HP2915" s="73"/>
      <c r="HQ2915" s="73"/>
      <c r="HR2915" s="73"/>
      <c r="HS2915" s="73"/>
      <c r="HT2915" s="73"/>
      <c r="HU2915" s="73"/>
      <c r="HV2915" s="73"/>
      <c r="HW2915" s="73"/>
      <c r="HX2915" s="73"/>
      <c r="HY2915" s="73"/>
      <c r="HZ2915" s="73"/>
      <c r="IA2915" s="73"/>
      <c r="IB2915" s="73"/>
      <c r="IC2915" s="73"/>
      <c r="ID2915" s="73"/>
      <c r="IE2915" s="73"/>
      <c r="IF2915" s="73"/>
      <c r="IG2915" s="73"/>
      <c r="IH2915" s="73"/>
      <c r="II2915" s="73"/>
      <c r="IJ2915" s="73"/>
      <c r="IK2915" s="73"/>
      <c r="IL2915" s="73"/>
      <c r="IM2915" s="73"/>
      <c r="IN2915" s="73"/>
      <c r="IO2915" s="73"/>
      <c r="IP2915" s="73"/>
      <c r="IQ2915" s="73"/>
      <c r="IR2915" s="73"/>
      <c r="IS2915" s="73"/>
      <c r="IT2915" s="73"/>
      <c r="IU2915" s="73"/>
      <c r="IV2915" s="73"/>
      <c r="IW2915" s="73"/>
      <c r="IX2915" s="73"/>
      <c r="IY2915" s="73"/>
      <c r="IZ2915" s="73"/>
      <c r="JA2915" s="73"/>
      <c r="JB2915" s="73"/>
      <c r="JC2915" s="73"/>
    </row>
    <row r="2916" spans="2:263" s="72" customFormat="1">
      <c r="B2916" s="73"/>
      <c r="C2916" s="73"/>
      <c r="D2916" s="73"/>
      <c r="E2916" s="73"/>
      <c r="F2916" s="73"/>
      <c r="G2916" s="73"/>
      <c r="H2916" s="73"/>
      <c r="I2916" s="73"/>
      <c r="J2916" s="73"/>
      <c r="K2916" s="73"/>
      <c r="L2916" s="73"/>
      <c r="M2916" s="73"/>
      <c r="N2916" s="73"/>
      <c r="O2916" s="73"/>
      <c r="P2916" s="73"/>
      <c r="Q2916" s="73"/>
      <c r="R2916" s="73"/>
      <c r="S2916" s="73"/>
      <c r="T2916" s="73"/>
      <c r="U2916" s="73"/>
      <c r="V2916" s="73"/>
      <c r="W2916" s="73"/>
      <c r="GL2916" s="73"/>
      <c r="GM2916" s="73"/>
      <c r="GN2916" s="73"/>
      <c r="GO2916" s="73"/>
      <c r="GP2916" s="73"/>
      <c r="GQ2916" s="73"/>
      <c r="GR2916" s="73"/>
      <c r="GS2916" s="73"/>
      <c r="GT2916" s="73"/>
      <c r="GU2916" s="73"/>
      <c r="GV2916" s="73"/>
      <c r="GW2916" s="73"/>
      <c r="GX2916" s="73"/>
      <c r="GY2916" s="73"/>
      <c r="GZ2916" s="73"/>
      <c r="HA2916" s="73"/>
      <c r="HB2916" s="73"/>
      <c r="HC2916" s="73"/>
      <c r="HD2916" s="73"/>
      <c r="HE2916" s="73"/>
      <c r="HF2916" s="73"/>
      <c r="HG2916" s="73"/>
      <c r="HH2916" s="73"/>
      <c r="HI2916" s="73"/>
      <c r="HJ2916" s="73"/>
      <c r="HK2916" s="73"/>
      <c r="HL2916" s="73"/>
      <c r="HM2916" s="73"/>
      <c r="HN2916" s="73"/>
      <c r="HO2916" s="73"/>
      <c r="HP2916" s="73"/>
      <c r="HQ2916" s="73"/>
      <c r="HR2916" s="73"/>
      <c r="HS2916" s="73"/>
      <c r="HT2916" s="73"/>
      <c r="HU2916" s="73"/>
      <c r="HV2916" s="73"/>
      <c r="HW2916" s="73"/>
      <c r="HX2916" s="73"/>
      <c r="HY2916" s="73"/>
      <c r="HZ2916" s="73"/>
      <c r="IA2916" s="73"/>
      <c r="IB2916" s="73"/>
      <c r="IC2916" s="73"/>
      <c r="ID2916" s="73"/>
      <c r="IE2916" s="73"/>
      <c r="IF2916" s="73"/>
      <c r="IG2916" s="73"/>
      <c r="IH2916" s="73"/>
      <c r="II2916" s="73"/>
      <c r="IJ2916" s="73"/>
      <c r="IK2916" s="73"/>
      <c r="IL2916" s="73"/>
      <c r="IM2916" s="73"/>
      <c r="IN2916" s="73"/>
      <c r="IO2916" s="73"/>
      <c r="IP2916" s="73"/>
      <c r="IQ2916" s="73"/>
      <c r="IR2916" s="73"/>
      <c r="IS2916" s="73"/>
      <c r="IT2916" s="73"/>
      <c r="IU2916" s="73"/>
      <c r="IV2916" s="73"/>
      <c r="IW2916" s="73"/>
      <c r="IX2916" s="73"/>
      <c r="IY2916" s="73"/>
      <c r="IZ2916" s="73"/>
      <c r="JA2916" s="73"/>
      <c r="JB2916" s="73"/>
      <c r="JC2916" s="73"/>
    </row>
    <row r="2917" spans="2:263" s="72" customFormat="1">
      <c r="B2917" s="73"/>
      <c r="C2917" s="73"/>
      <c r="D2917" s="73"/>
      <c r="E2917" s="73"/>
      <c r="F2917" s="73"/>
      <c r="G2917" s="73"/>
      <c r="H2917" s="73"/>
      <c r="I2917" s="73"/>
      <c r="J2917" s="73"/>
      <c r="K2917" s="73"/>
      <c r="L2917" s="73"/>
      <c r="M2917" s="73"/>
      <c r="N2917" s="73"/>
      <c r="O2917" s="73"/>
      <c r="P2917" s="73"/>
      <c r="Q2917" s="73"/>
      <c r="R2917" s="73"/>
      <c r="S2917" s="73"/>
      <c r="T2917" s="73"/>
      <c r="U2917" s="73"/>
      <c r="V2917" s="73"/>
      <c r="W2917" s="73"/>
      <c r="GL2917" s="73"/>
      <c r="GM2917" s="73"/>
      <c r="GN2917" s="73"/>
      <c r="GO2917" s="73"/>
      <c r="GP2917" s="73"/>
      <c r="GQ2917" s="73"/>
      <c r="GR2917" s="73"/>
      <c r="GS2917" s="73"/>
      <c r="GT2917" s="73"/>
      <c r="GU2917" s="73"/>
      <c r="GV2917" s="73"/>
      <c r="GW2917" s="73"/>
      <c r="GX2917" s="73"/>
      <c r="GY2917" s="73"/>
      <c r="GZ2917" s="73"/>
      <c r="HA2917" s="73"/>
      <c r="HB2917" s="73"/>
      <c r="HC2917" s="73"/>
      <c r="HD2917" s="73"/>
      <c r="HE2917" s="73"/>
      <c r="HF2917" s="73"/>
      <c r="HG2917" s="73"/>
      <c r="HH2917" s="73"/>
      <c r="HI2917" s="73"/>
      <c r="HJ2917" s="73"/>
      <c r="HK2917" s="73"/>
      <c r="HL2917" s="73"/>
      <c r="HM2917" s="73"/>
      <c r="HN2917" s="73"/>
      <c r="HO2917" s="73"/>
      <c r="HP2917" s="73"/>
      <c r="HQ2917" s="73"/>
      <c r="HR2917" s="73"/>
      <c r="HS2917" s="73"/>
      <c r="HT2917" s="73"/>
      <c r="HU2917" s="73"/>
      <c r="HV2917" s="73"/>
      <c r="HW2917" s="73"/>
      <c r="HX2917" s="73"/>
      <c r="HY2917" s="73"/>
      <c r="HZ2917" s="73"/>
      <c r="IA2917" s="73"/>
      <c r="IB2917" s="73"/>
      <c r="IC2917" s="73"/>
      <c r="ID2917" s="73"/>
      <c r="IE2917" s="73"/>
      <c r="IF2917" s="73"/>
      <c r="IG2917" s="73"/>
      <c r="IH2917" s="73"/>
      <c r="II2917" s="73"/>
      <c r="IJ2917" s="73"/>
      <c r="IK2917" s="73"/>
      <c r="IL2917" s="73"/>
      <c r="IM2917" s="73"/>
      <c r="IN2917" s="73"/>
      <c r="IO2917" s="73"/>
      <c r="IP2917" s="73"/>
      <c r="IQ2917" s="73"/>
      <c r="IR2917" s="73"/>
      <c r="IS2917" s="73"/>
      <c r="IT2917" s="73"/>
      <c r="IU2917" s="73"/>
      <c r="IV2917" s="73"/>
      <c r="IW2917" s="73"/>
      <c r="IX2917" s="73"/>
      <c r="IY2917" s="73"/>
      <c r="IZ2917" s="73"/>
      <c r="JA2917" s="73"/>
      <c r="JB2917" s="73"/>
      <c r="JC2917" s="73"/>
    </row>
    <row r="2918" spans="2:263" s="72" customFormat="1">
      <c r="B2918" s="73"/>
      <c r="C2918" s="73"/>
      <c r="D2918" s="73"/>
      <c r="E2918" s="73"/>
      <c r="F2918" s="73"/>
      <c r="G2918" s="73"/>
      <c r="H2918" s="73"/>
      <c r="I2918" s="73"/>
      <c r="J2918" s="73"/>
      <c r="K2918" s="73"/>
      <c r="L2918" s="73"/>
      <c r="M2918" s="73"/>
      <c r="N2918" s="73"/>
      <c r="O2918" s="73"/>
      <c r="P2918" s="73"/>
      <c r="Q2918" s="73"/>
      <c r="R2918" s="73"/>
      <c r="S2918" s="73"/>
      <c r="T2918" s="73"/>
      <c r="U2918" s="73"/>
      <c r="V2918" s="73"/>
      <c r="W2918" s="73"/>
      <c r="GL2918" s="73"/>
      <c r="GM2918" s="73"/>
      <c r="GN2918" s="73"/>
      <c r="GO2918" s="73"/>
      <c r="GP2918" s="73"/>
      <c r="GQ2918" s="73"/>
      <c r="GR2918" s="73"/>
      <c r="GS2918" s="73"/>
      <c r="GT2918" s="73"/>
      <c r="GU2918" s="73"/>
      <c r="GV2918" s="73"/>
      <c r="GW2918" s="73"/>
      <c r="GX2918" s="73"/>
      <c r="GY2918" s="73"/>
      <c r="GZ2918" s="73"/>
      <c r="HA2918" s="73"/>
      <c r="HB2918" s="73"/>
      <c r="HC2918" s="73"/>
      <c r="HD2918" s="73"/>
      <c r="HE2918" s="73"/>
      <c r="HF2918" s="73"/>
      <c r="HG2918" s="73"/>
      <c r="HH2918" s="73"/>
      <c r="HI2918" s="73"/>
      <c r="HJ2918" s="73"/>
      <c r="HK2918" s="73"/>
      <c r="HL2918" s="73"/>
      <c r="HM2918" s="73"/>
      <c r="HN2918" s="73"/>
      <c r="HO2918" s="73"/>
      <c r="HP2918" s="73"/>
      <c r="HQ2918" s="73"/>
      <c r="HR2918" s="73"/>
      <c r="HS2918" s="73"/>
      <c r="HT2918" s="73"/>
      <c r="HU2918" s="73"/>
      <c r="HV2918" s="73"/>
      <c r="HW2918" s="73"/>
      <c r="HX2918" s="73"/>
      <c r="HY2918" s="73"/>
      <c r="HZ2918" s="73"/>
      <c r="IA2918" s="73"/>
      <c r="IB2918" s="73"/>
      <c r="IC2918" s="73"/>
      <c r="ID2918" s="73"/>
      <c r="IE2918" s="73"/>
      <c r="IF2918" s="73"/>
      <c r="IG2918" s="73"/>
      <c r="IH2918" s="73"/>
      <c r="II2918" s="73"/>
      <c r="IJ2918" s="73"/>
      <c r="IK2918" s="73"/>
      <c r="IL2918" s="73"/>
      <c r="IM2918" s="73"/>
      <c r="IN2918" s="73"/>
      <c r="IO2918" s="73"/>
      <c r="IP2918" s="73"/>
      <c r="IQ2918" s="73"/>
      <c r="IR2918" s="73"/>
      <c r="IS2918" s="73"/>
      <c r="IT2918" s="73"/>
      <c r="IU2918" s="73"/>
      <c r="IV2918" s="73"/>
      <c r="IW2918" s="73"/>
      <c r="IX2918" s="73"/>
      <c r="IY2918" s="73"/>
      <c r="IZ2918" s="73"/>
      <c r="JA2918" s="73"/>
      <c r="JB2918" s="73"/>
      <c r="JC2918" s="73"/>
    </row>
    <row r="2919" spans="2:263" s="72" customFormat="1">
      <c r="B2919" s="73"/>
      <c r="C2919" s="73"/>
      <c r="D2919" s="73"/>
      <c r="E2919" s="73"/>
      <c r="F2919" s="73"/>
      <c r="G2919" s="73"/>
      <c r="H2919" s="73"/>
      <c r="I2919" s="73"/>
      <c r="J2919" s="73"/>
      <c r="K2919" s="73"/>
      <c r="L2919" s="73"/>
      <c r="M2919" s="73"/>
      <c r="N2919" s="73"/>
      <c r="O2919" s="73"/>
      <c r="P2919" s="73"/>
      <c r="Q2919" s="73"/>
      <c r="R2919" s="73"/>
      <c r="S2919" s="73"/>
      <c r="T2919" s="73"/>
      <c r="U2919" s="73"/>
      <c r="V2919" s="73"/>
      <c r="W2919" s="73"/>
      <c r="GL2919" s="73"/>
      <c r="GM2919" s="73"/>
      <c r="GN2919" s="73"/>
      <c r="GO2919" s="73"/>
      <c r="GP2919" s="73"/>
      <c r="GQ2919" s="73"/>
      <c r="GR2919" s="73"/>
      <c r="GS2919" s="73"/>
      <c r="GT2919" s="73"/>
      <c r="GU2919" s="73"/>
      <c r="GV2919" s="73"/>
      <c r="GW2919" s="73"/>
      <c r="GX2919" s="73"/>
      <c r="GY2919" s="73"/>
      <c r="GZ2919" s="73"/>
      <c r="HA2919" s="73"/>
      <c r="HB2919" s="73"/>
      <c r="HC2919" s="73"/>
      <c r="HD2919" s="73"/>
      <c r="HE2919" s="73"/>
      <c r="HF2919" s="73"/>
      <c r="HG2919" s="73"/>
      <c r="HH2919" s="73"/>
      <c r="HI2919" s="73"/>
      <c r="HJ2919" s="73"/>
      <c r="HK2919" s="73"/>
      <c r="HL2919" s="73"/>
      <c r="HM2919" s="73"/>
      <c r="HN2919" s="73"/>
      <c r="HO2919" s="73"/>
      <c r="HP2919" s="73"/>
      <c r="HQ2919" s="73"/>
      <c r="HR2919" s="73"/>
      <c r="HS2919" s="73"/>
      <c r="HT2919" s="73"/>
      <c r="HU2919" s="73"/>
      <c r="HV2919" s="73"/>
      <c r="HW2919" s="73"/>
      <c r="HX2919" s="73"/>
      <c r="HY2919" s="73"/>
      <c r="HZ2919" s="73"/>
      <c r="IA2919" s="73"/>
      <c r="IB2919" s="73"/>
      <c r="IC2919" s="73"/>
      <c r="ID2919" s="73"/>
      <c r="IE2919" s="73"/>
      <c r="IF2919" s="73"/>
      <c r="IG2919" s="73"/>
      <c r="IH2919" s="73"/>
      <c r="II2919" s="73"/>
      <c r="IJ2919" s="73"/>
      <c r="IK2919" s="73"/>
      <c r="IL2919" s="73"/>
      <c r="IM2919" s="73"/>
      <c r="IN2919" s="73"/>
      <c r="IO2919" s="73"/>
      <c r="IP2919" s="73"/>
      <c r="IQ2919" s="73"/>
      <c r="IR2919" s="73"/>
      <c r="IS2919" s="73"/>
      <c r="IT2919" s="73"/>
      <c r="IU2919" s="73"/>
      <c r="IV2919" s="73"/>
      <c r="IW2919" s="73"/>
      <c r="IX2919" s="73"/>
      <c r="IY2919" s="73"/>
      <c r="IZ2919" s="73"/>
      <c r="JA2919" s="73"/>
      <c r="JB2919" s="73"/>
      <c r="JC2919" s="73"/>
    </row>
    <row r="2920" spans="2:263" s="72" customFormat="1">
      <c r="B2920" s="73"/>
      <c r="C2920" s="73"/>
      <c r="D2920" s="73"/>
      <c r="E2920" s="73"/>
      <c r="F2920" s="73"/>
      <c r="G2920" s="73"/>
      <c r="H2920" s="73"/>
      <c r="I2920" s="73"/>
      <c r="J2920" s="73"/>
      <c r="K2920" s="73"/>
      <c r="L2920" s="73"/>
      <c r="M2920" s="73"/>
      <c r="N2920" s="73"/>
      <c r="O2920" s="73"/>
      <c r="P2920" s="73"/>
      <c r="Q2920" s="73"/>
      <c r="R2920" s="73"/>
      <c r="S2920" s="73"/>
      <c r="T2920" s="73"/>
      <c r="U2920" s="73"/>
      <c r="V2920" s="73"/>
      <c r="W2920" s="73"/>
      <c r="GL2920" s="73"/>
      <c r="GM2920" s="73"/>
      <c r="GN2920" s="73"/>
      <c r="GO2920" s="73"/>
      <c r="GP2920" s="73"/>
      <c r="GQ2920" s="73"/>
      <c r="GR2920" s="73"/>
      <c r="GS2920" s="73"/>
      <c r="GT2920" s="73"/>
      <c r="GU2920" s="73"/>
      <c r="GV2920" s="73"/>
      <c r="GW2920" s="73"/>
      <c r="GX2920" s="73"/>
      <c r="GY2920" s="73"/>
      <c r="GZ2920" s="73"/>
      <c r="HA2920" s="73"/>
      <c r="HB2920" s="73"/>
      <c r="HC2920" s="73"/>
      <c r="HD2920" s="73"/>
      <c r="HE2920" s="73"/>
      <c r="HF2920" s="73"/>
      <c r="HG2920" s="73"/>
      <c r="HH2920" s="73"/>
      <c r="HI2920" s="73"/>
      <c r="HJ2920" s="73"/>
      <c r="HK2920" s="73"/>
      <c r="HL2920" s="73"/>
      <c r="HM2920" s="73"/>
      <c r="HN2920" s="73"/>
      <c r="HO2920" s="73"/>
      <c r="HP2920" s="73"/>
      <c r="HQ2920" s="73"/>
      <c r="HR2920" s="73"/>
      <c r="HS2920" s="73"/>
      <c r="HT2920" s="73"/>
      <c r="HU2920" s="73"/>
      <c r="HV2920" s="73"/>
      <c r="HW2920" s="73"/>
      <c r="HX2920" s="73"/>
      <c r="HY2920" s="73"/>
      <c r="HZ2920" s="73"/>
      <c r="IA2920" s="73"/>
      <c r="IB2920" s="73"/>
      <c r="IC2920" s="73"/>
      <c r="ID2920" s="73"/>
      <c r="IE2920" s="73"/>
      <c r="IF2920" s="73"/>
      <c r="IG2920" s="73"/>
      <c r="IH2920" s="73"/>
      <c r="II2920" s="73"/>
      <c r="IJ2920" s="73"/>
      <c r="IK2920" s="73"/>
      <c r="IL2920" s="73"/>
      <c r="IM2920" s="73"/>
      <c r="IN2920" s="73"/>
      <c r="IO2920" s="73"/>
      <c r="IP2920" s="73"/>
      <c r="IQ2920" s="73"/>
      <c r="IR2920" s="73"/>
      <c r="IS2920" s="73"/>
      <c r="IT2920" s="73"/>
      <c r="IU2920" s="73"/>
      <c r="IV2920" s="73"/>
      <c r="IW2920" s="73"/>
      <c r="IX2920" s="73"/>
      <c r="IY2920" s="73"/>
      <c r="IZ2920" s="73"/>
      <c r="JA2920" s="73"/>
      <c r="JB2920" s="73"/>
      <c r="JC2920" s="73"/>
    </row>
    <row r="2921" spans="2:263" s="72" customFormat="1">
      <c r="B2921" s="73"/>
      <c r="C2921" s="73"/>
      <c r="D2921" s="73"/>
      <c r="E2921" s="73"/>
      <c r="F2921" s="73"/>
      <c r="G2921" s="73"/>
      <c r="H2921" s="73"/>
      <c r="I2921" s="73"/>
      <c r="J2921" s="73"/>
      <c r="K2921" s="73"/>
      <c r="L2921" s="73"/>
      <c r="M2921" s="73"/>
      <c r="N2921" s="73"/>
      <c r="O2921" s="73"/>
      <c r="P2921" s="73"/>
      <c r="Q2921" s="73"/>
      <c r="R2921" s="73"/>
      <c r="S2921" s="73"/>
      <c r="T2921" s="73"/>
      <c r="U2921" s="73"/>
      <c r="V2921" s="73"/>
      <c r="W2921" s="73"/>
      <c r="GL2921" s="73"/>
      <c r="GM2921" s="73"/>
      <c r="GN2921" s="73"/>
      <c r="GO2921" s="73"/>
      <c r="GP2921" s="73"/>
      <c r="GQ2921" s="73"/>
      <c r="GR2921" s="73"/>
      <c r="GS2921" s="73"/>
      <c r="GT2921" s="73"/>
      <c r="GU2921" s="73"/>
      <c r="GV2921" s="73"/>
      <c r="GW2921" s="73"/>
      <c r="GX2921" s="73"/>
      <c r="GY2921" s="73"/>
      <c r="GZ2921" s="73"/>
      <c r="HA2921" s="73"/>
      <c r="HB2921" s="73"/>
      <c r="HC2921" s="73"/>
      <c r="HD2921" s="73"/>
      <c r="HE2921" s="73"/>
      <c r="HF2921" s="73"/>
      <c r="HG2921" s="73"/>
      <c r="HH2921" s="73"/>
      <c r="HI2921" s="73"/>
      <c r="HJ2921" s="73"/>
      <c r="HK2921" s="73"/>
      <c r="HL2921" s="73"/>
      <c r="HM2921" s="73"/>
      <c r="HN2921" s="73"/>
      <c r="HO2921" s="73"/>
      <c r="HP2921" s="73"/>
      <c r="HQ2921" s="73"/>
      <c r="HR2921" s="73"/>
      <c r="HS2921" s="73"/>
      <c r="HT2921" s="73"/>
      <c r="HU2921" s="73"/>
      <c r="HV2921" s="73"/>
      <c r="HW2921" s="73"/>
      <c r="HX2921" s="73"/>
      <c r="HY2921" s="73"/>
      <c r="HZ2921" s="73"/>
      <c r="IA2921" s="73"/>
      <c r="IB2921" s="73"/>
      <c r="IC2921" s="73"/>
      <c r="ID2921" s="73"/>
      <c r="IE2921" s="73"/>
      <c r="IF2921" s="73"/>
      <c r="IG2921" s="73"/>
      <c r="IH2921" s="73"/>
      <c r="II2921" s="73"/>
      <c r="IJ2921" s="73"/>
      <c r="IK2921" s="73"/>
      <c r="IL2921" s="73"/>
      <c r="IM2921" s="73"/>
      <c r="IN2921" s="73"/>
      <c r="IO2921" s="73"/>
      <c r="IP2921" s="73"/>
      <c r="IQ2921" s="73"/>
      <c r="IR2921" s="73"/>
      <c r="IS2921" s="73"/>
      <c r="IT2921" s="73"/>
      <c r="IU2921" s="73"/>
      <c r="IV2921" s="73"/>
      <c r="IW2921" s="73"/>
      <c r="IX2921" s="73"/>
      <c r="IY2921" s="73"/>
      <c r="IZ2921" s="73"/>
      <c r="JA2921" s="73"/>
      <c r="JB2921" s="73"/>
      <c r="JC2921" s="73"/>
    </row>
    <row r="2922" spans="2:263" s="72" customFormat="1">
      <c r="B2922" s="73"/>
      <c r="C2922" s="73"/>
      <c r="D2922" s="73"/>
      <c r="E2922" s="73"/>
      <c r="F2922" s="73"/>
      <c r="G2922" s="73"/>
      <c r="H2922" s="73"/>
      <c r="I2922" s="73"/>
      <c r="J2922" s="73"/>
      <c r="K2922" s="73"/>
      <c r="L2922" s="73"/>
      <c r="M2922" s="73"/>
      <c r="N2922" s="73"/>
      <c r="O2922" s="73"/>
      <c r="P2922" s="73"/>
      <c r="Q2922" s="73"/>
      <c r="R2922" s="73"/>
      <c r="S2922" s="73"/>
      <c r="T2922" s="73"/>
      <c r="U2922" s="73"/>
      <c r="V2922" s="73"/>
      <c r="W2922" s="73"/>
      <c r="GL2922" s="73"/>
      <c r="GM2922" s="73"/>
      <c r="GN2922" s="73"/>
      <c r="GO2922" s="73"/>
      <c r="GP2922" s="73"/>
      <c r="GQ2922" s="73"/>
      <c r="GR2922" s="73"/>
      <c r="GS2922" s="73"/>
      <c r="GT2922" s="73"/>
      <c r="GU2922" s="73"/>
      <c r="GV2922" s="73"/>
      <c r="GW2922" s="73"/>
      <c r="GX2922" s="73"/>
      <c r="GY2922" s="73"/>
      <c r="GZ2922" s="73"/>
      <c r="HA2922" s="73"/>
      <c r="HB2922" s="73"/>
      <c r="HC2922" s="73"/>
      <c r="HD2922" s="73"/>
      <c r="HE2922" s="73"/>
      <c r="HF2922" s="73"/>
      <c r="HG2922" s="73"/>
      <c r="HH2922" s="73"/>
      <c r="HI2922" s="73"/>
      <c r="HJ2922" s="73"/>
      <c r="HK2922" s="73"/>
      <c r="HL2922" s="73"/>
      <c r="HM2922" s="73"/>
      <c r="HN2922" s="73"/>
      <c r="HO2922" s="73"/>
      <c r="HP2922" s="73"/>
      <c r="HQ2922" s="73"/>
      <c r="HR2922" s="73"/>
      <c r="HS2922" s="73"/>
      <c r="HT2922" s="73"/>
      <c r="HU2922" s="73"/>
      <c r="HV2922" s="73"/>
      <c r="HW2922" s="73"/>
      <c r="HX2922" s="73"/>
      <c r="HY2922" s="73"/>
      <c r="HZ2922" s="73"/>
      <c r="IA2922" s="73"/>
      <c r="IB2922" s="73"/>
      <c r="IC2922" s="73"/>
      <c r="ID2922" s="73"/>
      <c r="IE2922" s="73"/>
      <c r="IF2922" s="73"/>
      <c r="IG2922" s="73"/>
      <c r="IH2922" s="73"/>
      <c r="II2922" s="73"/>
      <c r="IJ2922" s="73"/>
      <c r="IK2922" s="73"/>
      <c r="IL2922" s="73"/>
      <c r="IM2922" s="73"/>
      <c r="IN2922" s="73"/>
      <c r="IO2922" s="73"/>
      <c r="IP2922" s="73"/>
      <c r="IQ2922" s="73"/>
      <c r="IR2922" s="73"/>
      <c r="IS2922" s="73"/>
      <c r="IT2922" s="73"/>
      <c r="IU2922" s="73"/>
      <c r="IV2922" s="73"/>
      <c r="IW2922" s="73"/>
      <c r="IX2922" s="73"/>
      <c r="IY2922" s="73"/>
      <c r="IZ2922" s="73"/>
      <c r="JA2922" s="73"/>
      <c r="JB2922" s="73"/>
      <c r="JC2922" s="73"/>
    </row>
    <row r="2923" spans="2:263" s="72" customFormat="1">
      <c r="B2923" s="73"/>
      <c r="C2923" s="73"/>
      <c r="D2923" s="73"/>
      <c r="E2923" s="73"/>
      <c r="F2923" s="73"/>
      <c r="G2923" s="73"/>
      <c r="H2923" s="73"/>
      <c r="I2923" s="73"/>
      <c r="J2923" s="73"/>
      <c r="K2923" s="73"/>
      <c r="L2923" s="73"/>
      <c r="M2923" s="73"/>
      <c r="N2923" s="73"/>
      <c r="O2923" s="73"/>
      <c r="P2923" s="73"/>
      <c r="Q2923" s="73"/>
      <c r="R2923" s="73"/>
      <c r="S2923" s="73"/>
      <c r="T2923" s="73"/>
      <c r="U2923" s="73"/>
      <c r="V2923" s="73"/>
      <c r="W2923" s="73"/>
      <c r="GL2923" s="73"/>
      <c r="GM2923" s="73"/>
      <c r="GN2923" s="73"/>
      <c r="GO2923" s="73"/>
      <c r="GP2923" s="73"/>
      <c r="GQ2923" s="73"/>
      <c r="GR2923" s="73"/>
      <c r="GS2923" s="73"/>
      <c r="GT2923" s="73"/>
      <c r="GU2923" s="73"/>
      <c r="GV2923" s="73"/>
      <c r="GW2923" s="73"/>
      <c r="GX2923" s="73"/>
      <c r="GY2923" s="73"/>
      <c r="GZ2923" s="73"/>
      <c r="HA2923" s="73"/>
      <c r="HB2923" s="73"/>
      <c r="HC2923" s="73"/>
      <c r="HD2923" s="73"/>
      <c r="HE2923" s="73"/>
      <c r="HF2923" s="73"/>
      <c r="HG2923" s="73"/>
      <c r="HH2923" s="73"/>
      <c r="HI2923" s="73"/>
      <c r="HJ2923" s="73"/>
      <c r="HK2923" s="73"/>
      <c r="HL2923" s="73"/>
      <c r="HM2923" s="73"/>
      <c r="HN2923" s="73"/>
      <c r="HO2923" s="73"/>
      <c r="HP2923" s="73"/>
      <c r="HQ2923" s="73"/>
      <c r="HR2923" s="73"/>
      <c r="HS2923" s="73"/>
      <c r="HT2923" s="73"/>
      <c r="HU2923" s="73"/>
      <c r="HV2923" s="73"/>
      <c r="HW2923" s="73"/>
      <c r="HX2923" s="73"/>
      <c r="HY2923" s="73"/>
      <c r="HZ2923" s="73"/>
      <c r="IA2923" s="73"/>
      <c r="IB2923" s="73"/>
      <c r="IC2923" s="73"/>
      <c r="ID2923" s="73"/>
      <c r="IE2923" s="73"/>
      <c r="IF2923" s="73"/>
      <c r="IG2923" s="73"/>
      <c r="IH2923" s="73"/>
      <c r="II2923" s="73"/>
      <c r="IJ2923" s="73"/>
      <c r="IK2923" s="73"/>
      <c r="IL2923" s="73"/>
      <c r="IM2923" s="73"/>
      <c r="IN2923" s="73"/>
      <c r="IO2923" s="73"/>
      <c r="IP2923" s="73"/>
      <c r="IQ2923" s="73"/>
      <c r="IR2923" s="73"/>
      <c r="IS2923" s="73"/>
      <c r="IT2923" s="73"/>
      <c r="IU2923" s="73"/>
      <c r="IV2923" s="73"/>
      <c r="IW2923" s="73"/>
      <c r="IX2923" s="73"/>
      <c r="IY2923" s="73"/>
      <c r="IZ2923" s="73"/>
      <c r="JA2923" s="73"/>
      <c r="JB2923" s="73"/>
      <c r="JC2923" s="73"/>
    </row>
    <row r="2924" spans="2:263" s="72" customFormat="1">
      <c r="B2924" s="73"/>
      <c r="C2924" s="73"/>
      <c r="D2924" s="73"/>
      <c r="E2924" s="73"/>
      <c r="F2924" s="73"/>
      <c r="G2924" s="73"/>
      <c r="H2924" s="73"/>
      <c r="I2924" s="73"/>
      <c r="J2924" s="73"/>
      <c r="K2924" s="73"/>
      <c r="L2924" s="73"/>
      <c r="M2924" s="73"/>
      <c r="N2924" s="73"/>
      <c r="O2924" s="73"/>
      <c r="P2924" s="73"/>
      <c r="Q2924" s="73"/>
      <c r="R2924" s="73"/>
      <c r="S2924" s="73"/>
      <c r="T2924" s="73"/>
      <c r="U2924" s="73"/>
      <c r="V2924" s="73"/>
      <c r="W2924" s="73"/>
      <c r="GL2924" s="73"/>
      <c r="GM2924" s="73"/>
      <c r="GN2924" s="73"/>
      <c r="GO2924" s="73"/>
      <c r="GP2924" s="73"/>
      <c r="GQ2924" s="73"/>
      <c r="GR2924" s="73"/>
      <c r="GS2924" s="73"/>
      <c r="GT2924" s="73"/>
      <c r="GU2924" s="73"/>
      <c r="GV2924" s="73"/>
      <c r="GW2924" s="73"/>
      <c r="GX2924" s="73"/>
      <c r="GY2924" s="73"/>
      <c r="GZ2924" s="73"/>
      <c r="HA2924" s="73"/>
      <c r="HB2924" s="73"/>
      <c r="HC2924" s="73"/>
      <c r="HD2924" s="73"/>
      <c r="HE2924" s="73"/>
      <c r="HF2924" s="73"/>
      <c r="HG2924" s="73"/>
      <c r="HH2924" s="73"/>
      <c r="HI2924" s="73"/>
      <c r="HJ2924" s="73"/>
      <c r="HK2924" s="73"/>
      <c r="HL2924" s="73"/>
      <c r="HM2924" s="73"/>
      <c r="HN2924" s="73"/>
      <c r="HO2924" s="73"/>
      <c r="HP2924" s="73"/>
      <c r="HQ2924" s="73"/>
      <c r="HR2924" s="73"/>
      <c r="HS2924" s="73"/>
      <c r="HT2924" s="73"/>
      <c r="HU2924" s="73"/>
      <c r="HV2924" s="73"/>
      <c r="HW2924" s="73"/>
      <c r="HX2924" s="73"/>
      <c r="HY2924" s="73"/>
      <c r="HZ2924" s="73"/>
      <c r="IA2924" s="73"/>
      <c r="IB2924" s="73"/>
      <c r="IC2924" s="73"/>
      <c r="ID2924" s="73"/>
      <c r="IE2924" s="73"/>
      <c r="IF2924" s="73"/>
      <c r="IG2924" s="73"/>
      <c r="IH2924" s="73"/>
      <c r="II2924" s="73"/>
      <c r="IJ2924" s="73"/>
      <c r="IK2924" s="73"/>
      <c r="IL2924" s="73"/>
      <c r="IM2924" s="73"/>
      <c r="IN2924" s="73"/>
      <c r="IO2924" s="73"/>
      <c r="IP2924" s="73"/>
      <c r="IQ2924" s="73"/>
      <c r="IR2924" s="73"/>
      <c r="IS2924" s="73"/>
      <c r="IT2924" s="73"/>
      <c r="IU2924" s="73"/>
      <c r="IV2924" s="73"/>
      <c r="IW2924" s="73"/>
      <c r="IX2924" s="73"/>
      <c r="IY2924" s="73"/>
      <c r="IZ2924" s="73"/>
      <c r="JA2924" s="73"/>
      <c r="JB2924" s="73"/>
      <c r="JC2924" s="73"/>
    </row>
    <row r="2925" spans="2:263" s="72" customFormat="1">
      <c r="B2925" s="73"/>
      <c r="C2925" s="73"/>
      <c r="D2925" s="73"/>
      <c r="E2925" s="73"/>
      <c r="F2925" s="73"/>
      <c r="G2925" s="73"/>
      <c r="H2925" s="73"/>
      <c r="I2925" s="73"/>
      <c r="J2925" s="73"/>
      <c r="K2925" s="73"/>
      <c r="L2925" s="73"/>
      <c r="M2925" s="73"/>
      <c r="N2925" s="73"/>
      <c r="O2925" s="73"/>
      <c r="P2925" s="73"/>
      <c r="Q2925" s="73"/>
      <c r="R2925" s="73"/>
      <c r="S2925" s="73"/>
      <c r="T2925" s="73"/>
      <c r="U2925" s="73"/>
      <c r="V2925" s="73"/>
      <c r="W2925" s="73"/>
      <c r="GL2925" s="73"/>
      <c r="GM2925" s="73"/>
      <c r="GN2925" s="73"/>
      <c r="GO2925" s="73"/>
      <c r="GP2925" s="73"/>
      <c r="GQ2925" s="73"/>
      <c r="GR2925" s="73"/>
      <c r="GS2925" s="73"/>
      <c r="GT2925" s="73"/>
      <c r="GU2925" s="73"/>
      <c r="GV2925" s="73"/>
      <c r="GW2925" s="73"/>
      <c r="GX2925" s="73"/>
      <c r="GY2925" s="73"/>
      <c r="GZ2925" s="73"/>
      <c r="HA2925" s="73"/>
      <c r="HB2925" s="73"/>
      <c r="HC2925" s="73"/>
      <c r="HD2925" s="73"/>
      <c r="HE2925" s="73"/>
      <c r="HF2925" s="73"/>
      <c r="HG2925" s="73"/>
      <c r="HH2925" s="73"/>
      <c r="HI2925" s="73"/>
      <c r="HJ2925" s="73"/>
      <c r="HK2925" s="73"/>
      <c r="HL2925" s="73"/>
      <c r="HM2925" s="73"/>
      <c r="HN2925" s="73"/>
      <c r="HO2925" s="73"/>
      <c r="HP2925" s="73"/>
      <c r="HQ2925" s="73"/>
      <c r="HR2925" s="73"/>
      <c r="HS2925" s="73"/>
      <c r="HT2925" s="73"/>
      <c r="HU2925" s="73"/>
      <c r="HV2925" s="73"/>
      <c r="HW2925" s="73"/>
      <c r="HX2925" s="73"/>
      <c r="HY2925" s="73"/>
      <c r="HZ2925" s="73"/>
      <c r="IA2925" s="73"/>
      <c r="IB2925" s="73"/>
      <c r="IC2925" s="73"/>
      <c r="ID2925" s="73"/>
      <c r="IE2925" s="73"/>
      <c r="IF2925" s="73"/>
      <c r="IG2925" s="73"/>
      <c r="IH2925" s="73"/>
      <c r="II2925" s="73"/>
      <c r="IJ2925" s="73"/>
      <c r="IK2925" s="73"/>
      <c r="IL2925" s="73"/>
      <c r="IM2925" s="73"/>
      <c r="IN2925" s="73"/>
      <c r="IO2925" s="73"/>
      <c r="IP2925" s="73"/>
      <c r="IQ2925" s="73"/>
      <c r="IR2925" s="73"/>
      <c r="IS2925" s="73"/>
      <c r="IT2925" s="73"/>
      <c r="IU2925" s="73"/>
      <c r="IV2925" s="73"/>
      <c r="IW2925" s="73"/>
      <c r="IX2925" s="73"/>
      <c r="IY2925" s="73"/>
      <c r="IZ2925" s="73"/>
      <c r="JA2925" s="73"/>
      <c r="JB2925" s="73"/>
      <c r="JC2925" s="73"/>
    </row>
    <row r="2926" spans="2:263" s="72" customFormat="1">
      <c r="B2926" s="73"/>
      <c r="C2926" s="73"/>
      <c r="D2926" s="73"/>
      <c r="E2926" s="73"/>
      <c r="F2926" s="73"/>
      <c r="G2926" s="73"/>
      <c r="H2926" s="73"/>
      <c r="I2926" s="73"/>
      <c r="J2926" s="73"/>
      <c r="K2926" s="73"/>
      <c r="L2926" s="73"/>
      <c r="M2926" s="73"/>
      <c r="N2926" s="73"/>
      <c r="O2926" s="73"/>
      <c r="P2926" s="73"/>
      <c r="Q2926" s="73"/>
      <c r="R2926" s="73"/>
      <c r="S2926" s="73"/>
      <c r="T2926" s="73"/>
      <c r="U2926" s="73"/>
      <c r="V2926" s="73"/>
      <c r="W2926" s="73"/>
      <c r="GL2926" s="73"/>
      <c r="GM2926" s="73"/>
      <c r="GN2926" s="73"/>
      <c r="GO2926" s="73"/>
      <c r="GP2926" s="73"/>
      <c r="GQ2926" s="73"/>
      <c r="GR2926" s="73"/>
      <c r="GS2926" s="73"/>
      <c r="GT2926" s="73"/>
      <c r="GU2926" s="73"/>
      <c r="GV2926" s="73"/>
      <c r="GW2926" s="73"/>
      <c r="GX2926" s="73"/>
      <c r="GY2926" s="73"/>
      <c r="GZ2926" s="73"/>
      <c r="HA2926" s="73"/>
      <c r="HB2926" s="73"/>
      <c r="HC2926" s="73"/>
      <c r="HD2926" s="73"/>
      <c r="HE2926" s="73"/>
      <c r="HF2926" s="73"/>
      <c r="HG2926" s="73"/>
      <c r="HH2926" s="73"/>
      <c r="HI2926" s="73"/>
      <c r="HJ2926" s="73"/>
      <c r="HK2926" s="73"/>
      <c r="HL2926" s="73"/>
      <c r="HM2926" s="73"/>
      <c r="HN2926" s="73"/>
      <c r="HO2926" s="73"/>
      <c r="HP2926" s="73"/>
      <c r="HQ2926" s="73"/>
      <c r="HR2926" s="73"/>
      <c r="HS2926" s="73"/>
      <c r="HT2926" s="73"/>
      <c r="HU2926" s="73"/>
      <c r="HV2926" s="73"/>
      <c r="HW2926" s="73"/>
      <c r="HX2926" s="73"/>
      <c r="HY2926" s="73"/>
      <c r="HZ2926" s="73"/>
      <c r="IA2926" s="73"/>
      <c r="IB2926" s="73"/>
      <c r="IC2926" s="73"/>
      <c r="ID2926" s="73"/>
      <c r="IE2926" s="73"/>
      <c r="IF2926" s="73"/>
      <c r="IG2926" s="73"/>
      <c r="IH2926" s="73"/>
      <c r="II2926" s="73"/>
      <c r="IJ2926" s="73"/>
      <c r="IK2926" s="73"/>
      <c r="IL2926" s="73"/>
      <c r="IM2926" s="73"/>
      <c r="IN2926" s="73"/>
      <c r="IO2926" s="73"/>
      <c r="IP2926" s="73"/>
      <c r="IQ2926" s="73"/>
      <c r="IR2926" s="73"/>
      <c r="IS2926" s="73"/>
      <c r="IT2926" s="73"/>
      <c r="IU2926" s="73"/>
      <c r="IV2926" s="73"/>
      <c r="IW2926" s="73"/>
      <c r="IX2926" s="73"/>
      <c r="IY2926" s="73"/>
      <c r="IZ2926" s="73"/>
      <c r="JA2926" s="73"/>
      <c r="JB2926" s="73"/>
      <c r="JC2926" s="73"/>
    </row>
    <row r="2927" spans="2:263" s="72" customFormat="1">
      <c r="B2927" s="73"/>
      <c r="C2927" s="73"/>
      <c r="D2927" s="73"/>
      <c r="E2927" s="73"/>
      <c r="F2927" s="73"/>
      <c r="G2927" s="73"/>
      <c r="H2927" s="73"/>
      <c r="I2927" s="73"/>
      <c r="J2927" s="73"/>
      <c r="K2927" s="73"/>
      <c r="L2927" s="73"/>
      <c r="M2927" s="73"/>
      <c r="N2927" s="73"/>
      <c r="O2927" s="73"/>
      <c r="P2927" s="73"/>
      <c r="Q2927" s="73"/>
      <c r="R2927" s="73"/>
      <c r="S2927" s="73"/>
      <c r="T2927" s="73"/>
      <c r="U2927" s="73"/>
      <c r="V2927" s="73"/>
      <c r="W2927" s="73"/>
      <c r="GL2927" s="73"/>
      <c r="GM2927" s="73"/>
      <c r="GN2927" s="73"/>
      <c r="GO2927" s="73"/>
      <c r="GP2927" s="73"/>
      <c r="GQ2927" s="73"/>
      <c r="GR2927" s="73"/>
      <c r="GS2927" s="73"/>
      <c r="GT2927" s="73"/>
      <c r="GU2927" s="73"/>
      <c r="GV2927" s="73"/>
      <c r="GW2927" s="73"/>
      <c r="GX2927" s="73"/>
      <c r="GY2927" s="73"/>
      <c r="GZ2927" s="73"/>
      <c r="HA2927" s="73"/>
      <c r="HB2927" s="73"/>
      <c r="HC2927" s="73"/>
      <c r="HD2927" s="73"/>
      <c r="HE2927" s="73"/>
      <c r="HF2927" s="73"/>
      <c r="HG2927" s="73"/>
      <c r="HH2927" s="73"/>
      <c r="HI2927" s="73"/>
      <c r="HJ2927" s="73"/>
      <c r="HK2927" s="73"/>
      <c r="HL2927" s="73"/>
      <c r="HM2927" s="73"/>
      <c r="HN2927" s="73"/>
      <c r="HO2927" s="73"/>
      <c r="HP2927" s="73"/>
      <c r="HQ2927" s="73"/>
      <c r="HR2927" s="73"/>
      <c r="HS2927" s="73"/>
      <c r="HT2927" s="73"/>
      <c r="HU2927" s="73"/>
      <c r="HV2927" s="73"/>
      <c r="HW2927" s="73"/>
      <c r="HX2927" s="73"/>
      <c r="HY2927" s="73"/>
      <c r="HZ2927" s="73"/>
      <c r="IA2927" s="73"/>
      <c r="IB2927" s="73"/>
      <c r="IC2927" s="73"/>
      <c r="ID2927" s="73"/>
      <c r="IE2927" s="73"/>
      <c r="IF2927" s="73"/>
      <c r="IG2927" s="73"/>
      <c r="IH2927" s="73"/>
      <c r="II2927" s="73"/>
      <c r="IJ2927" s="73"/>
      <c r="IK2927" s="73"/>
      <c r="IL2927" s="73"/>
      <c r="IM2927" s="73"/>
      <c r="IN2927" s="73"/>
      <c r="IO2927" s="73"/>
      <c r="IP2927" s="73"/>
      <c r="IQ2927" s="73"/>
      <c r="IR2927" s="73"/>
      <c r="IS2927" s="73"/>
      <c r="IT2927" s="73"/>
      <c r="IU2927" s="73"/>
      <c r="IV2927" s="73"/>
      <c r="IW2927" s="73"/>
      <c r="IX2927" s="73"/>
      <c r="IY2927" s="73"/>
      <c r="IZ2927" s="73"/>
      <c r="JA2927" s="73"/>
      <c r="JB2927" s="73"/>
      <c r="JC2927" s="73"/>
    </row>
    <row r="2928" spans="2:263" s="72" customFormat="1">
      <c r="B2928" s="73"/>
      <c r="C2928" s="73"/>
      <c r="D2928" s="73"/>
      <c r="E2928" s="73"/>
      <c r="F2928" s="73"/>
      <c r="G2928" s="73"/>
      <c r="H2928" s="73"/>
      <c r="I2928" s="73"/>
      <c r="J2928" s="73"/>
      <c r="K2928" s="73"/>
      <c r="L2928" s="73"/>
      <c r="M2928" s="73"/>
      <c r="N2928" s="73"/>
      <c r="O2928" s="73"/>
      <c r="P2928" s="73"/>
      <c r="Q2928" s="73"/>
      <c r="R2928" s="73"/>
      <c r="S2928" s="73"/>
      <c r="T2928" s="73"/>
      <c r="U2928" s="73"/>
      <c r="V2928" s="73"/>
      <c r="W2928" s="73"/>
      <c r="GL2928" s="73"/>
      <c r="GM2928" s="73"/>
      <c r="GN2928" s="73"/>
      <c r="GO2928" s="73"/>
      <c r="GP2928" s="73"/>
      <c r="GQ2928" s="73"/>
      <c r="GR2928" s="73"/>
      <c r="GS2928" s="73"/>
      <c r="GT2928" s="73"/>
      <c r="GU2928" s="73"/>
      <c r="GV2928" s="73"/>
      <c r="GW2928" s="73"/>
      <c r="GX2928" s="73"/>
      <c r="GY2928" s="73"/>
      <c r="GZ2928" s="73"/>
      <c r="HA2928" s="73"/>
      <c r="HB2928" s="73"/>
      <c r="HC2928" s="73"/>
      <c r="HD2928" s="73"/>
      <c r="HE2928" s="73"/>
      <c r="HF2928" s="73"/>
      <c r="HG2928" s="73"/>
      <c r="HH2928" s="73"/>
      <c r="HI2928" s="73"/>
      <c r="HJ2928" s="73"/>
      <c r="HK2928" s="73"/>
      <c r="HL2928" s="73"/>
      <c r="HM2928" s="73"/>
      <c r="HN2928" s="73"/>
      <c r="HO2928" s="73"/>
      <c r="HP2928" s="73"/>
      <c r="HQ2928" s="73"/>
      <c r="HR2928" s="73"/>
      <c r="HS2928" s="73"/>
      <c r="HT2928" s="73"/>
      <c r="HU2928" s="73"/>
      <c r="HV2928" s="73"/>
      <c r="HW2928" s="73"/>
      <c r="HX2928" s="73"/>
      <c r="HY2928" s="73"/>
      <c r="HZ2928" s="73"/>
      <c r="IA2928" s="73"/>
      <c r="IB2928" s="73"/>
      <c r="IC2928" s="73"/>
      <c r="ID2928" s="73"/>
      <c r="IE2928" s="73"/>
      <c r="IF2928" s="73"/>
      <c r="IG2928" s="73"/>
      <c r="IH2928" s="73"/>
      <c r="II2928" s="73"/>
      <c r="IJ2928" s="73"/>
      <c r="IK2928" s="73"/>
      <c r="IL2928" s="73"/>
      <c r="IM2928" s="73"/>
      <c r="IN2928" s="73"/>
      <c r="IO2928" s="73"/>
      <c r="IP2928" s="73"/>
      <c r="IQ2928" s="73"/>
      <c r="IR2928" s="73"/>
      <c r="IS2928" s="73"/>
      <c r="IT2928" s="73"/>
      <c r="IU2928" s="73"/>
      <c r="IV2928" s="73"/>
      <c r="IW2928" s="73"/>
      <c r="IX2928" s="73"/>
      <c r="IY2928" s="73"/>
      <c r="IZ2928" s="73"/>
      <c r="JA2928" s="73"/>
      <c r="JB2928" s="73"/>
      <c r="JC2928" s="73"/>
    </row>
    <row r="2929" spans="2:263" s="72" customFormat="1">
      <c r="B2929" s="73"/>
      <c r="C2929" s="73"/>
      <c r="D2929" s="73"/>
      <c r="E2929" s="73"/>
      <c r="F2929" s="73"/>
      <c r="G2929" s="73"/>
      <c r="H2929" s="73"/>
      <c r="I2929" s="73"/>
      <c r="J2929" s="73"/>
      <c r="K2929" s="73"/>
      <c r="L2929" s="73"/>
      <c r="M2929" s="73"/>
      <c r="N2929" s="73"/>
      <c r="O2929" s="73"/>
      <c r="P2929" s="73"/>
      <c r="Q2929" s="73"/>
      <c r="R2929" s="73"/>
      <c r="S2929" s="73"/>
      <c r="T2929" s="73"/>
      <c r="U2929" s="73"/>
      <c r="V2929" s="73"/>
      <c r="W2929" s="73"/>
      <c r="GL2929" s="73"/>
      <c r="GM2929" s="73"/>
      <c r="GN2929" s="73"/>
      <c r="GO2929" s="73"/>
      <c r="GP2929" s="73"/>
      <c r="GQ2929" s="73"/>
      <c r="GR2929" s="73"/>
      <c r="GS2929" s="73"/>
      <c r="GT2929" s="73"/>
      <c r="GU2929" s="73"/>
      <c r="GV2929" s="73"/>
      <c r="GW2929" s="73"/>
      <c r="GX2929" s="73"/>
      <c r="GY2929" s="73"/>
      <c r="GZ2929" s="73"/>
      <c r="HA2929" s="73"/>
      <c r="HB2929" s="73"/>
      <c r="HC2929" s="73"/>
      <c r="HD2929" s="73"/>
      <c r="HE2929" s="73"/>
      <c r="HF2929" s="73"/>
      <c r="HG2929" s="73"/>
      <c r="HH2929" s="73"/>
      <c r="HI2929" s="73"/>
      <c r="HJ2929" s="73"/>
      <c r="HK2929" s="73"/>
      <c r="HL2929" s="73"/>
      <c r="HM2929" s="73"/>
      <c r="HN2929" s="73"/>
      <c r="HO2929" s="73"/>
      <c r="HP2929" s="73"/>
      <c r="HQ2929" s="73"/>
      <c r="HR2929" s="73"/>
      <c r="HS2929" s="73"/>
      <c r="HT2929" s="73"/>
      <c r="HU2929" s="73"/>
      <c r="HV2929" s="73"/>
      <c r="HW2929" s="73"/>
      <c r="HX2929" s="73"/>
      <c r="HY2929" s="73"/>
      <c r="HZ2929" s="73"/>
      <c r="IA2929" s="73"/>
      <c r="IB2929" s="73"/>
      <c r="IC2929" s="73"/>
      <c r="ID2929" s="73"/>
      <c r="IE2929" s="73"/>
      <c r="IF2929" s="73"/>
      <c r="IG2929" s="73"/>
      <c r="IH2929" s="73"/>
      <c r="II2929" s="73"/>
      <c r="IJ2929" s="73"/>
      <c r="IK2929" s="73"/>
      <c r="IL2929" s="73"/>
      <c r="IM2929" s="73"/>
      <c r="IN2929" s="73"/>
      <c r="IO2929" s="73"/>
      <c r="IP2929" s="73"/>
      <c r="IQ2929" s="73"/>
      <c r="IR2929" s="73"/>
      <c r="IS2929" s="73"/>
      <c r="IT2929" s="73"/>
      <c r="IU2929" s="73"/>
      <c r="IV2929" s="73"/>
      <c r="IW2929" s="73"/>
      <c r="IX2929" s="73"/>
      <c r="IY2929" s="73"/>
      <c r="IZ2929" s="73"/>
      <c r="JA2929" s="73"/>
      <c r="JB2929" s="73"/>
      <c r="JC2929" s="73"/>
    </row>
    <row r="2930" spans="2:263" s="72" customFormat="1">
      <c r="B2930" s="73"/>
      <c r="C2930" s="73"/>
      <c r="D2930" s="73"/>
      <c r="E2930" s="73"/>
      <c r="F2930" s="73"/>
      <c r="G2930" s="73"/>
      <c r="H2930" s="73"/>
      <c r="I2930" s="73"/>
      <c r="J2930" s="73"/>
      <c r="K2930" s="73"/>
      <c r="L2930" s="73"/>
      <c r="M2930" s="73"/>
      <c r="N2930" s="73"/>
      <c r="O2930" s="73"/>
      <c r="P2930" s="73"/>
      <c r="Q2930" s="73"/>
      <c r="R2930" s="73"/>
      <c r="S2930" s="73"/>
      <c r="T2930" s="73"/>
      <c r="U2930" s="73"/>
      <c r="V2930" s="73"/>
      <c r="W2930" s="73"/>
      <c r="GL2930" s="73"/>
      <c r="GM2930" s="73"/>
      <c r="GN2930" s="73"/>
      <c r="GO2930" s="73"/>
      <c r="GP2930" s="73"/>
      <c r="GQ2930" s="73"/>
      <c r="GR2930" s="73"/>
      <c r="GS2930" s="73"/>
      <c r="GT2930" s="73"/>
      <c r="GU2930" s="73"/>
      <c r="GV2930" s="73"/>
      <c r="GW2930" s="73"/>
      <c r="GX2930" s="73"/>
      <c r="GY2930" s="73"/>
      <c r="GZ2930" s="73"/>
      <c r="HA2930" s="73"/>
      <c r="HB2930" s="73"/>
      <c r="HC2930" s="73"/>
      <c r="HD2930" s="73"/>
      <c r="HE2930" s="73"/>
      <c r="HF2930" s="73"/>
      <c r="HG2930" s="73"/>
      <c r="HH2930" s="73"/>
      <c r="HI2930" s="73"/>
      <c r="HJ2930" s="73"/>
      <c r="HK2930" s="73"/>
      <c r="HL2930" s="73"/>
      <c r="HM2930" s="73"/>
      <c r="HN2930" s="73"/>
      <c r="HO2930" s="73"/>
      <c r="HP2930" s="73"/>
      <c r="HQ2930" s="73"/>
      <c r="HR2930" s="73"/>
      <c r="HS2930" s="73"/>
      <c r="HT2930" s="73"/>
      <c r="HU2930" s="73"/>
      <c r="HV2930" s="73"/>
      <c r="HW2930" s="73"/>
      <c r="HX2930" s="73"/>
      <c r="HY2930" s="73"/>
      <c r="HZ2930" s="73"/>
      <c r="IA2930" s="73"/>
      <c r="IB2930" s="73"/>
      <c r="IC2930" s="73"/>
      <c r="ID2930" s="73"/>
      <c r="IE2930" s="73"/>
      <c r="IF2930" s="73"/>
      <c r="IG2930" s="73"/>
      <c r="IH2930" s="73"/>
      <c r="II2930" s="73"/>
      <c r="IJ2930" s="73"/>
      <c r="IK2930" s="73"/>
      <c r="IL2930" s="73"/>
      <c r="IM2930" s="73"/>
      <c r="IN2930" s="73"/>
      <c r="IO2930" s="73"/>
      <c r="IP2930" s="73"/>
      <c r="IQ2930" s="73"/>
      <c r="IR2930" s="73"/>
      <c r="IS2930" s="73"/>
      <c r="IT2930" s="73"/>
      <c r="IU2930" s="73"/>
      <c r="IV2930" s="73"/>
      <c r="IW2930" s="73"/>
      <c r="IX2930" s="73"/>
      <c r="IY2930" s="73"/>
      <c r="IZ2930" s="73"/>
      <c r="JA2930" s="73"/>
      <c r="JB2930" s="73"/>
      <c r="JC2930" s="73"/>
    </row>
    <row r="2931" spans="2:263" s="72" customFormat="1">
      <c r="B2931" s="73"/>
      <c r="C2931" s="73"/>
      <c r="D2931" s="73"/>
      <c r="E2931" s="73"/>
      <c r="F2931" s="73"/>
      <c r="G2931" s="73"/>
      <c r="H2931" s="73"/>
      <c r="I2931" s="73"/>
      <c r="J2931" s="73"/>
      <c r="K2931" s="73"/>
      <c r="L2931" s="73"/>
      <c r="M2931" s="73"/>
      <c r="N2931" s="73"/>
      <c r="O2931" s="73"/>
      <c r="P2931" s="73"/>
      <c r="Q2931" s="73"/>
      <c r="R2931" s="73"/>
      <c r="S2931" s="73"/>
      <c r="T2931" s="73"/>
      <c r="U2931" s="73"/>
      <c r="V2931" s="73"/>
      <c r="W2931" s="73"/>
      <c r="GL2931" s="73"/>
      <c r="GM2931" s="73"/>
      <c r="GN2931" s="73"/>
      <c r="GO2931" s="73"/>
      <c r="GP2931" s="73"/>
      <c r="GQ2931" s="73"/>
      <c r="GR2931" s="73"/>
      <c r="GS2931" s="73"/>
      <c r="GT2931" s="73"/>
      <c r="GU2931" s="73"/>
      <c r="GV2931" s="73"/>
      <c r="GW2931" s="73"/>
      <c r="GX2931" s="73"/>
      <c r="GY2931" s="73"/>
      <c r="GZ2931" s="73"/>
      <c r="HA2931" s="73"/>
      <c r="HB2931" s="73"/>
      <c r="HC2931" s="73"/>
      <c r="HD2931" s="73"/>
      <c r="HE2931" s="73"/>
      <c r="HF2931" s="73"/>
      <c r="HG2931" s="73"/>
      <c r="HH2931" s="73"/>
      <c r="HI2931" s="73"/>
      <c r="HJ2931" s="73"/>
      <c r="HK2931" s="73"/>
      <c r="HL2931" s="73"/>
      <c r="HM2931" s="73"/>
      <c r="HN2931" s="73"/>
      <c r="HO2931" s="73"/>
      <c r="HP2931" s="73"/>
      <c r="HQ2931" s="73"/>
      <c r="HR2931" s="73"/>
      <c r="HS2931" s="73"/>
      <c r="HT2931" s="73"/>
      <c r="HU2931" s="73"/>
      <c r="HV2931" s="73"/>
      <c r="HW2931" s="73"/>
      <c r="HX2931" s="73"/>
      <c r="HY2931" s="73"/>
      <c r="HZ2931" s="73"/>
      <c r="IA2931" s="73"/>
      <c r="IB2931" s="73"/>
      <c r="IC2931" s="73"/>
      <c r="ID2931" s="73"/>
      <c r="IE2931" s="73"/>
      <c r="IF2931" s="73"/>
      <c r="IG2931" s="73"/>
      <c r="IH2931" s="73"/>
      <c r="II2931" s="73"/>
      <c r="IJ2931" s="73"/>
      <c r="IK2931" s="73"/>
      <c r="IL2931" s="73"/>
      <c r="IM2931" s="73"/>
      <c r="IN2931" s="73"/>
      <c r="IO2931" s="73"/>
      <c r="IP2931" s="73"/>
      <c r="IQ2931" s="73"/>
      <c r="IR2931" s="73"/>
      <c r="IS2931" s="73"/>
      <c r="IT2931" s="73"/>
      <c r="IU2931" s="73"/>
      <c r="IV2931" s="73"/>
      <c r="IW2931" s="73"/>
      <c r="IX2931" s="73"/>
      <c r="IY2931" s="73"/>
      <c r="IZ2931" s="73"/>
      <c r="JA2931" s="73"/>
      <c r="JB2931" s="73"/>
      <c r="JC2931" s="73"/>
    </row>
    <row r="2932" spans="2:263" s="72" customFormat="1">
      <c r="B2932" s="73"/>
      <c r="C2932" s="73"/>
      <c r="D2932" s="73"/>
      <c r="E2932" s="73"/>
      <c r="F2932" s="73"/>
      <c r="G2932" s="73"/>
      <c r="H2932" s="73"/>
      <c r="I2932" s="73"/>
      <c r="J2932" s="73"/>
      <c r="K2932" s="73"/>
      <c r="L2932" s="73"/>
      <c r="M2932" s="73"/>
      <c r="N2932" s="73"/>
      <c r="O2932" s="73"/>
      <c r="P2932" s="73"/>
      <c r="Q2932" s="73"/>
      <c r="R2932" s="73"/>
      <c r="S2932" s="73"/>
      <c r="T2932" s="73"/>
      <c r="U2932" s="73"/>
      <c r="V2932" s="73"/>
      <c r="W2932" s="73"/>
      <c r="GL2932" s="73"/>
      <c r="GM2932" s="73"/>
      <c r="GN2932" s="73"/>
      <c r="GO2932" s="73"/>
      <c r="GP2932" s="73"/>
      <c r="GQ2932" s="73"/>
      <c r="GR2932" s="73"/>
      <c r="GS2932" s="73"/>
      <c r="GT2932" s="73"/>
      <c r="GU2932" s="73"/>
      <c r="GV2932" s="73"/>
      <c r="GW2932" s="73"/>
      <c r="GX2932" s="73"/>
      <c r="GY2932" s="73"/>
      <c r="GZ2932" s="73"/>
      <c r="HA2932" s="73"/>
      <c r="HB2932" s="73"/>
      <c r="HC2932" s="73"/>
      <c r="HD2932" s="73"/>
      <c r="HE2932" s="73"/>
      <c r="HF2932" s="73"/>
      <c r="HG2932" s="73"/>
      <c r="HH2932" s="73"/>
      <c r="HI2932" s="73"/>
      <c r="HJ2932" s="73"/>
      <c r="HK2932" s="73"/>
      <c r="HL2932" s="73"/>
      <c r="HM2932" s="73"/>
      <c r="HN2932" s="73"/>
      <c r="HO2932" s="73"/>
      <c r="HP2932" s="73"/>
      <c r="HQ2932" s="73"/>
      <c r="HR2932" s="73"/>
      <c r="HS2932" s="73"/>
      <c r="HT2932" s="73"/>
      <c r="HU2932" s="73"/>
      <c r="HV2932" s="73"/>
      <c r="HW2932" s="73"/>
      <c r="HX2932" s="73"/>
      <c r="HY2932" s="73"/>
      <c r="HZ2932" s="73"/>
      <c r="IA2932" s="73"/>
      <c r="IB2932" s="73"/>
      <c r="IC2932" s="73"/>
      <c r="ID2932" s="73"/>
      <c r="IE2932" s="73"/>
      <c r="IF2932" s="73"/>
      <c r="IG2932" s="73"/>
      <c r="IH2932" s="73"/>
      <c r="II2932" s="73"/>
      <c r="IJ2932" s="73"/>
      <c r="IK2932" s="73"/>
      <c r="IL2932" s="73"/>
      <c r="IM2932" s="73"/>
      <c r="IN2932" s="73"/>
      <c r="IO2932" s="73"/>
      <c r="IP2932" s="73"/>
      <c r="IQ2932" s="73"/>
      <c r="IR2932" s="73"/>
      <c r="IS2932" s="73"/>
      <c r="IT2932" s="73"/>
      <c r="IU2932" s="73"/>
      <c r="IV2932" s="73"/>
      <c r="IW2932" s="73"/>
      <c r="IX2932" s="73"/>
      <c r="IY2932" s="73"/>
      <c r="IZ2932" s="73"/>
      <c r="JA2932" s="73"/>
      <c r="JB2932" s="73"/>
      <c r="JC2932" s="73"/>
    </row>
    <row r="2933" spans="2:263" s="72" customFormat="1">
      <c r="B2933" s="73"/>
      <c r="C2933" s="73"/>
      <c r="D2933" s="73"/>
      <c r="E2933" s="73"/>
      <c r="F2933" s="73"/>
      <c r="G2933" s="73"/>
      <c r="H2933" s="73"/>
      <c r="I2933" s="73"/>
      <c r="J2933" s="73"/>
      <c r="K2933" s="73"/>
      <c r="L2933" s="73"/>
      <c r="M2933" s="73"/>
      <c r="N2933" s="73"/>
      <c r="O2933" s="73"/>
      <c r="P2933" s="73"/>
      <c r="Q2933" s="73"/>
      <c r="R2933" s="73"/>
      <c r="S2933" s="73"/>
      <c r="T2933" s="73"/>
      <c r="U2933" s="73"/>
      <c r="V2933" s="73"/>
      <c r="W2933" s="73"/>
      <c r="GL2933" s="73"/>
      <c r="GM2933" s="73"/>
      <c r="GN2933" s="73"/>
      <c r="GO2933" s="73"/>
      <c r="GP2933" s="73"/>
      <c r="GQ2933" s="73"/>
      <c r="GR2933" s="73"/>
      <c r="GS2933" s="73"/>
      <c r="GT2933" s="73"/>
      <c r="GU2933" s="73"/>
      <c r="GV2933" s="73"/>
      <c r="GW2933" s="73"/>
      <c r="GX2933" s="73"/>
      <c r="GY2933" s="73"/>
      <c r="GZ2933" s="73"/>
      <c r="HA2933" s="73"/>
      <c r="HB2933" s="73"/>
      <c r="HC2933" s="73"/>
      <c r="HD2933" s="73"/>
      <c r="HE2933" s="73"/>
      <c r="HF2933" s="73"/>
      <c r="HG2933" s="73"/>
      <c r="HH2933" s="73"/>
      <c r="HI2933" s="73"/>
      <c r="HJ2933" s="73"/>
      <c r="HK2933" s="73"/>
      <c r="HL2933" s="73"/>
      <c r="HM2933" s="73"/>
      <c r="HN2933" s="73"/>
      <c r="HO2933" s="73"/>
      <c r="HP2933" s="73"/>
      <c r="HQ2933" s="73"/>
      <c r="HR2933" s="73"/>
      <c r="HS2933" s="73"/>
      <c r="HT2933" s="73"/>
      <c r="HU2933" s="73"/>
      <c r="HV2933" s="73"/>
      <c r="HW2933" s="73"/>
      <c r="HX2933" s="73"/>
      <c r="HY2933" s="73"/>
      <c r="HZ2933" s="73"/>
      <c r="IA2933" s="73"/>
      <c r="IB2933" s="73"/>
      <c r="IC2933" s="73"/>
      <c r="ID2933" s="73"/>
      <c r="IE2933" s="73"/>
      <c r="IF2933" s="73"/>
      <c r="IG2933" s="73"/>
      <c r="IH2933" s="73"/>
      <c r="II2933" s="73"/>
      <c r="IJ2933" s="73"/>
      <c r="IK2933" s="73"/>
      <c r="IL2933" s="73"/>
      <c r="IM2933" s="73"/>
      <c r="IN2933" s="73"/>
      <c r="IO2933" s="73"/>
      <c r="IP2933" s="73"/>
      <c r="IQ2933" s="73"/>
      <c r="IR2933" s="73"/>
      <c r="IS2933" s="73"/>
      <c r="IT2933" s="73"/>
      <c r="IU2933" s="73"/>
      <c r="IV2933" s="73"/>
      <c r="IW2933" s="73"/>
      <c r="IX2933" s="73"/>
      <c r="IY2933" s="73"/>
      <c r="IZ2933" s="73"/>
      <c r="JA2933" s="73"/>
      <c r="JB2933" s="73"/>
      <c r="JC2933" s="73"/>
    </row>
    <row r="2934" spans="2:263" s="72" customFormat="1">
      <c r="B2934" s="73"/>
      <c r="C2934" s="73"/>
      <c r="D2934" s="73"/>
      <c r="E2934" s="73"/>
      <c r="F2934" s="73"/>
      <c r="G2934" s="73"/>
      <c r="H2934" s="73"/>
      <c r="I2934" s="73"/>
      <c r="J2934" s="73"/>
      <c r="K2934" s="73"/>
      <c r="L2934" s="73"/>
      <c r="M2934" s="73"/>
      <c r="N2934" s="73"/>
      <c r="O2934" s="73"/>
      <c r="P2934" s="73"/>
      <c r="Q2934" s="73"/>
      <c r="R2934" s="73"/>
      <c r="S2934" s="73"/>
      <c r="T2934" s="73"/>
      <c r="U2934" s="73"/>
      <c r="V2934" s="73"/>
      <c r="W2934" s="73"/>
      <c r="GL2934" s="73"/>
      <c r="GM2934" s="73"/>
      <c r="GN2934" s="73"/>
      <c r="GO2934" s="73"/>
      <c r="GP2934" s="73"/>
      <c r="GQ2934" s="73"/>
      <c r="GR2934" s="73"/>
      <c r="GS2934" s="73"/>
      <c r="GT2934" s="73"/>
      <c r="GU2934" s="73"/>
      <c r="GV2934" s="73"/>
      <c r="GW2934" s="73"/>
      <c r="GX2934" s="73"/>
      <c r="GY2934" s="73"/>
      <c r="GZ2934" s="73"/>
      <c r="HA2934" s="73"/>
      <c r="HB2934" s="73"/>
      <c r="HC2934" s="73"/>
      <c r="HD2934" s="73"/>
      <c r="HE2934" s="73"/>
      <c r="HF2934" s="73"/>
      <c r="HG2934" s="73"/>
      <c r="HH2934" s="73"/>
      <c r="HI2934" s="73"/>
      <c r="HJ2934" s="73"/>
      <c r="HK2934" s="73"/>
      <c r="HL2934" s="73"/>
      <c r="HM2934" s="73"/>
      <c r="HN2934" s="73"/>
      <c r="HO2934" s="73"/>
      <c r="HP2934" s="73"/>
      <c r="HQ2934" s="73"/>
      <c r="HR2934" s="73"/>
      <c r="HS2934" s="73"/>
      <c r="HT2934" s="73"/>
      <c r="HU2934" s="73"/>
      <c r="HV2934" s="73"/>
      <c r="HW2934" s="73"/>
      <c r="HX2934" s="73"/>
      <c r="HY2934" s="73"/>
      <c r="HZ2934" s="73"/>
      <c r="IA2934" s="73"/>
      <c r="IB2934" s="73"/>
      <c r="IC2934" s="73"/>
      <c r="ID2934" s="73"/>
      <c r="IE2934" s="73"/>
      <c r="IF2934" s="73"/>
      <c r="IG2934" s="73"/>
      <c r="IH2934" s="73"/>
      <c r="II2934" s="73"/>
      <c r="IJ2934" s="73"/>
      <c r="IK2934" s="73"/>
      <c r="IL2934" s="73"/>
      <c r="IM2934" s="73"/>
      <c r="IN2934" s="73"/>
      <c r="IO2934" s="73"/>
      <c r="IP2934" s="73"/>
      <c r="IQ2934" s="73"/>
      <c r="IR2934" s="73"/>
      <c r="IS2934" s="73"/>
      <c r="IT2934" s="73"/>
      <c r="IU2934" s="73"/>
      <c r="IV2934" s="73"/>
      <c r="IW2934" s="73"/>
      <c r="IX2934" s="73"/>
      <c r="IY2934" s="73"/>
      <c r="IZ2934" s="73"/>
      <c r="JA2934" s="73"/>
      <c r="JB2934" s="73"/>
      <c r="JC2934" s="73"/>
    </row>
    <row r="2935" spans="2:263" s="72" customFormat="1">
      <c r="B2935" s="73"/>
      <c r="C2935" s="73"/>
      <c r="D2935" s="73"/>
      <c r="E2935" s="73"/>
      <c r="F2935" s="73"/>
      <c r="G2935" s="73"/>
      <c r="H2935" s="73"/>
      <c r="I2935" s="73"/>
      <c r="J2935" s="73"/>
      <c r="K2935" s="73"/>
      <c r="L2935" s="73"/>
      <c r="M2935" s="73"/>
      <c r="N2935" s="73"/>
      <c r="O2935" s="73"/>
      <c r="P2935" s="73"/>
      <c r="Q2935" s="73"/>
      <c r="R2935" s="73"/>
      <c r="S2935" s="73"/>
      <c r="T2935" s="73"/>
      <c r="U2935" s="73"/>
      <c r="V2935" s="73"/>
      <c r="W2935" s="73"/>
      <c r="GL2935" s="73"/>
      <c r="GM2935" s="73"/>
      <c r="GN2935" s="73"/>
      <c r="GO2935" s="73"/>
      <c r="GP2935" s="73"/>
      <c r="GQ2935" s="73"/>
      <c r="GR2935" s="73"/>
      <c r="GS2935" s="73"/>
      <c r="GT2935" s="73"/>
      <c r="GU2935" s="73"/>
      <c r="GV2935" s="73"/>
      <c r="GW2935" s="73"/>
      <c r="GX2935" s="73"/>
      <c r="GY2935" s="73"/>
      <c r="GZ2935" s="73"/>
      <c r="HA2935" s="73"/>
      <c r="HB2935" s="73"/>
      <c r="HC2935" s="73"/>
      <c r="HD2935" s="73"/>
      <c r="HE2935" s="73"/>
      <c r="HF2935" s="73"/>
      <c r="HG2935" s="73"/>
      <c r="HH2935" s="73"/>
      <c r="HI2935" s="73"/>
      <c r="HJ2935" s="73"/>
      <c r="HK2935" s="73"/>
      <c r="HL2935" s="73"/>
      <c r="HM2935" s="73"/>
      <c r="HN2935" s="73"/>
      <c r="HO2935" s="73"/>
      <c r="HP2935" s="73"/>
      <c r="HQ2935" s="73"/>
      <c r="HR2935" s="73"/>
      <c r="HS2935" s="73"/>
      <c r="HT2935" s="73"/>
      <c r="HU2935" s="73"/>
      <c r="HV2935" s="73"/>
      <c r="HW2935" s="73"/>
      <c r="HX2935" s="73"/>
      <c r="HY2935" s="73"/>
      <c r="HZ2935" s="73"/>
      <c r="IA2935" s="73"/>
      <c r="IB2935" s="73"/>
      <c r="IC2935" s="73"/>
      <c r="ID2935" s="73"/>
      <c r="IE2935" s="73"/>
      <c r="IF2935" s="73"/>
      <c r="IG2935" s="73"/>
      <c r="IH2935" s="73"/>
      <c r="II2935" s="73"/>
      <c r="IJ2935" s="73"/>
      <c r="IK2935" s="73"/>
      <c r="IL2935" s="73"/>
      <c r="IM2935" s="73"/>
      <c r="IN2935" s="73"/>
      <c r="IO2935" s="73"/>
      <c r="IP2935" s="73"/>
      <c r="IQ2935" s="73"/>
      <c r="IR2935" s="73"/>
      <c r="IS2935" s="73"/>
      <c r="IT2935" s="73"/>
      <c r="IU2935" s="73"/>
      <c r="IV2935" s="73"/>
      <c r="IW2935" s="73"/>
      <c r="IX2935" s="73"/>
      <c r="IY2935" s="73"/>
      <c r="IZ2935" s="73"/>
      <c r="JA2935" s="73"/>
      <c r="JB2935" s="73"/>
      <c r="JC2935" s="73"/>
    </row>
    <row r="2936" spans="2:263" s="72" customFormat="1">
      <c r="B2936" s="73"/>
      <c r="C2936" s="73"/>
      <c r="D2936" s="73"/>
      <c r="E2936" s="73"/>
      <c r="F2936" s="73"/>
      <c r="G2936" s="73"/>
      <c r="H2936" s="73"/>
      <c r="I2936" s="73"/>
      <c r="J2936" s="73"/>
      <c r="K2936" s="73"/>
      <c r="L2936" s="73"/>
      <c r="M2936" s="73"/>
      <c r="N2936" s="73"/>
      <c r="O2936" s="73"/>
      <c r="P2936" s="73"/>
      <c r="Q2936" s="73"/>
      <c r="R2936" s="73"/>
      <c r="S2936" s="73"/>
      <c r="T2936" s="73"/>
      <c r="U2936" s="73"/>
      <c r="V2936" s="73"/>
      <c r="W2936" s="73"/>
      <c r="GL2936" s="73"/>
      <c r="GM2936" s="73"/>
      <c r="GN2936" s="73"/>
      <c r="GO2936" s="73"/>
      <c r="GP2936" s="73"/>
      <c r="GQ2936" s="73"/>
      <c r="GR2936" s="73"/>
      <c r="GS2936" s="73"/>
      <c r="GT2936" s="73"/>
      <c r="GU2936" s="73"/>
      <c r="GV2936" s="73"/>
      <c r="GW2936" s="73"/>
      <c r="GX2936" s="73"/>
      <c r="GY2936" s="73"/>
      <c r="GZ2936" s="73"/>
      <c r="HA2936" s="73"/>
      <c r="HB2936" s="73"/>
      <c r="HC2936" s="73"/>
      <c r="HD2936" s="73"/>
      <c r="HE2936" s="73"/>
      <c r="HF2936" s="73"/>
      <c r="HG2936" s="73"/>
      <c r="HH2936" s="73"/>
      <c r="HI2936" s="73"/>
      <c r="HJ2936" s="73"/>
      <c r="HK2936" s="73"/>
      <c r="HL2936" s="73"/>
      <c r="HM2936" s="73"/>
      <c r="HN2936" s="73"/>
      <c r="HO2936" s="73"/>
      <c r="HP2936" s="73"/>
      <c r="HQ2936" s="73"/>
      <c r="HR2936" s="73"/>
      <c r="HS2936" s="73"/>
      <c r="HT2936" s="73"/>
      <c r="HU2936" s="73"/>
      <c r="HV2936" s="73"/>
      <c r="HW2936" s="73"/>
      <c r="HX2936" s="73"/>
      <c r="HY2936" s="73"/>
      <c r="HZ2936" s="73"/>
      <c r="IA2936" s="73"/>
      <c r="IB2936" s="73"/>
      <c r="IC2936" s="73"/>
      <c r="ID2936" s="73"/>
      <c r="IE2936" s="73"/>
      <c r="IF2936" s="73"/>
      <c r="IG2936" s="73"/>
      <c r="IH2936" s="73"/>
      <c r="II2936" s="73"/>
      <c r="IJ2936" s="73"/>
      <c r="IK2936" s="73"/>
      <c r="IL2936" s="73"/>
      <c r="IM2936" s="73"/>
      <c r="IN2936" s="73"/>
      <c r="IO2936" s="73"/>
      <c r="IP2936" s="73"/>
      <c r="IQ2936" s="73"/>
      <c r="IR2936" s="73"/>
      <c r="IS2936" s="73"/>
      <c r="IT2936" s="73"/>
      <c r="IU2936" s="73"/>
      <c r="IV2936" s="73"/>
      <c r="IW2936" s="73"/>
      <c r="IX2936" s="73"/>
      <c r="IY2936" s="73"/>
      <c r="IZ2936" s="73"/>
      <c r="JA2936" s="73"/>
      <c r="JB2936" s="73"/>
      <c r="JC2936" s="73"/>
    </row>
    <row r="2937" spans="2:263" s="72" customFormat="1">
      <c r="B2937" s="73"/>
      <c r="C2937" s="73"/>
      <c r="D2937" s="73"/>
      <c r="E2937" s="73"/>
      <c r="F2937" s="73"/>
      <c r="G2937" s="73"/>
      <c r="H2937" s="73"/>
      <c r="I2937" s="73"/>
      <c r="J2937" s="73"/>
      <c r="K2937" s="73"/>
      <c r="L2937" s="73"/>
      <c r="M2937" s="73"/>
      <c r="N2937" s="73"/>
      <c r="O2937" s="73"/>
      <c r="P2937" s="73"/>
      <c r="Q2937" s="73"/>
      <c r="R2937" s="73"/>
      <c r="S2937" s="73"/>
      <c r="T2937" s="73"/>
      <c r="U2937" s="73"/>
      <c r="V2937" s="73"/>
      <c r="W2937" s="73"/>
      <c r="GL2937" s="73"/>
      <c r="GM2937" s="73"/>
      <c r="GN2937" s="73"/>
      <c r="GO2937" s="73"/>
      <c r="GP2937" s="73"/>
      <c r="GQ2937" s="73"/>
      <c r="GR2937" s="73"/>
      <c r="GS2937" s="73"/>
      <c r="GT2937" s="73"/>
      <c r="GU2937" s="73"/>
      <c r="GV2937" s="73"/>
      <c r="GW2937" s="73"/>
      <c r="GX2937" s="73"/>
      <c r="GY2937" s="73"/>
      <c r="GZ2937" s="73"/>
      <c r="HA2937" s="73"/>
      <c r="HB2937" s="73"/>
      <c r="HC2937" s="73"/>
      <c r="HD2937" s="73"/>
      <c r="HE2937" s="73"/>
      <c r="HF2937" s="73"/>
      <c r="HG2937" s="73"/>
      <c r="HH2937" s="73"/>
      <c r="HI2937" s="73"/>
      <c r="HJ2937" s="73"/>
      <c r="HK2937" s="73"/>
      <c r="HL2937" s="73"/>
      <c r="HM2937" s="73"/>
      <c r="HN2937" s="73"/>
      <c r="HO2937" s="73"/>
      <c r="HP2937" s="73"/>
      <c r="HQ2937" s="73"/>
      <c r="HR2937" s="73"/>
      <c r="HS2937" s="73"/>
      <c r="HT2937" s="73"/>
      <c r="HU2937" s="73"/>
      <c r="HV2937" s="73"/>
      <c r="HW2937" s="73"/>
      <c r="HX2937" s="73"/>
      <c r="HY2937" s="73"/>
      <c r="HZ2937" s="73"/>
      <c r="IA2937" s="73"/>
      <c r="IB2937" s="73"/>
      <c r="IC2937" s="73"/>
      <c r="ID2937" s="73"/>
      <c r="IE2937" s="73"/>
      <c r="IF2937" s="73"/>
      <c r="IG2937" s="73"/>
      <c r="IH2937" s="73"/>
      <c r="II2937" s="73"/>
      <c r="IJ2937" s="73"/>
      <c r="IK2937" s="73"/>
      <c r="IL2937" s="73"/>
      <c r="IM2937" s="73"/>
      <c r="IN2937" s="73"/>
      <c r="IO2937" s="73"/>
      <c r="IP2937" s="73"/>
      <c r="IQ2937" s="73"/>
      <c r="IR2937" s="73"/>
      <c r="IS2937" s="73"/>
      <c r="IT2937" s="73"/>
      <c r="IU2937" s="73"/>
      <c r="IV2937" s="73"/>
      <c r="IW2937" s="73"/>
      <c r="IX2937" s="73"/>
      <c r="IY2937" s="73"/>
      <c r="IZ2937" s="73"/>
      <c r="JA2937" s="73"/>
      <c r="JB2937" s="73"/>
      <c r="JC2937" s="73"/>
    </row>
    <row r="2938" spans="2:263" s="72" customFormat="1">
      <c r="B2938" s="73"/>
      <c r="C2938" s="73"/>
      <c r="D2938" s="73"/>
      <c r="E2938" s="73"/>
      <c r="F2938" s="73"/>
      <c r="G2938" s="73"/>
      <c r="H2938" s="73"/>
      <c r="I2938" s="73"/>
      <c r="J2938" s="73"/>
      <c r="K2938" s="73"/>
      <c r="L2938" s="73"/>
      <c r="M2938" s="73"/>
      <c r="N2938" s="73"/>
      <c r="O2938" s="73"/>
      <c r="P2938" s="73"/>
      <c r="Q2938" s="73"/>
      <c r="R2938" s="73"/>
      <c r="S2938" s="73"/>
      <c r="T2938" s="73"/>
      <c r="U2938" s="73"/>
      <c r="V2938" s="73"/>
      <c r="W2938" s="73"/>
      <c r="GL2938" s="73"/>
      <c r="GM2938" s="73"/>
      <c r="GN2938" s="73"/>
      <c r="GO2938" s="73"/>
      <c r="GP2938" s="73"/>
      <c r="GQ2938" s="73"/>
      <c r="GR2938" s="73"/>
      <c r="GS2938" s="73"/>
      <c r="GT2938" s="73"/>
      <c r="GU2938" s="73"/>
      <c r="GV2938" s="73"/>
      <c r="GW2938" s="73"/>
      <c r="GX2938" s="73"/>
      <c r="GY2938" s="73"/>
      <c r="GZ2938" s="73"/>
      <c r="HA2938" s="73"/>
      <c r="HB2938" s="73"/>
      <c r="HC2938" s="73"/>
      <c r="HD2938" s="73"/>
      <c r="HE2938" s="73"/>
      <c r="HF2938" s="73"/>
      <c r="HG2938" s="73"/>
      <c r="HH2938" s="73"/>
      <c r="HI2938" s="73"/>
      <c r="HJ2938" s="73"/>
      <c r="HK2938" s="73"/>
      <c r="HL2938" s="73"/>
      <c r="HM2938" s="73"/>
      <c r="HN2938" s="73"/>
      <c r="HO2938" s="73"/>
      <c r="HP2938" s="73"/>
      <c r="HQ2938" s="73"/>
      <c r="HR2938" s="73"/>
      <c r="HS2938" s="73"/>
      <c r="HT2938" s="73"/>
      <c r="HU2938" s="73"/>
      <c r="HV2938" s="73"/>
      <c r="HW2938" s="73"/>
      <c r="HX2938" s="73"/>
      <c r="HY2938" s="73"/>
      <c r="HZ2938" s="73"/>
      <c r="IA2938" s="73"/>
      <c r="IB2938" s="73"/>
      <c r="IC2938" s="73"/>
      <c r="ID2938" s="73"/>
      <c r="IE2938" s="73"/>
      <c r="IF2938" s="73"/>
      <c r="IG2938" s="73"/>
      <c r="IH2938" s="73"/>
      <c r="II2938" s="73"/>
      <c r="IJ2938" s="73"/>
      <c r="IK2938" s="73"/>
      <c r="IL2938" s="73"/>
      <c r="IM2938" s="73"/>
      <c r="IN2938" s="73"/>
      <c r="IO2938" s="73"/>
      <c r="IP2938" s="73"/>
      <c r="IQ2938" s="73"/>
      <c r="IR2938" s="73"/>
      <c r="IS2938" s="73"/>
      <c r="IT2938" s="73"/>
      <c r="IU2938" s="73"/>
      <c r="IV2938" s="73"/>
      <c r="IW2938" s="73"/>
      <c r="IX2938" s="73"/>
      <c r="IY2938" s="73"/>
      <c r="IZ2938" s="73"/>
      <c r="JA2938" s="73"/>
      <c r="JB2938" s="73"/>
      <c r="JC2938" s="73"/>
    </row>
    <row r="2939" spans="2:263" s="72" customFormat="1">
      <c r="B2939" s="73"/>
      <c r="C2939" s="73"/>
      <c r="D2939" s="73"/>
      <c r="E2939" s="73"/>
      <c r="F2939" s="73"/>
      <c r="G2939" s="73"/>
      <c r="H2939" s="73"/>
      <c r="I2939" s="73"/>
      <c r="J2939" s="73"/>
      <c r="K2939" s="73"/>
      <c r="L2939" s="73"/>
      <c r="M2939" s="73"/>
      <c r="N2939" s="73"/>
      <c r="O2939" s="73"/>
      <c r="P2939" s="73"/>
      <c r="Q2939" s="73"/>
      <c r="R2939" s="73"/>
      <c r="S2939" s="73"/>
      <c r="T2939" s="73"/>
      <c r="U2939" s="73"/>
      <c r="V2939" s="73"/>
      <c r="W2939" s="73"/>
      <c r="GL2939" s="73"/>
      <c r="GM2939" s="73"/>
      <c r="GN2939" s="73"/>
      <c r="GO2939" s="73"/>
      <c r="GP2939" s="73"/>
      <c r="GQ2939" s="73"/>
      <c r="GR2939" s="73"/>
      <c r="GS2939" s="73"/>
      <c r="GT2939" s="73"/>
      <c r="GU2939" s="73"/>
      <c r="GV2939" s="73"/>
      <c r="GW2939" s="73"/>
      <c r="GX2939" s="73"/>
      <c r="GY2939" s="73"/>
      <c r="GZ2939" s="73"/>
      <c r="HA2939" s="73"/>
      <c r="HB2939" s="73"/>
      <c r="HC2939" s="73"/>
      <c r="HD2939" s="73"/>
      <c r="HE2939" s="73"/>
      <c r="HF2939" s="73"/>
      <c r="HG2939" s="73"/>
      <c r="HH2939" s="73"/>
      <c r="HI2939" s="73"/>
      <c r="HJ2939" s="73"/>
      <c r="HK2939" s="73"/>
      <c r="HL2939" s="73"/>
      <c r="HM2939" s="73"/>
      <c r="HN2939" s="73"/>
      <c r="HO2939" s="73"/>
      <c r="HP2939" s="73"/>
      <c r="HQ2939" s="73"/>
      <c r="HR2939" s="73"/>
      <c r="HS2939" s="73"/>
      <c r="HT2939" s="73"/>
      <c r="HU2939" s="73"/>
      <c r="HV2939" s="73"/>
      <c r="HW2939" s="73"/>
      <c r="HX2939" s="73"/>
      <c r="HY2939" s="73"/>
      <c r="HZ2939" s="73"/>
      <c r="IA2939" s="73"/>
      <c r="IB2939" s="73"/>
      <c r="IC2939" s="73"/>
      <c r="ID2939" s="73"/>
      <c r="IE2939" s="73"/>
      <c r="IF2939" s="73"/>
      <c r="IG2939" s="73"/>
      <c r="IH2939" s="73"/>
      <c r="II2939" s="73"/>
      <c r="IJ2939" s="73"/>
      <c r="IK2939" s="73"/>
      <c r="IL2939" s="73"/>
      <c r="IM2939" s="73"/>
      <c r="IN2939" s="73"/>
      <c r="IO2939" s="73"/>
      <c r="IP2939" s="73"/>
      <c r="IQ2939" s="73"/>
      <c r="IR2939" s="73"/>
      <c r="IS2939" s="73"/>
      <c r="IT2939" s="73"/>
      <c r="IU2939" s="73"/>
      <c r="IV2939" s="73"/>
      <c r="IW2939" s="73"/>
      <c r="IX2939" s="73"/>
      <c r="IY2939" s="73"/>
      <c r="IZ2939" s="73"/>
      <c r="JA2939" s="73"/>
      <c r="JB2939" s="73"/>
      <c r="JC2939" s="73"/>
    </row>
    <row r="2940" spans="2:263" s="72" customFormat="1">
      <c r="B2940" s="73"/>
      <c r="C2940" s="73"/>
      <c r="D2940" s="73"/>
      <c r="E2940" s="73"/>
      <c r="F2940" s="73"/>
      <c r="G2940" s="73"/>
      <c r="H2940" s="73"/>
      <c r="I2940" s="73"/>
      <c r="J2940" s="73"/>
      <c r="K2940" s="73"/>
      <c r="L2940" s="73"/>
      <c r="M2940" s="73"/>
      <c r="N2940" s="73"/>
      <c r="O2940" s="73"/>
      <c r="P2940" s="73"/>
      <c r="Q2940" s="73"/>
      <c r="R2940" s="73"/>
      <c r="S2940" s="73"/>
      <c r="T2940" s="73"/>
      <c r="U2940" s="73"/>
      <c r="V2940" s="73"/>
      <c r="W2940" s="73"/>
      <c r="GL2940" s="73"/>
      <c r="GM2940" s="73"/>
      <c r="GN2940" s="73"/>
      <c r="GO2940" s="73"/>
      <c r="GP2940" s="73"/>
      <c r="GQ2940" s="73"/>
      <c r="GR2940" s="73"/>
      <c r="GS2940" s="73"/>
      <c r="GT2940" s="73"/>
      <c r="GU2940" s="73"/>
      <c r="GV2940" s="73"/>
      <c r="GW2940" s="73"/>
      <c r="GX2940" s="73"/>
      <c r="GY2940" s="73"/>
      <c r="GZ2940" s="73"/>
      <c r="HA2940" s="73"/>
      <c r="HB2940" s="73"/>
      <c r="HC2940" s="73"/>
      <c r="HD2940" s="73"/>
      <c r="HE2940" s="73"/>
      <c r="HF2940" s="73"/>
      <c r="HG2940" s="73"/>
      <c r="HH2940" s="73"/>
      <c r="HI2940" s="73"/>
      <c r="HJ2940" s="73"/>
      <c r="HK2940" s="73"/>
      <c r="HL2940" s="73"/>
      <c r="HM2940" s="73"/>
      <c r="HN2940" s="73"/>
      <c r="HO2940" s="73"/>
      <c r="HP2940" s="73"/>
      <c r="HQ2940" s="73"/>
      <c r="HR2940" s="73"/>
      <c r="HS2940" s="73"/>
      <c r="HT2940" s="73"/>
      <c r="HU2940" s="73"/>
      <c r="HV2940" s="73"/>
      <c r="HW2940" s="73"/>
      <c r="HX2940" s="73"/>
      <c r="HY2940" s="73"/>
      <c r="HZ2940" s="73"/>
      <c r="IA2940" s="73"/>
      <c r="IB2940" s="73"/>
      <c r="IC2940" s="73"/>
      <c r="ID2940" s="73"/>
      <c r="IE2940" s="73"/>
      <c r="IF2940" s="73"/>
      <c r="IG2940" s="73"/>
      <c r="IH2940" s="73"/>
      <c r="II2940" s="73"/>
      <c r="IJ2940" s="73"/>
      <c r="IK2940" s="73"/>
      <c r="IL2940" s="73"/>
      <c r="IM2940" s="73"/>
      <c r="IN2940" s="73"/>
      <c r="IO2940" s="73"/>
      <c r="IP2940" s="73"/>
      <c r="IQ2940" s="73"/>
      <c r="IR2940" s="73"/>
      <c r="IS2940" s="73"/>
      <c r="IT2940" s="73"/>
      <c r="IU2940" s="73"/>
      <c r="IV2940" s="73"/>
      <c r="IW2940" s="73"/>
      <c r="IX2940" s="73"/>
      <c r="IY2940" s="73"/>
      <c r="IZ2940" s="73"/>
      <c r="JA2940" s="73"/>
      <c r="JB2940" s="73"/>
      <c r="JC2940" s="73"/>
    </row>
    <row r="2941" spans="2:263" s="72" customFormat="1">
      <c r="B2941" s="73"/>
      <c r="C2941" s="73"/>
      <c r="D2941" s="73"/>
      <c r="E2941" s="73"/>
      <c r="F2941" s="73"/>
      <c r="G2941" s="73"/>
      <c r="H2941" s="73"/>
      <c r="I2941" s="73"/>
      <c r="J2941" s="73"/>
      <c r="K2941" s="73"/>
      <c r="L2941" s="73"/>
      <c r="M2941" s="73"/>
      <c r="N2941" s="73"/>
      <c r="O2941" s="73"/>
      <c r="P2941" s="73"/>
      <c r="Q2941" s="73"/>
      <c r="R2941" s="73"/>
      <c r="S2941" s="73"/>
      <c r="T2941" s="73"/>
      <c r="U2941" s="73"/>
      <c r="V2941" s="73"/>
      <c r="W2941" s="73"/>
      <c r="GL2941" s="73"/>
      <c r="GM2941" s="73"/>
      <c r="GN2941" s="73"/>
      <c r="GO2941" s="73"/>
      <c r="GP2941" s="73"/>
      <c r="GQ2941" s="73"/>
      <c r="GR2941" s="73"/>
      <c r="GS2941" s="73"/>
      <c r="GT2941" s="73"/>
      <c r="GU2941" s="73"/>
      <c r="GV2941" s="73"/>
      <c r="GW2941" s="73"/>
      <c r="GX2941" s="73"/>
      <c r="GY2941" s="73"/>
      <c r="GZ2941" s="73"/>
      <c r="HA2941" s="73"/>
      <c r="HB2941" s="73"/>
      <c r="HC2941" s="73"/>
      <c r="HD2941" s="73"/>
      <c r="HE2941" s="73"/>
      <c r="HF2941" s="73"/>
      <c r="HG2941" s="73"/>
      <c r="HH2941" s="73"/>
      <c r="HI2941" s="73"/>
      <c r="HJ2941" s="73"/>
      <c r="HK2941" s="73"/>
      <c r="HL2941" s="73"/>
      <c r="HM2941" s="73"/>
      <c r="HN2941" s="73"/>
      <c r="HO2941" s="73"/>
      <c r="HP2941" s="73"/>
      <c r="HQ2941" s="73"/>
      <c r="HR2941" s="73"/>
      <c r="HS2941" s="73"/>
      <c r="HT2941" s="73"/>
      <c r="HU2941" s="73"/>
      <c r="HV2941" s="73"/>
      <c r="HW2941" s="73"/>
      <c r="HX2941" s="73"/>
      <c r="HY2941" s="73"/>
      <c r="HZ2941" s="73"/>
      <c r="IA2941" s="73"/>
      <c r="IB2941" s="73"/>
      <c r="IC2941" s="73"/>
      <c r="ID2941" s="73"/>
      <c r="IE2941" s="73"/>
      <c r="IF2941" s="73"/>
      <c r="IG2941" s="73"/>
      <c r="IH2941" s="73"/>
      <c r="II2941" s="73"/>
      <c r="IJ2941" s="73"/>
      <c r="IK2941" s="73"/>
      <c r="IL2941" s="73"/>
      <c r="IM2941" s="73"/>
      <c r="IN2941" s="73"/>
      <c r="IO2941" s="73"/>
      <c r="IP2941" s="73"/>
      <c r="IQ2941" s="73"/>
      <c r="IR2941" s="73"/>
      <c r="IS2941" s="73"/>
      <c r="IT2941" s="73"/>
      <c r="IU2941" s="73"/>
      <c r="IV2941" s="73"/>
      <c r="IW2941" s="73"/>
      <c r="IX2941" s="73"/>
      <c r="IY2941" s="73"/>
      <c r="IZ2941" s="73"/>
      <c r="JA2941" s="73"/>
      <c r="JB2941" s="73"/>
      <c r="JC2941" s="73"/>
    </row>
    <row r="2942" spans="2:263" s="72" customFormat="1">
      <c r="B2942" s="73"/>
      <c r="C2942" s="73"/>
      <c r="D2942" s="73"/>
      <c r="E2942" s="73"/>
      <c r="F2942" s="73"/>
      <c r="G2942" s="73"/>
      <c r="H2942" s="73"/>
      <c r="I2942" s="73"/>
      <c r="J2942" s="73"/>
      <c r="K2942" s="73"/>
      <c r="L2942" s="73"/>
      <c r="M2942" s="73"/>
      <c r="N2942" s="73"/>
      <c r="O2942" s="73"/>
      <c r="P2942" s="73"/>
      <c r="Q2942" s="73"/>
      <c r="R2942" s="73"/>
      <c r="S2942" s="73"/>
      <c r="T2942" s="73"/>
      <c r="U2942" s="73"/>
      <c r="V2942" s="73"/>
      <c r="W2942" s="73"/>
      <c r="GL2942" s="73"/>
      <c r="GM2942" s="73"/>
      <c r="GN2942" s="73"/>
      <c r="GO2942" s="73"/>
      <c r="GP2942" s="73"/>
      <c r="GQ2942" s="73"/>
      <c r="GR2942" s="73"/>
      <c r="GS2942" s="73"/>
      <c r="GT2942" s="73"/>
      <c r="GU2942" s="73"/>
      <c r="GV2942" s="73"/>
      <c r="GW2942" s="73"/>
      <c r="GX2942" s="73"/>
      <c r="GY2942" s="73"/>
      <c r="GZ2942" s="73"/>
      <c r="HA2942" s="73"/>
      <c r="HB2942" s="73"/>
      <c r="HC2942" s="73"/>
      <c r="HD2942" s="73"/>
      <c r="HE2942" s="73"/>
      <c r="HF2942" s="73"/>
      <c r="HG2942" s="73"/>
      <c r="HH2942" s="73"/>
      <c r="HI2942" s="73"/>
      <c r="HJ2942" s="73"/>
      <c r="HK2942" s="73"/>
      <c r="HL2942" s="73"/>
      <c r="HM2942" s="73"/>
      <c r="HN2942" s="73"/>
      <c r="HO2942" s="73"/>
      <c r="HP2942" s="73"/>
      <c r="HQ2942" s="73"/>
      <c r="HR2942" s="73"/>
      <c r="HS2942" s="73"/>
      <c r="HT2942" s="73"/>
      <c r="HU2942" s="73"/>
      <c r="HV2942" s="73"/>
      <c r="HW2942" s="73"/>
      <c r="HX2942" s="73"/>
      <c r="HY2942" s="73"/>
      <c r="HZ2942" s="73"/>
      <c r="IA2942" s="73"/>
      <c r="IB2942" s="73"/>
      <c r="IC2942" s="73"/>
      <c r="ID2942" s="73"/>
      <c r="IE2942" s="73"/>
      <c r="IF2942" s="73"/>
      <c r="IG2942" s="73"/>
      <c r="IH2942" s="73"/>
      <c r="II2942" s="73"/>
      <c r="IJ2942" s="73"/>
      <c r="IK2942" s="73"/>
      <c r="IL2942" s="73"/>
      <c r="IM2942" s="73"/>
      <c r="IN2942" s="73"/>
      <c r="IO2942" s="73"/>
      <c r="IP2942" s="73"/>
      <c r="IQ2942" s="73"/>
      <c r="IR2942" s="73"/>
      <c r="IS2942" s="73"/>
      <c r="IT2942" s="73"/>
      <c r="IU2942" s="73"/>
      <c r="IV2942" s="73"/>
      <c r="IW2942" s="73"/>
      <c r="IX2942" s="73"/>
      <c r="IY2942" s="73"/>
      <c r="IZ2942" s="73"/>
      <c r="JA2942" s="73"/>
      <c r="JB2942" s="73"/>
      <c r="JC2942" s="73"/>
    </row>
    <row r="2943" spans="2:263" s="72" customFormat="1">
      <c r="B2943" s="73"/>
      <c r="C2943" s="73"/>
      <c r="D2943" s="73"/>
      <c r="E2943" s="73"/>
      <c r="F2943" s="73"/>
      <c r="G2943" s="73"/>
      <c r="H2943" s="73"/>
      <c r="I2943" s="73"/>
      <c r="J2943" s="73"/>
      <c r="K2943" s="73"/>
      <c r="L2943" s="73"/>
      <c r="M2943" s="73"/>
      <c r="N2943" s="73"/>
      <c r="O2943" s="73"/>
      <c r="P2943" s="73"/>
      <c r="Q2943" s="73"/>
      <c r="R2943" s="73"/>
      <c r="S2943" s="73"/>
      <c r="T2943" s="73"/>
      <c r="U2943" s="73"/>
      <c r="V2943" s="73"/>
      <c r="W2943" s="73"/>
      <c r="GL2943" s="73"/>
      <c r="GM2943" s="73"/>
      <c r="GN2943" s="73"/>
      <c r="GO2943" s="73"/>
      <c r="GP2943" s="73"/>
      <c r="GQ2943" s="73"/>
      <c r="GR2943" s="73"/>
      <c r="GS2943" s="73"/>
      <c r="GT2943" s="73"/>
      <c r="GU2943" s="73"/>
      <c r="GV2943" s="73"/>
      <c r="GW2943" s="73"/>
      <c r="GX2943" s="73"/>
      <c r="GY2943" s="73"/>
      <c r="GZ2943" s="73"/>
      <c r="HA2943" s="73"/>
      <c r="HB2943" s="73"/>
      <c r="HC2943" s="73"/>
      <c r="HD2943" s="73"/>
      <c r="HE2943" s="73"/>
      <c r="HF2943" s="73"/>
      <c r="HG2943" s="73"/>
      <c r="HH2943" s="73"/>
      <c r="HI2943" s="73"/>
      <c r="HJ2943" s="73"/>
      <c r="HK2943" s="73"/>
      <c r="HL2943" s="73"/>
      <c r="HM2943" s="73"/>
      <c r="HN2943" s="73"/>
      <c r="HO2943" s="73"/>
      <c r="HP2943" s="73"/>
      <c r="HQ2943" s="73"/>
      <c r="HR2943" s="73"/>
      <c r="HS2943" s="73"/>
      <c r="HT2943" s="73"/>
      <c r="HU2943" s="73"/>
      <c r="HV2943" s="73"/>
      <c r="HW2943" s="73"/>
      <c r="HX2943" s="73"/>
      <c r="HY2943" s="73"/>
      <c r="HZ2943" s="73"/>
      <c r="IA2943" s="73"/>
      <c r="IB2943" s="73"/>
      <c r="IC2943" s="73"/>
      <c r="ID2943" s="73"/>
      <c r="IE2943" s="73"/>
      <c r="IF2943" s="73"/>
      <c r="IG2943" s="73"/>
      <c r="IH2943" s="73"/>
      <c r="II2943" s="73"/>
      <c r="IJ2943" s="73"/>
      <c r="IK2943" s="73"/>
      <c r="IL2943" s="73"/>
      <c r="IM2943" s="73"/>
      <c r="IN2943" s="73"/>
      <c r="IO2943" s="73"/>
      <c r="IP2943" s="73"/>
      <c r="IQ2943" s="73"/>
      <c r="IR2943" s="73"/>
      <c r="IS2943" s="73"/>
      <c r="IT2943" s="73"/>
      <c r="IU2943" s="73"/>
      <c r="IV2943" s="73"/>
      <c r="IW2943" s="73"/>
      <c r="IX2943" s="73"/>
      <c r="IY2943" s="73"/>
      <c r="IZ2943" s="73"/>
      <c r="JA2943" s="73"/>
      <c r="JB2943" s="73"/>
      <c r="JC2943" s="73"/>
    </row>
    <row r="2944" spans="2:263" s="72" customFormat="1">
      <c r="B2944" s="73"/>
      <c r="C2944" s="73"/>
      <c r="D2944" s="73"/>
      <c r="E2944" s="73"/>
      <c r="F2944" s="73"/>
      <c r="G2944" s="73"/>
      <c r="H2944" s="73"/>
      <c r="I2944" s="73"/>
      <c r="J2944" s="73"/>
      <c r="K2944" s="73"/>
      <c r="L2944" s="73"/>
      <c r="M2944" s="73"/>
      <c r="N2944" s="73"/>
      <c r="O2944" s="73"/>
      <c r="P2944" s="73"/>
      <c r="Q2944" s="73"/>
      <c r="R2944" s="73"/>
      <c r="S2944" s="73"/>
      <c r="T2944" s="73"/>
      <c r="U2944" s="73"/>
      <c r="V2944" s="73"/>
      <c r="W2944" s="73"/>
      <c r="GL2944" s="73"/>
      <c r="GM2944" s="73"/>
      <c r="GN2944" s="73"/>
      <c r="GO2944" s="73"/>
      <c r="GP2944" s="73"/>
      <c r="GQ2944" s="73"/>
      <c r="GR2944" s="73"/>
      <c r="GS2944" s="73"/>
      <c r="GT2944" s="73"/>
      <c r="GU2944" s="73"/>
      <c r="GV2944" s="73"/>
      <c r="GW2944" s="73"/>
      <c r="GX2944" s="73"/>
      <c r="GY2944" s="73"/>
      <c r="GZ2944" s="73"/>
      <c r="HA2944" s="73"/>
      <c r="HB2944" s="73"/>
      <c r="HC2944" s="73"/>
      <c r="HD2944" s="73"/>
      <c r="HE2944" s="73"/>
      <c r="HF2944" s="73"/>
      <c r="HG2944" s="73"/>
      <c r="HH2944" s="73"/>
      <c r="HI2944" s="73"/>
      <c r="HJ2944" s="73"/>
      <c r="HK2944" s="73"/>
      <c r="HL2944" s="73"/>
      <c r="HM2944" s="73"/>
      <c r="HN2944" s="73"/>
      <c r="HO2944" s="73"/>
      <c r="HP2944" s="73"/>
      <c r="HQ2944" s="73"/>
      <c r="HR2944" s="73"/>
      <c r="HS2944" s="73"/>
      <c r="HT2944" s="73"/>
      <c r="HU2944" s="73"/>
      <c r="HV2944" s="73"/>
      <c r="HW2944" s="73"/>
      <c r="HX2944" s="73"/>
      <c r="HY2944" s="73"/>
      <c r="HZ2944" s="73"/>
      <c r="IA2944" s="73"/>
      <c r="IB2944" s="73"/>
      <c r="IC2944" s="73"/>
      <c r="ID2944" s="73"/>
      <c r="IE2944" s="73"/>
      <c r="IF2944" s="73"/>
      <c r="IG2944" s="73"/>
      <c r="IH2944" s="73"/>
      <c r="II2944" s="73"/>
      <c r="IJ2944" s="73"/>
      <c r="IK2944" s="73"/>
      <c r="IL2944" s="73"/>
      <c r="IM2944" s="73"/>
      <c r="IN2944" s="73"/>
      <c r="IO2944" s="73"/>
      <c r="IP2944" s="73"/>
      <c r="IQ2944" s="73"/>
      <c r="IR2944" s="73"/>
      <c r="IS2944" s="73"/>
      <c r="IT2944" s="73"/>
      <c r="IU2944" s="73"/>
      <c r="IV2944" s="73"/>
      <c r="IW2944" s="73"/>
      <c r="IX2944" s="73"/>
      <c r="IY2944" s="73"/>
      <c r="IZ2944" s="73"/>
      <c r="JA2944" s="73"/>
      <c r="JB2944" s="73"/>
      <c r="JC2944" s="73"/>
    </row>
    <row r="2945" spans="2:263" s="72" customFormat="1">
      <c r="B2945" s="73"/>
      <c r="C2945" s="73"/>
      <c r="D2945" s="73"/>
      <c r="E2945" s="73"/>
      <c r="F2945" s="73"/>
      <c r="G2945" s="73"/>
      <c r="H2945" s="73"/>
      <c r="I2945" s="73"/>
      <c r="J2945" s="73"/>
      <c r="K2945" s="73"/>
      <c r="L2945" s="73"/>
      <c r="M2945" s="73"/>
      <c r="N2945" s="73"/>
      <c r="O2945" s="73"/>
      <c r="P2945" s="73"/>
      <c r="Q2945" s="73"/>
      <c r="R2945" s="73"/>
      <c r="S2945" s="73"/>
      <c r="T2945" s="73"/>
      <c r="U2945" s="73"/>
      <c r="V2945" s="73"/>
      <c r="W2945" s="73"/>
      <c r="GL2945" s="73"/>
      <c r="GM2945" s="73"/>
      <c r="GN2945" s="73"/>
      <c r="GO2945" s="73"/>
      <c r="GP2945" s="73"/>
      <c r="GQ2945" s="73"/>
      <c r="GR2945" s="73"/>
      <c r="GS2945" s="73"/>
      <c r="GT2945" s="73"/>
      <c r="GU2945" s="73"/>
      <c r="GV2945" s="73"/>
      <c r="GW2945" s="73"/>
      <c r="GX2945" s="73"/>
      <c r="GY2945" s="73"/>
      <c r="GZ2945" s="73"/>
      <c r="HA2945" s="73"/>
      <c r="HB2945" s="73"/>
      <c r="HC2945" s="73"/>
      <c r="HD2945" s="73"/>
      <c r="HE2945" s="73"/>
      <c r="HF2945" s="73"/>
      <c r="HG2945" s="73"/>
      <c r="HH2945" s="73"/>
      <c r="HI2945" s="73"/>
      <c r="HJ2945" s="73"/>
      <c r="HK2945" s="73"/>
      <c r="HL2945" s="73"/>
      <c r="HM2945" s="73"/>
      <c r="HN2945" s="73"/>
      <c r="HO2945" s="73"/>
      <c r="HP2945" s="73"/>
      <c r="HQ2945" s="73"/>
      <c r="HR2945" s="73"/>
      <c r="HS2945" s="73"/>
      <c r="HT2945" s="73"/>
      <c r="HU2945" s="73"/>
      <c r="HV2945" s="73"/>
      <c r="HW2945" s="73"/>
      <c r="HX2945" s="73"/>
      <c r="HY2945" s="73"/>
      <c r="HZ2945" s="73"/>
      <c r="IA2945" s="73"/>
      <c r="IB2945" s="73"/>
      <c r="IC2945" s="73"/>
      <c r="ID2945" s="73"/>
      <c r="IE2945" s="73"/>
      <c r="IF2945" s="73"/>
      <c r="IG2945" s="73"/>
      <c r="IH2945" s="73"/>
      <c r="II2945" s="73"/>
      <c r="IJ2945" s="73"/>
      <c r="IK2945" s="73"/>
      <c r="IL2945" s="73"/>
      <c r="IM2945" s="73"/>
      <c r="IN2945" s="73"/>
      <c r="IO2945" s="73"/>
      <c r="IP2945" s="73"/>
      <c r="IQ2945" s="73"/>
      <c r="IR2945" s="73"/>
      <c r="IS2945" s="73"/>
      <c r="IT2945" s="73"/>
      <c r="IU2945" s="73"/>
      <c r="IV2945" s="73"/>
      <c r="IW2945" s="73"/>
      <c r="IX2945" s="73"/>
      <c r="IY2945" s="73"/>
      <c r="IZ2945" s="73"/>
      <c r="JA2945" s="73"/>
      <c r="JB2945" s="73"/>
      <c r="JC2945" s="73"/>
    </row>
    <row r="2946" spans="2:263" s="72" customFormat="1">
      <c r="B2946" s="73"/>
      <c r="C2946" s="73"/>
      <c r="D2946" s="73"/>
      <c r="E2946" s="73"/>
      <c r="F2946" s="73"/>
      <c r="G2946" s="73"/>
      <c r="H2946" s="73"/>
      <c r="I2946" s="73"/>
      <c r="J2946" s="73"/>
      <c r="K2946" s="73"/>
      <c r="L2946" s="73"/>
      <c r="M2946" s="73"/>
      <c r="N2946" s="73"/>
      <c r="O2946" s="73"/>
      <c r="P2946" s="73"/>
      <c r="Q2946" s="73"/>
      <c r="R2946" s="73"/>
      <c r="S2946" s="73"/>
      <c r="T2946" s="73"/>
      <c r="U2946" s="73"/>
      <c r="V2946" s="73"/>
      <c r="W2946" s="73"/>
      <c r="GL2946" s="73"/>
      <c r="GM2946" s="73"/>
      <c r="GN2946" s="73"/>
      <c r="GO2946" s="73"/>
      <c r="GP2946" s="73"/>
      <c r="GQ2946" s="73"/>
      <c r="GR2946" s="73"/>
      <c r="GS2946" s="73"/>
      <c r="GT2946" s="73"/>
      <c r="GU2946" s="73"/>
      <c r="GV2946" s="73"/>
      <c r="GW2946" s="73"/>
      <c r="GX2946" s="73"/>
      <c r="GY2946" s="73"/>
      <c r="GZ2946" s="73"/>
      <c r="HA2946" s="73"/>
      <c r="HB2946" s="73"/>
      <c r="HC2946" s="73"/>
      <c r="HD2946" s="73"/>
      <c r="HE2946" s="73"/>
      <c r="HF2946" s="73"/>
      <c r="HG2946" s="73"/>
      <c r="HH2946" s="73"/>
      <c r="HI2946" s="73"/>
      <c r="HJ2946" s="73"/>
      <c r="HK2946" s="73"/>
      <c r="HL2946" s="73"/>
      <c r="HM2946" s="73"/>
      <c r="HN2946" s="73"/>
      <c r="HO2946" s="73"/>
      <c r="HP2946" s="73"/>
      <c r="HQ2946" s="73"/>
      <c r="HR2946" s="73"/>
      <c r="HS2946" s="73"/>
      <c r="HT2946" s="73"/>
      <c r="HU2946" s="73"/>
      <c r="HV2946" s="73"/>
      <c r="HW2946" s="73"/>
      <c r="HX2946" s="73"/>
      <c r="HY2946" s="73"/>
      <c r="HZ2946" s="73"/>
      <c r="IA2946" s="73"/>
      <c r="IB2946" s="73"/>
      <c r="IC2946" s="73"/>
      <c r="ID2946" s="73"/>
      <c r="IE2946" s="73"/>
      <c r="IF2946" s="73"/>
      <c r="IG2946" s="73"/>
      <c r="IH2946" s="73"/>
      <c r="II2946" s="73"/>
      <c r="IJ2946" s="73"/>
      <c r="IK2946" s="73"/>
      <c r="IL2946" s="73"/>
      <c r="IM2946" s="73"/>
      <c r="IN2946" s="73"/>
      <c r="IO2946" s="73"/>
      <c r="IP2946" s="73"/>
      <c r="IQ2946" s="73"/>
      <c r="IR2946" s="73"/>
      <c r="IS2946" s="73"/>
      <c r="IT2946" s="73"/>
      <c r="IU2946" s="73"/>
      <c r="IV2946" s="73"/>
      <c r="IW2946" s="73"/>
      <c r="IX2946" s="73"/>
      <c r="IY2946" s="73"/>
      <c r="IZ2946" s="73"/>
      <c r="JA2946" s="73"/>
      <c r="JB2946" s="73"/>
      <c r="JC2946" s="73"/>
    </row>
    <row r="2947" spans="2:263" s="72" customFormat="1">
      <c r="B2947" s="73"/>
      <c r="C2947" s="73"/>
      <c r="D2947" s="73"/>
      <c r="E2947" s="73"/>
      <c r="F2947" s="73"/>
      <c r="G2947" s="73"/>
      <c r="H2947" s="73"/>
      <c r="I2947" s="73"/>
      <c r="J2947" s="73"/>
      <c r="K2947" s="73"/>
      <c r="L2947" s="73"/>
      <c r="M2947" s="73"/>
      <c r="N2947" s="73"/>
      <c r="O2947" s="73"/>
      <c r="P2947" s="73"/>
      <c r="Q2947" s="73"/>
      <c r="R2947" s="73"/>
      <c r="S2947" s="73"/>
      <c r="T2947" s="73"/>
      <c r="U2947" s="73"/>
      <c r="V2947" s="73"/>
      <c r="W2947" s="73"/>
      <c r="GL2947" s="73"/>
      <c r="GM2947" s="73"/>
      <c r="GN2947" s="73"/>
      <c r="GO2947" s="73"/>
      <c r="GP2947" s="73"/>
      <c r="GQ2947" s="73"/>
      <c r="GR2947" s="73"/>
      <c r="GS2947" s="73"/>
      <c r="GT2947" s="73"/>
      <c r="GU2947" s="73"/>
      <c r="GV2947" s="73"/>
      <c r="GW2947" s="73"/>
      <c r="GX2947" s="73"/>
      <c r="GY2947" s="73"/>
      <c r="GZ2947" s="73"/>
      <c r="HA2947" s="73"/>
      <c r="HB2947" s="73"/>
      <c r="HC2947" s="73"/>
      <c r="HD2947" s="73"/>
      <c r="HE2947" s="73"/>
      <c r="HF2947" s="73"/>
      <c r="HG2947" s="73"/>
      <c r="HH2947" s="73"/>
      <c r="HI2947" s="73"/>
      <c r="HJ2947" s="73"/>
      <c r="HK2947" s="73"/>
      <c r="HL2947" s="73"/>
      <c r="HM2947" s="73"/>
      <c r="HN2947" s="73"/>
      <c r="HO2947" s="73"/>
      <c r="HP2947" s="73"/>
      <c r="HQ2947" s="73"/>
      <c r="HR2947" s="73"/>
      <c r="HS2947" s="73"/>
      <c r="HT2947" s="73"/>
      <c r="HU2947" s="73"/>
      <c r="HV2947" s="73"/>
      <c r="HW2947" s="73"/>
      <c r="HX2947" s="73"/>
      <c r="HY2947" s="73"/>
      <c r="HZ2947" s="73"/>
      <c r="IA2947" s="73"/>
      <c r="IB2947" s="73"/>
      <c r="IC2947" s="73"/>
      <c r="ID2947" s="73"/>
      <c r="IE2947" s="73"/>
      <c r="IF2947" s="73"/>
      <c r="IG2947" s="73"/>
      <c r="IH2947" s="73"/>
      <c r="II2947" s="73"/>
      <c r="IJ2947" s="73"/>
      <c r="IK2947" s="73"/>
      <c r="IL2947" s="73"/>
      <c r="IM2947" s="73"/>
      <c r="IN2947" s="73"/>
      <c r="IO2947" s="73"/>
      <c r="IP2947" s="73"/>
      <c r="IQ2947" s="73"/>
      <c r="IR2947" s="73"/>
      <c r="IS2947" s="73"/>
      <c r="IT2947" s="73"/>
      <c r="IU2947" s="73"/>
      <c r="IV2947" s="73"/>
      <c r="IW2947" s="73"/>
      <c r="IX2947" s="73"/>
      <c r="IY2947" s="73"/>
      <c r="IZ2947" s="73"/>
      <c r="JA2947" s="73"/>
      <c r="JB2947" s="73"/>
      <c r="JC2947" s="73"/>
    </row>
    <row r="2948" spans="2:263" s="72" customFormat="1">
      <c r="B2948" s="73"/>
      <c r="C2948" s="73"/>
      <c r="D2948" s="73"/>
      <c r="E2948" s="73"/>
      <c r="F2948" s="73"/>
      <c r="G2948" s="73"/>
      <c r="H2948" s="73"/>
      <c r="I2948" s="73"/>
      <c r="J2948" s="73"/>
      <c r="K2948" s="73"/>
      <c r="L2948" s="73"/>
      <c r="M2948" s="73"/>
      <c r="N2948" s="73"/>
      <c r="O2948" s="73"/>
      <c r="P2948" s="73"/>
      <c r="Q2948" s="73"/>
      <c r="R2948" s="73"/>
      <c r="S2948" s="73"/>
      <c r="T2948" s="73"/>
      <c r="U2948" s="73"/>
      <c r="V2948" s="73"/>
      <c r="W2948" s="73"/>
      <c r="GL2948" s="73"/>
      <c r="GM2948" s="73"/>
      <c r="GN2948" s="73"/>
      <c r="GO2948" s="73"/>
      <c r="GP2948" s="73"/>
      <c r="GQ2948" s="73"/>
      <c r="GR2948" s="73"/>
      <c r="GS2948" s="73"/>
      <c r="GT2948" s="73"/>
      <c r="GU2948" s="73"/>
      <c r="GV2948" s="73"/>
      <c r="GW2948" s="73"/>
      <c r="GX2948" s="73"/>
      <c r="GY2948" s="73"/>
      <c r="GZ2948" s="73"/>
      <c r="HA2948" s="73"/>
      <c r="HB2948" s="73"/>
      <c r="HC2948" s="73"/>
      <c r="HD2948" s="73"/>
      <c r="HE2948" s="73"/>
      <c r="HF2948" s="73"/>
      <c r="HG2948" s="73"/>
      <c r="HH2948" s="73"/>
      <c r="HI2948" s="73"/>
      <c r="HJ2948" s="73"/>
      <c r="HK2948" s="73"/>
      <c r="HL2948" s="73"/>
      <c r="HM2948" s="73"/>
      <c r="HN2948" s="73"/>
      <c r="HO2948" s="73"/>
      <c r="HP2948" s="73"/>
      <c r="HQ2948" s="73"/>
      <c r="HR2948" s="73"/>
      <c r="HS2948" s="73"/>
      <c r="HT2948" s="73"/>
      <c r="HU2948" s="73"/>
      <c r="HV2948" s="73"/>
      <c r="HW2948" s="73"/>
      <c r="HX2948" s="73"/>
      <c r="HY2948" s="73"/>
      <c r="HZ2948" s="73"/>
      <c r="IA2948" s="73"/>
      <c r="IB2948" s="73"/>
      <c r="IC2948" s="73"/>
      <c r="ID2948" s="73"/>
      <c r="IE2948" s="73"/>
      <c r="IF2948" s="73"/>
      <c r="IG2948" s="73"/>
      <c r="IH2948" s="73"/>
      <c r="II2948" s="73"/>
      <c r="IJ2948" s="73"/>
      <c r="IK2948" s="73"/>
      <c r="IL2948" s="73"/>
      <c r="IM2948" s="73"/>
      <c r="IN2948" s="73"/>
      <c r="IO2948" s="73"/>
      <c r="IP2948" s="73"/>
      <c r="IQ2948" s="73"/>
      <c r="IR2948" s="73"/>
      <c r="IS2948" s="73"/>
      <c r="IT2948" s="73"/>
      <c r="IU2948" s="73"/>
      <c r="IV2948" s="73"/>
      <c r="IW2948" s="73"/>
      <c r="IX2948" s="73"/>
      <c r="IY2948" s="73"/>
      <c r="IZ2948" s="73"/>
      <c r="JA2948" s="73"/>
      <c r="JB2948" s="73"/>
      <c r="JC2948" s="73"/>
    </row>
    <row r="2949" spans="2:263" s="72" customFormat="1">
      <c r="B2949" s="73"/>
      <c r="C2949" s="73"/>
      <c r="D2949" s="73"/>
      <c r="E2949" s="73"/>
      <c r="F2949" s="73"/>
      <c r="G2949" s="73"/>
      <c r="H2949" s="73"/>
      <c r="I2949" s="73"/>
      <c r="J2949" s="73"/>
      <c r="K2949" s="73"/>
      <c r="L2949" s="73"/>
      <c r="M2949" s="73"/>
      <c r="N2949" s="73"/>
      <c r="O2949" s="73"/>
      <c r="P2949" s="73"/>
      <c r="Q2949" s="73"/>
      <c r="R2949" s="73"/>
      <c r="S2949" s="73"/>
      <c r="T2949" s="73"/>
      <c r="U2949" s="73"/>
      <c r="V2949" s="73"/>
      <c r="W2949" s="73"/>
      <c r="GL2949" s="73"/>
      <c r="GM2949" s="73"/>
      <c r="GN2949" s="73"/>
      <c r="GO2949" s="73"/>
      <c r="GP2949" s="73"/>
      <c r="GQ2949" s="73"/>
      <c r="GR2949" s="73"/>
      <c r="GS2949" s="73"/>
      <c r="GT2949" s="73"/>
      <c r="GU2949" s="73"/>
      <c r="GV2949" s="73"/>
      <c r="GW2949" s="73"/>
      <c r="GX2949" s="73"/>
      <c r="GY2949" s="73"/>
      <c r="GZ2949" s="73"/>
      <c r="HA2949" s="73"/>
      <c r="HB2949" s="73"/>
      <c r="HC2949" s="73"/>
      <c r="HD2949" s="73"/>
      <c r="HE2949" s="73"/>
      <c r="HF2949" s="73"/>
      <c r="HG2949" s="73"/>
      <c r="HH2949" s="73"/>
      <c r="HI2949" s="73"/>
      <c r="HJ2949" s="73"/>
      <c r="HK2949" s="73"/>
      <c r="HL2949" s="73"/>
      <c r="HM2949" s="73"/>
      <c r="HN2949" s="73"/>
      <c r="HO2949" s="73"/>
      <c r="HP2949" s="73"/>
      <c r="HQ2949" s="73"/>
      <c r="HR2949" s="73"/>
      <c r="HS2949" s="73"/>
      <c r="HT2949" s="73"/>
      <c r="HU2949" s="73"/>
      <c r="HV2949" s="73"/>
      <c r="HW2949" s="73"/>
      <c r="HX2949" s="73"/>
      <c r="HY2949" s="73"/>
      <c r="HZ2949" s="73"/>
      <c r="IA2949" s="73"/>
      <c r="IB2949" s="73"/>
      <c r="IC2949" s="73"/>
      <c r="ID2949" s="73"/>
      <c r="IE2949" s="73"/>
      <c r="IF2949" s="73"/>
      <c r="IG2949" s="73"/>
      <c r="IH2949" s="73"/>
      <c r="II2949" s="73"/>
      <c r="IJ2949" s="73"/>
      <c r="IK2949" s="73"/>
      <c r="IL2949" s="73"/>
      <c r="IM2949" s="73"/>
      <c r="IN2949" s="73"/>
      <c r="IO2949" s="73"/>
      <c r="IP2949" s="73"/>
      <c r="IQ2949" s="73"/>
      <c r="IR2949" s="73"/>
      <c r="IS2949" s="73"/>
      <c r="IT2949" s="73"/>
      <c r="IU2949" s="73"/>
      <c r="IV2949" s="73"/>
      <c r="IW2949" s="73"/>
      <c r="IX2949" s="73"/>
      <c r="IY2949" s="73"/>
      <c r="IZ2949" s="73"/>
      <c r="JA2949" s="73"/>
      <c r="JB2949" s="73"/>
      <c r="JC2949" s="73"/>
    </row>
    <row r="2950" spans="2:263" s="72" customFormat="1">
      <c r="B2950" s="73"/>
      <c r="C2950" s="73"/>
      <c r="D2950" s="73"/>
      <c r="E2950" s="73"/>
      <c r="F2950" s="73"/>
      <c r="G2950" s="73"/>
      <c r="H2950" s="73"/>
      <c r="I2950" s="73"/>
      <c r="J2950" s="73"/>
      <c r="K2950" s="73"/>
      <c r="L2950" s="73"/>
      <c r="M2950" s="73"/>
      <c r="N2950" s="73"/>
      <c r="O2950" s="73"/>
      <c r="P2950" s="73"/>
      <c r="Q2950" s="73"/>
      <c r="R2950" s="73"/>
      <c r="S2950" s="73"/>
      <c r="T2950" s="73"/>
      <c r="U2950" s="73"/>
      <c r="V2950" s="73"/>
      <c r="W2950" s="73"/>
      <c r="GL2950" s="73"/>
      <c r="GM2950" s="73"/>
      <c r="GN2950" s="73"/>
      <c r="GO2950" s="73"/>
      <c r="GP2950" s="73"/>
      <c r="GQ2950" s="73"/>
      <c r="GR2950" s="73"/>
      <c r="GS2950" s="73"/>
      <c r="GT2950" s="73"/>
      <c r="GU2950" s="73"/>
      <c r="GV2950" s="73"/>
      <c r="GW2950" s="73"/>
      <c r="GX2950" s="73"/>
      <c r="GY2950" s="73"/>
      <c r="GZ2950" s="73"/>
      <c r="HA2950" s="73"/>
      <c r="HB2950" s="73"/>
      <c r="HC2950" s="73"/>
      <c r="HD2950" s="73"/>
      <c r="HE2950" s="73"/>
      <c r="HF2950" s="73"/>
      <c r="HG2950" s="73"/>
      <c r="HH2950" s="73"/>
      <c r="HI2950" s="73"/>
      <c r="HJ2950" s="73"/>
      <c r="HK2950" s="73"/>
      <c r="HL2950" s="73"/>
      <c r="HM2950" s="73"/>
      <c r="HN2950" s="73"/>
      <c r="HO2950" s="73"/>
      <c r="HP2950" s="73"/>
      <c r="HQ2950" s="73"/>
      <c r="HR2950" s="73"/>
      <c r="HS2950" s="73"/>
      <c r="HT2950" s="73"/>
      <c r="HU2950" s="73"/>
      <c r="HV2950" s="73"/>
      <c r="HW2950" s="73"/>
      <c r="HX2950" s="73"/>
      <c r="HY2950" s="73"/>
      <c r="HZ2950" s="73"/>
      <c r="IA2950" s="73"/>
      <c r="IB2950" s="73"/>
      <c r="IC2950" s="73"/>
      <c r="ID2950" s="73"/>
      <c r="IE2950" s="73"/>
      <c r="IF2950" s="73"/>
      <c r="IG2950" s="73"/>
      <c r="IH2950" s="73"/>
      <c r="II2950" s="73"/>
      <c r="IJ2950" s="73"/>
      <c r="IK2950" s="73"/>
      <c r="IL2950" s="73"/>
      <c r="IM2950" s="73"/>
      <c r="IN2950" s="73"/>
      <c r="IO2950" s="73"/>
      <c r="IP2950" s="73"/>
      <c r="IQ2950" s="73"/>
      <c r="IR2950" s="73"/>
      <c r="IS2950" s="73"/>
      <c r="IT2950" s="73"/>
      <c r="IU2950" s="73"/>
      <c r="IV2950" s="73"/>
      <c r="IW2950" s="73"/>
      <c r="IX2950" s="73"/>
      <c r="IY2950" s="73"/>
      <c r="IZ2950" s="73"/>
      <c r="JA2950" s="73"/>
      <c r="JB2950" s="73"/>
      <c r="JC2950" s="73"/>
    </row>
    <row r="2951" spans="2:263" s="72" customFormat="1">
      <c r="B2951" s="73"/>
      <c r="C2951" s="73"/>
      <c r="D2951" s="73"/>
      <c r="E2951" s="73"/>
      <c r="F2951" s="73"/>
      <c r="G2951" s="73"/>
      <c r="H2951" s="73"/>
      <c r="I2951" s="73"/>
      <c r="J2951" s="73"/>
      <c r="K2951" s="73"/>
      <c r="L2951" s="73"/>
      <c r="M2951" s="73"/>
      <c r="N2951" s="73"/>
      <c r="O2951" s="73"/>
      <c r="P2951" s="73"/>
      <c r="Q2951" s="73"/>
      <c r="R2951" s="73"/>
      <c r="S2951" s="73"/>
      <c r="T2951" s="73"/>
      <c r="U2951" s="73"/>
      <c r="V2951" s="73"/>
      <c r="W2951" s="73"/>
      <c r="GL2951" s="73"/>
      <c r="GM2951" s="73"/>
      <c r="GN2951" s="73"/>
      <c r="GO2951" s="73"/>
      <c r="GP2951" s="73"/>
      <c r="GQ2951" s="73"/>
      <c r="GR2951" s="73"/>
      <c r="GS2951" s="73"/>
      <c r="GT2951" s="73"/>
      <c r="GU2951" s="73"/>
      <c r="GV2951" s="73"/>
      <c r="GW2951" s="73"/>
      <c r="GX2951" s="73"/>
      <c r="GY2951" s="73"/>
      <c r="GZ2951" s="73"/>
      <c r="HA2951" s="73"/>
      <c r="HB2951" s="73"/>
      <c r="HC2951" s="73"/>
      <c r="HD2951" s="73"/>
      <c r="HE2951" s="73"/>
      <c r="HF2951" s="73"/>
      <c r="HG2951" s="73"/>
      <c r="HH2951" s="73"/>
      <c r="HI2951" s="73"/>
      <c r="HJ2951" s="73"/>
      <c r="HK2951" s="73"/>
      <c r="HL2951" s="73"/>
      <c r="HM2951" s="73"/>
      <c r="HN2951" s="73"/>
      <c r="HO2951" s="73"/>
      <c r="HP2951" s="73"/>
      <c r="HQ2951" s="73"/>
      <c r="HR2951" s="73"/>
      <c r="HS2951" s="73"/>
      <c r="HT2951" s="73"/>
      <c r="HU2951" s="73"/>
      <c r="HV2951" s="73"/>
      <c r="HW2951" s="73"/>
      <c r="HX2951" s="73"/>
      <c r="HY2951" s="73"/>
      <c r="HZ2951" s="73"/>
      <c r="IA2951" s="73"/>
      <c r="IB2951" s="73"/>
      <c r="IC2951" s="73"/>
      <c r="ID2951" s="73"/>
      <c r="IE2951" s="73"/>
      <c r="IF2951" s="73"/>
      <c r="IG2951" s="73"/>
      <c r="IH2951" s="73"/>
      <c r="II2951" s="73"/>
      <c r="IJ2951" s="73"/>
      <c r="IK2951" s="73"/>
      <c r="IL2951" s="73"/>
      <c r="IM2951" s="73"/>
      <c r="IN2951" s="73"/>
      <c r="IO2951" s="73"/>
      <c r="IP2951" s="73"/>
      <c r="IQ2951" s="73"/>
      <c r="IR2951" s="73"/>
      <c r="IS2951" s="73"/>
      <c r="IT2951" s="73"/>
      <c r="IU2951" s="73"/>
      <c r="IV2951" s="73"/>
      <c r="IW2951" s="73"/>
      <c r="IX2951" s="73"/>
      <c r="IY2951" s="73"/>
      <c r="IZ2951" s="73"/>
      <c r="JA2951" s="73"/>
      <c r="JB2951" s="73"/>
      <c r="JC2951" s="73"/>
    </row>
    <row r="2952" spans="2:263" s="72" customFormat="1">
      <c r="B2952" s="73"/>
      <c r="C2952" s="73"/>
      <c r="D2952" s="73"/>
      <c r="E2952" s="73"/>
      <c r="F2952" s="73"/>
      <c r="G2952" s="73"/>
      <c r="H2952" s="73"/>
      <c r="I2952" s="73"/>
      <c r="J2952" s="73"/>
      <c r="K2952" s="73"/>
      <c r="L2952" s="73"/>
      <c r="M2952" s="73"/>
      <c r="N2952" s="73"/>
      <c r="O2952" s="73"/>
      <c r="P2952" s="73"/>
      <c r="Q2952" s="73"/>
      <c r="R2952" s="73"/>
      <c r="S2952" s="73"/>
      <c r="T2952" s="73"/>
      <c r="U2952" s="73"/>
      <c r="V2952" s="73"/>
      <c r="W2952" s="73"/>
      <c r="GL2952" s="73"/>
      <c r="GM2952" s="73"/>
      <c r="GN2952" s="73"/>
      <c r="GO2952" s="73"/>
      <c r="GP2952" s="73"/>
      <c r="GQ2952" s="73"/>
      <c r="GR2952" s="73"/>
      <c r="GS2952" s="73"/>
      <c r="GT2952" s="73"/>
      <c r="GU2952" s="73"/>
      <c r="GV2952" s="73"/>
      <c r="GW2952" s="73"/>
      <c r="GX2952" s="73"/>
      <c r="GY2952" s="73"/>
      <c r="GZ2952" s="73"/>
      <c r="HA2952" s="73"/>
      <c r="HB2952" s="73"/>
      <c r="HC2952" s="73"/>
      <c r="HD2952" s="73"/>
      <c r="HE2952" s="73"/>
      <c r="HF2952" s="73"/>
      <c r="HG2952" s="73"/>
      <c r="HH2952" s="73"/>
      <c r="HI2952" s="73"/>
      <c r="HJ2952" s="73"/>
      <c r="HK2952" s="73"/>
      <c r="HL2952" s="73"/>
      <c r="HM2952" s="73"/>
      <c r="HN2952" s="73"/>
      <c r="HO2952" s="73"/>
      <c r="HP2952" s="73"/>
      <c r="HQ2952" s="73"/>
      <c r="HR2952" s="73"/>
      <c r="HS2952" s="73"/>
      <c r="HT2952" s="73"/>
      <c r="HU2952" s="73"/>
      <c r="HV2952" s="73"/>
      <c r="HW2952" s="73"/>
      <c r="HX2952" s="73"/>
      <c r="HY2952" s="73"/>
      <c r="HZ2952" s="73"/>
      <c r="IA2952" s="73"/>
      <c r="IB2952" s="73"/>
      <c r="IC2952" s="73"/>
      <c r="ID2952" s="73"/>
      <c r="IE2952" s="73"/>
      <c r="IF2952" s="73"/>
      <c r="IG2952" s="73"/>
      <c r="IH2952" s="73"/>
      <c r="II2952" s="73"/>
      <c r="IJ2952" s="73"/>
      <c r="IK2952" s="73"/>
      <c r="IL2952" s="73"/>
      <c r="IM2952" s="73"/>
      <c r="IN2952" s="73"/>
      <c r="IO2952" s="73"/>
      <c r="IP2952" s="73"/>
      <c r="IQ2952" s="73"/>
      <c r="IR2952" s="73"/>
      <c r="IS2952" s="73"/>
      <c r="IT2952" s="73"/>
      <c r="IU2952" s="73"/>
      <c r="IV2952" s="73"/>
      <c r="IW2952" s="73"/>
      <c r="IX2952" s="73"/>
      <c r="IY2952" s="73"/>
      <c r="IZ2952" s="73"/>
      <c r="JA2952" s="73"/>
      <c r="JB2952" s="73"/>
      <c r="JC2952" s="73"/>
    </row>
    <row r="2953" spans="2:263" s="72" customFormat="1">
      <c r="B2953" s="73"/>
      <c r="C2953" s="73"/>
      <c r="D2953" s="73"/>
      <c r="E2953" s="73"/>
      <c r="F2953" s="73"/>
      <c r="G2953" s="73"/>
      <c r="H2953" s="73"/>
      <c r="I2953" s="73"/>
      <c r="J2953" s="73"/>
      <c r="K2953" s="73"/>
      <c r="L2953" s="73"/>
      <c r="M2953" s="73"/>
      <c r="N2953" s="73"/>
      <c r="O2953" s="73"/>
      <c r="P2953" s="73"/>
      <c r="Q2953" s="73"/>
      <c r="R2953" s="73"/>
      <c r="S2953" s="73"/>
      <c r="T2953" s="73"/>
      <c r="U2953" s="73"/>
      <c r="V2953" s="73"/>
      <c r="W2953" s="73"/>
      <c r="GL2953" s="73"/>
      <c r="GM2953" s="73"/>
      <c r="GN2953" s="73"/>
      <c r="GO2953" s="73"/>
      <c r="GP2953" s="73"/>
      <c r="GQ2953" s="73"/>
      <c r="GR2953" s="73"/>
      <c r="GS2953" s="73"/>
      <c r="GT2953" s="73"/>
      <c r="GU2953" s="73"/>
      <c r="GV2953" s="73"/>
      <c r="GW2953" s="73"/>
      <c r="GX2953" s="73"/>
      <c r="GY2953" s="73"/>
      <c r="GZ2953" s="73"/>
      <c r="HA2953" s="73"/>
      <c r="HB2953" s="73"/>
      <c r="HC2953" s="73"/>
      <c r="HD2953" s="73"/>
      <c r="HE2953" s="73"/>
      <c r="HF2953" s="73"/>
      <c r="HG2953" s="73"/>
      <c r="HH2953" s="73"/>
      <c r="HI2953" s="73"/>
      <c r="HJ2953" s="73"/>
      <c r="HK2953" s="73"/>
      <c r="HL2953" s="73"/>
      <c r="HM2953" s="73"/>
      <c r="HN2953" s="73"/>
      <c r="HO2953" s="73"/>
      <c r="HP2953" s="73"/>
      <c r="HQ2953" s="73"/>
      <c r="HR2953" s="73"/>
      <c r="HS2953" s="73"/>
      <c r="HT2953" s="73"/>
      <c r="HU2953" s="73"/>
      <c r="HV2953" s="73"/>
      <c r="HW2953" s="73"/>
      <c r="HX2953" s="73"/>
      <c r="HY2953" s="73"/>
      <c r="HZ2953" s="73"/>
      <c r="IA2953" s="73"/>
      <c r="IB2953" s="73"/>
      <c r="IC2953" s="73"/>
      <c r="ID2953" s="73"/>
      <c r="IE2953" s="73"/>
      <c r="IF2953" s="73"/>
      <c r="IG2953" s="73"/>
      <c r="IH2953" s="73"/>
      <c r="II2953" s="73"/>
      <c r="IJ2953" s="73"/>
      <c r="IK2953" s="73"/>
      <c r="IL2953" s="73"/>
      <c r="IM2953" s="73"/>
      <c r="IN2953" s="73"/>
      <c r="IO2953" s="73"/>
      <c r="IP2953" s="73"/>
      <c r="IQ2953" s="73"/>
      <c r="IR2953" s="73"/>
      <c r="IS2953" s="73"/>
      <c r="IT2953" s="73"/>
      <c r="IU2953" s="73"/>
      <c r="IV2953" s="73"/>
      <c r="IW2953" s="73"/>
      <c r="IX2953" s="73"/>
      <c r="IY2953" s="73"/>
      <c r="IZ2953" s="73"/>
      <c r="JA2953" s="73"/>
      <c r="JB2953" s="73"/>
      <c r="JC2953" s="73"/>
    </row>
    <row r="2954" spans="2:263" s="72" customFormat="1">
      <c r="B2954" s="73"/>
      <c r="C2954" s="73"/>
      <c r="D2954" s="73"/>
      <c r="E2954" s="73"/>
      <c r="F2954" s="73"/>
      <c r="G2954" s="73"/>
      <c r="H2954" s="73"/>
      <c r="I2954" s="73"/>
      <c r="J2954" s="73"/>
      <c r="K2954" s="73"/>
      <c r="L2954" s="73"/>
      <c r="M2954" s="73"/>
      <c r="N2954" s="73"/>
      <c r="O2954" s="73"/>
      <c r="P2954" s="73"/>
      <c r="Q2954" s="73"/>
      <c r="R2954" s="73"/>
      <c r="S2954" s="73"/>
      <c r="T2954" s="73"/>
      <c r="U2954" s="73"/>
      <c r="V2954" s="73"/>
      <c r="W2954" s="73"/>
      <c r="GL2954" s="73"/>
      <c r="GM2954" s="73"/>
      <c r="GN2954" s="73"/>
      <c r="GO2954" s="73"/>
      <c r="GP2954" s="73"/>
      <c r="GQ2954" s="73"/>
      <c r="GR2954" s="73"/>
      <c r="GS2954" s="73"/>
      <c r="GT2954" s="73"/>
      <c r="GU2954" s="73"/>
      <c r="GV2954" s="73"/>
      <c r="GW2954" s="73"/>
      <c r="GX2954" s="73"/>
      <c r="GY2954" s="73"/>
      <c r="GZ2954" s="73"/>
      <c r="HA2954" s="73"/>
      <c r="HB2954" s="73"/>
      <c r="HC2954" s="73"/>
      <c r="HD2954" s="73"/>
      <c r="HE2954" s="73"/>
      <c r="HF2954" s="73"/>
      <c r="HG2954" s="73"/>
      <c r="HH2954" s="73"/>
      <c r="HI2954" s="73"/>
      <c r="HJ2954" s="73"/>
      <c r="HK2954" s="73"/>
      <c r="HL2954" s="73"/>
      <c r="HM2954" s="73"/>
      <c r="HN2954" s="73"/>
      <c r="HO2954" s="73"/>
      <c r="HP2954" s="73"/>
      <c r="HQ2954" s="73"/>
      <c r="HR2954" s="73"/>
      <c r="HS2954" s="73"/>
      <c r="HT2954" s="73"/>
      <c r="HU2954" s="73"/>
      <c r="HV2954" s="73"/>
      <c r="HW2954" s="73"/>
      <c r="HX2954" s="73"/>
      <c r="HY2954" s="73"/>
      <c r="HZ2954" s="73"/>
      <c r="IA2954" s="73"/>
      <c r="IB2954" s="73"/>
      <c r="IC2954" s="73"/>
      <c r="ID2954" s="73"/>
      <c r="IE2954" s="73"/>
      <c r="IF2954" s="73"/>
      <c r="IG2954" s="73"/>
      <c r="IH2954" s="73"/>
      <c r="II2954" s="73"/>
      <c r="IJ2954" s="73"/>
      <c r="IK2954" s="73"/>
      <c r="IL2954" s="73"/>
      <c r="IM2954" s="73"/>
      <c r="IN2954" s="73"/>
      <c r="IO2954" s="73"/>
      <c r="IP2954" s="73"/>
      <c r="IQ2954" s="73"/>
      <c r="IR2954" s="73"/>
      <c r="IS2954" s="73"/>
      <c r="IT2954" s="73"/>
      <c r="IU2954" s="73"/>
      <c r="IV2954" s="73"/>
      <c r="IW2954" s="73"/>
      <c r="IX2954" s="73"/>
      <c r="IY2954" s="73"/>
      <c r="IZ2954" s="73"/>
      <c r="JA2954" s="73"/>
      <c r="JB2954" s="73"/>
      <c r="JC2954" s="73"/>
    </row>
    <row r="2955" spans="2:263" s="72" customFormat="1">
      <c r="B2955" s="73"/>
      <c r="C2955" s="73"/>
      <c r="D2955" s="73"/>
      <c r="E2955" s="73"/>
      <c r="F2955" s="73"/>
      <c r="G2955" s="73"/>
      <c r="H2955" s="73"/>
      <c r="I2955" s="73"/>
      <c r="J2955" s="73"/>
      <c r="K2955" s="73"/>
      <c r="L2955" s="73"/>
      <c r="M2955" s="73"/>
      <c r="N2955" s="73"/>
      <c r="O2955" s="73"/>
      <c r="P2955" s="73"/>
      <c r="Q2955" s="73"/>
      <c r="R2955" s="73"/>
      <c r="S2955" s="73"/>
      <c r="T2955" s="73"/>
      <c r="U2955" s="73"/>
      <c r="V2955" s="73"/>
      <c r="W2955" s="73"/>
      <c r="GL2955" s="73"/>
      <c r="GM2955" s="73"/>
      <c r="GN2955" s="73"/>
      <c r="GO2955" s="73"/>
      <c r="GP2955" s="73"/>
      <c r="GQ2955" s="73"/>
      <c r="GR2955" s="73"/>
      <c r="GS2955" s="73"/>
      <c r="GT2955" s="73"/>
      <c r="GU2955" s="73"/>
      <c r="GV2955" s="73"/>
      <c r="GW2955" s="73"/>
      <c r="GX2955" s="73"/>
      <c r="GY2955" s="73"/>
      <c r="GZ2955" s="73"/>
      <c r="HA2955" s="73"/>
      <c r="HB2955" s="73"/>
      <c r="HC2955" s="73"/>
      <c r="HD2955" s="73"/>
      <c r="HE2955" s="73"/>
      <c r="HF2955" s="73"/>
      <c r="HG2955" s="73"/>
      <c r="HH2955" s="73"/>
      <c r="HI2955" s="73"/>
      <c r="HJ2955" s="73"/>
      <c r="HK2955" s="73"/>
      <c r="HL2955" s="73"/>
      <c r="HM2955" s="73"/>
      <c r="HN2955" s="73"/>
      <c r="HO2955" s="73"/>
      <c r="HP2955" s="73"/>
      <c r="HQ2955" s="73"/>
      <c r="HR2955" s="73"/>
      <c r="HS2955" s="73"/>
      <c r="HT2955" s="73"/>
      <c r="HU2955" s="73"/>
      <c r="HV2955" s="73"/>
      <c r="HW2955" s="73"/>
      <c r="HX2955" s="73"/>
      <c r="HY2955" s="73"/>
      <c r="HZ2955" s="73"/>
      <c r="IA2955" s="73"/>
      <c r="IB2955" s="73"/>
      <c r="IC2955" s="73"/>
      <c r="ID2955" s="73"/>
      <c r="IE2955" s="73"/>
      <c r="IF2955" s="73"/>
      <c r="IG2955" s="73"/>
      <c r="IH2955" s="73"/>
      <c r="II2955" s="73"/>
      <c r="IJ2955" s="73"/>
      <c r="IK2955" s="73"/>
      <c r="IL2955" s="73"/>
      <c r="IM2955" s="73"/>
      <c r="IN2955" s="73"/>
      <c r="IO2955" s="73"/>
      <c r="IP2955" s="73"/>
      <c r="IQ2955" s="73"/>
      <c r="IR2955" s="73"/>
      <c r="IS2955" s="73"/>
      <c r="IT2955" s="73"/>
      <c r="IU2955" s="73"/>
      <c r="IV2955" s="73"/>
      <c r="IW2955" s="73"/>
      <c r="IX2955" s="73"/>
      <c r="IY2955" s="73"/>
      <c r="IZ2955" s="73"/>
      <c r="JA2955" s="73"/>
      <c r="JB2955" s="73"/>
      <c r="JC2955" s="73"/>
    </row>
    <row r="2956" spans="2:263" s="72" customFormat="1">
      <c r="B2956" s="73"/>
      <c r="C2956" s="73"/>
      <c r="D2956" s="73"/>
      <c r="E2956" s="73"/>
      <c r="F2956" s="73"/>
      <c r="G2956" s="73"/>
      <c r="H2956" s="73"/>
      <c r="I2956" s="73"/>
      <c r="J2956" s="73"/>
      <c r="K2956" s="73"/>
      <c r="L2956" s="73"/>
      <c r="M2956" s="73"/>
      <c r="N2956" s="73"/>
      <c r="O2956" s="73"/>
      <c r="P2956" s="73"/>
      <c r="Q2956" s="73"/>
      <c r="R2956" s="73"/>
      <c r="S2956" s="73"/>
      <c r="T2956" s="73"/>
      <c r="U2956" s="73"/>
      <c r="V2956" s="73"/>
      <c r="W2956" s="73"/>
      <c r="GL2956" s="73"/>
      <c r="GM2956" s="73"/>
      <c r="GN2956" s="73"/>
      <c r="GO2956" s="73"/>
      <c r="GP2956" s="73"/>
      <c r="GQ2956" s="73"/>
      <c r="GR2956" s="73"/>
      <c r="GS2956" s="73"/>
      <c r="GT2956" s="73"/>
      <c r="GU2956" s="73"/>
      <c r="GV2956" s="73"/>
      <c r="GW2956" s="73"/>
      <c r="GX2956" s="73"/>
      <c r="GY2956" s="73"/>
      <c r="GZ2956" s="73"/>
      <c r="HA2956" s="73"/>
      <c r="HB2956" s="73"/>
      <c r="HC2956" s="73"/>
      <c r="HD2956" s="73"/>
      <c r="HE2956" s="73"/>
      <c r="HF2956" s="73"/>
      <c r="HG2956" s="73"/>
      <c r="HH2956" s="73"/>
      <c r="HI2956" s="73"/>
      <c r="HJ2956" s="73"/>
      <c r="HK2956" s="73"/>
      <c r="HL2956" s="73"/>
      <c r="HM2956" s="73"/>
      <c r="HN2956" s="73"/>
      <c r="HO2956" s="73"/>
      <c r="HP2956" s="73"/>
      <c r="HQ2956" s="73"/>
      <c r="HR2956" s="73"/>
      <c r="HS2956" s="73"/>
      <c r="HT2956" s="73"/>
      <c r="HU2956" s="73"/>
      <c r="HV2956" s="73"/>
      <c r="HW2956" s="73"/>
      <c r="HX2956" s="73"/>
      <c r="HY2956" s="73"/>
      <c r="HZ2956" s="73"/>
      <c r="IA2956" s="73"/>
      <c r="IB2956" s="73"/>
      <c r="IC2956" s="73"/>
      <c r="ID2956" s="73"/>
      <c r="IE2956" s="73"/>
      <c r="IF2956" s="73"/>
      <c r="IG2956" s="73"/>
      <c r="IH2956" s="73"/>
      <c r="II2956" s="73"/>
      <c r="IJ2956" s="73"/>
      <c r="IK2956" s="73"/>
      <c r="IL2956" s="73"/>
      <c r="IM2956" s="73"/>
      <c r="IN2956" s="73"/>
      <c r="IO2956" s="73"/>
      <c r="IP2956" s="73"/>
      <c r="IQ2956" s="73"/>
      <c r="IR2956" s="73"/>
      <c r="IS2956" s="73"/>
      <c r="IT2956" s="73"/>
      <c r="IU2956" s="73"/>
      <c r="IV2956" s="73"/>
      <c r="IW2956" s="73"/>
      <c r="IX2956" s="73"/>
      <c r="IY2956" s="73"/>
      <c r="IZ2956" s="73"/>
      <c r="JA2956" s="73"/>
      <c r="JB2956" s="73"/>
      <c r="JC2956" s="73"/>
    </row>
    <row r="2957" spans="2:263" s="72" customFormat="1">
      <c r="B2957" s="73"/>
      <c r="C2957" s="73"/>
      <c r="D2957" s="73"/>
      <c r="E2957" s="73"/>
      <c r="F2957" s="73"/>
      <c r="G2957" s="73"/>
      <c r="H2957" s="73"/>
      <c r="I2957" s="73"/>
      <c r="J2957" s="73"/>
      <c r="K2957" s="73"/>
      <c r="L2957" s="73"/>
      <c r="M2957" s="73"/>
      <c r="N2957" s="73"/>
      <c r="O2957" s="73"/>
      <c r="P2957" s="73"/>
      <c r="Q2957" s="73"/>
      <c r="R2957" s="73"/>
      <c r="S2957" s="73"/>
      <c r="T2957" s="73"/>
      <c r="U2957" s="73"/>
      <c r="V2957" s="73"/>
      <c r="W2957" s="73"/>
      <c r="GL2957" s="73"/>
      <c r="GM2957" s="73"/>
      <c r="GN2957" s="73"/>
      <c r="GO2957" s="73"/>
      <c r="GP2957" s="73"/>
      <c r="GQ2957" s="73"/>
      <c r="GR2957" s="73"/>
      <c r="GS2957" s="73"/>
      <c r="GT2957" s="73"/>
      <c r="GU2957" s="73"/>
      <c r="GV2957" s="73"/>
      <c r="GW2957" s="73"/>
      <c r="GX2957" s="73"/>
      <c r="GY2957" s="73"/>
      <c r="GZ2957" s="73"/>
      <c r="HA2957" s="73"/>
      <c r="HB2957" s="73"/>
      <c r="HC2957" s="73"/>
      <c r="HD2957" s="73"/>
      <c r="HE2957" s="73"/>
      <c r="HF2957" s="73"/>
      <c r="HG2957" s="73"/>
      <c r="HH2957" s="73"/>
      <c r="HI2957" s="73"/>
      <c r="HJ2957" s="73"/>
      <c r="HK2957" s="73"/>
      <c r="HL2957" s="73"/>
      <c r="HM2957" s="73"/>
      <c r="HN2957" s="73"/>
      <c r="HO2957" s="73"/>
      <c r="HP2957" s="73"/>
      <c r="HQ2957" s="73"/>
      <c r="HR2957" s="73"/>
      <c r="HS2957" s="73"/>
      <c r="HT2957" s="73"/>
      <c r="HU2957" s="73"/>
      <c r="HV2957" s="73"/>
      <c r="HW2957" s="73"/>
      <c r="HX2957" s="73"/>
      <c r="HY2957" s="73"/>
      <c r="HZ2957" s="73"/>
      <c r="IA2957" s="73"/>
      <c r="IB2957" s="73"/>
      <c r="IC2957" s="73"/>
      <c r="ID2957" s="73"/>
      <c r="IE2957" s="73"/>
      <c r="IF2957" s="73"/>
      <c r="IG2957" s="73"/>
      <c r="IH2957" s="73"/>
      <c r="II2957" s="73"/>
      <c r="IJ2957" s="73"/>
      <c r="IK2957" s="73"/>
      <c r="IL2957" s="73"/>
      <c r="IM2957" s="73"/>
      <c r="IN2957" s="73"/>
      <c r="IO2957" s="73"/>
      <c r="IP2957" s="73"/>
      <c r="IQ2957" s="73"/>
      <c r="IR2957" s="73"/>
      <c r="IS2957" s="73"/>
      <c r="IT2957" s="73"/>
      <c r="IU2957" s="73"/>
      <c r="IV2957" s="73"/>
      <c r="IW2957" s="73"/>
      <c r="IX2957" s="73"/>
      <c r="IY2957" s="73"/>
      <c r="IZ2957" s="73"/>
      <c r="JA2957" s="73"/>
      <c r="JB2957" s="73"/>
      <c r="JC2957" s="73"/>
    </row>
    <row r="2958" spans="2:263" s="72" customFormat="1">
      <c r="B2958" s="73"/>
      <c r="C2958" s="73"/>
      <c r="D2958" s="73"/>
      <c r="E2958" s="73"/>
      <c r="F2958" s="73"/>
      <c r="G2958" s="73"/>
      <c r="H2958" s="73"/>
      <c r="I2958" s="73"/>
      <c r="J2958" s="73"/>
      <c r="K2958" s="73"/>
      <c r="L2958" s="73"/>
      <c r="M2958" s="73"/>
      <c r="N2958" s="73"/>
      <c r="O2958" s="73"/>
      <c r="P2958" s="73"/>
      <c r="Q2958" s="73"/>
      <c r="R2958" s="73"/>
      <c r="S2958" s="73"/>
      <c r="T2958" s="73"/>
      <c r="U2958" s="73"/>
      <c r="V2958" s="73"/>
      <c r="W2958" s="73"/>
      <c r="GL2958" s="73"/>
      <c r="GM2958" s="73"/>
      <c r="GN2958" s="73"/>
      <c r="GO2958" s="73"/>
      <c r="GP2958" s="73"/>
      <c r="GQ2958" s="73"/>
      <c r="GR2958" s="73"/>
      <c r="GS2958" s="73"/>
      <c r="GT2958" s="73"/>
      <c r="GU2958" s="73"/>
      <c r="GV2958" s="73"/>
      <c r="GW2958" s="73"/>
      <c r="GX2958" s="73"/>
      <c r="GY2958" s="73"/>
      <c r="GZ2958" s="73"/>
      <c r="HA2958" s="73"/>
      <c r="HB2958" s="73"/>
      <c r="HC2958" s="73"/>
      <c r="HD2958" s="73"/>
      <c r="HE2958" s="73"/>
      <c r="HF2958" s="73"/>
      <c r="HG2958" s="73"/>
      <c r="HH2958" s="73"/>
      <c r="HI2958" s="73"/>
      <c r="HJ2958" s="73"/>
      <c r="HK2958" s="73"/>
      <c r="HL2958" s="73"/>
      <c r="HM2958" s="73"/>
      <c r="HN2958" s="73"/>
      <c r="HO2958" s="73"/>
      <c r="HP2958" s="73"/>
      <c r="HQ2958" s="73"/>
      <c r="HR2958" s="73"/>
      <c r="HS2958" s="73"/>
      <c r="HT2958" s="73"/>
      <c r="HU2958" s="73"/>
      <c r="HV2958" s="73"/>
      <c r="HW2958" s="73"/>
      <c r="HX2958" s="73"/>
      <c r="HY2958" s="73"/>
      <c r="HZ2958" s="73"/>
      <c r="IA2958" s="73"/>
      <c r="IB2958" s="73"/>
      <c r="IC2958" s="73"/>
      <c r="ID2958" s="73"/>
      <c r="IE2958" s="73"/>
      <c r="IF2958" s="73"/>
      <c r="IG2958" s="73"/>
      <c r="IH2958" s="73"/>
      <c r="II2958" s="73"/>
      <c r="IJ2958" s="73"/>
      <c r="IK2958" s="73"/>
      <c r="IL2958" s="73"/>
      <c r="IM2958" s="73"/>
      <c r="IN2958" s="73"/>
      <c r="IO2958" s="73"/>
      <c r="IP2958" s="73"/>
      <c r="IQ2958" s="73"/>
      <c r="IR2958" s="73"/>
      <c r="IS2958" s="73"/>
      <c r="IT2958" s="73"/>
      <c r="IU2958" s="73"/>
      <c r="IV2958" s="73"/>
      <c r="IW2958" s="73"/>
      <c r="IX2958" s="73"/>
      <c r="IY2958" s="73"/>
      <c r="IZ2958" s="73"/>
      <c r="JA2958" s="73"/>
      <c r="JB2958" s="73"/>
      <c r="JC2958" s="73"/>
    </row>
    <row r="2959" spans="2:263" s="72" customFormat="1">
      <c r="B2959" s="73"/>
      <c r="C2959" s="73"/>
      <c r="D2959" s="73"/>
      <c r="E2959" s="73"/>
      <c r="F2959" s="73"/>
      <c r="G2959" s="73"/>
      <c r="H2959" s="73"/>
      <c r="I2959" s="73"/>
      <c r="J2959" s="73"/>
      <c r="K2959" s="73"/>
      <c r="L2959" s="73"/>
      <c r="M2959" s="73"/>
      <c r="N2959" s="73"/>
      <c r="O2959" s="73"/>
      <c r="P2959" s="73"/>
      <c r="Q2959" s="73"/>
      <c r="R2959" s="73"/>
      <c r="S2959" s="73"/>
      <c r="T2959" s="73"/>
      <c r="U2959" s="73"/>
      <c r="V2959" s="73"/>
      <c r="W2959" s="73"/>
      <c r="GL2959" s="73"/>
      <c r="GM2959" s="73"/>
      <c r="GN2959" s="73"/>
      <c r="GO2959" s="73"/>
      <c r="GP2959" s="73"/>
      <c r="GQ2959" s="73"/>
      <c r="GR2959" s="73"/>
      <c r="GS2959" s="73"/>
      <c r="GT2959" s="73"/>
      <c r="GU2959" s="73"/>
      <c r="GV2959" s="73"/>
      <c r="GW2959" s="73"/>
      <c r="GX2959" s="73"/>
      <c r="GY2959" s="73"/>
      <c r="GZ2959" s="73"/>
      <c r="HA2959" s="73"/>
      <c r="HB2959" s="73"/>
      <c r="HC2959" s="73"/>
      <c r="HD2959" s="73"/>
      <c r="HE2959" s="73"/>
      <c r="HF2959" s="73"/>
      <c r="HG2959" s="73"/>
      <c r="HH2959" s="73"/>
      <c r="HI2959" s="73"/>
      <c r="HJ2959" s="73"/>
      <c r="HK2959" s="73"/>
      <c r="HL2959" s="73"/>
      <c r="HM2959" s="73"/>
      <c r="HN2959" s="73"/>
      <c r="HO2959" s="73"/>
      <c r="HP2959" s="73"/>
      <c r="HQ2959" s="73"/>
      <c r="HR2959" s="73"/>
      <c r="HS2959" s="73"/>
      <c r="HT2959" s="73"/>
      <c r="HU2959" s="73"/>
      <c r="HV2959" s="73"/>
      <c r="HW2959" s="73"/>
      <c r="HX2959" s="73"/>
      <c r="HY2959" s="73"/>
      <c r="HZ2959" s="73"/>
      <c r="IA2959" s="73"/>
      <c r="IB2959" s="73"/>
      <c r="IC2959" s="73"/>
      <c r="ID2959" s="73"/>
      <c r="IE2959" s="73"/>
      <c r="IF2959" s="73"/>
      <c r="IG2959" s="73"/>
      <c r="IH2959" s="73"/>
      <c r="II2959" s="73"/>
      <c r="IJ2959" s="73"/>
      <c r="IK2959" s="73"/>
      <c r="IL2959" s="73"/>
      <c r="IM2959" s="73"/>
      <c r="IN2959" s="73"/>
      <c r="IO2959" s="73"/>
      <c r="IP2959" s="73"/>
      <c r="IQ2959" s="73"/>
      <c r="IR2959" s="73"/>
      <c r="IS2959" s="73"/>
      <c r="IT2959" s="73"/>
      <c r="IU2959" s="73"/>
      <c r="IV2959" s="73"/>
      <c r="IW2959" s="73"/>
      <c r="IX2959" s="73"/>
      <c r="IY2959" s="73"/>
      <c r="IZ2959" s="73"/>
      <c r="JA2959" s="73"/>
      <c r="JB2959" s="73"/>
      <c r="JC2959" s="73"/>
    </row>
    <row r="2960" spans="2:263" s="72" customFormat="1">
      <c r="B2960" s="73"/>
      <c r="C2960" s="73"/>
      <c r="D2960" s="73"/>
      <c r="E2960" s="73"/>
      <c r="F2960" s="73"/>
      <c r="G2960" s="73"/>
      <c r="H2960" s="73"/>
      <c r="I2960" s="73"/>
      <c r="J2960" s="73"/>
      <c r="K2960" s="73"/>
      <c r="L2960" s="73"/>
      <c r="M2960" s="73"/>
      <c r="N2960" s="73"/>
      <c r="O2960" s="73"/>
      <c r="P2960" s="73"/>
      <c r="Q2960" s="73"/>
      <c r="R2960" s="73"/>
      <c r="S2960" s="73"/>
      <c r="T2960" s="73"/>
      <c r="U2960" s="73"/>
      <c r="V2960" s="73"/>
      <c r="W2960" s="73"/>
      <c r="GL2960" s="73"/>
      <c r="GM2960" s="73"/>
      <c r="GN2960" s="73"/>
      <c r="GO2960" s="73"/>
      <c r="GP2960" s="73"/>
      <c r="GQ2960" s="73"/>
      <c r="GR2960" s="73"/>
      <c r="GS2960" s="73"/>
      <c r="GT2960" s="73"/>
      <c r="GU2960" s="73"/>
      <c r="GV2960" s="73"/>
      <c r="GW2960" s="73"/>
      <c r="GX2960" s="73"/>
      <c r="GY2960" s="73"/>
      <c r="GZ2960" s="73"/>
      <c r="HA2960" s="73"/>
      <c r="HB2960" s="73"/>
      <c r="HC2960" s="73"/>
      <c r="HD2960" s="73"/>
      <c r="HE2960" s="73"/>
      <c r="HF2960" s="73"/>
      <c r="HG2960" s="73"/>
      <c r="HH2960" s="73"/>
      <c r="HI2960" s="73"/>
      <c r="HJ2960" s="73"/>
      <c r="HK2960" s="73"/>
      <c r="HL2960" s="73"/>
      <c r="HM2960" s="73"/>
      <c r="HN2960" s="73"/>
      <c r="HO2960" s="73"/>
      <c r="HP2960" s="73"/>
      <c r="HQ2960" s="73"/>
      <c r="HR2960" s="73"/>
      <c r="HS2960" s="73"/>
      <c r="HT2960" s="73"/>
      <c r="HU2960" s="73"/>
      <c r="HV2960" s="73"/>
      <c r="HW2960" s="73"/>
      <c r="HX2960" s="73"/>
      <c r="HY2960" s="73"/>
      <c r="HZ2960" s="73"/>
      <c r="IA2960" s="73"/>
      <c r="IB2960" s="73"/>
      <c r="IC2960" s="73"/>
      <c r="ID2960" s="73"/>
      <c r="IE2960" s="73"/>
      <c r="IF2960" s="73"/>
      <c r="IG2960" s="73"/>
      <c r="IH2960" s="73"/>
      <c r="II2960" s="73"/>
      <c r="IJ2960" s="73"/>
      <c r="IK2960" s="73"/>
      <c r="IL2960" s="73"/>
      <c r="IM2960" s="73"/>
      <c r="IN2960" s="73"/>
      <c r="IO2960" s="73"/>
      <c r="IP2960" s="73"/>
      <c r="IQ2960" s="73"/>
      <c r="IR2960" s="73"/>
      <c r="IS2960" s="73"/>
      <c r="IT2960" s="73"/>
      <c r="IU2960" s="73"/>
      <c r="IV2960" s="73"/>
      <c r="IW2960" s="73"/>
      <c r="IX2960" s="73"/>
      <c r="IY2960" s="73"/>
      <c r="IZ2960" s="73"/>
      <c r="JA2960" s="73"/>
      <c r="JB2960" s="73"/>
      <c r="JC2960" s="73"/>
    </row>
    <row r="2961" spans="2:263" s="72" customFormat="1">
      <c r="B2961" s="73"/>
      <c r="C2961" s="73"/>
      <c r="D2961" s="73"/>
      <c r="E2961" s="73"/>
      <c r="F2961" s="73"/>
      <c r="G2961" s="73"/>
      <c r="H2961" s="73"/>
      <c r="I2961" s="73"/>
      <c r="J2961" s="73"/>
      <c r="K2961" s="73"/>
      <c r="L2961" s="73"/>
      <c r="M2961" s="73"/>
      <c r="N2961" s="73"/>
      <c r="O2961" s="73"/>
      <c r="P2961" s="73"/>
      <c r="Q2961" s="73"/>
      <c r="R2961" s="73"/>
      <c r="S2961" s="73"/>
      <c r="T2961" s="73"/>
      <c r="U2961" s="73"/>
      <c r="V2961" s="73"/>
      <c r="W2961" s="73"/>
      <c r="GL2961" s="73"/>
      <c r="GM2961" s="73"/>
      <c r="GN2961" s="73"/>
      <c r="GO2961" s="73"/>
      <c r="GP2961" s="73"/>
      <c r="GQ2961" s="73"/>
      <c r="GR2961" s="73"/>
      <c r="GS2961" s="73"/>
      <c r="GT2961" s="73"/>
      <c r="GU2961" s="73"/>
      <c r="GV2961" s="73"/>
      <c r="GW2961" s="73"/>
      <c r="GX2961" s="73"/>
      <c r="GY2961" s="73"/>
      <c r="GZ2961" s="73"/>
      <c r="HA2961" s="73"/>
      <c r="HB2961" s="73"/>
      <c r="HC2961" s="73"/>
      <c r="HD2961" s="73"/>
      <c r="HE2961" s="73"/>
      <c r="HF2961" s="73"/>
      <c r="HG2961" s="73"/>
      <c r="HH2961" s="73"/>
      <c r="HI2961" s="73"/>
      <c r="HJ2961" s="73"/>
      <c r="HK2961" s="73"/>
      <c r="HL2961" s="73"/>
      <c r="HM2961" s="73"/>
      <c r="HN2961" s="73"/>
      <c r="HO2961" s="73"/>
      <c r="HP2961" s="73"/>
      <c r="HQ2961" s="73"/>
      <c r="HR2961" s="73"/>
      <c r="HS2961" s="73"/>
      <c r="HT2961" s="73"/>
      <c r="HU2961" s="73"/>
      <c r="HV2961" s="73"/>
      <c r="HW2961" s="73"/>
      <c r="HX2961" s="73"/>
      <c r="HY2961" s="73"/>
      <c r="HZ2961" s="73"/>
      <c r="IA2961" s="73"/>
      <c r="IB2961" s="73"/>
      <c r="IC2961" s="73"/>
      <c r="ID2961" s="73"/>
      <c r="IE2961" s="73"/>
      <c r="IF2961" s="73"/>
      <c r="IG2961" s="73"/>
      <c r="IH2961" s="73"/>
      <c r="II2961" s="73"/>
      <c r="IJ2961" s="73"/>
      <c r="IK2961" s="73"/>
      <c r="IL2961" s="73"/>
      <c r="IM2961" s="73"/>
      <c r="IN2961" s="73"/>
      <c r="IO2961" s="73"/>
      <c r="IP2961" s="73"/>
      <c r="IQ2961" s="73"/>
      <c r="IR2961" s="73"/>
      <c r="IS2961" s="73"/>
      <c r="IT2961" s="73"/>
      <c r="IU2961" s="73"/>
      <c r="IV2961" s="73"/>
      <c r="IW2961" s="73"/>
      <c r="IX2961" s="73"/>
      <c r="IY2961" s="73"/>
      <c r="IZ2961" s="73"/>
      <c r="JA2961" s="73"/>
      <c r="JB2961" s="73"/>
      <c r="JC2961" s="73"/>
    </row>
    <row r="2962" spans="2:263" s="72" customFormat="1">
      <c r="B2962" s="73"/>
      <c r="C2962" s="73"/>
      <c r="D2962" s="73"/>
      <c r="E2962" s="73"/>
      <c r="F2962" s="73"/>
      <c r="G2962" s="73"/>
      <c r="H2962" s="73"/>
      <c r="I2962" s="73"/>
      <c r="J2962" s="73"/>
      <c r="K2962" s="73"/>
      <c r="L2962" s="73"/>
      <c r="M2962" s="73"/>
      <c r="N2962" s="73"/>
      <c r="O2962" s="73"/>
      <c r="P2962" s="73"/>
      <c r="Q2962" s="73"/>
      <c r="R2962" s="73"/>
      <c r="S2962" s="73"/>
      <c r="T2962" s="73"/>
      <c r="U2962" s="73"/>
      <c r="V2962" s="73"/>
      <c r="W2962" s="73"/>
      <c r="GL2962" s="73"/>
      <c r="GM2962" s="73"/>
      <c r="GN2962" s="73"/>
      <c r="GO2962" s="73"/>
      <c r="GP2962" s="73"/>
      <c r="GQ2962" s="73"/>
      <c r="GR2962" s="73"/>
      <c r="GS2962" s="73"/>
      <c r="GT2962" s="73"/>
      <c r="GU2962" s="73"/>
      <c r="GV2962" s="73"/>
      <c r="GW2962" s="73"/>
      <c r="GX2962" s="73"/>
      <c r="GY2962" s="73"/>
      <c r="GZ2962" s="73"/>
      <c r="HA2962" s="73"/>
      <c r="HB2962" s="73"/>
      <c r="HC2962" s="73"/>
      <c r="HD2962" s="73"/>
      <c r="HE2962" s="73"/>
      <c r="HF2962" s="73"/>
      <c r="HG2962" s="73"/>
      <c r="HH2962" s="73"/>
      <c r="HI2962" s="73"/>
      <c r="HJ2962" s="73"/>
      <c r="HK2962" s="73"/>
      <c r="HL2962" s="73"/>
      <c r="HM2962" s="73"/>
      <c r="HN2962" s="73"/>
      <c r="HO2962" s="73"/>
      <c r="HP2962" s="73"/>
      <c r="HQ2962" s="73"/>
      <c r="HR2962" s="73"/>
      <c r="HS2962" s="73"/>
      <c r="HT2962" s="73"/>
      <c r="HU2962" s="73"/>
      <c r="HV2962" s="73"/>
      <c r="HW2962" s="73"/>
      <c r="HX2962" s="73"/>
      <c r="HY2962" s="73"/>
      <c r="HZ2962" s="73"/>
      <c r="IA2962" s="73"/>
      <c r="IB2962" s="73"/>
      <c r="IC2962" s="73"/>
      <c r="ID2962" s="73"/>
      <c r="IE2962" s="73"/>
      <c r="IF2962" s="73"/>
      <c r="IG2962" s="73"/>
      <c r="IH2962" s="73"/>
      <c r="II2962" s="73"/>
      <c r="IJ2962" s="73"/>
      <c r="IK2962" s="73"/>
      <c r="IL2962" s="73"/>
      <c r="IM2962" s="73"/>
      <c r="IN2962" s="73"/>
      <c r="IO2962" s="73"/>
      <c r="IP2962" s="73"/>
      <c r="IQ2962" s="73"/>
      <c r="IR2962" s="73"/>
      <c r="IS2962" s="73"/>
      <c r="IT2962" s="73"/>
      <c r="IU2962" s="73"/>
      <c r="IV2962" s="73"/>
      <c r="IW2962" s="73"/>
      <c r="IX2962" s="73"/>
      <c r="IY2962" s="73"/>
      <c r="IZ2962" s="73"/>
      <c r="JA2962" s="73"/>
      <c r="JB2962" s="73"/>
      <c r="JC2962" s="73"/>
    </row>
    <row r="2963" spans="2:263" s="72" customFormat="1">
      <c r="B2963" s="73"/>
      <c r="C2963" s="73"/>
      <c r="D2963" s="73"/>
      <c r="E2963" s="73"/>
      <c r="F2963" s="73"/>
      <c r="G2963" s="73"/>
      <c r="H2963" s="73"/>
      <c r="I2963" s="73"/>
      <c r="J2963" s="73"/>
      <c r="K2963" s="73"/>
      <c r="L2963" s="73"/>
      <c r="M2963" s="73"/>
      <c r="N2963" s="73"/>
      <c r="O2963" s="73"/>
      <c r="P2963" s="73"/>
      <c r="Q2963" s="73"/>
      <c r="R2963" s="73"/>
      <c r="S2963" s="73"/>
      <c r="T2963" s="73"/>
      <c r="U2963" s="73"/>
      <c r="V2963" s="73"/>
      <c r="W2963" s="73"/>
      <c r="GL2963" s="73"/>
      <c r="GM2963" s="73"/>
      <c r="GN2963" s="73"/>
      <c r="GO2963" s="73"/>
      <c r="GP2963" s="73"/>
      <c r="GQ2963" s="73"/>
      <c r="GR2963" s="73"/>
      <c r="GS2963" s="73"/>
      <c r="GT2963" s="73"/>
      <c r="GU2963" s="73"/>
      <c r="GV2963" s="73"/>
      <c r="GW2963" s="73"/>
      <c r="GX2963" s="73"/>
      <c r="GY2963" s="73"/>
      <c r="GZ2963" s="73"/>
      <c r="HA2963" s="73"/>
      <c r="HB2963" s="73"/>
      <c r="HC2963" s="73"/>
      <c r="HD2963" s="73"/>
      <c r="HE2963" s="73"/>
      <c r="HF2963" s="73"/>
      <c r="HG2963" s="73"/>
      <c r="HH2963" s="73"/>
      <c r="HI2963" s="73"/>
      <c r="HJ2963" s="73"/>
      <c r="HK2963" s="73"/>
      <c r="HL2963" s="73"/>
      <c r="HM2963" s="73"/>
      <c r="HN2963" s="73"/>
      <c r="HO2963" s="73"/>
      <c r="HP2963" s="73"/>
      <c r="HQ2963" s="73"/>
      <c r="HR2963" s="73"/>
      <c r="HS2963" s="73"/>
      <c r="HT2963" s="73"/>
      <c r="HU2963" s="73"/>
      <c r="HV2963" s="73"/>
      <c r="HW2963" s="73"/>
      <c r="HX2963" s="73"/>
      <c r="HY2963" s="73"/>
      <c r="HZ2963" s="73"/>
      <c r="IA2963" s="73"/>
      <c r="IB2963" s="73"/>
      <c r="IC2963" s="73"/>
      <c r="ID2963" s="73"/>
      <c r="IE2963" s="73"/>
      <c r="IF2963" s="73"/>
      <c r="IG2963" s="73"/>
      <c r="IH2963" s="73"/>
      <c r="II2963" s="73"/>
      <c r="IJ2963" s="73"/>
      <c r="IK2963" s="73"/>
      <c r="IL2963" s="73"/>
      <c r="IM2963" s="73"/>
      <c r="IN2963" s="73"/>
      <c r="IO2963" s="73"/>
      <c r="IP2963" s="73"/>
      <c r="IQ2963" s="73"/>
      <c r="IR2963" s="73"/>
      <c r="IS2963" s="73"/>
      <c r="IT2963" s="73"/>
      <c r="IU2963" s="73"/>
      <c r="IV2963" s="73"/>
      <c r="IW2963" s="73"/>
      <c r="IX2963" s="73"/>
      <c r="IY2963" s="73"/>
      <c r="IZ2963" s="73"/>
      <c r="JA2963" s="73"/>
      <c r="JB2963" s="73"/>
      <c r="JC2963" s="73"/>
    </row>
    <row r="2964" spans="2:263" s="72" customFormat="1">
      <c r="B2964" s="73"/>
      <c r="C2964" s="73"/>
      <c r="D2964" s="73"/>
      <c r="E2964" s="73"/>
      <c r="F2964" s="73"/>
      <c r="G2964" s="73"/>
      <c r="H2964" s="73"/>
      <c r="I2964" s="73"/>
      <c r="J2964" s="73"/>
      <c r="K2964" s="73"/>
      <c r="L2964" s="73"/>
      <c r="M2964" s="73"/>
      <c r="N2964" s="73"/>
      <c r="O2964" s="73"/>
      <c r="P2964" s="73"/>
      <c r="Q2964" s="73"/>
      <c r="R2964" s="73"/>
      <c r="S2964" s="73"/>
      <c r="T2964" s="73"/>
      <c r="U2964" s="73"/>
      <c r="V2964" s="73"/>
      <c r="W2964" s="73"/>
      <c r="GL2964" s="73"/>
      <c r="GM2964" s="73"/>
      <c r="GN2964" s="73"/>
      <c r="GO2964" s="73"/>
      <c r="GP2964" s="73"/>
      <c r="GQ2964" s="73"/>
      <c r="GR2964" s="73"/>
      <c r="GS2964" s="73"/>
      <c r="GT2964" s="73"/>
      <c r="GU2964" s="73"/>
      <c r="GV2964" s="73"/>
      <c r="GW2964" s="73"/>
      <c r="GX2964" s="73"/>
      <c r="GY2964" s="73"/>
      <c r="GZ2964" s="73"/>
      <c r="HA2964" s="73"/>
      <c r="HB2964" s="73"/>
      <c r="HC2964" s="73"/>
      <c r="HD2964" s="73"/>
      <c r="HE2964" s="73"/>
      <c r="HF2964" s="73"/>
      <c r="HG2964" s="73"/>
      <c r="HH2964" s="73"/>
      <c r="HI2964" s="73"/>
      <c r="HJ2964" s="73"/>
      <c r="HK2964" s="73"/>
      <c r="HL2964" s="73"/>
      <c r="HM2964" s="73"/>
      <c r="HN2964" s="73"/>
      <c r="HO2964" s="73"/>
      <c r="HP2964" s="73"/>
      <c r="HQ2964" s="73"/>
      <c r="HR2964" s="73"/>
      <c r="HS2964" s="73"/>
      <c r="HT2964" s="73"/>
      <c r="HU2964" s="73"/>
      <c r="HV2964" s="73"/>
      <c r="HW2964" s="73"/>
      <c r="HX2964" s="73"/>
      <c r="HY2964" s="73"/>
      <c r="HZ2964" s="73"/>
      <c r="IA2964" s="73"/>
      <c r="IB2964" s="73"/>
      <c r="IC2964" s="73"/>
      <c r="ID2964" s="73"/>
      <c r="IE2964" s="73"/>
      <c r="IF2964" s="73"/>
      <c r="IG2964" s="73"/>
      <c r="IH2964" s="73"/>
      <c r="II2964" s="73"/>
      <c r="IJ2964" s="73"/>
      <c r="IK2964" s="73"/>
      <c r="IL2964" s="73"/>
      <c r="IM2964" s="73"/>
      <c r="IN2964" s="73"/>
      <c r="IO2964" s="73"/>
      <c r="IP2964" s="73"/>
      <c r="IQ2964" s="73"/>
      <c r="IR2964" s="73"/>
      <c r="IS2964" s="73"/>
      <c r="IT2964" s="73"/>
      <c r="IU2964" s="73"/>
      <c r="IV2964" s="73"/>
      <c r="IW2964" s="73"/>
      <c r="IX2964" s="73"/>
      <c r="IY2964" s="73"/>
      <c r="IZ2964" s="73"/>
      <c r="JA2964" s="73"/>
      <c r="JB2964" s="73"/>
      <c r="JC2964" s="73"/>
    </row>
    <row r="2965" spans="2:263" s="72" customFormat="1">
      <c r="B2965" s="73"/>
      <c r="C2965" s="73"/>
      <c r="D2965" s="73"/>
      <c r="E2965" s="73"/>
      <c r="F2965" s="73"/>
      <c r="G2965" s="73"/>
      <c r="H2965" s="73"/>
      <c r="I2965" s="73"/>
      <c r="J2965" s="73"/>
      <c r="K2965" s="73"/>
      <c r="L2965" s="73"/>
      <c r="M2965" s="73"/>
      <c r="N2965" s="73"/>
      <c r="O2965" s="73"/>
      <c r="P2965" s="73"/>
      <c r="Q2965" s="73"/>
      <c r="R2965" s="73"/>
      <c r="S2965" s="73"/>
      <c r="T2965" s="73"/>
      <c r="U2965" s="73"/>
      <c r="V2965" s="73"/>
      <c r="W2965" s="73"/>
      <c r="GL2965" s="73"/>
      <c r="GM2965" s="73"/>
      <c r="GN2965" s="73"/>
      <c r="GO2965" s="73"/>
      <c r="GP2965" s="73"/>
      <c r="GQ2965" s="73"/>
      <c r="GR2965" s="73"/>
      <c r="GS2965" s="73"/>
      <c r="GT2965" s="73"/>
      <c r="GU2965" s="73"/>
      <c r="GV2965" s="73"/>
      <c r="GW2965" s="73"/>
      <c r="GX2965" s="73"/>
      <c r="GY2965" s="73"/>
      <c r="GZ2965" s="73"/>
      <c r="HA2965" s="73"/>
      <c r="HB2965" s="73"/>
      <c r="HC2965" s="73"/>
      <c r="HD2965" s="73"/>
      <c r="HE2965" s="73"/>
      <c r="HF2965" s="73"/>
      <c r="HG2965" s="73"/>
      <c r="HH2965" s="73"/>
      <c r="HI2965" s="73"/>
      <c r="HJ2965" s="73"/>
      <c r="HK2965" s="73"/>
      <c r="HL2965" s="73"/>
      <c r="HM2965" s="73"/>
      <c r="HN2965" s="73"/>
      <c r="HO2965" s="73"/>
      <c r="HP2965" s="73"/>
      <c r="HQ2965" s="73"/>
      <c r="HR2965" s="73"/>
      <c r="HS2965" s="73"/>
      <c r="HT2965" s="73"/>
      <c r="HU2965" s="73"/>
      <c r="HV2965" s="73"/>
      <c r="HW2965" s="73"/>
      <c r="HX2965" s="73"/>
      <c r="HY2965" s="73"/>
      <c r="HZ2965" s="73"/>
      <c r="IA2965" s="73"/>
      <c r="IB2965" s="73"/>
      <c r="IC2965" s="73"/>
      <c r="ID2965" s="73"/>
      <c r="IE2965" s="73"/>
      <c r="IF2965" s="73"/>
      <c r="IG2965" s="73"/>
      <c r="IH2965" s="73"/>
      <c r="II2965" s="73"/>
      <c r="IJ2965" s="73"/>
      <c r="IK2965" s="73"/>
      <c r="IL2965" s="73"/>
      <c r="IM2965" s="73"/>
      <c r="IN2965" s="73"/>
      <c r="IO2965" s="73"/>
      <c r="IP2965" s="73"/>
      <c r="IQ2965" s="73"/>
      <c r="IR2965" s="73"/>
      <c r="IS2965" s="73"/>
      <c r="IT2965" s="73"/>
      <c r="IU2965" s="73"/>
      <c r="IV2965" s="73"/>
      <c r="IW2965" s="73"/>
      <c r="IX2965" s="73"/>
      <c r="IY2965" s="73"/>
      <c r="IZ2965" s="73"/>
      <c r="JA2965" s="73"/>
      <c r="JB2965" s="73"/>
      <c r="JC2965" s="73"/>
    </row>
    <row r="2966" spans="2:263" s="72" customFormat="1">
      <c r="B2966" s="73"/>
      <c r="C2966" s="73"/>
      <c r="D2966" s="73"/>
      <c r="E2966" s="73"/>
      <c r="F2966" s="73"/>
      <c r="G2966" s="73"/>
      <c r="H2966" s="73"/>
      <c r="I2966" s="73"/>
      <c r="J2966" s="73"/>
      <c r="K2966" s="73"/>
      <c r="L2966" s="73"/>
      <c r="M2966" s="73"/>
      <c r="N2966" s="73"/>
      <c r="O2966" s="73"/>
      <c r="P2966" s="73"/>
      <c r="Q2966" s="73"/>
      <c r="R2966" s="73"/>
      <c r="S2966" s="73"/>
      <c r="T2966" s="73"/>
      <c r="U2966" s="73"/>
      <c r="V2966" s="73"/>
      <c r="W2966" s="73"/>
      <c r="GL2966" s="73"/>
      <c r="GM2966" s="73"/>
      <c r="GN2966" s="73"/>
      <c r="GO2966" s="73"/>
      <c r="GP2966" s="73"/>
      <c r="GQ2966" s="73"/>
      <c r="GR2966" s="73"/>
      <c r="GS2966" s="73"/>
      <c r="GT2966" s="73"/>
      <c r="GU2966" s="73"/>
      <c r="GV2966" s="73"/>
      <c r="GW2966" s="73"/>
      <c r="GX2966" s="73"/>
      <c r="GY2966" s="73"/>
      <c r="GZ2966" s="73"/>
      <c r="HA2966" s="73"/>
      <c r="HB2966" s="73"/>
      <c r="HC2966" s="73"/>
      <c r="HD2966" s="73"/>
      <c r="HE2966" s="73"/>
      <c r="HF2966" s="73"/>
      <c r="HG2966" s="73"/>
      <c r="HH2966" s="73"/>
      <c r="HI2966" s="73"/>
      <c r="HJ2966" s="73"/>
      <c r="HK2966" s="73"/>
      <c r="HL2966" s="73"/>
      <c r="HM2966" s="73"/>
      <c r="HN2966" s="73"/>
      <c r="HO2966" s="73"/>
      <c r="HP2966" s="73"/>
      <c r="HQ2966" s="73"/>
      <c r="HR2966" s="73"/>
      <c r="HS2966" s="73"/>
      <c r="HT2966" s="73"/>
      <c r="HU2966" s="73"/>
      <c r="HV2966" s="73"/>
      <c r="HW2966" s="73"/>
      <c r="HX2966" s="73"/>
      <c r="HY2966" s="73"/>
      <c r="HZ2966" s="73"/>
      <c r="IA2966" s="73"/>
      <c r="IB2966" s="73"/>
      <c r="IC2966" s="73"/>
      <c r="ID2966" s="73"/>
      <c r="IE2966" s="73"/>
      <c r="IF2966" s="73"/>
      <c r="IG2966" s="73"/>
      <c r="IH2966" s="73"/>
      <c r="II2966" s="73"/>
      <c r="IJ2966" s="73"/>
      <c r="IK2966" s="73"/>
      <c r="IL2966" s="73"/>
      <c r="IM2966" s="73"/>
      <c r="IN2966" s="73"/>
      <c r="IO2966" s="73"/>
      <c r="IP2966" s="73"/>
      <c r="IQ2966" s="73"/>
      <c r="IR2966" s="73"/>
      <c r="IS2966" s="73"/>
      <c r="IT2966" s="73"/>
      <c r="IU2966" s="73"/>
      <c r="IV2966" s="73"/>
      <c r="IW2966" s="73"/>
      <c r="IX2966" s="73"/>
      <c r="IY2966" s="73"/>
      <c r="IZ2966" s="73"/>
      <c r="JA2966" s="73"/>
      <c r="JB2966" s="73"/>
      <c r="JC2966" s="73"/>
    </row>
    <row r="2967" spans="2:263" s="72" customFormat="1">
      <c r="B2967" s="73"/>
      <c r="C2967" s="73"/>
      <c r="D2967" s="73"/>
      <c r="E2967" s="73"/>
      <c r="F2967" s="73"/>
      <c r="G2967" s="73"/>
      <c r="H2967" s="73"/>
      <c r="I2967" s="73"/>
      <c r="J2967" s="73"/>
      <c r="K2967" s="73"/>
      <c r="L2967" s="73"/>
      <c r="M2967" s="73"/>
      <c r="N2967" s="73"/>
      <c r="O2967" s="73"/>
      <c r="P2967" s="73"/>
      <c r="Q2967" s="73"/>
      <c r="R2967" s="73"/>
      <c r="S2967" s="73"/>
      <c r="T2967" s="73"/>
      <c r="U2967" s="73"/>
      <c r="V2967" s="73"/>
      <c r="W2967" s="73"/>
      <c r="GL2967" s="73"/>
      <c r="GM2967" s="73"/>
      <c r="GN2967" s="73"/>
      <c r="GO2967" s="73"/>
      <c r="GP2967" s="73"/>
      <c r="GQ2967" s="73"/>
      <c r="GR2967" s="73"/>
      <c r="GS2967" s="73"/>
      <c r="GT2967" s="73"/>
      <c r="GU2967" s="73"/>
      <c r="GV2967" s="73"/>
      <c r="GW2967" s="73"/>
      <c r="GX2967" s="73"/>
      <c r="GY2967" s="73"/>
      <c r="GZ2967" s="73"/>
      <c r="HA2967" s="73"/>
      <c r="HB2967" s="73"/>
      <c r="HC2967" s="73"/>
      <c r="HD2967" s="73"/>
      <c r="HE2967" s="73"/>
      <c r="HF2967" s="73"/>
      <c r="HG2967" s="73"/>
      <c r="HH2967" s="73"/>
      <c r="HI2967" s="73"/>
      <c r="HJ2967" s="73"/>
      <c r="HK2967" s="73"/>
      <c r="HL2967" s="73"/>
      <c r="HM2967" s="73"/>
      <c r="HN2967" s="73"/>
      <c r="HO2967" s="73"/>
      <c r="HP2967" s="73"/>
      <c r="HQ2967" s="73"/>
      <c r="HR2967" s="73"/>
      <c r="HS2967" s="73"/>
      <c r="HT2967" s="73"/>
      <c r="HU2967" s="73"/>
      <c r="HV2967" s="73"/>
      <c r="HW2967" s="73"/>
      <c r="HX2967" s="73"/>
      <c r="HY2967" s="73"/>
      <c r="HZ2967" s="73"/>
      <c r="IA2967" s="73"/>
      <c r="IB2967" s="73"/>
      <c r="IC2967" s="73"/>
      <c r="ID2967" s="73"/>
      <c r="IE2967" s="73"/>
      <c r="IF2967" s="73"/>
      <c r="IG2967" s="73"/>
      <c r="IH2967" s="73"/>
      <c r="II2967" s="73"/>
      <c r="IJ2967" s="73"/>
      <c r="IK2967" s="73"/>
      <c r="IL2967" s="73"/>
      <c r="IM2967" s="73"/>
      <c r="IN2967" s="73"/>
      <c r="IO2967" s="73"/>
      <c r="IP2967" s="73"/>
      <c r="IQ2967" s="73"/>
      <c r="IR2967" s="73"/>
      <c r="IS2967" s="73"/>
      <c r="IT2967" s="73"/>
      <c r="IU2967" s="73"/>
      <c r="IV2967" s="73"/>
      <c r="IW2967" s="73"/>
      <c r="IX2967" s="73"/>
      <c r="IY2967" s="73"/>
      <c r="IZ2967" s="73"/>
      <c r="JA2967" s="73"/>
      <c r="JB2967" s="73"/>
      <c r="JC2967" s="73"/>
    </row>
    <row r="2968" spans="2:263" s="72" customFormat="1">
      <c r="B2968" s="73"/>
      <c r="C2968" s="73"/>
      <c r="D2968" s="73"/>
      <c r="E2968" s="73"/>
      <c r="F2968" s="73"/>
      <c r="G2968" s="73"/>
      <c r="H2968" s="73"/>
      <c r="I2968" s="73"/>
      <c r="J2968" s="73"/>
      <c r="K2968" s="73"/>
      <c r="L2968" s="73"/>
      <c r="M2968" s="73"/>
      <c r="N2968" s="73"/>
      <c r="O2968" s="73"/>
      <c r="P2968" s="73"/>
      <c r="Q2968" s="73"/>
      <c r="R2968" s="73"/>
      <c r="S2968" s="73"/>
      <c r="T2968" s="73"/>
      <c r="U2968" s="73"/>
      <c r="V2968" s="73"/>
      <c r="W2968" s="73"/>
      <c r="GL2968" s="73"/>
      <c r="GM2968" s="73"/>
      <c r="GN2968" s="73"/>
      <c r="GO2968" s="73"/>
      <c r="GP2968" s="73"/>
      <c r="GQ2968" s="73"/>
      <c r="GR2968" s="73"/>
      <c r="GS2968" s="73"/>
      <c r="GT2968" s="73"/>
      <c r="GU2968" s="73"/>
      <c r="GV2968" s="73"/>
      <c r="GW2968" s="73"/>
      <c r="GX2968" s="73"/>
      <c r="GY2968" s="73"/>
      <c r="GZ2968" s="73"/>
      <c r="HA2968" s="73"/>
      <c r="HB2968" s="73"/>
      <c r="HC2968" s="73"/>
      <c r="HD2968" s="73"/>
      <c r="HE2968" s="73"/>
      <c r="HF2968" s="73"/>
      <c r="HG2968" s="73"/>
      <c r="HH2968" s="73"/>
      <c r="HI2968" s="73"/>
      <c r="HJ2968" s="73"/>
      <c r="HK2968" s="73"/>
      <c r="HL2968" s="73"/>
      <c r="HM2968" s="73"/>
      <c r="HN2968" s="73"/>
      <c r="HO2968" s="73"/>
      <c r="HP2968" s="73"/>
      <c r="HQ2968" s="73"/>
      <c r="HR2968" s="73"/>
      <c r="HS2968" s="73"/>
      <c r="HT2968" s="73"/>
      <c r="HU2968" s="73"/>
      <c r="HV2968" s="73"/>
      <c r="HW2968" s="73"/>
      <c r="HX2968" s="73"/>
      <c r="HY2968" s="73"/>
      <c r="HZ2968" s="73"/>
      <c r="IA2968" s="73"/>
      <c r="IB2968" s="73"/>
      <c r="IC2968" s="73"/>
      <c r="ID2968" s="73"/>
      <c r="IE2968" s="73"/>
      <c r="IF2968" s="73"/>
      <c r="IG2968" s="73"/>
      <c r="IH2968" s="73"/>
      <c r="II2968" s="73"/>
      <c r="IJ2968" s="73"/>
      <c r="IK2968" s="73"/>
      <c r="IL2968" s="73"/>
      <c r="IM2968" s="73"/>
      <c r="IN2968" s="73"/>
      <c r="IO2968" s="73"/>
      <c r="IP2968" s="73"/>
      <c r="IQ2968" s="73"/>
      <c r="IR2968" s="73"/>
      <c r="IS2968" s="73"/>
      <c r="IT2968" s="73"/>
      <c r="IU2968" s="73"/>
      <c r="IV2968" s="73"/>
      <c r="IW2968" s="73"/>
      <c r="IX2968" s="73"/>
      <c r="IY2968" s="73"/>
      <c r="IZ2968" s="73"/>
      <c r="JA2968" s="73"/>
      <c r="JB2968" s="73"/>
      <c r="JC2968" s="73"/>
    </row>
    <row r="2969" spans="2:263" s="72" customFormat="1">
      <c r="B2969" s="73"/>
      <c r="C2969" s="73"/>
      <c r="D2969" s="73"/>
      <c r="E2969" s="73"/>
      <c r="F2969" s="73"/>
      <c r="G2969" s="73"/>
      <c r="H2969" s="73"/>
      <c r="I2969" s="73"/>
      <c r="J2969" s="73"/>
      <c r="K2969" s="73"/>
      <c r="L2969" s="73"/>
      <c r="M2969" s="73"/>
      <c r="N2969" s="73"/>
      <c r="O2969" s="73"/>
      <c r="P2969" s="73"/>
      <c r="Q2969" s="73"/>
      <c r="R2969" s="73"/>
      <c r="S2969" s="73"/>
      <c r="T2969" s="73"/>
      <c r="U2969" s="73"/>
      <c r="V2969" s="73"/>
      <c r="W2969" s="73"/>
      <c r="GL2969" s="73"/>
      <c r="GM2969" s="73"/>
      <c r="GN2969" s="73"/>
      <c r="GO2969" s="73"/>
      <c r="GP2969" s="73"/>
      <c r="GQ2969" s="73"/>
      <c r="GR2969" s="73"/>
      <c r="GS2969" s="73"/>
      <c r="GT2969" s="73"/>
      <c r="GU2969" s="73"/>
      <c r="GV2969" s="73"/>
      <c r="GW2969" s="73"/>
      <c r="GX2969" s="73"/>
      <c r="GY2969" s="73"/>
      <c r="GZ2969" s="73"/>
      <c r="HA2969" s="73"/>
      <c r="HB2969" s="73"/>
      <c r="HC2969" s="73"/>
      <c r="HD2969" s="73"/>
      <c r="HE2969" s="73"/>
      <c r="HF2969" s="73"/>
      <c r="HG2969" s="73"/>
      <c r="HH2969" s="73"/>
      <c r="HI2969" s="73"/>
      <c r="HJ2969" s="73"/>
      <c r="HK2969" s="73"/>
      <c r="HL2969" s="73"/>
      <c r="HM2969" s="73"/>
      <c r="HN2969" s="73"/>
      <c r="HO2969" s="73"/>
      <c r="HP2969" s="73"/>
      <c r="HQ2969" s="73"/>
      <c r="HR2969" s="73"/>
      <c r="HS2969" s="73"/>
      <c r="HT2969" s="73"/>
      <c r="HU2969" s="73"/>
      <c r="HV2969" s="73"/>
      <c r="HW2969" s="73"/>
      <c r="HX2969" s="73"/>
      <c r="HY2969" s="73"/>
      <c r="HZ2969" s="73"/>
      <c r="IA2969" s="73"/>
      <c r="IB2969" s="73"/>
      <c r="IC2969" s="73"/>
      <c r="ID2969" s="73"/>
      <c r="IE2969" s="73"/>
      <c r="IF2969" s="73"/>
      <c r="IG2969" s="73"/>
      <c r="IH2969" s="73"/>
      <c r="II2969" s="73"/>
      <c r="IJ2969" s="73"/>
      <c r="IK2969" s="73"/>
      <c r="IL2969" s="73"/>
      <c r="IM2969" s="73"/>
      <c r="IN2969" s="73"/>
      <c r="IO2969" s="73"/>
      <c r="IP2969" s="73"/>
      <c r="IQ2969" s="73"/>
      <c r="IR2969" s="73"/>
      <c r="IS2969" s="73"/>
      <c r="IT2969" s="73"/>
      <c r="IU2969" s="73"/>
      <c r="IV2969" s="73"/>
      <c r="IW2969" s="73"/>
      <c r="IX2969" s="73"/>
      <c r="IY2969" s="73"/>
      <c r="IZ2969" s="73"/>
      <c r="JA2969" s="73"/>
      <c r="JB2969" s="73"/>
      <c r="JC2969" s="73"/>
    </row>
    <row r="2970" spans="2:263" s="72" customFormat="1">
      <c r="B2970" s="73"/>
      <c r="C2970" s="73"/>
      <c r="D2970" s="73"/>
      <c r="E2970" s="73"/>
      <c r="F2970" s="73"/>
      <c r="G2970" s="73"/>
      <c r="H2970" s="73"/>
      <c r="I2970" s="73"/>
      <c r="J2970" s="73"/>
      <c r="K2970" s="73"/>
      <c r="L2970" s="73"/>
      <c r="M2970" s="73"/>
      <c r="N2970" s="73"/>
      <c r="O2970" s="73"/>
      <c r="P2970" s="73"/>
      <c r="Q2970" s="73"/>
      <c r="R2970" s="73"/>
      <c r="S2970" s="73"/>
      <c r="T2970" s="73"/>
      <c r="U2970" s="73"/>
      <c r="V2970" s="73"/>
      <c r="W2970" s="73"/>
      <c r="GL2970" s="73"/>
      <c r="GM2970" s="73"/>
      <c r="GN2970" s="73"/>
      <c r="GO2970" s="73"/>
      <c r="GP2970" s="73"/>
      <c r="GQ2970" s="73"/>
      <c r="GR2970" s="73"/>
      <c r="GS2970" s="73"/>
      <c r="GT2970" s="73"/>
      <c r="GU2970" s="73"/>
      <c r="GV2970" s="73"/>
      <c r="GW2970" s="73"/>
      <c r="GX2970" s="73"/>
      <c r="GY2970" s="73"/>
      <c r="GZ2970" s="73"/>
      <c r="HA2970" s="73"/>
      <c r="HB2970" s="73"/>
      <c r="HC2970" s="73"/>
      <c r="HD2970" s="73"/>
      <c r="HE2970" s="73"/>
      <c r="HF2970" s="73"/>
      <c r="HG2970" s="73"/>
      <c r="HH2970" s="73"/>
      <c r="HI2970" s="73"/>
      <c r="HJ2970" s="73"/>
      <c r="HK2970" s="73"/>
      <c r="HL2970" s="73"/>
      <c r="HM2970" s="73"/>
      <c r="HN2970" s="73"/>
      <c r="HO2970" s="73"/>
      <c r="HP2970" s="73"/>
      <c r="HQ2970" s="73"/>
      <c r="HR2970" s="73"/>
      <c r="HS2970" s="73"/>
      <c r="HT2970" s="73"/>
      <c r="HU2970" s="73"/>
      <c r="HV2970" s="73"/>
      <c r="HW2970" s="73"/>
      <c r="HX2970" s="73"/>
      <c r="HY2970" s="73"/>
      <c r="HZ2970" s="73"/>
      <c r="IA2970" s="73"/>
      <c r="IB2970" s="73"/>
      <c r="IC2970" s="73"/>
      <c r="ID2970" s="73"/>
      <c r="IE2970" s="73"/>
      <c r="IF2970" s="73"/>
      <c r="IG2970" s="73"/>
      <c r="IH2970" s="73"/>
      <c r="II2970" s="73"/>
      <c r="IJ2970" s="73"/>
      <c r="IK2970" s="73"/>
      <c r="IL2970" s="73"/>
      <c r="IM2970" s="73"/>
      <c r="IN2970" s="73"/>
      <c r="IO2970" s="73"/>
      <c r="IP2970" s="73"/>
      <c r="IQ2970" s="73"/>
      <c r="IR2970" s="73"/>
      <c r="IS2970" s="73"/>
      <c r="IT2970" s="73"/>
      <c r="IU2970" s="73"/>
      <c r="IV2970" s="73"/>
      <c r="IW2970" s="73"/>
      <c r="IX2970" s="73"/>
      <c r="IY2970" s="73"/>
      <c r="IZ2970" s="73"/>
      <c r="JA2970" s="73"/>
      <c r="JB2970" s="73"/>
      <c r="JC2970" s="73"/>
    </row>
    <row r="2971" spans="2:263" s="72" customFormat="1">
      <c r="B2971" s="73"/>
      <c r="C2971" s="73"/>
      <c r="D2971" s="73"/>
      <c r="E2971" s="73"/>
      <c r="F2971" s="73"/>
      <c r="G2971" s="73"/>
      <c r="H2971" s="73"/>
      <c r="I2971" s="73"/>
      <c r="J2971" s="73"/>
      <c r="K2971" s="73"/>
      <c r="L2971" s="73"/>
      <c r="M2971" s="73"/>
      <c r="N2971" s="73"/>
      <c r="O2971" s="73"/>
      <c r="P2971" s="73"/>
      <c r="Q2971" s="73"/>
      <c r="R2971" s="73"/>
      <c r="S2971" s="73"/>
      <c r="T2971" s="73"/>
      <c r="U2971" s="73"/>
      <c r="V2971" s="73"/>
      <c r="W2971" s="73"/>
      <c r="GL2971" s="73"/>
      <c r="GM2971" s="73"/>
      <c r="GN2971" s="73"/>
      <c r="GO2971" s="73"/>
      <c r="GP2971" s="73"/>
      <c r="GQ2971" s="73"/>
      <c r="GR2971" s="73"/>
      <c r="GS2971" s="73"/>
      <c r="GT2971" s="73"/>
      <c r="GU2971" s="73"/>
      <c r="GV2971" s="73"/>
      <c r="GW2971" s="73"/>
      <c r="GX2971" s="73"/>
      <c r="GY2971" s="73"/>
      <c r="GZ2971" s="73"/>
      <c r="HA2971" s="73"/>
      <c r="HB2971" s="73"/>
      <c r="HC2971" s="73"/>
      <c r="HD2971" s="73"/>
      <c r="HE2971" s="73"/>
      <c r="HF2971" s="73"/>
      <c r="HG2971" s="73"/>
      <c r="HH2971" s="73"/>
      <c r="HI2971" s="73"/>
      <c r="HJ2971" s="73"/>
      <c r="HK2971" s="73"/>
      <c r="HL2971" s="73"/>
      <c r="HM2971" s="73"/>
      <c r="HN2971" s="73"/>
      <c r="HO2971" s="73"/>
      <c r="HP2971" s="73"/>
      <c r="HQ2971" s="73"/>
      <c r="HR2971" s="73"/>
      <c r="HS2971" s="73"/>
      <c r="HT2971" s="73"/>
      <c r="HU2971" s="73"/>
      <c r="HV2971" s="73"/>
      <c r="HW2971" s="73"/>
      <c r="HX2971" s="73"/>
      <c r="HY2971" s="73"/>
      <c r="HZ2971" s="73"/>
      <c r="IA2971" s="73"/>
      <c r="IB2971" s="73"/>
      <c r="IC2971" s="73"/>
      <c r="ID2971" s="73"/>
      <c r="IE2971" s="73"/>
      <c r="IF2971" s="73"/>
      <c r="IG2971" s="73"/>
      <c r="IH2971" s="73"/>
      <c r="II2971" s="73"/>
      <c r="IJ2971" s="73"/>
      <c r="IK2971" s="73"/>
      <c r="IL2971" s="73"/>
      <c r="IM2971" s="73"/>
      <c r="IN2971" s="73"/>
      <c r="IO2971" s="73"/>
      <c r="IP2971" s="73"/>
      <c r="IQ2971" s="73"/>
      <c r="IR2971" s="73"/>
      <c r="IS2971" s="73"/>
      <c r="IT2971" s="73"/>
      <c r="IU2971" s="73"/>
      <c r="IV2971" s="73"/>
      <c r="IW2971" s="73"/>
      <c r="IX2971" s="73"/>
      <c r="IY2971" s="73"/>
      <c r="IZ2971" s="73"/>
      <c r="JA2971" s="73"/>
      <c r="JB2971" s="73"/>
      <c r="JC2971" s="73"/>
    </row>
    <row r="2972" spans="2:263" s="72" customFormat="1">
      <c r="B2972" s="73"/>
      <c r="C2972" s="73"/>
      <c r="D2972" s="73"/>
      <c r="E2972" s="73"/>
      <c r="F2972" s="73"/>
      <c r="G2972" s="73"/>
      <c r="H2972" s="73"/>
      <c r="I2972" s="73"/>
      <c r="J2972" s="73"/>
      <c r="K2972" s="73"/>
      <c r="L2972" s="73"/>
      <c r="M2972" s="73"/>
      <c r="N2972" s="73"/>
      <c r="O2972" s="73"/>
      <c r="P2972" s="73"/>
      <c r="Q2972" s="73"/>
      <c r="R2972" s="73"/>
      <c r="S2972" s="73"/>
      <c r="T2972" s="73"/>
      <c r="U2972" s="73"/>
      <c r="V2972" s="73"/>
      <c r="W2972" s="73"/>
      <c r="GL2972" s="73"/>
      <c r="GM2972" s="73"/>
      <c r="GN2972" s="73"/>
      <c r="GO2972" s="73"/>
      <c r="GP2972" s="73"/>
      <c r="GQ2972" s="73"/>
      <c r="GR2972" s="73"/>
      <c r="GS2972" s="73"/>
      <c r="GT2972" s="73"/>
      <c r="GU2972" s="73"/>
      <c r="GV2972" s="73"/>
      <c r="GW2972" s="73"/>
      <c r="GX2972" s="73"/>
      <c r="GY2972" s="73"/>
      <c r="GZ2972" s="73"/>
      <c r="HA2972" s="73"/>
      <c r="HB2972" s="73"/>
      <c r="HC2972" s="73"/>
      <c r="HD2972" s="73"/>
      <c r="HE2972" s="73"/>
      <c r="HF2972" s="73"/>
      <c r="HG2972" s="73"/>
      <c r="HH2972" s="73"/>
      <c r="HI2972" s="73"/>
      <c r="HJ2972" s="73"/>
      <c r="HK2972" s="73"/>
      <c r="HL2972" s="73"/>
      <c r="HM2972" s="73"/>
      <c r="HN2972" s="73"/>
      <c r="HO2972" s="73"/>
      <c r="HP2972" s="73"/>
      <c r="HQ2972" s="73"/>
      <c r="HR2972" s="73"/>
      <c r="HS2972" s="73"/>
      <c r="HT2972" s="73"/>
      <c r="HU2972" s="73"/>
      <c r="HV2972" s="73"/>
      <c r="HW2972" s="73"/>
      <c r="HX2972" s="73"/>
      <c r="HY2972" s="73"/>
      <c r="HZ2972" s="73"/>
      <c r="IA2972" s="73"/>
      <c r="IB2972" s="73"/>
      <c r="IC2972" s="73"/>
      <c r="ID2972" s="73"/>
      <c r="IE2972" s="73"/>
      <c r="IF2972" s="73"/>
      <c r="IG2972" s="73"/>
      <c r="IH2972" s="73"/>
      <c r="II2972" s="73"/>
      <c r="IJ2972" s="73"/>
      <c r="IK2972" s="73"/>
      <c r="IL2972" s="73"/>
      <c r="IM2972" s="73"/>
      <c r="IN2972" s="73"/>
      <c r="IO2972" s="73"/>
      <c r="IP2972" s="73"/>
      <c r="IQ2972" s="73"/>
      <c r="IR2972" s="73"/>
      <c r="IS2972" s="73"/>
      <c r="IT2972" s="73"/>
      <c r="IU2972" s="73"/>
      <c r="IV2972" s="73"/>
      <c r="IW2972" s="73"/>
      <c r="IX2972" s="73"/>
      <c r="IY2972" s="73"/>
      <c r="IZ2972" s="73"/>
      <c r="JA2972" s="73"/>
      <c r="JB2972" s="73"/>
      <c r="JC2972" s="73"/>
    </row>
    <row r="2973" spans="2:263" s="72" customFormat="1">
      <c r="B2973" s="73"/>
      <c r="C2973" s="73"/>
      <c r="D2973" s="73"/>
      <c r="E2973" s="73"/>
      <c r="F2973" s="73"/>
      <c r="G2973" s="73"/>
      <c r="H2973" s="73"/>
      <c r="I2973" s="73"/>
      <c r="J2973" s="73"/>
      <c r="K2973" s="73"/>
      <c r="L2973" s="73"/>
      <c r="M2973" s="73"/>
      <c r="N2973" s="73"/>
      <c r="O2973" s="73"/>
      <c r="P2973" s="73"/>
      <c r="Q2973" s="73"/>
      <c r="R2973" s="73"/>
      <c r="S2973" s="73"/>
      <c r="T2973" s="73"/>
      <c r="U2973" s="73"/>
      <c r="V2973" s="73"/>
      <c r="W2973" s="73"/>
      <c r="GL2973" s="73"/>
      <c r="GM2973" s="73"/>
      <c r="GN2973" s="73"/>
      <c r="GO2973" s="73"/>
      <c r="GP2973" s="73"/>
      <c r="GQ2973" s="73"/>
      <c r="GR2973" s="73"/>
      <c r="GS2973" s="73"/>
      <c r="GT2973" s="73"/>
      <c r="GU2973" s="73"/>
      <c r="GV2973" s="73"/>
      <c r="GW2973" s="73"/>
      <c r="GX2973" s="73"/>
      <c r="GY2973" s="73"/>
      <c r="GZ2973" s="73"/>
      <c r="HA2973" s="73"/>
      <c r="HB2973" s="73"/>
      <c r="HC2973" s="73"/>
      <c r="HD2973" s="73"/>
      <c r="HE2973" s="73"/>
      <c r="HF2973" s="73"/>
      <c r="HG2973" s="73"/>
      <c r="HH2973" s="73"/>
      <c r="HI2973" s="73"/>
      <c r="HJ2973" s="73"/>
      <c r="HK2973" s="73"/>
      <c r="HL2973" s="73"/>
      <c r="HM2973" s="73"/>
      <c r="HN2973" s="73"/>
      <c r="HO2973" s="73"/>
      <c r="HP2973" s="73"/>
      <c r="HQ2973" s="73"/>
      <c r="HR2973" s="73"/>
      <c r="HS2973" s="73"/>
      <c r="HT2973" s="73"/>
      <c r="HU2973" s="73"/>
      <c r="HV2973" s="73"/>
      <c r="HW2973" s="73"/>
      <c r="HX2973" s="73"/>
      <c r="HY2973" s="73"/>
      <c r="HZ2973" s="73"/>
      <c r="IA2973" s="73"/>
      <c r="IB2973" s="73"/>
      <c r="IC2973" s="73"/>
      <c r="ID2973" s="73"/>
      <c r="IE2973" s="73"/>
      <c r="IF2973" s="73"/>
      <c r="IG2973" s="73"/>
      <c r="IH2973" s="73"/>
      <c r="II2973" s="73"/>
      <c r="IJ2973" s="73"/>
      <c r="IK2973" s="73"/>
      <c r="IL2973" s="73"/>
      <c r="IM2973" s="73"/>
      <c r="IN2973" s="73"/>
      <c r="IO2973" s="73"/>
      <c r="IP2973" s="73"/>
      <c r="IQ2973" s="73"/>
      <c r="IR2973" s="73"/>
      <c r="IS2973" s="73"/>
      <c r="IT2973" s="73"/>
      <c r="IU2973" s="73"/>
      <c r="IV2973" s="73"/>
      <c r="IW2973" s="73"/>
      <c r="IX2973" s="73"/>
      <c r="IY2973" s="73"/>
      <c r="IZ2973" s="73"/>
      <c r="JA2973" s="73"/>
      <c r="JB2973" s="73"/>
      <c r="JC2973" s="73"/>
    </row>
    <row r="2974" spans="2:263" s="72" customFormat="1">
      <c r="B2974" s="73"/>
      <c r="C2974" s="73"/>
      <c r="D2974" s="73"/>
      <c r="E2974" s="73"/>
      <c r="F2974" s="73"/>
      <c r="G2974" s="73"/>
      <c r="H2974" s="73"/>
      <c r="I2974" s="73"/>
      <c r="J2974" s="73"/>
      <c r="K2974" s="73"/>
      <c r="L2974" s="73"/>
      <c r="M2974" s="73"/>
      <c r="N2974" s="73"/>
      <c r="O2974" s="73"/>
      <c r="P2974" s="73"/>
      <c r="Q2974" s="73"/>
      <c r="R2974" s="73"/>
      <c r="S2974" s="73"/>
      <c r="T2974" s="73"/>
      <c r="U2974" s="73"/>
      <c r="V2974" s="73"/>
      <c r="W2974" s="73"/>
      <c r="GL2974" s="73"/>
      <c r="GM2974" s="73"/>
      <c r="GN2974" s="73"/>
      <c r="GO2974" s="73"/>
      <c r="GP2974" s="73"/>
      <c r="GQ2974" s="73"/>
      <c r="GR2974" s="73"/>
      <c r="GS2974" s="73"/>
      <c r="GT2974" s="73"/>
      <c r="GU2974" s="73"/>
      <c r="GV2974" s="73"/>
      <c r="GW2974" s="73"/>
      <c r="GX2974" s="73"/>
      <c r="GY2974" s="73"/>
      <c r="GZ2974" s="73"/>
      <c r="HA2974" s="73"/>
      <c r="HB2974" s="73"/>
      <c r="HC2974" s="73"/>
      <c r="HD2974" s="73"/>
      <c r="HE2974" s="73"/>
      <c r="HF2974" s="73"/>
      <c r="HG2974" s="73"/>
      <c r="HH2974" s="73"/>
      <c r="HI2974" s="73"/>
      <c r="HJ2974" s="73"/>
      <c r="HK2974" s="73"/>
      <c r="HL2974" s="73"/>
      <c r="HM2974" s="73"/>
      <c r="HN2974" s="73"/>
      <c r="HO2974" s="73"/>
      <c r="HP2974" s="73"/>
      <c r="HQ2974" s="73"/>
      <c r="HR2974" s="73"/>
      <c r="HS2974" s="73"/>
      <c r="HT2974" s="73"/>
      <c r="HU2974" s="73"/>
      <c r="HV2974" s="73"/>
      <c r="HW2974" s="73"/>
      <c r="HX2974" s="73"/>
      <c r="HY2974" s="73"/>
      <c r="HZ2974" s="73"/>
      <c r="IA2974" s="73"/>
      <c r="IB2974" s="73"/>
      <c r="IC2974" s="73"/>
      <c r="ID2974" s="73"/>
      <c r="IE2974" s="73"/>
      <c r="IF2974" s="73"/>
      <c r="IG2974" s="73"/>
      <c r="IH2974" s="73"/>
      <c r="II2974" s="73"/>
      <c r="IJ2974" s="73"/>
      <c r="IK2974" s="73"/>
      <c r="IL2974" s="73"/>
      <c r="IM2974" s="73"/>
      <c r="IN2974" s="73"/>
      <c r="IO2974" s="73"/>
      <c r="IP2974" s="73"/>
      <c r="IQ2974" s="73"/>
      <c r="IR2974" s="73"/>
      <c r="IS2974" s="73"/>
      <c r="IT2974" s="73"/>
      <c r="IU2974" s="73"/>
      <c r="IV2974" s="73"/>
      <c r="IW2974" s="73"/>
      <c r="IX2974" s="73"/>
      <c r="IY2974" s="73"/>
      <c r="IZ2974" s="73"/>
      <c r="JA2974" s="73"/>
      <c r="JB2974" s="73"/>
      <c r="JC2974" s="73"/>
    </row>
    <row r="2975" spans="2:263" s="72" customFormat="1">
      <c r="B2975" s="73"/>
      <c r="C2975" s="73"/>
      <c r="D2975" s="73"/>
      <c r="E2975" s="73"/>
      <c r="F2975" s="73"/>
      <c r="G2975" s="73"/>
      <c r="H2975" s="73"/>
      <c r="I2975" s="73"/>
      <c r="J2975" s="73"/>
      <c r="K2975" s="73"/>
      <c r="L2975" s="73"/>
      <c r="M2975" s="73"/>
      <c r="N2975" s="73"/>
      <c r="O2975" s="73"/>
      <c r="P2975" s="73"/>
      <c r="Q2975" s="73"/>
      <c r="R2975" s="73"/>
      <c r="S2975" s="73"/>
      <c r="T2975" s="73"/>
      <c r="U2975" s="73"/>
      <c r="V2975" s="73"/>
      <c r="W2975" s="73"/>
      <c r="GL2975" s="73"/>
      <c r="GM2975" s="73"/>
      <c r="GN2975" s="73"/>
      <c r="GO2975" s="73"/>
      <c r="GP2975" s="73"/>
      <c r="GQ2975" s="73"/>
      <c r="GR2975" s="73"/>
      <c r="GS2975" s="73"/>
      <c r="GT2975" s="73"/>
      <c r="GU2975" s="73"/>
      <c r="GV2975" s="73"/>
      <c r="GW2975" s="73"/>
      <c r="GX2975" s="73"/>
      <c r="GY2975" s="73"/>
      <c r="GZ2975" s="73"/>
      <c r="HA2975" s="73"/>
      <c r="HB2975" s="73"/>
      <c r="HC2975" s="73"/>
      <c r="HD2975" s="73"/>
      <c r="HE2975" s="73"/>
      <c r="HF2975" s="73"/>
      <c r="HG2975" s="73"/>
      <c r="HH2975" s="73"/>
      <c r="HI2975" s="73"/>
      <c r="HJ2975" s="73"/>
      <c r="HK2975" s="73"/>
      <c r="HL2975" s="73"/>
      <c r="HM2975" s="73"/>
      <c r="HN2975" s="73"/>
      <c r="HO2975" s="73"/>
      <c r="HP2975" s="73"/>
      <c r="HQ2975" s="73"/>
      <c r="HR2975" s="73"/>
      <c r="HS2975" s="73"/>
      <c r="HT2975" s="73"/>
      <c r="HU2975" s="73"/>
      <c r="HV2975" s="73"/>
      <c r="HW2975" s="73"/>
      <c r="HX2975" s="73"/>
      <c r="HY2975" s="73"/>
      <c r="HZ2975" s="73"/>
      <c r="IA2975" s="73"/>
      <c r="IB2975" s="73"/>
      <c r="IC2975" s="73"/>
      <c r="ID2975" s="73"/>
      <c r="IE2975" s="73"/>
      <c r="IF2975" s="73"/>
      <c r="IG2975" s="73"/>
      <c r="IH2975" s="73"/>
      <c r="II2975" s="73"/>
      <c r="IJ2975" s="73"/>
      <c r="IK2975" s="73"/>
      <c r="IL2975" s="73"/>
      <c r="IM2975" s="73"/>
      <c r="IN2975" s="73"/>
      <c r="IO2975" s="73"/>
      <c r="IP2975" s="73"/>
      <c r="IQ2975" s="73"/>
      <c r="IR2975" s="73"/>
      <c r="IS2975" s="73"/>
      <c r="IT2975" s="73"/>
      <c r="IU2975" s="73"/>
      <c r="IV2975" s="73"/>
      <c r="IW2975" s="73"/>
      <c r="IX2975" s="73"/>
      <c r="IY2975" s="73"/>
      <c r="IZ2975" s="73"/>
      <c r="JA2975" s="73"/>
      <c r="JB2975" s="73"/>
      <c r="JC2975" s="73"/>
    </row>
    <row r="2976" spans="2:263" s="72" customFormat="1">
      <c r="B2976" s="73"/>
      <c r="C2976" s="73"/>
      <c r="D2976" s="73"/>
      <c r="E2976" s="73"/>
      <c r="F2976" s="73"/>
      <c r="G2976" s="73"/>
      <c r="H2976" s="73"/>
      <c r="I2976" s="73"/>
      <c r="J2976" s="73"/>
      <c r="K2976" s="73"/>
      <c r="L2976" s="73"/>
      <c r="M2976" s="73"/>
      <c r="N2976" s="73"/>
      <c r="O2976" s="73"/>
      <c r="P2976" s="73"/>
      <c r="Q2976" s="73"/>
      <c r="R2976" s="73"/>
      <c r="S2976" s="73"/>
      <c r="T2976" s="73"/>
      <c r="U2976" s="73"/>
      <c r="V2976" s="73"/>
      <c r="W2976" s="73"/>
      <c r="GL2976" s="73"/>
      <c r="GM2976" s="73"/>
      <c r="GN2976" s="73"/>
      <c r="GO2976" s="73"/>
      <c r="GP2976" s="73"/>
      <c r="GQ2976" s="73"/>
      <c r="GR2976" s="73"/>
      <c r="GS2976" s="73"/>
      <c r="GT2976" s="73"/>
      <c r="GU2976" s="73"/>
      <c r="GV2976" s="73"/>
      <c r="GW2976" s="73"/>
      <c r="GX2976" s="73"/>
      <c r="GY2976" s="73"/>
      <c r="GZ2976" s="73"/>
      <c r="HA2976" s="73"/>
      <c r="HB2976" s="73"/>
      <c r="HC2976" s="73"/>
      <c r="HD2976" s="73"/>
      <c r="HE2976" s="73"/>
      <c r="HF2976" s="73"/>
      <c r="HG2976" s="73"/>
      <c r="HH2976" s="73"/>
      <c r="HI2976" s="73"/>
      <c r="HJ2976" s="73"/>
      <c r="HK2976" s="73"/>
      <c r="HL2976" s="73"/>
      <c r="HM2976" s="73"/>
      <c r="HN2976" s="73"/>
      <c r="HO2976" s="73"/>
      <c r="HP2976" s="73"/>
      <c r="HQ2976" s="73"/>
      <c r="HR2976" s="73"/>
      <c r="HS2976" s="73"/>
      <c r="HT2976" s="73"/>
      <c r="HU2976" s="73"/>
      <c r="HV2976" s="73"/>
      <c r="HW2976" s="73"/>
      <c r="HX2976" s="73"/>
      <c r="HY2976" s="73"/>
      <c r="HZ2976" s="73"/>
      <c r="IA2976" s="73"/>
      <c r="IB2976" s="73"/>
      <c r="IC2976" s="73"/>
      <c r="ID2976" s="73"/>
      <c r="IE2976" s="73"/>
      <c r="IF2976" s="73"/>
      <c r="IG2976" s="73"/>
      <c r="IH2976" s="73"/>
      <c r="II2976" s="73"/>
      <c r="IJ2976" s="73"/>
      <c r="IK2976" s="73"/>
      <c r="IL2976" s="73"/>
      <c r="IM2976" s="73"/>
      <c r="IN2976" s="73"/>
      <c r="IO2976" s="73"/>
      <c r="IP2976" s="73"/>
      <c r="IQ2976" s="73"/>
      <c r="IR2976" s="73"/>
      <c r="IS2976" s="73"/>
      <c r="IT2976" s="73"/>
      <c r="IU2976" s="73"/>
      <c r="IV2976" s="73"/>
      <c r="IW2976" s="73"/>
      <c r="IX2976" s="73"/>
      <c r="IY2976" s="73"/>
      <c r="IZ2976" s="73"/>
      <c r="JA2976" s="73"/>
      <c r="JB2976" s="73"/>
      <c r="JC2976" s="73"/>
    </row>
    <row r="2977" spans="2:263" s="72" customFormat="1">
      <c r="B2977" s="73"/>
      <c r="C2977" s="73"/>
      <c r="D2977" s="73"/>
      <c r="E2977" s="73"/>
      <c r="F2977" s="73"/>
      <c r="G2977" s="73"/>
      <c r="H2977" s="73"/>
      <c r="I2977" s="73"/>
      <c r="J2977" s="73"/>
      <c r="K2977" s="73"/>
      <c r="L2977" s="73"/>
      <c r="M2977" s="73"/>
      <c r="N2977" s="73"/>
      <c r="O2977" s="73"/>
      <c r="P2977" s="73"/>
      <c r="Q2977" s="73"/>
      <c r="R2977" s="73"/>
      <c r="S2977" s="73"/>
      <c r="T2977" s="73"/>
      <c r="U2977" s="73"/>
      <c r="V2977" s="73"/>
      <c r="W2977" s="73"/>
      <c r="GL2977" s="73"/>
      <c r="GM2977" s="73"/>
      <c r="GN2977" s="73"/>
      <c r="GO2977" s="73"/>
      <c r="GP2977" s="73"/>
      <c r="GQ2977" s="73"/>
      <c r="GR2977" s="73"/>
      <c r="GS2977" s="73"/>
      <c r="GT2977" s="73"/>
      <c r="GU2977" s="73"/>
      <c r="GV2977" s="73"/>
      <c r="GW2977" s="73"/>
      <c r="GX2977" s="73"/>
      <c r="GY2977" s="73"/>
      <c r="GZ2977" s="73"/>
      <c r="HA2977" s="73"/>
      <c r="HB2977" s="73"/>
      <c r="HC2977" s="73"/>
      <c r="HD2977" s="73"/>
      <c r="HE2977" s="73"/>
      <c r="HF2977" s="73"/>
      <c r="HG2977" s="73"/>
      <c r="HH2977" s="73"/>
      <c r="HI2977" s="73"/>
      <c r="HJ2977" s="73"/>
      <c r="HK2977" s="73"/>
      <c r="HL2977" s="73"/>
      <c r="HM2977" s="73"/>
      <c r="HN2977" s="73"/>
      <c r="HO2977" s="73"/>
      <c r="HP2977" s="73"/>
      <c r="HQ2977" s="73"/>
      <c r="HR2977" s="73"/>
      <c r="HS2977" s="73"/>
      <c r="HT2977" s="73"/>
      <c r="HU2977" s="73"/>
      <c r="HV2977" s="73"/>
      <c r="HW2977" s="73"/>
      <c r="HX2977" s="73"/>
      <c r="HY2977" s="73"/>
      <c r="HZ2977" s="73"/>
      <c r="IA2977" s="73"/>
      <c r="IB2977" s="73"/>
      <c r="IC2977" s="73"/>
      <c r="ID2977" s="73"/>
      <c r="IE2977" s="73"/>
      <c r="IF2977" s="73"/>
      <c r="IG2977" s="73"/>
      <c r="IH2977" s="73"/>
      <c r="II2977" s="73"/>
      <c r="IJ2977" s="73"/>
      <c r="IK2977" s="73"/>
      <c r="IL2977" s="73"/>
      <c r="IM2977" s="73"/>
      <c r="IN2977" s="73"/>
      <c r="IO2977" s="73"/>
      <c r="IP2977" s="73"/>
      <c r="IQ2977" s="73"/>
      <c r="IR2977" s="73"/>
      <c r="IS2977" s="73"/>
      <c r="IT2977" s="73"/>
      <c r="IU2977" s="73"/>
      <c r="IV2977" s="73"/>
      <c r="IW2977" s="73"/>
      <c r="IX2977" s="73"/>
      <c r="IY2977" s="73"/>
      <c r="IZ2977" s="73"/>
      <c r="JA2977" s="73"/>
      <c r="JB2977" s="73"/>
      <c r="JC2977" s="73"/>
    </row>
    <row r="2978" spans="2:263" s="72" customFormat="1">
      <c r="B2978" s="73"/>
      <c r="C2978" s="73"/>
      <c r="D2978" s="73"/>
      <c r="E2978" s="73"/>
      <c r="F2978" s="73"/>
      <c r="G2978" s="73"/>
      <c r="H2978" s="73"/>
      <c r="I2978" s="73"/>
      <c r="J2978" s="73"/>
      <c r="K2978" s="73"/>
      <c r="L2978" s="73"/>
      <c r="M2978" s="73"/>
      <c r="N2978" s="73"/>
      <c r="O2978" s="73"/>
      <c r="P2978" s="73"/>
      <c r="Q2978" s="73"/>
      <c r="R2978" s="73"/>
      <c r="S2978" s="73"/>
      <c r="T2978" s="73"/>
      <c r="U2978" s="73"/>
      <c r="V2978" s="73"/>
      <c r="W2978" s="73"/>
      <c r="GL2978" s="73"/>
      <c r="GM2978" s="73"/>
      <c r="GN2978" s="73"/>
      <c r="GO2978" s="73"/>
      <c r="GP2978" s="73"/>
      <c r="GQ2978" s="73"/>
      <c r="GR2978" s="73"/>
      <c r="GS2978" s="73"/>
      <c r="GT2978" s="73"/>
      <c r="GU2978" s="73"/>
      <c r="GV2978" s="73"/>
      <c r="GW2978" s="73"/>
      <c r="GX2978" s="73"/>
      <c r="GY2978" s="73"/>
      <c r="GZ2978" s="73"/>
      <c r="HA2978" s="73"/>
      <c r="HB2978" s="73"/>
      <c r="HC2978" s="73"/>
      <c r="HD2978" s="73"/>
      <c r="HE2978" s="73"/>
      <c r="HF2978" s="73"/>
      <c r="HG2978" s="73"/>
      <c r="HH2978" s="73"/>
      <c r="HI2978" s="73"/>
      <c r="HJ2978" s="73"/>
      <c r="HK2978" s="73"/>
      <c r="HL2978" s="73"/>
      <c r="HM2978" s="73"/>
      <c r="HN2978" s="73"/>
      <c r="HO2978" s="73"/>
      <c r="HP2978" s="73"/>
      <c r="HQ2978" s="73"/>
      <c r="HR2978" s="73"/>
      <c r="HS2978" s="73"/>
      <c r="HT2978" s="73"/>
      <c r="HU2978" s="73"/>
      <c r="HV2978" s="73"/>
      <c r="HW2978" s="73"/>
      <c r="HX2978" s="73"/>
      <c r="HY2978" s="73"/>
      <c r="HZ2978" s="73"/>
      <c r="IA2978" s="73"/>
      <c r="IB2978" s="73"/>
      <c r="IC2978" s="73"/>
      <c r="ID2978" s="73"/>
      <c r="IE2978" s="73"/>
      <c r="IF2978" s="73"/>
      <c r="IG2978" s="73"/>
      <c r="IH2978" s="73"/>
      <c r="II2978" s="73"/>
      <c r="IJ2978" s="73"/>
      <c r="IK2978" s="73"/>
      <c r="IL2978" s="73"/>
      <c r="IM2978" s="73"/>
      <c r="IN2978" s="73"/>
      <c r="IO2978" s="73"/>
      <c r="IP2978" s="73"/>
      <c r="IQ2978" s="73"/>
      <c r="IR2978" s="73"/>
      <c r="IS2978" s="73"/>
      <c r="IT2978" s="73"/>
      <c r="IU2978" s="73"/>
      <c r="IV2978" s="73"/>
      <c r="IW2978" s="73"/>
      <c r="IX2978" s="73"/>
      <c r="IY2978" s="73"/>
      <c r="IZ2978" s="73"/>
      <c r="JA2978" s="73"/>
      <c r="JB2978" s="73"/>
      <c r="JC2978" s="73"/>
    </row>
    <row r="2979" spans="2:263" s="72" customFormat="1">
      <c r="B2979" s="73"/>
      <c r="C2979" s="73"/>
      <c r="D2979" s="73"/>
      <c r="E2979" s="73"/>
      <c r="F2979" s="73"/>
      <c r="G2979" s="73"/>
      <c r="H2979" s="73"/>
      <c r="I2979" s="73"/>
      <c r="J2979" s="73"/>
      <c r="K2979" s="73"/>
      <c r="L2979" s="73"/>
      <c r="M2979" s="73"/>
      <c r="N2979" s="73"/>
      <c r="O2979" s="73"/>
      <c r="P2979" s="73"/>
      <c r="Q2979" s="73"/>
      <c r="R2979" s="73"/>
      <c r="S2979" s="73"/>
      <c r="T2979" s="73"/>
      <c r="U2979" s="73"/>
      <c r="V2979" s="73"/>
      <c r="W2979" s="73"/>
      <c r="GL2979" s="73"/>
      <c r="GM2979" s="73"/>
      <c r="GN2979" s="73"/>
      <c r="GO2979" s="73"/>
      <c r="GP2979" s="73"/>
      <c r="GQ2979" s="73"/>
      <c r="GR2979" s="73"/>
      <c r="GS2979" s="73"/>
      <c r="GT2979" s="73"/>
      <c r="GU2979" s="73"/>
      <c r="GV2979" s="73"/>
      <c r="GW2979" s="73"/>
      <c r="GX2979" s="73"/>
      <c r="GY2979" s="73"/>
      <c r="GZ2979" s="73"/>
      <c r="HA2979" s="73"/>
      <c r="HB2979" s="73"/>
      <c r="HC2979" s="73"/>
      <c r="HD2979" s="73"/>
      <c r="HE2979" s="73"/>
      <c r="HF2979" s="73"/>
      <c r="HG2979" s="73"/>
      <c r="HH2979" s="73"/>
      <c r="HI2979" s="73"/>
      <c r="HJ2979" s="73"/>
      <c r="HK2979" s="73"/>
      <c r="HL2979" s="73"/>
      <c r="HM2979" s="73"/>
      <c r="HN2979" s="73"/>
      <c r="HO2979" s="73"/>
      <c r="HP2979" s="73"/>
      <c r="HQ2979" s="73"/>
      <c r="HR2979" s="73"/>
      <c r="HS2979" s="73"/>
      <c r="HT2979" s="73"/>
      <c r="HU2979" s="73"/>
      <c r="HV2979" s="73"/>
      <c r="HW2979" s="73"/>
      <c r="HX2979" s="73"/>
      <c r="HY2979" s="73"/>
      <c r="HZ2979" s="73"/>
      <c r="IA2979" s="73"/>
      <c r="IB2979" s="73"/>
      <c r="IC2979" s="73"/>
      <c r="ID2979" s="73"/>
      <c r="IE2979" s="73"/>
      <c r="IF2979" s="73"/>
      <c r="IG2979" s="73"/>
      <c r="IH2979" s="73"/>
      <c r="II2979" s="73"/>
      <c r="IJ2979" s="73"/>
      <c r="IK2979" s="73"/>
      <c r="IL2979" s="73"/>
      <c r="IM2979" s="73"/>
      <c r="IN2979" s="73"/>
      <c r="IO2979" s="73"/>
      <c r="IP2979" s="73"/>
      <c r="IQ2979" s="73"/>
      <c r="IR2979" s="73"/>
      <c r="IS2979" s="73"/>
      <c r="IT2979" s="73"/>
      <c r="IU2979" s="73"/>
      <c r="IV2979" s="73"/>
      <c r="IW2979" s="73"/>
      <c r="IX2979" s="73"/>
      <c r="IY2979" s="73"/>
      <c r="IZ2979" s="73"/>
      <c r="JA2979" s="73"/>
      <c r="JB2979" s="73"/>
      <c r="JC2979" s="73"/>
    </row>
    <row r="2980" spans="2:263" s="72" customFormat="1">
      <c r="B2980" s="73"/>
      <c r="C2980" s="73"/>
      <c r="D2980" s="73"/>
      <c r="E2980" s="73"/>
      <c r="F2980" s="73"/>
      <c r="G2980" s="73"/>
      <c r="H2980" s="73"/>
      <c r="I2980" s="73"/>
      <c r="J2980" s="73"/>
      <c r="K2980" s="73"/>
      <c r="L2980" s="73"/>
      <c r="M2980" s="73"/>
      <c r="N2980" s="73"/>
      <c r="O2980" s="73"/>
      <c r="P2980" s="73"/>
      <c r="Q2980" s="73"/>
      <c r="R2980" s="73"/>
      <c r="S2980" s="73"/>
      <c r="T2980" s="73"/>
      <c r="U2980" s="73"/>
      <c r="V2980" s="73"/>
      <c r="W2980" s="73"/>
      <c r="GL2980" s="73"/>
      <c r="GM2980" s="73"/>
      <c r="GN2980" s="73"/>
      <c r="GO2980" s="73"/>
      <c r="GP2980" s="73"/>
      <c r="GQ2980" s="73"/>
      <c r="GR2980" s="73"/>
      <c r="GS2980" s="73"/>
      <c r="GT2980" s="73"/>
      <c r="GU2980" s="73"/>
      <c r="GV2980" s="73"/>
      <c r="GW2980" s="73"/>
      <c r="GX2980" s="73"/>
      <c r="GY2980" s="73"/>
      <c r="GZ2980" s="73"/>
      <c r="HA2980" s="73"/>
      <c r="HB2980" s="73"/>
      <c r="HC2980" s="73"/>
      <c r="HD2980" s="73"/>
      <c r="HE2980" s="73"/>
      <c r="HF2980" s="73"/>
      <c r="HG2980" s="73"/>
      <c r="HH2980" s="73"/>
      <c r="HI2980" s="73"/>
      <c r="HJ2980" s="73"/>
      <c r="HK2980" s="73"/>
      <c r="HL2980" s="73"/>
      <c r="HM2980" s="73"/>
      <c r="HN2980" s="73"/>
      <c r="HO2980" s="73"/>
      <c r="HP2980" s="73"/>
      <c r="HQ2980" s="73"/>
      <c r="HR2980" s="73"/>
      <c r="HS2980" s="73"/>
      <c r="HT2980" s="73"/>
      <c r="HU2980" s="73"/>
      <c r="HV2980" s="73"/>
      <c r="HW2980" s="73"/>
      <c r="HX2980" s="73"/>
      <c r="HY2980" s="73"/>
      <c r="HZ2980" s="73"/>
      <c r="IA2980" s="73"/>
      <c r="IB2980" s="73"/>
      <c r="IC2980" s="73"/>
      <c r="ID2980" s="73"/>
      <c r="IE2980" s="73"/>
      <c r="IF2980" s="73"/>
      <c r="IG2980" s="73"/>
      <c r="IH2980" s="73"/>
      <c r="II2980" s="73"/>
      <c r="IJ2980" s="73"/>
      <c r="IK2980" s="73"/>
      <c r="IL2980" s="73"/>
      <c r="IM2980" s="73"/>
      <c r="IN2980" s="73"/>
      <c r="IO2980" s="73"/>
      <c r="IP2980" s="73"/>
      <c r="IQ2980" s="73"/>
      <c r="IR2980" s="73"/>
      <c r="IS2980" s="73"/>
      <c r="IT2980" s="73"/>
      <c r="IU2980" s="73"/>
      <c r="IV2980" s="73"/>
      <c r="IW2980" s="73"/>
      <c r="IX2980" s="73"/>
      <c r="IY2980" s="73"/>
      <c r="IZ2980" s="73"/>
      <c r="JA2980" s="73"/>
      <c r="JB2980" s="73"/>
      <c r="JC2980" s="73"/>
    </row>
    <row r="2981" spans="2:263" s="72" customFormat="1">
      <c r="B2981" s="73"/>
      <c r="C2981" s="73"/>
      <c r="D2981" s="73"/>
      <c r="E2981" s="73"/>
      <c r="F2981" s="73"/>
      <c r="G2981" s="73"/>
      <c r="H2981" s="73"/>
      <c r="I2981" s="73"/>
      <c r="J2981" s="73"/>
      <c r="K2981" s="73"/>
      <c r="L2981" s="73"/>
      <c r="M2981" s="73"/>
      <c r="N2981" s="73"/>
      <c r="O2981" s="73"/>
      <c r="P2981" s="73"/>
      <c r="Q2981" s="73"/>
      <c r="R2981" s="73"/>
      <c r="S2981" s="73"/>
      <c r="T2981" s="73"/>
      <c r="U2981" s="73"/>
      <c r="V2981" s="73"/>
      <c r="W2981" s="73"/>
      <c r="GL2981" s="73"/>
      <c r="GM2981" s="73"/>
      <c r="GN2981" s="73"/>
      <c r="GO2981" s="73"/>
      <c r="GP2981" s="73"/>
      <c r="GQ2981" s="73"/>
      <c r="GR2981" s="73"/>
      <c r="GS2981" s="73"/>
      <c r="GT2981" s="73"/>
      <c r="GU2981" s="73"/>
      <c r="GV2981" s="73"/>
      <c r="GW2981" s="73"/>
      <c r="GX2981" s="73"/>
      <c r="GY2981" s="73"/>
      <c r="GZ2981" s="73"/>
      <c r="HA2981" s="73"/>
      <c r="HB2981" s="73"/>
      <c r="HC2981" s="73"/>
      <c r="HD2981" s="73"/>
      <c r="HE2981" s="73"/>
      <c r="HF2981" s="73"/>
      <c r="HG2981" s="73"/>
      <c r="HH2981" s="73"/>
      <c r="HI2981" s="73"/>
      <c r="HJ2981" s="73"/>
      <c r="HK2981" s="73"/>
      <c r="HL2981" s="73"/>
      <c r="HM2981" s="73"/>
      <c r="HN2981" s="73"/>
      <c r="HO2981" s="73"/>
      <c r="HP2981" s="73"/>
      <c r="HQ2981" s="73"/>
      <c r="HR2981" s="73"/>
      <c r="HS2981" s="73"/>
      <c r="HT2981" s="73"/>
      <c r="HU2981" s="73"/>
      <c r="HV2981" s="73"/>
      <c r="HW2981" s="73"/>
      <c r="HX2981" s="73"/>
      <c r="HY2981" s="73"/>
      <c r="HZ2981" s="73"/>
      <c r="IA2981" s="73"/>
      <c r="IB2981" s="73"/>
      <c r="IC2981" s="73"/>
      <c r="ID2981" s="73"/>
      <c r="IE2981" s="73"/>
      <c r="IF2981" s="73"/>
      <c r="IG2981" s="73"/>
      <c r="IH2981" s="73"/>
      <c r="II2981" s="73"/>
      <c r="IJ2981" s="73"/>
      <c r="IK2981" s="73"/>
      <c r="IL2981" s="73"/>
      <c r="IM2981" s="73"/>
      <c r="IN2981" s="73"/>
      <c r="IO2981" s="73"/>
      <c r="IP2981" s="73"/>
      <c r="IQ2981" s="73"/>
      <c r="IR2981" s="73"/>
      <c r="IS2981" s="73"/>
      <c r="IT2981" s="73"/>
      <c r="IU2981" s="73"/>
      <c r="IV2981" s="73"/>
      <c r="IW2981" s="73"/>
      <c r="IX2981" s="73"/>
      <c r="IY2981" s="73"/>
      <c r="IZ2981" s="73"/>
      <c r="JA2981" s="73"/>
      <c r="JB2981" s="73"/>
      <c r="JC2981" s="73"/>
    </row>
    <row r="2982" spans="2:263" s="72" customFormat="1">
      <c r="B2982" s="73"/>
      <c r="C2982" s="73"/>
      <c r="D2982" s="73"/>
      <c r="E2982" s="73"/>
      <c r="F2982" s="73"/>
      <c r="G2982" s="73"/>
      <c r="H2982" s="73"/>
      <c r="I2982" s="73"/>
      <c r="J2982" s="73"/>
      <c r="K2982" s="73"/>
      <c r="L2982" s="73"/>
      <c r="M2982" s="73"/>
      <c r="N2982" s="73"/>
      <c r="O2982" s="73"/>
      <c r="P2982" s="73"/>
      <c r="Q2982" s="73"/>
      <c r="R2982" s="73"/>
      <c r="S2982" s="73"/>
      <c r="T2982" s="73"/>
      <c r="U2982" s="73"/>
      <c r="V2982" s="73"/>
      <c r="W2982" s="73"/>
      <c r="GL2982" s="73"/>
      <c r="GM2982" s="73"/>
      <c r="GN2982" s="73"/>
      <c r="GO2982" s="73"/>
      <c r="GP2982" s="73"/>
      <c r="GQ2982" s="73"/>
      <c r="GR2982" s="73"/>
      <c r="GS2982" s="73"/>
      <c r="GT2982" s="73"/>
      <c r="GU2982" s="73"/>
      <c r="GV2982" s="73"/>
      <c r="GW2982" s="73"/>
      <c r="GX2982" s="73"/>
      <c r="GY2982" s="73"/>
      <c r="GZ2982" s="73"/>
      <c r="HA2982" s="73"/>
      <c r="HB2982" s="73"/>
      <c r="HC2982" s="73"/>
      <c r="HD2982" s="73"/>
      <c r="HE2982" s="73"/>
      <c r="HF2982" s="73"/>
      <c r="HG2982" s="73"/>
      <c r="HH2982" s="73"/>
      <c r="HI2982" s="73"/>
      <c r="HJ2982" s="73"/>
      <c r="HK2982" s="73"/>
      <c r="HL2982" s="73"/>
      <c r="HM2982" s="73"/>
      <c r="HN2982" s="73"/>
      <c r="HO2982" s="73"/>
      <c r="HP2982" s="73"/>
      <c r="HQ2982" s="73"/>
      <c r="HR2982" s="73"/>
      <c r="HS2982" s="73"/>
      <c r="HT2982" s="73"/>
      <c r="HU2982" s="73"/>
      <c r="HV2982" s="73"/>
      <c r="HW2982" s="73"/>
      <c r="HX2982" s="73"/>
      <c r="HY2982" s="73"/>
      <c r="HZ2982" s="73"/>
      <c r="IA2982" s="73"/>
      <c r="IB2982" s="73"/>
      <c r="IC2982" s="73"/>
      <c r="ID2982" s="73"/>
      <c r="IE2982" s="73"/>
      <c r="IF2982" s="73"/>
      <c r="IG2982" s="73"/>
      <c r="IH2982" s="73"/>
      <c r="II2982" s="73"/>
      <c r="IJ2982" s="73"/>
      <c r="IK2982" s="73"/>
      <c r="IL2982" s="73"/>
      <c r="IM2982" s="73"/>
      <c r="IN2982" s="73"/>
      <c r="IO2982" s="73"/>
      <c r="IP2982" s="73"/>
      <c r="IQ2982" s="73"/>
      <c r="IR2982" s="73"/>
      <c r="IS2982" s="73"/>
      <c r="IT2982" s="73"/>
      <c r="IU2982" s="73"/>
      <c r="IV2982" s="73"/>
      <c r="IW2982" s="73"/>
      <c r="IX2982" s="73"/>
      <c r="IY2982" s="73"/>
      <c r="IZ2982" s="73"/>
      <c r="JA2982" s="73"/>
      <c r="JB2982" s="73"/>
      <c r="JC2982" s="73"/>
    </row>
    <row r="2983" spans="2:263" s="72" customFormat="1">
      <c r="B2983" s="73"/>
      <c r="C2983" s="73"/>
      <c r="D2983" s="73"/>
      <c r="E2983" s="73"/>
      <c r="F2983" s="73"/>
      <c r="G2983" s="73"/>
      <c r="H2983" s="73"/>
      <c r="I2983" s="73"/>
      <c r="J2983" s="73"/>
      <c r="K2983" s="73"/>
      <c r="L2983" s="73"/>
      <c r="M2983" s="73"/>
      <c r="N2983" s="73"/>
      <c r="O2983" s="73"/>
      <c r="P2983" s="73"/>
      <c r="Q2983" s="73"/>
      <c r="R2983" s="73"/>
      <c r="S2983" s="73"/>
      <c r="T2983" s="73"/>
      <c r="U2983" s="73"/>
      <c r="V2983" s="73"/>
      <c r="W2983" s="73"/>
      <c r="GL2983" s="73"/>
      <c r="GM2983" s="73"/>
      <c r="GN2983" s="73"/>
      <c r="GO2983" s="73"/>
      <c r="GP2983" s="73"/>
      <c r="GQ2983" s="73"/>
      <c r="GR2983" s="73"/>
      <c r="GS2983" s="73"/>
      <c r="GT2983" s="73"/>
      <c r="GU2983" s="73"/>
      <c r="GV2983" s="73"/>
      <c r="GW2983" s="73"/>
      <c r="GX2983" s="73"/>
      <c r="GY2983" s="73"/>
      <c r="GZ2983" s="73"/>
      <c r="HA2983" s="73"/>
      <c r="HB2983" s="73"/>
      <c r="HC2983" s="73"/>
      <c r="HD2983" s="73"/>
      <c r="HE2983" s="73"/>
      <c r="HF2983" s="73"/>
      <c r="HG2983" s="73"/>
      <c r="HH2983" s="73"/>
      <c r="HI2983" s="73"/>
      <c r="HJ2983" s="73"/>
      <c r="HK2983" s="73"/>
      <c r="HL2983" s="73"/>
      <c r="HM2983" s="73"/>
      <c r="HN2983" s="73"/>
      <c r="HO2983" s="73"/>
      <c r="HP2983" s="73"/>
      <c r="HQ2983" s="73"/>
      <c r="HR2983" s="73"/>
      <c r="HS2983" s="73"/>
      <c r="HT2983" s="73"/>
      <c r="HU2983" s="73"/>
      <c r="HV2983" s="73"/>
      <c r="HW2983" s="73"/>
      <c r="HX2983" s="73"/>
      <c r="HY2983" s="73"/>
      <c r="HZ2983" s="73"/>
      <c r="IA2983" s="73"/>
      <c r="IB2983" s="73"/>
      <c r="IC2983" s="73"/>
      <c r="ID2983" s="73"/>
      <c r="IE2983" s="73"/>
      <c r="IF2983" s="73"/>
      <c r="IG2983" s="73"/>
      <c r="IH2983" s="73"/>
      <c r="II2983" s="73"/>
      <c r="IJ2983" s="73"/>
      <c r="IK2983" s="73"/>
      <c r="IL2983" s="73"/>
      <c r="IM2983" s="73"/>
      <c r="IN2983" s="73"/>
      <c r="IO2983" s="73"/>
      <c r="IP2983" s="73"/>
      <c r="IQ2983" s="73"/>
      <c r="IR2983" s="73"/>
      <c r="IS2983" s="73"/>
      <c r="IT2983" s="73"/>
      <c r="IU2983" s="73"/>
      <c r="IV2983" s="73"/>
      <c r="IW2983" s="73"/>
      <c r="IX2983" s="73"/>
      <c r="IY2983" s="73"/>
      <c r="IZ2983" s="73"/>
      <c r="JA2983" s="73"/>
      <c r="JB2983" s="73"/>
      <c r="JC2983" s="73"/>
    </row>
    <row r="2984" spans="2:263" s="72" customFormat="1">
      <c r="B2984" s="73"/>
      <c r="C2984" s="73"/>
      <c r="D2984" s="73"/>
      <c r="E2984" s="73"/>
      <c r="F2984" s="73"/>
      <c r="G2984" s="73"/>
      <c r="H2984" s="73"/>
      <c r="I2984" s="73"/>
      <c r="J2984" s="73"/>
      <c r="K2984" s="73"/>
      <c r="L2984" s="73"/>
      <c r="M2984" s="73"/>
      <c r="N2984" s="73"/>
      <c r="O2984" s="73"/>
      <c r="P2984" s="73"/>
      <c r="Q2984" s="73"/>
      <c r="R2984" s="73"/>
      <c r="S2984" s="73"/>
      <c r="T2984" s="73"/>
      <c r="U2984" s="73"/>
      <c r="V2984" s="73"/>
      <c r="W2984" s="73"/>
      <c r="GL2984" s="73"/>
      <c r="GM2984" s="73"/>
      <c r="GN2984" s="73"/>
      <c r="GO2984" s="73"/>
      <c r="GP2984" s="73"/>
      <c r="GQ2984" s="73"/>
      <c r="GR2984" s="73"/>
      <c r="GS2984" s="73"/>
      <c r="GT2984" s="73"/>
      <c r="GU2984" s="73"/>
      <c r="GV2984" s="73"/>
      <c r="GW2984" s="73"/>
      <c r="GX2984" s="73"/>
      <c r="GY2984" s="73"/>
      <c r="GZ2984" s="73"/>
      <c r="HA2984" s="73"/>
      <c r="HB2984" s="73"/>
      <c r="HC2984" s="73"/>
      <c r="HD2984" s="73"/>
      <c r="HE2984" s="73"/>
      <c r="HF2984" s="73"/>
      <c r="HG2984" s="73"/>
      <c r="HH2984" s="73"/>
      <c r="HI2984" s="73"/>
      <c r="HJ2984" s="73"/>
      <c r="HK2984" s="73"/>
      <c r="HL2984" s="73"/>
      <c r="HM2984" s="73"/>
      <c r="HN2984" s="73"/>
      <c r="HO2984" s="73"/>
      <c r="HP2984" s="73"/>
      <c r="HQ2984" s="73"/>
      <c r="HR2984" s="73"/>
      <c r="HS2984" s="73"/>
      <c r="HT2984" s="73"/>
      <c r="HU2984" s="73"/>
      <c r="HV2984" s="73"/>
      <c r="HW2984" s="73"/>
      <c r="HX2984" s="73"/>
      <c r="HY2984" s="73"/>
      <c r="HZ2984" s="73"/>
      <c r="IA2984" s="73"/>
      <c r="IB2984" s="73"/>
      <c r="IC2984" s="73"/>
      <c r="ID2984" s="73"/>
      <c r="IE2984" s="73"/>
      <c r="IF2984" s="73"/>
      <c r="IG2984" s="73"/>
      <c r="IH2984" s="73"/>
      <c r="II2984" s="73"/>
      <c r="IJ2984" s="73"/>
      <c r="IK2984" s="73"/>
      <c r="IL2984" s="73"/>
      <c r="IM2984" s="73"/>
      <c r="IN2984" s="73"/>
      <c r="IO2984" s="73"/>
      <c r="IP2984" s="73"/>
      <c r="IQ2984" s="73"/>
      <c r="IR2984" s="73"/>
      <c r="IS2984" s="73"/>
      <c r="IT2984" s="73"/>
      <c r="IU2984" s="73"/>
      <c r="IV2984" s="73"/>
      <c r="IW2984" s="73"/>
      <c r="IX2984" s="73"/>
      <c r="IY2984" s="73"/>
      <c r="IZ2984" s="73"/>
      <c r="JA2984" s="73"/>
      <c r="JB2984" s="73"/>
      <c r="JC2984" s="73"/>
    </row>
    <row r="2985" spans="2:263" s="72" customFormat="1">
      <c r="B2985" s="73"/>
      <c r="C2985" s="73"/>
      <c r="D2985" s="73"/>
      <c r="E2985" s="73"/>
      <c r="F2985" s="73"/>
      <c r="G2985" s="73"/>
      <c r="H2985" s="73"/>
      <c r="I2985" s="73"/>
      <c r="J2985" s="73"/>
      <c r="K2985" s="73"/>
      <c r="L2985" s="73"/>
      <c r="M2985" s="73"/>
      <c r="N2985" s="73"/>
      <c r="O2985" s="73"/>
      <c r="P2985" s="73"/>
      <c r="Q2985" s="73"/>
      <c r="R2985" s="73"/>
      <c r="S2985" s="73"/>
      <c r="T2985" s="73"/>
      <c r="U2985" s="73"/>
      <c r="V2985" s="73"/>
      <c r="W2985" s="73"/>
      <c r="GL2985" s="73"/>
      <c r="GM2985" s="73"/>
      <c r="GN2985" s="73"/>
      <c r="GO2985" s="73"/>
      <c r="GP2985" s="73"/>
      <c r="GQ2985" s="73"/>
      <c r="GR2985" s="73"/>
      <c r="GS2985" s="73"/>
      <c r="GT2985" s="73"/>
      <c r="GU2985" s="73"/>
      <c r="GV2985" s="73"/>
      <c r="GW2985" s="73"/>
      <c r="GX2985" s="73"/>
      <c r="GY2985" s="73"/>
      <c r="GZ2985" s="73"/>
      <c r="HA2985" s="73"/>
      <c r="HB2985" s="73"/>
      <c r="HC2985" s="73"/>
      <c r="HD2985" s="73"/>
      <c r="HE2985" s="73"/>
      <c r="HF2985" s="73"/>
      <c r="HG2985" s="73"/>
      <c r="HH2985" s="73"/>
      <c r="HI2985" s="73"/>
      <c r="HJ2985" s="73"/>
      <c r="HK2985" s="73"/>
      <c r="HL2985" s="73"/>
      <c r="HM2985" s="73"/>
      <c r="HN2985" s="73"/>
      <c r="HO2985" s="73"/>
      <c r="HP2985" s="73"/>
      <c r="HQ2985" s="73"/>
      <c r="HR2985" s="73"/>
      <c r="HS2985" s="73"/>
      <c r="HT2985" s="73"/>
      <c r="HU2985" s="73"/>
      <c r="HV2985" s="73"/>
      <c r="HW2985" s="73"/>
      <c r="HX2985" s="73"/>
      <c r="HY2985" s="73"/>
      <c r="HZ2985" s="73"/>
      <c r="IA2985" s="73"/>
      <c r="IB2985" s="73"/>
      <c r="IC2985" s="73"/>
      <c r="ID2985" s="73"/>
      <c r="IE2985" s="73"/>
      <c r="IF2985" s="73"/>
      <c r="IG2985" s="73"/>
      <c r="IH2985" s="73"/>
      <c r="II2985" s="73"/>
      <c r="IJ2985" s="73"/>
      <c r="IK2985" s="73"/>
      <c r="IL2985" s="73"/>
      <c r="IM2985" s="73"/>
      <c r="IN2985" s="73"/>
      <c r="IO2985" s="73"/>
      <c r="IP2985" s="73"/>
      <c r="IQ2985" s="73"/>
      <c r="IR2985" s="73"/>
      <c r="IS2985" s="73"/>
      <c r="IT2985" s="73"/>
      <c r="IU2985" s="73"/>
      <c r="IV2985" s="73"/>
      <c r="IW2985" s="73"/>
      <c r="IX2985" s="73"/>
      <c r="IY2985" s="73"/>
      <c r="IZ2985" s="73"/>
      <c r="JA2985" s="73"/>
      <c r="JB2985" s="73"/>
      <c r="JC2985" s="73"/>
    </row>
    <row r="2986" spans="2:263" s="72" customFormat="1">
      <c r="B2986" s="73"/>
      <c r="C2986" s="73"/>
      <c r="D2986" s="73"/>
      <c r="E2986" s="73"/>
      <c r="F2986" s="73"/>
      <c r="G2986" s="73"/>
      <c r="H2986" s="73"/>
      <c r="I2986" s="73"/>
      <c r="J2986" s="73"/>
      <c r="K2986" s="73"/>
      <c r="L2986" s="73"/>
      <c r="M2986" s="73"/>
      <c r="N2986" s="73"/>
      <c r="O2986" s="73"/>
      <c r="P2986" s="73"/>
      <c r="Q2986" s="73"/>
      <c r="R2986" s="73"/>
      <c r="S2986" s="73"/>
      <c r="T2986" s="73"/>
      <c r="U2986" s="73"/>
      <c r="V2986" s="73"/>
      <c r="W2986" s="73"/>
      <c r="GL2986" s="73"/>
      <c r="GM2986" s="73"/>
      <c r="GN2986" s="73"/>
      <c r="GO2986" s="73"/>
      <c r="GP2986" s="73"/>
      <c r="GQ2986" s="73"/>
      <c r="GR2986" s="73"/>
      <c r="GS2986" s="73"/>
      <c r="GT2986" s="73"/>
      <c r="GU2986" s="73"/>
      <c r="GV2986" s="73"/>
      <c r="GW2986" s="73"/>
      <c r="GX2986" s="73"/>
      <c r="GY2986" s="73"/>
      <c r="GZ2986" s="73"/>
      <c r="HA2986" s="73"/>
      <c r="HB2986" s="73"/>
      <c r="HC2986" s="73"/>
      <c r="HD2986" s="73"/>
      <c r="HE2986" s="73"/>
      <c r="HF2986" s="73"/>
      <c r="HG2986" s="73"/>
      <c r="HH2986" s="73"/>
      <c r="HI2986" s="73"/>
      <c r="HJ2986" s="73"/>
      <c r="HK2986" s="73"/>
      <c r="HL2986" s="73"/>
      <c r="HM2986" s="73"/>
      <c r="HN2986" s="73"/>
      <c r="HO2986" s="73"/>
      <c r="HP2986" s="73"/>
      <c r="HQ2986" s="73"/>
      <c r="HR2986" s="73"/>
      <c r="HS2986" s="73"/>
      <c r="HT2986" s="73"/>
      <c r="HU2986" s="73"/>
      <c r="HV2986" s="73"/>
      <c r="HW2986" s="73"/>
      <c r="HX2986" s="73"/>
      <c r="HY2986" s="73"/>
      <c r="HZ2986" s="73"/>
      <c r="IA2986" s="73"/>
      <c r="IB2986" s="73"/>
      <c r="IC2986" s="73"/>
      <c r="ID2986" s="73"/>
      <c r="IE2986" s="73"/>
      <c r="IF2986" s="73"/>
      <c r="IG2986" s="73"/>
      <c r="IH2986" s="73"/>
      <c r="II2986" s="73"/>
      <c r="IJ2986" s="73"/>
      <c r="IK2986" s="73"/>
      <c r="IL2986" s="73"/>
      <c r="IM2986" s="73"/>
      <c r="IN2986" s="73"/>
      <c r="IO2986" s="73"/>
      <c r="IP2986" s="73"/>
      <c r="IQ2986" s="73"/>
      <c r="IR2986" s="73"/>
      <c r="IS2986" s="73"/>
      <c r="IT2986" s="73"/>
      <c r="IU2986" s="73"/>
      <c r="IV2986" s="73"/>
      <c r="IW2986" s="73"/>
      <c r="IX2986" s="73"/>
      <c r="IY2986" s="73"/>
      <c r="IZ2986" s="73"/>
      <c r="JA2986" s="73"/>
      <c r="JB2986" s="73"/>
      <c r="JC2986" s="73"/>
    </row>
    <row r="2987" spans="2:263" s="72" customFormat="1">
      <c r="B2987" s="73"/>
      <c r="C2987" s="73"/>
      <c r="D2987" s="73"/>
      <c r="E2987" s="73"/>
      <c r="F2987" s="73"/>
      <c r="G2987" s="73"/>
      <c r="H2987" s="73"/>
      <c r="I2987" s="73"/>
      <c r="J2987" s="73"/>
      <c r="K2987" s="73"/>
      <c r="L2987" s="73"/>
      <c r="M2987" s="73"/>
      <c r="N2987" s="73"/>
      <c r="O2987" s="73"/>
      <c r="P2987" s="73"/>
      <c r="Q2987" s="73"/>
      <c r="R2987" s="73"/>
      <c r="S2987" s="73"/>
      <c r="T2987" s="73"/>
      <c r="U2987" s="73"/>
      <c r="V2987" s="73"/>
      <c r="W2987" s="73"/>
      <c r="GL2987" s="73"/>
      <c r="GM2987" s="73"/>
      <c r="GN2987" s="73"/>
      <c r="GO2987" s="73"/>
      <c r="GP2987" s="73"/>
      <c r="GQ2987" s="73"/>
      <c r="GR2987" s="73"/>
      <c r="GS2987" s="73"/>
      <c r="GT2987" s="73"/>
      <c r="GU2987" s="73"/>
      <c r="GV2987" s="73"/>
      <c r="GW2987" s="73"/>
      <c r="GX2987" s="73"/>
      <c r="GY2987" s="73"/>
      <c r="GZ2987" s="73"/>
      <c r="HA2987" s="73"/>
      <c r="HB2987" s="73"/>
      <c r="HC2987" s="73"/>
      <c r="HD2987" s="73"/>
      <c r="HE2987" s="73"/>
      <c r="HF2987" s="73"/>
      <c r="HG2987" s="73"/>
      <c r="HH2987" s="73"/>
      <c r="HI2987" s="73"/>
      <c r="HJ2987" s="73"/>
      <c r="HK2987" s="73"/>
      <c r="HL2987" s="73"/>
      <c r="HM2987" s="73"/>
      <c r="HN2987" s="73"/>
      <c r="HO2987" s="73"/>
      <c r="HP2987" s="73"/>
      <c r="HQ2987" s="73"/>
      <c r="HR2987" s="73"/>
      <c r="HS2987" s="73"/>
      <c r="HT2987" s="73"/>
      <c r="HU2987" s="73"/>
      <c r="HV2987" s="73"/>
      <c r="HW2987" s="73"/>
      <c r="HX2987" s="73"/>
      <c r="HY2987" s="73"/>
      <c r="HZ2987" s="73"/>
      <c r="IA2987" s="73"/>
      <c r="IB2987" s="73"/>
      <c r="IC2987" s="73"/>
      <c r="ID2987" s="73"/>
      <c r="IE2987" s="73"/>
      <c r="IF2987" s="73"/>
      <c r="IG2987" s="73"/>
      <c r="IH2987" s="73"/>
      <c r="II2987" s="73"/>
      <c r="IJ2987" s="73"/>
      <c r="IK2987" s="73"/>
      <c r="IL2987" s="73"/>
      <c r="IM2987" s="73"/>
      <c r="IN2987" s="73"/>
      <c r="IO2987" s="73"/>
      <c r="IP2987" s="73"/>
      <c r="IQ2987" s="73"/>
      <c r="IR2987" s="73"/>
      <c r="IS2987" s="73"/>
      <c r="IT2987" s="73"/>
      <c r="IU2987" s="73"/>
      <c r="IV2987" s="73"/>
      <c r="IW2987" s="73"/>
      <c r="IX2987" s="73"/>
      <c r="IY2987" s="73"/>
      <c r="IZ2987" s="73"/>
      <c r="JA2987" s="73"/>
      <c r="JB2987" s="73"/>
      <c r="JC2987" s="73"/>
    </row>
    <row r="2988" spans="2:263" s="72" customFormat="1">
      <c r="B2988" s="73"/>
      <c r="C2988" s="73"/>
      <c r="D2988" s="73"/>
      <c r="E2988" s="73"/>
      <c r="F2988" s="73"/>
      <c r="G2988" s="73"/>
      <c r="H2988" s="73"/>
      <c r="I2988" s="73"/>
      <c r="J2988" s="73"/>
      <c r="K2988" s="73"/>
      <c r="L2988" s="73"/>
      <c r="M2988" s="73"/>
      <c r="N2988" s="73"/>
      <c r="O2988" s="73"/>
      <c r="P2988" s="73"/>
      <c r="Q2988" s="73"/>
      <c r="R2988" s="73"/>
      <c r="S2988" s="73"/>
      <c r="T2988" s="73"/>
      <c r="U2988" s="73"/>
      <c r="V2988" s="73"/>
      <c r="W2988" s="73"/>
      <c r="GL2988" s="73"/>
      <c r="GM2988" s="73"/>
      <c r="GN2988" s="73"/>
      <c r="GO2988" s="73"/>
      <c r="GP2988" s="73"/>
      <c r="GQ2988" s="73"/>
      <c r="GR2988" s="73"/>
      <c r="GS2988" s="73"/>
      <c r="GT2988" s="73"/>
      <c r="GU2988" s="73"/>
      <c r="GV2988" s="73"/>
      <c r="GW2988" s="73"/>
      <c r="GX2988" s="73"/>
      <c r="GY2988" s="73"/>
      <c r="GZ2988" s="73"/>
      <c r="HA2988" s="73"/>
      <c r="HB2988" s="73"/>
      <c r="HC2988" s="73"/>
      <c r="HD2988" s="73"/>
      <c r="HE2988" s="73"/>
      <c r="HF2988" s="73"/>
      <c r="HG2988" s="73"/>
      <c r="HH2988" s="73"/>
      <c r="HI2988" s="73"/>
      <c r="HJ2988" s="73"/>
      <c r="HK2988" s="73"/>
      <c r="HL2988" s="73"/>
      <c r="HM2988" s="73"/>
      <c r="HN2988" s="73"/>
      <c r="HO2988" s="73"/>
      <c r="HP2988" s="73"/>
      <c r="HQ2988" s="73"/>
      <c r="HR2988" s="73"/>
      <c r="HS2988" s="73"/>
      <c r="HT2988" s="73"/>
      <c r="HU2988" s="73"/>
      <c r="HV2988" s="73"/>
      <c r="HW2988" s="73"/>
      <c r="HX2988" s="73"/>
      <c r="HY2988" s="73"/>
      <c r="HZ2988" s="73"/>
      <c r="IA2988" s="73"/>
      <c r="IB2988" s="73"/>
      <c r="IC2988" s="73"/>
      <c r="ID2988" s="73"/>
      <c r="IE2988" s="73"/>
      <c r="IF2988" s="73"/>
      <c r="IG2988" s="73"/>
      <c r="IH2988" s="73"/>
      <c r="II2988" s="73"/>
      <c r="IJ2988" s="73"/>
      <c r="IK2988" s="73"/>
      <c r="IL2988" s="73"/>
      <c r="IM2988" s="73"/>
      <c r="IN2988" s="73"/>
      <c r="IO2988" s="73"/>
      <c r="IP2988" s="73"/>
      <c r="IQ2988" s="73"/>
      <c r="IR2988" s="73"/>
      <c r="IS2988" s="73"/>
      <c r="IT2988" s="73"/>
      <c r="IU2988" s="73"/>
      <c r="IV2988" s="73"/>
      <c r="IW2988" s="73"/>
      <c r="IX2988" s="73"/>
      <c r="IY2988" s="73"/>
      <c r="IZ2988" s="73"/>
      <c r="JA2988" s="73"/>
      <c r="JB2988" s="73"/>
      <c r="JC2988" s="73"/>
    </row>
    <row r="2989" spans="2:263" s="72" customFormat="1">
      <c r="B2989" s="73"/>
      <c r="C2989" s="73"/>
      <c r="D2989" s="73"/>
      <c r="E2989" s="73"/>
      <c r="F2989" s="73"/>
      <c r="G2989" s="73"/>
      <c r="H2989" s="73"/>
      <c r="I2989" s="73"/>
      <c r="J2989" s="73"/>
      <c r="K2989" s="73"/>
      <c r="L2989" s="73"/>
      <c r="M2989" s="73"/>
      <c r="N2989" s="73"/>
      <c r="O2989" s="73"/>
      <c r="P2989" s="73"/>
      <c r="Q2989" s="73"/>
      <c r="R2989" s="73"/>
      <c r="S2989" s="73"/>
      <c r="T2989" s="73"/>
      <c r="U2989" s="73"/>
      <c r="V2989" s="73"/>
      <c r="W2989" s="73"/>
      <c r="GL2989" s="73"/>
      <c r="GM2989" s="73"/>
      <c r="GN2989" s="73"/>
      <c r="GO2989" s="73"/>
      <c r="GP2989" s="73"/>
      <c r="GQ2989" s="73"/>
      <c r="GR2989" s="73"/>
      <c r="GS2989" s="73"/>
      <c r="GT2989" s="73"/>
      <c r="GU2989" s="73"/>
      <c r="GV2989" s="73"/>
      <c r="GW2989" s="73"/>
      <c r="GX2989" s="73"/>
      <c r="GY2989" s="73"/>
      <c r="GZ2989" s="73"/>
      <c r="HA2989" s="73"/>
      <c r="HB2989" s="73"/>
      <c r="HC2989" s="73"/>
      <c r="HD2989" s="73"/>
      <c r="HE2989" s="73"/>
      <c r="HF2989" s="73"/>
      <c r="HG2989" s="73"/>
      <c r="HH2989" s="73"/>
      <c r="HI2989" s="73"/>
      <c r="HJ2989" s="73"/>
      <c r="HK2989" s="73"/>
      <c r="HL2989" s="73"/>
      <c r="HM2989" s="73"/>
      <c r="HN2989" s="73"/>
      <c r="HO2989" s="73"/>
      <c r="HP2989" s="73"/>
      <c r="HQ2989" s="73"/>
      <c r="HR2989" s="73"/>
      <c r="HS2989" s="73"/>
      <c r="HT2989" s="73"/>
      <c r="HU2989" s="73"/>
      <c r="HV2989" s="73"/>
      <c r="HW2989" s="73"/>
      <c r="HX2989" s="73"/>
      <c r="HY2989" s="73"/>
      <c r="HZ2989" s="73"/>
      <c r="IA2989" s="73"/>
      <c r="IB2989" s="73"/>
      <c r="IC2989" s="73"/>
      <c r="ID2989" s="73"/>
      <c r="IE2989" s="73"/>
      <c r="IF2989" s="73"/>
      <c r="IG2989" s="73"/>
      <c r="IH2989" s="73"/>
      <c r="II2989" s="73"/>
      <c r="IJ2989" s="73"/>
      <c r="IK2989" s="73"/>
      <c r="IL2989" s="73"/>
      <c r="IM2989" s="73"/>
      <c r="IN2989" s="73"/>
      <c r="IO2989" s="73"/>
      <c r="IP2989" s="73"/>
      <c r="IQ2989" s="73"/>
      <c r="IR2989" s="73"/>
      <c r="IS2989" s="73"/>
      <c r="IT2989" s="73"/>
      <c r="IU2989" s="73"/>
      <c r="IV2989" s="73"/>
      <c r="IW2989" s="73"/>
      <c r="IX2989" s="73"/>
      <c r="IY2989" s="73"/>
      <c r="IZ2989" s="73"/>
      <c r="JA2989" s="73"/>
      <c r="JB2989" s="73"/>
      <c r="JC2989" s="73"/>
    </row>
    <row r="2990" spans="2:263" s="72" customFormat="1">
      <c r="B2990" s="73"/>
      <c r="C2990" s="73"/>
      <c r="D2990" s="73"/>
      <c r="E2990" s="73"/>
      <c r="F2990" s="73"/>
      <c r="G2990" s="73"/>
      <c r="H2990" s="73"/>
      <c r="I2990" s="73"/>
      <c r="J2990" s="73"/>
      <c r="K2990" s="73"/>
      <c r="L2990" s="73"/>
      <c r="M2990" s="73"/>
      <c r="N2990" s="73"/>
      <c r="O2990" s="73"/>
      <c r="P2990" s="73"/>
      <c r="Q2990" s="73"/>
      <c r="R2990" s="73"/>
      <c r="S2990" s="73"/>
      <c r="T2990" s="73"/>
      <c r="U2990" s="73"/>
      <c r="V2990" s="73"/>
      <c r="W2990" s="73"/>
      <c r="GL2990" s="73"/>
      <c r="GM2990" s="73"/>
      <c r="GN2990" s="73"/>
      <c r="GO2990" s="73"/>
      <c r="GP2990" s="73"/>
      <c r="GQ2990" s="73"/>
      <c r="GR2990" s="73"/>
      <c r="GS2990" s="73"/>
      <c r="GT2990" s="73"/>
      <c r="GU2990" s="73"/>
      <c r="GV2990" s="73"/>
      <c r="GW2990" s="73"/>
      <c r="GX2990" s="73"/>
      <c r="GY2990" s="73"/>
      <c r="GZ2990" s="73"/>
      <c r="HA2990" s="73"/>
      <c r="HB2990" s="73"/>
      <c r="HC2990" s="73"/>
      <c r="HD2990" s="73"/>
      <c r="HE2990" s="73"/>
      <c r="HF2990" s="73"/>
      <c r="HG2990" s="73"/>
      <c r="HH2990" s="73"/>
      <c r="HI2990" s="73"/>
      <c r="HJ2990" s="73"/>
      <c r="HK2990" s="73"/>
      <c r="HL2990" s="73"/>
      <c r="HM2990" s="73"/>
      <c r="HN2990" s="73"/>
      <c r="HO2990" s="73"/>
      <c r="HP2990" s="73"/>
      <c r="HQ2990" s="73"/>
      <c r="HR2990" s="73"/>
      <c r="HS2990" s="73"/>
      <c r="HT2990" s="73"/>
      <c r="HU2990" s="73"/>
      <c r="HV2990" s="73"/>
      <c r="HW2990" s="73"/>
      <c r="HX2990" s="73"/>
      <c r="HY2990" s="73"/>
      <c r="HZ2990" s="73"/>
      <c r="IA2990" s="73"/>
      <c r="IB2990" s="73"/>
      <c r="IC2990" s="73"/>
      <c r="ID2990" s="73"/>
      <c r="IE2990" s="73"/>
      <c r="IF2990" s="73"/>
      <c r="IG2990" s="73"/>
      <c r="IH2990" s="73"/>
      <c r="II2990" s="73"/>
      <c r="IJ2990" s="73"/>
      <c r="IK2990" s="73"/>
      <c r="IL2990" s="73"/>
      <c r="IM2990" s="73"/>
      <c r="IN2990" s="73"/>
      <c r="IO2990" s="73"/>
      <c r="IP2990" s="73"/>
      <c r="IQ2990" s="73"/>
      <c r="IR2990" s="73"/>
      <c r="IS2990" s="73"/>
      <c r="IT2990" s="73"/>
      <c r="IU2990" s="73"/>
      <c r="IV2990" s="73"/>
      <c r="IW2990" s="73"/>
      <c r="IX2990" s="73"/>
      <c r="IY2990" s="73"/>
      <c r="IZ2990" s="73"/>
      <c r="JA2990" s="73"/>
      <c r="JB2990" s="73"/>
      <c r="JC2990" s="73"/>
    </row>
    <row r="2991" spans="2:263" s="72" customFormat="1">
      <c r="B2991" s="73"/>
      <c r="C2991" s="73"/>
      <c r="D2991" s="73"/>
      <c r="E2991" s="73"/>
      <c r="F2991" s="73"/>
      <c r="G2991" s="73"/>
      <c r="H2991" s="73"/>
      <c r="I2991" s="73"/>
      <c r="J2991" s="73"/>
      <c r="K2991" s="73"/>
      <c r="L2991" s="73"/>
      <c r="M2991" s="73"/>
      <c r="N2991" s="73"/>
      <c r="O2991" s="73"/>
      <c r="P2991" s="73"/>
      <c r="Q2991" s="73"/>
      <c r="R2991" s="73"/>
      <c r="S2991" s="73"/>
      <c r="T2991" s="73"/>
      <c r="U2991" s="73"/>
      <c r="V2991" s="73"/>
      <c r="W2991" s="73"/>
      <c r="GL2991" s="73"/>
      <c r="GM2991" s="73"/>
      <c r="GN2991" s="73"/>
      <c r="GO2991" s="73"/>
      <c r="GP2991" s="73"/>
      <c r="GQ2991" s="73"/>
      <c r="GR2991" s="73"/>
      <c r="GS2991" s="73"/>
      <c r="GT2991" s="73"/>
      <c r="GU2991" s="73"/>
      <c r="GV2991" s="73"/>
      <c r="GW2991" s="73"/>
      <c r="GX2991" s="73"/>
      <c r="GY2991" s="73"/>
      <c r="GZ2991" s="73"/>
      <c r="HA2991" s="73"/>
      <c r="HB2991" s="73"/>
      <c r="HC2991" s="73"/>
      <c r="HD2991" s="73"/>
      <c r="HE2991" s="73"/>
      <c r="HF2991" s="73"/>
      <c r="HG2991" s="73"/>
      <c r="HH2991" s="73"/>
      <c r="HI2991" s="73"/>
      <c r="HJ2991" s="73"/>
      <c r="HK2991" s="73"/>
      <c r="HL2991" s="73"/>
      <c r="HM2991" s="73"/>
      <c r="HN2991" s="73"/>
      <c r="HO2991" s="73"/>
      <c r="HP2991" s="73"/>
      <c r="HQ2991" s="73"/>
      <c r="HR2991" s="73"/>
      <c r="HS2991" s="73"/>
      <c r="HT2991" s="73"/>
      <c r="HU2991" s="73"/>
      <c r="HV2991" s="73"/>
      <c r="HW2991" s="73"/>
      <c r="HX2991" s="73"/>
      <c r="HY2991" s="73"/>
      <c r="HZ2991" s="73"/>
      <c r="IA2991" s="73"/>
      <c r="IB2991" s="73"/>
      <c r="IC2991" s="73"/>
      <c r="ID2991" s="73"/>
      <c r="IE2991" s="73"/>
      <c r="IF2991" s="73"/>
      <c r="IG2991" s="73"/>
      <c r="IH2991" s="73"/>
      <c r="II2991" s="73"/>
      <c r="IJ2991" s="73"/>
      <c r="IK2991" s="73"/>
      <c r="IL2991" s="73"/>
      <c r="IM2991" s="73"/>
      <c r="IN2991" s="73"/>
      <c r="IO2991" s="73"/>
      <c r="IP2991" s="73"/>
      <c r="IQ2991" s="73"/>
      <c r="IR2991" s="73"/>
      <c r="IS2991" s="73"/>
      <c r="IT2991" s="73"/>
      <c r="IU2991" s="73"/>
      <c r="IV2991" s="73"/>
      <c r="IW2991" s="73"/>
      <c r="IX2991" s="73"/>
      <c r="IY2991" s="73"/>
      <c r="IZ2991" s="73"/>
      <c r="JA2991" s="73"/>
      <c r="JB2991" s="73"/>
      <c r="JC2991" s="73"/>
    </row>
    <row r="2992" spans="2:263" s="72" customFormat="1">
      <c r="B2992" s="73"/>
      <c r="C2992" s="73"/>
      <c r="D2992" s="73"/>
      <c r="E2992" s="73"/>
      <c r="F2992" s="73"/>
      <c r="G2992" s="73"/>
      <c r="H2992" s="73"/>
      <c r="I2992" s="73"/>
      <c r="J2992" s="73"/>
      <c r="K2992" s="73"/>
      <c r="L2992" s="73"/>
      <c r="M2992" s="73"/>
      <c r="N2992" s="73"/>
      <c r="O2992" s="73"/>
      <c r="P2992" s="73"/>
      <c r="Q2992" s="73"/>
      <c r="R2992" s="73"/>
      <c r="S2992" s="73"/>
      <c r="T2992" s="73"/>
      <c r="U2992" s="73"/>
      <c r="V2992" s="73"/>
      <c r="W2992" s="73"/>
      <c r="GL2992" s="73"/>
      <c r="GM2992" s="73"/>
      <c r="GN2992" s="73"/>
      <c r="GO2992" s="73"/>
      <c r="GP2992" s="73"/>
      <c r="GQ2992" s="73"/>
      <c r="GR2992" s="73"/>
      <c r="GS2992" s="73"/>
      <c r="GT2992" s="73"/>
      <c r="GU2992" s="73"/>
      <c r="GV2992" s="73"/>
      <c r="GW2992" s="73"/>
      <c r="GX2992" s="73"/>
      <c r="GY2992" s="73"/>
      <c r="GZ2992" s="73"/>
      <c r="HA2992" s="73"/>
      <c r="HB2992" s="73"/>
      <c r="HC2992" s="73"/>
      <c r="HD2992" s="73"/>
      <c r="HE2992" s="73"/>
      <c r="HF2992" s="73"/>
      <c r="HG2992" s="73"/>
      <c r="HH2992" s="73"/>
      <c r="HI2992" s="73"/>
      <c r="HJ2992" s="73"/>
      <c r="HK2992" s="73"/>
      <c r="HL2992" s="73"/>
      <c r="HM2992" s="73"/>
      <c r="HN2992" s="73"/>
      <c r="HO2992" s="73"/>
      <c r="HP2992" s="73"/>
      <c r="HQ2992" s="73"/>
      <c r="HR2992" s="73"/>
      <c r="HS2992" s="73"/>
      <c r="HT2992" s="73"/>
      <c r="HU2992" s="73"/>
      <c r="HV2992" s="73"/>
      <c r="HW2992" s="73"/>
      <c r="HX2992" s="73"/>
      <c r="HY2992" s="73"/>
      <c r="HZ2992" s="73"/>
      <c r="IA2992" s="73"/>
      <c r="IB2992" s="73"/>
      <c r="IC2992" s="73"/>
      <c r="ID2992" s="73"/>
      <c r="IE2992" s="73"/>
      <c r="IF2992" s="73"/>
      <c r="IG2992" s="73"/>
      <c r="IH2992" s="73"/>
      <c r="II2992" s="73"/>
      <c r="IJ2992" s="73"/>
      <c r="IK2992" s="73"/>
      <c r="IL2992" s="73"/>
      <c r="IM2992" s="73"/>
      <c r="IN2992" s="73"/>
      <c r="IO2992" s="73"/>
      <c r="IP2992" s="73"/>
      <c r="IQ2992" s="73"/>
      <c r="IR2992" s="73"/>
      <c r="IS2992" s="73"/>
      <c r="IT2992" s="73"/>
      <c r="IU2992" s="73"/>
      <c r="IV2992" s="73"/>
      <c r="IW2992" s="73"/>
      <c r="IX2992" s="73"/>
      <c r="IY2992" s="73"/>
      <c r="IZ2992" s="73"/>
      <c r="JA2992" s="73"/>
      <c r="JB2992" s="73"/>
      <c r="JC2992" s="73"/>
    </row>
    <row r="2993" spans="2:263" s="72" customFormat="1">
      <c r="B2993" s="73"/>
      <c r="C2993" s="73"/>
      <c r="D2993" s="73"/>
      <c r="E2993" s="73"/>
      <c r="F2993" s="73"/>
      <c r="G2993" s="73"/>
      <c r="H2993" s="73"/>
      <c r="I2993" s="73"/>
      <c r="J2993" s="73"/>
      <c r="K2993" s="73"/>
      <c r="L2993" s="73"/>
      <c r="M2993" s="73"/>
      <c r="N2993" s="73"/>
      <c r="O2993" s="73"/>
      <c r="P2993" s="73"/>
      <c r="Q2993" s="73"/>
      <c r="R2993" s="73"/>
      <c r="S2993" s="73"/>
      <c r="T2993" s="73"/>
      <c r="U2993" s="73"/>
      <c r="V2993" s="73"/>
      <c r="W2993" s="73"/>
      <c r="GL2993" s="73"/>
      <c r="GM2993" s="73"/>
      <c r="GN2993" s="73"/>
      <c r="GO2993" s="73"/>
      <c r="GP2993" s="73"/>
      <c r="GQ2993" s="73"/>
      <c r="GR2993" s="73"/>
      <c r="GS2993" s="73"/>
      <c r="GT2993" s="73"/>
      <c r="GU2993" s="73"/>
      <c r="GV2993" s="73"/>
      <c r="GW2993" s="73"/>
      <c r="GX2993" s="73"/>
      <c r="GY2993" s="73"/>
      <c r="GZ2993" s="73"/>
      <c r="HA2993" s="73"/>
      <c r="HB2993" s="73"/>
      <c r="HC2993" s="73"/>
      <c r="HD2993" s="73"/>
      <c r="HE2993" s="73"/>
      <c r="HF2993" s="73"/>
      <c r="HG2993" s="73"/>
      <c r="HH2993" s="73"/>
      <c r="HI2993" s="73"/>
      <c r="HJ2993" s="73"/>
      <c r="HK2993" s="73"/>
      <c r="HL2993" s="73"/>
      <c r="HM2993" s="73"/>
      <c r="HN2993" s="73"/>
      <c r="HO2993" s="73"/>
      <c r="HP2993" s="73"/>
      <c r="HQ2993" s="73"/>
      <c r="HR2993" s="73"/>
      <c r="HS2993" s="73"/>
      <c r="HT2993" s="73"/>
      <c r="HU2993" s="73"/>
      <c r="HV2993" s="73"/>
      <c r="HW2993" s="73"/>
      <c r="HX2993" s="73"/>
      <c r="HY2993" s="73"/>
      <c r="HZ2993" s="73"/>
      <c r="IA2993" s="73"/>
      <c r="IB2993" s="73"/>
      <c r="IC2993" s="73"/>
      <c r="ID2993" s="73"/>
      <c r="IE2993" s="73"/>
      <c r="IF2993" s="73"/>
      <c r="IG2993" s="73"/>
      <c r="IH2993" s="73"/>
      <c r="II2993" s="73"/>
      <c r="IJ2993" s="73"/>
      <c r="IK2993" s="73"/>
      <c r="IL2993" s="73"/>
      <c r="IM2993" s="73"/>
      <c r="IN2993" s="73"/>
      <c r="IO2993" s="73"/>
      <c r="IP2993" s="73"/>
      <c r="IQ2993" s="73"/>
      <c r="IR2993" s="73"/>
      <c r="IS2993" s="73"/>
      <c r="IT2993" s="73"/>
      <c r="IU2993" s="73"/>
      <c r="IV2993" s="73"/>
      <c r="IW2993" s="73"/>
      <c r="IX2993" s="73"/>
      <c r="IY2993" s="73"/>
      <c r="IZ2993" s="73"/>
      <c r="JA2993" s="73"/>
      <c r="JB2993" s="73"/>
      <c r="JC2993" s="73"/>
    </row>
    <row r="2994" spans="2:263" s="72" customFormat="1">
      <c r="B2994" s="73"/>
      <c r="C2994" s="73"/>
      <c r="D2994" s="73"/>
      <c r="E2994" s="73"/>
      <c r="F2994" s="73"/>
      <c r="G2994" s="73"/>
      <c r="H2994" s="73"/>
      <c r="I2994" s="73"/>
      <c r="J2994" s="73"/>
      <c r="K2994" s="73"/>
      <c r="L2994" s="73"/>
      <c r="M2994" s="73"/>
      <c r="N2994" s="73"/>
      <c r="O2994" s="73"/>
      <c r="P2994" s="73"/>
      <c r="Q2994" s="73"/>
      <c r="R2994" s="73"/>
      <c r="S2994" s="73"/>
      <c r="T2994" s="73"/>
      <c r="U2994" s="73"/>
      <c r="V2994" s="73"/>
      <c r="W2994" s="73"/>
      <c r="GL2994" s="73"/>
      <c r="GM2994" s="73"/>
      <c r="GN2994" s="73"/>
      <c r="GO2994" s="73"/>
      <c r="GP2994" s="73"/>
      <c r="GQ2994" s="73"/>
      <c r="GR2994" s="73"/>
      <c r="GS2994" s="73"/>
      <c r="GT2994" s="73"/>
      <c r="GU2994" s="73"/>
      <c r="GV2994" s="73"/>
      <c r="GW2994" s="73"/>
      <c r="GX2994" s="73"/>
      <c r="GY2994" s="73"/>
      <c r="GZ2994" s="73"/>
      <c r="HA2994" s="73"/>
      <c r="HB2994" s="73"/>
      <c r="HC2994" s="73"/>
      <c r="HD2994" s="73"/>
      <c r="HE2994" s="73"/>
      <c r="HF2994" s="73"/>
      <c r="HG2994" s="73"/>
      <c r="HH2994" s="73"/>
      <c r="HI2994" s="73"/>
      <c r="HJ2994" s="73"/>
      <c r="HK2994" s="73"/>
      <c r="HL2994" s="73"/>
      <c r="HM2994" s="73"/>
      <c r="HN2994" s="73"/>
      <c r="HO2994" s="73"/>
      <c r="HP2994" s="73"/>
      <c r="HQ2994" s="73"/>
      <c r="HR2994" s="73"/>
      <c r="HS2994" s="73"/>
      <c r="HT2994" s="73"/>
      <c r="HU2994" s="73"/>
      <c r="HV2994" s="73"/>
      <c r="HW2994" s="73"/>
      <c r="HX2994" s="73"/>
      <c r="HY2994" s="73"/>
      <c r="HZ2994" s="73"/>
      <c r="IA2994" s="73"/>
      <c r="IB2994" s="73"/>
      <c r="IC2994" s="73"/>
      <c r="ID2994" s="73"/>
      <c r="IE2994" s="73"/>
      <c r="IF2994" s="73"/>
      <c r="IG2994" s="73"/>
      <c r="IH2994" s="73"/>
      <c r="II2994" s="73"/>
      <c r="IJ2994" s="73"/>
      <c r="IK2994" s="73"/>
      <c r="IL2994" s="73"/>
      <c r="IM2994" s="73"/>
      <c r="IN2994" s="73"/>
      <c r="IO2994" s="73"/>
      <c r="IP2994" s="73"/>
      <c r="IQ2994" s="73"/>
      <c r="IR2994" s="73"/>
      <c r="IS2994" s="73"/>
      <c r="IT2994" s="73"/>
      <c r="IU2994" s="73"/>
      <c r="IV2994" s="73"/>
      <c r="IW2994" s="73"/>
      <c r="IX2994" s="73"/>
      <c r="IY2994" s="73"/>
      <c r="IZ2994" s="73"/>
      <c r="JA2994" s="73"/>
      <c r="JB2994" s="73"/>
      <c r="JC2994" s="73"/>
    </row>
    <row r="2995" spans="2:263" s="72" customFormat="1">
      <c r="B2995" s="73"/>
      <c r="C2995" s="73"/>
      <c r="D2995" s="73"/>
      <c r="E2995" s="73"/>
      <c r="F2995" s="73"/>
      <c r="G2995" s="73"/>
      <c r="H2995" s="73"/>
      <c r="I2995" s="73"/>
      <c r="J2995" s="73"/>
      <c r="K2995" s="73"/>
      <c r="L2995" s="73"/>
      <c r="M2995" s="73"/>
      <c r="N2995" s="73"/>
      <c r="O2995" s="73"/>
      <c r="P2995" s="73"/>
      <c r="Q2995" s="73"/>
      <c r="R2995" s="73"/>
      <c r="S2995" s="73"/>
      <c r="T2995" s="73"/>
      <c r="U2995" s="73"/>
      <c r="V2995" s="73"/>
      <c r="W2995" s="73"/>
      <c r="GL2995" s="73"/>
      <c r="GM2995" s="73"/>
      <c r="GN2995" s="73"/>
      <c r="GO2995" s="73"/>
      <c r="GP2995" s="73"/>
      <c r="GQ2995" s="73"/>
      <c r="GR2995" s="73"/>
      <c r="GS2995" s="73"/>
      <c r="GT2995" s="73"/>
      <c r="GU2995" s="73"/>
      <c r="GV2995" s="73"/>
      <c r="GW2995" s="73"/>
      <c r="GX2995" s="73"/>
      <c r="GY2995" s="73"/>
      <c r="GZ2995" s="73"/>
      <c r="HA2995" s="73"/>
      <c r="HB2995" s="73"/>
      <c r="HC2995" s="73"/>
      <c r="HD2995" s="73"/>
      <c r="HE2995" s="73"/>
      <c r="HF2995" s="73"/>
      <c r="HG2995" s="73"/>
      <c r="HH2995" s="73"/>
      <c r="HI2995" s="73"/>
      <c r="HJ2995" s="73"/>
      <c r="HK2995" s="73"/>
      <c r="HL2995" s="73"/>
      <c r="HM2995" s="73"/>
      <c r="HN2995" s="73"/>
      <c r="HO2995" s="73"/>
      <c r="HP2995" s="73"/>
      <c r="HQ2995" s="73"/>
      <c r="HR2995" s="73"/>
      <c r="HS2995" s="73"/>
      <c r="HT2995" s="73"/>
      <c r="HU2995" s="73"/>
      <c r="HV2995" s="73"/>
      <c r="HW2995" s="73"/>
      <c r="HX2995" s="73"/>
      <c r="HY2995" s="73"/>
      <c r="HZ2995" s="73"/>
      <c r="IA2995" s="73"/>
      <c r="IB2995" s="73"/>
      <c r="IC2995" s="73"/>
      <c r="ID2995" s="73"/>
      <c r="IE2995" s="73"/>
      <c r="IF2995" s="73"/>
      <c r="IG2995" s="73"/>
      <c r="IH2995" s="73"/>
      <c r="II2995" s="73"/>
      <c r="IJ2995" s="73"/>
      <c r="IK2995" s="73"/>
      <c r="IL2995" s="73"/>
      <c r="IM2995" s="73"/>
      <c r="IN2995" s="73"/>
      <c r="IO2995" s="73"/>
      <c r="IP2995" s="73"/>
      <c r="IQ2995" s="73"/>
      <c r="IR2995" s="73"/>
      <c r="IS2995" s="73"/>
      <c r="IT2995" s="73"/>
      <c r="IU2995" s="73"/>
      <c r="IV2995" s="73"/>
      <c r="IW2995" s="73"/>
      <c r="IX2995" s="73"/>
      <c r="IY2995" s="73"/>
      <c r="IZ2995" s="73"/>
      <c r="JA2995" s="73"/>
      <c r="JB2995" s="73"/>
      <c r="JC2995" s="73"/>
    </row>
    <row r="2996" spans="2:263" s="72" customFormat="1">
      <c r="B2996" s="73"/>
      <c r="C2996" s="73"/>
      <c r="D2996" s="73"/>
      <c r="E2996" s="73"/>
      <c r="F2996" s="73"/>
      <c r="G2996" s="73"/>
      <c r="H2996" s="73"/>
      <c r="I2996" s="73"/>
      <c r="J2996" s="73"/>
      <c r="K2996" s="73"/>
      <c r="L2996" s="73"/>
      <c r="M2996" s="73"/>
      <c r="N2996" s="73"/>
      <c r="O2996" s="73"/>
      <c r="P2996" s="73"/>
      <c r="Q2996" s="73"/>
      <c r="R2996" s="73"/>
      <c r="S2996" s="73"/>
      <c r="T2996" s="73"/>
      <c r="U2996" s="73"/>
      <c r="V2996" s="73"/>
      <c r="W2996" s="73"/>
      <c r="GL2996" s="73"/>
      <c r="GM2996" s="73"/>
      <c r="GN2996" s="73"/>
      <c r="GO2996" s="73"/>
      <c r="GP2996" s="73"/>
      <c r="GQ2996" s="73"/>
      <c r="GR2996" s="73"/>
      <c r="GS2996" s="73"/>
      <c r="GT2996" s="73"/>
      <c r="GU2996" s="73"/>
      <c r="GV2996" s="73"/>
      <c r="GW2996" s="73"/>
      <c r="GX2996" s="73"/>
      <c r="GY2996" s="73"/>
      <c r="GZ2996" s="73"/>
      <c r="HA2996" s="73"/>
      <c r="HB2996" s="73"/>
      <c r="HC2996" s="73"/>
      <c r="HD2996" s="73"/>
      <c r="HE2996" s="73"/>
      <c r="HF2996" s="73"/>
      <c r="HG2996" s="73"/>
      <c r="HH2996" s="73"/>
      <c r="HI2996" s="73"/>
      <c r="HJ2996" s="73"/>
      <c r="HK2996" s="73"/>
      <c r="HL2996" s="73"/>
      <c r="HM2996" s="73"/>
      <c r="HN2996" s="73"/>
      <c r="HO2996" s="73"/>
      <c r="HP2996" s="73"/>
      <c r="HQ2996" s="73"/>
      <c r="HR2996" s="73"/>
      <c r="HS2996" s="73"/>
      <c r="HT2996" s="73"/>
      <c r="HU2996" s="73"/>
      <c r="HV2996" s="73"/>
      <c r="HW2996" s="73"/>
      <c r="HX2996" s="73"/>
      <c r="HY2996" s="73"/>
      <c r="HZ2996" s="73"/>
      <c r="IA2996" s="73"/>
      <c r="IB2996" s="73"/>
      <c r="IC2996" s="73"/>
      <c r="ID2996" s="73"/>
      <c r="IE2996" s="73"/>
      <c r="IF2996" s="73"/>
      <c r="IG2996" s="73"/>
      <c r="IH2996" s="73"/>
      <c r="II2996" s="73"/>
      <c r="IJ2996" s="73"/>
      <c r="IK2996" s="73"/>
      <c r="IL2996" s="73"/>
      <c r="IM2996" s="73"/>
      <c r="IN2996" s="73"/>
      <c r="IO2996" s="73"/>
      <c r="IP2996" s="73"/>
      <c r="IQ2996" s="73"/>
      <c r="IR2996" s="73"/>
      <c r="IS2996" s="73"/>
      <c r="IT2996" s="73"/>
      <c r="IU2996" s="73"/>
      <c r="IV2996" s="73"/>
      <c r="IW2996" s="73"/>
      <c r="IX2996" s="73"/>
      <c r="IY2996" s="73"/>
      <c r="IZ2996" s="73"/>
      <c r="JA2996" s="73"/>
      <c r="JB2996" s="73"/>
      <c r="JC2996" s="73"/>
    </row>
    <row r="2997" spans="2:263" s="72" customFormat="1">
      <c r="B2997" s="73"/>
      <c r="C2997" s="73"/>
      <c r="D2997" s="73"/>
      <c r="E2997" s="73"/>
      <c r="F2997" s="73"/>
      <c r="G2997" s="73"/>
      <c r="H2997" s="73"/>
      <c r="I2997" s="73"/>
      <c r="J2997" s="73"/>
      <c r="K2997" s="73"/>
      <c r="L2997" s="73"/>
      <c r="M2997" s="73"/>
      <c r="N2997" s="73"/>
      <c r="O2997" s="73"/>
      <c r="P2997" s="73"/>
      <c r="Q2997" s="73"/>
      <c r="R2997" s="73"/>
      <c r="S2997" s="73"/>
      <c r="T2997" s="73"/>
      <c r="U2997" s="73"/>
      <c r="V2997" s="73"/>
      <c r="W2997" s="73"/>
      <c r="GL2997" s="73"/>
      <c r="GM2997" s="73"/>
      <c r="GN2997" s="73"/>
      <c r="GO2997" s="73"/>
      <c r="GP2997" s="73"/>
      <c r="GQ2997" s="73"/>
      <c r="GR2997" s="73"/>
      <c r="GS2997" s="73"/>
      <c r="GT2997" s="73"/>
      <c r="GU2997" s="73"/>
      <c r="GV2997" s="73"/>
      <c r="GW2997" s="73"/>
      <c r="GX2997" s="73"/>
      <c r="GY2997" s="73"/>
      <c r="GZ2997" s="73"/>
      <c r="HA2997" s="73"/>
      <c r="HB2997" s="73"/>
      <c r="HC2997" s="73"/>
      <c r="HD2997" s="73"/>
      <c r="HE2997" s="73"/>
      <c r="HF2997" s="73"/>
      <c r="HG2997" s="73"/>
      <c r="HH2997" s="73"/>
      <c r="HI2997" s="73"/>
      <c r="HJ2997" s="73"/>
      <c r="HK2997" s="73"/>
      <c r="HL2997" s="73"/>
      <c r="HM2997" s="73"/>
      <c r="HN2997" s="73"/>
      <c r="HO2997" s="73"/>
      <c r="HP2997" s="73"/>
      <c r="HQ2997" s="73"/>
      <c r="HR2997" s="73"/>
      <c r="HS2997" s="73"/>
      <c r="HT2997" s="73"/>
      <c r="HU2997" s="73"/>
      <c r="HV2997" s="73"/>
      <c r="HW2997" s="73"/>
      <c r="HX2997" s="73"/>
      <c r="HY2997" s="73"/>
      <c r="HZ2997" s="73"/>
      <c r="IA2997" s="73"/>
      <c r="IB2997" s="73"/>
      <c r="IC2997" s="73"/>
      <c r="ID2997" s="73"/>
      <c r="IE2997" s="73"/>
      <c r="IF2997" s="73"/>
      <c r="IG2997" s="73"/>
      <c r="IH2997" s="73"/>
      <c r="II2997" s="73"/>
      <c r="IJ2997" s="73"/>
      <c r="IK2997" s="73"/>
      <c r="IL2997" s="73"/>
      <c r="IM2997" s="73"/>
      <c r="IN2997" s="73"/>
      <c r="IO2997" s="73"/>
      <c r="IP2997" s="73"/>
      <c r="IQ2997" s="73"/>
      <c r="IR2997" s="73"/>
      <c r="IS2997" s="73"/>
      <c r="IT2997" s="73"/>
      <c r="IU2997" s="73"/>
      <c r="IV2997" s="73"/>
      <c r="IW2997" s="73"/>
      <c r="IX2997" s="73"/>
      <c r="IY2997" s="73"/>
      <c r="IZ2997" s="73"/>
      <c r="JA2997" s="73"/>
      <c r="JB2997" s="73"/>
      <c r="JC2997" s="73"/>
    </row>
    <row r="2998" spans="2:263" s="72" customFormat="1">
      <c r="B2998" s="73"/>
      <c r="C2998" s="73"/>
      <c r="D2998" s="73"/>
      <c r="E2998" s="73"/>
      <c r="F2998" s="73"/>
      <c r="G2998" s="73"/>
      <c r="H2998" s="73"/>
      <c r="I2998" s="73"/>
      <c r="J2998" s="73"/>
      <c r="K2998" s="73"/>
      <c r="L2998" s="73"/>
      <c r="M2998" s="73"/>
      <c r="N2998" s="73"/>
      <c r="O2998" s="73"/>
      <c r="P2998" s="73"/>
      <c r="Q2998" s="73"/>
      <c r="R2998" s="73"/>
      <c r="S2998" s="73"/>
      <c r="T2998" s="73"/>
      <c r="U2998" s="73"/>
      <c r="V2998" s="73"/>
      <c r="W2998" s="73"/>
      <c r="GL2998" s="73"/>
      <c r="GM2998" s="73"/>
      <c r="GN2998" s="73"/>
      <c r="GO2998" s="73"/>
      <c r="GP2998" s="73"/>
      <c r="GQ2998" s="73"/>
      <c r="GR2998" s="73"/>
      <c r="GS2998" s="73"/>
      <c r="GT2998" s="73"/>
      <c r="GU2998" s="73"/>
      <c r="GV2998" s="73"/>
      <c r="GW2998" s="73"/>
      <c r="GX2998" s="73"/>
      <c r="GY2998" s="73"/>
      <c r="GZ2998" s="73"/>
      <c r="HA2998" s="73"/>
      <c r="HB2998" s="73"/>
      <c r="HC2998" s="73"/>
      <c r="HD2998" s="73"/>
      <c r="HE2998" s="73"/>
      <c r="HF2998" s="73"/>
      <c r="HG2998" s="73"/>
      <c r="HH2998" s="73"/>
      <c r="HI2998" s="73"/>
      <c r="HJ2998" s="73"/>
      <c r="HK2998" s="73"/>
      <c r="HL2998" s="73"/>
      <c r="HM2998" s="73"/>
      <c r="HN2998" s="73"/>
      <c r="HO2998" s="73"/>
      <c r="HP2998" s="73"/>
      <c r="HQ2998" s="73"/>
      <c r="HR2998" s="73"/>
      <c r="HS2998" s="73"/>
      <c r="HT2998" s="73"/>
      <c r="HU2998" s="73"/>
      <c r="HV2998" s="73"/>
      <c r="HW2998" s="73"/>
      <c r="HX2998" s="73"/>
      <c r="HY2998" s="73"/>
      <c r="HZ2998" s="73"/>
      <c r="IA2998" s="73"/>
      <c r="IB2998" s="73"/>
      <c r="IC2998" s="73"/>
      <c r="ID2998" s="73"/>
      <c r="IE2998" s="73"/>
      <c r="IF2998" s="73"/>
      <c r="IG2998" s="73"/>
      <c r="IH2998" s="73"/>
      <c r="II2998" s="73"/>
      <c r="IJ2998" s="73"/>
      <c r="IK2998" s="73"/>
      <c r="IL2998" s="73"/>
      <c r="IM2998" s="73"/>
      <c r="IN2998" s="73"/>
      <c r="IO2998" s="73"/>
      <c r="IP2998" s="73"/>
      <c r="IQ2998" s="73"/>
      <c r="IR2998" s="73"/>
      <c r="IS2998" s="73"/>
      <c r="IT2998" s="73"/>
      <c r="IU2998" s="73"/>
      <c r="IV2998" s="73"/>
      <c r="IW2998" s="73"/>
      <c r="IX2998" s="73"/>
      <c r="IY2998" s="73"/>
      <c r="IZ2998" s="73"/>
      <c r="JA2998" s="73"/>
      <c r="JB2998" s="73"/>
      <c r="JC2998" s="73"/>
    </row>
    <row r="2999" spans="2:263" s="72" customFormat="1">
      <c r="B2999" s="73"/>
      <c r="C2999" s="73"/>
      <c r="D2999" s="73"/>
      <c r="E2999" s="73"/>
      <c r="F2999" s="73"/>
      <c r="G2999" s="73"/>
      <c r="H2999" s="73"/>
      <c r="I2999" s="73"/>
      <c r="J2999" s="73"/>
      <c r="K2999" s="73"/>
      <c r="L2999" s="73"/>
      <c r="M2999" s="73"/>
      <c r="N2999" s="73"/>
      <c r="O2999" s="73"/>
      <c r="P2999" s="73"/>
      <c r="Q2999" s="73"/>
      <c r="R2999" s="73"/>
      <c r="S2999" s="73"/>
      <c r="T2999" s="73"/>
      <c r="U2999" s="73"/>
      <c r="V2999" s="73"/>
      <c r="W2999" s="73"/>
      <c r="GL2999" s="73"/>
      <c r="GM2999" s="73"/>
      <c r="GN2999" s="73"/>
      <c r="GO2999" s="73"/>
      <c r="GP2999" s="73"/>
      <c r="GQ2999" s="73"/>
      <c r="GR2999" s="73"/>
      <c r="GS2999" s="73"/>
      <c r="GT2999" s="73"/>
      <c r="GU2999" s="73"/>
      <c r="GV2999" s="73"/>
      <c r="GW2999" s="73"/>
      <c r="GX2999" s="73"/>
      <c r="GY2999" s="73"/>
      <c r="GZ2999" s="73"/>
      <c r="HA2999" s="73"/>
      <c r="HB2999" s="73"/>
      <c r="HC2999" s="73"/>
      <c r="HD2999" s="73"/>
      <c r="HE2999" s="73"/>
      <c r="HF2999" s="73"/>
      <c r="HG2999" s="73"/>
      <c r="HH2999" s="73"/>
      <c r="HI2999" s="73"/>
      <c r="HJ2999" s="73"/>
      <c r="HK2999" s="73"/>
      <c r="HL2999" s="73"/>
      <c r="HM2999" s="73"/>
      <c r="HN2999" s="73"/>
      <c r="HO2999" s="73"/>
      <c r="HP2999" s="73"/>
      <c r="HQ2999" s="73"/>
      <c r="HR2999" s="73"/>
      <c r="HS2999" s="73"/>
      <c r="HT2999" s="73"/>
      <c r="HU2999" s="73"/>
      <c r="HV2999" s="73"/>
      <c r="HW2999" s="73"/>
      <c r="HX2999" s="73"/>
      <c r="HY2999" s="73"/>
      <c r="HZ2999" s="73"/>
      <c r="IA2999" s="73"/>
      <c r="IB2999" s="73"/>
      <c r="IC2999" s="73"/>
      <c r="ID2999" s="73"/>
      <c r="IE2999" s="73"/>
      <c r="IF2999" s="73"/>
      <c r="IG2999" s="73"/>
      <c r="IH2999" s="73"/>
      <c r="II2999" s="73"/>
      <c r="IJ2999" s="73"/>
      <c r="IK2999" s="73"/>
      <c r="IL2999" s="73"/>
      <c r="IM2999" s="73"/>
      <c r="IN2999" s="73"/>
      <c r="IO2999" s="73"/>
      <c r="IP2999" s="73"/>
      <c r="IQ2999" s="73"/>
      <c r="IR2999" s="73"/>
      <c r="IS2999" s="73"/>
      <c r="IT2999" s="73"/>
      <c r="IU2999" s="73"/>
      <c r="IV2999" s="73"/>
      <c r="IW2999" s="73"/>
      <c r="IX2999" s="73"/>
      <c r="IY2999" s="73"/>
      <c r="IZ2999" s="73"/>
      <c r="JA2999" s="73"/>
      <c r="JB2999" s="73"/>
      <c r="JC2999" s="73"/>
    </row>
    <row r="3000" spans="2:263" s="72" customFormat="1">
      <c r="B3000" s="73"/>
      <c r="C3000" s="73"/>
      <c r="D3000" s="73"/>
      <c r="E3000" s="73"/>
      <c r="F3000" s="73"/>
      <c r="G3000" s="73"/>
      <c r="H3000" s="73"/>
      <c r="I3000" s="73"/>
      <c r="J3000" s="73"/>
      <c r="K3000" s="73"/>
      <c r="L3000" s="73"/>
      <c r="M3000" s="73"/>
      <c r="N3000" s="73"/>
      <c r="O3000" s="73"/>
      <c r="P3000" s="73"/>
      <c r="Q3000" s="73"/>
      <c r="R3000" s="73"/>
      <c r="S3000" s="73"/>
      <c r="T3000" s="73"/>
      <c r="U3000" s="73"/>
      <c r="V3000" s="73"/>
      <c r="W3000" s="73"/>
      <c r="GL3000" s="73"/>
      <c r="GM3000" s="73"/>
      <c r="GN3000" s="73"/>
      <c r="GO3000" s="73"/>
      <c r="GP3000" s="73"/>
      <c r="GQ3000" s="73"/>
      <c r="GR3000" s="73"/>
      <c r="GS3000" s="73"/>
      <c r="GT3000" s="73"/>
      <c r="GU3000" s="73"/>
      <c r="GV3000" s="73"/>
      <c r="GW3000" s="73"/>
      <c r="GX3000" s="73"/>
      <c r="GY3000" s="73"/>
      <c r="GZ3000" s="73"/>
      <c r="HA3000" s="73"/>
      <c r="HB3000" s="73"/>
      <c r="HC3000" s="73"/>
      <c r="HD3000" s="73"/>
      <c r="HE3000" s="73"/>
      <c r="HF3000" s="73"/>
      <c r="HG3000" s="73"/>
      <c r="HH3000" s="73"/>
      <c r="HI3000" s="73"/>
      <c r="HJ3000" s="73"/>
      <c r="HK3000" s="73"/>
      <c r="HL3000" s="73"/>
      <c r="HM3000" s="73"/>
      <c r="HN3000" s="73"/>
      <c r="HO3000" s="73"/>
      <c r="HP3000" s="73"/>
      <c r="HQ3000" s="73"/>
      <c r="HR3000" s="73"/>
      <c r="HS3000" s="73"/>
      <c r="HT3000" s="73"/>
      <c r="HU3000" s="73"/>
      <c r="HV3000" s="73"/>
      <c r="HW3000" s="73"/>
      <c r="HX3000" s="73"/>
      <c r="HY3000" s="73"/>
      <c r="HZ3000" s="73"/>
      <c r="IA3000" s="73"/>
      <c r="IB3000" s="73"/>
      <c r="IC3000" s="73"/>
      <c r="ID3000" s="73"/>
      <c r="IE3000" s="73"/>
      <c r="IF3000" s="73"/>
      <c r="IG3000" s="73"/>
      <c r="IH3000" s="73"/>
      <c r="II3000" s="73"/>
      <c r="IJ3000" s="73"/>
      <c r="IK3000" s="73"/>
      <c r="IL3000" s="73"/>
      <c r="IM3000" s="73"/>
      <c r="IN3000" s="73"/>
      <c r="IO3000" s="73"/>
      <c r="IP3000" s="73"/>
      <c r="IQ3000" s="73"/>
      <c r="IR3000" s="73"/>
      <c r="IS3000" s="73"/>
      <c r="IT3000" s="73"/>
      <c r="IU3000" s="73"/>
      <c r="IV3000" s="73"/>
      <c r="IW3000" s="73"/>
      <c r="IX3000" s="73"/>
      <c r="IY3000" s="73"/>
      <c r="IZ3000" s="73"/>
      <c r="JA3000" s="73"/>
      <c r="JB3000" s="73"/>
      <c r="JC3000" s="73"/>
    </row>
    <row r="3001" spans="2:263" s="72" customFormat="1">
      <c r="B3001" s="73"/>
      <c r="C3001" s="73"/>
      <c r="D3001" s="73"/>
      <c r="E3001" s="73"/>
      <c r="F3001" s="73"/>
      <c r="G3001" s="73"/>
      <c r="H3001" s="73"/>
      <c r="I3001" s="73"/>
      <c r="J3001" s="73"/>
      <c r="K3001" s="73"/>
      <c r="L3001" s="73"/>
      <c r="M3001" s="73"/>
      <c r="N3001" s="73"/>
      <c r="O3001" s="73"/>
      <c r="P3001" s="73"/>
      <c r="Q3001" s="73"/>
      <c r="R3001" s="73"/>
      <c r="S3001" s="73"/>
      <c r="T3001" s="73"/>
      <c r="U3001" s="73"/>
      <c r="V3001" s="73"/>
      <c r="W3001" s="73"/>
      <c r="GL3001" s="73"/>
      <c r="GM3001" s="73"/>
      <c r="GN3001" s="73"/>
      <c r="GO3001" s="73"/>
      <c r="GP3001" s="73"/>
      <c r="GQ3001" s="73"/>
      <c r="GR3001" s="73"/>
      <c r="GS3001" s="73"/>
      <c r="GT3001" s="73"/>
      <c r="GU3001" s="73"/>
      <c r="GV3001" s="73"/>
      <c r="GW3001" s="73"/>
      <c r="GX3001" s="73"/>
      <c r="GY3001" s="73"/>
      <c r="GZ3001" s="73"/>
      <c r="HA3001" s="73"/>
      <c r="HB3001" s="73"/>
      <c r="HC3001" s="73"/>
      <c r="HD3001" s="73"/>
      <c r="HE3001" s="73"/>
      <c r="HF3001" s="73"/>
      <c r="HG3001" s="73"/>
      <c r="HH3001" s="73"/>
      <c r="HI3001" s="73"/>
      <c r="HJ3001" s="73"/>
      <c r="HK3001" s="73"/>
      <c r="HL3001" s="73"/>
      <c r="HM3001" s="73"/>
      <c r="HN3001" s="73"/>
      <c r="HO3001" s="73"/>
      <c r="HP3001" s="73"/>
      <c r="HQ3001" s="73"/>
      <c r="HR3001" s="73"/>
      <c r="HS3001" s="73"/>
      <c r="HT3001" s="73"/>
      <c r="HU3001" s="73"/>
      <c r="HV3001" s="73"/>
      <c r="HW3001" s="73"/>
      <c r="HX3001" s="73"/>
      <c r="HY3001" s="73"/>
      <c r="HZ3001" s="73"/>
      <c r="IA3001" s="73"/>
      <c r="IB3001" s="73"/>
      <c r="IC3001" s="73"/>
      <c r="ID3001" s="73"/>
      <c r="IE3001" s="73"/>
      <c r="IF3001" s="73"/>
      <c r="IG3001" s="73"/>
      <c r="IH3001" s="73"/>
      <c r="II3001" s="73"/>
      <c r="IJ3001" s="73"/>
      <c r="IK3001" s="73"/>
      <c r="IL3001" s="73"/>
      <c r="IM3001" s="73"/>
      <c r="IN3001" s="73"/>
      <c r="IO3001" s="73"/>
      <c r="IP3001" s="73"/>
      <c r="IQ3001" s="73"/>
      <c r="IR3001" s="73"/>
      <c r="IS3001" s="73"/>
      <c r="IT3001" s="73"/>
      <c r="IU3001" s="73"/>
      <c r="IV3001" s="73"/>
      <c r="IW3001" s="73"/>
      <c r="IX3001" s="73"/>
      <c r="IY3001" s="73"/>
      <c r="IZ3001" s="73"/>
      <c r="JA3001" s="73"/>
      <c r="JB3001" s="73"/>
      <c r="JC3001" s="73"/>
    </row>
    <row r="3002" spans="2:263" s="72" customFormat="1">
      <c r="B3002" s="73"/>
      <c r="C3002" s="73"/>
      <c r="D3002" s="73"/>
      <c r="E3002" s="73"/>
      <c r="F3002" s="73"/>
      <c r="G3002" s="73"/>
      <c r="H3002" s="73"/>
      <c r="I3002" s="73"/>
      <c r="J3002" s="73"/>
      <c r="K3002" s="73"/>
      <c r="L3002" s="73"/>
      <c r="M3002" s="73"/>
      <c r="N3002" s="73"/>
      <c r="O3002" s="73"/>
      <c r="P3002" s="73"/>
      <c r="Q3002" s="73"/>
      <c r="R3002" s="73"/>
      <c r="S3002" s="73"/>
      <c r="T3002" s="73"/>
      <c r="U3002" s="73"/>
      <c r="V3002" s="73"/>
      <c r="W3002" s="73"/>
      <c r="GL3002" s="73"/>
      <c r="GM3002" s="73"/>
      <c r="GN3002" s="73"/>
      <c r="GO3002" s="73"/>
      <c r="GP3002" s="73"/>
      <c r="GQ3002" s="73"/>
      <c r="GR3002" s="73"/>
      <c r="GS3002" s="73"/>
      <c r="GT3002" s="73"/>
      <c r="GU3002" s="73"/>
      <c r="GV3002" s="73"/>
      <c r="GW3002" s="73"/>
      <c r="GX3002" s="73"/>
      <c r="GY3002" s="73"/>
      <c r="GZ3002" s="73"/>
      <c r="HA3002" s="73"/>
      <c r="HB3002" s="73"/>
      <c r="HC3002" s="73"/>
      <c r="HD3002" s="73"/>
      <c r="HE3002" s="73"/>
      <c r="HF3002" s="73"/>
      <c r="HG3002" s="73"/>
      <c r="HH3002" s="73"/>
      <c r="HI3002" s="73"/>
      <c r="HJ3002" s="73"/>
      <c r="HK3002" s="73"/>
      <c r="HL3002" s="73"/>
      <c r="HM3002" s="73"/>
      <c r="HN3002" s="73"/>
      <c r="HO3002" s="73"/>
      <c r="HP3002" s="73"/>
      <c r="HQ3002" s="73"/>
      <c r="HR3002" s="73"/>
      <c r="HS3002" s="73"/>
      <c r="HT3002" s="73"/>
      <c r="HU3002" s="73"/>
      <c r="HV3002" s="73"/>
      <c r="HW3002" s="73"/>
      <c r="HX3002" s="73"/>
      <c r="HY3002" s="73"/>
      <c r="HZ3002" s="73"/>
      <c r="IA3002" s="73"/>
      <c r="IB3002" s="73"/>
      <c r="IC3002" s="73"/>
      <c r="ID3002" s="73"/>
      <c r="IE3002" s="73"/>
      <c r="IF3002" s="73"/>
      <c r="IG3002" s="73"/>
      <c r="IH3002" s="73"/>
      <c r="II3002" s="73"/>
      <c r="IJ3002" s="73"/>
      <c r="IK3002" s="73"/>
      <c r="IL3002" s="73"/>
      <c r="IM3002" s="73"/>
      <c r="IN3002" s="73"/>
      <c r="IO3002" s="73"/>
      <c r="IP3002" s="73"/>
      <c r="IQ3002" s="73"/>
      <c r="IR3002" s="73"/>
      <c r="IS3002" s="73"/>
      <c r="IT3002" s="73"/>
      <c r="IU3002" s="73"/>
      <c r="IV3002" s="73"/>
      <c r="IW3002" s="73"/>
      <c r="IX3002" s="73"/>
      <c r="IY3002" s="73"/>
      <c r="IZ3002" s="73"/>
      <c r="JA3002" s="73"/>
      <c r="JB3002" s="73"/>
      <c r="JC3002" s="73"/>
    </row>
    <row r="3003" spans="2:263" s="72" customFormat="1">
      <c r="B3003" s="73"/>
      <c r="C3003" s="73"/>
      <c r="D3003" s="73"/>
      <c r="E3003" s="73"/>
      <c r="F3003" s="73"/>
      <c r="G3003" s="73"/>
      <c r="H3003" s="73"/>
      <c r="I3003" s="73"/>
      <c r="J3003" s="73"/>
      <c r="K3003" s="73"/>
      <c r="L3003" s="73"/>
      <c r="M3003" s="73"/>
      <c r="N3003" s="73"/>
      <c r="O3003" s="73"/>
      <c r="P3003" s="73"/>
      <c r="Q3003" s="73"/>
      <c r="R3003" s="73"/>
      <c r="S3003" s="73"/>
      <c r="T3003" s="73"/>
      <c r="U3003" s="73"/>
      <c r="V3003" s="73"/>
      <c r="W3003" s="73"/>
      <c r="GL3003" s="73"/>
      <c r="GM3003" s="73"/>
      <c r="GN3003" s="73"/>
      <c r="GO3003" s="73"/>
      <c r="GP3003" s="73"/>
      <c r="GQ3003" s="73"/>
      <c r="GR3003" s="73"/>
      <c r="GS3003" s="73"/>
      <c r="GT3003" s="73"/>
      <c r="GU3003" s="73"/>
      <c r="GV3003" s="73"/>
      <c r="GW3003" s="73"/>
      <c r="GX3003" s="73"/>
      <c r="GY3003" s="73"/>
      <c r="GZ3003" s="73"/>
      <c r="HA3003" s="73"/>
      <c r="HB3003" s="73"/>
      <c r="HC3003" s="73"/>
      <c r="HD3003" s="73"/>
      <c r="HE3003" s="73"/>
      <c r="HF3003" s="73"/>
      <c r="HG3003" s="73"/>
      <c r="HH3003" s="73"/>
      <c r="HI3003" s="73"/>
      <c r="HJ3003" s="73"/>
      <c r="HK3003" s="73"/>
      <c r="HL3003" s="73"/>
      <c r="HM3003" s="73"/>
      <c r="HN3003" s="73"/>
      <c r="HO3003" s="73"/>
      <c r="HP3003" s="73"/>
      <c r="HQ3003" s="73"/>
      <c r="HR3003" s="73"/>
      <c r="HS3003" s="73"/>
      <c r="HT3003" s="73"/>
      <c r="HU3003" s="73"/>
      <c r="HV3003" s="73"/>
      <c r="HW3003" s="73"/>
      <c r="HX3003" s="73"/>
      <c r="HY3003" s="73"/>
      <c r="HZ3003" s="73"/>
      <c r="IA3003" s="73"/>
      <c r="IB3003" s="73"/>
      <c r="IC3003" s="73"/>
      <c r="ID3003" s="73"/>
      <c r="IE3003" s="73"/>
      <c r="IF3003" s="73"/>
      <c r="IG3003" s="73"/>
      <c r="IH3003" s="73"/>
      <c r="II3003" s="73"/>
      <c r="IJ3003" s="73"/>
      <c r="IK3003" s="73"/>
      <c r="IL3003" s="73"/>
      <c r="IM3003" s="73"/>
      <c r="IN3003" s="73"/>
      <c r="IO3003" s="73"/>
      <c r="IP3003" s="73"/>
      <c r="IQ3003" s="73"/>
      <c r="IR3003" s="73"/>
      <c r="IS3003" s="73"/>
      <c r="IT3003" s="73"/>
      <c r="IU3003" s="73"/>
      <c r="IV3003" s="73"/>
      <c r="IW3003" s="73"/>
      <c r="IX3003" s="73"/>
      <c r="IY3003" s="73"/>
      <c r="IZ3003" s="73"/>
      <c r="JA3003" s="73"/>
      <c r="JB3003" s="73"/>
      <c r="JC3003" s="73"/>
    </row>
    <row r="3004" spans="2:263" s="72" customFormat="1">
      <c r="B3004" s="73"/>
      <c r="C3004" s="73"/>
      <c r="D3004" s="73"/>
      <c r="E3004" s="73"/>
      <c r="F3004" s="73"/>
      <c r="G3004" s="73"/>
      <c r="H3004" s="73"/>
      <c r="I3004" s="73"/>
      <c r="J3004" s="73"/>
      <c r="K3004" s="73"/>
      <c r="L3004" s="73"/>
      <c r="M3004" s="73"/>
      <c r="N3004" s="73"/>
      <c r="O3004" s="73"/>
      <c r="P3004" s="73"/>
      <c r="Q3004" s="73"/>
      <c r="R3004" s="73"/>
      <c r="S3004" s="73"/>
      <c r="T3004" s="73"/>
      <c r="U3004" s="73"/>
      <c r="V3004" s="73"/>
      <c r="W3004" s="73"/>
      <c r="GL3004" s="73"/>
      <c r="GM3004" s="73"/>
      <c r="GN3004" s="73"/>
      <c r="GO3004" s="73"/>
      <c r="GP3004" s="73"/>
      <c r="GQ3004" s="73"/>
      <c r="GR3004" s="73"/>
      <c r="GS3004" s="73"/>
      <c r="GT3004" s="73"/>
      <c r="GU3004" s="73"/>
      <c r="GV3004" s="73"/>
      <c r="GW3004" s="73"/>
      <c r="GX3004" s="73"/>
      <c r="GY3004" s="73"/>
      <c r="GZ3004" s="73"/>
      <c r="HA3004" s="73"/>
      <c r="HB3004" s="73"/>
      <c r="HC3004" s="73"/>
      <c r="HD3004" s="73"/>
      <c r="HE3004" s="73"/>
      <c r="HF3004" s="73"/>
      <c r="HG3004" s="73"/>
      <c r="HH3004" s="73"/>
      <c r="HI3004" s="73"/>
      <c r="HJ3004" s="73"/>
      <c r="HK3004" s="73"/>
      <c r="HL3004" s="73"/>
      <c r="HM3004" s="73"/>
      <c r="HN3004" s="73"/>
      <c r="HO3004" s="73"/>
      <c r="HP3004" s="73"/>
      <c r="HQ3004" s="73"/>
      <c r="HR3004" s="73"/>
      <c r="HS3004" s="73"/>
      <c r="HT3004" s="73"/>
      <c r="HU3004" s="73"/>
      <c r="HV3004" s="73"/>
      <c r="HW3004" s="73"/>
      <c r="HX3004" s="73"/>
      <c r="HY3004" s="73"/>
      <c r="HZ3004" s="73"/>
      <c r="IA3004" s="73"/>
      <c r="IB3004" s="73"/>
      <c r="IC3004" s="73"/>
      <c r="ID3004" s="73"/>
      <c r="IE3004" s="73"/>
      <c r="IF3004" s="73"/>
      <c r="IG3004" s="73"/>
      <c r="IH3004" s="73"/>
      <c r="II3004" s="73"/>
      <c r="IJ3004" s="73"/>
      <c r="IK3004" s="73"/>
      <c r="IL3004" s="73"/>
      <c r="IM3004" s="73"/>
      <c r="IN3004" s="73"/>
      <c r="IO3004" s="73"/>
      <c r="IP3004" s="73"/>
      <c r="IQ3004" s="73"/>
      <c r="IR3004" s="73"/>
      <c r="IS3004" s="73"/>
      <c r="IT3004" s="73"/>
      <c r="IU3004" s="73"/>
      <c r="IV3004" s="73"/>
      <c r="IW3004" s="73"/>
      <c r="IX3004" s="73"/>
      <c r="IY3004" s="73"/>
      <c r="IZ3004" s="73"/>
      <c r="JA3004" s="73"/>
      <c r="JB3004" s="73"/>
      <c r="JC3004" s="73"/>
    </row>
    <row r="3005" spans="2:263" s="72" customFormat="1">
      <c r="B3005" s="73"/>
      <c r="C3005" s="73"/>
      <c r="D3005" s="73"/>
      <c r="E3005" s="73"/>
      <c r="F3005" s="73"/>
      <c r="G3005" s="73"/>
      <c r="H3005" s="73"/>
      <c r="I3005" s="73"/>
      <c r="J3005" s="73"/>
      <c r="K3005" s="73"/>
      <c r="L3005" s="73"/>
      <c r="M3005" s="73"/>
      <c r="N3005" s="73"/>
      <c r="O3005" s="73"/>
      <c r="P3005" s="73"/>
      <c r="Q3005" s="73"/>
      <c r="R3005" s="73"/>
      <c r="S3005" s="73"/>
      <c r="T3005" s="73"/>
      <c r="U3005" s="73"/>
      <c r="V3005" s="73"/>
      <c r="W3005" s="73"/>
      <c r="GL3005" s="73"/>
      <c r="GM3005" s="73"/>
      <c r="GN3005" s="73"/>
      <c r="GO3005" s="73"/>
      <c r="GP3005" s="73"/>
      <c r="GQ3005" s="73"/>
      <c r="GR3005" s="73"/>
      <c r="GS3005" s="73"/>
      <c r="GT3005" s="73"/>
      <c r="GU3005" s="73"/>
      <c r="GV3005" s="73"/>
      <c r="GW3005" s="73"/>
      <c r="GX3005" s="73"/>
      <c r="GY3005" s="73"/>
      <c r="GZ3005" s="73"/>
      <c r="HA3005" s="73"/>
      <c r="HB3005" s="73"/>
      <c r="HC3005" s="73"/>
      <c r="HD3005" s="73"/>
      <c r="HE3005" s="73"/>
      <c r="HF3005" s="73"/>
      <c r="HG3005" s="73"/>
      <c r="HH3005" s="73"/>
      <c r="HI3005" s="73"/>
      <c r="HJ3005" s="73"/>
      <c r="HK3005" s="73"/>
      <c r="HL3005" s="73"/>
      <c r="HM3005" s="73"/>
      <c r="HN3005" s="73"/>
      <c r="HO3005" s="73"/>
      <c r="HP3005" s="73"/>
      <c r="HQ3005" s="73"/>
      <c r="HR3005" s="73"/>
      <c r="HS3005" s="73"/>
      <c r="HT3005" s="73"/>
      <c r="HU3005" s="73"/>
      <c r="HV3005" s="73"/>
      <c r="HW3005" s="73"/>
      <c r="HX3005" s="73"/>
      <c r="HY3005" s="73"/>
      <c r="HZ3005" s="73"/>
      <c r="IA3005" s="73"/>
      <c r="IB3005" s="73"/>
      <c r="IC3005" s="73"/>
      <c r="ID3005" s="73"/>
      <c r="IE3005" s="73"/>
      <c r="IF3005" s="73"/>
      <c r="IG3005" s="73"/>
      <c r="IH3005" s="73"/>
      <c r="II3005" s="73"/>
      <c r="IJ3005" s="73"/>
      <c r="IK3005" s="73"/>
      <c r="IL3005" s="73"/>
      <c r="IM3005" s="73"/>
      <c r="IN3005" s="73"/>
      <c r="IO3005" s="73"/>
      <c r="IP3005" s="73"/>
      <c r="IQ3005" s="73"/>
      <c r="IR3005" s="73"/>
      <c r="IS3005" s="73"/>
      <c r="IT3005" s="73"/>
      <c r="IU3005" s="73"/>
      <c r="IV3005" s="73"/>
      <c r="IW3005" s="73"/>
      <c r="IX3005" s="73"/>
      <c r="IY3005" s="73"/>
      <c r="IZ3005" s="73"/>
      <c r="JA3005" s="73"/>
      <c r="JB3005" s="73"/>
      <c r="JC3005" s="73"/>
    </row>
    <row r="3006" spans="2:263" s="72" customFormat="1">
      <c r="B3006" s="73"/>
      <c r="C3006" s="73"/>
      <c r="D3006" s="73"/>
      <c r="E3006" s="73"/>
      <c r="F3006" s="73"/>
      <c r="G3006" s="73"/>
      <c r="H3006" s="73"/>
      <c r="I3006" s="73"/>
      <c r="J3006" s="73"/>
      <c r="K3006" s="73"/>
      <c r="L3006" s="73"/>
      <c r="M3006" s="73"/>
      <c r="N3006" s="73"/>
      <c r="O3006" s="73"/>
      <c r="P3006" s="73"/>
      <c r="Q3006" s="73"/>
      <c r="R3006" s="73"/>
      <c r="S3006" s="73"/>
      <c r="T3006" s="73"/>
      <c r="U3006" s="73"/>
      <c r="V3006" s="73"/>
      <c r="W3006" s="73"/>
      <c r="GL3006" s="73"/>
      <c r="GM3006" s="73"/>
      <c r="GN3006" s="73"/>
      <c r="GO3006" s="73"/>
      <c r="GP3006" s="73"/>
      <c r="GQ3006" s="73"/>
      <c r="GR3006" s="73"/>
      <c r="GS3006" s="73"/>
      <c r="GT3006" s="73"/>
      <c r="GU3006" s="73"/>
      <c r="GV3006" s="73"/>
      <c r="GW3006" s="73"/>
      <c r="GX3006" s="73"/>
      <c r="GY3006" s="73"/>
      <c r="GZ3006" s="73"/>
      <c r="HA3006" s="73"/>
      <c r="HB3006" s="73"/>
      <c r="HC3006" s="73"/>
      <c r="HD3006" s="73"/>
      <c r="HE3006" s="73"/>
      <c r="HF3006" s="73"/>
      <c r="HG3006" s="73"/>
      <c r="HH3006" s="73"/>
      <c r="HI3006" s="73"/>
      <c r="HJ3006" s="73"/>
      <c r="HK3006" s="73"/>
      <c r="HL3006" s="73"/>
      <c r="HM3006" s="73"/>
      <c r="HN3006" s="73"/>
      <c r="HO3006" s="73"/>
      <c r="HP3006" s="73"/>
      <c r="HQ3006" s="73"/>
      <c r="HR3006" s="73"/>
      <c r="HS3006" s="73"/>
      <c r="HT3006" s="73"/>
      <c r="HU3006" s="73"/>
      <c r="HV3006" s="73"/>
      <c r="HW3006" s="73"/>
      <c r="HX3006" s="73"/>
      <c r="HY3006" s="73"/>
      <c r="HZ3006" s="73"/>
      <c r="IA3006" s="73"/>
      <c r="IB3006" s="73"/>
      <c r="IC3006" s="73"/>
      <c r="ID3006" s="73"/>
      <c r="IE3006" s="73"/>
      <c r="IF3006" s="73"/>
      <c r="IG3006" s="73"/>
      <c r="IH3006" s="73"/>
      <c r="II3006" s="73"/>
      <c r="IJ3006" s="73"/>
      <c r="IK3006" s="73"/>
      <c r="IL3006" s="73"/>
      <c r="IM3006" s="73"/>
      <c r="IN3006" s="73"/>
      <c r="IO3006" s="73"/>
      <c r="IP3006" s="73"/>
      <c r="IQ3006" s="73"/>
      <c r="IR3006" s="73"/>
      <c r="IS3006" s="73"/>
      <c r="IT3006" s="73"/>
      <c r="IU3006" s="73"/>
      <c r="IV3006" s="73"/>
      <c r="IW3006" s="73"/>
      <c r="IX3006" s="73"/>
      <c r="IY3006" s="73"/>
      <c r="IZ3006" s="73"/>
      <c r="JA3006" s="73"/>
      <c r="JB3006" s="73"/>
      <c r="JC3006" s="73"/>
    </row>
    <row r="3007" spans="2:263" s="72" customFormat="1">
      <c r="B3007" s="73"/>
      <c r="C3007" s="73"/>
      <c r="D3007" s="73"/>
      <c r="E3007" s="73"/>
      <c r="F3007" s="73"/>
      <c r="G3007" s="73"/>
      <c r="H3007" s="73"/>
      <c r="I3007" s="73"/>
      <c r="J3007" s="73"/>
      <c r="K3007" s="73"/>
      <c r="L3007" s="73"/>
      <c r="M3007" s="73"/>
      <c r="N3007" s="73"/>
      <c r="O3007" s="73"/>
      <c r="P3007" s="73"/>
      <c r="Q3007" s="73"/>
      <c r="R3007" s="73"/>
      <c r="S3007" s="73"/>
      <c r="T3007" s="73"/>
      <c r="U3007" s="73"/>
      <c r="V3007" s="73"/>
      <c r="W3007" s="73"/>
      <c r="GL3007" s="73"/>
      <c r="GM3007" s="73"/>
      <c r="GN3007" s="73"/>
      <c r="GO3007" s="73"/>
      <c r="GP3007" s="73"/>
      <c r="GQ3007" s="73"/>
      <c r="GR3007" s="73"/>
      <c r="GS3007" s="73"/>
      <c r="GT3007" s="73"/>
      <c r="GU3007" s="73"/>
      <c r="GV3007" s="73"/>
      <c r="GW3007" s="73"/>
      <c r="GX3007" s="73"/>
      <c r="GY3007" s="73"/>
      <c r="GZ3007" s="73"/>
      <c r="HA3007" s="73"/>
      <c r="HB3007" s="73"/>
      <c r="HC3007" s="73"/>
      <c r="HD3007" s="73"/>
      <c r="HE3007" s="73"/>
      <c r="HF3007" s="73"/>
      <c r="HG3007" s="73"/>
      <c r="HH3007" s="73"/>
      <c r="HI3007" s="73"/>
      <c r="HJ3007" s="73"/>
      <c r="HK3007" s="73"/>
      <c r="HL3007" s="73"/>
      <c r="HM3007" s="73"/>
      <c r="HN3007" s="73"/>
      <c r="HO3007" s="73"/>
      <c r="HP3007" s="73"/>
      <c r="HQ3007" s="73"/>
      <c r="HR3007" s="73"/>
      <c r="HS3007" s="73"/>
      <c r="HT3007" s="73"/>
      <c r="HU3007" s="73"/>
      <c r="HV3007" s="73"/>
      <c r="HW3007" s="73"/>
      <c r="HX3007" s="73"/>
      <c r="HY3007" s="73"/>
      <c r="HZ3007" s="73"/>
      <c r="IA3007" s="73"/>
      <c r="IB3007" s="73"/>
      <c r="IC3007" s="73"/>
      <c r="ID3007" s="73"/>
      <c r="IE3007" s="73"/>
      <c r="IF3007" s="73"/>
      <c r="IG3007" s="73"/>
      <c r="IH3007" s="73"/>
      <c r="II3007" s="73"/>
      <c r="IJ3007" s="73"/>
      <c r="IK3007" s="73"/>
      <c r="IL3007" s="73"/>
      <c r="IM3007" s="73"/>
      <c r="IN3007" s="73"/>
      <c r="IO3007" s="73"/>
      <c r="IP3007" s="73"/>
      <c r="IQ3007" s="73"/>
      <c r="IR3007" s="73"/>
      <c r="IS3007" s="73"/>
      <c r="IT3007" s="73"/>
      <c r="IU3007" s="73"/>
      <c r="IV3007" s="73"/>
      <c r="IW3007" s="73"/>
      <c r="IX3007" s="73"/>
      <c r="IY3007" s="73"/>
      <c r="IZ3007" s="73"/>
      <c r="JA3007" s="73"/>
      <c r="JB3007" s="73"/>
      <c r="JC3007" s="73"/>
    </row>
    <row r="3008" spans="2:263" s="72" customFormat="1">
      <c r="B3008" s="73"/>
      <c r="C3008" s="73"/>
      <c r="D3008" s="73"/>
      <c r="E3008" s="73"/>
      <c r="F3008" s="73"/>
      <c r="G3008" s="73"/>
      <c r="H3008" s="73"/>
      <c r="I3008" s="73"/>
      <c r="J3008" s="73"/>
      <c r="K3008" s="73"/>
      <c r="L3008" s="73"/>
      <c r="M3008" s="73"/>
      <c r="N3008" s="73"/>
      <c r="O3008" s="73"/>
      <c r="P3008" s="73"/>
      <c r="Q3008" s="73"/>
      <c r="R3008" s="73"/>
      <c r="S3008" s="73"/>
      <c r="T3008" s="73"/>
      <c r="U3008" s="73"/>
      <c r="V3008" s="73"/>
      <c r="W3008" s="73"/>
      <c r="GL3008" s="73"/>
      <c r="GM3008" s="73"/>
      <c r="GN3008" s="73"/>
      <c r="GO3008" s="73"/>
      <c r="GP3008" s="73"/>
      <c r="GQ3008" s="73"/>
      <c r="GR3008" s="73"/>
      <c r="GS3008" s="73"/>
      <c r="GT3008" s="73"/>
      <c r="GU3008" s="73"/>
      <c r="GV3008" s="73"/>
      <c r="GW3008" s="73"/>
      <c r="GX3008" s="73"/>
      <c r="GY3008" s="73"/>
      <c r="GZ3008" s="73"/>
      <c r="HA3008" s="73"/>
      <c r="HB3008" s="73"/>
      <c r="HC3008" s="73"/>
      <c r="HD3008" s="73"/>
      <c r="HE3008" s="73"/>
      <c r="HF3008" s="73"/>
      <c r="HG3008" s="73"/>
      <c r="HH3008" s="73"/>
      <c r="HI3008" s="73"/>
      <c r="HJ3008" s="73"/>
      <c r="HK3008" s="73"/>
      <c r="HL3008" s="73"/>
      <c r="HM3008" s="73"/>
      <c r="HN3008" s="73"/>
      <c r="HO3008" s="73"/>
      <c r="HP3008" s="73"/>
      <c r="HQ3008" s="73"/>
      <c r="HR3008" s="73"/>
      <c r="HS3008" s="73"/>
      <c r="HT3008" s="73"/>
      <c r="HU3008" s="73"/>
      <c r="HV3008" s="73"/>
      <c r="HW3008" s="73"/>
      <c r="HX3008" s="73"/>
      <c r="HY3008" s="73"/>
      <c r="HZ3008" s="73"/>
      <c r="IA3008" s="73"/>
      <c r="IB3008" s="73"/>
      <c r="IC3008" s="73"/>
      <c r="ID3008" s="73"/>
      <c r="IE3008" s="73"/>
      <c r="IF3008" s="73"/>
      <c r="IG3008" s="73"/>
      <c r="IH3008" s="73"/>
      <c r="II3008" s="73"/>
      <c r="IJ3008" s="73"/>
      <c r="IK3008" s="73"/>
      <c r="IL3008" s="73"/>
      <c r="IM3008" s="73"/>
      <c r="IN3008" s="73"/>
      <c r="IO3008" s="73"/>
      <c r="IP3008" s="73"/>
      <c r="IQ3008" s="73"/>
      <c r="IR3008" s="73"/>
      <c r="IS3008" s="73"/>
      <c r="IT3008" s="73"/>
      <c r="IU3008" s="73"/>
      <c r="IV3008" s="73"/>
      <c r="IW3008" s="73"/>
      <c r="IX3008" s="73"/>
      <c r="IY3008" s="73"/>
      <c r="IZ3008" s="73"/>
      <c r="JA3008" s="73"/>
      <c r="JB3008" s="73"/>
      <c r="JC3008" s="73"/>
    </row>
    <row r="3009" spans="2:263" s="72" customFormat="1">
      <c r="B3009" s="73"/>
      <c r="C3009" s="73"/>
      <c r="D3009" s="73"/>
      <c r="E3009" s="73"/>
      <c r="F3009" s="73"/>
      <c r="G3009" s="73"/>
      <c r="H3009" s="73"/>
      <c r="I3009" s="73"/>
      <c r="J3009" s="73"/>
      <c r="K3009" s="73"/>
      <c r="L3009" s="73"/>
      <c r="M3009" s="73"/>
      <c r="N3009" s="73"/>
      <c r="O3009" s="73"/>
      <c r="P3009" s="73"/>
      <c r="Q3009" s="73"/>
      <c r="R3009" s="73"/>
      <c r="S3009" s="73"/>
      <c r="T3009" s="73"/>
      <c r="U3009" s="73"/>
      <c r="V3009" s="73"/>
      <c r="W3009" s="73"/>
      <c r="GL3009" s="73"/>
      <c r="GM3009" s="73"/>
      <c r="GN3009" s="73"/>
      <c r="GO3009" s="73"/>
      <c r="GP3009" s="73"/>
      <c r="GQ3009" s="73"/>
      <c r="GR3009" s="73"/>
      <c r="GS3009" s="73"/>
      <c r="GT3009" s="73"/>
      <c r="GU3009" s="73"/>
      <c r="GV3009" s="73"/>
      <c r="GW3009" s="73"/>
      <c r="GX3009" s="73"/>
      <c r="GY3009" s="73"/>
      <c r="GZ3009" s="73"/>
      <c r="HA3009" s="73"/>
      <c r="HB3009" s="73"/>
      <c r="HC3009" s="73"/>
      <c r="HD3009" s="73"/>
      <c r="HE3009" s="73"/>
      <c r="HF3009" s="73"/>
      <c r="HG3009" s="73"/>
      <c r="HH3009" s="73"/>
      <c r="HI3009" s="73"/>
      <c r="HJ3009" s="73"/>
      <c r="HK3009" s="73"/>
      <c r="HL3009" s="73"/>
      <c r="HM3009" s="73"/>
      <c r="HN3009" s="73"/>
      <c r="HO3009" s="73"/>
      <c r="HP3009" s="73"/>
      <c r="HQ3009" s="73"/>
      <c r="HR3009" s="73"/>
      <c r="HS3009" s="73"/>
      <c r="HT3009" s="73"/>
      <c r="HU3009" s="73"/>
      <c r="HV3009" s="73"/>
      <c r="HW3009" s="73"/>
      <c r="HX3009" s="73"/>
      <c r="HY3009" s="73"/>
      <c r="HZ3009" s="73"/>
      <c r="IA3009" s="73"/>
      <c r="IB3009" s="73"/>
      <c r="IC3009" s="73"/>
      <c r="ID3009" s="73"/>
      <c r="IE3009" s="73"/>
      <c r="IF3009" s="73"/>
      <c r="IG3009" s="73"/>
      <c r="IH3009" s="73"/>
      <c r="II3009" s="73"/>
      <c r="IJ3009" s="73"/>
      <c r="IK3009" s="73"/>
      <c r="IL3009" s="73"/>
      <c r="IM3009" s="73"/>
      <c r="IN3009" s="73"/>
      <c r="IO3009" s="73"/>
      <c r="IP3009" s="73"/>
      <c r="IQ3009" s="73"/>
      <c r="IR3009" s="73"/>
      <c r="IS3009" s="73"/>
      <c r="IT3009" s="73"/>
      <c r="IU3009" s="73"/>
      <c r="IV3009" s="73"/>
      <c r="IW3009" s="73"/>
      <c r="IX3009" s="73"/>
      <c r="IY3009" s="73"/>
      <c r="IZ3009" s="73"/>
      <c r="JA3009" s="73"/>
      <c r="JB3009" s="73"/>
      <c r="JC3009" s="73"/>
    </row>
    <row r="3010" spans="2:263" s="72" customFormat="1">
      <c r="B3010" s="73"/>
      <c r="C3010" s="73"/>
      <c r="D3010" s="73"/>
      <c r="E3010" s="73"/>
      <c r="F3010" s="73"/>
      <c r="G3010" s="73"/>
      <c r="H3010" s="73"/>
      <c r="I3010" s="73"/>
      <c r="J3010" s="73"/>
      <c r="K3010" s="73"/>
      <c r="L3010" s="73"/>
      <c r="M3010" s="73"/>
      <c r="N3010" s="73"/>
      <c r="O3010" s="73"/>
      <c r="P3010" s="73"/>
      <c r="Q3010" s="73"/>
      <c r="R3010" s="73"/>
      <c r="S3010" s="73"/>
      <c r="T3010" s="73"/>
      <c r="U3010" s="73"/>
      <c r="V3010" s="73"/>
      <c r="W3010" s="73"/>
      <c r="GL3010" s="73"/>
      <c r="GM3010" s="73"/>
      <c r="GN3010" s="73"/>
      <c r="GO3010" s="73"/>
      <c r="GP3010" s="73"/>
      <c r="GQ3010" s="73"/>
      <c r="GR3010" s="73"/>
      <c r="GS3010" s="73"/>
      <c r="GT3010" s="73"/>
      <c r="GU3010" s="73"/>
      <c r="GV3010" s="73"/>
      <c r="GW3010" s="73"/>
      <c r="GX3010" s="73"/>
      <c r="GY3010" s="73"/>
      <c r="GZ3010" s="73"/>
      <c r="HA3010" s="73"/>
      <c r="HB3010" s="73"/>
      <c r="HC3010" s="73"/>
      <c r="HD3010" s="73"/>
      <c r="HE3010" s="73"/>
      <c r="HF3010" s="73"/>
      <c r="HG3010" s="73"/>
      <c r="HH3010" s="73"/>
      <c r="HI3010" s="73"/>
      <c r="HJ3010" s="73"/>
      <c r="HK3010" s="73"/>
      <c r="HL3010" s="73"/>
      <c r="HM3010" s="73"/>
      <c r="HN3010" s="73"/>
      <c r="HO3010" s="73"/>
      <c r="HP3010" s="73"/>
      <c r="HQ3010" s="73"/>
      <c r="HR3010" s="73"/>
      <c r="HS3010" s="73"/>
      <c r="HT3010" s="73"/>
      <c r="HU3010" s="73"/>
      <c r="HV3010" s="73"/>
      <c r="HW3010" s="73"/>
      <c r="HX3010" s="73"/>
      <c r="HY3010" s="73"/>
      <c r="HZ3010" s="73"/>
      <c r="IA3010" s="73"/>
      <c r="IB3010" s="73"/>
      <c r="IC3010" s="73"/>
      <c r="ID3010" s="73"/>
      <c r="IE3010" s="73"/>
      <c r="IF3010" s="73"/>
      <c r="IG3010" s="73"/>
      <c r="IH3010" s="73"/>
      <c r="II3010" s="73"/>
      <c r="IJ3010" s="73"/>
      <c r="IK3010" s="73"/>
      <c r="IL3010" s="73"/>
      <c r="IM3010" s="73"/>
      <c r="IN3010" s="73"/>
      <c r="IO3010" s="73"/>
      <c r="IP3010" s="73"/>
      <c r="IQ3010" s="73"/>
      <c r="IR3010" s="73"/>
      <c r="IS3010" s="73"/>
      <c r="IT3010" s="73"/>
      <c r="IU3010" s="73"/>
      <c r="IV3010" s="73"/>
      <c r="IW3010" s="73"/>
      <c r="IX3010" s="73"/>
      <c r="IY3010" s="73"/>
      <c r="IZ3010" s="73"/>
      <c r="JA3010" s="73"/>
      <c r="JB3010" s="73"/>
      <c r="JC3010" s="73"/>
    </row>
    <row r="3011" spans="2:263" s="72" customFormat="1">
      <c r="B3011" s="73"/>
      <c r="C3011" s="73"/>
      <c r="D3011" s="73"/>
      <c r="E3011" s="73"/>
      <c r="F3011" s="73"/>
      <c r="G3011" s="73"/>
      <c r="H3011" s="73"/>
      <c r="I3011" s="73"/>
      <c r="J3011" s="73"/>
      <c r="K3011" s="73"/>
      <c r="L3011" s="73"/>
      <c r="M3011" s="73"/>
      <c r="N3011" s="73"/>
      <c r="O3011" s="73"/>
      <c r="P3011" s="73"/>
      <c r="Q3011" s="73"/>
      <c r="R3011" s="73"/>
      <c r="S3011" s="73"/>
      <c r="T3011" s="73"/>
      <c r="U3011" s="73"/>
      <c r="V3011" s="73"/>
      <c r="W3011" s="73"/>
      <c r="GL3011" s="73"/>
      <c r="GM3011" s="73"/>
      <c r="GN3011" s="73"/>
      <c r="GO3011" s="73"/>
      <c r="GP3011" s="73"/>
      <c r="GQ3011" s="73"/>
      <c r="GR3011" s="73"/>
      <c r="GS3011" s="73"/>
      <c r="GT3011" s="73"/>
      <c r="GU3011" s="73"/>
      <c r="GV3011" s="73"/>
      <c r="GW3011" s="73"/>
      <c r="GX3011" s="73"/>
      <c r="GY3011" s="73"/>
      <c r="GZ3011" s="73"/>
      <c r="HA3011" s="73"/>
      <c r="HB3011" s="73"/>
      <c r="HC3011" s="73"/>
      <c r="HD3011" s="73"/>
      <c r="HE3011" s="73"/>
      <c r="HF3011" s="73"/>
      <c r="HG3011" s="73"/>
      <c r="HH3011" s="73"/>
      <c r="HI3011" s="73"/>
      <c r="HJ3011" s="73"/>
      <c r="HK3011" s="73"/>
      <c r="HL3011" s="73"/>
      <c r="HM3011" s="73"/>
      <c r="HN3011" s="73"/>
      <c r="HO3011" s="73"/>
      <c r="HP3011" s="73"/>
      <c r="HQ3011" s="73"/>
      <c r="HR3011" s="73"/>
      <c r="HS3011" s="73"/>
      <c r="HT3011" s="73"/>
      <c r="HU3011" s="73"/>
      <c r="HV3011" s="73"/>
      <c r="HW3011" s="73"/>
      <c r="HX3011" s="73"/>
      <c r="HY3011" s="73"/>
      <c r="HZ3011" s="73"/>
      <c r="IA3011" s="73"/>
      <c r="IB3011" s="73"/>
      <c r="IC3011" s="73"/>
      <c r="ID3011" s="73"/>
      <c r="IE3011" s="73"/>
      <c r="IF3011" s="73"/>
      <c r="IG3011" s="73"/>
      <c r="IH3011" s="73"/>
      <c r="II3011" s="73"/>
      <c r="IJ3011" s="73"/>
      <c r="IK3011" s="73"/>
      <c r="IL3011" s="73"/>
      <c r="IM3011" s="73"/>
      <c r="IN3011" s="73"/>
      <c r="IO3011" s="73"/>
      <c r="IP3011" s="73"/>
      <c r="IQ3011" s="73"/>
      <c r="IR3011" s="73"/>
      <c r="IS3011" s="73"/>
      <c r="IT3011" s="73"/>
      <c r="IU3011" s="73"/>
      <c r="IV3011" s="73"/>
      <c r="IW3011" s="73"/>
      <c r="IX3011" s="73"/>
      <c r="IY3011" s="73"/>
      <c r="IZ3011" s="73"/>
      <c r="JA3011" s="73"/>
      <c r="JB3011" s="73"/>
      <c r="JC3011" s="73"/>
    </row>
    <row r="3012" spans="2:263" s="72" customFormat="1">
      <c r="B3012" s="73"/>
      <c r="C3012" s="73"/>
      <c r="D3012" s="73"/>
      <c r="E3012" s="73"/>
      <c r="F3012" s="73"/>
      <c r="G3012" s="73"/>
      <c r="H3012" s="73"/>
      <c r="I3012" s="73"/>
      <c r="J3012" s="73"/>
      <c r="K3012" s="73"/>
      <c r="L3012" s="73"/>
      <c r="M3012" s="73"/>
      <c r="N3012" s="73"/>
      <c r="O3012" s="73"/>
      <c r="P3012" s="73"/>
      <c r="Q3012" s="73"/>
      <c r="R3012" s="73"/>
      <c r="S3012" s="73"/>
      <c r="T3012" s="73"/>
      <c r="U3012" s="73"/>
      <c r="V3012" s="73"/>
      <c r="W3012" s="73"/>
      <c r="GL3012" s="73"/>
      <c r="GM3012" s="73"/>
      <c r="GN3012" s="73"/>
      <c r="GO3012" s="73"/>
      <c r="GP3012" s="73"/>
      <c r="GQ3012" s="73"/>
      <c r="GR3012" s="73"/>
      <c r="GS3012" s="73"/>
      <c r="GT3012" s="73"/>
      <c r="GU3012" s="73"/>
      <c r="GV3012" s="73"/>
      <c r="GW3012" s="73"/>
      <c r="GX3012" s="73"/>
      <c r="GY3012" s="73"/>
      <c r="GZ3012" s="73"/>
      <c r="HA3012" s="73"/>
      <c r="HB3012" s="73"/>
      <c r="HC3012" s="73"/>
      <c r="HD3012" s="73"/>
      <c r="HE3012" s="73"/>
      <c r="HF3012" s="73"/>
      <c r="HG3012" s="73"/>
      <c r="HH3012" s="73"/>
      <c r="HI3012" s="73"/>
      <c r="HJ3012" s="73"/>
      <c r="HK3012" s="73"/>
      <c r="HL3012" s="73"/>
      <c r="HM3012" s="73"/>
      <c r="HN3012" s="73"/>
      <c r="HO3012" s="73"/>
      <c r="HP3012" s="73"/>
      <c r="HQ3012" s="73"/>
      <c r="HR3012" s="73"/>
      <c r="HS3012" s="73"/>
      <c r="HT3012" s="73"/>
      <c r="HU3012" s="73"/>
      <c r="HV3012" s="73"/>
      <c r="HW3012" s="73"/>
      <c r="HX3012" s="73"/>
      <c r="HY3012" s="73"/>
      <c r="HZ3012" s="73"/>
      <c r="IA3012" s="73"/>
      <c r="IB3012" s="73"/>
      <c r="IC3012" s="73"/>
      <c r="ID3012" s="73"/>
      <c r="IE3012" s="73"/>
      <c r="IF3012" s="73"/>
      <c r="IG3012" s="73"/>
      <c r="IH3012" s="73"/>
      <c r="II3012" s="73"/>
      <c r="IJ3012" s="73"/>
      <c r="IK3012" s="73"/>
      <c r="IL3012" s="73"/>
      <c r="IM3012" s="73"/>
      <c r="IN3012" s="73"/>
      <c r="IO3012" s="73"/>
      <c r="IP3012" s="73"/>
      <c r="IQ3012" s="73"/>
      <c r="IR3012" s="73"/>
      <c r="IS3012" s="73"/>
      <c r="IT3012" s="73"/>
      <c r="IU3012" s="73"/>
      <c r="IV3012" s="73"/>
      <c r="IW3012" s="73"/>
      <c r="IX3012" s="73"/>
      <c r="IY3012" s="73"/>
      <c r="IZ3012" s="73"/>
      <c r="JA3012" s="73"/>
      <c r="JB3012" s="73"/>
      <c r="JC3012" s="73"/>
    </row>
    <row r="3013" spans="2:263" s="72" customFormat="1">
      <c r="B3013" s="73"/>
      <c r="C3013" s="73"/>
      <c r="D3013" s="73"/>
      <c r="E3013" s="73"/>
      <c r="F3013" s="73"/>
      <c r="G3013" s="73"/>
      <c r="H3013" s="73"/>
      <c r="I3013" s="73"/>
      <c r="J3013" s="73"/>
      <c r="K3013" s="73"/>
      <c r="L3013" s="73"/>
      <c r="M3013" s="73"/>
      <c r="N3013" s="73"/>
      <c r="O3013" s="73"/>
      <c r="P3013" s="73"/>
      <c r="Q3013" s="73"/>
      <c r="R3013" s="73"/>
      <c r="S3013" s="73"/>
      <c r="T3013" s="73"/>
      <c r="U3013" s="73"/>
      <c r="V3013" s="73"/>
      <c r="W3013" s="73"/>
      <c r="GL3013" s="73"/>
      <c r="GM3013" s="73"/>
      <c r="GN3013" s="73"/>
      <c r="GO3013" s="73"/>
      <c r="GP3013" s="73"/>
      <c r="GQ3013" s="73"/>
      <c r="GR3013" s="73"/>
      <c r="GS3013" s="73"/>
      <c r="GT3013" s="73"/>
      <c r="GU3013" s="73"/>
      <c r="GV3013" s="73"/>
      <c r="GW3013" s="73"/>
      <c r="GX3013" s="73"/>
      <c r="GY3013" s="73"/>
      <c r="GZ3013" s="73"/>
      <c r="HA3013" s="73"/>
      <c r="HB3013" s="73"/>
      <c r="HC3013" s="73"/>
      <c r="HD3013" s="73"/>
      <c r="HE3013" s="73"/>
      <c r="HF3013" s="73"/>
      <c r="HG3013" s="73"/>
      <c r="HH3013" s="73"/>
      <c r="HI3013" s="73"/>
      <c r="HJ3013" s="73"/>
      <c r="HK3013" s="73"/>
      <c r="HL3013" s="73"/>
      <c r="HM3013" s="73"/>
      <c r="HN3013" s="73"/>
      <c r="HO3013" s="73"/>
      <c r="HP3013" s="73"/>
      <c r="HQ3013" s="73"/>
      <c r="HR3013" s="73"/>
      <c r="HS3013" s="73"/>
      <c r="HT3013" s="73"/>
      <c r="HU3013" s="73"/>
      <c r="HV3013" s="73"/>
      <c r="HW3013" s="73"/>
      <c r="HX3013" s="73"/>
      <c r="HY3013" s="73"/>
      <c r="HZ3013" s="73"/>
      <c r="IA3013" s="73"/>
      <c r="IB3013" s="73"/>
      <c r="IC3013" s="73"/>
      <c r="ID3013" s="73"/>
      <c r="IE3013" s="73"/>
      <c r="IF3013" s="73"/>
      <c r="IG3013" s="73"/>
      <c r="IH3013" s="73"/>
      <c r="II3013" s="73"/>
      <c r="IJ3013" s="73"/>
      <c r="IK3013" s="73"/>
      <c r="IL3013" s="73"/>
      <c r="IM3013" s="73"/>
      <c r="IN3013" s="73"/>
      <c r="IO3013" s="73"/>
      <c r="IP3013" s="73"/>
      <c r="IQ3013" s="73"/>
      <c r="IR3013" s="73"/>
      <c r="IS3013" s="73"/>
      <c r="IT3013" s="73"/>
      <c r="IU3013" s="73"/>
      <c r="IV3013" s="73"/>
      <c r="IW3013" s="73"/>
      <c r="IX3013" s="73"/>
      <c r="IY3013" s="73"/>
      <c r="IZ3013" s="73"/>
      <c r="JA3013" s="73"/>
      <c r="JB3013" s="73"/>
      <c r="JC3013" s="73"/>
    </row>
    <row r="3014" spans="2:263" s="72" customFormat="1">
      <c r="B3014" s="73"/>
      <c r="C3014" s="73"/>
      <c r="D3014" s="73"/>
      <c r="E3014" s="73"/>
      <c r="F3014" s="73"/>
      <c r="G3014" s="73"/>
      <c r="H3014" s="73"/>
      <c r="I3014" s="73"/>
      <c r="J3014" s="73"/>
      <c r="K3014" s="73"/>
      <c r="L3014" s="73"/>
      <c r="M3014" s="73"/>
      <c r="N3014" s="73"/>
      <c r="O3014" s="73"/>
      <c r="P3014" s="73"/>
      <c r="Q3014" s="73"/>
      <c r="R3014" s="73"/>
      <c r="S3014" s="73"/>
      <c r="T3014" s="73"/>
      <c r="U3014" s="73"/>
      <c r="V3014" s="73"/>
      <c r="W3014" s="73"/>
      <c r="GL3014" s="73"/>
      <c r="GM3014" s="73"/>
      <c r="GN3014" s="73"/>
      <c r="GO3014" s="73"/>
      <c r="GP3014" s="73"/>
      <c r="GQ3014" s="73"/>
      <c r="GR3014" s="73"/>
      <c r="GS3014" s="73"/>
      <c r="GT3014" s="73"/>
      <c r="GU3014" s="73"/>
      <c r="GV3014" s="73"/>
      <c r="GW3014" s="73"/>
      <c r="GX3014" s="73"/>
      <c r="GY3014" s="73"/>
      <c r="GZ3014" s="73"/>
      <c r="HA3014" s="73"/>
      <c r="HB3014" s="73"/>
      <c r="HC3014" s="73"/>
      <c r="HD3014" s="73"/>
      <c r="HE3014" s="73"/>
      <c r="HF3014" s="73"/>
      <c r="HG3014" s="73"/>
      <c r="HH3014" s="73"/>
      <c r="HI3014" s="73"/>
      <c r="HJ3014" s="73"/>
      <c r="HK3014" s="73"/>
      <c r="HL3014" s="73"/>
      <c r="HM3014" s="73"/>
      <c r="HN3014" s="73"/>
      <c r="HO3014" s="73"/>
      <c r="HP3014" s="73"/>
      <c r="HQ3014" s="73"/>
      <c r="HR3014" s="73"/>
      <c r="HS3014" s="73"/>
      <c r="HT3014" s="73"/>
      <c r="HU3014" s="73"/>
      <c r="HV3014" s="73"/>
      <c r="HW3014" s="73"/>
      <c r="HX3014" s="73"/>
      <c r="HY3014" s="73"/>
      <c r="HZ3014" s="73"/>
      <c r="IA3014" s="73"/>
      <c r="IB3014" s="73"/>
      <c r="IC3014" s="73"/>
      <c r="ID3014" s="73"/>
      <c r="IE3014" s="73"/>
      <c r="IF3014" s="73"/>
      <c r="IG3014" s="73"/>
      <c r="IH3014" s="73"/>
      <c r="II3014" s="73"/>
      <c r="IJ3014" s="73"/>
      <c r="IK3014" s="73"/>
      <c r="IL3014" s="73"/>
      <c r="IM3014" s="73"/>
      <c r="IN3014" s="73"/>
      <c r="IO3014" s="73"/>
      <c r="IP3014" s="73"/>
      <c r="IQ3014" s="73"/>
      <c r="IR3014" s="73"/>
      <c r="IS3014" s="73"/>
      <c r="IT3014" s="73"/>
      <c r="IU3014" s="73"/>
      <c r="IV3014" s="73"/>
      <c r="IW3014" s="73"/>
      <c r="IX3014" s="73"/>
      <c r="IY3014" s="73"/>
      <c r="IZ3014" s="73"/>
      <c r="JA3014" s="73"/>
      <c r="JB3014" s="73"/>
      <c r="JC3014" s="73"/>
    </row>
    <row r="3015" spans="2:263" s="72" customFormat="1">
      <c r="B3015" s="73"/>
      <c r="C3015" s="73"/>
      <c r="D3015" s="73"/>
      <c r="E3015" s="73"/>
      <c r="F3015" s="73"/>
      <c r="G3015" s="73"/>
      <c r="H3015" s="73"/>
      <c r="I3015" s="73"/>
      <c r="J3015" s="73"/>
      <c r="K3015" s="73"/>
      <c r="L3015" s="73"/>
      <c r="M3015" s="73"/>
      <c r="N3015" s="73"/>
      <c r="O3015" s="73"/>
      <c r="P3015" s="73"/>
      <c r="Q3015" s="73"/>
      <c r="R3015" s="73"/>
      <c r="S3015" s="73"/>
      <c r="T3015" s="73"/>
      <c r="U3015" s="73"/>
      <c r="V3015" s="73"/>
      <c r="W3015" s="73"/>
      <c r="GL3015" s="73"/>
      <c r="GM3015" s="73"/>
      <c r="GN3015" s="73"/>
      <c r="GO3015" s="73"/>
      <c r="GP3015" s="73"/>
      <c r="GQ3015" s="73"/>
      <c r="GR3015" s="73"/>
      <c r="GS3015" s="73"/>
      <c r="GT3015" s="73"/>
      <c r="GU3015" s="73"/>
      <c r="GV3015" s="73"/>
      <c r="GW3015" s="73"/>
      <c r="GX3015" s="73"/>
      <c r="GY3015" s="73"/>
      <c r="GZ3015" s="73"/>
      <c r="HA3015" s="73"/>
      <c r="HB3015" s="73"/>
      <c r="HC3015" s="73"/>
      <c r="HD3015" s="73"/>
      <c r="HE3015" s="73"/>
      <c r="HF3015" s="73"/>
      <c r="HG3015" s="73"/>
      <c r="HH3015" s="73"/>
      <c r="HI3015" s="73"/>
      <c r="HJ3015" s="73"/>
      <c r="HK3015" s="73"/>
      <c r="HL3015" s="73"/>
      <c r="HM3015" s="73"/>
      <c r="HN3015" s="73"/>
      <c r="HO3015" s="73"/>
      <c r="HP3015" s="73"/>
      <c r="HQ3015" s="73"/>
      <c r="HR3015" s="73"/>
      <c r="HS3015" s="73"/>
      <c r="HT3015" s="73"/>
      <c r="HU3015" s="73"/>
      <c r="HV3015" s="73"/>
      <c r="HW3015" s="73"/>
      <c r="HX3015" s="73"/>
      <c r="HY3015" s="73"/>
      <c r="HZ3015" s="73"/>
      <c r="IA3015" s="73"/>
      <c r="IB3015" s="73"/>
      <c r="IC3015" s="73"/>
      <c r="ID3015" s="73"/>
      <c r="IE3015" s="73"/>
      <c r="IF3015" s="73"/>
      <c r="IG3015" s="73"/>
      <c r="IH3015" s="73"/>
      <c r="II3015" s="73"/>
      <c r="IJ3015" s="73"/>
      <c r="IK3015" s="73"/>
      <c r="IL3015" s="73"/>
      <c r="IM3015" s="73"/>
      <c r="IN3015" s="73"/>
      <c r="IO3015" s="73"/>
      <c r="IP3015" s="73"/>
      <c r="IQ3015" s="73"/>
      <c r="IR3015" s="73"/>
      <c r="IS3015" s="73"/>
      <c r="IT3015" s="73"/>
      <c r="IU3015" s="73"/>
      <c r="IV3015" s="73"/>
      <c r="IW3015" s="73"/>
      <c r="IX3015" s="73"/>
      <c r="IY3015" s="73"/>
      <c r="IZ3015" s="73"/>
      <c r="JA3015" s="73"/>
      <c r="JB3015" s="73"/>
      <c r="JC3015" s="73"/>
    </row>
    <row r="3016" spans="2:263" s="72" customFormat="1">
      <c r="B3016" s="73"/>
      <c r="C3016" s="73"/>
      <c r="D3016" s="73"/>
      <c r="E3016" s="73"/>
      <c r="F3016" s="73"/>
      <c r="G3016" s="73"/>
      <c r="H3016" s="73"/>
      <c r="I3016" s="73"/>
      <c r="J3016" s="73"/>
      <c r="K3016" s="73"/>
      <c r="L3016" s="73"/>
      <c r="M3016" s="73"/>
      <c r="N3016" s="73"/>
      <c r="O3016" s="73"/>
      <c r="P3016" s="73"/>
      <c r="Q3016" s="73"/>
      <c r="R3016" s="73"/>
      <c r="S3016" s="73"/>
      <c r="T3016" s="73"/>
      <c r="U3016" s="73"/>
      <c r="V3016" s="73"/>
      <c r="W3016" s="73"/>
      <c r="GL3016" s="73"/>
      <c r="GM3016" s="73"/>
      <c r="GN3016" s="73"/>
      <c r="GO3016" s="73"/>
      <c r="GP3016" s="73"/>
      <c r="GQ3016" s="73"/>
      <c r="GR3016" s="73"/>
      <c r="GS3016" s="73"/>
      <c r="GT3016" s="73"/>
      <c r="GU3016" s="73"/>
      <c r="GV3016" s="73"/>
      <c r="GW3016" s="73"/>
      <c r="GX3016" s="73"/>
      <c r="GY3016" s="73"/>
      <c r="GZ3016" s="73"/>
      <c r="HA3016" s="73"/>
      <c r="HB3016" s="73"/>
      <c r="HC3016" s="73"/>
      <c r="HD3016" s="73"/>
      <c r="HE3016" s="73"/>
      <c r="HF3016" s="73"/>
      <c r="HG3016" s="73"/>
      <c r="HH3016" s="73"/>
      <c r="HI3016" s="73"/>
      <c r="HJ3016" s="73"/>
      <c r="HK3016" s="73"/>
      <c r="HL3016" s="73"/>
      <c r="HM3016" s="73"/>
      <c r="HN3016" s="73"/>
      <c r="HO3016" s="73"/>
      <c r="HP3016" s="73"/>
      <c r="HQ3016" s="73"/>
      <c r="HR3016" s="73"/>
      <c r="HS3016" s="73"/>
      <c r="HT3016" s="73"/>
      <c r="HU3016" s="73"/>
      <c r="HV3016" s="73"/>
      <c r="HW3016" s="73"/>
      <c r="HX3016" s="73"/>
      <c r="HY3016" s="73"/>
      <c r="HZ3016" s="73"/>
      <c r="IA3016" s="73"/>
      <c r="IB3016" s="73"/>
      <c r="IC3016" s="73"/>
      <c r="ID3016" s="73"/>
      <c r="IE3016" s="73"/>
      <c r="IF3016" s="73"/>
      <c r="IG3016" s="73"/>
      <c r="IH3016" s="73"/>
      <c r="II3016" s="73"/>
      <c r="IJ3016" s="73"/>
      <c r="IK3016" s="73"/>
      <c r="IL3016" s="73"/>
      <c r="IM3016" s="73"/>
      <c r="IN3016" s="73"/>
      <c r="IO3016" s="73"/>
      <c r="IP3016" s="73"/>
      <c r="IQ3016" s="73"/>
      <c r="IR3016" s="73"/>
      <c r="IS3016" s="73"/>
      <c r="IT3016" s="73"/>
      <c r="IU3016" s="73"/>
      <c r="IV3016" s="73"/>
      <c r="IW3016" s="73"/>
      <c r="IX3016" s="73"/>
      <c r="IY3016" s="73"/>
      <c r="IZ3016" s="73"/>
      <c r="JA3016" s="73"/>
      <c r="JB3016" s="73"/>
      <c r="JC3016" s="73"/>
    </row>
    <row r="3017" spans="2:263" s="72" customFormat="1">
      <c r="B3017" s="73"/>
      <c r="C3017" s="73"/>
      <c r="D3017" s="73"/>
      <c r="E3017" s="73"/>
      <c r="F3017" s="73"/>
      <c r="G3017" s="73"/>
      <c r="H3017" s="73"/>
      <c r="I3017" s="73"/>
      <c r="J3017" s="73"/>
      <c r="K3017" s="73"/>
      <c r="L3017" s="73"/>
      <c r="M3017" s="73"/>
      <c r="N3017" s="73"/>
      <c r="O3017" s="73"/>
      <c r="P3017" s="73"/>
      <c r="Q3017" s="73"/>
      <c r="R3017" s="73"/>
      <c r="S3017" s="73"/>
      <c r="T3017" s="73"/>
      <c r="U3017" s="73"/>
      <c r="V3017" s="73"/>
      <c r="W3017" s="73"/>
      <c r="GL3017" s="73"/>
      <c r="GM3017" s="73"/>
      <c r="GN3017" s="73"/>
      <c r="GO3017" s="73"/>
      <c r="GP3017" s="73"/>
      <c r="GQ3017" s="73"/>
      <c r="GR3017" s="73"/>
      <c r="GS3017" s="73"/>
      <c r="GT3017" s="73"/>
      <c r="GU3017" s="73"/>
      <c r="GV3017" s="73"/>
      <c r="GW3017" s="73"/>
      <c r="GX3017" s="73"/>
      <c r="GY3017" s="73"/>
      <c r="GZ3017" s="73"/>
      <c r="HA3017" s="73"/>
      <c r="HB3017" s="73"/>
      <c r="HC3017" s="73"/>
      <c r="HD3017" s="73"/>
      <c r="HE3017" s="73"/>
      <c r="HF3017" s="73"/>
      <c r="HG3017" s="73"/>
      <c r="HH3017" s="73"/>
      <c r="HI3017" s="73"/>
      <c r="HJ3017" s="73"/>
      <c r="HK3017" s="73"/>
      <c r="HL3017" s="73"/>
      <c r="HM3017" s="73"/>
      <c r="HN3017" s="73"/>
      <c r="HO3017" s="73"/>
      <c r="HP3017" s="73"/>
      <c r="HQ3017" s="73"/>
      <c r="HR3017" s="73"/>
      <c r="HS3017" s="73"/>
      <c r="HT3017" s="73"/>
      <c r="HU3017" s="73"/>
      <c r="HV3017" s="73"/>
      <c r="HW3017" s="73"/>
      <c r="HX3017" s="73"/>
      <c r="HY3017" s="73"/>
      <c r="HZ3017" s="73"/>
      <c r="IA3017" s="73"/>
      <c r="IB3017" s="73"/>
      <c r="IC3017" s="73"/>
      <c r="ID3017" s="73"/>
      <c r="IE3017" s="73"/>
      <c r="IF3017" s="73"/>
      <c r="IG3017" s="73"/>
      <c r="IH3017" s="73"/>
      <c r="II3017" s="73"/>
      <c r="IJ3017" s="73"/>
      <c r="IK3017" s="73"/>
      <c r="IL3017" s="73"/>
      <c r="IM3017" s="73"/>
      <c r="IN3017" s="73"/>
      <c r="IO3017" s="73"/>
      <c r="IP3017" s="73"/>
      <c r="IQ3017" s="73"/>
      <c r="IR3017" s="73"/>
      <c r="IS3017" s="73"/>
      <c r="IT3017" s="73"/>
      <c r="IU3017" s="73"/>
      <c r="IV3017" s="73"/>
      <c r="IW3017" s="73"/>
      <c r="IX3017" s="73"/>
      <c r="IY3017" s="73"/>
      <c r="IZ3017" s="73"/>
      <c r="JA3017" s="73"/>
      <c r="JB3017" s="73"/>
      <c r="JC3017" s="73"/>
    </row>
    <row r="3018" spans="2:263" s="72" customFormat="1">
      <c r="B3018" s="73"/>
      <c r="C3018" s="73"/>
      <c r="D3018" s="73"/>
      <c r="E3018" s="73"/>
      <c r="F3018" s="73"/>
      <c r="G3018" s="73"/>
      <c r="H3018" s="73"/>
      <c r="I3018" s="73"/>
      <c r="J3018" s="73"/>
      <c r="K3018" s="73"/>
      <c r="L3018" s="73"/>
      <c r="M3018" s="73"/>
      <c r="N3018" s="73"/>
      <c r="O3018" s="73"/>
      <c r="P3018" s="73"/>
      <c r="Q3018" s="73"/>
      <c r="R3018" s="73"/>
      <c r="S3018" s="73"/>
      <c r="T3018" s="73"/>
      <c r="U3018" s="73"/>
      <c r="V3018" s="73"/>
      <c r="W3018" s="73"/>
      <c r="GL3018" s="73"/>
      <c r="GM3018" s="73"/>
      <c r="GN3018" s="73"/>
      <c r="GO3018" s="73"/>
      <c r="GP3018" s="73"/>
      <c r="GQ3018" s="73"/>
      <c r="GR3018" s="73"/>
      <c r="GS3018" s="73"/>
      <c r="GT3018" s="73"/>
      <c r="GU3018" s="73"/>
      <c r="GV3018" s="73"/>
      <c r="GW3018" s="73"/>
      <c r="GX3018" s="73"/>
      <c r="GY3018" s="73"/>
      <c r="GZ3018" s="73"/>
      <c r="HA3018" s="73"/>
      <c r="HB3018" s="73"/>
      <c r="HC3018" s="73"/>
      <c r="HD3018" s="73"/>
      <c r="HE3018" s="73"/>
      <c r="HF3018" s="73"/>
      <c r="HG3018" s="73"/>
      <c r="HH3018" s="73"/>
      <c r="HI3018" s="73"/>
      <c r="HJ3018" s="73"/>
      <c r="HK3018" s="73"/>
      <c r="HL3018" s="73"/>
      <c r="HM3018" s="73"/>
      <c r="HN3018" s="73"/>
      <c r="HO3018" s="73"/>
      <c r="HP3018" s="73"/>
      <c r="HQ3018" s="73"/>
      <c r="HR3018" s="73"/>
      <c r="HS3018" s="73"/>
      <c r="HT3018" s="73"/>
      <c r="HU3018" s="73"/>
      <c r="HV3018" s="73"/>
      <c r="HW3018" s="73"/>
      <c r="HX3018" s="73"/>
      <c r="HY3018" s="73"/>
      <c r="HZ3018" s="73"/>
      <c r="IA3018" s="73"/>
      <c r="IB3018" s="73"/>
      <c r="IC3018" s="73"/>
      <c r="ID3018" s="73"/>
      <c r="IE3018" s="73"/>
      <c r="IF3018" s="73"/>
      <c r="IG3018" s="73"/>
      <c r="IH3018" s="73"/>
      <c r="II3018" s="73"/>
      <c r="IJ3018" s="73"/>
      <c r="IK3018" s="73"/>
      <c r="IL3018" s="73"/>
      <c r="IM3018" s="73"/>
      <c r="IN3018" s="73"/>
      <c r="IO3018" s="73"/>
      <c r="IP3018" s="73"/>
      <c r="IQ3018" s="73"/>
      <c r="IR3018" s="73"/>
      <c r="IS3018" s="73"/>
      <c r="IT3018" s="73"/>
      <c r="IU3018" s="73"/>
      <c r="IV3018" s="73"/>
      <c r="IW3018" s="73"/>
      <c r="IX3018" s="73"/>
      <c r="IY3018" s="73"/>
      <c r="IZ3018" s="73"/>
      <c r="JA3018" s="73"/>
      <c r="JB3018" s="73"/>
      <c r="JC3018" s="73"/>
    </row>
    <row r="3019" spans="2:263" s="72" customFormat="1">
      <c r="B3019" s="73"/>
      <c r="C3019" s="73"/>
      <c r="D3019" s="73"/>
      <c r="E3019" s="73"/>
      <c r="F3019" s="73"/>
      <c r="G3019" s="73"/>
      <c r="H3019" s="73"/>
      <c r="I3019" s="73"/>
      <c r="J3019" s="73"/>
      <c r="K3019" s="73"/>
      <c r="L3019" s="73"/>
      <c r="M3019" s="73"/>
      <c r="N3019" s="73"/>
      <c r="O3019" s="73"/>
      <c r="P3019" s="73"/>
      <c r="Q3019" s="73"/>
      <c r="R3019" s="73"/>
      <c r="S3019" s="73"/>
      <c r="T3019" s="73"/>
      <c r="U3019" s="73"/>
      <c r="V3019" s="73"/>
      <c r="W3019" s="73"/>
      <c r="GL3019" s="73"/>
      <c r="GM3019" s="73"/>
      <c r="GN3019" s="73"/>
      <c r="GO3019" s="73"/>
      <c r="GP3019" s="73"/>
      <c r="GQ3019" s="73"/>
      <c r="GR3019" s="73"/>
      <c r="GS3019" s="73"/>
      <c r="GT3019" s="73"/>
      <c r="GU3019" s="73"/>
      <c r="GV3019" s="73"/>
      <c r="GW3019" s="73"/>
      <c r="GX3019" s="73"/>
      <c r="GY3019" s="73"/>
      <c r="GZ3019" s="73"/>
      <c r="HA3019" s="73"/>
      <c r="HB3019" s="73"/>
      <c r="HC3019" s="73"/>
      <c r="HD3019" s="73"/>
      <c r="HE3019" s="73"/>
      <c r="HF3019" s="73"/>
      <c r="HG3019" s="73"/>
      <c r="HH3019" s="73"/>
      <c r="HI3019" s="73"/>
      <c r="HJ3019" s="73"/>
      <c r="HK3019" s="73"/>
      <c r="HL3019" s="73"/>
      <c r="HM3019" s="73"/>
      <c r="HN3019" s="73"/>
      <c r="HO3019" s="73"/>
      <c r="HP3019" s="73"/>
      <c r="HQ3019" s="73"/>
      <c r="HR3019" s="73"/>
      <c r="HS3019" s="73"/>
      <c r="HT3019" s="73"/>
      <c r="HU3019" s="73"/>
      <c r="HV3019" s="73"/>
      <c r="HW3019" s="73"/>
      <c r="HX3019" s="73"/>
      <c r="HY3019" s="73"/>
      <c r="HZ3019" s="73"/>
      <c r="IA3019" s="73"/>
      <c r="IB3019" s="73"/>
      <c r="IC3019" s="73"/>
      <c r="ID3019" s="73"/>
      <c r="IE3019" s="73"/>
      <c r="IF3019" s="73"/>
      <c r="IG3019" s="73"/>
      <c r="IH3019" s="73"/>
      <c r="II3019" s="73"/>
      <c r="IJ3019" s="73"/>
      <c r="IK3019" s="73"/>
      <c r="IL3019" s="73"/>
      <c r="IM3019" s="73"/>
      <c r="IN3019" s="73"/>
      <c r="IO3019" s="73"/>
      <c r="IP3019" s="73"/>
      <c r="IQ3019" s="73"/>
      <c r="IR3019" s="73"/>
      <c r="IS3019" s="73"/>
      <c r="IT3019" s="73"/>
      <c r="IU3019" s="73"/>
      <c r="IV3019" s="73"/>
      <c r="IW3019" s="73"/>
      <c r="IX3019" s="73"/>
      <c r="IY3019" s="73"/>
      <c r="IZ3019" s="73"/>
      <c r="JA3019" s="73"/>
      <c r="JB3019" s="73"/>
      <c r="JC3019" s="73"/>
    </row>
    <row r="3020" spans="2:263" s="72" customFormat="1">
      <c r="B3020" s="73"/>
      <c r="C3020" s="73"/>
      <c r="D3020" s="73"/>
      <c r="E3020" s="73"/>
      <c r="F3020" s="73"/>
      <c r="G3020" s="73"/>
      <c r="H3020" s="73"/>
      <c r="I3020" s="73"/>
      <c r="J3020" s="73"/>
      <c r="K3020" s="73"/>
      <c r="L3020" s="73"/>
      <c r="M3020" s="73"/>
      <c r="N3020" s="73"/>
      <c r="O3020" s="73"/>
      <c r="P3020" s="73"/>
      <c r="Q3020" s="73"/>
      <c r="R3020" s="73"/>
      <c r="S3020" s="73"/>
      <c r="T3020" s="73"/>
      <c r="U3020" s="73"/>
      <c r="V3020" s="73"/>
      <c r="W3020" s="73"/>
      <c r="GL3020" s="73"/>
      <c r="GM3020" s="73"/>
      <c r="GN3020" s="73"/>
      <c r="GO3020" s="73"/>
      <c r="GP3020" s="73"/>
      <c r="GQ3020" s="73"/>
      <c r="GR3020" s="73"/>
      <c r="GS3020" s="73"/>
      <c r="GT3020" s="73"/>
      <c r="GU3020" s="73"/>
      <c r="GV3020" s="73"/>
      <c r="GW3020" s="73"/>
      <c r="GX3020" s="73"/>
      <c r="GY3020" s="73"/>
      <c r="GZ3020" s="73"/>
      <c r="HA3020" s="73"/>
      <c r="HB3020" s="73"/>
      <c r="HC3020" s="73"/>
      <c r="HD3020" s="73"/>
      <c r="HE3020" s="73"/>
      <c r="HF3020" s="73"/>
      <c r="HG3020" s="73"/>
      <c r="HH3020" s="73"/>
      <c r="HI3020" s="73"/>
      <c r="HJ3020" s="73"/>
      <c r="HK3020" s="73"/>
      <c r="HL3020" s="73"/>
      <c r="HM3020" s="73"/>
      <c r="HN3020" s="73"/>
      <c r="HO3020" s="73"/>
      <c r="HP3020" s="73"/>
      <c r="HQ3020" s="73"/>
      <c r="HR3020" s="73"/>
      <c r="HS3020" s="73"/>
      <c r="HT3020" s="73"/>
      <c r="HU3020" s="73"/>
      <c r="HV3020" s="73"/>
      <c r="HW3020" s="73"/>
      <c r="HX3020" s="73"/>
      <c r="HY3020" s="73"/>
      <c r="HZ3020" s="73"/>
      <c r="IA3020" s="73"/>
      <c r="IB3020" s="73"/>
      <c r="IC3020" s="73"/>
      <c r="ID3020" s="73"/>
      <c r="IE3020" s="73"/>
      <c r="IF3020" s="73"/>
      <c r="IG3020" s="73"/>
      <c r="IH3020" s="73"/>
      <c r="II3020" s="73"/>
      <c r="IJ3020" s="73"/>
      <c r="IK3020" s="73"/>
      <c r="IL3020" s="73"/>
      <c r="IM3020" s="73"/>
      <c r="IN3020" s="73"/>
      <c r="IO3020" s="73"/>
      <c r="IP3020" s="73"/>
      <c r="IQ3020" s="73"/>
      <c r="IR3020" s="73"/>
      <c r="IS3020" s="73"/>
      <c r="IT3020" s="73"/>
      <c r="IU3020" s="73"/>
      <c r="IV3020" s="73"/>
      <c r="IW3020" s="73"/>
      <c r="IX3020" s="73"/>
      <c r="IY3020" s="73"/>
      <c r="IZ3020" s="73"/>
      <c r="JA3020" s="73"/>
      <c r="JB3020" s="73"/>
      <c r="JC3020" s="73"/>
    </row>
    <row r="3021" spans="2:263" s="72" customFormat="1">
      <c r="B3021" s="73"/>
      <c r="C3021" s="73"/>
      <c r="D3021" s="73"/>
      <c r="E3021" s="73"/>
      <c r="F3021" s="73"/>
      <c r="G3021" s="73"/>
      <c r="H3021" s="73"/>
      <c r="I3021" s="73"/>
      <c r="J3021" s="73"/>
      <c r="K3021" s="73"/>
      <c r="L3021" s="73"/>
      <c r="M3021" s="73"/>
      <c r="N3021" s="73"/>
      <c r="O3021" s="73"/>
      <c r="P3021" s="73"/>
      <c r="Q3021" s="73"/>
      <c r="R3021" s="73"/>
      <c r="S3021" s="73"/>
      <c r="T3021" s="73"/>
      <c r="U3021" s="73"/>
      <c r="V3021" s="73"/>
      <c r="W3021" s="73"/>
      <c r="GL3021" s="73"/>
      <c r="GM3021" s="73"/>
      <c r="GN3021" s="73"/>
      <c r="GO3021" s="73"/>
      <c r="GP3021" s="73"/>
      <c r="GQ3021" s="73"/>
      <c r="GR3021" s="73"/>
      <c r="GS3021" s="73"/>
      <c r="GT3021" s="73"/>
      <c r="GU3021" s="73"/>
      <c r="GV3021" s="73"/>
      <c r="GW3021" s="73"/>
      <c r="GX3021" s="73"/>
      <c r="GY3021" s="73"/>
      <c r="GZ3021" s="73"/>
      <c r="HA3021" s="73"/>
      <c r="HB3021" s="73"/>
      <c r="HC3021" s="73"/>
      <c r="HD3021" s="73"/>
      <c r="HE3021" s="73"/>
      <c r="HF3021" s="73"/>
      <c r="HG3021" s="73"/>
      <c r="HH3021" s="73"/>
      <c r="HI3021" s="73"/>
      <c r="HJ3021" s="73"/>
      <c r="HK3021" s="73"/>
      <c r="HL3021" s="73"/>
      <c r="HM3021" s="73"/>
      <c r="HN3021" s="73"/>
      <c r="HO3021" s="73"/>
      <c r="HP3021" s="73"/>
      <c r="HQ3021" s="73"/>
      <c r="HR3021" s="73"/>
      <c r="HS3021" s="73"/>
      <c r="HT3021" s="73"/>
      <c r="HU3021" s="73"/>
      <c r="HV3021" s="73"/>
      <c r="HW3021" s="73"/>
      <c r="HX3021" s="73"/>
      <c r="HY3021" s="73"/>
      <c r="HZ3021" s="73"/>
      <c r="IA3021" s="73"/>
      <c r="IB3021" s="73"/>
      <c r="IC3021" s="73"/>
      <c r="ID3021" s="73"/>
      <c r="IE3021" s="73"/>
      <c r="IF3021" s="73"/>
      <c r="IG3021" s="73"/>
      <c r="IH3021" s="73"/>
      <c r="II3021" s="73"/>
      <c r="IJ3021" s="73"/>
      <c r="IK3021" s="73"/>
      <c r="IL3021" s="73"/>
      <c r="IM3021" s="73"/>
      <c r="IN3021" s="73"/>
      <c r="IO3021" s="73"/>
      <c r="IP3021" s="73"/>
      <c r="IQ3021" s="73"/>
      <c r="IR3021" s="73"/>
      <c r="IS3021" s="73"/>
      <c r="IT3021" s="73"/>
      <c r="IU3021" s="73"/>
      <c r="IV3021" s="73"/>
      <c r="IW3021" s="73"/>
      <c r="IX3021" s="73"/>
      <c r="IY3021" s="73"/>
      <c r="IZ3021" s="73"/>
      <c r="JA3021" s="73"/>
      <c r="JB3021" s="73"/>
      <c r="JC3021" s="73"/>
    </row>
    <row r="3022" spans="2:263" s="72" customFormat="1">
      <c r="B3022" s="73"/>
      <c r="C3022" s="73"/>
      <c r="D3022" s="73"/>
      <c r="E3022" s="73"/>
      <c r="F3022" s="73"/>
      <c r="G3022" s="73"/>
      <c r="H3022" s="73"/>
      <c r="I3022" s="73"/>
      <c r="J3022" s="73"/>
      <c r="K3022" s="73"/>
      <c r="L3022" s="73"/>
      <c r="M3022" s="73"/>
      <c r="N3022" s="73"/>
      <c r="O3022" s="73"/>
      <c r="P3022" s="73"/>
      <c r="Q3022" s="73"/>
      <c r="R3022" s="73"/>
      <c r="S3022" s="73"/>
      <c r="T3022" s="73"/>
      <c r="U3022" s="73"/>
      <c r="V3022" s="73"/>
      <c r="W3022" s="73"/>
      <c r="GL3022" s="73"/>
      <c r="GM3022" s="73"/>
      <c r="GN3022" s="73"/>
      <c r="GO3022" s="73"/>
      <c r="GP3022" s="73"/>
      <c r="GQ3022" s="73"/>
      <c r="GR3022" s="73"/>
      <c r="GS3022" s="73"/>
      <c r="GT3022" s="73"/>
      <c r="GU3022" s="73"/>
      <c r="GV3022" s="73"/>
      <c r="GW3022" s="73"/>
      <c r="GX3022" s="73"/>
      <c r="GY3022" s="73"/>
      <c r="GZ3022" s="73"/>
      <c r="HA3022" s="73"/>
      <c r="HB3022" s="73"/>
      <c r="HC3022" s="73"/>
      <c r="HD3022" s="73"/>
      <c r="HE3022" s="73"/>
      <c r="HF3022" s="73"/>
      <c r="HG3022" s="73"/>
      <c r="HH3022" s="73"/>
      <c r="HI3022" s="73"/>
      <c r="HJ3022" s="73"/>
      <c r="HK3022" s="73"/>
      <c r="HL3022" s="73"/>
      <c r="HM3022" s="73"/>
      <c r="HN3022" s="73"/>
      <c r="HO3022" s="73"/>
      <c r="HP3022" s="73"/>
      <c r="HQ3022" s="73"/>
      <c r="HR3022" s="73"/>
      <c r="HS3022" s="73"/>
      <c r="HT3022" s="73"/>
      <c r="HU3022" s="73"/>
      <c r="HV3022" s="73"/>
      <c r="HW3022" s="73"/>
      <c r="HX3022" s="73"/>
      <c r="HY3022" s="73"/>
      <c r="HZ3022" s="73"/>
      <c r="IA3022" s="73"/>
      <c r="IB3022" s="73"/>
      <c r="IC3022" s="73"/>
      <c r="ID3022" s="73"/>
      <c r="IE3022" s="73"/>
      <c r="IF3022" s="73"/>
      <c r="IG3022" s="73"/>
      <c r="IH3022" s="73"/>
      <c r="II3022" s="73"/>
      <c r="IJ3022" s="73"/>
      <c r="IK3022" s="73"/>
      <c r="IL3022" s="73"/>
      <c r="IM3022" s="73"/>
      <c r="IN3022" s="73"/>
      <c r="IO3022" s="73"/>
      <c r="IP3022" s="73"/>
      <c r="IQ3022" s="73"/>
      <c r="IR3022" s="73"/>
      <c r="IS3022" s="73"/>
      <c r="IT3022" s="73"/>
      <c r="IU3022" s="73"/>
      <c r="IV3022" s="73"/>
      <c r="IW3022" s="73"/>
      <c r="IX3022" s="73"/>
      <c r="IY3022" s="73"/>
      <c r="IZ3022" s="73"/>
      <c r="JA3022" s="73"/>
      <c r="JB3022" s="73"/>
      <c r="JC3022" s="73"/>
    </row>
    <row r="3023" spans="2:263" s="72" customFormat="1">
      <c r="B3023" s="73"/>
      <c r="C3023" s="73"/>
      <c r="D3023" s="73"/>
      <c r="E3023" s="73"/>
      <c r="F3023" s="73"/>
      <c r="G3023" s="73"/>
      <c r="H3023" s="73"/>
      <c r="I3023" s="73"/>
      <c r="J3023" s="73"/>
      <c r="K3023" s="73"/>
      <c r="L3023" s="73"/>
      <c r="M3023" s="73"/>
      <c r="N3023" s="73"/>
      <c r="O3023" s="73"/>
      <c r="P3023" s="73"/>
      <c r="Q3023" s="73"/>
      <c r="R3023" s="73"/>
      <c r="S3023" s="73"/>
      <c r="T3023" s="73"/>
      <c r="U3023" s="73"/>
      <c r="V3023" s="73"/>
      <c r="W3023" s="73"/>
      <c r="GL3023" s="73"/>
      <c r="GM3023" s="73"/>
      <c r="GN3023" s="73"/>
      <c r="GO3023" s="73"/>
      <c r="GP3023" s="73"/>
      <c r="GQ3023" s="73"/>
      <c r="GR3023" s="73"/>
      <c r="GS3023" s="73"/>
      <c r="GT3023" s="73"/>
      <c r="GU3023" s="73"/>
      <c r="GV3023" s="73"/>
      <c r="GW3023" s="73"/>
      <c r="GX3023" s="73"/>
      <c r="GY3023" s="73"/>
      <c r="GZ3023" s="73"/>
      <c r="HA3023" s="73"/>
      <c r="HB3023" s="73"/>
      <c r="HC3023" s="73"/>
      <c r="HD3023" s="73"/>
      <c r="HE3023" s="73"/>
      <c r="HF3023" s="73"/>
      <c r="HG3023" s="73"/>
      <c r="HH3023" s="73"/>
      <c r="HI3023" s="73"/>
      <c r="HJ3023" s="73"/>
      <c r="HK3023" s="73"/>
      <c r="HL3023" s="73"/>
      <c r="HM3023" s="73"/>
      <c r="HN3023" s="73"/>
      <c r="HO3023" s="73"/>
      <c r="HP3023" s="73"/>
      <c r="HQ3023" s="73"/>
      <c r="HR3023" s="73"/>
      <c r="HS3023" s="73"/>
      <c r="HT3023" s="73"/>
      <c r="HU3023" s="73"/>
      <c r="HV3023" s="73"/>
      <c r="HW3023" s="73"/>
      <c r="HX3023" s="73"/>
      <c r="HY3023" s="73"/>
      <c r="HZ3023" s="73"/>
      <c r="IA3023" s="73"/>
      <c r="IB3023" s="73"/>
      <c r="IC3023" s="73"/>
      <c r="ID3023" s="73"/>
      <c r="IE3023" s="73"/>
      <c r="IF3023" s="73"/>
      <c r="IG3023" s="73"/>
      <c r="IH3023" s="73"/>
      <c r="II3023" s="73"/>
      <c r="IJ3023" s="73"/>
      <c r="IK3023" s="73"/>
      <c r="IL3023" s="73"/>
      <c r="IM3023" s="73"/>
      <c r="IN3023" s="73"/>
      <c r="IO3023" s="73"/>
      <c r="IP3023" s="73"/>
      <c r="IQ3023" s="73"/>
      <c r="IR3023" s="73"/>
      <c r="IS3023" s="73"/>
      <c r="IT3023" s="73"/>
      <c r="IU3023" s="73"/>
      <c r="IV3023" s="73"/>
      <c r="IW3023" s="73"/>
      <c r="IX3023" s="73"/>
      <c r="IY3023" s="73"/>
      <c r="IZ3023" s="73"/>
      <c r="JA3023" s="73"/>
      <c r="JB3023" s="73"/>
      <c r="JC3023" s="73"/>
    </row>
    <row r="3024" spans="2:263" s="72" customFormat="1">
      <c r="B3024" s="73"/>
      <c r="C3024" s="73"/>
      <c r="D3024" s="73"/>
      <c r="E3024" s="73"/>
      <c r="F3024" s="73"/>
      <c r="G3024" s="73"/>
      <c r="H3024" s="73"/>
      <c r="I3024" s="73"/>
      <c r="J3024" s="73"/>
      <c r="K3024" s="73"/>
      <c r="L3024" s="73"/>
      <c r="M3024" s="73"/>
      <c r="N3024" s="73"/>
      <c r="O3024" s="73"/>
      <c r="P3024" s="73"/>
      <c r="Q3024" s="73"/>
      <c r="R3024" s="73"/>
      <c r="S3024" s="73"/>
      <c r="T3024" s="73"/>
      <c r="U3024" s="73"/>
      <c r="V3024" s="73"/>
      <c r="W3024" s="73"/>
      <c r="GL3024" s="73"/>
      <c r="GM3024" s="73"/>
      <c r="GN3024" s="73"/>
      <c r="GO3024" s="73"/>
      <c r="GP3024" s="73"/>
      <c r="GQ3024" s="73"/>
      <c r="GR3024" s="73"/>
      <c r="GS3024" s="73"/>
      <c r="GT3024" s="73"/>
      <c r="GU3024" s="73"/>
      <c r="GV3024" s="73"/>
      <c r="GW3024" s="73"/>
      <c r="GX3024" s="73"/>
      <c r="GY3024" s="73"/>
      <c r="GZ3024" s="73"/>
      <c r="HA3024" s="73"/>
      <c r="HB3024" s="73"/>
      <c r="HC3024" s="73"/>
      <c r="HD3024" s="73"/>
      <c r="HE3024" s="73"/>
      <c r="HF3024" s="73"/>
      <c r="HG3024" s="73"/>
      <c r="HH3024" s="73"/>
      <c r="HI3024" s="73"/>
      <c r="HJ3024" s="73"/>
      <c r="HK3024" s="73"/>
      <c r="HL3024" s="73"/>
      <c r="HM3024" s="73"/>
      <c r="HN3024" s="73"/>
      <c r="HO3024" s="73"/>
      <c r="HP3024" s="73"/>
      <c r="HQ3024" s="73"/>
      <c r="HR3024" s="73"/>
      <c r="HS3024" s="73"/>
      <c r="HT3024" s="73"/>
      <c r="HU3024" s="73"/>
      <c r="HV3024" s="73"/>
      <c r="HW3024" s="73"/>
      <c r="HX3024" s="73"/>
      <c r="HY3024" s="73"/>
      <c r="HZ3024" s="73"/>
      <c r="IA3024" s="73"/>
      <c r="IB3024" s="73"/>
      <c r="IC3024" s="73"/>
      <c r="ID3024" s="73"/>
      <c r="IE3024" s="73"/>
      <c r="IF3024" s="73"/>
      <c r="IG3024" s="73"/>
      <c r="IH3024" s="73"/>
      <c r="II3024" s="73"/>
      <c r="IJ3024" s="73"/>
      <c r="IK3024" s="73"/>
      <c r="IL3024" s="73"/>
      <c r="IM3024" s="73"/>
      <c r="IN3024" s="73"/>
      <c r="IO3024" s="73"/>
      <c r="IP3024" s="73"/>
      <c r="IQ3024" s="73"/>
      <c r="IR3024" s="73"/>
      <c r="IS3024" s="73"/>
      <c r="IT3024" s="73"/>
      <c r="IU3024" s="73"/>
      <c r="IV3024" s="73"/>
      <c r="IW3024" s="73"/>
      <c r="IX3024" s="73"/>
      <c r="IY3024" s="73"/>
      <c r="IZ3024" s="73"/>
      <c r="JA3024" s="73"/>
      <c r="JB3024" s="73"/>
      <c r="JC3024" s="73"/>
    </row>
    <row r="3025" spans="2:263" s="72" customFormat="1">
      <c r="B3025" s="73"/>
      <c r="C3025" s="73"/>
      <c r="D3025" s="73"/>
      <c r="E3025" s="73"/>
      <c r="F3025" s="73"/>
      <c r="G3025" s="73"/>
      <c r="H3025" s="73"/>
      <c r="I3025" s="73"/>
      <c r="J3025" s="73"/>
      <c r="K3025" s="73"/>
      <c r="L3025" s="73"/>
      <c r="M3025" s="73"/>
      <c r="N3025" s="73"/>
      <c r="O3025" s="73"/>
      <c r="P3025" s="73"/>
      <c r="Q3025" s="73"/>
      <c r="R3025" s="73"/>
      <c r="S3025" s="73"/>
      <c r="T3025" s="73"/>
      <c r="U3025" s="73"/>
      <c r="V3025" s="73"/>
      <c r="W3025" s="73"/>
      <c r="GL3025" s="73"/>
      <c r="GM3025" s="73"/>
      <c r="GN3025" s="73"/>
      <c r="GO3025" s="73"/>
      <c r="GP3025" s="73"/>
      <c r="GQ3025" s="73"/>
      <c r="GR3025" s="73"/>
      <c r="GS3025" s="73"/>
      <c r="GT3025" s="73"/>
      <c r="GU3025" s="73"/>
      <c r="GV3025" s="73"/>
      <c r="GW3025" s="73"/>
      <c r="GX3025" s="73"/>
      <c r="GY3025" s="73"/>
      <c r="GZ3025" s="73"/>
      <c r="HA3025" s="73"/>
      <c r="HB3025" s="73"/>
      <c r="HC3025" s="73"/>
      <c r="HD3025" s="73"/>
      <c r="HE3025" s="73"/>
      <c r="HF3025" s="73"/>
      <c r="HG3025" s="73"/>
      <c r="HH3025" s="73"/>
      <c r="HI3025" s="73"/>
      <c r="HJ3025" s="73"/>
      <c r="HK3025" s="73"/>
      <c r="HL3025" s="73"/>
      <c r="HM3025" s="73"/>
      <c r="HN3025" s="73"/>
      <c r="HO3025" s="73"/>
      <c r="HP3025" s="73"/>
      <c r="HQ3025" s="73"/>
      <c r="HR3025" s="73"/>
      <c r="HS3025" s="73"/>
      <c r="HT3025" s="73"/>
      <c r="HU3025" s="73"/>
      <c r="HV3025" s="73"/>
      <c r="HW3025" s="73"/>
      <c r="HX3025" s="73"/>
      <c r="HY3025" s="73"/>
      <c r="HZ3025" s="73"/>
      <c r="IA3025" s="73"/>
      <c r="IB3025" s="73"/>
      <c r="IC3025" s="73"/>
      <c r="ID3025" s="73"/>
      <c r="IE3025" s="73"/>
      <c r="IF3025" s="73"/>
      <c r="IG3025" s="73"/>
      <c r="IH3025" s="73"/>
      <c r="II3025" s="73"/>
      <c r="IJ3025" s="73"/>
      <c r="IK3025" s="73"/>
      <c r="IL3025" s="73"/>
      <c r="IM3025" s="73"/>
      <c r="IN3025" s="73"/>
      <c r="IO3025" s="73"/>
      <c r="IP3025" s="73"/>
      <c r="IQ3025" s="73"/>
      <c r="IR3025" s="73"/>
      <c r="IS3025" s="73"/>
      <c r="IT3025" s="73"/>
      <c r="IU3025" s="73"/>
      <c r="IV3025" s="73"/>
      <c r="IW3025" s="73"/>
      <c r="IX3025" s="73"/>
      <c r="IY3025" s="73"/>
      <c r="IZ3025" s="73"/>
      <c r="JA3025" s="73"/>
      <c r="JB3025" s="73"/>
      <c r="JC3025" s="73"/>
    </row>
    <row r="3026" spans="2:263" s="72" customFormat="1">
      <c r="B3026" s="73"/>
      <c r="C3026" s="73"/>
      <c r="D3026" s="73"/>
      <c r="E3026" s="73"/>
      <c r="F3026" s="73"/>
      <c r="G3026" s="73"/>
      <c r="H3026" s="73"/>
      <c r="I3026" s="73"/>
      <c r="J3026" s="73"/>
      <c r="K3026" s="73"/>
      <c r="L3026" s="73"/>
      <c r="M3026" s="73"/>
      <c r="N3026" s="73"/>
      <c r="O3026" s="73"/>
      <c r="P3026" s="73"/>
      <c r="Q3026" s="73"/>
      <c r="R3026" s="73"/>
      <c r="S3026" s="73"/>
      <c r="T3026" s="73"/>
      <c r="U3026" s="73"/>
      <c r="V3026" s="73"/>
      <c r="W3026" s="73"/>
      <c r="GL3026" s="73"/>
      <c r="GM3026" s="73"/>
      <c r="GN3026" s="73"/>
      <c r="GO3026" s="73"/>
      <c r="GP3026" s="73"/>
      <c r="GQ3026" s="73"/>
      <c r="GR3026" s="73"/>
      <c r="GS3026" s="73"/>
      <c r="GT3026" s="73"/>
      <c r="GU3026" s="73"/>
      <c r="GV3026" s="73"/>
      <c r="GW3026" s="73"/>
      <c r="GX3026" s="73"/>
      <c r="GY3026" s="73"/>
      <c r="GZ3026" s="73"/>
      <c r="HA3026" s="73"/>
      <c r="HB3026" s="73"/>
      <c r="HC3026" s="73"/>
      <c r="HD3026" s="73"/>
      <c r="HE3026" s="73"/>
      <c r="HF3026" s="73"/>
      <c r="HG3026" s="73"/>
      <c r="HH3026" s="73"/>
      <c r="HI3026" s="73"/>
      <c r="HJ3026" s="73"/>
      <c r="HK3026" s="73"/>
      <c r="HL3026" s="73"/>
      <c r="HM3026" s="73"/>
      <c r="HN3026" s="73"/>
      <c r="HO3026" s="73"/>
      <c r="HP3026" s="73"/>
      <c r="HQ3026" s="73"/>
      <c r="HR3026" s="73"/>
      <c r="HS3026" s="73"/>
      <c r="HT3026" s="73"/>
      <c r="HU3026" s="73"/>
      <c r="HV3026" s="73"/>
      <c r="HW3026" s="73"/>
      <c r="HX3026" s="73"/>
      <c r="HY3026" s="73"/>
      <c r="HZ3026" s="73"/>
      <c r="IA3026" s="73"/>
      <c r="IB3026" s="73"/>
      <c r="IC3026" s="73"/>
      <c r="ID3026" s="73"/>
      <c r="IE3026" s="73"/>
      <c r="IF3026" s="73"/>
      <c r="IG3026" s="73"/>
      <c r="IH3026" s="73"/>
      <c r="II3026" s="73"/>
      <c r="IJ3026" s="73"/>
      <c r="IK3026" s="73"/>
      <c r="IL3026" s="73"/>
      <c r="IM3026" s="73"/>
      <c r="IN3026" s="73"/>
      <c r="IO3026" s="73"/>
      <c r="IP3026" s="73"/>
      <c r="IQ3026" s="73"/>
      <c r="IR3026" s="73"/>
      <c r="IS3026" s="73"/>
      <c r="IT3026" s="73"/>
      <c r="IU3026" s="73"/>
      <c r="IV3026" s="73"/>
      <c r="IW3026" s="73"/>
      <c r="IX3026" s="73"/>
      <c r="IY3026" s="73"/>
      <c r="IZ3026" s="73"/>
      <c r="JA3026" s="73"/>
      <c r="JB3026" s="73"/>
      <c r="JC3026" s="73"/>
    </row>
    <row r="3027" spans="2:263" s="72" customFormat="1">
      <c r="B3027" s="73"/>
      <c r="C3027" s="73"/>
      <c r="D3027" s="73"/>
      <c r="E3027" s="73"/>
      <c r="F3027" s="73"/>
      <c r="G3027" s="73"/>
      <c r="H3027" s="73"/>
      <c r="I3027" s="73"/>
      <c r="J3027" s="73"/>
      <c r="K3027" s="73"/>
      <c r="L3027" s="73"/>
      <c r="M3027" s="73"/>
      <c r="N3027" s="73"/>
      <c r="O3027" s="73"/>
      <c r="P3027" s="73"/>
      <c r="Q3027" s="73"/>
      <c r="R3027" s="73"/>
      <c r="S3027" s="73"/>
      <c r="T3027" s="73"/>
      <c r="U3027" s="73"/>
      <c r="V3027" s="73"/>
      <c r="W3027" s="73"/>
      <c r="GL3027" s="73"/>
      <c r="GM3027" s="73"/>
      <c r="GN3027" s="73"/>
      <c r="GO3027" s="73"/>
      <c r="GP3027" s="73"/>
      <c r="GQ3027" s="73"/>
      <c r="GR3027" s="73"/>
      <c r="GS3027" s="73"/>
      <c r="GT3027" s="73"/>
      <c r="GU3027" s="73"/>
      <c r="GV3027" s="73"/>
      <c r="GW3027" s="73"/>
      <c r="GX3027" s="73"/>
      <c r="GY3027" s="73"/>
      <c r="GZ3027" s="73"/>
      <c r="HA3027" s="73"/>
      <c r="HB3027" s="73"/>
      <c r="HC3027" s="73"/>
      <c r="HD3027" s="73"/>
      <c r="HE3027" s="73"/>
      <c r="HF3027" s="73"/>
      <c r="HG3027" s="73"/>
      <c r="HH3027" s="73"/>
      <c r="HI3027" s="73"/>
      <c r="HJ3027" s="73"/>
      <c r="HK3027" s="73"/>
      <c r="HL3027" s="73"/>
      <c r="HM3027" s="73"/>
      <c r="HN3027" s="73"/>
      <c r="HO3027" s="73"/>
      <c r="HP3027" s="73"/>
      <c r="HQ3027" s="73"/>
      <c r="HR3027" s="73"/>
      <c r="HS3027" s="73"/>
      <c r="HT3027" s="73"/>
      <c r="HU3027" s="73"/>
      <c r="HV3027" s="73"/>
      <c r="HW3027" s="73"/>
      <c r="HX3027" s="73"/>
      <c r="HY3027" s="73"/>
      <c r="HZ3027" s="73"/>
      <c r="IA3027" s="73"/>
      <c r="IB3027" s="73"/>
      <c r="IC3027" s="73"/>
      <c r="ID3027" s="73"/>
      <c r="IE3027" s="73"/>
      <c r="IF3027" s="73"/>
      <c r="IG3027" s="73"/>
      <c r="IH3027" s="73"/>
      <c r="II3027" s="73"/>
      <c r="IJ3027" s="73"/>
      <c r="IK3027" s="73"/>
      <c r="IL3027" s="73"/>
      <c r="IM3027" s="73"/>
      <c r="IN3027" s="73"/>
      <c r="IO3027" s="73"/>
      <c r="IP3027" s="73"/>
      <c r="IQ3027" s="73"/>
      <c r="IR3027" s="73"/>
      <c r="IS3027" s="73"/>
      <c r="IT3027" s="73"/>
      <c r="IU3027" s="73"/>
      <c r="IV3027" s="73"/>
      <c r="IW3027" s="73"/>
      <c r="IX3027" s="73"/>
      <c r="IY3027" s="73"/>
      <c r="IZ3027" s="73"/>
      <c r="JA3027" s="73"/>
      <c r="JB3027" s="73"/>
      <c r="JC3027" s="73"/>
    </row>
    <row r="3028" spans="2:263" s="72" customFormat="1">
      <c r="B3028" s="73"/>
      <c r="C3028" s="73"/>
      <c r="D3028" s="73"/>
      <c r="E3028" s="73"/>
      <c r="F3028" s="73"/>
      <c r="G3028" s="73"/>
      <c r="H3028" s="73"/>
      <c r="I3028" s="73"/>
      <c r="J3028" s="73"/>
      <c r="K3028" s="73"/>
      <c r="L3028" s="73"/>
      <c r="M3028" s="73"/>
      <c r="N3028" s="73"/>
      <c r="O3028" s="73"/>
      <c r="P3028" s="73"/>
      <c r="Q3028" s="73"/>
      <c r="R3028" s="73"/>
      <c r="S3028" s="73"/>
      <c r="T3028" s="73"/>
      <c r="U3028" s="73"/>
      <c r="V3028" s="73"/>
      <c r="W3028" s="73"/>
      <c r="GL3028" s="73"/>
      <c r="GM3028" s="73"/>
      <c r="GN3028" s="73"/>
      <c r="GO3028" s="73"/>
      <c r="GP3028" s="73"/>
      <c r="GQ3028" s="73"/>
      <c r="GR3028" s="73"/>
      <c r="GS3028" s="73"/>
      <c r="GT3028" s="73"/>
      <c r="GU3028" s="73"/>
      <c r="GV3028" s="73"/>
      <c r="GW3028" s="73"/>
      <c r="GX3028" s="73"/>
      <c r="GY3028" s="73"/>
      <c r="GZ3028" s="73"/>
      <c r="HA3028" s="73"/>
      <c r="HB3028" s="73"/>
      <c r="HC3028" s="73"/>
      <c r="HD3028" s="73"/>
      <c r="HE3028" s="73"/>
      <c r="HF3028" s="73"/>
      <c r="HG3028" s="73"/>
      <c r="HH3028" s="73"/>
      <c r="HI3028" s="73"/>
      <c r="HJ3028" s="73"/>
      <c r="HK3028" s="73"/>
      <c r="HL3028" s="73"/>
      <c r="HM3028" s="73"/>
      <c r="HN3028" s="73"/>
      <c r="HO3028" s="73"/>
      <c r="HP3028" s="73"/>
      <c r="HQ3028" s="73"/>
      <c r="HR3028" s="73"/>
      <c r="HS3028" s="73"/>
      <c r="HT3028" s="73"/>
      <c r="HU3028" s="73"/>
      <c r="HV3028" s="73"/>
      <c r="HW3028" s="73"/>
      <c r="HX3028" s="73"/>
      <c r="HY3028" s="73"/>
      <c r="HZ3028" s="73"/>
      <c r="IA3028" s="73"/>
      <c r="IB3028" s="73"/>
      <c r="IC3028" s="73"/>
      <c r="ID3028" s="73"/>
      <c r="IE3028" s="73"/>
      <c r="IF3028" s="73"/>
      <c r="IG3028" s="73"/>
      <c r="IH3028" s="73"/>
      <c r="II3028" s="73"/>
      <c r="IJ3028" s="73"/>
      <c r="IK3028" s="73"/>
      <c r="IL3028" s="73"/>
      <c r="IM3028" s="73"/>
      <c r="IN3028" s="73"/>
      <c r="IO3028" s="73"/>
      <c r="IP3028" s="73"/>
      <c r="IQ3028" s="73"/>
      <c r="IR3028" s="73"/>
      <c r="IS3028" s="73"/>
      <c r="IT3028" s="73"/>
      <c r="IU3028" s="73"/>
      <c r="IV3028" s="73"/>
      <c r="IW3028" s="73"/>
      <c r="IX3028" s="73"/>
      <c r="IY3028" s="73"/>
      <c r="IZ3028" s="73"/>
      <c r="JA3028" s="73"/>
      <c r="JB3028" s="73"/>
      <c r="JC3028" s="73"/>
    </row>
    <row r="3029" spans="2:263" s="72" customFormat="1">
      <c r="B3029" s="73"/>
      <c r="C3029" s="73"/>
      <c r="D3029" s="73"/>
      <c r="E3029" s="73"/>
      <c r="F3029" s="73"/>
      <c r="G3029" s="73"/>
      <c r="H3029" s="73"/>
      <c r="I3029" s="73"/>
      <c r="J3029" s="73"/>
      <c r="K3029" s="73"/>
      <c r="L3029" s="73"/>
      <c r="M3029" s="73"/>
      <c r="N3029" s="73"/>
      <c r="O3029" s="73"/>
      <c r="P3029" s="73"/>
      <c r="Q3029" s="73"/>
      <c r="R3029" s="73"/>
      <c r="S3029" s="73"/>
      <c r="T3029" s="73"/>
      <c r="U3029" s="73"/>
      <c r="V3029" s="73"/>
      <c r="W3029" s="73"/>
      <c r="GL3029" s="73"/>
      <c r="GM3029" s="73"/>
      <c r="GN3029" s="73"/>
      <c r="GO3029" s="73"/>
      <c r="GP3029" s="73"/>
      <c r="GQ3029" s="73"/>
      <c r="GR3029" s="73"/>
      <c r="GS3029" s="73"/>
      <c r="GT3029" s="73"/>
      <c r="GU3029" s="73"/>
      <c r="GV3029" s="73"/>
      <c r="GW3029" s="73"/>
      <c r="GX3029" s="73"/>
      <c r="GY3029" s="73"/>
      <c r="GZ3029" s="73"/>
      <c r="HA3029" s="73"/>
      <c r="HB3029" s="73"/>
      <c r="HC3029" s="73"/>
      <c r="HD3029" s="73"/>
      <c r="HE3029" s="73"/>
      <c r="HF3029" s="73"/>
      <c r="HG3029" s="73"/>
      <c r="HH3029" s="73"/>
      <c r="HI3029" s="73"/>
      <c r="HJ3029" s="73"/>
      <c r="HK3029" s="73"/>
      <c r="HL3029" s="73"/>
      <c r="HM3029" s="73"/>
      <c r="HN3029" s="73"/>
      <c r="HO3029" s="73"/>
      <c r="HP3029" s="73"/>
      <c r="HQ3029" s="73"/>
      <c r="HR3029" s="73"/>
      <c r="HS3029" s="73"/>
      <c r="HT3029" s="73"/>
      <c r="HU3029" s="73"/>
      <c r="HV3029" s="73"/>
      <c r="HW3029" s="73"/>
      <c r="HX3029" s="73"/>
      <c r="HY3029" s="73"/>
      <c r="HZ3029" s="73"/>
      <c r="IA3029" s="73"/>
      <c r="IB3029" s="73"/>
      <c r="IC3029" s="73"/>
      <c r="ID3029" s="73"/>
      <c r="IE3029" s="73"/>
      <c r="IF3029" s="73"/>
      <c r="IG3029" s="73"/>
      <c r="IH3029" s="73"/>
      <c r="II3029" s="73"/>
      <c r="IJ3029" s="73"/>
      <c r="IK3029" s="73"/>
      <c r="IL3029" s="73"/>
      <c r="IM3029" s="73"/>
      <c r="IN3029" s="73"/>
      <c r="IO3029" s="73"/>
      <c r="IP3029" s="73"/>
      <c r="IQ3029" s="73"/>
      <c r="IR3029" s="73"/>
      <c r="IS3029" s="73"/>
      <c r="IT3029" s="73"/>
      <c r="IU3029" s="73"/>
      <c r="IV3029" s="73"/>
      <c r="IW3029" s="73"/>
      <c r="IX3029" s="73"/>
      <c r="IY3029" s="73"/>
      <c r="IZ3029" s="73"/>
      <c r="JA3029" s="73"/>
      <c r="JB3029" s="73"/>
      <c r="JC3029" s="73"/>
    </row>
    <row r="3030" spans="2:263" s="72" customFormat="1">
      <c r="B3030" s="73"/>
      <c r="C3030" s="73"/>
      <c r="D3030" s="73"/>
      <c r="E3030" s="73"/>
      <c r="F3030" s="73"/>
      <c r="G3030" s="73"/>
      <c r="H3030" s="73"/>
      <c r="I3030" s="73"/>
      <c r="J3030" s="73"/>
      <c r="K3030" s="73"/>
      <c r="L3030" s="73"/>
      <c r="M3030" s="73"/>
      <c r="N3030" s="73"/>
      <c r="O3030" s="73"/>
      <c r="P3030" s="73"/>
      <c r="Q3030" s="73"/>
      <c r="R3030" s="73"/>
      <c r="S3030" s="73"/>
      <c r="T3030" s="73"/>
      <c r="U3030" s="73"/>
      <c r="V3030" s="73"/>
      <c r="W3030" s="73"/>
      <c r="GL3030" s="73"/>
      <c r="GM3030" s="73"/>
      <c r="GN3030" s="73"/>
      <c r="GO3030" s="73"/>
      <c r="GP3030" s="73"/>
      <c r="GQ3030" s="73"/>
      <c r="GR3030" s="73"/>
      <c r="GS3030" s="73"/>
      <c r="GT3030" s="73"/>
      <c r="GU3030" s="73"/>
      <c r="GV3030" s="73"/>
      <c r="GW3030" s="73"/>
      <c r="GX3030" s="73"/>
      <c r="GY3030" s="73"/>
      <c r="GZ3030" s="73"/>
      <c r="HA3030" s="73"/>
      <c r="HB3030" s="73"/>
      <c r="HC3030" s="73"/>
      <c r="HD3030" s="73"/>
      <c r="HE3030" s="73"/>
      <c r="HF3030" s="73"/>
      <c r="HG3030" s="73"/>
      <c r="HH3030" s="73"/>
      <c r="HI3030" s="73"/>
      <c r="HJ3030" s="73"/>
      <c r="HK3030" s="73"/>
      <c r="HL3030" s="73"/>
      <c r="HM3030" s="73"/>
      <c r="HN3030" s="73"/>
      <c r="HO3030" s="73"/>
      <c r="HP3030" s="73"/>
      <c r="HQ3030" s="73"/>
      <c r="HR3030" s="73"/>
      <c r="HS3030" s="73"/>
      <c r="HT3030" s="73"/>
      <c r="HU3030" s="73"/>
      <c r="HV3030" s="73"/>
      <c r="HW3030" s="73"/>
      <c r="HX3030" s="73"/>
      <c r="HY3030" s="73"/>
      <c r="HZ3030" s="73"/>
      <c r="IA3030" s="73"/>
      <c r="IB3030" s="73"/>
      <c r="IC3030" s="73"/>
      <c r="ID3030" s="73"/>
      <c r="IE3030" s="73"/>
      <c r="IF3030" s="73"/>
      <c r="IG3030" s="73"/>
      <c r="IH3030" s="73"/>
      <c r="II3030" s="73"/>
      <c r="IJ3030" s="73"/>
      <c r="IK3030" s="73"/>
      <c r="IL3030" s="73"/>
      <c r="IM3030" s="73"/>
      <c r="IN3030" s="73"/>
      <c r="IO3030" s="73"/>
      <c r="IP3030" s="73"/>
      <c r="IQ3030" s="73"/>
      <c r="IR3030" s="73"/>
      <c r="IS3030" s="73"/>
      <c r="IT3030" s="73"/>
      <c r="IU3030" s="73"/>
      <c r="IV3030" s="73"/>
      <c r="IW3030" s="73"/>
      <c r="IX3030" s="73"/>
      <c r="IY3030" s="73"/>
      <c r="IZ3030" s="73"/>
      <c r="JA3030" s="73"/>
      <c r="JB3030" s="73"/>
      <c r="JC3030" s="73"/>
    </row>
    <row r="3031" spans="2:263" s="72" customFormat="1">
      <c r="B3031" s="73"/>
      <c r="C3031" s="73"/>
      <c r="D3031" s="73"/>
      <c r="E3031" s="73"/>
      <c r="F3031" s="73"/>
      <c r="G3031" s="73"/>
      <c r="H3031" s="73"/>
      <c r="I3031" s="73"/>
      <c r="J3031" s="73"/>
      <c r="K3031" s="73"/>
      <c r="L3031" s="73"/>
      <c r="M3031" s="73"/>
      <c r="N3031" s="73"/>
      <c r="O3031" s="73"/>
      <c r="P3031" s="73"/>
      <c r="Q3031" s="73"/>
      <c r="R3031" s="73"/>
      <c r="S3031" s="73"/>
      <c r="T3031" s="73"/>
      <c r="U3031" s="73"/>
      <c r="V3031" s="73"/>
      <c r="W3031" s="73"/>
      <c r="GL3031" s="73"/>
      <c r="GM3031" s="73"/>
      <c r="GN3031" s="73"/>
      <c r="GO3031" s="73"/>
      <c r="GP3031" s="73"/>
      <c r="GQ3031" s="73"/>
      <c r="GR3031" s="73"/>
      <c r="GS3031" s="73"/>
      <c r="GT3031" s="73"/>
      <c r="GU3031" s="73"/>
      <c r="GV3031" s="73"/>
      <c r="GW3031" s="73"/>
      <c r="GX3031" s="73"/>
      <c r="GY3031" s="73"/>
      <c r="GZ3031" s="73"/>
      <c r="HA3031" s="73"/>
      <c r="HB3031" s="73"/>
      <c r="HC3031" s="73"/>
      <c r="HD3031" s="73"/>
      <c r="HE3031" s="73"/>
      <c r="HF3031" s="73"/>
      <c r="HG3031" s="73"/>
      <c r="HH3031" s="73"/>
      <c r="HI3031" s="73"/>
      <c r="HJ3031" s="73"/>
      <c r="HK3031" s="73"/>
      <c r="HL3031" s="73"/>
      <c r="HM3031" s="73"/>
      <c r="HN3031" s="73"/>
      <c r="HO3031" s="73"/>
      <c r="HP3031" s="73"/>
      <c r="HQ3031" s="73"/>
      <c r="HR3031" s="73"/>
      <c r="HS3031" s="73"/>
      <c r="HT3031" s="73"/>
      <c r="HU3031" s="73"/>
      <c r="HV3031" s="73"/>
      <c r="HW3031" s="73"/>
      <c r="HX3031" s="73"/>
      <c r="HY3031" s="73"/>
      <c r="HZ3031" s="73"/>
      <c r="IA3031" s="73"/>
      <c r="IB3031" s="73"/>
      <c r="IC3031" s="73"/>
      <c r="ID3031" s="73"/>
      <c r="IE3031" s="73"/>
      <c r="IF3031" s="73"/>
      <c r="IG3031" s="73"/>
      <c r="IH3031" s="73"/>
      <c r="II3031" s="73"/>
      <c r="IJ3031" s="73"/>
      <c r="IK3031" s="73"/>
      <c r="IL3031" s="73"/>
      <c r="IM3031" s="73"/>
      <c r="IN3031" s="73"/>
      <c r="IO3031" s="73"/>
      <c r="IP3031" s="73"/>
      <c r="IQ3031" s="73"/>
      <c r="IR3031" s="73"/>
      <c r="IS3031" s="73"/>
      <c r="IT3031" s="73"/>
      <c r="IU3031" s="73"/>
      <c r="IV3031" s="73"/>
      <c r="IW3031" s="73"/>
      <c r="IX3031" s="73"/>
      <c r="IY3031" s="73"/>
      <c r="IZ3031" s="73"/>
      <c r="JA3031" s="73"/>
      <c r="JB3031" s="73"/>
      <c r="JC3031" s="73"/>
    </row>
    <row r="3032" spans="2:263" s="72" customFormat="1">
      <c r="B3032" s="73"/>
      <c r="C3032" s="73"/>
      <c r="D3032" s="73"/>
      <c r="E3032" s="73"/>
      <c r="F3032" s="73"/>
      <c r="G3032" s="73"/>
      <c r="H3032" s="73"/>
      <c r="I3032" s="73"/>
      <c r="J3032" s="73"/>
      <c r="K3032" s="73"/>
      <c r="L3032" s="73"/>
      <c r="M3032" s="73"/>
      <c r="N3032" s="73"/>
      <c r="O3032" s="73"/>
      <c r="P3032" s="73"/>
      <c r="Q3032" s="73"/>
      <c r="R3032" s="73"/>
      <c r="S3032" s="73"/>
      <c r="T3032" s="73"/>
      <c r="U3032" s="73"/>
      <c r="V3032" s="73"/>
      <c r="W3032" s="73"/>
      <c r="GL3032" s="73"/>
      <c r="GM3032" s="73"/>
      <c r="GN3032" s="73"/>
      <c r="GO3032" s="73"/>
      <c r="GP3032" s="73"/>
      <c r="GQ3032" s="73"/>
      <c r="GR3032" s="73"/>
      <c r="GS3032" s="73"/>
      <c r="GT3032" s="73"/>
      <c r="GU3032" s="73"/>
      <c r="GV3032" s="73"/>
      <c r="GW3032" s="73"/>
      <c r="GX3032" s="73"/>
      <c r="GY3032" s="73"/>
      <c r="GZ3032" s="73"/>
      <c r="HA3032" s="73"/>
      <c r="HB3032" s="73"/>
      <c r="HC3032" s="73"/>
      <c r="HD3032" s="73"/>
      <c r="HE3032" s="73"/>
      <c r="HF3032" s="73"/>
      <c r="HG3032" s="73"/>
      <c r="HH3032" s="73"/>
      <c r="HI3032" s="73"/>
      <c r="HJ3032" s="73"/>
      <c r="HK3032" s="73"/>
      <c r="HL3032" s="73"/>
      <c r="HM3032" s="73"/>
      <c r="HN3032" s="73"/>
      <c r="HO3032" s="73"/>
      <c r="HP3032" s="73"/>
      <c r="HQ3032" s="73"/>
      <c r="HR3032" s="73"/>
      <c r="HS3032" s="73"/>
      <c r="HT3032" s="73"/>
      <c r="HU3032" s="73"/>
      <c r="HV3032" s="73"/>
      <c r="HW3032" s="73"/>
      <c r="HX3032" s="73"/>
      <c r="HY3032" s="73"/>
      <c r="HZ3032" s="73"/>
      <c r="IA3032" s="73"/>
      <c r="IB3032" s="73"/>
      <c r="IC3032" s="73"/>
      <c r="ID3032" s="73"/>
      <c r="IE3032" s="73"/>
      <c r="IF3032" s="73"/>
      <c r="IG3032" s="73"/>
      <c r="IH3032" s="73"/>
      <c r="II3032" s="73"/>
      <c r="IJ3032" s="73"/>
      <c r="IK3032" s="73"/>
      <c r="IL3032" s="73"/>
      <c r="IM3032" s="73"/>
      <c r="IN3032" s="73"/>
      <c r="IO3032" s="73"/>
      <c r="IP3032" s="73"/>
      <c r="IQ3032" s="73"/>
      <c r="IR3032" s="73"/>
      <c r="IS3032" s="73"/>
      <c r="IT3032" s="73"/>
      <c r="IU3032" s="73"/>
      <c r="IV3032" s="73"/>
      <c r="IW3032" s="73"/>
      <c r="IX3032" s="73"/>
      <c r="IY3032" s="73"/>
      <c r="IZ3032" s="73"/>
      <c r="JA3032" s="73"/>
      <c r="JB3032" s="73"/>
      <c r="JC3032" s="73"/>
    </row>
    <row r="3033" spans="2:263" s="72" customFormat="1">
      <c r="B3033" s="73"/>
      <c r="C3033" s="73"/>
      <c r="D3033" s="73"/>
      <c r="E3033" s="73"/>
      <c r="F3033" s="73"/>
      <c r="G3033" s="73"/>
      <c r="H3033" s="73"/>
      <c r="I3033" s="73"/>
      <c r="J3033" s="73"/>
      <c r="K3033" s="73"/>
      <c r="L3033" s="73"/>
      <c r="M3033" s="73"/>
      <c r="N3033" s="73"/>
      <c r="O3033" s="73"/>
      <c r="P3033" s="73"/>
      <c r="Q3033" s="73"/>
      <c r="R3033" s="73"/>
      <c r="S3033" s="73"/>
      <c r="T3033" s="73"/>
      <c r="U3033" s="73"/>
      <c r="V3033" s="73"/>
      <c r="W3033" s="73"/>
      <c r="GL3033" s="73"/>
      <c r="GM3033" s="73"/>
      <c r="GN3033" s="73"/>
      <c r="GO3033" s="73"/>
      <c r="GP3033" s="73"/>
      <c r="GQ3033" s="73"/>
      <c r="GR3033" s="73"/>
      <c r="GS3033" s="73"/>
      <c r="GT3033" s="73"/>
      <c r="GU3033" s="73"/>
      <c r="GV3033" s="73"/>
      <c r="GW3033" s="73"/>
      <c r="GX3033" s="73"/>
      <c r="GY3033" s="73"/>
      <c r="GZ3033" s="73"/>
      <c r="HA3033" s="73"/>
      <c r="HB3033" s="73"/>
      <c r="HC3033" s="73"/>
      <c r="HD3033" s="73"/>
      <c r="HE3033" s="73"/>
      <c r="HF3033" s="73"/>
      <c r="HG3033" s="73"/>
      <c r="HH3033" s="73"/>
      <c r="HI3033" s="73"/>
      <c r="HJ3033" s="73"/>
      <c r="HK3033" s="73"/>
      <c r="HL3033" s="73"/>
      <c r="HM3033" s="73"/>
      <c r="HN3033" s="73"/>
      <c r="HO3033" s="73"/>
      <c r="HP3033" s="73"/>
      <c r="HQ3033" s="73"/>
      <c r="HR3033" s="73"/>
      <c r="HS3033" s="73"/>
      <c r="HT3033" s="73"/>
      <c r="HU3033" s="73"/>
      <c r="HV3033" s="73"/>
      <c r="HW3033" s="73"/>
      <c r="HX3033" s="73"/>
      <c r="HY3033" s="73"/>
      <c r="HZ3033" s="73"/>
      <c r="IA3033" s="73"/>
      <c r="IB3033" s="73"/>
      <c r="IC3033" s="73"/>
      <c r="ID3033" s="73"/>
      <c r="IE3033" s="73"/>
      <c r="IF3033" s="73"/>
      <c r="IG3033" s="73"/>
      <c r="IH3033" s="73"/>
      <c r="II3033" s="73"/>
      <c r="IJ3033" s="73"/>
      <c r="IK3033" s="73"/>
      <c r="IL3033" s="73"/>
      <c r="IM3033" s="73"/>
      <c r="IN3033" s="73"/>
      <c r="IO3033" s="73"/>
      <c r="IP3033" s="73"/>
      <c r="IQ3033" s="73"/>
      <c r="IR3033" s="73"/>
      <c r="IS3033" s="73"/>
      <c r="IT3033" s="73"/>
      <c r="IU3033" s="73"/>
      <c r="IV3033" s="73"/>
      <c r="IW3033" s="73"/>
      <c r="IX3033" s="73"/>
      <c r="IY3033" s="73"/>
      <c r="IZ3033" s="73"/>
      <c r="JA3033" s="73"/>
      <c r="JB3033" s="73"/>
      <c r="JC3033" s="73"/>
    </row>
    <row r="3034" spans="2:263" s="72" customFormat="1">
      <c r="B3034" s="73"/>
      <c r="C3034" s="73"/>
      <c r="D3034" s="73"/>
      <c r="E3034" s="73"/>
      <c r="F3034" s="73"/>
      <c r="G3034" s="73"/>
      <c r="H3034" s="73"/>
      <c r="I3034" s="73"/>
      <c r="J3034" s="73"/>
      <c r="K3034" s="73"/>
      <c r="L3034" s="73"/>
      <c r="M3034" s="73"/>
      <c r="N3034" s="73"/>
      <c r="O3034" s="73"/>
      <c r="P3034" s="73"/>
      <c r="Q3034" s="73"/>
      <c r="R3034" s="73"/>
      <c r="S3034" s="73"/>
      <c r="T3034" s="73"/>
      <c r="U3034" s="73"/>
      <c r="V3034" s="73"/>
      <c r="W3034" s="73"/>
      <c r="GL3034" s="73"/>
      <c r="GM3034" s="73"/>
      <c r="GN3034" s="73"/>
      <c r="GO3034" s="73"/>
      <c r="GP3034" s="73"/>
      <c r="GQ3034" s="73"/>
      <c r="GR3034" s="73"/>
      <c r="GS3034" s="73"/>
      <c r="GT3034" s="73"/>
      <c r="GU3034" s="73"/>
      <c r="GV3034" s="73"/>
      <c r="GW3034" s="73"/>
      <c r="GX3034" s="73"/>
      <c r="GY3034" s="73"/>
      <c r="GZ3034" s="73"/>
      <c r="HA3034" s="73"/>
      <c r="HB3034" s="73"/>
      <c r="HC3034" s="73"/>
      <c r="HD3034" s="73"/>
      <c r="HE3034" s="73"/>
      <c r="HF3034" s="73"/>
      <c r="HG3034" s="73"/>
      <c r="HH3034" s="73"/>
      <c r="HI3034" s="73"/>
      <c r="HJ3034" s="73"/>
      <c r="HK3034" s="73"/>
      <c r="HL3034" s="73"/>
      <c r="HM3034" s="73"/>
      <c r="HN3034" s="73"/>
      <c r="HO3034" s="73"/>
      <c r="HP3034" s="73"/>
      <c r="HQ3034" s="73"/>
      <c r="HR3034" s="73"/>
      <c r="HS3034" s="73"/>
      <c r="HT3034" s="73"/>
      <c r="HU3034" s="73"/>
      <c r="HV3034" s="73"/>
      <c r="HW3034" s="73"/>
      <c r="HX3034" s="73"/>
      <c r="HY3034" s="73"/>
      <c r="HZ3034" s="73"/>
      <c r="IA3034" s="73"/>
      <c r="IB3034" s="73"/>
      <c r="IC3034" s="73"/>
      <c r="ID3034" s="73"/>
      <c r="IE3034" s="73"/>
      <c r="IF3034" s="73"/>
      <c r="IG3034" s="73"/>
      <c r="IH3034" s="73"/>
      <c r="II3034" s="73"/>
      <c r="IJ3034" s="73"/>
      <c r="IK3034" s="73"/>
      <c r="IL3034" s="73"/>
      <c r="IM3034" s="73"/>
      <c r="IN3034" s="73"/>
      <c r="IO3034" s="73"/>
      <c r="IP3034" s="73"/>
      <c r="IQ3034" s="73"/>
      <c r="IR3034" s="73"/>
      <c r="IS3034" s="73"/>
      <c r="IT3034" s="73"/>
      <c r="IU3034" s="73"/>
      <c r="IV3034" s="73"/>
      <c r="IW3034" s="73"/>
      <c r="IX3034" s="73"/>
      <c r="IY3034" s="73"/>
      <c r="IZ3034" s="73"/>
      <c r="JA3034" s="73"/>
      <c r="JB3034" s="73"/>
      <c r="JC3034" s="73"/>
    </row>
    <row r="3035" spans="2:263" s="72" customFormat="1">
      <c r="B3035" s="73"/>
      <c r="C3035" s="73"/>
      <c r="D3035" s="73"/>
      <c r="E3035" s="73"/>
      <c r="F3035" s="73"/>
      <c r="G3035" s="73"/>
      <c r="H3035" s="73"/>
      <c r="I3035" s="73"/>
      <c r="J3035" s="73"/>
      <c r="K3035" s="73"/>
      <c r="L3035" s="73"/>
      <c r="M3035" s="73"/>
      <c r="N3035" s="73"/>
      <c r="O3035" s="73"/>
      <c r="P3035" s="73"/>
      <c r="Q3035" s="73"/>
      <c r="R3035" s="73"/>
      <c r="S3035" s="73"/>
      <c r="T3035" s="73"/>
      <c r="U3035" s="73"/>
      <c r="V3035" s="73"/>
      <c r="W3035" s="73"/>
      <c r="GL3035" s="73"/>
      <c r="GM3035" s="73"/>
      <c r="GN3035" s="73"/>
      <c r="GO3035" s="73"/>
      <c r="GP3035" s="73"/>
      <c r="GQ3035" s="73"/>
      <c r="GR3035" s="73"/>
      <c r="GS3035" s="73"/>
      <c r="GT3035" s="73"/>
      <c r="GU3035" s="73"/>
      <c r="GV3035" s="73"/>
      <c r="GW3035" s="73"/>
      <c r="GX3035" s="73"/>
      <c r="GY3035" s="73"/>
      <c r="GZ3035" s="73"/>
      <c r="HA3035" s="73"/>
      <c r="HB3035" s="73"/>
      <c r="HC3035" s="73"/>
      <c r="HD3035" s="73"/>
      <c r="HE3035" s="73"/>
      <c r="HF3035" s="73"/>
      <c r="HG3035" s="73"/>
      <c r="HH3035" s="73"/>
      <c r="HI3035" s="73"/>
      <c r="HJ3035" s="73"/>
      <c r="HK3035" s="73"/>
      <c r="HL3035" s="73"/>
      <c r="HM3035" s="73"/>
      <c r="HN3035" s="73"/>
      <c r="HO3035" s="73"/>
      <c r="HP3035" s="73"/>
      <c r="HQ3035" s="73"/>
      <c r="HR3035" s="73"/>
      <c r="HS3035" s="73"/>
      <c r="HT3035" s="73"/>
      <c r="HU3035" s="73"/>
      <c r="HV3035" s="73"/>
      <c r="HW3035" s="73"/>
      <c r="HX3035" s="73"/>
      <c r="HY3035" s="73"/>
      <c r="HZ3035" s="73"/>
      <c r="IA3035" s="73"/>
      <c r="IB3035" s="73"/>
      <c r="IC3035" s="73"/>
      <c r="ID3035" s="73"/>
      <c r="IE3035" s="73"/>
      <c r="IF3035" s="73"/>
      <c r="IG3035" s="73"/>
      <c r="IH3035" s="73"/>
      <c r="II3035" s="73"/>
      <c r="IJ3035" s="73"/>
      <c r="IK3035" s="73"/>
      <c r="IL3035" s="73"/>
      <c r="IM3035" s="73"/>
      <c r="IN3035" s="73"/>
      <c r="IO3035" s="73"/>
      <c r="IP3035" s="73"/>
      <c r="IQ3035" s="73"/>
      <c r="IR3035" s="73"/>
      <c r="IS3035" s="73"/>
      <c r="IT3035" s="73"/>
      <c r="IU3035" s="73"/>
      <c r="IV3035" s="73"/>
      <c r="IW3035" s="73"/>
      <c r="IX3035" s="73"/>
      <c r="IY3035" s="73"/>
      <c r="IZ3035" s="73"/>
      <c r="JA3035" s="73"/>
      <c r="JB3035" s="73"/>
      <c r="JC3035" s="73"/>
    </row>
    <row r="3036" spans="2:263" s="72" customFormat="1">
      <c r="B3036" s="73"/>
      <c r="C3036" s="73"/>
      <c r="D3036" s="73"/>
      <c r="E3036" s="73"/>
      <c r="F3036" s="73"/>
      <c r="G3036" s="73"/>
      <c r="H3036" s="73"/>
      <c r="I3036" s="73"/>
      <c r="J3036" s="73"/>
      <c r="K3036" s="73"/>
      <c r="L3036" s="73"/>
      <c r="M3036" s="73"/>
      <c r="N3036" s="73"/>
      <c r="O3036" s="73"/>
      <c r="P3036" s="73"/>
      <c r="Q3036" s="73"/>
      <c r="R3036" s="73"/>
      <c r="S3036" s="73"/>
      <c r="T3036" s="73"/>
      <c r="U3036" s="73"/>
      <c r="V3036" s="73"/>
      <c r="W3036" s="73"/>
      <c r="GL3036" s="73"/>
      <c r="GM3036" s="73"/>
      <c r="GN3036" s="73"/>
      <c r="GO3036" s="73"/>
      <c r="GP3036" s="73"/>
      <c r="GQ3036" s="73"/>
      <c r="GR3036" s="73"/>
      <c r="GS3036" s="73"/>
      <c r="GT3036" s="73"/>
      <c r="GU3036" s="73"/>
      <c r="GV3036" s="73"/>
      <c r="GW3036" s="73"/>
      <c r="GX3036" s="73"/>
      <c r="GY3036" s="73"/>
      <c r="GZ3036" s="73"/>
      <c r="HA3036" s="73"/>
      <c r="HB3036" s="73"/>
      <c r="HC3036" s="73"/>
      <c r="HD3036" s="73"/>
      <c r="HE3036" s="73"/>
      <c r="HF3036" s="73"/>
      <c r="HG3036" s="73"/>
      <c r="HH3036" s="73"/>
      <c r="HI3036" s="73"/>
      <c r="HJ3036" s="73"/>
      <c r="HK3036" s="73"/>
      <c r="HL3036" s="73"/>
      <c r="HM3036" s="73"/>
      <c r="HN3036" s="73"/>
      <c r="HO3036" s="73"/>
      <c r="HP3036" s="73"/>
      <c r="HQ3036" s="73"/>
      <c r="HR3036" s="73"/>
      <c r="HS3036" s="73"/>
      <c r="HT3036" s="73"/>
      <c r="HU3036" s="73"/>
      <c r="HV3036" s="73"/>
      <c r="HW3036" s="73"/>
      <c r="HX3036" s="73"/>
      <c r="HY3036" s="73"/>
      <c r="HZ3036" s="73"/>
      <c r="IA3036" s="73"/>
      <c r="IB3036" s="73"/>
      <c r="IC3036" s="73"/>
      <c r="ID3036" s="73"/>
      <c r="IE3036" s="73"/>
      <c r="IF3036" s="73"/>
      <c r="IG3036" s="73"/>
      <c r="IH3036" s="73"/>
      <c r="II3036" s="73"/>
      <c r="IJ3036" s="73"/>
      <c r="IK3036" s="73"/>
      <c r="IL3036" s="73"/>
      <c r="IM3036" s="73"/>
      <c r="IN3036" s="73"/>
      <c r="IO3036" s="73"/>
      <c r="IP3036" s="73"/>
      <c r="IQ3036" s="73"/>
      <c r="IR3036" s="73"/>
      <c r="IS3036" s="73"/>
      <c r="IT3036" s="73"/>
      <c r="IU3036" s="73"/>
      <c r="IV3036" s="73"/>
      <c r="IW3036" s="73"/>
      <c r="IX3036" s="73"/>
      <c r="IY3036" s="73"/>
      <c r="IZ3036" s="73"/>
      <c r="JA3036" s="73"/>
      <c r="JB3036" s="73"/>
      <c r="JC3036" s="73"/>
    </row>
    <row r="3037" spans="2:263" s="72" customFormat="1">
      <c r="B3037" s="73"/>
      <c r="C3037" s="73"/>
      <c r="D3037" s="73"/>
      <c r="E3037" s="73"/>
      <c r="F3037" s="73"/>
      <c r="G3037" s="73"/>
      <c r="H3037" s="73"/>
      <c r="I3037" s="73"/>
      <c r="J3037" s="73"/>
      <c r="K3037" s="73"/>
      <c r="L3037" s="73"/>
      <c r="M3037" s="73"/>
      <c r="N3037" s="73"/>
      <c r="O3037" s="73"/>
      <c r="P3037" s="73"/>
      <c r="Q3037" s="73"/>
      <c r="R3037" s="73"/>
      <c r="S3037" s="73"/>
      <c r="T3037" s="73"/>
      <c r="U3037" s="73"/>
      <c r="V3037" s="73"/>
      <c r="W3037" s="73"/>
      <c r="GL3037" s="73"/>
      <c r="GM3037" s="73"/>
      <c r="GN3037" s="73"/>
      <c r="GO3037" s="73"/>
      <c r="GP3037" s="73"/>
      <c r="GQ3037" s="73"/>
      <c r="GR3037" s="73"/>
      <c r="GS3037" s="73"/>
      <c r="GT3037" s="73"/>
      <c r="GU3037" s="73"/>
      <c r="GV3037" s="73"/>
      <c r="GW3037" s="73"/>
      <c r="GX3037" s="73"/>
      <c r="GY3037" s="73"/>
      <c r="GZ3037" s="73"/>
      <c r="HA3037" s="73"/>
      <c r="HB3037" s="73"/>
      <c r="HC3037" s="73"/>
      <c r="HD3037" s="73"/>
      <c r="HE3037" s="73"/>
      <c r="HF3037" s="73"/>
      <c r="HG3037" s="73"/>
      <c r="HH3037" s="73"/>
      <c r="HI3037" s="73"/>
      <c r="HJ3037" s="73"/>
      <c r="HK3037" s="73"/>
      <c r="HL3037" s="73"/>
      <c r="HM3037" s="73"/>
      <c r="HN3037" s="73"/>
      <c r="HO3037" s="73"/>
      <c r="HP3037" s="73"/>
      <c r="HQ3037" s="73"/>
      <c r="HR3037" s="73"/>
      <c r="HS3037" s="73"/>
      <c r="HT3037" s="73"/>
      <c r="HU3037" s="73"/>
      <c r="HV3037" s="73"/>
      <c r="HW3037" s="73"/>
      <c r="HX3037" s="73"/>
      <c r="HY3037" s="73"/>
      <c r="HZ3037" s="73"/>
      <c r="IA3037" s="73"/>
      <c r="IB3037" s="73"/>
      <c r="IC3037" s="73"/>
      <c r="ID3037" s="73"/>
      <c r="IE3037" s="73"/>
      <c r="IF3037" s="73"/>
      <c r="IG3037" s="73"/>
      <c r="IH3037" s="73"/>
      <c r="II3037" s="73"/>
      <c r="IJ3037" s="73"/>
      <c r="IK3037" s="73"/>
      <c r="IL3037" s="73"/>
      <c r="IM3037" s="73"/>
      <c r="IN3037" s="73"/>
      <c r="IO3037" s="73"/>
      <c r="IP3037" s="73"/>
      <c r="IQ3037" s="73"/>
      <c r="IR3037" s="73"/>
      <c r="IS3037" s="73"/>
      <c r="IT3037" s="73"/>
      <c r="IU3037" s="73"/>
      <c r="IV3037" s="73"/>
      <c r="IW3037" s="73"/>
      <c r="IX3037" s="73"/>
      <c r="IY3037" s="73"/>
      <c r="IZ3037" s="73"/>
      <c r="JA3037" s="73"/>
      <c r="JB3037" s="73"/>
      <c r="JC3037" s="73"/>
    </row>
    <row r="3038" spans="2:263" s="72" customFormat="1">
      <c r="B3038" s="73"/>
      <c r="C3038" s="73"/>
      <c r="D3038" s="73"/>
      <c r="E3038" s="73"/>
      <c r="F3038" s="73"/>
      <c r="G3038" s="73"/>
      <c r="H3038" s="73"/>
      <c r="I3038" s="73"/>
      <c r="J3038" s="73"/>
      <c r="K3038" s="73"/>
      <c r="L3038" s="73"/>
      <c r="M3038" s="73"/>
      <c r="N3038" s="73"/>
      <c r="O3038" s="73"/>
      <c r="P3038" s="73"/>
      <c r="Q3038" s="73"/>
      <c r="R3038" s="73"/>
      <c r="S3038" s="73"/>
      <c r="T3038" s="73"/>
      <c r="U3038" s="73"/>
      <c r="V3038" s="73"/>
      <c r="W3038" s="73"/>
      <c r="GL3038" s="73"/>
      <c r="GM3038" s="73"/>
      <c r="GN3038" s="73"/>
      <c r="GO3038" s="73"/>
      <c r="GP3038" s="73"/>
      <c r="GQ3038" s="73"/>
      <c r="GR3038" s="73"/>
      <c r="GS3038" s="73"/>
      <c r="GT3038" s="73"/>
      <c r="GU3038" s="73"/>
      <c r="GV3038" s="73"/>
      <c r="GW3038" s="73"/>
      <c r="GX3038" s="73"/>
      <c r="GY3038" s="73"/>
      <c r="GZ3038" s="73"/>
      <c r="HA3038" s="73"/>
      <c r="HB3038" s="73"/>
      <c r="HC3038" s="73"/>
      <c r="HD3038" s="73"/>
      <c r="HE3038" s="73"/>
      <c r="HF3038" s="73"/>
      <c r="HG3038" s="73"/>
      <c r="HH3038" s="73"/>
      <c r="HI3038" s="73"/>
      <c r="HJ3038" s="73"/>
      <c r="HK3038" s="73"/>
      <c r="HL3038" s="73"/>
      <c r="HM3038" s="73"/>
      <c r="HN3038" s="73"/>
      <c r="HO3038" s="73"/>
      <c r="HP3038" s="73"/>
      <c r="HQ3038" s="73"/>
      <c r="HR3038" s="73"/>
      <c r="HS3038" s="73"/>
      <c r="HT3038" s="73"/>
      <c r="HU3038" s="73"/>
      <c r="HV3038" s="73"/>
      <c r="HW3038" s="73"/>
      <c r="HX3038" s="73"/>
      <c r="HY3038" s="73"/>
      <c r="HZ3038" s="73"/>
      <c r="IA3038" s="73"/>
      <c r="IB3038" s="73"/>
      <c r="IC3038" s="73"/>
      <c r="ID3038" s="73"/>
      <c r="IE3038" s="73"/>
      <c r="IF3038" s="73"/>
      <c r="IG3038" s="73"/>
      <c r="IH3038" s="73"/>
      <c r="II3038" s="73"/>
      <c r="IJ3038" s="73"/>
      <c r="IK3038" s="73"/>
      <c r="IL3038" s="73"/>
      <c r="IM3038" s="73"/>
      <c r="IN3038" s="73"/>
      <c r="IO3038" s="73"/>
      <c r="IP3038" s="73"/>
      <c r="IQ3038" s="73"/>
      <c r="IR3038" s="73"/>
      <c r="IS3038" s="73"/>
      <c r="IT3038" s="73"/>
      <c r="IU3038" s="73"/>
      <c r="IV3038" s="73"/>
      <c r="IW3038" s="73"/>
      <c r="IX3038" s="73"/>
      <c r="IY3038" s="73"/>
      <c r="IZ3038" s="73"/>
      <c r="JA3038" s="73"/>
      <c r="JB3038" s="73"/>
      <c r="JC3038" s="73"/>
    </row>
    <row r="3039" spans="2:263" s="72" customFormat="1">
      <c r="B3039" s="73"/>
      <c r="C3039" s="73"/>
      <c r="D3039" s="73"/>
      <c r="E3039" s="73"/>
      <c r="F3039" s="73"/>
      <c r="G3039" s="73"/>
      <c r="H3039" s="73"/>
      <c r="I3039" s="73"/>
      <c r="J3039" s="73"/>
      <c r="K3039" s="73"/>
      <c r="L3039" s="73"/>
      <c r="M3039" s="73"/>
      <c r="N3039" s="73"/>
      <c r="O3039" s="73"/>
      <c r="P3039" s="73"/>
      <c r="Q3039" s="73"/>
      <c r="R3039" s="73"/>
      <c r="S3039" s="73"/>
      <c r="T3039" s="73"/>
      <c r="U3039" s="73"/>
      <c r="V3039" s="73"/>
      <c r="W3039" s="73"/>
      <c r="GL3039" s="73"/>
      <c r="GM3039" s="73"/>
      <c r="GN3039" s="73"/>
      <c r="GO3039" s="73"/>
      <c r="GP3039" s="73"/>
      <c r="GQ3039" s="73"/>
      <c r="GR3039" s="73"/>
      <c r="GS3039" s="73"/>
      <c r="GT3039" s="73"/>
      <c r="GU3039" s="73"/>
      <c r="GV3039" s="73"/>
      <c r="GW3039" s="73"/>
      <c r="GX3039" s="73"/>
      <c r="GY3039" s="73"/>
      <c r="GZ3039" s="73"/>
      <c r="HA3039" s="73"/>
      <c r="HB3039" s="73"/>
      <c r="HC3039" s="73"/>
      <c r="HD3039" s="73"/>
      <c r="HE3039" s="73"/>
      <c r="HF3039" s="73"/>
      <c r="HG3039" s="73"/>
      <c r="HH3039" s="73"/>
      <c r="HI3039" s="73"/>
      <c r="HJ3039" s="73"/>
      <c r="HK3039" s="73"/>
      <c r="HL3039" s="73"/>
      <c r="HM3039" s="73"/>
      <c r="HN3039" s="73"/>
      <c r="HO3039" s="73"/>
      <c r="HP3039" s="73"/>
      <c r="HQ3039" s="73"/>
      <c r="HR3039" s="73"/>
      <c r="HS3039" s="73"/>
      <c r="HT3039" s="73"/>
      <c r="HU3039" s="73"/>
      <c r="HV3039" s="73"/>
      <c r="HW3039" s="73"/>
      <c r="HX3039" s="73"/>
      <c r="HY3039" s="73"/>
      <c r="HZ3039" s="73"/>
      <c r="IA3039" s="73"/>
      <c r="IB3039" s="73"/>
      <c r="IC3039" s="73"/>
      <c r="ID3039" s="73"/>
      <c r="IE3039" s="73"/>
      <c r="IF3039" s="73"/>
      <c r="IG3039" s="73"/>
      <c r="IH3039" s="73"/>
      <c r="II3039" s="73"/>
      <c r="IJ3039" s="73"/>
      <c r="IK3039" s="73"/>
      <c r="IL3039" s="73"/>
      <c r="IM3039" s="73"/>
      <c r="IN3039" s="73"/>
      <c r="IO3039" s="73"/>
      <c r="IP3039" s="73"/>
      <c r="IQ3039" s="73"/>
      <c r="IR3039" s="73"/>
      <c r="IS3039" s="73"/>
      <c r="IT3039" s="73"/>
      <c r="IU3039" s="73"/>
      <c r="IV3039" s="73"/>
      <c r="IW3039" s="73"/>
      <c r="IX3039" s="73"/>
      <c r="IY3039" s="73"/>
      <c r="IZ3039" s="73"/>
      <c r="JA3039" s="73"/>
      <c r="JB3039" s="73"/>
      <c r="JC3039" s="73"/>
    </row>
    <row r="3040" spans="2:263" s="72" customFormat="1">
      <c r="B3040" s="73"/>
      <c r="C3040" s="73"/>
      <c r="D3040" s="73"/>
      <c r="E3040" s="73"/>
      <c r="F3040" s="73"/>
      <c r="G3040" s="73"/>
      <c r="H3040" s="73"/>
      <c r="I3040" s="73"/>
      <c r="J3040" s="73"/>
      <c r="K3040" s="73"/>
      <c r="L3040" s="73"/>
      <c r="M3040" s="73"/>
      <c r="N3040" s="73"/>
      <c r="O3040" s="73"/>
      <c r="P3040" s="73"/>
      <c r="Q3040" s="73"/>
      <c r="R3040" s="73"/>
      <c r="S3040" s="73"/>
      <c r="T3040" s="73"/>
      <c r="U3040" s="73"/>
      <c r="V3040" s="73"/>
      <c r="W3040" s="73"/>
      <c r="GL3040" s="73"/>
      <c r="GM3040" s="73"/>
      <c r="GN3040" s="73"/>
      <c r="GO3040" s="73"/>
      <c r="GP3040" s="73"/>
      <c r="GQ3040" s="73"/>
      <c r="GR3040" s="73"/>
      <c r="GS3040" s="73"/>
      <c r="GT3040" s="73"/>
      <c r="GU3040" s="73"/>
      <c r="GV3040" s="73"/>
      <c r="GW3040" s="73"/>
      <c r="GX3040" s="73"/>
      <c r="GY3040" s="73"/>
      <c r="GZ3040" s="73"/>
      <c r="HA3040" s="73"/>
      <c r="HB3040" s="73"/>
      <c r="HC3040" s="73"/>
      <c r="HD3040" s="73"/>
      <c r="HE3040" s="73"/>
      <c r="HF3040" s="73"/>
      <c r="HG3040" s="73"/>
      <c r="HH3040" s="73"/>
      <c r="HI3040" s="73"/>
      <c r="HJ3040" s="73"/>
      <c r="HK3040" s="73"/>
      <c r="HL3040" s="73"/>
      <c r="HM3040" s="73"/>
      <c r="HN3040" s="73"/>
      <c r="HO3040" s="73"/>
      <c r="HP3040" s="73"/>
      <c r="HQ3040" s="73"/>
      <c r="HR3040" s="73"/>
      <c r="HS3040" s="73"/>
      <c r="HT3040" s="73"/>
      <c r="HU3040" s="73"/>
      <c r="HV3040" s="73"/>
      <c r="HW3040" s="73"/>
      <c r="HX3040" s="73"/>
      <c r="HY3040" s="73"/>
      <c r="HZ3040" s="73"/>
      <c r="IA3040" s="73"/>
      <c r="IB3040" s="73"/>
      <c r="IC3040" s="73"/>
      <c r="ID3040" s="73"/>
      <c r="IE3040" s="73"/>
      <c r="IF3040" s="73"/>
      <c r="IG3040" s="73"/>
      <c r="IH3040" s="73"/>
      <c r="II3040" s="73"/>
      <c r="IJ3040" s="73"/>
      <c r="IK3040" s="73"/>
      <c r="IL3040" s="73"/>
      <c r="IM3040" s="73"/>
      <c r="IN3040" s="73"/>
      <c r="IO3040" s="73"/>
      <c r="IP3040" s="73"/>
      <c r="IQ3040" s="73"/>
      <c r="IR3040" s="73"/>
      <c r="IS3040" s="73"/>
      <c r="IT3040" s="73"/>
      <c r="IU3040" s="73"/>
      <c r="IV3040" s="73"/>
      <c r="IW3040" s="73"/>
      <c r="IX3040" s="73"/>
      <c r="IY3040" s="73"/>
      <c r="IZ3040" s="73"/>
      <c r="JA3040" s="73"/>
      <c r="JB3040" s="73"/>
      <c r="JC3040" s="73"/>
    </row>
    <row r="3041" spans="2:263" s="72" customFormat="1">
      <c r="B3041" s="73"/>
      <c r="C3041" s="73"/>
      <c r="D3041" s="73"/>
      <c r="E3041" s="73"/>
      <c r="F3041" s="73"/>
      <c r="G3041" s="73"/>
      <c r="H3041" s="73"/>
      <c r="I3041" s="73"/>
      <c r="J3041" s="73"/>
      <c r="K3041" s="73"/>
      <c r="L3041" s="73"/>
      <c r="M3041" s="73"/>
      <c r="N3041" s="73"/>
      <c r="O3041" s="73"/>
      <c r="P3041" s="73"/>
      <c r="Q3041" s="73"/>
      <c r="R3041" s="73"/>
      <c r="S3041" s="73"/>
      <c r="T3041" s="73"/>
      <c r="U3041" s="73"/>
      <c r="V3041" s="73"/>
      <c r="W3041" s="73"/>
      <c r="GL3041" s="73"/>
      <c r="GM3041" s="73"/>
      <c r="GN3041" s="73"/>
      <c r="GO3041" s="73"/>
      <c r="GP3041" s="73"/>
      <c r="GQ3041" s="73"/>
      <c r="GR3041" s="73"/>
      <c r="GS3041" s="73"/>
      <c r="GT3041" s="73"/>
      <c r="GU3041" s="73"/>
      <c r="GV3041" s="73"/>
      <c r="GW3041" s="73"/>
      <c r="GX3041" s="73"/>
      <c r="GY3041" s="73"/>
      <c r="GZ3041" s="73"/>
      <c r="HA3041" s="73"/>
      <c r="HB3041" s="73"/>
      <c r="HC3041" s="73"/>
      <c r="HD3041" s="73"/>
      <c r="HE3041" s="73"/>
      <c r="HF3041" s="73"/>
      <c r="HG3041" s="73"/>
      <c r="HH3041" s="73"/>
      <c r="HI3041" s="73"/>
      <c r="HJ3041" s="73"/>
      <c r="HK3041" s="73"/>
      <c r="HL3041" s="73"/>
      <c r="HM3041" s="73"/>
      <c r="HN3041" s="73"/>
      <c r="HO3041" s="73"/>
      <c r="HP3041" s="73"/>
      <c r="HQ3041" s="73"/>
      <c r="HR3041" s="73"/>
      <c r="HS3041" s="73"/>
      <c r="HT3041" s="73"/>
      <c r="HU3041" s="73"/>
      <c r="HV3041" s="73"/>
      <c r="HW3041" s="73"/>
      <c r="HX3041" s="73"/>
      <c r="HY3041" s="73"/>
      <c r="HZ3041" s="73"/>
      <c r="IA3041" s="73"/>
      <c r="IB3041" s="73"/>
      <c r="IC3041" s="73"/>
      <c r="ID3041" s="73"/>
      <c r="IE3041" s="73"/>
      <c r="IF3041" s="73"/>
      <c r="IG3041" s="73"/>
      <c r="IH3041" s="73"/>
      <c r="II3041" s="73"/>
      <c r="IJ3041" s="73"/>
      <c r="IK3041" s="73"/>
      <c r="IL3041" s="73"/>
      <c r="IM3041" s="73"/>
      <c r="IN3041" s="73"/>
      <c r="IO3041" s="73"/>
      <c r="IP3041" s="73"/>
      <c r="IQ3041" s="73"/>
      <c r="IR3041" s="73"/>
      <c r="IS3041" s="73"/>
      <c r="IT3041" s="73"/>
      <c r="IU3041" s="73"/>
      <c r="IV3041" s="73"/>
      <c r="IW3041" s="73"/>
      <c r="IX3041" s="73"/>
      <c r="IY3041" s="73"/>
      <c r="IZ3041" s="73"/>
      <c r="JA3041" s="73"/>
      <c r="JB3041" s="73"/>
      <c r="JC3041" s="73"/>
    </row>
    <row r="3042" spans="2:263" s="72" customFormat="1">
      <c r="B3042" s="73"/>
      <c r="C3042" s="73"/>
      <c r="D3042" s="73"/>
      <c r="E3042" s="73"/>
      <c r="F3042" s="73"/>
      <c r="G3042" s="73"/>
      <c r="H3042" s="73"/>
      <c r="I3042" s="73"/>
      <c r="J3042" s="73"/>
      <c r="K3042" s="73"/>
      <c r="L3042" s="73"/>
      <c r="M3042" s="73"/>
      <c r="N3042" s="73"/>
      <c r="O3042" s="73"/>
      <c r="P3042" s="73"/>
      <c r="Q3042" s="73"/>
      <c r="R3042" s="73"/>
      <c r="S3042" s="73"/>
      <c r="T3042" s="73"/>
      <c r="U3042" s="73"/>
      <c r="V3042" s="73"/>
      <c r="W3042" s="73"/>
      <c r="GL3042" s="73"/>
      <c r="GM3042" s="73"/>
      <c r="GN3042" s="73"/>
      <c r="GO3042" s="73"/>
      <c r="GP3042" s="73"/>
      <c r="GQ3042" s="73"/>
      <c r="GR3042" s="73"/>
      <c r="GS3042" s="73"/>
      <c r="GT3042" s="73"/>
      <c r="GU3042" s="73"/>
      <c r="GV3042" s="73"/>
      <c r="GW3042" s="73"/>
      <c r="GX3042" s="73"/>
      <c r="GY3042" s="73"/>
      <c r="GZ3042" s="73"/>
      <c r="HA3042" s="73"/>
      <c r="HB3042" s="73"/>
      <c r="HC3042" s="73"/>
      <c r="HD3042" s="73"/>
      <c r="HE3042" s="73"/>
      <c r="HF3042" s="73"/>
      <c r="HG3042" s="73"/>
      <c r="HH3042" s="73"/>
      <c r="HI3042" s="73"/>
      <c r="HJ3042" s="73"/>
      <c r="HK3042" s="73"/>
      <c r="HL3042" s="73"/>
      <c r="HM3042" s="73"/>
      <c r="HN3042" s="73"/>
      <c r="HO3042" s="73"/>
      <c r="HP3042" s="73"/>
      <c r="HQ3042" s="73"/>
      <c r="HR3042" s="73"/>
      <c r="HS3042" s="73"/>
      <c r="HT3042" s="73"/>
      <c r="HU3042" s="73"/>
      <c r="HV3042" s="73"/>
      <c r="HW3042" s="73"/>
      <c r="HX3042" s="73"/>
      <c r="HY3042" s="73"/>
      <c r="HZ3042" s="73"/>
      <c r="IA3042" s="73"/>
      <c r="IB3042" s="73"/>
      <c r="IC3042" s="73"/>
      <c r="ID3042" s="73"/>
      <c r="IE3042" s="73"/>
      <c r="IF3042" s="73"/>
      <c r="IG3042" s="73"/>
      <c r="IH3042" s="73"/>
      <c r="II3042" s="73"/>
      <c r="IJ3042" s="73"/>
      <c r="IK3042" s="73"/>
      <c r="IL3042" s="73"/>
      <c r="IM3042" s="73"/>
      <c r="IN3042" s="73"/>
      <c r="IO3042" s="73"/>
      <c r="IP3042" s="73"/>
      <c r="IQ3042" s="73"/>
      <c r="IR3042" s="73"/>
      <c r="IS3042" s="73"/>
      <c r="IT3042" s="73"/>
      <c r="IU3042" s="73"/>
      <c r="IV3042" s="73"/>
      <c r="IW3042" s="73"/>
      <c r="IX3042" s="73"/>
      <c r="IY3042" s="73"/>
      <c r="IZ3042" s="73"/>
      <c r="JA3042" s="73"/>
      <c r="JB3042" s="73"/>
      <c r="JC3042" s="73"/>
    </row>
    <row r="3043" spans="2:263" s="72" customFormat="1">
      <c r="B3043" s="73"/>
      <c r="C3043" s="73"/>
      <c r="D3043" s="73"/>
      <c r="E3043" s="73"/>
      <c r="F3043" s="73"/>
      <c r="G3043" s="73"/>
      <c r="H3043" s="73"/>
      <c r="I3043" s="73"/>
      <c r="J3043" s="73"/>
      <c r="K3043" s="73"/>
      <c r="L3043" s="73"/>
      <c r="M3043" s="73"/>
      <c r="N3043" s="73"/>
      <c r="O3043" s="73"/>
      <c r="P3043" s="73"/>
      <c r="Q3043" s="73"/>
      <c r="R3043" s="73"/>
      <c r="S3043" s="73"/>
      <c r="T3043" s="73"/>
      <c r="U3043" s="73"/>
      <c r="V3043" s="73"/>
      <c r="W3043" s="73"/>
      <c r="GL3043" s="73"/>
      <c r="GM3043" s="73"/>
      <c r="GN3043" s="73"/>
      <c r="GO3043" s="73"/>
      <c r="GP3043" s="73"/>
      <c r="GQ3043" s="73"/>
      <c r="GR3043" s="73"/>
      <c r="GS3043" s="73"/>
      <c r="GT3043" s="73"/>
      <c r="GU3043" s="73"/>
      <c r="GV3043" s="73"/>
      <c r="GW3043" s="73"/>
      <c r="GX3043" s="73"/>
      <c r="GY3043" s="73"/>
      <c r="GZ3043" s="73"/>
      <c r="HA3043" s="73"/>
      <c r="HB3043" s="73"/>
      <c r="HC3043" s="73"/>
      <c r="HD3043" s="73"/>
      <c r="HE3043" s="73"/>
      <c r="HF3043" s="73"/>
      <c r="HG3043" s="73"/>
      <c r="HH3043" s="73"/>
      <c r="HI3043" s="73"/>
      <c r="HJ3043" s="73"/>
      <c r="HK3043" s="73"/>
      <c r="HL3043" s="73"/>
      <c r="HM3043" s="73"/>
      <c r="HN3043" s="73"/>
      <c r="HO3043" s="73"/>
      <c r="HP3043" s="73"/>
      <c r="HQ3043" s="73"/>
      <c r="HR3043" s="73"/>
      <c r="HS3043" s="73"/>
      <c r="HT3043" s="73"/>
      <c r="HU3043" s="73"/>
      <c r="HV3043" s="73"/>
      <c r="HW3043" s="73"/>
      <c r="HX3043" s="73"/>
      <c r="HY3043" s="73"/>
      <c r="HZ3043" s="73"/>
      <c r="IA3043" s="73"/>
      <c r="IB3043" s="73"/>
      <c r="IC3043" s="73"/>
      <c r="ID3043" s="73"/>
      <c r="IE3043" s="73"/>
      <c r="IF3043" s="73"/>
      <c r="IG3043" s="73"/>
      <c r="IH3043" s="73"/>
      <c r="II3043" s="73"/>
      <c r="IJ3043" s="73"/>
      <c r="IK3043" s="73"/>
      <c r="IL3043" s="73"/>
      <c r="IM3043" s="73"/>
      <c r="IN3043" s="73"/>
      <c r="IO3043" s="73"/>
      <c r="IP3043" s="73"/>
      <c r="IQ3043" s="73"/>
      <c r="IR3043" s="73"/>
      <c r="IS3043" s="73"/>
      <c r="IT3043" s="73"/>
      <c r="IU3043" s="73"/>
      <c r="IV3043" s="73"/>
      <c r="IW3043" s="73"/>
      <c r="IX3043" s="73"/>
      <c r="IY3043" s="73"/>
      <c r="IZ3043" s="73"/>
      <c r="JA3043" s="73"/>
      <c r="JB3043" s="73"/>
      <c r="JC3043" s="73"/>
    </row>
    <row r="3044" spans="2:263" s="72" customFormat="1">
      <c r="B3044" s="73"/>
      <c r="C3044" s="73"/>
      <c r="D3044" s="73"/>
      <c r="E3044" s="73"/>
      <c r="F3044" s="73"/>
      <c r="G3044" s="73"/>
      <c r="H3044" s="73"/>
      <c r="I3044" s="73"/>
      <c r="J3044" s="73"/>
      <c r="K3044" s="73"/>
      <c r="L3044" s="73"/>
      <c r="M3044" s="73"/>
      <c r="N3044" s="73"/>
      <c r="O3044" s="73"/>
      <c r="P3044" s="73"/>
      <c r="Q3044" s="73"/>
      <c r="R3044" s="73"/>
      <c r="S3044" s="73"/>
      <c r="T3044" s="73"/>
      <c r="U3044" s="73"/>
      <c r="V3044" s="73"/>
      <c r="W3044" s="73"/>
      <c r="GL3044" s="73"/>
      <c r="GM3044" s="73"/>
      <c r="GN3044" s="73"/>
      <c r="GO3044" s="73"/>
      <c r="GP3044" s="73"/>
      <c r="GQ3044" s="73"/>
      <c r="GR3044" s="73"/>
      <c r="GS3044" s="73"/>
      <c r="GT3044" s="73"/>
      <c r="GU3044" s="73"/>
      <c r="GV3044" s="73"/>
      <c r="GW3044" s="73"/>
      <c r="GX3044" s="73"/>
      <c r="GY3044" s="73"/>
      <c r="GZ3044" s="73"/>
      <c r="HA3044" s="73"/>
      <c r="HB3044" s="73"/>
      <c r="HC3044" s="73"/>
      <c r="HD3044" s="73"/>
      <c r="HE3044" s="73"/>
      <c r="HF3044" s="73"/>
      <c r="HG3044" s="73"/>
      <c r="HH3044" s="73"/>
      <c r="HI3044" s="73"/>
      <c r="HJ3044" s="73"/>
      <c r="HK3044" s="73"/>
      <c r="HL3044" s="73"/>
      <c r="HM3044" s="73"/>
      <c r="HN3044" s="73"/>
      <c r="HO3044" s="73"/>
      <c r="HP3044" s="73"/>
      <c r="HQ3044" s="73"/>
      <c r="HR3044" s="73"/>
      <c r="HS3044" s="73"/>
      <c r="HT3044" s="73"/>
      <c r="HU3044" s="73"/>
      <c r="HV3044" s="73"/>
      <c r="HW3044" s="73"/>
      <c r="HX3044" s="73"/>
      <c r="HY3044" s="73"/>
      <c r="HZ3044" s="73"/>
      <c r="IA3044" s="73"/>
      <c r="IB3044" s="73"/>
      <c r="IC3044" s="73"/>
      <c r="ID3044" s="73"/>
      <c r="IE3044" s="73"/>
      <c r="IF3044" s="73"/>
      <c r="IG3044" s="73"/>
      <c r="IH3044" s="73"/>
      <c r="II3044" s="73"/>
      <c r="IJ3044" s="73"/>
      <c r="IK3044" s="73"/>
      <c r="IL3044" s="73"/>
      <c r="IM3044" s="73"/>
      <c r="IN3044" s="73"/>
      <c r="IO3044" s="73"/>
      <c r="IP3044" s="73"/>
      <c r="IQ3044" s="73"/>
      <c r="IR3044" s="73"/>
      <c r="IS3044" s="73"/>
      <c r="IT3044" s="73"/>
      <c r="IU3044" s="73"/>
      <c r="IV3044" s="73"/>
      <c r="IW3044" s="73"/>
      <c r="IX3044" s="73"/>
      <c r="IY3044" s="73"/>
      <c r="IZ3044" s="73"/>
      <c r="JA3044" s="73"/>
      <c r="JB3044" s="73"/>
      <c r="JC3044" s="73"/>
    </row>
    <row r="3045" spans="2:263" s="72" customFormat="1">
      <c r="B3045" s="73"/>
      <c r="C3045" s="73"/>
      <c r="D3045" s="73"/>
      <c r="E3045" s="73"/>
      <c r="F3045" s="73"/>
      <c r="G3045" s="73"/>
      <c r="H3045" s="73"/>
      <c r="I3045" s="73"/>
      <c r="J3045" s="73"/>
      <c r="K3045" s="73"/>
      <c r="L3045" s="73"/>
      <c r="M3045" s="73"/>
      <c r="N3045" s="73"/>
      <c r="O3045" s="73"/>
      <c r="P3045" s="73"/>
      <c r="Q3045" s="73"/>
      <c r="R3045" s="73"/>
      <c r="S3045" s="73"/>
      <c r="T3045" s="73"/>
      <c r="U3045" s="73"/>
      <c r="V3045" s="73"/>
      <c r="W3045" s="73"/>
      <c r="GL3045" s="73"/>
      <c r="GM3045" s="73"/>
      <c r="GN3045" s="73"/>
      <c r="GO3045" s="73"/>
      <c r="GP3045" s="73"/>
      <c r="GQ3045" s="73"/>
      <c r="GR3045" s="73"/>
      <c r="GS3045" s="73"/>
      <c r="GT3045" s="73"/>
      <c r="GU3045" s="73"/>
      <c r="GV3045" s="73"/>
      <c r="GW3045" s="73"/>
      <c r="GX3045" s="73"/>
      <c r="GY3045" s="73"/>
      <c r="GZ3045" s="73"/>
      <c r="HA3045" s="73"/>
      <c r="HB3045" s="73"/>
      <c r="HC3045" s="73"/>
      <c r="HD3045" s="73"/>
      <c r="HE3045" s="73"/>
      <c r="HF3045" s="73"/>
      <c r="HG3045" s="73"/>
      <c r="HH3045" s="73"/>
      <c r="HI3045" s="73"/>
      <c r="HJ3045" s="73"/>
      <c r="HK3045" s="73"/>
      <c r="HL3045" s="73"/>
      <c r="HM3045" s="73"/>
      <c r="HN3045" s="73"/>
      <c r="HO3045" s="73"/>
      <c r="HP3045" s="73"/>
      <c r="HQ3045" s="73"/>
      <c r="HR3045" s="73"/>
      <c r="HS3045" s="73"/>
      <c r="HT3045" s="73"/>
      <c r="HU3045" s="73"/>
      <c r="HV3045" s="73"/>
      <c r="HW3045" s="73"/>
      <c r="HX3045" s="73"/>
      <c r="HY3045" s="73"/>
      <c r="HZ3045" s="73"/>
      <c r="IA3045" s="73"/>
      <c r="IB3045" s="73"/>
      <c r="IC3045" s="73"/>
      <c r="ID3045" s="73"/>
      <c r="IE3045" s="73"/>
      <c r="IF3045" s="73"/>
      <c r="IG3045" s="73"/>
      <c r="IH3045" s="73"/>
      <c r="II3045" s="73"/>
      <c r="IJ3045" s="73"/>
      <c r="IK3045" s="73"/>
      <c r="IL3045" s="73"/>
      <c r="IM3045" s="73"/>
      <c r="IN3045" s="73"/>
      <c r="IO3045" s="73"/>
      <c r="IP3045" s="73"/>
      <c r="IQ3045" s="73"/>
      <c r="IR3045" s="73"/>
      <c r="IS3045" s="73"/>
      <c r="IT3045" s="73"/>
      <c r="IU3045" s="73"/>
      <c r="IV3045" s="73"/>
      <c r="IW3045" s="73"/>
      <c r="IX3045" s="73"/>
      <c r="IY3045" s="73"/>
      <c r="IZ3045" s="73"/>
      <c r="JA3045" s="73"/>
      <c r="JB3045" s="73"/>
      <c r="JC3045" s="73"/>
    </row>
    <row r="3046" spans="2:263" s="72" customFormat="1">
      <c r="B3046" s="73"/>
      <c r="C3046" s="73"/>
      <c r="D3046" s="73"/>
      <c r="E3046" s="73"/>
      <c r="F3046" s="73"/>
      <c r="G3046" s="73"/>
      <c r="H3046" s="73"/>
      <c r="I3046" s="73"/>
      <c r="J3046" s="73"/>
      <c r="K3046" s="73"/>
      <c r="L3046" s="73"/>
      <c r="M3046" s="73"/>
      <c r="N3046" s="73"/>
      <c r="O3046" s="73"/>
      <c r="P3046" s="73"/>
      <c r="Q3046" s="73"/>
      <c r="R3046" s="73"/>
      <c r="S3046" s="73"/>
      <c r="T3046" s="73"/>
      <c r="U3046" s="73"/>
      <c r="V3046" s="73"/>
      <c r="W3046" s="73"/>
      <c r="GL3046" s="73"/>
      <c r="GM3046" s="73"/>
      <c r="GN3046" s="73"/>
      <c r="GO3046" s="73"/>
      <c r="GP3046" s="73"/>
      <c r="GQ3046" s="73"/>
      <c r="GR3046" s="73"/>
      <c r="GS3046" s="73"/>
      <c r="GT3046" s="73"/>
      <c r="GU3046" s="73"/>
      <c r="GV3046" s="73"/>
      <c r="GW3046" s="73"/>
      <c r="GX3046" s="73"/>
      <c r="GY3046" s="73"/>
      <c r="GZ3046" s="73"/>
      <c r="HA3046" s="73"/>
      <c r="HB3046" s="73"/>
      <c r="HC3046" s="73"/>
      <c r="HD3046" s="73"/>
      <c r="HE3046" s="73"/>
      <c r="HF3046" s="73"/>
      <c r="HG3046" s="73"/>
      <c r="HH3046" s="73"/>
      <c r="HI3046" s="73"/>
      <c r="HJ3046" s="73"/>
      <c r="HK3046" s="73"/>
      <c r="HL3046" s="73"/>
      <c r="HM3046" s="73"/>
      <c r="HN3046" s="73"/>
      <c r="HO3046" s="73"/>
      <c r="HP3046" s="73"/>
      <c r="HQ3046" s="73"/>
      <c r="HR3046" s="73"/>
      <c r="HS3046" s="73"/>
      <c r="HT3046" s="73"/>
      <c r="HU3046" s="73"/>
      <c r="HV3046" s="73"/>
      <c r="HW3046" s="73"/>
      <c r="HX3046" s="73"/>
      <c r="HY3046" s="73"/>
      <c r="HZ3046" s="73"/>
      <c r="IA3046" s="73"/>
      <c r="IB3046" s="73"/>
      <c r="IC3046" s="73"/>
      <c r="ID3046" s="73"/>
      <c r="IE3046" s="73"/>
      <c r="IF3046" s="73"/>
      <c r="IG3046" s="73"/>
      <c r="IH3046" s="73"/>
      <c r="II3046" s="73"/>
      <c r="IJ3046" s="73"/>
      <c r="IK3046" s="73"/>
      <c r="IL3046" s="73"/>
      <c r="IM3046" s="73"/>
      <c r="IN3046" s="73"/>
      <c r="IO3046" s="73"/>
      <c r="IP3046" s="73"/>
      <c r="IQ3046" s="73"/>
      <c r="IR3046" s="73"/>
      <c r="IS3046" s="73"/>
      <c r="IT3046" s="73"/>
      <c r="IU3046" s="73"/>
      <c r="IV3046" s="73"/>
      <c r="IW3046" s="73"/>
      <c r="IX3046" s="73"/>
      <c r="IY3046" s="73"/>
      <c r="IZ3046" s="73"/>
      <c r="JA3046" s="73"/>
      <c r="JB3046" s="73"/>
      <c r="JC3046" s="73"/>
    </row>
    <row r="3047" spans="2:263" s="72" customFormat="1">
      <c r="B3047" s="73"/>
      <c r="C3047" s="73"/>
      <c r="D3047" s="73"/>
      <c r="E3047" s="73"/>
      <c r="F3047" s="73"/>
      <c r="G3047" s="73"/>
      <c r="H3047" s="73"/>
      <c r="I3047" s="73"/>
      <c r="J3047" s="73"/>
      <c r="K3047" s="73"/>
      <c r="L3047" s="73"/>
      <c r="M3047" s="73"/>
      <c r="N3047" s="73"/>
      <c r="O3047" s="73"/>
      <c r="P3047" s="73"/>
      <c r="Q3047" s="73"/>
      <c r="R3047" s="73"/>
      <c r="S3047" s="73"/>
      <c r="T3047" s="73"/>
      <c r="U3047" s="73"/>
      <c r="V3047" s="73"/>
      <c r="W3047" s="73"/>
      <c r="GL3047" s="73"/>
      <c r="GM3047" s="73"/>
      <c r="GN3047" s="73"/>
      <c r="GO3047" s="73"/>
      <c r="GP3047" s="73"/>
      <c r="GQ3047" s="73"/>
      <c r="GR3047" s="73"/>
      <c r="GS3047" s="73"/>
      <c r="GT3047" s="73"/>
      <c r="GU3047" s="73"/>
      <c r="GV3047" s="73"/>
      <c r="GW3047" s="73"/>
      <c r="GX3047" s="73"/>
      <c r="GY3047" s="73"/>
      <c r="GZ3047" s="73"/>
      <c r="HA3047" s="73"/>
      <c r="HB3047" s="73"/>
      <c r="HC3047" s="73"/>
      <c r="HD3047" s="73"/>
      <c r="HE3047" s="73"/>
      <c r="HF3047" s="73"/>
      <c r="HG3047" s="73"/>
      <c r="HH3047" s="73"/>
      <c r="HI3047" s="73"/>
      <c r="HJ3047" s="73"/>
      <c r="HK3047" s="73"/>
      <c r="HL3047" s="73"/>
      <c r="HM3047" s="73"/>
      <c r="HN3047" s="73"/>
      <c r="HO3047" s="73"/>
      <c r="HP3047" s="73"/>
      <c r="HQ3047" s="73"/>
      <c r="HR3047" s="73"/>
      <c r="HS3047" s="73"/>
      <c r="HT3047" s="73"/>
      <c r="HU3047" s="73"/>
      <c r="HV3047" s="73"/>
      <c r="HW3047" s="73"/>
      <c r="HX3047" s="73"/>
      <c r="HY3047" s="73"/>
      <c r="HZ3047" s="73"/>
      <c r="IA3047" s="73"/>
      <c r="IB3047" s="73"/>
      <c r="IC3047" s="73"/>
      <c r="ID3047" s="73"/>
      <c r="IE3047" s="73"/>
      <c r="IF3047" s="73"/>
      <c r="IG3047" s="73"/>
      <c r="IH3047" s="73"/>
      <c r="II3047" s="73"/>
      <c r="IJ3047" s="73"/>
      <c r="IK3047" s="73"/>
      <c r="IL3047" s="73"/>
      <c r="IM3047" s="73"/>
      <c r="IN3047" s="73"/>
      <c r="IO3047" s="73"/>
      <c r="IP3047" s="73"/>
      <c r="IQ3047" s="73"/>
      <c r="IR3047" s="73"/>
      <c r="IS3047" s="73"/>
      <c r="IT3047" s="73"/>
      <c r="IU3047" s="73"/>
      <c r="IV3047" s="73"/>
      <c r="IW3047" s="73"/>
      <c r="IX3047" s="73"/>
      <c r="IY3047" s="73"/>
      <c r="IZ3047" s="73"/>
      <c r="JA3047" s="73"/>
      <c r="JB3047" s="73"/>
      <c r="JC3047" s="73"/>
    </row>
    <row r="3048" spans="2:263" s="72" customFormat="1">
      <c r="B3048" s="73"/>
      <c r="C3048" s="73"/>
      <c r="D3048" s="73"/>
      <c r="E3048" s="73"/>
      <c r="F3048" s="73"/>
      <c r="G3048" s="73"/>
      <c r="H3048" s="73"/>
      <c r="I3048" s="73"/>
      <c r="J3048" s="73"/>
      <c r="K3048" s="73"/>
      <c r="L3048" s="73"/>
      <c r="M3048" s="73"/>
      <c r="N3048" s="73"/>
      <c r="O3048" s="73"/>
      <c r="P3048" s="73"/>
      <c r="Q3048" s="73"/>
      <c r="R3048" s="73"/>
      <c r="S3048" s="73"/>
      <c r="T3048" s="73"/>
      <c r="U3048" s="73"/>
      <c r="V3048" s="73"/>
      <c r="W3048" s="73"/>
      <c r="GL3048" s="73"/>
      <c r="GM3048" s="73"/>
      <c r="GN3048" s="73"/>
      <c r="GO3048" s="73"/>
      <c r="GP3048" s="73"/>
      <c r="GQ3048" s="73"/>
      <c r="GR3048" s="73"/>
      <c r="GS3048" s="73"/>
      <c r="GT3048" s="73"/>
      <c r="GU3048" s="73"/>
      <c r="GV3048" s="73"/>
      <c r="GW3048" s="73"/>
      <c r="GX3048" s="73"/>
      <c r="GY3048" s="73"/>
      <c r="GZ3048" s="73"/>
      <c r="HA3048" s="73"/>
      <c r="HB3048" s="73"/>
      <c r="HC3048" s="73"/>
      <c r="HD3048" s="73"/>
      <c r="HE3048" s="73"/>
      <c r="HF3048" s="73"/>
      <c r="HG3048" s="73"/>
      <c r="HH3048" s="73"/>
      <c r="HI3048" s="73"/>
      <c r="HJ3048" s="73"/>
      <c r="HK3048" s="73"/>
      <c r="HL3048" s="73"/>
      <c r="HM3048" s="73"/>
      <c r="HN3048" s="73"/>
      <c r="HO3048" s="73"/>
      <c r="HP3048" s="73"/>
      <c r="HQ3048" s="73"/>
      <c r="HR3048" s="73"/>
      <c r="HS3048" s="73"/>
      <c r="HT3048" s="73"/>
      <c r="HU3048" s="73"/>
      <c r="HV3048" s="73"/>
      <c r="HW3048" s="73"/>
      <c r="HX3048" s="73"/>
      <c r="HY3048" s="73"/>
      <c r="HZ3048" s="73"/>
      <c r="IA3048" s="73"/>
      <c r="IB3048" s="73"/>
      <c r="IC3048" s="73"/>
      <c r="ID3048" s="73"/>
      <c r="IE3048" s="73"/>
      <c r="IF3048" s="73"/>
      <c r="IG3048" s="73"/>
      <c r="IH3048" s="73"/>
      <c r="II3048" s="73"/>
      <c r="IJ3048" s="73"/>
      <c r="IK3048" s="73"/>
      <c r="IL3048" s="73"/>
      <c r="IM3048" s="73"/>
      <c r="IN3048" s="73"/>
      <c r="IO3048" s="73"/>
      <c r="IP3048" s="73"/>
      <c r="IQ3048" s="73"/>
      <c r="IR3048" s="73"/>
      <c r="IS3048" s="73"/>
      <c r="IT3048" s="73"/>
      <c r="IU3048" s="73"/>
      <c r="IV3048" s="73"/>
      <c r="IW3048" s="73"/>
      <c r="IX3048" s="73"/>
      <c r="IY3048" s="73"/>
      <c r="IZ3048" s="73"/>
      <c r="JA3048" s="73"/>
      <c r="JB3048" s="73"/>
      <c r="JC3048" s="73"/>
    </row>
    <row r="3049" spans="2:263" s="72" customFormat="1">
      <c r="B3049" s="73"/>
      <c r="C3049" s="73"/>
      <c r="D3049" s="73"/>
      <c r="E3049" s="73"/>
      <c r="F3049" s="73"/>
      <c r="G3049" s="73"/>
      <c r="H3049" s="73"/>
      <c r="I3049" s="73"/>
      <c r="J3049" s="73"/>
      <c r="K3049" s="73"/>
      <c r="L3049" s="73"/>
      <c r="M3049" s="73"/>
      <c r="N3049" s="73"/>
      <c r="O3049" s="73"/>
      <c r="P3049" s="73"/>
      <c r="Q3049" s="73"/>
      <c r="R3049" s="73"/>
      <c r="S3049" s="73"/>
      <c r="T3049" s="73"/>
      <c r="U3049" s="73"/>
      <c r="V3049" s="73"/>
      <c r="W3049" s="73"/>
      <c r="GL3049" s="73"/>
      <c r="GM3049" s="73"/>
      <c r="GN3049" s="73"/>
      <c r="GO3049" s="73"/>
      <c r="GP3049" s="73"/>
      <c r="GQ3049" s="73"/>
      <c r="GR3049" s="73"/>
      <c r="GS3049" s="73"/>
      <c r="GT3049" s="73"/>
      <c r="GU3049" s="73"/>
      <c r="GV3049" s="73"/>
      <c r="GW3049" s="73"/>
      <c r="GX3049" s="73"/>
      <c r="GY3049" s="73"/>
      <c r="GZ3049" s="73"/>
      <c r="HA3049" s="73"/>
      <c r="HB3049" s="73"/>
      <c r="HC3049" s="73"/>
      <c r="HD3049" s="73"/>
      <c r="HE3049" s="73"/>
      <c r="HF3049" s="73"/>
      <c r="HG3049" s="73"/>
      <c r="HH3049" s="73"/>
      <c r="HI3049" s="73"/>
      <c r="HJ3049" s="73"/>
      <c r="HK3049" s="73"/>
      <c r="HL3049" s="73"/>
      <c r="HM3049" s="73"/>
      <c r="HN3049" s="73"/>
      <c r="HO3049" s="73"/>
      <c r="HP3049" s="73"/>
      <c r="HQ3049" s="73"/>
      <c r="HR3049" s="73"/>
      <c r="HS3049" s="73"/>
      <c r="HT3049" s="73"/>
      <c r="HU3049" s="73"/>
      <c r="HV3049" s="73"/>
      <c r="HW3049" s="73"/>
      <c r="HX3049" s="73"/>
      <c r="HY3049" s="73"/>
      <c r="HZ3049" s="73"/>
      <c r="IA3049" s="73"/>
      <c r="IB3049" s="73"/>
      <c r="IC3049" s="73"/>
      <c r="ID3049" s="73"/>
      <c r="IE3049" s="73"/>
      <c r="IF3049" s="73"/>
      <c r="IG3049" s="73"/>
      <c r="IH3049" s="73"/>
      <c r="II3049" s="73"/>
      <c r="IJ3049" s="73"/>
      <c r="IK3049" s="73"/>
      <c r="IL3049" s="73"/>
      <c r="IM3049" s="73"/>
      <c r="IN3049" s="73"/>
      <c r="IO3049" s="73"/>
      <c r="IP3049" s="73"/>
      <c r="IQ3049" s="73"/>
      <c r="IR3049" s="73"/>
      <c r="IS3049" s="73"/>
      <c r="IT3049" s="73"/>
      <c r="IU3049" s="73"/>
      <c r="IV3049" s="73"/>
      <c r="IW3049" s="73"/>
      <c r="IX3049" s="73"/>
      <c r="IY3049" s="73"/>
      <c r="IZ3049" s="73"/>
      <c r="JA3049" s="73"/>
      <c r="JB3049" s="73"/>
      <c r="JC3049" s="73"/>
    </row>
    <row r="3050" spans="2:263" s="72" customFormat="1">
      <c r="B3050" s="73"/>
      <c r="C3050" s="73"/>
      <c r="D3050" s="73"/>
      <c r="E3050" s="73"/>
      <c r="F3050" s="73"/>
      <c r="G3050" s="73"/>
      <c r="H3050" s="73"/>
      <c r="I3050" s="73"/>
      <c r="J3050" s="73"/>
      <c r="K3050" s="73"/>
      <c r="L3050" s="73"/>
      <c r="M3050" s="73"/>
      <c r="N3050" s="73"/>
      <c r="O3050" s="73"/>
      <c r="P3050" s="73"/>
      <c r="Q3050" s="73"/>
      <c r="R3050" s="73"/>
      <c r="S3050" s="73"/>
      <c r="T3050" s="73"/>
      <c r="U3050" s="73"/>
      <c r="V3050" s="73"/>
      <c r="W3050" s="73"/>
      <c r="GL3050" s="73"/>
      <c r="GM3050" s="73"/>
      <c r="GN3050" s="73"/>
      <c r="GO3050" s="73"/>
      <c r="GP3050" s="73"/>
      <c r="GQ3050" s="73"/>
      <c r="GR3050" s="73"/>
      <c r="GS3050" s="73"/>
      <c r="GT3050" s="73"/>
      <c r="GU3050" s="73"/>
      <c r="GV3050" s="73"/>
      <c r="GW3050" s="73"/>
      <c r="GX3050" s="73"/>
      <c r="GY3050" s="73"/>
      <c r="GZ3050" s="73"/>
      <c r="HA3050" s="73"/>
      <c r="HB3050" s="73"/>
      <c r="HC3050" s="73"/>
      <c r="HD3050" s="73"/>
      <c r="HE3050" s="73"/>
      <c r="HF3050" s="73"/>
      <c r="HG3050" s="73"/>
      <c r="HH3050" s="73"/>
      <c r="HI3050" s="73"/>
      <c r="HJ3050" s="73"/>
      <c r="HK3050" s="73"/>
      <c r="HL3050" s="73"/>
      <c r="HM3050" s="73"/>
      <c r="HN3050" s="73"/>
      <c r="HO3050" s="73"/>
      <c r="HP3050" s="73"/>
      <c r="HQ3050" s="73"/>
      <c r="HR3050" s="73"/>
      <c r="HS3050" s="73"/>
      <c r="HT3050" s="73"/>
      <c r="HU3050" s="73"/>
      <c r="HV3050" s="73"/>
      <c r="HW3050" s="73"/>
      <c r="HX3050" s="73"/>
      <c r="HY3050" s="73"/>
      <c r="HZ3050" s="73"/>
      <c r="IA3050" s="73"/>
      <c r="IB3050" s="73"/>
      <c r="IC3050" s="73"/>
      <c r="ID3050" s="73"/>
      <c r="IE3050" s="73"/>
      <c r="IF3050" s="73"/>
      <c r="IG3050" s="73"/>
      <c r="IH3050" s="73"/>
      <c r="II3050" s="73"/>
      <c r="IJ3050" s="73"/>
      <c r="IK3050" s="73"/>
      <c r="IL3050" s="73"/>
      <c r="IM3050" s="73"/>
      <c r="IN3050" s="73"/>
      <c r="IO3050" s="73"/>
      <c r="IP3050" s="73"/>
      <c r="IQ3050" s="73"/>
      <c r="IR3050" s="73"/>
      <c r="IS3050" s="73"/>
      <c r="IT3050" s="73"/>
      <c r="IU3050" s="73"/>
      <c r="IV3050" s="73"/>
      <c r="IW3050" s="73"/>
      <c r="IX3050" s="73"/>
      <c r="IY3050" s="73"/>
      <c r="IZ3050" s="73"/>
      <c r="JA3050" s="73"/>
      <c r="JB3050" s="73"/>
      <c r="JC3050" s="73"/>
    </row>
    <row r="3051" spans="2:263" s="72" customFormat="1">
      <c r="B3051" s="73"/>
      <c r="C3051" s="73"/>
      <c r="D3051" s="73"/>
      <c r="E3051" s="73"/>
      <c r="F3051" s="73"/>
      <c r="G3051" s="73"/>
      <c r="H3051" s="73"/>
      <c r="I3051" s="73"/>
      <c r="J3051" s="73"/>
      <c r="K3051" s="73"/>
      <c r="L3051" s="73"/>
      <c r="M3051" s="73"/>
      <c r="N3051" s="73"/>
      <c r="O3051" s="73"/>
      <c r="P3051" s="73"/>
      <c r="Q3051" s="73"/>
      <c r="R3051" s="73"/>
      <c r="S3051" s="73"/>
      <c r="T3051" s="73"/>
      <c r="U3051" s="73"/>
      <c r="V3051" s="73"/>
      <c r="W3051" s="73"/>
      <c r="GL3051" s="73"/>
      <c r="GM3051" s="73"/>
      <c r="GN3051" s="73"/>
      <c r="GO3051" s="73"/>
      <c r="GP3051" s="73"/>
      <c r="GQ3051" s="73"/>
      <c r="GR3051" s="73"/>
      <c r="GS3051" s="73"/>
      <c r="GT3051" s="73"/>
      <c r="GU3051" s="73"/>
      <c r="GV3051" s="73"/>
      <c r="GW3051" s="73"/>
      <c r="GX3051" s="73"/>
      <c r="GY3051" s="73"/>
      <c r="GZ3051" s="73"/>
      <c r="HA3051" s="73"/>
      <c r="HB3051" s="73"/>
      <c r="HC3051" s="73"/>
      <c r="HD3051" s="73"/>
      <c r="HE3051" s="73"/>
      <c r="HF3051" s="73"/>
      <c r="HG3051" s="73"/>
      <c r="HH3051" s="73"/>
      <c r="HI3051" s="73"/>
      <c r="HJ3051" s="73"/>
      <c r="HK3051" s="73"/>
      <c r="HL3051" s="73"/>
      <c r="HM3051" s="73"/>
      <c r="HN3051" s="73"/>
      <c r="HO3051" s="73"/>
      <c r="HP3051" s="73"/>
      <c r="HQ3051" s="73"/>
      <c r="HR3051" s="73"/>
      <c r="HS3051" s="73"/>
      <c r="HT3051" s="73"/>
      <c r="HU3051" s="73"/>
      <c r="HV3051" s="73"/>
      <c r="HW3051" s="73"/>
      <c r="HX3051" s="73"/>
      <c r="HY3051" s="73"/>
      <c r="HZ3051" s="73"/>
      <c r="IA3051" s="73"/>
      <c r="IB3051" s="73"/>
      <c r="IC3051" s="73"/>
      <c r="ID3051" s="73"/>
      <c r="IE3051" s="73"/>
      <c r="IF3051" s="73"/>
      <c r="IG3051" s="73"/>
      <c r="IH3051" s="73"/>
      <c r="II3051" s="73"/>
      <c r="IJ3051" s="73"/>
      <c r="IK3051" s="73"/>
      <c r="IL3051" s="73"/>
      <c r="IM3051" s="73"/>
      <c r="IN3051" s="73"/>
      <c r="IO3051" s="73"/>
      <c r="IP3051" s="73"/>
      <c r="IQ3051" s="73"/>
      <c r="IR3051" s="73"/>
      <c r="IS3051" s="73"/>
      <c r="IT3051" s="73"/>
      <c r="IU3051" s="73"/>
      <c r="IV3051" s="73"/>
      <c r="IW3051" s="73"/>
      <c r="IX3051" s="73"/>
      <c r="IY3051" s="73"/>
      <c r="IZ3051" s="73"/>
      <c r="JA3051" s="73"/>
      <c r="JB3051" s="73"/>
      <c r="JC3051" s="73"/>
    </row>
    <row r="3052" spans="2:263" s="72" customFormat="1">
      <c r="B3052" s="73"/>
      <c r="C3052" s="73"/>
      <c r="D3052" s="73"/>
      <c r="E3052" s="73"/>
      <c r="F3052" s="73"/>
      <c r="G3052" s="73"/>
      <c r="H3052" s="73"/>
      <c r="I3052" s="73"/>
      <c r="J3052" s="73"/>
      <c r="K3052" s="73"/>
      <c r="L3052" s="73"/>
      <c r="M3052" s="73"/>
      <c r="N3052" s="73"/>
      <c r="O3052" s="73"/>
      <c r="P3052" s="73"/>
      <c r="Q3052" s="73"/>
      <c r="R3052" s="73"/>
      <c r="S3052" s="73"/>
      <c r="T3052" s="73"/>
      <c r="U3052" s="73"/>
      <c r="V3052" s="73"/>
      <c r="W3052" s="73"/>
      <c r="GL3052" s="73"/>
      <c r="GM3052" s="73"/>
      <c r="GN3052" s="73"/>
      <c r="GO3052" s="73"/>
      <c r="GP3052" s="73"/>
      <c r="GQ3052" s="73"/>
      <c r="GR3052" s="73"/>
      <c r="GS3052" s="73"/>
      <c r="GT3052" s="73"/>
      <c r="GU3052" s="73"/>
      <c r="GV3052" s="73"/>
      <c r="GW3052" s="73"/>
      <c r="GX3052" s="73"/>
      <c r="GY3052" s="73"/>
      <c r="GZ3052" s="73"/>
      <c r="HA3052" s="73"/>
      <c r="HB3052" s="73"/>
      <c r="HC3052" s="73"/>
      <c r="HD3052" s="73"/>
      <c r="HE3052" s="73"/>
      <c r="HF3052" s="73"/>
      <c r="HG3052" s="73"/>
      <c r="HH3052" s="73"/>
      <c r="HI3052" s="73"/>
      <c r="HJ3052" s="73"/>
      <c r="HK3052" s="73"/>
      <c r="HL3052" s="73"/>
      <c r="HM3052" s="73"/>
      <c r="HN3052" s="73"/>
      <c r="HO3052" s="73"/>
      <c r="HP3052" s="73"/>
      <c r="HQ3052" s="73"/>
      <c r="HR3052" s="73"/>
      <c r="HS3052" s="73"/>
      <c r="HT3052" s="73"/>
      <c r="HU3052" s="73"/>
      <c r="HV3052" s="73"/>
      <c r="HW3052" s="73"/>
      <c r="HX3052" s="73"/>
      <c r="HY3052" s="73"/>
      <c r="HZ3052" s="73"/>
      <c r="IA3052" s="73"/>
      <c r="IB3052" s="73"/>
      <c r="IC3052" s="73"/>
      <c r="ID3052" s="73"/>
      <c r="IE3052" s="73"/>
      <c r="IF3052" s="73"/>
      <c r="IG3052" s="73"/>
      <c r="IH3052" s="73"/>
      <c r="II3052" s="73"/>
      <c r="IJ3052" s="73"/>
      <c r="IK3052" s="73"/>
      <c r="IL3052" s="73"/>
      <c r="IM3052" s="73"/>
      <c r="IN3052" s="73"/>
      <c r="IO3052" s="73"/>
      <c r="IP3052" s="73"/>
      <c r="IQ3052" s="73"/>
      <c r="IR3052" s="73"/>
      <c r="IS3052" s="73"/>
      <c r="IT3052" s="73"/>
      <c r="IU3052" s="73"/>
      <c r="IV3052" s="73"/>
      <c r="IW3052" s="73"/>
      <c r="IX3052" s="73"/>
      <c r="IY3052" s="73"/>
      <c r="IZ3052" s="73"/>
      <c r="JA3052" s="73"/>
      <c r="JB3052" s="73"/>
      <c r="JC3052" s="73"/>
    </row>
    <row r="3053" spans="2:263" s="72" customFormat="1">
      <c r="B3053" s="73"/>
      <c r="C3053" s="73"/>
      <c r="D3053" s="73"/>
      <c r="E3053" s="73"/>
      <c r="F3053" s="73"/>
      <c r="G3053" s="73"/>
      <c r="H3053" s="73"/>
      <c r="I3053" s="73"/>
      <c r="J3053" s="73"/>
      <c r="K3053" s="73"/>
      <c r="L3053" s="73"/>
      <c r="M3053" s="73"/>
      <c r="N3053" s="73"/>
      <c r="O3053" s="73"/>
      <c r="P3053" s="73"/>
      <c r="Q3053" s="73"/>
      <c r="R3053" s="73"/>
      <c r="S3053" s="73"/>
      <c r="T3053" s="73"/>
      <c r="U3053" s="73"/>
      <c r="V3053" s="73"/>
      <c r="W3053" s="73"/>
      <c r="GL3053" s="73"/>
      <c r="GM3053" s="73"/>
      <c r="GN3053" s="73"/>
      <c r="GO3053" s="73"/>
      <c r="GP3053" s="73"/>
      <c r="GQ3053" s="73"/>
      <c r="GR3053" s="73"/>
      <c r="GS3053" s="73"/>
      <c r="GT3053" s="73"/>
      <c r="GU3053" s="73"/>
      <c r="GV3053" s="73"/>
      <c r="GW3053" s="73"/>
      <c r="GX3053" s="73"/>
      <c r="GY3053" s="73"/>
      <c r="GZ3053" s="73"/>
      <c r="HA3053" s="73"/>
      <c r="HB3053" s="73"/>
      <c r="HC3053" s="73"/>
      <c r="HD3053" s="73"/>
      <c r="HE3053" s="73"/>
      <c r="HF3053" s="73"/>
      <c r="HG3053" s="73"/>
      <c r="HH3053" s="73"/>
      <c r="HI3053" s="73"/>
      <c r="HJ3053" s="73"/>
      <c r="HK3053" s="73"/>
      <c r="HL3053" s="73"/>
      <c r="HM3053" s="73"/>
      <c r="HN3053" s="73"/>
      <c r="HO3053" s="73"/>
      <c r="HP3053" s="73"/>
      <c r="HQ3053" s="73"/>
      <c r="HR3053" s="73"/>
      <c r="HS3053" s="73"/>
      <c r="HT3053" s="73"/>
      <c r="HU3053" s="73"/>
      <c r="HV3053" s="73"/>
      <c r="HW3053" s="73"/>
      <c r="HX3053" s="73"/>
      <c r="HY3053" s="73"/>
      <c r="HZ3053" s="73"/>
      <c r="IA3053" s="73"/>
      <c r="IB3053" s="73"/>
      <c r="IC3053" s="73"/>
      <c r="ID3053" s="73"/>
      <c r="IE3053" s="73"/>
      <c r="IF3053" s="73"/>
      <c r="IG3053" s="73"/>
      <c r="IH3053" s="73"/>
      <c r="II3053" s="73"/>
      <c r="IJ3053" s="73"/>
      <c r="IK3053" s="73"/>
      <c r="IL3053" s="73"/>
      <c r="IM3053" s="73"/>
      <c r="IN3053" s="73"/>
      <c r="IO3053" s="73"/>
      <c r="IP3053" s="73"/>
      <c r="IQ3053" s="73"/>
      <c r="IR3053" s="73"/>
      <c r="IS3053" s="73"/>
      <c r="IT3053" s="73"/>
      <c r="IU3053" s="73"/>
      <c r="IV3053" s="73"/>
      <c r="IW3053" s="73"/>
      <c r="IX3053" s="73"/>
      <c r="IY3053" s="73"/>
      <c r="IZ3053" s="73"/>
      <c r="JA3053" s="73"/>
      <c r="JB3053" s="73"/>
      <c r="JC3053" s="73"/>
    </row>
    <row r="3054" spans="2:263" s="72" customFormat="1">
      <c r="B3054" s="73"/>
      <c r="C3054" s="73"/>
      <c r="D3054" s="73"/>
      <c r="E3054" s="73"/>
      <c r="F3054" s="73"/>
      <c r="G3054" s="73"/>
      <c r="H3054" s="73"/>
      <c r="I3054" s="73"/>
      <c r="J3054" s="73"/>
      <c r="K3054" s="73"/>
      <c r="L3054" s="73"/>
      <c r="M3054" s="73"/>
      <c r="N3054" s="73"/>
      <c r="O3054" s="73"/>
      <c r="P3054" s="73"/>
      <c r="Q3054" s="73"/>
      <c r="R3054" s="73"/>
      <c r="S3054" s="73"/>
      <c r="T3054" s="73"/>
      <c r="U3054" s="73"/>
      <c r="V3054" s="73"/>
      <c r="W3054" s="73"/>
      <c r="GL3054" s="73"/>
      <c r="GM3054" s="73"/>
      <c r="GN3054" s="73"/>
      <c r="GO3054" s="73"/>
      <c r="GP3054" s="73"/>
      <c r="GQ3054" s="73"/>
      <c r="GR3054" s="73"/>
      <c r="GS3054" s="73"/>
      <c r="GT3054" s="73"/>
      <c r="GU3054" s="73"/>
      <c r="GV3054" s="73"/>
      <c r="GW3054" s="73"/>
      <c r="GX3054" s="73"/>
      <c r="GY3054" s="73"/>
      <c r="GZ3054" s="73"/>
      <c r="HA3054" s="73"/>
      <c r="HB3054" s="73"/>
      <c r="HC3054" s="73"/>
      <c r="HD3054" s="73"/>
      <c r="HE3054" s="73"/>
      <c r="HF3054" s="73"/>
      <c r="HG3054" s="73"/>
      <c r="HH3054" s="73"/>
      <c r="HI3054" s="73"/>
      <c r="HJ3054" s="73"/>
      <c r="HK3054" s="73"/>
      <c r="HL3054" s="73"/>
      <c r="HM3054" s="73"/>
      <c r="HN3054" s="73"/>
      <c r="HO3054" s="73"/>
      <c r="HP3054" s="73"/>
      <c r="HQ3054" s="73"/>
      <c r="HR3054" s="73"/>
      <c r="HS3054" s="73"/>
      <c r="HT3054" s="73"/>
      <c r="HU3054" s="73"/>
      <c r="HV3054" s="73"/>
      <c r="HW3054" s="73"/>
      <c r="HX3054" s="73"/>
      <c r="HY3054" s="73"/>
      <c r="HZ3054" s="73"/>
      <c r="IA3054" s="73"/>
      <c r="IB3054" s="73"/>
      <c r="IC3054" s="73"/>
      <c r="ID3054" s="73"/>
      <c r="IE3054" s="73"/>
      <c r="IF3054" s="73"/>
      <c r="IG3054" s="73"/>
      <c r="IH3054" s="73"/>
      <c r="II3054" s="73"/>
      <c r="IJ3054" s="73"/>
      <c r="IK3054" s="73"/>
      <c r="IL3054" s="73"/>
      <c r="IM3054" s="73"/>
      <c r="IN3054" s="73"/>
      <c r="IO3054" s="73"/>
      <c r="IP3054" s="73"/>
      <c r="IQ3054" s="73"/>
      <c r="IR3054" s="73"/>
      <c r="IS3054" s="73"/>
      <c r="IT3054" s="73"/>
      <c r="IU3054" s="73"/>
      <c r="IV3054" s="73"/>
      <c r="IW3054" s="73"/>
      <c r="IX3054" s="73"/>
      <c r="IY3054" s="73"/>
      <c r="IZ3054" s="73"/>
      <c r="JA3054" s="73"/>
      <c r="JB3054" s="73"/>
      <c r="JC3054" s="73"/>
    </row>
    <row r="3055" spans="2:263" s="72" customFormat="1">
      <c r="B3055" s="73"/>
      <c r="C3055" s="73"/>
      <c r="D3055" s="73"/>
      <c r="E3055" s="73"/>
      <c r="F3055" s="73"/>
      <c r="G3055" s="73"/>
      <c r="H3055" s="73"/>
      <c r="I3055" s="73"/>
      <c r="J3055" s="73"/>
      <c r="K3055" s="73"/>
      <c r="L3055" s="73"/>
      <c r="M3055" s="73"/>
      <c r="N3055" s="73"/>
      <c r="O3055" s="73"/>
      <c r="P3055" s="73"/>
      <c r="Q3055" s="73"/>
      <c r="R3055" s="73"/>
      <c r="S3055" s="73"/>
      <c r="T3055" s="73"/>
      <c r="U3055" s="73"/>
      <c r="V3055" s="73"/>
      <c r="W3055" s="73"/>
      <c r="GL3055" s="73"/>
      <c r="GM3055" s="73"/>
      <c r="GN3055" s="73"/>
      <c r="GO3055" s="73"/>
      <c r="GP3055" s="73"/>
      <c r="GQ3055" s="73"/>
      <c r="GR3055" s="73"/>
      <c r="GS3055" s="73"/>
      <c r="GT3055" s="73"/>
      <c r="GU3055" s="73"/>
      <c r="GV3055" s="73"/>
      <c r="GW3055" s="73"/>
      <c r="GX3055" s="73"/>
      <c r="GY3055" s="73"/>
      <c r="GZ3055" s="73"/>
      <c r="HA3055" s="73"/>
      <c r="HB3055" s="73"/>
      <c r="HC3055" s="73"/>
      <c r="HD3055" s="73"/>
      <c r="HE3055" s="73"/>
      <c r="HF3055" s="73"/>
      <c r="HG3055" s="73"/>
      <c r="HH3055" s="73"/>
      <c r="HI3055" s="73"/>
      <c r="HJ3055" s="73"/>
      <c r="HK3055" s="73"/>
      <c r="HL3055" s="73"/>
      <c r="HM3055" s="73"/>
      <c r="HN3055" s="73"/>
      <c r="HO3055" s="73"/>
      <c r="HP3055" s="73"/>
      <c r="HQ3055" s="73"/>
      <c r="HR3055" s="73"/>
      <c r="HS3055" s="73"/>
      <c r="HT3055" s="73"/>
      <c r="HU3055" s="73"/>
      <c r="HV3055" s="73"/>
      <c r="HW3055" s="73"/>
      <c r="HX3055" s="73"/>
      <c r="HY3055" s="73"/>
      <c r="HZ3055" s="73"/>
      <c r="IA3055" s="73"/>
      <c r="IB3055" s="73"/>
      <c r="IC3055" s="73"/>
      <c r="ID3055" s="73"/>
      <c r="IE3055" s="73"/>
      <c r="IF3055" s="73"/>
      <c r="IG3055" s="73"/>
      <c r="IH3055" s="73"/>
      <c r="II3055" s="73"/>
      <c r="IJ3055" s="73"/>
      <c r="IK3055" s="73"/>
      <c r="IL3055" s="73"/>
      <c r="IM3055" s="73"/>
      <c r="IN3055" s="73"/>
      <c r="IO3055" s="73"/>
      <c r="IP3055" s="73"/>
      <c r="IQ3055" s="73"/>
      <c r="IR3055" s="73"/>
      <c r="IS3055" s="73"/>
      <c r="IT3055" s="73"/>
      <c r="IU3055" s="73"/>
      <c r="IV3055" s="73"/>
      <c r="IW3055" s="73"/>
      <c r="IX3055" s="73"/>
      <c r="IY3055" s="73"/>
      <c r="IZ3055" s="73"/>
      <c r="JA3055" s="73"/>
      <c r="JB3055" s="73"/>
      <c r="JC3055" s="73"/>
    </row>
    <row r="3056" spans="2:263" s="72" customFormat="1">
      <c r="B3056" s="73"/>
      <c r="C3056" s="73"/>
      <c r="D3056" s="73"/>
      <c r="E3056" s="73"/>
      <c r="F3056" s="73"/>
      <c r="G3056" s="73"/>
      <c r="H3056" s="73"/>
      <c r="I3056" s="73"/>
      <c r="J3056" s="73"/>
      <c r="K3056" s="73"/>
      <c r="L3056" s="73"/>
      <c r="M3056" s="73"/>
      <c r="N3056" s="73"/>
      <c r="O3056" s="73"/>
      <c r="P3056" s="73"/>
      <c r="Q3056" s="73"/>
      <c r="R3056" s="73"/>
      <c r="S3056" s="73"/>
      <c r="T3056" s="73"/>
      <c r="U3056" s="73"/>
      <c r="V3056" s="73"/>
      <c r="W3056" s="73"/>
      <c r="GL3056" s="73"/>
      <c r="GM3056" s="73"/>
      <c r="GN3056" s="73"/>
      <c r="GO3056" s="73"/>
      <c r="GP3056" s="73"/>
      <c r="GQ3056" s="73"/>
      <c r="GR3056" s="73"/>
      <c r="GS3056" s="73"/>
      <c r="GT3056" s="73"/>
      <c r="GU3056" s="73"/>
      <c r="GV3056" s="73"/>
      <c r="GW3056" s="73"/>
      <c r="GX3056" s="73"/>
      <c r="GY3056" s="73"/>
      <c r="GZ3056" s="73"/>
      <c r="HA3056" s="73"/>
      <c r="HB3056" s="73"/>
      <c r="HC3056" s="73"/>
      <c r="HD3056" s="73"/>
      <c r="HE3056" s="73"/>
      <c r="HF3056" s="73"/>
      <c r="HG3056" s="73"/>
      <c r="HH3056" s="73"/>
      <c r="HI3056" s="73"/>
      <c r="HJ3056" s="73"/>
      <c r="HK3056" s="73"/>
      <c r="HL3056" s="73"/>
      <c r="HM3056" s="73"/>
      <c r="HN3056" s="73"/>
      <c r="HO3056" s="73"/>
      <c r="HP3056" s="73"/>
      <c r="HQ3056" s="73"/>
      <c r="HR3056" s="73"/>
      <c r="HS3056" s="73"/>
      <c r="HT3056" s="73"/>
      <c r="HU3056" s="73"/>
      <c r="HV3056" s="73"/>
      <c r="HW3056" s="73"/>
      <c r="HX3056" s="73"/>
      <c r="HY3056" s="73"/>
      <c r="HZ3056" s="73"/>
      <c r="IA3056" s="73"/>
      <c r="IB3056" s="73"/>
      <c r="IC3056" s="73"/>
      <c r="ID3056" s="73"/>
      <c r="IE3056" s="73"/>
      <c r="IF3056" s="73"/>
      <c r="IG3056" s="73"/>
      <c r="IH3056" s="73"/>
      <c r="II3056" s="73"/>
      <c r="IJ3056" s="73"/>
      <c r="IK3056" s="73"/>
      <c r="IL3056" s="73"/>
      <c r="IM3056" s="73"/>
      <c r="IN3056" s="73"/>
      <c r="IO3056" s="73"/>
      <c r="IP3056" s="73"/>
      <c r="IQ3056" s="73"/>
      <c r="IR3056" s="73"/>
      <c r="IS3056" s="73"/>
      <c r="IT3056" s="73"/>
      <c r="IU3056" s="73"/>
      <c r="IV3056" s="73"/>
      <c r="IW3056" s="73"/>
      <c r="IX3056" s="73"/>
      <c r="IY3056" s="73"/>
      <c r="IZ3056" s="73"/>
      <c r="JA3056" s="73"/>
      <c r="JB3056" s="73"/>
      <c r="JC3056" s="73"/>
    </row>
    <row r="3057" spans="2:263" s="72" customFormat="1">
      <c r="B3057" s="73"/>
      <c r="C3057" s="73"/>
      <c r="D3057" s="73"/>
      <c r="E3057" s="73"/>
      <c r="F3057" s="73"/>
      <c r="G3057" s="73"/>
      <c r="H3057" s="73"/>
      <c r="I3057" s="73"/>
      <c r="J3057" s="73"/>
      <c r="K3057" s="73"/>
      <c r="L3057" s="73"/>
      <c r="M3057" s="73"/>
      <c r="N3057" s="73"/>
      <c r="O3057" s="73"/>
      <c r="P3057" s="73"/>
      <c r="Q3057" s="73"/>
      <c r="R3057" s="73"/>
      <c r="S3057" s="73"/>
      <c r="T3057" s="73"/>
      <c r="U3057" s="73"/>
      <c r="V3057" s="73"/>
      <c r="W3057" s="73"/>
      <c r="GL3057" s="73"/>
      <c r="GM3057" s="73"/>
      <c r="GN3057" s="73"/>
      <c r="GO3057" s="73"/>
      <c r="GP3057" s="73"/>
      <c r="GQ3057" s="73"/>
      <c r="GR3057" s="73"/>
      <c r="GS3057" s="73"/>
      <c r="GT3057" s="73"/>
      <c r="GU3057" s="73"/>
      <c r="GV3057" s="73"/>
      <c r="GW3057" s="73"/>
      <c r="GX3057" s="73"/>
      <c r="GY3057" s="73"/>
      <c r="GZ3057" s="73"/>
      <c r="HA3057" s="73"/>
      <c r="HB3057" s="73"/>
      <c r="HC3057" s="73"/>
      <c r="HD3057" s="73"/>
      <c r="HE3057" s="73"/>
      <c r="HF3057" s="73"/>
      <c r="HG3057" s="73"/>
      <c r="HH3057" s="73"/>
      <c r="HI3057" s="73"/>
      <c r="HJ3057" s="73"/>
      <c r="HK3057" s="73"/>
      <c r="HL3057" s="73"/>
      <c r="HM3057" s="73"/>
      <c r="HN3057" s="73"/>
      <c r="HO3057" s="73"/>
      <c r="HP3057" s="73"/>
      <c r="HQ3057" s="73"/>
      <c r="HR3057" s="73"/>
      <c r="HS3057" s="73"/>
      <c r="HT3057" s="73"/>
      <c r="HU3057" s="73"/>
      <c r="HV3057" s="73"/>
      <c r="HW3057" s="73"/>
      <c r="HX3057" s="73"/>
      <c r="HY3057" s="73"/>
      <c r="HZ3057" s="73"/>
      <c r="IA3057" s="73"/>
      <c r="IB3057" s="73"/>
      <c r="IC3057" s="73"/>
      <c r="ID3057" s="73"/>
      <c r="IE3057" s="73"/>
      <c r="IF3057" s="73"/>
      <c r="IG3057" s="73"/>
      <c r="IH3057" s="73"/>
      <c r="II3057" s="73"/>
      <c r="IJ3057" s="73"/>
      <c r="IK3057" s="73"/>
      <c r="IL3057" s="73"/>
      <c r="IM3057" s="73"/>
      <c r="IN3057" s="73"/>
      <c r="IO3057" s="73"/>
      <c r="IP3057" s="73"/>
      <c r="IQ3057" s="73"/>
      <c r="IR3057" s="73"/>
      <c r="IS3057" s="73"/>
      <c r="IT3057" s="73"/>
      <c r="IU3057" s="73"/>
      <c r="IV3057" s="73"/>
      <c r="IW3057" s="73"/>
      <c r="IX3057" s="73"/>
      <c r="IY3057" s="73"/>
      <c r="IZ3057" s="73"/>
      <c r="JA3057" s="73"/>
      <c r="JB3057" s="73"/>
      <c r="JC3057" s="73"/>
    </row>
    <row r="3058" spans="2:263" s="72" customFormat="1">
      <c r="B3058" s="73"/>
      <c r="C3058" s="73"/>
      <c r="D3058" s="73"/>
      <c r="E3058" s="73"/>
      <c r="F3058" s="73"/>
      <c r="G3058" s="73"/>
      <c r="H3058" s="73"/>
      <c r="I3058" s="73"/>
      <c r="J3058" s="73"/>
      <c r="K3058" s="73"/>
      <c r="L3058" s="73"/>
      <c r="M3058" s="73"/>
      <c r="N3058" s="73"/>
      <c r="O3058" s="73"/>
      <c r="P3058" s="73"/>
      <c r="Q3058" s="73"/>
      <c r="R3058" s="73"/>
      <c r="S3058" s="73"/>
      <c r="T3058" s="73"/>
      <c r="U3058" s="73"/>
      <c r="V3058" s="73"/>
      <c r="W3058" s="73"/>
      <c r="GL3058" s="73"/>
      <c r="GM3058" s="73"/>
      <c r="GN3058" s="73"/>
      <c r="GO3058" s="73"/>
      <c r="GP3058" s="73"/>
      <c r="GQ3058" s="73"/>
      <c r="GR3058" s="73"/>
      <c r="GS3058" s="73"/>
      <c r="GT3058" s="73"/>
      <c r="GU3058" s="73"/>
      <c r="GV3058" s="73"/>
      <c r="GW3058" s="73"/>
      <c r="GX3058" s="73"/>
      <c r="GY3058" s="73"/>
      <c r="GZ3058" s="73"/>
      <c r="HA3058" s="73"/>
      <c r="HB3058" s="73"/>
      <c r="HC3058" s="73"/>
      <c r="HD3058" s="73"/>
      <c r="HE3058" s="73"/>
      <c r="HF3058" s="73"/>
      <c r="HG3058" s="73"/>
      <c r="HH3058" s="73"/>
      <c r="HI3058" s="73"/>
      <c r="HJ3058" s="73"/>
      <c r="HK3058" s="73"/>
      <c r="HL3058" s="73"/>
      <c r="HM3058" s="73"/>
      <c r="HN3058" s="73"/>
      <c r="HO3058" s="73"/>
      <c r="HP3058" s="73"/>
      <c r="HQ3058" s="73"/>
      <c r="HR3058" s="73"/>
      <c r="HS3058" s="73"/>
      <c r="HT3058" s="73"/>
      <c r="HU3058" s="73"/>
      <c r="HV3058" s="73"/>
      <c r="HW3058" s="73"/>
      <c r="HX3058" s="73"/>
      <c r="HY3058" s="73"/>
      <c r="HZ3058" s="73"/>
      <c r="IA3058" s="73"/>
      <c r="IB3058" s="73"/>
      <c r="IC3058" s="73"/>
      <c r="ID3058" s="73"/>
      <c r="IE3058" s="73"/>
      <c r="IF3058" s="73"/>
      <c r="IG3058" s="73"/>
      <c r="IH3058" s="73"/>
      <c r="II3058" s="73"/>
      <c r="IJ3058" s="73"/>
      <c r="IK3058" s="73"/>
      <c r="IL3058" s="73"/>
      <c r="IM3058" s="73"/>
      <c r="IN3058" s="73"/>
      <c r="IO3058" s="73"/>
      <c r="IP3058" s="73"/>
      <c r="IQ3058" s="73"/>
      <c r="IR3058" s="73"/>
      <c r="IS3058" s="73"/>
      <c r="IT3058" s="73"/>
      <c r="IU3058" s="73"/>
      <c r="IV3058" s="73"/>
      <c r="IW3058" s="73"/>
      <c r="IX3058" s="73"/>
      <c r="IY3058" s="73"/>
      <c r="IZ3058" s="73"/>
      <c r="JA3058" s="73"/>
      <c r="JB3058" s="73"/>
      <c r="JC3058" s="73"/>
    </row>
    <row r="3059" spans="2:263" s="72" customFormat="1">
      <c r="B3059" s="73"/>
      <c r="C3059" s="73"/>
      <c r="D3059" s="73"/>
      <c r="E3059" s="73"/>
      <c r="F3059" s="73"/>
      <c r="G3059" s="73"/>
      <c r="H3059" s="73"/>
      <c r="I3059" s="73"/>
      <c r="J3059" s="73"/>
      <c r="K3059" s="73"/>
      <c r="L3059" s="73"/>
      <c r="M3059" s="73"/>
      <c r="N3059" s="73"/>
      <c r="O3059" s="73"/>
      <c r="P3059" s="73"/>
      <c r="Q3059" s="73"/>
      <c r="R3059" s="73"/>
      <c r="S3059" s="73"/>
      <c r="T3059" s="73"/>
      <c r="U3059" s="73"/>
      <c r="V3059" s="73"/>
      <c r="W3059" s="73"/>
      <c r="GL3059" s="73"/>
      <c r="GM3059" s="73"/>
      <c r="GN3059" s="73"/>
      <c r="GO3059" s="73"/>
      <c r="GP3059" s="73"/>
      <c r="GQ3059" s="73"/>
      <c r="GR3059" s="73"/>
      <c r="GS3059" s="73"/>
      <c r="GT3059" s="73"/>
      <c r="GU3059" s="73"/>
      <c r="GV3059" s="73"/>
      <c r="GW3059" s="73"/>
      <c r="GX3059" s="73"/>
      <c r="GY3059" s="73"/>
      <c r="GZ3059" s="73"/>
      <c r="HA3059" s="73"/>
      <c r="HB3059" s="73"/>
      <c r="HC3059" s="73"/>
      <c r="HD3059" s="73"/>
      <c r="HE3059" s="73"/>
      <c r="HF3059" s="73"/>
      <c r="HG3059" s="73"/>
      <c r="HH3059" s="73"/>
      <c r="HI3059" s="73"/>
      <c r="HJ3059" s="73"/>
      <c r="HK3059" s="73"/>
      <c r="HL3059" s="73"/>
      <c r="HM3059" s="73"/>
      <c r="HN3059" s="73"/>
      <c r="HO3059" s="73"/>
      <c r="HP3059" s="73"/>
      <c r="HQ3059" s="73"/>
      <c r="HR3059" s="73"/>
      <c r="HS3059" s="73"/>
      <c r="HT3059" s="73"/>
      <c r="HU3059" s="73"/>
      <c r="HV3059" s="73"/>
      <c r="HW3059" s="73"/>
      <c r="HX3059" s="73"/>
      <c r="HY3059" s="73"/>
      <c r="HZ3059" s="73"/>
      <c r="IA3059" s="73"/>
      <c r="IB3059" s="73"/>
      <c r="IC3059" s="73"/>
      <c r="ID3059" s="73"/>
      <c r="IE3059" s="73"/>
      <c r="IF3059" s="73"/>
      <c r="IG3059" s="73"/>
      <c r="IH3059" s="73"/>
      <c r="II3059" s="73"/>
      <c r="IJ3059" s="73"/>
      <c r="IK3059" s="73"/>
      <c r="IL3059" s="73"/>
      <c r="IM3059" s="73"/>
      <c r="IN3059" s="73"/>
      <c r="IO3059" s="73"/>
      <c r="IP3059" s="73"/>
      <c r="IQ3059" s="73"/>
      <c r="IR3059" s="73"/>
      <c r="IS3059" s="73"/>
      <c r="IT3059" s="73"/>
      <c r="IU3059" s="73"/>
      <c r="IV3059" s="73"/>
      <c r="IW3059" s="73"/>
      <c r="IX3059" s="73"/>
      <c r="IY3059" s="73"/>
      <c r="IZ3059" s="73"/>
      <c r="JA3059" s="73"/>
      <c r="JB3059" s="73"/>
      <c r="JC3059" s="73"/>
    </row>
    <row r="3060" spans="2:263" s="72" customFormat="1">
      <c r="B3060" s="73"/>
      <c r="C3060" s="73"/>
      <c r="D3060" s="73"/>
      <c r="E3060" s="73"/>
      <c r="F3060" s="73"/>
      <c r="G3060" s="73"/>
      <c r="H3060" s="73"/>
      <c r="I3060" s="73"/>
      <c r="J3060" s="73"/>
      <c r="K3060" s="73"/>
      <c r="L3060" s="73"/>
      <c r="M3060" s="73"/>
      <c r="N3060" s="73"/>
      <c r="O3060" s="73"/>
      <c r="P3060" s="73"/>
      <c r="Q3060" s="73"/>
      <c r="R3060" s="73"/>
      <c r="S3060" s="73"/>
      <c r="T3060" s="73"/>
      <c r="U3060" s="73"/>
      <c r="V3060" s="73"/>
      <c r="W3060" s="73"/>
      <c r="GL3060" s="73"/>
      <c r="GM3060" s="73"/>
      <c r="GN3060" s="73"/>
      <c r="GO3060" s="73"/>
      <c r="GP3060" s="73"/>
      <c r="GQ3060" s="73"/>
      <c r="GR3060" s="73"/>
      <c r="GS3060" s="73"/>
      <c r="GT3060" s="73"/>
      <c r="GU3060" s="73"/>
      <c r="GV3060" s="73"/>
      <c r="GW3060" s="73"/>
      <c r="GX3060" s="73"/>
      <c r="GY3060" s="73"/>
      <c r="GZ3060" s="73"/>
      <c r="HA3060" s="73"/>
      <c r="HB3060" s="73"/>
      <c r="HC3060" s="73"/>
      <c r="HD3060" s="73"/>
      <c r="HE3060" s="73"/>
      <c r="HF3060" s="73"/>
      <c r="HG3060" s="73"/>
      <c r="HH3060" s="73"/>
      <c r="HI3060" s="73"/>
      <c r="HJ3060" s="73"/>
      <c r="HK3060" s="73"/>
      <c r="HL3060" s="73"/>
      <c r="HM3060" s="73"/>
      <c r="HN3060" s="73"/>
      <c r="HO3060" s="73"/>
      <c r="HP3060" s="73"/>
      <c r="HQ3060" s="73"/>
      <c r="HR3060" s="73"/>
      <c r="HS3060" s="73"/>
      <c r="HT3060" s="73"/>
      <c r="HU3060" s="73"/>
      <c r="HV3060" s="73"/>
      <c r="HW3060" s="73"/>
      <c r="HX3060" s="73"/>
      <c r="HY3060" s="73"/>
      <c r="HZ3060" s="73"/>
      <c r="IA3060" s="73"/>
      <c r="IB3060" s="73"/>
      <c r="IC3060" s="73"/>
      <c r="ID3060" s="73"/>
      <c r="IE3060" s="73"/>
      <c r="IF3060" s="73"/>
      <c r="IG3060" s="73"/>
      <c r="IH3060" s="73"/>
      <c r="II3060" s="73"/>
      <c r="IJ3060" s="73"/>
      <c r="IK3060" s="73"/>
      <c r="IL3060" s="73"/>
      <c r="IM3060" s="73"/>
      <c r="IN3060" s="73"/>
      <c r="IO3060" s="73"/>
      <c r="IP3060" s="73"/>
      <c r="IQ3060" s="73"/>
      <c r="IR3060" s="73"/>
      <c r="IS3060" s="73"/>
      <c r="IT3060" s="73"/>
      <c r="IU3060" s="73"/>
      <c r="IV3060" s="73"/>
      <c r="IW3060" s="73"/>
      <c r="IX3060" s="73"/>
      <c r="IY3060" s="73"/>
      <c r="IZ3060" s="73"/>
      <c r="JA3060" s="73"/>
      <c r="JB3060" s="73"/>
      <c r="JC3060" s="73"/>
    </row>
    <row r="3061" spans="2:263" s="72" customFormat="1">
      <c r="B3061" s="73"/>
      <c r="C3061" s="73"/>
      <c r="D3061" s="73"/>
      <c r="E3061" s="73"/>
      <c r="F3061" s="73"/>
      <c r="G3061" s="73"/>
      <c r="H3061" s="73"/>
      <c r="I3061" s="73"/>
      <c r="J3061" s="73"/>
      <c r="K3061" s="73"/>
      <c r="L3061" s="73"/>
      <c r="M3061" s="73"/>
      <c r="N3061" s="73"/>
      <c r="O3061" s="73"/>
      <c r="P3061" s="73"/>
      <c r="Q3061" s="73"/>
      <c r="R3061" s="73"/>
      <c r="S3061" s="73"/>
      <c r="T3061" s="73"/>
      <c r="U3061" s="73"/>
      <c r="V3061" s="73"/>
      <c r="W3061" s="73"/>
      <c r="GL3061" s="73"/>
      <c r="GM3061" s="73"/>
      <c r="GN3061" s="73"/>
      <c r="GO3061" s="73"/>
      <c r="GP3061" s="73"/>
      <c r="GQ3061" s="73"/>
      <c r="GR3061" s="73"/>
      <c r="GS3061" s="73"/>
      <c r="GT3061" s="73"/>
      <c r="GU3061" s="73"/>
      <c r="GV3061" s="73"/>
      <c r="GW3061" s="73"/>
      <c r="GX3061" s="73"/>
      <c r="GY3061" s="73"/>
      <c r="GZ3061" s="73"/>
      <c r="HA3061" s="73"/>
      <c r="HB3061" s="73"/>
      <c r="HC3061" s="73"/>
      <c r="HD3061" s="73"/>
      <c r="HE3061" s="73"/>
      <c r="HF3061" s="73"/>
      <c r="HG3061" s="73"/>
      <c r="HH3061" s="73"/>
      <c r="HI3061" s="73"/>
      <c r="HJ3061" s="73"/>
      <c r="HK3061" s="73"/>
      <c r="HL3061" s="73"/>
      <c r="HM3061" s="73"/>
      <c r="HN3061" s="73"/>
      <c r="HO3061" s="73"/>
      <c r="HP3061" s="73"/>
      <c r="HQ3061" s="73"/>
      <c r="HR3061" s="73"/>
      <c r="HS3061" s="73"/>
      <c r="HT3061" s="73"/>
      <c r="HU3061" s="73"/>
      <c r="HV3061" s="73"/>
      <c r="HW3061" s="73"/>
      <c r="HX3061" s="73"/>
      <c r="HY3061" s="73"/>
      <c r="HZ3061" s="73"/>
      <c r="IA3061" s="73"/>
      <c r="IB3061" s="73"/>
      <c r="IC3061" s="73"/>
      <c r="ID3061" s="73"/>
      <c r="IE3061" s="73"/>
      <c r="IF3061" s="73"/>
      <c r="IG3061" s="73"/>
      <c r="IH3061" s="73"/>
      <c r="II3061" s="73"/>
      <c r="IJ3061" s="73"/>
      <c r="IK3061" s="73"/>
      <c r="IL3061" s="73"/>
      <c r="IM3061" s="73"/>
      <c r="IN3061" s="73"/>
      <c r="IO3061" s="73"/>
      <c r="IP3061" s="73"/>
      <c r="IQ3061" s="73"/>
      <c r="IR3061" s="73"/>
      <c r="IS3061" s="73"/>
      <c r="IT3061" s="73"/>
      <c r="IU3061" s="73"/>
      <c r="IV3061" s="73"/>
      <c r="IW3061" s="73"/>
      <c r="IX3061" s="73"/>
      <c r="IY3061" s="73"/>
      <c r="IZ3061" s="73"/>
      <c r="JA3061" s="73"/>
      <c r="JB3061" s="73"/>
      <c r="JC3061" s="73"/>
    </row>
    <row r="3062" spans="2:263" s="72" customFormat="1">
      <c r="B3062" s="73"/>
      <c r="C3062" s="73"/>
      <c r="D3062" s="73"/>
      <c r="E3062" s="73"/>
      <c r="F3062" s="73"/>
      <c r="G3062" s="73"/>
      <c r="H3062" s="73"/>
      <c r="I3062" s="73"/>
      <c r="J3062" s="73"/>
      <c r="K3062" s="73"/>
      <c r="L3062" s="73"/>
      <c r="M3062" s="73"/>
      <c r="N3062" s="73"/>
      <c r="O3062" s="73"/>
      <c r="P3062" s="73"/>
      <c r="Q3062" s="73"/>
      <c r="R3062" s="73"/>
      <c r="S3062" s="73"/>
      <c r="T3062" s="73"/>
      <c r="U3062" s="73"/>
      <c r="V3062" s="73"/>
      <c r="W3062" s="73"/>
      <c r="GL3062" s="73"/>
      <c r="GM3062" s="73"/>
      <c r="GN3062" s="73"/>
      <c r="GO3062" s="73"/>
      <c r="GP3062" s="73"/>
      <c r="GQ3062" s="73"/>
      <c r="GR3062" s="73"/>
      <c r="GS3062" s="73"/>
      <c r="GT3062" s="73"/>
      <c r="GU3062" s="73"/>
      <c r="GV3062" s="73"/>
      <c r="GW3062" s="73"/>
      <c r="GX3062" s="73"/>
      <c r="GY3062" s="73"/>
      <c r="GZ3062" s="73"/>
      <c r="HA3062" s="73"/>
      <c r="HB3062" s="73"/>
      <c r="HC3062" s="73"/>
      <c r="HD3062" s="73"/>
      <c r="HE3062" s="73"/>
      <c r="HF3062" s="73"/>
      <c r="HG3062" s="73"/>
      <c r="HH3062" s="73"/>
      <c r="HI3062" s="73"/>
      <c r="HJ3062" s="73"/>
      <c r="HK3062" s="73"/>
      <c r="HL3062" s="73"/>
      <c r="HM3062" s="73"/>
      <c r="HN3062" s="73"/>
      <c r="HO3062" s="73"/>
      <c r="HP3062" s="73"/>
      <c r="HQ3062" s="73"/>
      <c r="HR3062" s="73"/>
      <c r="HS3062" s="73"/>
      <c r="HT3062" s="73"/>
      <c r="HU3062" s="73"/>
      <c r="HV3062" s="73"/>
      <c r="HW3062" s="73"/>
      <c r="HX3062" s="73"/>
      <c r="HY3062" s="73"/>
      <c r="HZ3062" s="73"/>
      <c r="IA3062" s="73"/>
      <c r="IB3062" s="73"/>
      <c r="IC3062" s="73"/>
      <c r="ID3062" s="73"/>
      <c r="IE3062" s="73"/>
      <c r="IF3062" s="73"/>
      <c r="IG3062" s="73"/>
      <c r="IH3062" s="73"/>
      <c r="II3062" s="73"/>
      <c r="IJ3062" s="73"/>
      <c r="IK3062" s="73"/>
      <c r="IL3062" s="73"/>
      <c r="IM3062" s="73"/>
      <c r="IN3062" s="73"/>
      <c r="IO3062" s="73"/>
      <c r="IP3062" s="73"/>
      <c r="IQ3062" s="73"/>
      <c r="IR3062" s="73"/>
      <c r="IS3062" s="73"/>
      <c r="IT3062" s="73"/>
      <c r="IU3062" s="73"/>
      <c r="IV3062" s="73"/>
      <c r="IW3062" s="73"/>
      <c r="IX3062" s="73"/>
      <c r="IY3062" s="73"/>
      <c r="IZ3062" s="73"/>
      <c r="JA3062" s="73"/>
      <c r="JB3062" s="73"/>
      <c r="JC3062" s="73"/>
    </row>
    <row r="3063" spans="2:263" s="72" customFormat="1">
      <c r="B3063" s="73"/>
      <c r="C3063" s="73"/>
      <c r="D3063" s="73"/>
      <c r="E3063" s="73"/>
      <c r="F3063" s="73"/>
      <c r="G3063" s="73"/>
      <c r="H3063" s="73"/>
      <c r="I3063" s="73"/>
      <c r="J3063" s="73"/>
      <c r="K3063" s="73"/>
      <c r="L3063" s="73"/>
      <c r="M3063" s="73"/>
      <c r="N3063" s="73"/>
      <c r="O3063" s="73"/>
      <c r="P3063" s="73"/>
      <c r="Q3063" s="73"/>
      <c r="R3063" s="73"/>
      <c r="S3063" s="73"/>
      <c r="T3063" s="73"/>
      <c r="U3063" s="73"/>
      <c r="V3063" s="73"/>
      <c r="W3063" s="73"/>
      <c r="GL3063" s="73"/>
      <c r="GM3063" s="73"/>
      <c r="GN3063" s="73"/>
      <c r="GO3063" s="73"/>
      <c r="GP3063" s="73"/>
      <c r="GQ3063" s="73"/>
      <c r="GR3063" s="73"/>
      <c r="GS3063" s="73"/>
      <c r="GT3063" s="73"/>
      <c r="GU3063" s="73"/>
      <c r="GV3063" s="73"/>
      <c r="GW3063" s="73"/>
      <c r="GX3063" s="73"/>
      <c r="GY3063" s="73"/>
      <c r="GZ3063" s="73"/>
      <c r="HA3063" s="73"/>
      <c r="HB3063" s="73"/>
      <c r="HC3063" s="73"/>
      <c r="HD3063" s="73"/>
      <c r="HE3063" s="73"/>
      <c r="HF3063" s="73"/>
      <c r="HG3063" s="73"/>
      <c r="HH3063" s="73"/>
      <c r="HI3063" s="73"/>
      <c r="HJ3063" s="73"/>
      <c r="HK3063" s="73"/>
      <c r="HL3063" s="73"/>
      <c r="HM3063" s="73"/>
      <c r="HN3063" s="73"/>
      <c r="HO3063" s="73"/>
      <c r="HP3063" s="73"/>
      <c r="HQ3063" s="73"/>
      <c r="HR3063" s="73"/>
      <c r="HS3063" s="73"/>
      <c r="HT3063" s="73"/>
      <c r="HU3063" s="73"/>
      <c r="HV3063" s="73"/>
      <c r="HW3063" s="73"/>
      <c r="HX3063" s="73"/>
      <c r="HY3063" s="73"/>
      <c r="HZ3063" s="73"/>
      <c r="IA3063" s="73"/>
      <c r="IB3063" s="73"/>
      <c r="IC3063" s="73"/>
      <c r="ID3063" s="73"/>
      <c r="IE3063" s="73"/>
      <c r="IF3063" s="73"/>
      <c r="IG3063" s="73"/>
      <c r="IH3063" s="73"/>
      <c r="II3063" s="73"/>
      <c r="IJ3063" s="73"/>
      <c r="IK3063" s="73"/>
      <c r="IL3063" s="73"/>
      <c r="IM3063" s="73"/>
      <c r="IN3063" s="73"/>
      <c r="IO3063" s="73"/>
      <c r="IP3063" s="73"/>
      <c r="IQ3063" s="73"/>
      <c r="IR3063" s="73"/>
      <c r="IS3063" s="73"/>
      <c r="IT3063" s="73"/>
      <c r="IU3063" s="73"/>
      <c r="IV3063" s="73"/>
      <c r="IW3063" s="73"/>
      <c r="IX3063" s="73"/>
      <c r="IY3063" s="73"/>
      <c r="IZ3063" s="73"/>
      <c r="JA3063" s="73"/>
      <c r="JB3063" s="73"/>
      <c r="JC3063" s="73"/>
    </row>
    <row r="3064" spans="2:263" s="72" customFormat="1">
      <c r="B3064" s="73"/>
      <c r="C3064" s="73"/>
      <c r="D3064" s="73"/>
      <c r="E3064" s="73"/>
      <c r="F3064" s="73"/>
      <c r="G3064" s="73"/>
      <c r="H3064" s="73"/>
      <c r="I3064" s="73"/>
      <c r="J3064" s="73"/>
      <c r="K3064" s="73"/>
      <c r="L3064" s="73"/>
      <c r="M3064" s="73"/>
      <c r="N3064" s="73"/>
      <c r="O3064" s="73"/>
      <c r="P3064" s="73"/>
      <c r="Q3064" s="73"/>
      <c r="R3064" s="73"/>
      <c r="S3064" s="73"/>
      <c r="T3064" s="73"/>
      <c r="U3064" s="73"/>
      <c r="V3064" s="73"/>
      <c r="W3064" s="73"/>
      <c r="GL3064" s="73"/>
      <c r="GM3064" s="73"/>
      <c r="GN3064" s="73"/>
      <c r="GO3064" s="73"/>
      <c r="GP3064" s="73"/>
      <c r="GQ3064" s="73"/>
      <c r="GR3064" s="73"/>
      <c r="GS3064" s="73"/>
      <c r="GT3064" s="73"/>
      <c r="GU3064" s="73"/>
      <c r="GV3064" s="73"/>
      <c r="GW3064" s="73"/>
      <c r="GX3064" s="73"/>
      <c r="GY3064" s="73"/>
      <c r="GZ3064" s="73"/>
      <c r="HA3064" s="73"/>
      <c r="HB3064" s="73"/>
      <c r="HC3064" s="73"/>
      <c r="HD3064" s="73"/>
      <c r="HE3064" s="73"/>
      <c r="HF3064" s="73"/>
      <c r="HG3064" s="73"/>
      <c r="HH3064" s="73"/>
      <c r="HI3064" s="73"/>
      <c r="HJ3064" s="73"/>
      <c r="HK3064" s="73"/>
      <c r="HL3064" s="73"/>
      <c r="HM3064" s="73"/>
      <c r="HN3064" s="73"/>
      <c r="HO3064" s="73"/>
      <c r="HP3064" s="73"/>
      <c r="HQ3064" s="73"/>
      <c r="HR3064" s="73"/>
      <c r="HS3064" s="73"/>
      <c r="HT3064" s="73"/>
      <c r="HU3064" s="73"/>
      <c r="HV3064" s="73"/>
      <c r="HW3064" s="73"/>
      <c r="HX3064" s="73"/>
      <c r="HY3064" s="73"/>
      <c r="HZ3064" s="73"/>
      <c r="IA3064" s="73"/>
      <c r="IB3064" s="73"/>
      <c r="IC3064" s="73"/>
      <c r="ID3064" s="73"/>
      <c r="IE3064" s="73"/>
      <c r="IF3064" s="73"/>
      <c r="IG3064" s="73"/>
      <c r="IH3064" s="73"/>
      <c r="II3064" s="73"/>
      <c r="IJ3064" s="73"/>
      <c r="IK3064" s="73"/>
      <c r="IL3064" s="73"/>
      <c r="IM3064" s="73"/>
      <c r="IN3064" s="73"/>
      <c r="IO3064" s="73"/>
      <c r="IP3064" s="73"/>
      <c r="IQ3064" s="73"/>
      <c r="IR3064" s="73"/>
      <c r="IS3064" s="73"/>
      <c r="IT3064" s="73"/>
      <c r="IU3064" s="73"/>
      <c r="IV3064" s="73"/>
      <c r="IW3064" s="73"/>
      <c r="IX3064" s="73"/>
      <c r="IY3064" s="73"/>
      <c r="IZ3064" s="73"/>
      <c r="JA3064" s="73"/>
      <c r="JB3064" s="73"/>
      <c r="JC3064" s="73"/>
    </row>
    <row r="3065" spans="2:263" s="72" customFormat="1">
      <c r="B3065" s="73"/>
      <c r="C3065" s="73"/>
      <c r="D3065" s="73"/>
      <c r="E3065" s="73"/>
      <c r="F3065" s="73"/>
      <c r="G3065" s="73"/>
      <c r="H3065" s="73"/>
      <c r="I3065" s="73"/>
      <c r="J3065" s="73"/>
      <c r="K3065" s="73"/>
      <c r="L3065" s="73"/>
      <c r="M3065" s="73"/>
      <c r="N3065" s="73"/>
      <c r="O3065" s="73"/>
      <c r="P3065" s="73"/>
      <c r="Q3065" s="73"/>
      <c r="R3065" s="73"/>
      <c r="S3065" s="73"/>
      <c r="T3065" s="73"/>
      <c r="U3065" s="73"/>
      <c r="V3065" s="73"/>
      <c r="W3065" s="73"/>
      <c r="GL3065" s="73"/>
      <c r="GM3065" s="73"/>
      <c r="GN3065" s="73"/>
      <c r="GO3065" s="73"/>
      <c r="GP3065" s="73"/>
      <c r="GQ3065" s="73"/>
      <c r="GR3065" s="73"/>
      <c r="GS3065" s="73"/>
      <c r="GT3065" s="73"/>
      <c r="GU3065" s="73"/>
      <c r="GV3065" s="73"/>
      <c r="GW3065" s="73"/>
      <c r="GX3065" s="73"/>
      <c r="GY3065" s="73"/>
      <c r="GZ3065" s="73"/>
      <c r="HA3065" s="73"/>
      <c r="HB3065" s="73"/>
      <c r="HC3065" s="73"/>
      <c r="HD3065" s="73"/>
      <c r="HE3065" s="73"/>
      <c r="HF3065" s="73"/>
      <c r="HG3065" s="73"/>
      <c r="HH3065" s="73"/>
      <c r="HI3065" s="73"/>
      <c r="HJ3065" s="73"/>
      <c r="HK3065" s="73"/>
      <c r="HL3065" s="73"/>
      <c r="HM3065" s="73"/>
      <c r="HN3065" s="73"/>
      <c r="HO3065" s="73"/>
      <c r="HP3065" s="73"/>
      <c r="HQ3065" s="73"/>
      <c r="HR3065" s="73"/>
      <c r="HS3065" s="73"/>
      <c r="HT3065" s="73"/>
      <c r="HU3065" s="73"/>
      <c r="HV3065" s="73"/>
      <c r="HW3065" s="73"/>
      <c r="HX3065" s="73"/>
      <c r="HY3065" s="73"/>
      <c r="HZ3065" s="73"/>
      <c r="IA3065" s="73"/>
      <c r="IB3065" s="73"/>
      <c r="IC3065" s="73"/>
      <c r="ID3065" s="73"/>
      <c r="IE3065" s="73"/>
      <c r="IF3065" s="73"/>
      <c r="IG3065" s="73"/>
      <c r="IH3065" s="73"/>
      <c r="II3065" s="73"/>
      <c r="IJ3065" s="73"/>
      <c r="IK3065" s="73"/>
      <c r="IL3065" s="73"/>
      <c r="IM3065" s="73"/>
      <c r="IN3065" s="73"/>
      <c r="IO3065" s="73"/>
      <c r="IP3065" s="73"/>
      <c r="IQ3065" s="73"/>
      <c r="IR3065" s="73"/>
      <c r="IS3065" s="73"/>
      <c r="IT3065" s="73"/>
      <c r="IU3065" s="73"/>
      <c r="IV3065" s="73"/>
      <c r="IW3065" s="73"/>
      <c r="IX3065" s="73"/>
      <c r="IY3065" s="73"/>
      <c r="IZ3065" s="73"/>
      <c r="JA3065" s="73"/>
      <c r="JB3065" s="73"/>
      <c r="JC3065" s="73"/>
    </row>
    <row r="3066" spans="2:263" s="72" customFormat="1">
      <c r="B3066" s="73"/>
      <c r="C3066" s="73"/>
      <c r="D3066" s="73"/>
      <c r="E3066" s="73"/>
      <c r="F3066" s="73"/>
      <c r="G3066" s="73"/>
      <c r="H3066" s="73"/>
      <c r="I3066" s="73"/>
      <c r="J3066" s="73"/>
      <c r="K3066" s="73"/>
      <c r="L3066" s="73"/>
      <c r="M3066" s="73"/>
      <c r="N3066" s="73"/>
      <c r="O3066" s="73"/>
      <c r="P3066" s="73"/>
      <c r="Q3066" s="73"/>
      <c r="R3066" s="73"/>
      <c r="S3066" s="73"/>
      <c r="T3066" s="73"/>
      <c r="U3066" s="73"/>
      <c r="V3066" s="73"/>
      <c r="W3066" s="73"/>
      <c r="GL3066" s="73"/>
      <c r="GM3066" s="73"/>
      <c r="GN3066" s="73"/>
      <c r="GO3066" s="73"/>
      <c r="GP3066" s="73"/>
      <c r="GQ3066" s="73"/>
      <c r="GR3066" s="73"/>
      <c r="GS3066" s="73"/>
      <c r="GT3066" s="73"/>
      <c r="GU3066" s="73"/>
      <c r="GV3066" s="73"/>
      <c r="GW3066" s="73"/>
      <c r="GX3066" s="73"/>
      <c r="GY3066" s="73"/>
      <c r="GZ3066" s="73"/>
      <c r="HA3066" s="73"/>
      <c r="HB3066" s="73"/>
      <c r="HC3066" s="73"/>
      <c r="HD3066" s="73"/>
      <c r="HE3066" s="73"/>
      <c r="HF3066" s="73"/>
      <c r="HG3066" s="73"/>
      <c r="HH3066" s="73"/>
      <c r="HI3066" s="73"/>
      <c r="HJ3066" s="73"/>
      <c r="HK3066" s="73"/>
      <c r="HL3066" s="73"/>
      <c r="HM3066" s="73"/>
      <c r="HN3066" s="73"/>
      <c r="HO3066" s="73"/>
      <c r="HP3066" s="73"/>
      <c r="HQ3066" s="73"/>
      <c r="HR3066" s="73"/>
      <c r="HS3066" s="73"/>
      <c r="HT3066" s="73"/>
      <c r="HU3066" s="73"/>
      <c r="HV3066" s="73"/>
      <c r="HW3066" s="73"/>
      <c r="HX3066" s="73"/>
      <c r="HY3066" s="73"/>
      <c r="HZ3066" s="73"/>
      <c r="IA3066" s="73"/>
      <c r="IB3066" s="73"/>
      <c r="IC3066" s="73"/>
      <c r="ID3066" s="73"/>
      <c r="IE3066" s="73"/>
      <c r="IF3066" s="73"/>
      <c r="IG3066" s="73"/>
      <c r="IH3066" s="73"/>
      <c r="II3066" s="73"/>
      <c r="IJ3066" s="73"/>
      <c r="IK3066" s="73"/>
      <c r="IL3066" s="73"/>
      <c r="IM3066" s="73"/>
      <c r="IN3066" s="73"/>
      <c r="IO3066" s="73"/>
      <c r="IP3066" s="73"/>
      <c r="IQ3066" s="73"/>
      <c r="IR3066" s="73"/>
      <c r="IS3066" s="73"/>
      <c r="IT3066" s="73"/>
      <c r="IU3066" s="73"/>
      <c r="IV3066" s="73"/>
      <c r="IW3066" s="73"/>
      <c r="IX3066" s="73"/>
      <c r="IY3066" s="73"/>
      <c r="IZ3066" s="73"/>
      <c r="JA3066" s="73"/>
      <c r="JB3066" s="73"/>
      <c r="JC3066" s="73"/>
    </row>
    <row r="3067" spans="2:263" s="72" customFormat="1">
      <c r="B3067" s="73"/>
      <c r="C3067" s="73"/>
      <c r="D3067" s="73"/>
      <c r="E3067" s="73"/>
      <c r="F3067" s="73"/>
      <c r="G3067" s="73"/>
      <c r="H3067" s="73"/>
      <c r="I3067" s="73"/>
      <c r="J3067" s="73"/>
      <c r="K3067" s="73"/>
      <c r="L3067" s="73"/>
      <c r="M3067" s="73"/>
      <c r="N3067" s="73"/>
      <c r="O3067" s="73"/>
      <c r="P3067" s="73"/>
      <c r="Q3067" s="73"/>
      <c r="R3067" s="73"/>
      <c r="S3067" s="73"/>
      <c r="T3067" s="73"/>
      <c r="U3067" s="73"/>
      <c r="V3067" s="73"/>
      <c r="W3067" s="73"/>
      <c r="GL3067" s="73"/>
      <c r="GM3067" s="73"/>
      <c r="GN3067" s="73"/>
      <c r="GO3067" s="73"/>
      <c r="GP3067" s="73"/>
      <c r="GQ3067" s="73"/>
      <c r="GR3067" s="73"/>
      <c r="GS3067" s="73"/>
      <c r="GT3067" s="73"/>
      <c r="GU3067" s="73"/>
      <c r="GV3067" s="73"/>
      <c r="GW3067" s="73"/>
      <c r="GX3067" s="73"/>
      <c r="GY3067" s="73"/>
      <c r="GZ3067" s="73"/>
      <c r="HA3067" s="73"/>
      <c r="HB3067" s="73"/>
      <c r="HC3067" s="73"/>
      <c r="HD3067" s="73"/>
      <c r="HE3067" s="73"/>
      <c r="HF3067" s="73"/>
      <c r="HG3067" s="73"/>
      <c r="HH3067" s="73"/>
      <c r="HI3067" s="73"/>
      <c r="HJ3067" s="73"/>
      <c r="HK3067" s="73"/>
      <c r="HL3067" s="73"/>
      <c r="HM3067" s="73"/>
      <c r="HN3067" s="73"/>
      <c r="HO3067" s="73"/>
      <c r="HP3067" s="73"/>
      <c r="HQ3067" s="73"/>
      <c r="HR3067" s="73"/>
      <c r="HS3067" s="73"/>
      <c r="HT3067" s="73"/>
      <c r="HU3067" s="73"/>
      <c r="HV3067" s="73"/>
      <c r="HW3067" s="73"/>
      <c r="HX3067" s="73"/>
      <c r="HY3067" s="73"/>
      <c r="HZ3067" s="73"/>
      <c r="IA3067" s="73"/>
      <c r="IB3067" s="73"/>
      <c r="IC3067" s="73"/>
      <c r="ID3067" s="73"/>
      <c r="IE3067" s="73"/>
      <c r="IF3067" s="73"/>
      <c r="IG3067" s="73"/>
      <c r="IH3067" s="73"/>
      <c r="II3067" s="73"/>
      <c r="IJ3067" s="73"/>
      <c r="IK3067" s="73"/>
      <c r="IL3067" s="73"/>
      <c r="IM3067" s="73"/>
      <c r="IN3067" s="73"/>
      <c r="IO3067" s="73"/>
      <c r="IP3067" s="73"/>
      <c r="IQ3067" s="73"/>
      <c r="IR3067" s="73"/>
      <c r="IS3067" s="73"/>
      <c r="IT3067" s="73"/>
      <c r="IU3067" s="73"/>
      <c r="IV3067" s="73"/>
      <c r="IW3067" s="73"/>
      <c r="IX3067" s="73"/>
      <c r="IY3067" s="73"/>
      <c r="IZ3067" s="73"/>
      <c r="JA3067" s="73"/>
      <c r="JB3067" s="73"/>
      <c r="JC3067" s="73"/>
    </row>
    <row r="3068" spans="2:263" s="72" customFormat="1">
      <c r="B3068" s="73"/>
      <c r="C3068" s="73"/>
      <c r="D3068" s="73"/>
      <c r="E3068" s="73"/>
      <c r="F3068" s="73"/>
      <c r="G3068" s="73"/>
      <c r="H3068" s="73"/>
      <c r="I3068" s="73"/>
      <c r="J3068" s="73"/>
      <c r="K3068" s="73"/>
      <c r="L3068" s="73"/>
      <c r="M3068" s="73"/>
      <c r="N3068" s="73"/>
      <c r="O3068" s="73"/>
      <c r="P3068" s="73"/>
      <c r="Q3068" s="73"/>
      <c r="R3068" s="73"/>
      <c r="S3068" s="73"/>
      <c r="T3068" s="73"/>
      <c r="U3068" s="73"/>
      <c r="V3068" s="73"/>
      <c r="W3068" s="73"/>
      <c r="GL3068" s="73"/>
      <c r="GM3068" s="73"/>
      <c r="GN3068" s="73"/>
      <c r="GO3068" s="73"/>
      <c r="GP3068" s="73"/>
      <c r="GQ3068" s="73"/>
      <c r="GR3068" s="73"/>
      <c r="GS3068" s="73"/>
      <c r="GT3068" s="73"/>
      <c r="GU3068" s="73"/>
      <c r="GV3068" s="73"/>
      <c r="GW3068" s="73"/>
      <c r="GX3068" s="73"/>
      <c r="GY3068" s="73"/>
      <c r="GZ3068" s="73"/>
      <c r="HA3068" s="73"/>
      <c r="HB3068" s="73"/>
      <c r="HC3068" s="73"/>
      <c r="HD3068" s="73"/>
      <c r="HE3068" s="73"/>
      <c r="HF3068" s="73"/>
      <c r="HG3068" s="73"/>
      <c r="HH3068" s="73"/>
      <c r="HI3068" s="73"/>
      <c r="HJ3068" s="73"/>
      <c r="HK3068" s="73"/>
      <c r="HL3068" s="73"/>
      <c r="HM3068" s="73"/>
      <c r="HN3068" s="73"/>
      <c r="HO3068" s="73"/>
      <c r="HP3068" s="73"/>
      <c r="HQ3068" s="73"/>
      <c r="HR3068" s="73"/>
      <c r="HS3068" s="73"/>
      <c r="HT3068" s="73"/>
      <c r="HU3068" s="73"/>
      <c r="HV3068" s="73"/>
      <c r="HW3068" s="73"/>
      <c r="HX3068" s="73"/>
      <c r="HY3068" s="73"/>
      <c r="HZ3068" s="73"/>
      <c r="IA3068" s="73"/>
      <c r="IB3068" s="73"/>
      <c r="IC3068" s="73"/>
      <c r="ID3068" s="73"/>
      <c r="IE3068" s="73"/>
      <c r="IF3068" s="73"/>
      <c r="IG3068" s="73"/>
      <c r="IH3068" s="73"/>
      <c r="II3068" s="73"/>
      <c r="IJ3068" s="73"/>
      <c r="IK3068" s="73"/>
      <c r="IL3068" s="73"/>
      <c r="IM3068" s="73"/>
      <c r="IN3068" s="73"/>
      <c r="IO3068" s="73"/>
      <c r="IP3068" s="73"/>
      <c r="IQ3068" s="73"/>
      <c r="IR3068" s="73"/>
      <c r="IS3068" s="73"/>
      <c r="IT3068" s="73"/>
      <c r="IU3068" s="73"/>
      <c r="IV3068" s="73"/>
      <c r="IW3068" s="73"/>
      <c r="IX3068" s="73"/>
      <c r="IY3068" s="73"/>
      <c r="IZ3068" s="73"/>
      <c r="JA3068" s="73"/>
      <c r="JB3068" s="73"/>
      <c r="JC3068" s="73"/>
    </row>
    <row r="3069" spans="2:263" s="72" customFormat="1">
      <c r="B3069" s="73"/>
      <c r="C3069" s="73"/>
      <c r="D3069" s="73"/>
      <c r="E3069" s="73"/>
      <c r="F3069" s="73"/>
      <c r="G3069" s="73"/>
      <c r="H3069" s="73"/>
      <c r="I3069" s="73"/>
      <c r="J3069" s="73"/>
      <c r="K3069" s="73"/>
      <c r="L3069" s="73"/>
      <c r="M3069" s="73"/>
      <c r="N3069" s="73"/>
      <c r="O3069" s="73"/>
      <c r="P3069" s="73"/>
      <c r="Q3069" s="73"/>
      <c r="R3069" s="73"/>
      <c r="S3069" s="73"/>
      <c r="T3069" s="73"/>
      <c r="U3069" s="73"/>
      <c r="V3069" s="73"/>
      <c r="W3069" s="73"/>
      <c r="GL3069" s="73"/>
      <c r="GM3069" s="73"/>
      <c r="GN3069" s="73"/>
      <c r="GO3069" s="73"/>
      <c r="GP3069" s="73"/>
      <c r="GQ3069" s="73"/>
      <c r="GR3069" s="73"/>
      <c r="GS3069" s="73"/>
      <c r="GT3069" s="73"/>
      <c r="GU3069" s="73"/>
      <c r="GV3069" s="73"/>
      <c r="GW3069" s="73"/>
      <c r="GX3069" s="73"/>
      <c r="GY3069" s="73"/>
      <c r="GZ3069" s="73"/>
      <c r="HA3069" s="73"/>
      <c r="HB3069" s="73"/>
      <c r="HC3069" s="73"/>
      <c r="HD3069" s="73"/>
      <c r="HE3069" s="73"/>
      <c r="HF3069" s="73"/>
      <c r="HG3069" s="73"/>
      <c r="HH3069" s="73"/>
      <c r="HI3069" s="73"/>
      <c r="HJ3069" s="73"/>
      <c r="HK3069" s="73"/>
      <c r="HL3069" s="73"/>
      <c r="HM3069" s="73"/>
      <c r="HN3069" s="73"/>
      <c r="HO3069" s="73"/>
      <c r="HP3069" s="73"/>
      <c r="HQ3069" s="73"/>
      <c r="HR3069" s="73"/>
      <c r="HS3069" s="73"/>
      <c r="HT3069" s="73"/>
      <c r="HU3069" s="73"/>
      <c r="HV3069" s="73"/>
      <c r="HW3069" s="73"/>
      <c r="HX3069" s="73"/>
      <c r="HY3069" s="73"/>
      <c r="HZ3069" s="73"/>
      <c r="IA3069" s="73"/>
      <c r="IB3069" s="73"/>
      <c r="IC3069" s="73"/>
      <c r="ID3069" s="73"/>
      <c r="IE3069" s="73"/>
      <c r="IF3069" s="73"/>
      <c r="IG3069" s="73"/>
      <c r="IH3069" s="73"/>
      <c r="II3069" s="73"/>
      <c r="IJ3069" s="73"/>
      <c r="IK3069" s="73"/>
      <c r="IL3069" s="73"/>
      <c r="IM3069" s="73"/>
      <c r="IN3069" s="73"/>
      <c r="IO3069" s="73"/>
      <c r="IP3069" s="73"/>
      <c r="IQ3069" s="73"/>
      <c r="IR3069" s="73"/>
      <c r="IS3069" s="73"/>
      <c r="IT3069" s="73"/>
      <c r="IU3069" s="73"/>
      <c r="IV3069" s="73"/>
      <c r="IW3069" s="73"/>
      <c r="IX3069" s="73"/>
      <c r="IY3069" s="73"/>
      <c r="IZ3069" s="73"/>
      <c r="JA3069" s="73"/>
      <c r="JB3069" s="73"/>
      <c r="JC3069" s="73"/>
    </row>
    <row r="3070" spans="2:263" s="72" customFormat="1">
      <c r="B3070" s="73"/>
      <c r="C3070" s="73"/>
      <c r="D3070" s="73"/>
      <c r="E3070" s="73"/>
      <c r="F3070" s="73"/>
      <c r="G3070" s="73"/>
      <c r="H3070" s="73"/>
      <c r="I3070" s="73"/>
      <c r="J3070" s="73"/>
      <c r="K3070" s="73"/>
      <c r="L3070" s="73"/>
      <c r="M3070" s="73"/>
      <c r="N3070" s="73"/>
      <c r="O3070" s="73"/>
      <c r="P3070" s="73"/>
      <c r="Q3070" s="73"/>
      <c r="R3070" s="73"/>
      <c r="S3070" s="73"/>
      <c r="T3070" s="73"/>
      <c r="U3070" s="73"/>
      <c r="V3070" s="73"/>
      <c r="W3070" s="73"/>
      <c r="GL3070" s="73"/>
      <c r="GM3070" s="73"/>
      <c r="GN3070" s="73"/>
      <c r="GO3070" s="73"/>
      <c r="GP3070" s="73"/>
      <c r="GQ3070" s="73"/>
      <c r="GR3070" s="73"/>
      <c r="GS3070" s="73"/>
      <c r="GT3070" s="73"/>
      <c r="GU3070" s="73"/>
      <c r="GV3070" s="73"/>
      <c r="GW3070" s="73"/>
      <c r="GX3070" s="73"/>
      <c r="GY3070" s="73"/>
      <c r="GZ3070" s="73"/>
      <c r="HA3070" s="73"/>
      <c r="HB3070" s="73"/>
      <c r="HC3070" s="73"/>
      <c r="HD3070" s="73"/>
      <c r="HE3070" s="73"/>
      <c r="HF3070" s="73"/>
      <c r="HG3070" s="73"/>
      <c r="HH3070" s="73"/>
      <c r="HI3070" s="73"/>
      <c r="HJ3070" s="73"/>
      <c r="HK3070" s="73"/>
      <c r="HL3070" s="73"/>
      <c r="HM3070" s="73"/>
      <c r="HN3070" s="73"/>
      <c r="HO3070" s="73"/>
      <c r="HP3070" s="73"/>
      <c r="HQ3070" s="73"/>
      <c r="HR3070" s="73"/>
      <c r="HS3070" s="73"/>
      <c r="HT3070" s="73"/>
      <c r="HU3070" s="73"/>
      <c r="HV3070" s="73"/>
      <c r="HW3070" s="73"/>
      <c r="HX3070" s="73"/>
      <c r="HY3070" s="73"/>
      <c r="HZ3070" s="73"/>
      <c r="IA3070" s="73"/>
      <c r="IB3070" s="73"/>
      <c r="IC3070" s="73"/>
      <c r="ID3070" s="73"/>
      <c r="IE3070" s="73"/>
      <c r="IF3070" s="73"/>
      <c r="IG3070" s="73"/>
      <c r="IH3070" s="73"/>
      <c r="II3070" s="73"/>
      <c r="IJ3070" s="73"/>
      <c r="IK3070" s="73"/>
      <c r="IL3070" s="73"/>
      <c r="IM3070" s="73"/>
      <c r="IN3070" s="73"/>
      <c r="IO3070" s="73"/>
      <c r="IP3070" s="73"/>
      <c r="IQ3070" s="73"/>
      <c r="IR3070" s="73"/>
      <c r="IS3070" s="73"/>
      <c r="IT3070" s="73"/>
      <c r="IU3070" s="73"/>
      <c r="IV3070" s="73"/>
      <c r="IW3070" s="73"/>
      <c r="IX3070" s="73"/>
      <c r="IY3070" s="73"/>
      <c r="IZ3070" s="73"/>
      <c r="JA3070" s="73"/>
      <c r="JB3070" s="73"/>
      <c r="JC3070" s="73"/>
    </row>
    <row r="3071" spans="2:263" s="72" customFormat="1">
      <c r="B3071" s="73"/>
      <c r="C3071" s="73"/>
      <c r="D3071" s="73"/>
      <c r="E3071" s="73"/>
      <c r="F3071" s="73"/>
      <c r="G3071" s="73"/>
      <c r="H3071" s="73"/>
      <c r="I3071" s="73"/>
      <c r="J3071" s="73"/>
      <c r="K3071" s="73"/>
      <c r="L3071" s="73"/>
      <c r="M3071" s="73"/>
      <c r="N3071" s="73"/>
      <c r="O3071" s="73"/>
      <c r="P3071" s="73"/>
      <c r="Q3071" s="73"/>
      <c r="R3071" s="73"/>
      <c r="S3071" s="73"/>
      <c r="T3071" s="73"/>
      <c r="U3071" s="73"/>
      <c r="V3071" s="73"/>
      <c r="W3071" s="73"/>
      <c r="GL3071" s="73"/>
      <c r="GM3071" s="73"/>
      <c r="GN3071" s="73"/>
      <c r="GO3071" s="73"/>
      <c r="GP3071" s="73"/>
      <c r="GQ3071" s="73"/>
      <c r="GR3071" s="73"/>
      <c r="GS3071" s="73"/>
      <c r="GT3071" s="73"/>
      <c r="GU3071" s="73"/>
      <c r="GV3071" s="73"/>
      <c r="GW3071" s="73"/>
      <c r="GX3071" s="73"/>
      <c r="GY3071" s="73"/>
      <c r="GZ3071" s="73"/>
      <c r="HA3071" s="73"/>
      <c r="HB3071" s="73"/>
      <c r="HC3071" s="73"/>
      <c r="HD3071" s="73"/>
      <c r="HE3071" s="73"/>
      <c r="HF3071" s="73"/>
      <c r="HG3071" s="73"/>
      <c r="HH3071" s="73"/>
      <c r="HI3071" s="73"/>
      <c r="HJ3071" s="73"/>
      <c r="HK3071" s="73"/>
      <c r="HL3071" s="73"/>
      <c r="HM3071" s="73"/>
      <c r="HN3071" s="73"/>
      <c r="HO3071" s="73"/>
      <c r="HP3071" s="73"/>
      <c r="HQ3071" s="73"/>
      <c r="HR3071" s="73"/>
      <c r="HS3071" s="73"/>
      <c r="HT3071" s="73"/>
      <c r="HU3071" s="73"/>
      <c r="HV3071" s="73"/>
      <c r="HW3071" s="73"/>
      <c r="HX3071" s="73"/>
      <c r="HY3071" s="73"/>
      <c r="HZ3071" s="73"/>
      <c r="IA3071" s="73"/>
      <c r="IB3071" s="73"/>
      <c r="IC3071" s="73"/>
      <c r="ID3071" s="73"/>
      <c r="IE3071" s="73"/>
      <c r="IF3071" s="73"/>
      <c r="IG3071" s="73"/>
      <c r="IH3071" s="73"/>
      <c r="II3071" s="73"/>
      <c r="IJ3071" s="73"/>
      <c r="IK3071" s="73"/>
      <c r="IL3071" s="73"/>
      <c r="IM3071" s="73"/>
      <c r="IN3071" s="73"/>
      <c r="IO3071" s="73"/>
      <c r="IP3071" s="73"/>
      <c r="IQ3071" s="73"/>
      <c r="IR3071" s="73"/>
      <c r="IS3071" s="73"/>
      <c r="IT3071" s="73"/>
      <c r="IU3071" s="73"/>
      <c r="IV3071" s="73"/>
      <c r="IW3071" s="73"/>
      <c r="IX3071" s="73"/>
      <c r="IY3071" s="73"/>
      <c r="IZ3071" s="73"/>
      <c r="JA3071" s="73"/>
      <c r="JB3071" s="73"/>
      <c r="JC3071" s="73"/>
    </row>
    <row r="3072" spans="2:263" s="72" customFormat="1">
      <c r="B3072" s="73"/>
      <c r="C3072" s="73"/>
      <c r="D3072" s="73"/>
      <c r="E3072" s="73"/>
      <c r="F3072" s="73"/>
      <c r="G3072" s="73"/>
      <c r="H3072" s="73"/>
      <c r="I3072" s="73"/>
      <c r="J3072" s="73"/>
      <c r="K3072" s="73"/>
      <c r="L3072" s="73"/>
      <c r="M3072" s="73"/>
      <c r="N3072" s="73"/>
      <c r="O3072" s="73"/>
      <c r="P3072" s="73"/>
      <c r="Q3072" s="73"/>
      <c r="R3072" s="73"/>
      <c r="S3072" s="73"/>
      <c r="T3072" s="73"/>
      <c r="U3072" s="73"/>
      <c r="V3072" s="73"/>
      <c r="W3072" s="73"/>
      <c r="GL3072" s="73"/>
      <c r="GM3072" s="73"/>
      <c r="GN3072" s="73"/>
      <c r="GO3072" s="73"/>
      <c r="GP3072" s="73"/>
      <c r="GQ3072" s="73"/>
      <c r="GR3072" s="73"/>
      <c r="GS3072" s="73"/>
      <c r="GT3072" s="73"/>
      <c r="GU3072" s="73"/>
      <c r="GV3072" s="73"/>
      <c r="GW3072" s="73"/>
      <c r="GX3072" s="73"/>
      <c r="GY3072" s="73"/>
      <c r="GZ3072" s="73"/>
      <c r="HA3072" s="73"/>
      <c r="HB3072" s="73"/>
      <c r="HC3072" s="73"/>
      <c r="HD3072" s="73"/>
      <c r="HE3072" s="73"/>
      <c r="HF3072" s="73"/>
      <c r="HG3072" s="73"/>
      <c r="HH3072" s="73"/>
      <c r="HI3072" s="73"/>
      <c r="HJ3072" s="73"/>
      <c r="HK3072" s="73"/>
      <c r="HL3072" s="73"/>
      <c r="HM3072" s="73"/>
      <c r="HN3072" s="73"/>
      <c r="HO3072" s="73"/>
      <c r="HP3072" s="73"/>
      <c r="HQ3072" s="73"/>
      <c r="HR3072" s="73"/>
      <c r="HS3072" s="73"/>
      <c r="HT3072" s="73"/>
      <c r="HU3072" s="73"/>
      <c r="HV3072" s="73"/>
      <c r="HW3072" s="73"/>
      <c r="HX3072" s="73"/>
      <c r="HY3072" s="73"/>
      <c r="HZ3072" s="73"/>
      <c r="IA3072" s="73"/>
      <c r="IB3072" s="73"/>
      <c r="IC3072" s="73"/>
      <c r="ID3072" s="73"/>
      <c r="IE3072" s="73"/>
      <c r="IF3072" s="73"/>
      <c r="IG3072" s="73"/>
      <c r="IH3072" s="73"/>
      <c r="II3072" s="73"/>
      <c r="IJ3072" s="73"/>
      <c r="IK3072" s="73"/>
      <c r="IL3072" s="73"/>
      <c r="IM3072" s="73"/>
      <c r="IN3072" s="73"/>
      <c r="IO3072" s="73"/>
      <c r="IP3072" s="73"/>
      <c r="IQ3072" s="73"/>
      <c r="IR3072" s="73"/>
      <c r="IS3072" s="73"/>
      <c r="IT3072" s="73"/>
      <c r="IU3072" s="73"/>
      <c r="IV3072" s="73"/>
      <c r="IW3072" s="73"/>
      <c r="IX3072" s="73"/>
      <c r="IY3072" s="73"/>
      <c r="IZ3072" s="73"/>
      <c r="JA3072" s="73"/>
      <c r="JB3072" s="73"/>
      <c r="JC3072" s="73"/>
    </row>
    <row r="3073" spans="2:263" s="72" customFormat="1">
      <c r="B3073" s="73"/>
      <c r="C3073" s="73"/>
      <c r="D3073" s="73"/>
      <c r="E3073" s="73"/>
      <c r="F3073" s="73"/>
      <c r="G3073" s="73"/>
      <c r="H3073" s="73"/>
      <c r="I3073" s="73"/>
      <c r="J3073" s="73"/>
      <c r="K3073" s="73"/>
      <c r="L3073" s="73"/>
      <c r="M3073" s="73"/>
      <c r="N3073" s="73"/>
      <c r="O3073" s="73"/>
      <c r="P3073" s="73"/>
      <c r="Q3073" s="73"/>
      <c r="R3073" s="73"/>
      <c r="S3073" s="73"/>
      <c r="T3073" s="73"/>
      <c r="U3073" s="73"/>
      <c r="V3073" s="73"/>
      <c r="W3073" s="73"/>
      <c r="GL3073" s="73"/>
      <c r="GM3073" s="73"/>
      <c r="GN3073" s="73"/>
      <c r="GO3073" s="73"/>
      <c r="GP3073" s="73"/>
      <c r="GQ3073" s="73"/>
      <c r="GR3073" s="73"/>
      <c r="GS3073" s="73"/>
      <c r="GT3073" s="73"/>
      <c r="GU3073" s="73"/>
      <c r="GV3073" s="73"/>
      <c r="GW3073" s="73"/>
      <c r="GX3073" s="73"/>
      <c r="GY3073" s="73"/>
      <c r="GZ3073" s="73"/>
      <c r="HA3073" s="73"/>
      <c r="HB3073" s="73"/>
      <c r="HC3073" s="73"/>
      <c r="HD3073" s="73"/>
      <c r="HE3073" s="73"/>
      <c r="HF3073" s="73"/>
      <c r="HG3073" s="73"/>
      <c r="HH3073" s="73"/>
      <c r="HI3073" s="73"/>
      <c r="HJ3073" s="73"/>
      <c r="HK3073" s="73"/>
      <c r="HL3073" s="73"/>
      <c r="HM3073" s="73"/>
      <c r="HN3073" s="73"/>
      <c r="HO3073" s="73"/>
      <c r="HP3073" s="73"/>
      <c r="HQ3073" s="73"/>
      <c r="HR3073" s="73"/>
      <c r="HS3073" s="73"/>
      <c r="HT3073" s="73"/>
      <c r="HU3073" s="73"/>
      <c r="HV3073" s="73"/>
      <c r="HW3073" s="73"/>
      <c r="HX3073" s="73"/>
      <c r="HY3073" s="73"/>
      <c r="HZ3073" s="73"/>
      <c r="IA3073" s="73"/>
      <c r="IB3073" s="73"/>
      <c r="IC3073" s="73"/>
      <c r="ID3073" s="73"/>
      <c r="IE3073" s="73"/>
      <c r="IF3073" s="73"/>
      <c r="IG3073" s="73"/>
      <c r="IH3073" s="73"/>
      <c r="II3073" s="73"/>
      <c r="IJ3073" s="73"/>
      <c r="IK3073" s="73"/>
      <c r="IL3073" s="73"/>
      <c r="IM3073" s="73"/>
      <c r="IN3073" s="73"/>
      <c r="IO3073" s="73"/>
      <c r="IP3073" s="73"/>
      <c r="IQ3073" s="73"/>
      <c r="IR3073" s="73"/>
      <c r="IS3073" s="73"/>
      <c r="IT3073" s="73"/>
      <c r="IU3073" s="73"/>
      <c r="IV3073" s="73"/>
      <c r="IW3073" s="73"/>
      <c r="IX3073" s="73"/>
      <c r="IY3073" s="73"/>
      <c r="IZ3073" s="73"/>
      <c r="JA3073" s="73"/>
      <c r="JB3073" s="73"/>
      <c r="JC3073" s="73"/>
    </row>
    <row r="3074" spans="2:263" s="72" customFormat="1">
      <c r="B3074" s="73"/>
      <c r="C3074" s="73"/>
      <c r="D3074" s="73"/>
      <c r="E3074" s="73"/>
      <c r="F3074" s="73"/>
      <c r="G3074" s="73"/>
      <c r="H3074" s="73"/>
      <c r="I3074" s="73"/>
      <c r="J3074" s="73"/>
      <c r="K3074" s="73"/>
      <c r="L3074" s="73"/>
      <c r="M3074" s="73"/>
      <c r="N3074" s="73"/>
      <c r="O3074" s="73"/>
      <c r="P3074" s="73"/>
      <c r="Q3074" s="73"/>
      <c r="R3074" s="73"/>
      <c r="S3074" s="73"/>
      <c r="T3074" s="73"/>
      <c r="U3074" s="73"/>
      <c r="V3074" s="73"/>
      <c r="W3074" s="73"/>
      <c r="GL3074" s="73"/>
      <c r="GM3074" s="73"/>
      <c r="GN3074" s="73"/>
      <c r="GO3074" s="73"/>
      <c r="GP3074" s="73"/>
      <c r="GQ3074" s="73"/>
      <c r="GR3074" s="73"/>
      <c r="GS3074" s="73"/>
      <c r="GT3074" s="73"/>
      <c r="GU3074" s="73"/>
      <c r="GV3074" s="73"/>
      <c r="GW3074" s="73"/>
      <c r="GX3074" s="73"/>
      <c r="GY3074" s="73"/>
      <c r="GZ3074" s="73"/>
      <c r="HA3074" s="73"/>
      <c r="HB3074" s="73"/>
      <c r="HC3074" s="73"/>
      <c r="HD3074" s="73"/>
      <c r="HE3074" s="73"/>
      <c r="HF3074" s="73"/>
      <c r="HG3074" s="73"/>
      <c r="HH3074" s="73"/>
      <c r="HI3074" s="73"/>
      <c r="HJ3074" s="73"/>
      <c r="HK3074" s="73"/>
      <c r="HL3074" s="73"/>
      <c r="HM3074" s="73"/>
      <c r="HN3074" s="73"/>
      <c r="HO3074" s="73"/>
      <c r="HP3074" s="73"/>
      <c r="HQ3074" s="73"/>
      <c r="HR3074" s="73"/>
      <c r="HS3074" s="73"/>
      <c r="HT3074" s="73"/>
      <c r="HU3074" s="73"/>
      <c r="HV3074" s="73"/>
      <c r="HW3074" s="73"/>
      <c r="HX3074" s="73"/>
      <c r="HY3074" s="73"/>
      <c r="HZ3074" s="73"/>
      <c r="IA3074" s="73"/>
      <c r="IB3074" s="73"/>
      <c r="IC3074" s="73"/>
      <c r="ID3074" s="73"/>
      <c r="IE3074" s="73"/>
      <c r="IF3074" s="73"/>
      <c r="IG3074" s="73"/>
      <c r="IH3074" s="73"/>
      <c r="II3074" s="73"/>
      <c r="IJ3074" s="73"/>
      <c r="IK3074" s="73"/>
      <c r="IL3074" s="73"/>
      <c r="IM3074" s="73"/>
      <c r="IN3074" s="73"/>
      <c r="IO3074" s="73"/>
      <c r="IP3074" s="73"/>
      <c r="IQ3074" s="73"/>
      <c r="IR3074" s="73"/>
      <c r="IS3074" s="73"/>
      <c r="IT3074" s="73"/>
      <c r="IU3074" s="73"/>
      <c r="IV3074" s="73"/>
      <c r="IW3074" s="73"/>
      <c r="IX3074" s="73"/>
      <c r="IY3074" s="73"/>
      <c r="IZ3074" s="73"/>
      <c r="JA3074" s="73"/>
      <c r="JB3074" s="73"/>
      <c r="JC3074" s="73"/>
    </row>
    <row r="3075" spans="2:263" s="72" customFormat="1">
      <c r="B3075" s="73"/>
      <c r="C3075" s="73"/>
      <c r="D3075" s="73"/>
      <c r="E3075" s="73"/>
      <c r="F3075" s="73"/>
      <c r="G3075" s="73"/>
      <c r="H3075" s="73"/>
      <c r="I3075" s="73"/>
      <c r="J3075" s="73"/>
      <c r="K3075" s="73"/>
      <c r="L3075" s="73"/>
      <c r="M3075" s="73"/>
      <c r="N3075" s="73"/>
      <c r="O3075" s="73"/>
      <c r="P3075" s="73"/>
      <c r="Q3075" s="73"/>
      <c r="R3075" s="73"/>
      <c r="S3075" s="73"/>
      <c r="T3075" s="73"/>
      <c r="U3075" s="73"/>
      <c r="V3075" s="73"/>
      <c r="W3075" s="73"/>
      <c r="GL3075" s="73"/>
      <c r="GM3075" s="73"/>
      <c r="GN3075" s="73"/>
      <c r="GO3075" s="73"/>
      <c r="GP3075" s="73"/>
      <c r="GQ3075" s="73"/>
      <c r="GR3075" s="73"/>
      <c r="GS3075" s="73"/>
      <c r="GT3075" s="73"/>
      <c r="GU3075" s="73"/>
      <c r="GV3075" s="73"/>
      <c r="GW3075" s="73"/>
      <c r="GX3075" s="73"/>
      <c r="GY3075" s="73"/>
      <c r="GZ3075" s="73"/>
      <c r="HA3075" s="73"/>
      <c r="HB3075" s="73"/>
      <c r="HC3075" s="73"/>
      <c r="HD3075" s="73"/>
      <c r="HE3075" s="73"/>
      <c r="HF3075" s="73"/>
      <c r="HG3075" s="73"/>
      <c r="HH3075" s="73"/>
      <c r="HI3075" s="73"/>
      <c r="HJ3075" s="73"/>
      <c r="HK3075" s="73"/>
      <c r="HL3075" s="73"/>
      <c r="HM3075" s="73"/>
      <c r="HN3075" s="73"/>
      <c r="HO3075" s="73"/>
      <c r="HP3075" s="73"/>
      <c r="HQ3075" s="73"/>
      <c r="HR3075" s="73"/>
      <c r="HS3075" s="73"/>
      <c r="HT3075" s="73"/>
      <c r="HU3075" s="73"/>
      <c r="HV3075" s="73"/>
      <c r="HW3075" s="73"/>
      <c r="HX3075" s="73"/>
      <c r="HY3075" s="73"/>
      <c r="HZ3075" s="73"/>
      <c r="IA3075" s="73"/>
      <c r="IB3075" s="73"/>
      <c r="IC3075" s="73"/>
      <c r="ID3075" s="73"/>
      <c r="IE3075" s="73"/>
      <c r="IF3075" s="73"/>
      <c r="IG3075" s="73"/>
      <c r="IH3075" s="73"/>
      <c r="II3075" s="73"/>
      <c r="IJ3075" s="73"/>
      <c r="IK3075" s="73"/>
      <c r="IL3075" s="73"/>
      <c r="IM3075" s="73"/>
      <c r="IN3075" s="73"/>
      <c r="IO3075" s="73"/>
      <c r="IP3075" s="73"/>
      <c r="IQ3075" s="73"/>
      <c r="IR3075" s="73"/>
      <c r="IS3075" s="73"/>
      <c r="IT3075" s="73"/>
      <c r="IU3075" s="73"/>
      <c r="IV3075" s="73"/>
      <c r="IW3075" s="73"/>
      <c r="IX3075" s="73"/>
      <c r="IY3075" s="73"/>
      <c r="IZ3075" s="73"/>
      <c r="JA3075" s="73"/>
      <c r="JB3075" s="73"/>
      <c r="JC3075" s="73"/>
    </row>
    <row r="3076" spans="2:263" s="72" customFormat="1">
      <c r="B3076" s="73"/>
      <c r="C3076" s="73"/>
      <c r="D3076" s="73"/>
      <c r="E3076" s="73"/>
      <c r="F3076" s="73"/>
      <c r="G3076" s="73"/>
      <c r="H3076" s="73"/>
      <c r="I3076" s="73"/>
      <c r="J3076" s="73"/>
      <c r="K3076" s="73"/>
      <c r="L3076" s="73"/>
      <c r="M3076" s="73"/>
      <c r="N3076" s="73"/>
      <c r="O3076" s="73"/>
      <c r="P3076" s="73"/>
      <c r="Q3076" s="73"/>
      <c r="R3076" s="73"/>
      <c r="S3076" s="73"/>
      <c r="T3076" s="73"/>
      <c r="U3076" s="73"/>
      <c r="V3076" s="73"/>
      <c r="W3076" s="73"/>
      <c r="GL3076" s="73"/>
      <c r="GM3076" s="73"/>
      <c r="GN3076" s="73"/>
      <c r="GO3076" s="73"/>
      <c r="GP3076" s="73"/>
      <c r="GQ3076" s="73"/>
      <c r="GR3076" s="73"/>
      <c r="GS3076" s="73"/>
      <c r="GT3076" s="73"/>
      <c r="GU3076" s="73"/>
      <c r="GV3076" s="73"/>
      <c r="GW3076" s="73"/>
      <c r="GX3076" s="73"/>
      <c r="GY3076" s="73"/>
      <c r="GZ3076" s="73"/>
      <c r="HA3076" s="73"/>
      <c r="HB3076" s="73"/>
      <c r="HC3076" s="73"/>
      <c r="HD3076" s="73"/>
      <c r="HE3076" s="73"/>
      <c r="HF3076" s="73"/>
      <c r="HG3076" s="73"/>
      <c r="HH3076" s="73"/>
      <c r="HI3076" s="73"/>
      <c r="HJ3076" s="73"/>
      <c r="HK3076" s="73"/>
      <c r="HL3076" s="73"/>
      <c r="HM3076" s="73"/>
      <c r="HN3076" s="73"/>
      <c r="HO3076" s="73"/>
      <c r="HP3076" s="73"/>
      <c r="HQ3076" s="73"/>
      <c r="HR3076" s="73"/>
      <c r="HS3076" s="73"/>
      <c r="HT3076" s="73"/>
      <c r="HU3076" s="73"/>
      <c r="HV3076" s="73"/>
      <c r="HW3076" s="73"/>
      <c r="HX3076" s="73"/>
      <c r="HY3076" s="73"/>
      <c r="HZ3076" s="73"/>
      <c r="IA3076" s="73"/>
      <c r="IB3076" s="73"/>
      <c r="IC3076" s="73"/>
      <c r="ID3076" s="73"/>
      <c r="IE3076" s="73"/>
      <c r="IF3076" s="73"/>
      <c r="IG3076" s="73"/>
      <c r="IH3076" s="73"/>
      <c r="II3076" s="73"/>
      <c r="IJ3076" s="73"/>
      <c r="IK3076" s="73"/>
      <c r="IL3076" s="73"/>
      <c r="IM3076" s="73"/>
      <c r="IN3076" s="73"/>
      <c r="IO3076" s="73"/>
      <c r="IP3076" s="73"/>
      <c r="IQ3076" s="73"/>
      <c r="IR3076" s="73"/>
      <c r="IS3076" s="73"/>
      <c r="IT3076" s="73"/>
      <c r="IU3076" s="73"/>
      <c r="IV3076" s="73"/>
      <c r="IW3076" s="73"/>
      <c r="IX3076" s="73"/>
      <c r="IY3076" s="73"/>
      <c r="IZ3076" s="73"/>
      <c r="JA3076" s="73"/>
      <c r="JB3076" s="73"/>
      <c r="JC3076" s="73"/>
    </row>
    <row r="3077" spans="2:263" s="72" customFormat="1">
      <c r="B3077" s="73"/>
      <c r="C3077" s="73"/>
      <c r="D3077" s="73"/>
      <c r="E3077" s="73"/>
      <c r="F3077" s="73"/>
      <c r="G3077" s="73"/>
      <c r="H3077" s="73"/>
      <c r="I3077" s="73"/>
      <c r="J3077" s="73"/>
      <c r="K3077" s="73"/>
      <c r="L3077" s="73"/>
      <c r="M3077" s="73"/>
      <c r="N3077" s="73"/>
      <c r="O3077" s="73"/>
      <c r="P3077" s="73"/>
      <c r="Q3077" s="73"/>
      <c r="R3077" s="73"/>
      <c r="S3077" s="73"/>
      <c r="T3077" s="73"/>
      <c r="U3077" s="73"/>
      <c r="V3077" s="73"/>
      <c r="W3077" s="73"/>
      <c r="GL3077" s="73"/>
      <c r="GM3077" s="73"/>
      <c r="GN3077" s="73"/>
      <c r="GO3077" s="73"/>
      <c r="GP3077" s="73"/>
      <c r="GQ3077" s="73"/>
      <c r="GR3077" s="73"/>
      <c r="GS3077" s="73"/>
      <c r="GT3077" s="73"/>
      <c r="GU3077" s="73"/>
      <c r="GV3077" s="73"/>
      <c r="GW3077" s="73"/>
      <c r="GX3077" s="73"/>
      <c r="GY3077" s="73"/>
      <c r="GZ3077" s="73"/>
      <c r="HA3077" s="73"/>
      <c r="HB3077" s="73"/>
      <c r="HC3077" s="73"/>
      <c r="HD3077" s="73"/>
      <c r="HE3077" s="73"/>
      <c r="HF3077" s="73"/>
      <c r="HG3077" s="73"/>
      <c r="HH3077" s="73"/>
      <c r="HI3077" s="73"/>
      <c r="HJ3077" s="73"/>
      <c r="HK3077" s="73"/>
      <c r="HL3077" s="73"/>
      <c r="HM3077" s="73"/>
      <c r="HN3077" s="73"/>
      <c r="HO3077" s="73"/>
      <c r="HP3077" s="73"/>
      <c r="HQ3077" s="73"/>
      <c r="HR3077" s="73"/>
      <c r="HS3077" s="73"/>
      <c r="HT3077" s="73"/>
      <c r="HU3077" s="73"/>
      <c r="HV3077" s="73"/>
      <c r="HW3077" s="73"/>
      <c r="HX3077" s="73"/>
      <c r="HY3077" s="73"/>
      <c r="HZ3077" s="73"/>
      <c r="IA3077" s="73"/>
      <c r="IB3077" s="73"/>
      <c r="IC3077" s="73"/>
      <c r="ID3077" s="73"/>
      <c r="IE3077" s="73"/>
      <c r="IF3077" s="73"/>
      <c r="IG3077" s="73"/>
      <c r="IH3077" s="73"/>
      <c r="II3077" s="73"/>
      <c r="IJ3077" s="73"/>
      <c r="IK3077" s="73"/>
      <c r="IL3077" s="73"/>
      <c r="IM3077" s="73"/>
      <c r="IN3077" s="73"/>
      <c r="IO3077" s="73"/>
      <c r="IP3077" s="73"/>
      <c r="IQ3077" s="73"/>
      <c r="IR3077" s="73"/>
      <c r="IS3077" s="73"/>
      <c r="IT3077" s="73"/>
      <c r="IU3077" s="73"/>
      <c r="IV3077" s="73"/>
      <c r="IW3077" s="73"/>
      <c r="IX3077" s="73"/>
      <c r="IY3077" s="73"/>
      <c r="IZ3077" s="73"/>
      <c r="JA3077" s="73"/>
      <c r="JB3077" s="73"/>
      <c r="JC3077" s="73"/>
    </row>
    <row r="3078" spans="2:263" s="72" customFormat="1">
      <c r="B3078" s="73"/>
      <c r="C3078" s="73"/>
      <c r="D3078" s="73"/>
      <c r="E3078" s="73"/>
      <c r="F3078" s="73"/>
      <c r="G3078" s="73"/>
      <c r="H3078" s="73"/>
      <c r="I3078" s="73"/>
      <c r="J3078" s="73"/>
      <c r="K3078" s="73"/>
      <c r="L3078" s="73"/>
      <c r="M3078" s="73"/>
      <c r="N3078" s="73"/>
      <c r="O3078" s="73"/>
      <c r="P3078" s="73"/>
      <c r="Q3078" s="73"/>
      <c r="R3078" s="73"/>
      <c r="S3078" s="73"/>
      <c r="T3078" s="73"/>
      <c r="U3078" s="73"/>
      <c r="V3078" s="73"/>
      <c r="W3078" s="73"/>
      <c r="GL3078" s="73"/>
      <c r="GM3078" s="73"/>
      <c r="GN3078" s="73"/>
      <c r="GO3078" s="73"/>
      <c r="GP3078" s="73"/>
      <c r="GQ3078" s="73"/>
      <c r="GR3078" s="73"/>
      <c r="GS3078" s="73"/>
      <c r="GT3078" s="73"/>
      <c r="GU3078" s="73"/>
      <c r="GV3078" s="73"/>
      <c r="GW3078" s="73"/>
      <c r="GX3078" s="73"/>
      <c r="GY3078" s="73"/>
      <c r="GZ3078" s="73"/>
      <c r="HA3078" s="73"/>
      <c r="HB3078" s="73"/>
      <c r="HC3078" s="73"/>
      <c r="HD3078" s="73"/>
      <c r="HE3078" s="73"/>
      <c r="HF3078" s="73"/>
      <c r="HG3078" s="73"/>
      <c r="HH3078" s="73"/>
      <c r="HI3078" s="73"/>
      <c r="HJ3078" s="73"/>
      <c r="HK3078" s="73"/>
      <c r="HL3078" s="73"/>
      <c r="HM3078" s="73"/>
      <c r="HN3078" s="73"/>
      <c r="HO3078" s="73"/>
      <c r="HP3078" s="73"/>
      <c r="HQ3078" s="73"/>
      <c r="HR3078" s="73"/>
      <c r="HS3078" s="73"/>
      <c r="HT3078" s="73"/>
      <c r="HU3078" s="73"/>
      <c r="HV3078" s="73"/>
      <c r="HW3078" s="73"/>
      <c r="HX3078" s="73"/>
      <c r="HY3078" s="73"/>
      <c r="HZ3078" s="73"/>
      <c r="IA3078" s="73"/>
      <c r="IB3078" s="73"/>
      <c r="IC3078" s="73"/>
      <c r="ID3078" s="73"/>
      <c r="IE3078" s="73"/>
      <c r="IF3078" s="73"/>
      <c r="IG3078" s="73"/>
      <c r="IH3078" s="73"/>
      <c r="II3078" s="73"/>
      <c r="IJ3078" s="73"/>
      <c r="IK3078" s="73"/>
      <c r="IL3078" s="73"/>
      <c r="IM3078" s="73"/>
      <c r="IN3078" s="73"/>
      <c r="IO3078" s="73"/>
      <c r="IP3078" s="73"/>
      <c r="IQ3078" s="73"/>
      <c r="IR3078" s="73"/>
      <c r="IS3078" s="73"/>
      <c r="IT3078" s="73"/>
      <c r="IU3078" s="73"/>
      <c r="IV3078" s="73"/>
      <c r="IW3078" s="73"/>
      <c r="IX3078" s="73"/>
      <c r="IY3078" s="73"/>
      <c r="IZ3078" s="73"/>
      <c r="JA3078" s="73"/>
      <c r="JB3078" s="73"/>
      <c r="JC3078" s="73"/>
    </row>
    <row r="3079" spans="2:263" s="72" customFormat="1">
      <c r="B3079" s="73"/>
      <c r="C3079" s="73"/>
      <c r="D3079" s="73"/>
      <c r="E3079" s="73"/>
      <c r="F3079" s="73"/>
      <c r="G3079" s="73"/>
      <c r="H3079" s="73"/>
      <c r="I3079" s="73"/>
      <c r="J3079" s="73"/>
      <c r="K3079" s="73"/>
      <c r="L3079" s="73"/>
      <c r="M3079" s="73"/>
      <c r="N3079" s="73"/>
      <c r="O3079" s="73"/>
      <c r="P3079" s="73"/>
      <c r="Q3079" s="73"/>
      <c r="R3079" s="73"/>
      <c r="S3079" s="73"/>
      <c r="T3079" s="73"/>
      <c r="U3079" s="73"/>
      <c r="V3079" s="73"/>
      <c r="W3079" s="73"/>
      <c r="GL3079" s="73"/>
      <c r="GM3079" s="73"/>
      <c r="GN3079" s="73"/>
      <c r="GO3079" s="73"/>
      <c r="GP3079" s="73"/>
      <c r="GQ3079" s="73"/>
      <c r="GR3079" s="73"/>
      <c r="GS3079" s="73"/>
      <c r="GT3079" s="73"/>
      <c r="GU3079" s="73"/>
      <c r="GV3079" s="73"/>
      <c r="GW3079" s="73"/>
      <c r="GX3079" s="73"/>
      <c r="GY3079" s="73"/>
      <c r="GZ3079" s="73"/>
      <c r="HA3079" s="73"/>
      <c r="HB3079" s="73"/>
      <c r="HC3079" s="73"/>
      <c r="HD3079" s="73"/>
      <c r="HE3079" s="73"/>
      <c r="HF3079" s="73"/>
      <c r="HG3079" s="73"/>
      <c r="HH3079" s="73"/>
      <c r="HI3079" s="73"/>
      <c r="HJ3079" s="73"/>
      <c r="HK3079" s="73"/>
      <c r="HL3079" s="73"/>
      <c r="HM3079" s="73"/>
      <c r="HN3079" s="73"/>
      <c r="HO3079" s="73"/>
      <c r="HP3079" s="73"/>
      <c r="HQ3079" s="73"/>
      <c r="HR3079" s="73"/>
      <c r="HS3079" s="73"/>
      <c r="HT3079" s="73"/>
      <c r="HU3079" s="73"/>
      <c r="HV3079" s="73"/>
      <c r="HW3079" s="73"/>
      <c r="HX3079" s="73"/>
      <c r="HY3079" s="73"/>
      <c r="HZ3079" s="73"/>
      <c r="IA3079" s="73"/>
      <c r="IB3079" s="73"/>
      <c r="IC3079" s="73"/>
      <c r="ID3079" s="73"/>
      <c r="IE3079" s="73"/>
      <c r="IF3079" s="73"/>
      <c r="IG3079" s="73"/>
      <c r="IH3079" s="73"/>
      <c r="II3079" s="73"/>
      <c r="IJ3079" s="73"/>
      <c r="IK3079" s="73"/>
      <c r="IL3079" s="73"/>
      <c r="IM3079" s="73"/>
      <c r="IN3079" s="73"/>
      <c r="IO3079" s="73"/>
      <c r="IP3079" s="73"/>
      <c r="IQ3079" s="73"/>
      <c r="IR3079" s="73"/>
      <c r="IS3079" s="73"/>
      <c r="IT3079" s="73"/>
      <c r="IU3079" s="73"/>
      <c r="IV3079" s="73"/>
      <c r="IW3079" s="73"/>
      <c r="IX3079" s="73"/>
      <c r="IY3079" s="73"/>
      <c r="IZ3079" s="73"/>
      <c r="JA3079" s="73"/>
      <c r="JB3079" s="73"/>
      <c r="JC3079" s="73"/>
    </row>
    <row r="3080" spans="2:263" s="72" customFormat="1">
      <c r="B3080" s="73"/>
      <c r="C3080" s="73"/>
      <c r="D3080" s="73"/>
      <c r="E3080" s="73"/>
      <c r="F3080" s="73"/>
      <c r="G3080" s="73"/>
      <c r="H3080" s="73"/>
      <c r="I3080" s="73"/>
      <c r="J3080" s="73"/>
      <c r="K3080" s="73"/>
      <c r="L3080" s="73"/>
      <c r="M3080" s="73"/>
      <c r="N3080" s="73"/>
      <c r="O3080" s="73"/>
      <c r="P3080" s="73"/>
      <c r="Q3080" s="73"/>
      <c r="R3080" s="73"/>
      <c r="S3080" s="73"/>
      <c r="T3080" s="73"/>
      <c r="U3080" s="73"/>
      <c r="V3080" s="73"/>
      <c r="W3080" s="73"/>
      <c r="GL3080" s="73"/>
      <c r="GM3080" s="73"/>
      <c r="GN3080" s="73"/>
      <c r="GO3080" s="73"/>
      <c r="GP3080" s="73"/>
      <c r="GQ3080" s="73"/>
      <c r="GR3080" s="73"/>
      <c r="GS3080" s="73"/>
      <c r="GT3080" s="73"/>
      <c r="GU3080" s="73"/>
      <c r="GV3080" s="73"/>
      <c r="GW3080" s="73"/>
      <c r="GX3080" s="73"/>
      <c r="GY3080" s="73"/>
      <c r="GZ3080" s="73"/>
      <c r="HA3080" s="73"/>
      <c r="HB3080" s="73"/>
      <c r="HC3080" s="73"/>
      <c r="HD3080" s="73"/>
      <c r="HE3080" s="73"/>
      <c r="HF3080" s="73"/>
      <c r="HG3080" s="73"/>
      <c r="HH3080" s="73"/>
      <c r="HI3080" s="73"/>
      <c r="HJ3080" s="73"/>
      <c r="HK3080" s="73"/>
      <c r="HL3080" s="73"/>
      <c r="HM3080" s="73"/>
      <c r="HN3080" s="73"/>
      <c r="HO3080" s="73"/>
      <c r="HP3080" s="73"/>
      <c r="HQ3080" s="73"/>
      <c r="HR3080" s="73"/>
      <c r="HS3080" s="73"/>
      <c r="HT3080" s="73"/>
      <c r="HU3080" s="73"/>
      <c r="HV3080" s="73"/>
      <c r="HW3080" s="73"/>
      <c r="HX3080" s="73"/>
      <c r="HY3080" s="73"/>
      <c r="HZ3080" s="73"/>
      <c r="IA3080" s="73"/>
      <c r="IB3080" s="73"/>
      <c r="IC3080" s="73"/>
      <c r="ID3080" s="73"/>
      <c r="IE3080" s="73"/>
      <c r="IF3080" s="73"/>
      <c r="IG3080" s="73"/>
      <c r="IH3080" s="73"/>
      <c r="II3080" s="73"/>
      <c r="IJ3080" s="73"/>
      <c r="IK3080" s="73"/>
      <c r="IL3080" s="73"/>
      <c r="IM3080" s="73"/>
      <c r="IN3080" s="73"/>
      <c r="IO3080" s="73"/>
      <c r="IP3080" s="73"/>
      <c r="IQ3080" s="73"/>
      <c r="IR3080" s="73"/>
      <c r="IS3080" s="73"/>
      <c r="IT3080" s="73"/>
      <c r="IU3080" s="73"/>
      <c r="IV3080" s="73"/>
      <c r="IW3080" s="73"/>
      <c r="IX3080" s="73"/>
      <c r="IY3080" s="73"/>
      <c r="IZ3080" s="73"/>
      <c r="JA3080" s="73"/>
      <c r="JB3080" s="73"/>
      <c r="JC3080" s="73"/>
    </row>
    <row r="3081" spans="2:263" s="72" customFormat="1">
      <c r="B3081" s="73"/>
      <c r="C3081" s="73"/>
      <c r="D3081" s="73"/>
      <c r="E3081" s="73"/>
      <c r="F3081" s="73"/>
      <c r="G3081" s="73"/>
      <c r="H3081" s="73"/>
      <c r="I3081" s="73"/>
      <c r="J3081" s="73"/>
      <c r="K3081" s="73"/>
      <c r="L3081" s="73"/>
      <c r="M3081" s="73"/>
      <c r="N3081" s="73"/>
      <c r="O3081" s="73"/>
      <c r="P3081" s="73"/>
      <c r="Q3081" s="73"/>
      <c r="R3081" s="73"/>
      <c r="S3081" s="73"/>
      <c r="T3081" s="73"/>
      <c r="U3081" s="73"/>
      <c r="V3081" s="73"/>
      <c r="W3081" s="73"/>
      <c r="GL3081" s="73"/>
      <c r="GM3081" s="73"/>
      <c r="GN3081" s="73"/>
      <c r="GO3081" s="73"/>
      <c r="GP3081" s="73"/>
      <c r="GQ3081" s="73"/>
      <c r="GR3081" s="73"/>
      <c r="GS3081" s="73"/>
      <c r="GT3081" s="73"/>
      <c r="GU3081" s="73"/>
      <c r="GV3081" s="73"/>
      <c r="GW3081" s="73"/>
      <c r="GX3081" s="73"/>
      <c r="GY3081" s="73"/>
      <c r="GZ3081" s="73"/>
      <c r="HA3081" s="73"/>
      <c r="HB3081" s="73"/>
      <c r="HC3081" s="73"/>
      <c r="HD3081" s="73"/>
      <c r="HE3081" s="73"/>
      <c r="HF3081" s="73"/>
      <c r="HG3081" s="73"/>
      <c r="HH3081" s="73"/>
      <c r="HI3081" s="73"/>
      <c r="HJ3081" s="73"/>
      <c r="HK3081" s="73"/>
      <c r="HL3081" s="73"/>
      <c r="HM3081" s="73"/>
      <c r="HN3081" s="73"/>
      <c r="HO3081" s="73"/>
      <c r="HP3081" s="73"/>
      <c r="HQ3081" s="73"/>
      <c r="HR3081" s="73"/>
      <c r="HS3081" s="73"/>
      <c r="HT3081" s="73"/>
      <c r="HU3081" s="73"/>
      <c r="HV3081" s="73"/>
      <c r="HW3081" s="73"/>
      <c r="HX3081" s="73"/>
      <c r="HY3081" s="73"/>
      <c r="HZ3081" s="73"/>
      <c r="IA3081" s="73"/>
      <c r="IB3081" s="73"/>
      <c r="IC3081" s="73"/>
      <c r="ID3081" s="73"/>
      <c r="IE3081" s="73"/>
      <c r="IF3081" s="73"/>
      <c r="IG3081" s="73"/>
      <c r="IH3081" s="73"/>
      <c r="II3081" s="73"/>
      <c r="IJ3081" s="73"/>
      <c r="IK3081" s="73"/>
      <c r="IL3081" s="73"/>
      <c r="IM3081" s="73"/>
      <c r="IN3081" s="73"/>
      <c r="IO3081" s="73"/>
      <c r="IP3081" s="73"/>
      <c r="IQ3081" s="73"/>
      <c r="IR3081" s="73"/>
      <c r="IS3081" s="73"/>
      <c r="IT3081" s="73"/>
      <c r="IU3081" s="73"/>
      <c r="IV3081" s="73"/>
      <c r="IW3081" s="73"/>
      <c r="IX3081" s="73"/>
      <c r="IY3081" s="73"/>
      <c r="IZ3081" s="73"/>
      <c r="JA3081" s="73"/>
      <c r="JB3081" s="73"/>
      <c r="JC3081" s="73"/>
    </row>
    <row r="3082" spans="2:263" s="72" customFormat="1">
      <c r="B3082" s="73"/>
      <c r="C3082" s="73"/>
      <c r="D3082" s="73"/>
      <c r="E3082" s="73"/>
      <c r="F3082" s="73"/>
      <c r="G3082" s="73"/>
      <c r="H3082" s="73"/>
      <c r="I3082" s="73"/>
      <c r="J3082" s="73"/>
      <c r="K3082" s="73"/>
      <c r="L3082" s="73"/>
      <c r="M3082" s="73"/>
      <c r="N3082" s="73"/>
      <c r="O3082" s="73"/>
      <c r="P3082" s="73"/>
      <c r="Q3082" s="73"/>
      <c r="R3082" s="73"/>
      <c r="S3082" s="73"/>
      <c r="T3082" s="73"/>
      <c r="U3082" s="73"/>
      <c r="V3082" s="73"/>
      <c r="W3082" s="73"/>
      <c r="GL3082" s="73"/>
      <c r="GM3082" s="73"/>
      <c r="GN3082" s="73"/>
      <c r="GO3082" s="73"/>
      <c r="GP3082" s="73"/>
      <c r="GQ3082" s="73"/>
      <c r="GR3082" s="73"/>
      <c r="GS3082" s="73"/>
      <c r="GT3082" s="73"/>
      <c r="GU3082" s="73"/>
      <c r="GV3082" s="73"/>
      <c r="GW3082" s="73"/>
      <c r="GX3082" s="73"/>
      <c r="GY3082" s="73"/>
      <c r="GZ3082" s="73"/>
      <c r="HA3082" s="73"/>
      <c r="HB3082" s="73"/>
      <c r="HC3082" s="73"/>
      <c r="HD3082" s="73"/>
      <c r="HE3082" s="73"/>
      <c r="HF3082" s="73"/>
      <c r="HG3082" s="73"/>
      <c r="HH3082" s="73"/>
      <c r="HI3082" s="73"/>
      <c r="HJ3082" s="73"/>
      <c r="HK3082" s="73"/>
      <c r="HL3082" s="73"/>
      <c r="HM3082" s="73"/>
      <c r="HN3082" s="73"/>
      <c r="HO3082" s="73"/>
      <c r="HP3082" s="73"/>
      <c r="HQ3082" s="73"/>
      <c r="HR3082" s="73"/>
      <c r="HS3082" s="73"/>
      <c r="HT3082" s="73"/>
      <c r="HU3082" s="73"/>
      <c r="HV3082" s="73"/>
      <c r="HW3082" s="73"/>
      <c r="HX3082" s="73"/>
      <c r="HY3082" s="73"/>
      <c r="HZ3082" s="73"/>
      <c r="IA3082" s="73"/>
      <c r="IB3082" s="73"/>
      <c r="IC3082" s="73"/>
      <c r="ID3082" s="73"/>
      <c r="IE3082" s="73"/>
      <c r="IF3082" s="73"/>
      <c r="IG3082" s="73"/>
      <c r="IH3082" s="73"/>
      <c r="II3082" s="73"/>
      <c r="IJ3082" s="73"/>
      <c r="IK3082" s="73"/>
      <c r="IL3082" s="73"/>
      <c r="IM3082" s="73"/>
      <c r="IN3082" s="73"/>
      <c r="IO3082" s="73"/>
      <c r="IP3082" s="73"/>
      <c r="IQ3082" s="73"/>
      <c r="IR3082" s="73"/>
      <c r="IS3082" s="73"/>
      <c r="IT3082" s="73"/>
      <c r="IU3082" s="73"/>
      <c r="IV3082" s="73"/>
      <c r="IW3082" s="73"/>
      <c r="IX3082" s="73"/>
      <c r="IY3082" s="73"/>
      <c r="IZ3082" s="73"/>
      <c r="JA3082" s="73"/>
      <c r="JB3082" s="73"/>
      <c r="JC3082" s="73"/>
    </row>
    <row r="3083" spans="2:263" s="72" customFormat="1">
      <c r="B3083" s="73"/>
      <c r="C3083" s="73"/>
      <c r="D3083" s="73"/>
      <c r="E3083" s="73"/>
      <c r="F3083" s="73"/>
      <c r="G3083" s="73"/>
      <c r="H3083" s="73"/>
      <c r="I3083" s="73"/>
      <c r="J3083" s="73"/>
      <c r="K3083" s="73"/>
      <c r="L3083" s="73"/>
      <c r="M3083" s="73"/>
      <c r="N3083" s="73"/>
      <c r="O3083" s="73"/>
      <c r="P3083" s="73"/>
      <c r="Q3083" s="73"/>
      <c r="R3083" s="73"/>
      <c r="S3083" s="73"/>
      <c r="T3083" s="73"/>
      <c r="U3083" s="73"/>
      <c r="V3083" s="73"/>
      <c r="W3083" s="73"/>
      <c r="GL3083" s="73"/>
      <c r="GM3083" s="73"/>
      <c r="GN3083" s="73"/>
      <c r="GO3083" s="73"/>
      <c r="GP3083" s="73"/>
      <c r="GQ3083" s="73"/>
      <c r="GR3083" s="73"/>
      <c r="GS3083" s="73"/>
      <c r="GT3083" s="73"/>
      <c r="GU3083" s="73"/>
      <c r="GV3083" s="73"/>
      <c r="GW3083" s="73"/>
      <c r="GX3083" s="73"/>
      <c r="GY3083" s="73"/>
      <c r="GZ3083" s="73"/>
      <c r="HA3083" s="73"/>
      <c r="HB3083" s="73"/>
      <c r="HC3083" s="73"/>
      <c r="HD3083" s="73"/>
      <c r="HE3083" s="73"/>
      <c r="HF3083" s="73"/>
      <c r="HG3083" s="73"/>
      <c r="HH3083" s="73"/>
      <c r="HI3083" s="73"/>
      <c r="HJ3083" s="73"/>
      <c r="HK3083" s="73"/>
      <c r="HL3083" s="73"/>
      <c r="HM3083" s="73"/>
      <c r="HN3083" s="73"/>
      <c r="HO3083" s="73"/>
      <c r="HP3083" s="73"/>
      <c r="HQ3083" s="73"/>
      <c r="HR3083" s="73"/>
      <c r="HS3083" s="73"/>
      <c r="HT3083" s="73"/>
      <c r="HU3083" s="73"/>
      <c r="HV3083" s="73"/>
      <c r="HW3083" s="73"/>
      <c r="HX3083" s="73"/>
      <c r="HY3083" s="73"/>
      <c r="HZ3083" s="73"/>
      <c r="IA3083" s="73"/>
      <c r="IB3083" s="73"/>
      <c r="IC3083" s="73"/>
      <c r="ID3083" s="73"/>
      <c r="IE3083" s="73"/>
      <c r="IF3083" s="73"/>
      <c r="IG3083" s="73"/>
      <c r="IH3083" s="73"/>
      <c r="II3083" s="73"/>
      <c r="IJ3083" s="73"/>
      <c r="IK3083" s="73"/>
      <c r="IL3083" s="73"/>
      <c r="IM3083" s="73"/>
      <c r="IN3083" s="73"/>
      <c r="IO3083" s="73"/>
      <c r="IP3083" s="73"/>
      <c r="IQ3083" s="73"/>
      <c r="IR3083" s="73"/>
      <c r="IS3083" s="73"/>
      <c r="IT3083" s="73"/>
      <c r="IU3083" s="73"/>
      <c r="IV3083" s="73"/>
      <c r="IW3083" s="73"/>
      <c r="IX3083" s="73"/>
      <c r="IY3083" s="73"/>
      <c r="IZ3083" s="73"/>
      <c r="JA3083" s="73"/>
      <c r="JB3083" s="73"/>
      <c r="JC3083" s="73"/>
    </row>
    <row r="3084" spans="2:263" s="72" customFormat="1">
      <c r="B3084" s="73"/>
      <c r="C3084" s="73"/>
      <c r="D3084" s="73"/>
      <c r="E3084" s="73"/>
      <c r="F3084" s="73"/>
      <c r="G3084" s="73"/>
      <c r="H3084" s="73"/>
      <c r="I3084" s="73"/>
      <c r="J3084" s="73"/>
      <c r="K3084" s="73"/>
      <c r="L3084" s="73"/>
      <c r="M3084" s="73"/>
      <c r="N3084" s="73"/>
      <c r="O3084" s="73"/>
      <c r="P3084" s="73"/>
      <c r="Q3084" s="73"/>
      <c r="R3084" s="73"/>
      <c r="S3084" s="73"/>
      <c r="T3084" s="73"/>
      <c r="U3084" s="73"/>
      <c r="V3084" s="73"/>
      <c r="W3084" s="73"/>
      <c r="GL3084" s="73"/>
      <c r="GM3084" s="73"/>
      <c r="GN3084" s="73"/>
      <c r="GO3084" s="73"/>
      <c r="GP3084" s="73"/>
      <c r="GQ3084" s="73"/>
      <c r="GR3084" s="73"/>
      <c r="GS3084" s="73"/>
      <c r="GT3084" s="73"/>
      <c r="GU3084" s="73"/>
      <c r="GV3084" s="73"/>
      <c r="GW3084" s="73"/>
      <c r="GX3084" s="73"/>
      <c r="GY3084" s="73"/>
      <c r="GZ3084" s="73"/>
      <c r="HA3084" s="73"/>
      <c r="HB3084" s="73"/>
      <c r="HC3084" s="73"/>
      <c r="HD3084" s="73"/>
      <c r="HE3084" s="73"/>
      <c r="HF3084" s="73"/>
      <c r="HG3084" s="73"/>
      <c r="HH3084" s="73"/>
      <c r="HI3084" s="73"/>
      <c r="HJ3084" s="73"/>
      <c r="HK3084" s="73"/>
      <c r="HL3084" s="73"/>
      <c r="HM3084" s="73"/>
      <c r="HN3084" s="73"/>
      <c r="HO3084" s="73"/>
      <c r="HP3084" s="73"/>
      <c r="HQ3084" s="73"/>
      <c r="HR3084" s="73"/>
      <c r="HS3084" s="73"/>
      <c r="HT3084" s="73"/>
      <c r="HU3084" s="73"/>
      <c r="HV3084" s="73"/>
      <c r="HW3084" s="73"/>
      <c r="HX3084" s="73"/>
      <c r="HY3084" s="73"/>
      <c r="HZ3084" s="73"/>
      <c r="IA3084" s="73"/>
      <c r="IB3084" s="73"/>
      <c r="IC3084" s="73"/>
      <c r="ID3084" s="73"/>
      <c r="IE3084" s="73"/>
      <c r="IF3084" s="73"/>
      <c r="IG3084" s="73"/>
      <c r="IH3084" s="73"/>
      <c r="II3084" s="73"/>
      <c r="IJ3084" s="73"/>
      <c r="IK3084" s="73"/>
      <c r="IL3084" s="73"/>
      <c r="IM3084" s="73"/>
      <c r="IN3084" s="73"/>
      <c r="IO3084" s="73"/>
      <c r="IP3084" s="73"/>
      <c r="IQ3084" s="73"/>
      <c r="IR3084" s="73"/>
      <c r="IS3084" s="73"/>
      <c r="IT3084" s="73"/>
      <c r="IU3084" s="73"/>
      <c r="IV3084" s="73"/>
      <c r="IW3084" s="73"/>
      <c r="IX3084" s="73"/>
      <c r="IY3084" s="73"/>
      <c r="IZ3084" s="73"/>
      <c r="JA3084" s="73"/>
      <c r="JB3084" s="73"/>
      <c r="JC3084" s="73"/>
    </row>
    <row r="3085" spans="2:263" s="72" customFormat="1">
      <c r="B3085" s="73"/>
      <c r="C3085" s="73"/>
      <c r="D3085" s="73"/>
      <c r="E3085" s="73"/>
      <c r="F3085" s="73"/>
      <c r="G3085" s="73"/>
      <c r="H3085" s="73"/>
      <c r="I3085" s="73"/>
      <c r="J3085" s="73"/>
      <c r="K3085" s="73"/>
      <c r="L3085" s="73"/>
      <c r="M3085" s="73"/>
      <c r="N3085" s="73"/>
      <c r="O3085" s="73"/>
      <c r="P3085" s="73"/>
      <c r="Q3085" s="73"/>
      <c r="R3085" s="73"/>
      <c r="S3085" s="73"/>
      <c r="T3085" s="73"/>
      <c r="U3085" s="73"/>
      <c r="V3085" s="73"/>
      <c r="W3085" s="73"/>
      <c r="GL3085" s="73"/>
      <c r="GM3085" s="73"/>
      <c r="GN3085" s="73"/>
      <c r="GO3085" s="73"/>
      <c r="GP3085" s="73"/>
      <c r="GQ3085" s="73"/>
      <c r="GR3085" s="73"/>
      <c r="GS3085" s="73"/>
      <c r="GT3085" s="73"/>
      <c r="GU3085" s="73"/>
      <c r="GV3085" s="73"/>
      <c r="GW3085" s="73"/>
      <c r="GX3085" s="73"/>
      <c r="GY3085" s="73"/>
      <c r="GZ3085" s="73"/>
      <c r="HA3085" s="73"/>
      <c r="HB3085" s="73"/>
      <c r="HC3085" s="73"/>
      <c r="HD3085" s="73"/>
      <c r="HE3085" s="73"/>
      <c r="HF3085" s="73"/>
      <c r="HG3085" s="73"/>
      <c r="HH3085" s="73"/>
      <c r="HI3085" s="73"/>
      <c r="HJ3085" s="73"/>
      <c r="HK3085" s="73"/>
      <c r="HL3085" s="73"/>
      <c r="HM3085" s="73"/>
      <c r="HN3085" s="73"/>
      <c r="HO3085" s="73"/>
      <c r="HP3085" s="73"/>
      <c r="HQ3085" s="73"/>
      <c r="HR3085" s="73"/>
      <c r="HS3085" s="73"/>
      <c r="HT3085" s="73"/>
      <c r="HU3085" s="73"/>
      <c r="HV3085" s="73"/>
      <c r="HW3085" s="73"/>
      <c r="HX3085" s="73"/>
      <c r="HY3085" s="73"/>
      <c r="HZ3085" s="73"/>
      <c r="IA3085" s="73"/>
      <c r="IB3085" s="73"/>
      <c r="IC3085" s="73"/>
      <c r="ID3085" s="73"/>
      <c r="IE3085" s="73"/>
      <c r="IF3085" s="73"/>
      <c r="IG3085" s="73"/>
      <c r="IH3085" s="73"/>
      <c r="II3085" s="73"/>
      <c r="IJ3085" s="73"/>
      <c r="IK3085" s="73"/>
      <c r="IL3085" s="73"/>
      <c r="IM3085" s="73"/>
      <c r="IN3085" s="73"/>
      <c r="IO3085" s="73"/>
      <c r="IP3085" s="73"/>
      <c r="IQ3085" s="73"/>
      <c r="IR3085" s="73"/>
      <c r="IS3085" s="73"/>
      <c r="IT3085" s="73"/>
      <c r="IU3085" s="73"/>
      <c r="IV3085" s="73"/>
      <c r="IW3085" s="73"/>
      <c r="IX3085" s="73"/>
      <c r="IY3085" s="73"/>
      <c r="IZ3085" s="73"/>
      <c r="JA3085" s="73"/>
      <c r="JB3085" s="73"/>
      <c r="JC3085" s="73"/>
    </row>
    <row r="3086" spans="2:263" s="72" customFormat="1">
      <c r="B3086" s="73"/>
      <c r="C3086" s="73"/>
      <c r="D3086" s="73"/>
      <c r="E3086" s="73"/>
      <c r="F3086" s="73"/>
      <c r="G3086" s="73"/>
      <c r="H3086" s="73"/>
      <c r="I3086" s="73"/>
      <c r="J3086" s="73"/>
      <c r="K3086" s="73"/>
      <c r="L3086" s="73"/>
      <c r="M3086" s="73"/>
      <c r="N3086" s="73"/>
      <c r="O3086" s="73"/>
      <c r="P3086" s="73"/>
      <c r="Q3086" s="73"/>
      <c r="R3086" s="73"/>
      <c r="S3086" s="73"/>
      <c r="T3086" s="73"/>
      <c r="U3086" s="73"/>
      <c r="V3086" s="73"/>
      <c r="W3086" s="73"/>
      <c r="GL3086" s="73"/>
      <c r="GM3086" s="73"/>
      <c r="GN3086" s="73"/>
      <c r="GO3086" s="73"/>
      <c r="GP3086" s="73"/>
      <c r="GQ3086" s="73"/>
      <c r="GR3086" s="73"/>
      <c r="GS3086" s="73"/>
      <c r="GT3086" s="73"/>
      <c r="GU3086" s="73"/>
      <c r="GV3086" s="73"/>
      <c r="GW3086" s="73"/>
      <c r="GX3086" s="73"/>
      <c r="GY3086" s="73"/>
      <c r="GZ3086" s="73"/>
      <c r="HA3086" s="73"/>
      <c r="HB3086" s="73"/>
      <c r="HC3086" s="73"/>
      <c r="HD3086" s="73"/>
      <c r="HE3086" s="73"/>
      <c r="HF3086" s="73"/>
      <c r="HG3086" s="73"/>
      <c r="HH3086" s="73"/>
      <c r="HI3086" s="73"/>
      <c r="HJ3086" s="73"/>
      <c r="HK3086" s="73"/>
      <c r="HL3086" s="73"/>
      <c r="HM3086" s="73"/>
      <c r="HN3086" s="73"/>
      <c r="HO3086" s="73"/>
      <c r="HP3086" s="73"/>
      <c r="HQ3086" s="73"/>
      <c r="HR3086" s="73"/>
      <c r="HS3086" s="73"/>
      <c r="HT3086" s="73"/>
      <c r="HU3086" s="73"/>
      <c r="HV3086" s="73"/>
      <c r="HW3086" s="73"/>
      <c r="HX3086" s="73"/>
      <c r="HY3086" s="73"/>
      <c r="HZ3086" s="73"/>
      <c r="IA3086" s="73"/>
      <c r="IB3086" s="73"/>
      <c r="IC3086" s="73"/>
      <c r="ID3086" s="73"/>
      <c r="IE3086" s="73"/>
      <c r="IF3086" s="73"/>
      <c r="IG3086" s="73"/>
      <c r="IH3086" s="73"/>
      <c r="II3086" s="73"/>
      <c r="IJ3086" s="73"/>
      <c r="IK3086" s="73"/>
      <c r="IL3086" s="73"/>
      <c r="IM3086" s="73"/>
      <c r="IN3086" s="73"/>
      <c r="IO3086" s="73"/>
      <c r="IP3086" s="73"/>
      <c r="IQ3086" s="73"/>
      <c r="IR3086" s="73"/>
      <c r="IS3086" s="73"/>
      <c r="IT3086" s="73"/>
      <c r="IU3086" s="73"/>
      <c r="IV3086" s="73"/>
      <c r="IW3086" s="73"/>
      <c r="IX3086" s="73"/>
      <c r="IY3086" s="73"/>
      <c r="IZ3086" s="73"/>
      <c r="JA3086" s="73"/>
      <c r="JB3086" s="73"/>
      <c r="JC3086" s="73"/>
    </row>
    <row r="3087" spans="2:263" s="72" customFormat="1">
      <c r="B3087" s="73"/>
      <c r="C3087" s="73"/>
      <c r="D3087" s="73"/>
      <c r="E3087" s="73"/>
      <c r="F3087" s="73"/>
      <c r="G3087" s="73"/>
      <c r="H3087" s="73"/>
      <c r="I3087" s="73"/>
      <c r="J3087" s="73"/>
      <c r="K3087" s="73"/>
      <c r="L3087" s="73"/>
      <c r="M3087" s="73"/>
      <c r="N3087" s="73"/>
      <c r="O3087" s="73"/>
      <c r="P3087" s="73"/>
      <c r="Q3087" s="73"/>
      <c r="R3087" s="73"/>
      <c r="S3087" s="73"/>
      <c r="T3087" s="73"/>
      <c r="U3087" s="73"/>
      <c r="V3087" s="73"/>
      <c r="W3087" s="73"/>
      <c r="GL3087" s="73"/>
      <c r="GM3087" s="73"/>
      <c r="GN3087" s="73"/>
      <c r="GO3087" s="73"/>
      <c r="GP3087" s="73"/>
      <c r="GQ3087" s="73"/>
      <c r="GR3087" s="73"/>
      <c r="GS3087" s="73"/>
      <c r="GT3087" s="73"/>
      <c r="GU3087" s="73"/>
      <c r="GV3087" s="73"/>
      <c r="GW3087" s="73"/>
      <c r="GX3087" s="73"/>
      <c r="GY3087" s="73"/>
      <c r="GZ3087" s="73"/>
      <c r="HA3087" s="73"/>
      <c r="HB3087" s="73"/>
      <c r="HC3087" s="73"/>
      <c r="HD3087" s="73"/>
      <c r="HE3087" s="73"/>
      <c r="HF3087" s="73"/>
      <c r="HG3087" s="73"/>
      <c r="HH3087" s="73"/>
      <c r="HI3087" s="73"/>
      <c r="HJ3087" s="73"/>
      <c r="HK3087" s="73"/>
      <c r="HL3087" s="73"/>
      <c r="HM3087" s="73"/>
      <c r="HN3087" s="73"/>
      <c r="HO3087" s="73"/>
      <c r="HP3087" s="73"/>
      <c r="HQ3087" s="73"/>
      <c r="HR3087" s="73"/>
      <c r="HS3087" s="73"/>
      <c r="HT3087" s="73"/>
      <c r="HU3087" s="73"/>
      <c r="HV3087" s="73"/>
      <c r="HW3087" s="73"/>
      <c r="HX3087" s="73"/>
      <c r="HY3087" s="73"/>
      <c r="HZ3087" s="73"/>
      <c r="IA3087" s="73"/>
      <c r="IB3087" s="73"/>
      <c r="IC3087" s="73"/>
      <c r="ID3087" s="73"/>
      <c r="IE3087" s="73"/>
      <c r="IF3087" s="73"/>
      <c r="IG3087" s="73"/>
      <c r="IH3087" s="73"/>
      <c r="II3087" s="73"/>
      <c r="IJ3087" s="73"/>
      <c r="IK3087" s="73"/>
      <c r="IL3087" s="73"/>
      <c r="IM3087" s="73"/>
      <c r="IN3087" s="73"/>
      <c r="IO3087" s="73"/>
      <c r="IP3087" s="73"/>
      <c r="IQ3087" s="73"/>
      <c r="IR3087" s="73"/>
      <c r="IS3087" s="73"/>
      <c r="IT3087" s="73"/>
      <c r="IU3087" s="73"/>
      <c r="IV3087" s="73"/>
      <c r="IW3087" s="73"/>
      <c r="IX3087" s="73"/>
      <c r="IY3087" s="73"/>
      <c r="IZ3087" s="73"/>
      <c r="JA3087" s="73"/>
      <c r="JB3087" s="73"/>
      <c r="JC3087" s="73"/>
    </row>
    <row r="3088" spans="2:263" s="72" customFormat="1">
      <c r="B3088" s="73"/>
      <c r="C3088" s="73"/>
      <c r="D3088" s="73"/>
      <c r="E3088" s="73"/>
      <c r="F3088" s="73"/>
      <c r="G3088" s="73"/>
      <c r="H3088" s="73"/>
      <c r="I3088" s="73"/>
      <c r="J3088" s="73"/>
      <c r="K3088" s="73"/>
      <c r="L3088" s="73"/>
      <c r="M3088" s="73"/>
      <c r="N3088" s="73"/>
      <c r="O3088" s="73"/>
      <c r="P3088" s="73"/>
      <c r="Q3088" s="73"/>
      <c r="R3088" s="73"/>
      <c r="S3088" s="73"/>
      <c r="T3088" s="73"/>
      <c r="U3088" s="73"/>
      <c r="V3088" s="73"/>
      <c r="W3088" s="73"/>
      <c r="GL3088" s="73"/>
      <c r="GM3088" s="73"/>
      <c r="GN3088" s="73"/>
      <c r="GO3088" s="73"/>
      <c r="GP3088" s="73"/>
      <c r="GQ3088" s="73"/>
      <c r="GR3088" s="73"/>
      <c r="GS3088" s="73"/>
      <c r="GT3088" s="73"/>
      <c r="GU3088" s="73"/>
      <c r="GV3088" s="73"/>
      <c r="GW3088" s="73"/>
      <c r="GX3088" s="73"/>
      <c r="GY3088" s="73"/>
      <c r="GZ3088" s="73"/>
      <c r="HA3088" s="73"/>
      <c r="HB3088" s="73"/>
      <c r="HC3088" s="73"/>
      <c r="HD3088" s="73"/>
      <c r="HE3088" s="73"/>
      <c r="HF3088" s="73"/>
      <c r="HG3088" s="73"/>
      <c r="HH3088" s="73"/>
      <c r="HI3088" s="73"/>
      <c r="HJ3088" s="73"/>
      <c r="HK3088" s="73"/>
      <c r="HL3088" s="73"/>
      <c r="HM3088" s="73"/>
      <c r="HN3088" s="73"/>
      <c r="HO3088" s="73"/>
      <c r="HP3088" s="73"/>
      <c r="HQ3088" s="73"/>
      <c r="HR3088" s="73"/>
      <c r="HS3088" s="73"/>
      <c r="HT3088" s="73"/>
      <c r="HU3088" s="73"/>
      <c r="HV3088" s="73"/>
      <c r="HW3088" s="73"/>
      <c r="HX3088" s="73"/>
      <c r="HY3088" s="73"/>
      <c r="HZ3088" s="73"/>
      <c r="IA3088" s="73"/>
      <c r="IB3088" s="73"/>
      <c r="IC3088" s="73"/>
      <c r="ID3088" s="73"/>
      <c r="IE3088" s="73"/>
      <c r="IF3088" s="73"/>
      <c r="IG3088" s="73"/>
      <c r="IH3088" s="73"/>
      <c r="II3088" s="73"/>
      <c r="IJ3088" s="73"/>
      <c r="IK3088" s="73"/>
      <c r="IL3088" s="73"/>
      <c r="IM3088" s="73"/>
      <c r="IN3088" s="73"/>
      <c r="IO3088" s="73"/>
      <c r="IP3088" s="73"/>
      <c r="IQ3088" s="73"/>
      <c r="IR3088" s="73"/>
      <c r="IS3088" s="73"/>
      <c r="IT3088" s="73"/>
      <c r="IU3088" s="73"/>
      <c r="IV3088" s="73"/>
      <c r="IW3088" s="73"/>
      <c r="IX3088" s="73"/>
      <c r="IY3088" s="73"/>
      <c r="IZ3088" s="73"/>
      <c r="JA3088" s="73"/>
      <c r="JB3088" s="73"/>
      <c r="JC3088" s="73"/>
    </row>
    <row r="3089" spans="2:263" s="72" customFormat="1">
      <c r="B3089" s="73"/>
      <c r="C3089" s="73"/>
      <c r="D3089" s="73"/>
      <c r="E3089" s="73"/>
      <c r="F3089" s="73"/>
      <c r="G3089" s="73"/>
      <c r="H3089" s="73"/>
      <c r="I3089" s="73"/>
      <c r="J3089" s="73"/>
      <c r="K3089" s="73"/>
      <c r="L3089" s="73"/>
      <c r="M3089" s="73"/>
      <c r="N3089" s="73"/>
      <c r="O3089" s="73"/>
      <c r="P3089" s="73"/>
      <c r="Q3089" s="73"/>
      <c r="R3089" s="73"/>
      <c r="S3089" s="73"/>
      <c r="T3089" s="73"/>
      <c r="U3089" s="73"/>
      <c r="V3089" s="73"/>
      <c r="W3089" s="73"/>
      <c r="GL3089" s="73"/>
      <c r="GM3089" s="73"/>
      <c r="GN3089" s="73"/>
      <c r="GO3089" s="73"/>
      <c r="GP3089" s="73"/>
      <c r="GQ3089" s="73"/>
      <c r="GR3089" s="73"/>
      <c r="GS3089" s="73"/>
      <c r="GT3089" s="73"/>
      <c r="GU3089" s="73"/>
      <c r="GV3089" s="73"/>
      <c r="GW3089" s="73"/>
      <c r="GX3089" s="73"/>
      <c r="GY3089" s="73"/>
      <c r="GZ3089" s="73"/>
      <c r="HA3089" s="73"/>
      <c r="HB3089" s="73"/>
      <c r="HC3089" s="73"/>
      <c r="HD3089" s="73"/>
      <c r="HE3089" s="73"/>
      <c r="HF3089" s="73"/>
      <c r="HG3089" s="73"/>
      <c r="HH3089" s="73"/>
      <c r="HI3089" s="73"/>
      <c r="HJ3089" s="73"/>
      <c r="HK3089" s="73"/>
      <c r="HL3089" s="73"/>
      <c r="HM3089" s="73"/>
      <c r="HN3089" s="73"/>
      <c r="HO3089" s="73"/>
      <c r="HP3089" s="73"/>
      <c r="HQ3089" s="73"/>
      <c r="HR3089" s="73"/>
      <c r="HS3089" s="73"/>
      <c r="HT3089" s="73"/>
      <c r="HU3089" s="73"/>
      <c r="HV3089" s="73"/>
      <c r="HW3089" s="73"/>
      <c r="HX3089" s="73"/>
      <c r="HY3089" s="73"/>
      <c r="HZ3089" s="73"/>
      <c r="IA3089" s="73"/>
      <c r="IB3089" s="73"/>
      <c r="IC3089" s="73"/>
      <c r="ID3089" s="73"/>
      <c r="IE3089" s="73"/>
      <c r="IF3089" s="73"/>
      <c r="IG3089" s="73"/>
      <c r="IH3089" s="73"/>
      <c r="II3089" s="73"/>
      <c r="IJ3089" s="73"/>
      <c r="IK3089" s="73"/>
      <c r="IL3089" s="73"/>
      <c r="IM3089" s="73"/>
      <c r="IN3089" s="73"/>
      <c r="IO3089" s="73"/>
      <c r="IP3089" s="73"/>
      <c r="IQ3089" s="73"/>
      <c r="IR3089" s="73"/>
      <c r="IS3089" s="73"/>
      <c r="IT3089" s="73"/>
      <c r="IU3089" s="73"/>
      <c r="IV3089" s="73"/>
      <c r="IW3089" s="73"/>
      <c r="IX3089" s="73"/>
      <c r="IY3089" s="73"/>
      <c r="IZ3089" s="73"/>
      <c r="JA3089" s="73"/>
      <c r="JB3089" s="73"/>
      <c r="JC3089" s="73"/>
    </row>
    <row r="3090" spans="2:263" s="72" customFormat="1">
      <c r="B3090" s="73"/>
      <c r="C3090" s="73"/>
      <c r="D3090" s="73"/>
      <c r="E3090" s="73"/>
      <c r="F3090" s="73"/>
      <c r="G3090" s="73"/>
      <c r="H3090" s="73"/>
      <c r="I3090" s="73"/>
      <c r="J3090" s="73"/>
      <c r="K3090" s="73"/>
      <c r="L3090" s="73"/>
      <c r="M3090" s="73"/>
      <c r="N3090" s="73"/>
      <c r="O3090" s="73"/>
      <c r="P3090" s="73"/>
      <c r="Q3090" s="73"/>
      <c r="R3090" s="73"/>
      <c r="S3090" s="73"/>
      <c r="T3090" s="73"/>
      <c r="U3090" s="73"/>
      <c r="V3090" s="73"/>
      <c r="W3090" s="73"/>
      <c r="GL3090" s="73"/>
      <c r="GM3090" s="73"/>
      <c r="GN3090" s="73"/>
      <c r="GO3090" s="73"/>
      <c r="GP3090" s="73"/>
      <c r="GQ3090" s="73"/>
      <c r="GR3090" s="73"/>
      <c r="GS3090" s="73"/>
      <c r="GT3090" s="73"/>
      <c r="GU3090" s="73"/>
      <c r="GV3090" s="73"/>
      <c r="GW3090" s="73"/>
      <c r="GX3090" s="73"/>
      <c r="GY3090" s="73"/>
      <c r="GZ3090" s="73"/>
      <c r="HA3090" s="73"/>
      <c r="HB3090" s="73"/>
      <c r="HC3090" s="73"/>
      <c r="HD3090" s="73"/>
      <c r="HE3090" s="73"/>
      <c r="HF3090" s="73"/>
      <c r="HG3090" s="73"/>
      <c r="HH3090" s="73"/>
      <c r="HI3090" s="73"/>
      <c r="HJ3090" s="73"/>
      <c r="HK3090" s="73"/>
      <c r="HL3090" s="73"/>
      <c r="HM3090" s="73"/>
      <c r="HN3090" s="73"/>
      <c r="HO3090" s="73"/>
      <c r="HP3090" s="73"/>
      <c r="HQ3090" s="73"/>
      <c r="HR3090" s="73"/>
      <c r="HS3090" s="73"/>
      <c r="HT3090" s="73"/>
      <c r="HU3090" s="73"/>
      <c r="HV3090" s="73"/>
      <c r="HW3090" s="73"/>
      <c r="HX3090" s="73"/>
      <c r="HY3090" s="73"/>
      <c r="HZ3090" s="73"/>
      <c r="IA3090" s="73"/>
      <c r="IB3090" s="73"/>
      <c r="IC3090" s="73"/>
      <c r="ID3090" s="73"/>
      <c r="IE3090" s="73"/>
      <c r="IF3090" s="73"/>
      <c r="IG3090" s="73"/>
      <c r="IH3090" s="73"/>
      <c r="II3090" s="73"/>
      <c r="IJ3090" s="73"/>
      <c r="IK3090" s="73"/>
      <c r="IL3090" s="73"/>
      <c r="IM3090" s="73"/>
      <c r="IN3090" s="73"/>
      <c r="IO3090" s="73"/>
      <c r="IP3090" s="73"/>
      <c r="IQ3090" s="73"/>
      <c r="IR3090" s="73"/>
      <c r="IS3090" s="73"/>
      <c r="IT3090" s="73"/>
      <c r="IU3090" s="73"/>
      <c r="IV3090" s="73"/>
      <c r="IW3090" s="73"/>
      <c r="IX3090" s="73"/>
      <c r="IY3090" s="73"/>
      <c r="IZ3090" s="73"/>
      <c r="JA3090" s="73"/>
      <c r="JB3090" s="73"/>
      <c r="JC3090" s="73"/>
    </row>
    <row r="3091" spans="2:263" s="72" customFormat="1">
      <c r="B3091" s="73"/>
      <c r="C3091" s="73"/>
      <c r="D3091" s="73"/>
      <c r="E3091" s="73"/>
      <c r="F3091" s="73"/>
      <c r="G3091" s="73"/>
      <c r="H3091" s="73"/>
      <c r="I3091" s="73"/>
      <c r="J3091" s="73"/>
      <c r="K3091" s="73"/>
      <c r="L3091" s="73"/>
      <c r="M3091" s="73"/>
      <c r="N3091" s="73"/>
      <c r="O3091" s="73"/>
      <c r="P3091" s="73"/>
      <c r="Q3091" s="73"/>
      <c r="R3091" s="73"/>
      <c r="S3091" s="73"/>
      <c r="T3091" s="73"/>
      <c r="U3091" s="73"/>
      <c r="V3091" s="73"/>
      <c r="W3091" s="73"/>
      <c r="GL3091" s="73"/>
      <c r="GM3091" s="73"/>
      <c r="GN3091" s="73"/>
      <c r="GO3091" s="73"/>
      <c r="GP3091" s="73"/>
      <c r="GQ3091" s="73"/>
      <c r="GR3091" s="73"/>
      <c r="GS3091" s="73"/>
      <c r="GT3091" s="73"/>
      <c r="GU3091" s="73"/>
      <c r="GV3091" s="73"/>
      <c r="GW3091" s="73"/>
      <c r="GX3091" s="73"/>
      <c r="GY3091" s="73"/>
      <c r="GZ3091" s="73"/>
      <c r="HA3091" s="73"/>
      <c r="HB3091" s="73"/>
      <c r="HC3091" s="73"/>
      <c r="HD3091" s="73"/>
      <c r="HE3091" s="73"/>
      <c r="HF3091" s="73"/>
      <c r="HG3091" s="73"/>
      <c r="HH3091" s="73"/>
      <c r="HI3091" s="73"/>
      <c r="HJ3091" s="73"/>
      <c r="HK3091" s="73"/>
      <c r="HL3091" s="73"/>
      <c r="HM3091" s="73"/>
      <c r="HN3091" s="73"/>
      <c r="HO3091" s="73"/>
      <c r="HP3091" s="73"/>
      <c r="HQ3091" s="73"/>
      <c r="HR3091" s="73"/>
      <c r="HS3091" s="73"/>
      <c r="HT3091" s="73"/>
      <c r="HU3091" s="73"/>
      <c r="HV3091" s="73"/>
      <c r="HW3091" s="73"/>
      <c r="HX3091" s="73"/>
      <c r="HY3091" s="73"/>
      <c r="HZ3091" s="73"/>
      <c r="IA3091" s="73"/>
      <c r="IB3091" s="73"/>
      <c r="IC3091" s="73"/>
      <c r="ID3091" s="73"/>
      <c r="IE3091" s="73"/>
      <c r="IF3091" s="73"/>
      <c r="IG3091" s="73"/>
      <c r="IH3091" s="73"/>
      <c r="II3091" s="73"/>
      <c r="IJ3091" s="73"/>
      <c r="IK3091" s="73"/>
      <c r="IL3091" s="73"/>
      <c r="IM3091" s="73"/>
      <c r="IN3091" s="73"/>
      <c r="IO3091" s="73"/>
      <c r="IP3091" s="73"/>
      <c r="IQ3091" s="73"/>
      <c r="IR3091" s="73"/>
      <c r="IS3091" s="73"/>
      <c r="IT3091" s="73"/>
      <c r="IU3091" s="73"/>
      <c r="IV3091" s="73"/>
      <c r="IW3091" s="73"/>
      <c r="IX3091" s="73"/>
      <c r="IY3091" s="73"/>
      <c r="IZ3091" s="73"/>
      <c r="JA3091" s="73"/>
      <c r="JB3091" s="73"/>
      <c r="JC3091" s="73"/>
    </row>
    <row r="3092" spans="2:263" s="72" customFormat="1">
      <c r="B3092" s="73"/>
      <c r="C3092" s="73"/>
      <c r="D3092" s="73"/>
      <c r="E3092" s="73"/>
      <c r="F3092" s="73"/>
      <c r="G3092" s="73"/>
      <c r="H3092" s="73"/>
      <c r="I3092" s="73"/>
      <c r="J3092" s="73"/>
      <c r="K3092" s="73"/>
      <c r="L3092" s="73"/>
      <c r="M3092" s="73"/>
      <c r="N3092" s="73"/>
      <c r="O3092" s="73"/>
      <c r="P3092" s="73"/>
      <c r="Q3092" s="73"/>
      <c r="R3092" s="73"/>
      <c r="S3092" s="73"/>
      <c r="T3092" s="73"/>
      <c r="U3092" s="73"/>
      <c r="V3092" s="73"/>
      <c r="W3092" s="73"/>
      <c r="GL3092" s="73"/>
      <c r="GM3092" s="73"/>
      <c r="GN3092" s="73"/>
      <c r="GO3092" s="73"/>
      <c r="GP3092" s="73"/>
      <c r="GQ3092" s="73"/>
      <c r="GR3092" s="73"/>
      <c r="GS3092" s="73"/>
      <c r="GT3092" s="73"/>
      <c r="GU3092" s="73"/>
      <c r="GV3092" s="73"/>
      <c r="GW3092" s="73"/>
      <c r="GX3092" s="73"/>
      <c r="GY3092" s="73"/>
      <c r="GZ3092" s="73"/>
      <c r="HA3092" s="73"/>
      <c r="HB3092" s="73"/>
      <c r="HC3092" s="73"/>
      <c r="HD3092" s="73"/>
      <c r="HE3092" s="73"/>
      <c r="HF3092" s="73"/>
      <c r="HG3092" s="73"/>
      <c r="HH3092" s="73"/>
      <c r="HI3092" s="73"/>
      <c r="HJ3092" s="73"/>
      <c r="HK3092" s="73"/>
      <c r="HL3092" s="73"/>
      <c r="HM3092" s="73"/>
      <c r="HN3092" s="73"/>
      <c r="HO3092" s="73"/>
      <c r="HP3092" s="73"/>
      <c r="HQ3092" s="73"/>
      <c r="HR3092" s="73"/>
      <c r="HS3092" s="73"/>
      <c r="HT3092" s="73"/>
      <c r="HU3092" s="73"/>
      <c r="HV3092" s="73"/>
      <c r="HW3092" s="73"/>
      <c r="HX3092" s="73"/>
      <c r="HY3092" s="73"/>
      <c r="HZ3092" s="73"/>
      <c r="IA3092" s="73"/>
      <c r="IB3092" s="73"/>
      <c r="IC3092" s="73"/>
      <c r="ID3092" s="73"/>
      <c r="IE3092" s="73"/>
      <c r="IF3092" s="73"/>
      <c r="IG3092" s="73"/>
      <c r="IH3092" s="73"/>
      <c r="II3092" s="73"/>
      <c r="IJ3092" s="73"/>
      <c r="IK3092" s="73"/>
      <c r="IL3092" s="73"/>
      <c r="IM3092" s="73"/>
      <c r="IN3092" s="73"/>
      <c r="IO3092" s="73"/>
      <c r="IP3092" s="73"/>
      <c r="IQ3092" s="73"/>
      <c r="IR3092" s="73"/>
      <c r="IS3092" s="73"/>
      <c r="IT3092" s="73"/>
      <c r="IU3092" s="73"/>
      <c r="IV3092" s="73"/>
      <c r="IW3092" s="73"/>
      <c r="IX3092" s="73"/>
      <c r="IY3092" s="73"/>
      <c r="IZ3092" s="73"/>
      <c r="JA3092" s="73"/>
      <c r="JB3092" s="73"/>
      <c r="JC3092" s="73"/>
    </row>
    <row r="3093" spans="2:263" s="72" customFormat="1">
      <c r="B3093" s="73"/>
      <c r="C3093" s="73"/>
      <c r="D3093" s="73"/>
      <c r="E3093" s="73"/>
      <c r="F3093" s="73"/>
      <c r="G3093" s="73"/>
      <c r="H3093" s="73"/>
      <c r="I3093" s="73"/>
      <c r="J3093" s="73"/>
      <c r="K3093" s="73"/>
      <c r="L3093" s="73"/>
      <c r="M3093" s="73"/>
      <c r="N3093" s="73"/>
      <c r="O3093" s="73"/>
      <c r="P3093" s="73"/>
      <c r="Q3093" s="73"/>
      <c r="R3093" s="73"/>
      <c r="S3093" s="73"/>
      <c r="T3093" s="73"/>
      <c r="U3093" s="73"/>
      <c r="V3093" s="73"/>
      <c r="W3093" s="73"/>
      <c r="GL3093" s="73"/>
      <c r="GM3093" s="73"/>
      <c r="GN3093" s="73"/>
      <c r="GO3093" s="73"/>
      <c r="GP3093" s="73"/>
      <c r="GQ3093" s="73"/>
      <c r="GR3093" s="73"/>
      <c r="GS3093" s="73"/>
      <c r="GT3093" s="73"/>
      <c r="GU3093" s="73"/>
      <c r="GV3093" s="73"/>
      <c r="GW3093" s="73"/>
      <c r="GX3093" s="73"/>
      <c r="GY3093" s="73"/>
      <c r="GZ3093" s="73"/>
      <c r="HA3093" s="73"/>
      <c r="HB3093" s="73"/>
      <c r="HC3093" s="73"/>
      <c r="HD3093" s="73"/>
      <c r="HE3093" s="73"/>
      <c r="HF3093" s="73"/>
      <c r="HG3093" s="73"/>
      <c r="HH3093" s="73"/>
      <c r="HI3093" s="73"/>
      <c r="HJ3093" s="73"/>
      <c r="HK3093" s="73"/>
      <c r="HL3093" s="73"/>
      <c r="HM3093" s="73"/>
      <c r="HN3093" s="73"/>
      <c r="HO3093" s="73"/>
      <c r="HP3093" s="73"/>
      <c r="HQ3093" s="73"/>
      <c r="HR3093" s="73"/>
      <c r="HS3093" s="73"/>
      <c r="HT3093" s="73"/>
      <c r="HU3093" s="73"/>
      <c r="HV3093" s="73"/>
      <c r="HW3093" s="73"/>
      <c r="HX3093" s="73"/>
      <c r="HY3093" s="73"/>
      <c r="HZ3093" s="73"/>
      <c r="IA3093" s="73"/>
      <c r="IB3093" s="73"/>
      <c r="IC3093" s="73"/>
      <c r="ID3093" s="73"/>
      <c r="IE3093" s="73"/>
      <c r="IF3093" s="73"/>
      <c r="IG3093" s="73"/>
      <c r="IH3093" s="73"/>
      <c r="II3093" s="73"/>
      <c r="IJ3093" s="73"/>
      <c r="IK3093" s="73"/>
      <c r="IL3093" s="73"/>
      <c r="IM3093" s="73"/>
      <c r="IN3093" s="73"/>
      <c r="IO3093" s="73"/>
      <c r="IP3093" s="73"/>
      <c r="IQ3093" s="73"/>
      <c r="IR3093" s="73"/>
      <c r="IS3093" s="73"/>
      <c r="IT3093" s="73"/>
      <c r="IU3093" s="73"/>
      <c r="IV3093" s="73"/>
      <c r="IW3093" s="73"/>
      <c r="IX3093" s="73"/>
      <c r="IY3093" s="73"/>
      <c r="IZ3093" s="73"/>
      <c r="JA3093" s="73"/>
      <c r="JB3093" s="73"/>
      <c r="JC3093" s="73"/>
    </row>
    <row r="3094" spans="2:263" s="72" customFormat="1">
      <c r="B3094" s="73"/>
      <c r="C3094" s="73"/>
      <c r="D3094" s="73"/>
      <c r="E3094" s="73"/>
      <c r="F3094" s="73"/>
      <c r="G3094" s="73"/>
      <c r="H3094" s="73"/>
      <c r="I3094" s="73"/>
      <c r="J3094" s="73"/>
      <c r="K3094" s="73"/>
      <c r="L3094" s="73"/>
      <c r="M3094" s="73"/>
      <c r="N3094" s="73"/>
      <c r="O3094" s="73"/>
      <c r="P3094" s="73"/>
      <c r="Q3094" s="73"/>
      <c r="R3094" s="73"/>
      <c r="S3094" s="73"/>
      <c r="T3094" s="73"/>
      <c r="U3094" s="73"/>
      <c r="V3094" s="73"/>
      <c r="W3094" s="73"/>
      <c r="GL3094" s="73"/>
      <c r="GM3094" s="73"/>
      <c r="GN3094" s="73"/>
      <c r="GO3094" s="73"/>
      <c r="GP3094" s="73"/>
      <c r="GQ3094" s="73"/>
      <c r="GR3094" s="73"/>
      <c r="GS3094" s="73"/>
      <c r="GT3094" s="73"/>
      <c r="GU3094" s="73"/>
      <c r="GV3094" s="73"/>
      <c r="GW3094" s="73"/>
      <c r="GX3094" s="73"/>
      <c r="GY3094" s="73"/>
      <c r="GZ3094" s="73"/>
      <c r="HA3094" s="73"/>
      <c r="HB3094" s="73"/>
      <c r="HC3094" s="73"/>
      <c r="HD3094" s="73"/>
      <c r="HE3094" s="73"/>
      <c r="HF3094" s="73"/>
      <c r="HG3094" s="73"/>
      <c r="HH3094" s="73"/>
      <c r="HI3094" s="73"/>
      <c r="HJ3094" s="73"/>
      <c r="HK3094" s="73"/>
      <c r="HL3094" s="73"/>
      <c r="HM3094" s="73"/>
      <c r="HN3094" s="73"/>
      <c r="HO3094" s="73"/>
      <c r="HP3094" s="73"/>
      <c r="HQ3094" s="73"/>
      <c r="HR3094" s="73"/>
      <c r="HS3094" s="73"/>
      <c r="HT3094" s="73"/>
      <c r="HU3094" s="73"/>
      <c r="HV3094" s="73"/>
      <c r="HW3094" s="73"/>
      <c r="HX3094" s="73"/>
      <c r="HY3094" s="73"/>
      <c r="HZ3094" s="73"/>
      <c r="IA3094" s="73"/>
      <c r="IB3094" s="73"/>
      <c r="IC3094" s="73"/>
      <c r="ID3094" s="73"/>
      <c r="IE3094" s="73"/>
      <c r="IF3094" s="73"/>
      <c r="IG3094" s="73"/>
      <c r="IH3094" s="73"/>
      <c r="II3094" s="73"/>
      <c r="IJ3094" s="73"/>
      <c r="IK3094" s="73"/>
      <c r="IL3094" s="73"/>
      <c r="IM3094" s="73"/>
      <c r="IN3094" s="73"/>
      <c r="IO3094" s="73"/>
      <c r="IP3094" s="73"/>
      <c r="IQ3094" s="73"/>
      <c r="IR3094" s="73"/>
      <c r="IS3094" s="73"/>
      <c r="IT3094" s="73"/>
      <c r="IU3094" s="73"/>
      <c r="IV3094" s="73"/>
      <c r="IW3094" s="73"/>
      <c r="IX3094" s="73"/>
      <c r="IY3094" s="73"/>
      <c r="IZ3094" s="73"/>
      <c r="JA3094" s="73"/>
      <c r="JB3094" s="73"/>
      <c r="JC3094" s="73"/>
    </row>
    <row r="3095" spans="2:263" s="72" customFormat="1">
      <c r="B3095" s="73"/>
      <c r="C3095" s="73"/>
      <c r="D3095" s="73"/>
      <c r="E3095" s="73"/>
      <c r="F3095" s="73"/>
      <c r="G3095" s="73"/>
      <c r="H3095" s="73"/>
      <c r="I3095" s="73"/>
      <c r="J3095" s="73"/>
      <c r="K3095" s="73"/>
      <c r="L3095" s="73"/>
      <c r="M3095" s="73"/>
      <c r="N3095" s="73"/>
      <c r="O3095" s="73"/>
      <c r="P3095" s="73"/>
      <c r="Q3095" s="73"/>
      <c r="R3095" s="73"/>
      <c r="S3095" s="73"/>
      <c r="T3095" s="73"/>
      <c r="U3095" s="73"/>
      <c r="V3095" s="73"/>
      <c r="W3095" s="73"/>
      <c r="GL3095" s="73"/>
      <c r="GM3095" s="73"/>
      <c r="GN3095" s="73"/>
      <c r="GO3095" s="73"/>
      <c r="GP3095" s="73"/>
      <c r="GQ3095" s="73"/>
      <c r="GR3095" s="73"/>
      <c r="GS3095" s="73"/>
      <c r="GT3095" s="73"/>
      <c r="GU3095" s="73"/>
      <c r="GV3095" s="73"/>
      <c r="GW3095" s="73"/>
      <c r="GX3095" s="73"/>
      <c r="GY3095" s="73"/>
      <c r="GZ3095" s="73"/>
      <c r="HA3095" s="73"/>
      <c r="HB3095" s="73"/>
      <c r="HC3095" s="73"/>
      <c r="HD3095" s="73"/>
      <c r="HE3095" s="73"/>
      <c r="HF3095" s="73"/>
      <c r="HG3095" s="73"/>
      <c r="HH3095" s="73"/>
      <c r="HI3095" s="73"/>
      <c r="HJ3095" s="73"/>
      <c r="HK3095" s="73"/>
      <c r="HL3095" s="73"/>
      <c r="HM3095" s="73"/>
      <c r="HN3095" s="73"/>
      <c r="HO3095" s="73"/>
      <c r="HP3095" s="73"/>
      <c r="HQ3095" s="73"/>
      <c r="HR3095" s="73"/>
      <c r="HS3095" s="73"/>
      <c r="HT3095" s="73"/>
      <c r="HU3095" s="73"/>
      <c r="HV3095" s="73"/>
      <c r="HW3095" s="73"/>
      <c r="HX3095" s="73"/>
      <c r="HY3095" s="73"/>
      <c r="HZ3095" s="73"/>
      <c r="IA3095" s="73"/>
      <c r="IB3095" s="73"/>
      <c r="IC3095" s="73"/>
      <c r="ID3095" s="73"/>
      <c r="IE3095" s="73"/>
      <c r="IF3095" s="73"/>
      <c r="IG3095" s="73"/>
      <c r="IH3095" s="73"/>
      <c r="II3095" s="73"/>
      <c r="IJ3095" s="73"/>
      <c r="IK3095" s="73"/>
      <c r="IL3095" s="73"/>
      <c r="IM3095" s="73"/>
      <c r="IN3095" s="73"/>
      <c r="IO3095" s="73"/>
      <c r="IP3095" s="73"/>
      <c r="IQ3095" s="73"/>
      <c r="IR3095" s="73"/>
      <c r="IS3095" s="73"/>
      <c r="IT3095" s="73"/>
      <c r="IU3095" s="73"/>
      <c r="IV3095" s="73"/>
      <c r="IW3095" s="73"/>
      <c r="IX3095" s="73"/>
      <c r="IY3095" s="73"/>
      <c r="IZ3095" s="73"/>
      <c r="JA3095" s="73"/>
      <c r="JB3095" s="73"/>
      <c r="JC3095" s="73"/>
    </row>
    <row r="3096" spans="2:263" s="72" customFormat="1">
      <c r="B3096" s="73"/>
      <c r="C3096" s="73"/>
      <c r="D3096" s="73"/>
      <c r="E3096" s="73"/>
      <c r="F3096" s="73"/>
      <c r="G3096" s="73"/>
      <c r="H3096" s="73"/>
      <c r="I3096" s="73"/>
      <c r="J3096" s="73"/>
      <c r="K3096" s="73"/>
      <c r="L3096" s="73"/>
      <c r="M3096" s="73"/>
      <c r="N3096" s="73"/>
      <c r="O3096" s="73"/>
      <c r="P3096" s="73"/>
      <c r="Q3096" s="73"/>
      <c r="R3096" s="73"/>
      <c r="S3096" s="73"/>
      <c r="T3096" s="73"/>
      <c r="U3096" s="73"/>
      <c r="V3096" s="73"/>
      <c r="W3096" s="73"/>
      <c r="GL3096" s="73"/>
      <c r="GM3096" s="73"/>
      <c r="GN3096" s="73"/>
      <c r="GO3096" s="73"/>
      <c r="GP3096" s="73"/>
      <c r="GQ3096" s="73"/>
      <c r="GR3096" s="73"/>
      <c r="GS3096" s="73"/>
      <c r="GT3096" s="73"/>
      <c r="GU3096" s="73"/>
      <c r="GV3096" s="73"/>
      <c r="GW3096" s="73"/>
      <c r="GX3096" s="73"/>
      <c r="GY3096" s="73"/>
      <c r="GZ3096" s="73"/>
      <c r="HA3096" s="73"/>
      <c r="HB3096" s="73"/>
      <c r="HC3096" s="73"/>
      <c r="HD3096" s="73"/>
      <c r="HE3096" s="73"/>
      <c r="HF3096" s="73"/>
      <c r="HG3096" s="73"/>
      <c r="HH3096" s="73"/>
      <c r="HI3096" s="73"/>
      <c r="HJ3096" s="73"/>
      <c r="HK3096" s="73"/>
      <c r="HL3096" s="73"/>
      <c r="HM3096" s="73"/>
      <c r="HN3096" s="73"/>
      <c r="HO3096" s="73"/>
      <c r="HP3096" s="73"/>
      <c r="HQ3096" s="73"/>
      <c r="HR3096" s="73"/>
      <c r="HS3096" s="73"/>
      <c r="HT3096" s="73"/>
      <c r="HU3096" s="73"/>
      <c r="HV3096" s="73"/>
      <c r="HW3096" s="73"/>
      <c r="HX3096" s="73"/>
      <c r="HY3096" s="73"/>
      <c r="HZ3096" s="73"/>
      <c r="IA3096" s="73"/>
      <c r="IB3096" s="73"/>
      <c r="IC3096" s="73"/>
      <c r="ID3096" s="73"/>
      <c r="IE3096" s="73"/>
      <c r="IF3096" s="73"/>
      <c r="IG3096" s="73"/>
      <c r="IH3096" s="73"/>
      <c r="II3096" s="73"/>
      <c r="IJ3096" s="73"/>
      <c r="IK3096" s="73"/>
      <c r="IL3096" s="73"/>
      <c r="IM3096" s="73"/>
      <c r="IN3096" s="73"/>
      <c r="IO3096" s="73"/>
      <c r="IP3096" s="73"/>
      <c r="IQ3096" s="73"/>
      <c r="IR3096" s="73"/>
      <c r="IS3096" s="73"/>
      <c r="IT3096" s="73"/>
      <c r="IU3096" s="73"/>
      <c r="IV3096" s="73"/>
      <c r="IW3096" s="73"/>
      <c r="IX3096" s="73"/>
      <c r="IY3096" s="73"/>
      <c r="IZ3096" s="73"/>
      <c r="JA3096" s="73"/>
      <c r="JB3096" s="73"/>
      <c r="JC3096" s="73"/>
    </row>
    <row r="3097" spans="2:263" s="72" customFormat="1">
      <c r="B3097" s="73"/>
      <c r="C3097" s="73"/>
      <c r="D3097" s="73"/>
      <c r="E3097" s="73"/>
      <c r="F3097" s="73"/>
      <c r="G3097" s="73"/>
      <c r="H3097" s="73"/>
      <c r="I3097" s="73"/>
      <c r="J3097" s="73"/>
      <c r="K3097" s="73"/>
      <c r="L3097" s="73"/>
      <c r="M3097" s="73"/>
      <c r="N3097" s="73"/>
      <c r="O3097" s="73"/>
      <c r="P3097" s="73"/>
      <c r="Q3097" s="73"/>
      <c r="R3097" s="73"/>
      <c r="S3097" s="73"/>
      <c r="T3097" s="73"/>
      <c r="U3097" s="73"/>
      <c r="V3097" s="73"/>
      <c r="W3097" s="73"/>
      <c r="GL3097" s="73"/>
      <c r="GM3097" s="73"/>
      <c r="GN3097" s="73"/>
      <c r="GO3097" s="73"/>
      <c r="GP3097" s="73"/>
      <c r="GQ3097" s="73"/>
      <c r="GR3097" s="73"/>
      <c r="GS3097" s="73"/>
      <c r="GT3097" s="73"/>
      <c r="GU3097" s="73"/>
      <c r="GV3097" s="73"/>
      <c r="GW3097" s="73"/>
      <c r="GX3097" s="73"/>
      <c r="GY3097" s="73"/>
      <c r="GZ3097" s="73"/>
      <c r="HA3097" s="73"/>
      <c r="HB3097" s="73"/>
      <c r="HC3097" s="73"/>
      <c r="HD3097" s="73"/>
      <c r="HE3097" s="73"/>
      <c r="HF3097" s="73"/>
      <c r="HG3097" s="73"/>
      <c r="HH3097" s="73"/>
      <c r="HI3097" s="73"/>
      <c r="HJ3097" s="73"/>
      <c r="HK3097" s="73"/>
      <c r="HL3097" s="73"/>
      <c r="HM3097" s="73"/>
      <c r="HN3097" s="73"/>
      <c r="HO3097" s="73"/>
      <c r="HP3097" s="73"/>
      <c r="HQ3097" s="73"/>
      <c r="HR3097" s="73"/>
      <c r="HS3097" s="73"/>
      <c r="HT3097" s="73"/>
      <c r="HU3097" s="73"/>
      <c r="HV3097" s="73"/>
      <c r="HW3097" s="73"/>
      <c r="HX3097" s="73"/>
      <c r="HY3097" s="73"/>
      <c r="HZ3097" s="73"/>
      <c r="IA3097" s="73"/>
      <c r="IB3097" s="73"/>
      <c r="IC3097" s="73"/>
      <c r="ID3097" s="73"/>
      <c r="IE3097" s="73"/>
      <c r="IF3097" s="73"/>
      <c r="IG3097" s="73"/>
      <c r="IH3097" s="73"/>
      <c r="II3097" s="73"/>
      <c r="IJ3097" s="73"/>
      <c r="IK3097" s="73"/>
      <c r="IL3097" s="73"/>
      <c r="IM3097" s="73"/>
      <c r="IN3097" s="73"/>
      <c r="IO3097" s="73"/>
      <c r="IP3097" s="73"/>
      <c r="IQ3097" s="73"/>
      <c r="IR3097" s="73"/>
      <c r="IS3097" s="73"/>
      <c r="IT3097" s="73"/>
      <c r="IU3097" s="73"/>
      <c r="IV3097" s="73"/>
      <c r="IW3097" s="73"/>
      <c r="IX3097" s="73"/>
      <c r="IY3097" s="73"/>
      <c r="IZ3097" s="73"/>
      <c r="JA3097" s="73"/>
      <c r="JB3097" s="73"/>
      <c r="JC3097" s="73"/>
    </row>
    <row r="3098" spans="2:263" s="72" customFormat="1">
      <c r="B3098" s="73"/>
      <c r="C3098" s="73"/>
      <c r="D3098" s="73"/>
      <c r="E3098" s="73"/>
      <c r="F3098" s="73"/>
      <c r="G3098" s="73"/>
      <c r="H3098" s="73"/>
      <c r="I3098" s="73"/>
      <c r="J3098" s="73"/>
      <c r="K3098" s="73"/>
      <c r="L3098" s="73"/>
      <c r="M3098" s="73"/>
      <c r="N3098" s="73"/>
      <c r="O3098" s="73"/>
      <c r="P3098" s="73"/>
      <c r="Q3098" s="73"/>
      <c r="R3098" s="73"/>
      <c r="S3098" s="73"/>
      <c r="T3098" s="73"/>
      <c r="U3098" s="73"/>
      <c r="V3098" s="73"/>
      <c r="W3098" s="73"/>
      <c r="GL3098" s="73"/>
      <c r="GM3098" s="73"/>
      <c r="GN3098" s="73"/>
      <c r="GO3098" s="73"/>
      <c r="GP3098" s="73"/>
      <c r="GQ3098" s="73"/>
      <c r="GR3098" s="73"/>
      <c r="GS3098" s="73"/>
      <c r="GT3098" s="73"/>
      <c r="GU3098" s="73"/>
      <c r="GV3098" s="73"/>
      <c r="GW3098" s="73"/>
      <c r="GX3098" s="73"/>
      <c r="GY3098" s="73"/>
      <c r="GZ3098" s="73"/>
      <c r="HA3098" s="73"/>
      <c r="HB3098" s="73"/>
      <c r="HC3098" s="73"/>
      <c r="HD3098" s="73"/>
      <c r="HE3098" s="73"/>
      <c r="HF3098" s="73"/>
      <c r="HG3098" s="73"/>
      <c r="HH3098" s="73"/>
      <c r="HI3098" s="73"/>
      <c r="HJ3098" s="73"/>
      <c r="HK3098" s="73"/>
      <c r="HL3098" s="73"/>
      <c r="HM3098" s="73"/>
      <c r="HN3098" s="73"/>
      <c r="HO3098" s="73"/>
      <c r="HP3098" s="73"/>
      <c r="HQ3098" s="73"/>
      <c r="HR3098" s="73"/>
      <c r="HS3098" s="73"/>
      <c r="HT3098" s="73"/>
      <c r="HU3098" s="73"/>
      <c r="HV3098" s="73"/>
      <c r="HW3098" s="73"/>
      <c r="HX3098" s="73"/>
      <c r="HY3098" s="73"/>
      <c r="HZ3098" s="73"/>
      <c r="IA3098" s="73"/>
      <c r="IB3098" s="73"/>
      <c r="IC3098" s="73"/>
      <c r="ID3098" s="73"/>
      <c r="IE3098" s="73"/>
      <c r="IF3098" s="73"/>
      <c r="IG3098" s="73"/>
      <c r="IH3098" s="73"/>
      <c r="II3098" s="73"/>
      <c r="IJ3098" s="73"/>
      <c r="IK3098" s="73"/>
      <c r="IL3098" s="73"/>
      <c r="IM3098" s="73"/>
      <c r="IN3098" s="73"/>
      <c r="IO3098" s="73"/>
      <c r="IP3098" s="73"/>
      <c r="IQ3098" s="73"/>
      <c r="IR3098" s="73"/>
      <c r="IS3098" s="73"/>
      <c r="IT3098" s="73"/>
      <c r="IU3098" s="73"/>
      <c r="IV3098" s="73"/>
      <c r="IW3098" s="73"/>
      <c r="IX3098" s="73"/>
      <c r="IY3098" s="73"/>
      <c r="IZ3098" s="73"/>
      <c r="JA3098" s="73"/>
      <c r="JB3098" s="73"/>
      <c r="JC3098" s="73"/>
    </row>
    <row r="3099" spans="2:263" s="72" customFormat="1">
      <c r="B3099" s="73"/>
      <c r="C3099" s="73"/>
      <c r="D3099" s="73"/>
      <c r="E3099" s="73"/>
      <c r="F3099" s="73"/>
      <c r="G3099" s="73"/>
      <c r="H3099" s="73"/>
      <c r="I3099" s="73"/>
      <c r="J3099" s="73"/>
      <c r="K3099" s="73"/>
      <c r="L3099" s="73"/>
      <c r="M3099" s="73"/>
      <c r="N3099" s="73"/>
      <c r="O3099" s="73"/>
      <c r="P3099" s="73"/>
      <c r="Q3099" s="73"/>
      <c r="R3099" s="73"/>
      <c r="S3099" s="73"/>
      <c r="T3099" s="73"/>
      <c r="U3099" s="73"/>
      <c r="V3099" s="73"/>
      <c r="W3099" s="73"/>
      <c r="GL3099" s="73"/>
      <c r="GM3099" s="73"/>
      <c r="GN3099" s="73"/>
      <c r="GO3099" s="73"/>
      <c r="GP3099" s="73"/>
      <c r="GQ3099" s="73"/>
      <c r="GR3099" s="73"/>
      <c r="GS3099" s="73"/>
      <c r="GT3099" s="73"/>
      <c r="GU3099" s="73"/>
      <c r="GV3099" s="73"/>
      <c r="GW3099" s="73"/>
      <c r="GX3099" s="73"/>
      <c r="GY3099" s="73"/>
      <c r="GZ3099" s="73"/>
      <c r="HA3099" s="73"/>
      <c r="HB3099" s="73"/>
      <c r="HC3099" s="73"/>
      <c r="HD3099" s="73"/>
      <c r="HE3099" s="73"/>
      <c r="HF3099" s="73"/>
      <c r="HG3099" s="73"/>
      <c r="HH3099" s="73"/>
      <c r="HI3099" s="73"/>
      <c r="HJ3099" s="73"/>
      <c r="HK3099" s="73"/>
      <c r="HL3099" s="73"/>
      <c r="HM3099" s="73"/>
      <c r="HN3099" s="73"/>
      <c r="HO3099" s="73"/>
      <c r="HP3099" s="73"/>
      <c r="HQ3099" s="73"/>
      <c r="HR3099" s="73"/>
      <c r="HS3099" s="73"/>
      <c r="HT3099" s="73"/>
      <c r="HU3099" s="73"/>
      <c r="HV3099" s="73"/>
      <c r="HW3099" s="73"/>
      <c r="HX3099" s="73"/>
      <c r="HY3099" s="73"/>
      <c r="HZ3099" s="73"/>
      <c r="IA3099" s="73"/>
      <c r="IB3099" s="73"/>
      <c r="IC3099" s="73"/>
      <c r="ID3099" s="73"/>
      <c r="IE3099" s="73"/>
      <c r="IF3099" s="73"/>
      <c r="IG3099" s="73"/>
      <c r="IH3099" s="73"/>
      <c r="II3099" s="73"/>
      <c r="IJ3099" s="73"/>
      <c r="IK3099" s="73"/>
      <c r="IL3099" s="73"/>
      <c r="IM3099" s="73"/>
      <c r="IN3099" s="73"/>
      <c r="IO3099" s="73"/>
      <c r="IP3099" s="73"/>
      <c r="IQ3099" s="73"/>
      <c r="IR3099" s="73"/>
      <c r="IS3099" s="73"/>
      <c r="IT3099" s="73"/>
      <c r="IU3099" s="73"/>
      <c r="IV3099" s="73"/>
      <c r="IW3099" s="73"/>
      <c r="IX3099" s="73"/>
      <c r="IY3099" s="73"/>
      <c r="IZ3099" s="73"/>
      <c r="JA3099" s="73"/>
      <c r="JB3099" s="73"/>
      <c r="JC3099" s="73"/>
    </row>
    <row r="3100" spans="2:263" s="72" customFormat="1">
      <c r="B3100" s="73"/>
      <c r="C3100" s="73"/>
      <c r="D3100" s="73"/>
      <c r="E3100" s="73"/>
      <c r="F3100" s="73"/>
      <c r="G3100" s="73"/>
      <c r="H3100" s="73"/>
      <c r="I3100" s="73"/>
      <c r="J3100" s="73"/>
      <c r="K3100" s="73"/>
      <c r="L3100" s="73"/>
      <c r="M3100" s="73"/>
      <c r="N3100" s="73"/>
      <c r="O3100" s="73"/>
      <c r="P3100" s="73"/>
      <c r="Q3100" s="73"/>
      <c r="R3100" s="73"/>
      <c r="S3100" s="73"/>
      <c r="T3100" s="73"/>
      <c r="U3100" s="73"/>
      <c r="V3100" s="73"/>
      <c r="W3100" s="73"/>
      <c r="GL3100" s="73"/>
      <c r="GM3100" s="73"/>
      <c r="GN3100" s="73"/>
      <c r="GO3100" s="73"/>
      <c r="GP3100" s="73"/>
      <c r="GQ3100" s="73"/>
      <c r="GR3100" s="73"/>
      <c r="GS3100" s="73"/>
      <c r="GT3100" s="73"/>
      <c r="GU3100" s="73"/>
      <c r="GV3100" s="73"/>
      <c r="GW3100" s="73"/>
      <c r="GX3100" s="73"/>
      <c r="GY3100" s="73"/>
      <c r="GZ3100" s="73"/>
      <c r="HA3100" s="73"/>
      <c r="HB3100" s="73"/>
      <c r="HC3100" s="73"/>
      <c r="HD3100" s="73"/>
      <c r="HE3100" s="73"/>
      <c r="HF3100" s="73"/>
      <c r="HG3100" s="73"/>
      <c r="HH3100" s="73"/>
      <c r="HI3100" s="73"/>
      <c r="HJ3100" s="73"/>
      <c r="HK3100" s="73"/>
      <c r="HL3100" s="73"/>
      <c r="HM3100" s="73"/>
      <c r="HN3100" s="73"/>
      <c r="HO3100" s="73"/>
      <c r="HP3100" s="73"/>
      <c r="HQ3100" s="73"/>
      <c r="HR3100" s="73"/>
      <c r="HS3100" s="73"/>
      <c r="HT3100" s="73"/>
      <c r="HU3100" s="73"/>
      <c r="HV3100" s="73"/>
      <c r="HW3100" s="73"/>
      <c r="HX3100" s="73"/>
      <c r="HY3100" s="73"/>
      <c r="HZ3100" s="73"/>
      <c r="IA3100" s="73"/>
      <c r="IB3100" s="73"/>
      <c r="IC3100" s="73"/>
      <c r="ID3100" s="73"/>
      <c r="IE3100" s="73"/>
      <c r="IF3100" s="73"/>
      <c r="IG3100" s="73"/>
      <c r="IH3100" s="73"/>
      <c r="II3100" s="73"/>
      <c r="IJ3100" s="73"/>
      <c r="IK3100" s="73"/>
      <c r="IL3100" s="73"/>
      <c r="IM3100" s="73"/>
      <c r="IN3100" s="73"/>
      <c r="IO3100" s="73"/>
      <c r="IP3100" s="73"/>
      <c r="IQ3100" s="73"/>
      <c r="IR3100" s="73"/>
      <c r="IS3100" s="73"/>
      <c r="IT3100" s="73"/>
      <c r="IU3100" s="73"/>
      <c r="IV3100" s="73"/>
      <c r="IW3100" s="73"/>
      <c r="IX3100" s="73"/>
      <c r="IY3100" s="73"/>
      <c r="IZ3100" s="73"/>
      <c r="JA3100" s="73"/>
      <c r="JB3100" s="73"/>
      <c r="JC3100" s="73"/>
    </row>
    <row r="3101" spans="2:263" s="72" customFormat="1">
      <c r="B3101" s="73"/>
      <c r="C3101" s="73"/>
      <c r="D3101" s="73"/>
      <c r="E3101" s="73"/>
      <c r="F3101" s="73"/>
      <c r="G3101" s="73"/>
      <c r="H3101" s="73"/>
      <c r="I3101" s="73"/>
      <c r="J3101" s="73"/>
      <c r="K3101" s="73"/>
      <c r="L3101" s="73"/>
      <c r="M3101" s="73"/>
      <c r="N3101" s="73"/>
      <c r="O3101" s="73"/>
      <c r="P3101" s="73"/>
      <c r="Q3101" s="73"/>
      <c r="R3101" s="73"/>
      <c r="S3101" s="73"/>
      <c r="T3101" s="73"/>
      <c r="U3101" s="73"/>
      <c r="V3101" s="73"/>
      <c r="W3101" s="73"/>
      <c r="GL3101" s="73"/>
      <c r="GM3101" s="73"/>
      <c r="GN3101" s="73"/>
      <c r="GO3101" s="73"/>
      <c r="GP3101" s="73"/>
      <c r="GQ3101" s="73"/>
      <c r="GR3101" s="73"/>
      <c r="GS3101" s="73"/>
      <c r="GT3101" s="73"/>
      <c r="GU3101" s="73"/>
      <c r="GV3101" s="73"/>
      <c r="GW3101" s="73"/>
      <c r="GX3101" s="73"/>
      <c r="GY3101" s="73"/>
      <c r="GZ3101" s="73"/>
      <c r="HA3101" s="73"/>
      <c r="HB3101" s="73"/>
      <c r="HC3101" s="73"/>
      <c r="HD3101" s="73"/>
      <c r="HE3101" s="73"/>
      <c r="HF3101" s="73"/>
      <c r="HG3101" s="73"/>
      <c r="HH3101" s="73"/>
      <c r="HI3101" s="73"/>
      <c r="HJ3101" s="73"/>
      <c r="HK3101" s="73"/>
      <c r="HL3101" s="73"/>
      <c r="HM3101" s="73"/>
      <c r="HN3101" s="73"/>
      <c r="HO3101" s="73"/>
      <c r="HP3101" s="73"/>
      <c r="HQ3101" s="73"/>
      <c r="HR3101" s="73"/>
      <c r="HS3101" s="73"/>
      <c r="HT3101" s="73"/>
      <c r="HU3101" s="73"/>
      <c r="HV3101" s="73"/>
      <c r="HW3101" s="73"/>
      <c r="HX3101" s="73"/>
      <c r="HY3101" s="73"/>
      <c r="HZ3101" s="73"/>
      <c r="IA3101" s="73"/>
      <c r="IB3101" s="73"/>
      <c r="IC3101" s="73"/>
      <c r="ID3101" s="73"/>
      <c r="IE3101" s="73"/>
      <c r="IF3101" s="73"/>
      <c r="IG3101" s="73"/>
      <c r="IH3101" s="73"/>
      <c r="II3101" s="73"/>
      <c r="IJ3101" s="73"/>
      <c r="IK3101" s="73"/>
      <c r="IL3101" s="73"/>
      <c r="IM3101" s="73"/>
      <c r="IN3101" s="73"/>
      <c r="IO3101" s="73"/>
      <c r="IP3101" s="73"/>
      <c r="IQ3101" s="73"/>
      <c r="IR3101" s="73"/>
      <c r="IS3101" s="73"/>
      <c r="IT3101" s="73"/>
      <c r="IU3101" s="73"/>
      <c r="IV3101" s="73"/>
      <c r="IW3101" s="73"/>
      <c r="IX3101" s="73"/>
      <c r="IY3101" s="73"/>
      <c r="IZ3101" s="73"/>
      <c r="JA3101" s="73"/>
      <c r="JB3101" s="73"/>
      <c r="JC3101" s="73"/>
    </row>
    <row r="3102" spans="2:263" s="72" customFormat="1">
      <c r="B3102" s="73"/>
      <c r="C3102" s="73"/>
      <c r="D3102" s="73"/>
      <c r="E3102" s="73"/>
      <c r="F3102" s="73"/>
      <c r="G3102" s="73"/>
      <c r="H3102" s="73"/>
      <c r="I3102" s="73"/>
      <c r="J3102" s="73"/>
      <c r="K3102" s="73"/>
      <c r="L3102" s="73"/>
      <c r="M3102" s="73"/>
      <c r="N3102" s="73"/>
      <c r="O3102" s="73"/>
      <c r="P3102" s="73"/>
      <c r="Q3102" s="73"/>
      <c r="R3102" s="73"/>
      <c r="S3102" s="73"/>
      <c r="T3102" s="73"/>
      <c r="U3102" s="73"/>
      <c r="V3102" s="73"/>
      <c r="W3102" s="73"/>
      <c r="GL3102" s="73"/>
      <c r="GM3102" s="73"/>
      <c r="GN3102" s="73"/>
      <c r="GO3102" s="73"/>
      <c r="GP3102" s="73"/>
      <c r="GQ3102" s="73"/>
      <c r="GR3102" s="73"/>
      <c r="GS3102" s="73"/>
      <c r="GT3102" s="73"/>
      <c r="GU3102" s="73"/>
      <c r="GV3102" s="73"/>
      <c r="GW3102" s="73"/>
      <c r="GX3102" s="73"/>
      <c r="GY3102" s="73"/>
      <c r="GZ3102" s="73"/>
      <c r="HA3102" s="73"/>
      <c r="HB3102" s="73"/>
      <c r="HC3102" s="73"/>
      <c r="HD3102" s="73"/>
      <c r="HE3102" s="73"/>
      <c r="HF3102" s="73"/>
      <c r="HG3102" s="73"/>
      <c r="HH3102" s="73"/>
      <c r="HI3102" s="73"/>
      <c r="HJ3102" s="73"/>
      <c r="HK3102" s="73"/>
      <c r="HL3102" s="73"/>
      <c r="HM3102" s="73"/>
      <c r="HN3102" s="73"/>
      <c r="HO3102" s="73"/>
      <c r="HP3102" s="73"/>
      <c r="HQ3102" s="73"/>
      <c r="HR3102" s="73"/>
      <c r="HS3102" s="73"/>
      <c r="HT3102" s="73"/>
      <c r="HU3102" s="73"/>
      <c r="HV3102" s="73"/>
      <c r="HW3102" s="73"/>
      <c r="HX3102" s="73"/>
      <c r="HY3102" s="73"/>
      <c r="HZ3102" s="73"/>
      <c r="IA3102" s="73"/>
      <c r="IB3102" s="73"/>
      <c r="IC3102" s="73"/>
      <c r="ID3102" s="73"/>
      <c r="IE3102" s="73"/>
      <c r="IF3102" s="73"/>
      <c r="IG3102" s="73"/>
      <c r="IH3102" s="73"/>
      <c r="II3102" s="73"/>
      <c r="IJ3102" s="73"/>
      <c r="IK3102" s="73"/>
      <c r="IL3102" s="73"/>
      <c r="IM3102" s="73"/>
      <c r="IN3102" s="73"/>
      <c r="IO3102" s="73"/>
      <c r="IP3102" s="73"/>
      <c r="IQ3102" s="73"/>
      <c r="IR3102" s="73"/>
      <c r="IS3102" s="73"/>
      <c r="IT3102" s="73"/>
      <c r="IU3102" s="73"/>
      <c r="IV3102" s="73"/>
      <c r="IW3102" s="73"/>
      <c r="IX3102" s="73"/>
      <c r="IY3102" s="73"/>
      <c r="IZ3102" s="73"/>
      <c r="JA3102" s="73"/>
      <c r="JB3102" s="73"/>
      <c r="JC3102" s="73"/>
    </row>
    <row r="3103" spans="2:263" s="72" customFormat="1">
      <c r="B3103" s="73"/>
      <c r="C3103" s="73"/>
      <c r="D3103" s="73"/>
      <c r="E3103" s="73"/>
      <c r="F3103" s="73"/>
      <c r="G3103" s="73"/>
      <c r="H3103" s="73"/>
      <c r="I3103" s="73"/>
      <c r="J3103" s="73"/>
      <c r="K3103" s="73"/>
      <c r="L3103" s="73"/>
      <c r="M3103" s="73"/>
      <c r="N3103" s="73"/>
      <c r="O3103" s="73"/>
      <c r="P3103" s="73"/>
      <c r="Q3103" s="73"/>
      <c r="R3103" s="73"/>
      <c r="S3103" s="73"/>
      <c r="T3103" s="73"/>
      <c r="U3103" s="73"/>
      <c r="V3103" s="73"/>
      <c r="W3103" s="73"/>
      <c r="GL3103" s="73"/>
      <c r="GM3103" s="73"/>
      <c r="GN3103" s="73"/>
      <c r="GO3103" s="73"/>
      <c r="GP3103" s="73"/>
      <c r="GQ3103" s="73"/>
      <c r="GR3103" s="73"/>
      <c r="GS3103" s="73"/>
      <c r="GT3103" s="73"/>
      <c r="GU3103" s="73"/>
      <c r="GV3103" s="73"/>
      <c r="GW3103" s="73"/>
      <c r="GX3103" s="73"/>
      <c r="GY3103" s="73"/>
      <c r="GZ3103" s="73"/>
      <c r="HA3103" s="73"/>
      <c r="HB3103" s="73"/>
      <c r="HC3103" s="73"/>
      <c r="HD3103" s="73"/>
      <c r="HE3103" s="73"/>
      <c r="HF3103" s="73"/>
      <c r="HG3103" s="73"/>
      <c r="HH3103" s="73"/>
      <c r="HI3103" s="73"/>
      <c r="HJ3103" s="73"/>
      <c r="HK3103" s="73"/>
      <c r="HL3103" s="73"/>
      <c r="HM3103" s="73"/>
      <c r="HN3103" s="73"/>
      <c r="HO3103" s="73"/>
      <c r="HP3103" s="73"/>
      <c r="HQ3103" s="73"/>
      <c r="HR3103" s="73"/>
      <c r="HS3103" s="73"/>
      <c r="HT3103" s="73"/>
      <c r="HU3103" s="73"/>
      <c r="HV3103" s="73"/>
      <c r="HW3103" s="73"/>
      <c r="HX3103" s="73"/>
      <c r="HY3103" s="73"/>
      <c r="HZ3103" s="73"/>
      <c r="IA3103" s="73"/>
      <c r="IB3103" s="73"/>
      <c r="IC3103" s="73"/>
      <c r="ID3103" s="73"/>
      <c r="IE3103" s="73"/>
      <c r="IF3103" s="73"/>
      <c r="IG3103" s="73"/>
      <c r="IH3103" s="73"/>
      <c r="II3103" s="73"/>
      <c r="IJ3103" s="73"/>
      <c r="IK3103" s="73"/>
      <c r="IL3103" s="73"/>
      <c r="IM3103" s="73"/>
      <c r="IN3103" s="73"/>
      <c r="IO3103" s="73"/>
      <c r="IP3103" s="73"/>
      <c r="IQ3103" s="73"/>
      <c r="IR3103" s="73"/>
      <c r="IS3103" s="73"/>
      <c r="IT3103" s="73"/>
      <c r="IU3103" s="73"/>
      <c r="IV3103" s="73"/>
      <c r="IW3103" s="73"/>
      <c r="IX3103" s="73"/>
      <c r="IY3103" s="73"/>
      <c r="IZ3103" s="73"/>
      <c r="JA3103" s="73"/>
      <c r="JB3103" s="73"/>
      <c r="JC3103" s="73"/>
    </row>
    <row r="3104" spans="2:263" s="72" customFormat="1">
      <c r="B3104" s="73"/>
      <c r="C3104" s="73"/>
      <c r="D3104" s="73"/>
      <c r="E3104" s="73"/>
      <c r="F3104" s="73"/>
      <c r="G3104" s="73"/>
      <c r="H3104" s="73"/>
      <c r="I3104" s="73"/>
      <c r="J3104" s="73"/>
      <c r="K3104" s="73"/>
      <c r="L3104" s="73"/>
      <c r="M3104" s="73"/>
      <c r="N3104" s="73"/>
      <c r="O3104" s="73"/>
      <c r="P3104" s="73"/>
      <c r="Q3104" s="73"/>
      <c r="R3104" s="73"/>
      <c r="S3104" s="73"/>
      <c r="T3104" s="73"/>
      <c r="U3104" s="73"/>
      <c r="V3104" s="73"/>
      <c r="W3104" s="73"/>
      <c r="GL3104" s="73"/>
      <c r="GM3104" s="73"/>
      <c r="GN3104" s="73"/>
      <c r="GO3104" s="73"/>
      <c r="GP3104" s="73"/>
      <c r="GQ3104" s="73"/>
      <c r="GR3104" s="73"/>
      <c r="GS3104" s="73"/>
      <c r="GT3104" s="73"/>
      <c r="GU3104" s="73"/>
      <c r="GV3104" s="73"/>
      <c r="GW3104" s="73"/>
      <c r="GX3104" s="73"/>
      <c r="GY3104" s="73"/>
      <c r="GZ3104" s="73"/>
      <c r="HA3104" s="73"/>
      <c r="HB3104" s="73"/>
      <c r="HC3104" s="73"/>
      <c r="HD3104" s="73"/>
      <c r="HE3104" s="73"/>
      <c r="HF3104" s="73"/>
      <c r="HG3104" s="73"/>
      <c r="HH3104" s="73"/>
      <c r="HI3104" s="73"/>
      <c r="HJ3104" s="73"/>
      <c r="HK3104" s="73"/>
      <c r="HL3104" s="73"/>
      <c r="HM3104" s="73"/>
      <c r="HN3104" s="73"/>
      <c r="HO3104" s="73"/>
      <c r="HP3104" s="73"/>
      <c r="HQ3104" s="73"/>
      <c r="HR3104" s="73"/>
      <c r="HS3104" s="73"/>
      <c r="HT3104" s="73"/>
      <c r="HU3104" s="73"/>
      <c r="HV3104" s="73"/>
      <c r="HW3104" s="73"/>
      <c r="HX3104" s="73"/>
      <c r="HY3104" s="73"/>
      <c r="HZ3104" s="73"/>
      <c r="IA3104" s="73"/>
      <c r="IB3104" s="73"/>
      <c r="IC3104" s="73"/>
      <c r="ID3104" s="73"/>
      <c r="IE3104" s="73"/>
      <c r="IF3104" s="73"/>
      <c r="IG3104" s="73"/>
      <c r="IH3104" s="73"/>
      <c r="II3104" s="73"/>
      <c r="IJ3104" s="73"/>
      <c r="IK3104" s="73"/>
      <c r="IL3104" s="73"/>
      <c r="IM3104" s="73"/>
      <c r="IN3104" s="73"/>
      <c r="IO3104" s="73"/>
      <c r="IP3104" s="73"/>
      <c r="IQ3104" s="73"/>
      <c r="IR3104" s="73"/>
      <c r="IS3104" s="73"/>
      <c r="IT3104" s="73"/>
      <c r="IU3104" s="73"/>
      <c r="IV3104" s="73"/>
      <c r="IW3104" s="73"/>
      <c r="IX3104" s="73"/>
      <c r="IY3104" s="73"/>
      <c r="IZ3104" s="73"/>
      <c r="JA3104" s="73"/>
      <c r="JB3104" s="73"/>
      <c r="JC3104" s="73"/>
    </row>
    <row r="3105" spans="2:263" s="72" customFormat="1">
      <c r="B3105" s="73"/>
      <c r="C3105" s="73"/>
      <c r="D3105" s="73"/>
      <c r="E3105" s="73"/>
      <c r="F3105" s="73"/>
      <c r="G3105" s="73"/>
      <c r="H3105" s="73"/>
      <c r="I3105" s="73"/>
      <c r="J3105" s="73"/>
      <c r="K3105" s="73"/>
      <c r="L3105" s="73"/>
      <c r="M3105" s="73"/>
      <c r="N3105" s="73"/>
      <c r="O3105" s="73"/>
      <c r="P3105" s="73"/>
      <c r="Q3105" s="73"/>
      <c r="R3105" s="73"/>
      <c r="S3105" s="73"/>
      <c r="T3105" s="73"/>
      <c r="U3105" s="73"/>
      <c r="V3105" s="73"/>
      <c r="W3105" s="73"/>
      <c r="GL3105" s="73"/>
      <c r="GM3105" s="73"/>
      <c r="GN3105" s="73"/>
      <c r="GO3105" s="73"/>
      <c r="GP3105" s="73"/>
      <c r="GQ3105" s="73"/>
      <c r="GR3105" s="73"/>
      <c r="GS3105" s="73"/>
      <c r="GT3105" s="73"/>
      <c r="GU3105" s="73"/>
      <c r="GV3105" s="73"/>
      <c r="GW3105" s="73"/>
      <c r="GX3105" s="73"/>
      <c r="GY3105" s="73"/>
      <c r="GZ3105" s="73"/>
      <c r="HA3105" s="73"/>
      <c r="HB3105" s="73"/>
      <c r="HC3105" s="73"/>
      <c r="HD3105" s="73"/>
      <c r="HE3105" s="73"/>
      <c r="HF3105" s="73"/>
      <c r="HG3105" s="73"/>
      <c r="HH3105" s="73"/>
      <c r="HI3105" s="73"/>
      <c r="HJ3105" s="73"/>
      <c r="HK3105" s="73"/>
      <c r="HL3105" s="73"/>
      <c r="HM3105" s="73"/>
      <c r="HN3105" s="73"/>
      <c r="HO3105" s="73"/>
      <c r="HP3105" s="73"/>
      <c r="HQ3105" s="73"/>
      <c r="HR3105" s="73"/>
      <c r="HS3105" s="73"/>
      <c r="HT3105" s="73"/>
      <c r="HU3105" s="73"/>
      <c r="HV3105" s="73"/>
      <c r="HW3105" s="73"/>
      <c r="HX3105" s="73"/>
      <c r="HY3105" s="73"/>
      <c r="HZ3105" s="73"/>
      <c r="IA3105" s="73"/>
      <c r="IB3105" s="73"/>
      <c r="IC3105" s="73"/>
      <c r="ID3105" s="73"/>
      <c r="IE3105" s="73"/>
      <c r="IF3105" s="73"/>
      <c r="IG3105" s="73"/>
      <c r="IH3105" s="73"/>
      <c r="II3105" s="73"/>
      <c r="IJ3105" s="73"/>
      <c r="IK3105" s="73"/>
      <c r="IL3105" s="73"/>
      <c r="IM3105" s="73"/>
      <c r="IN3105" s="73"/>
      <c r="IO3105" s="73"/>
      <c r="IP3105" s="73"/>
      <c r="IQ3105" s="73"/>
      <c r="IR3105" s="73"/>
      <c r="IS3105" s="73"/>
      <c r="IT3105" s="73"/>
      <c r="IU3105" s="73"/>
      <c r="IV3105" s="73"/>
      <c r="IW3105" s="73"/>
      <c r="IX3105" s="73"/>
      <c r="IY3105" s="73"/>
      <c r="IZ3105" s="73"/>
      <c r="JA3105" s="73"/>
      <c r="JB3105" s="73"/>
      <c r="JC3105" s="73"/>
    </row>
    <row r="3106" spans="2:263" s="72" customFormat="1">
      <c r="B3106" s="73"/>
      <c r="C3106" s="73"/>
      <c r="D3106" s="73"/>
      <c r="E3106" s="73"/>
      <c r="F3106" s="73"/>
      <c r="G3106" s="73"/>
      <c r="H3106" s="73"/>
      <c r="I3106" s="73"/>
      <c r="J3106" s="73"/>
      <c r="K3106" s="73"/>
      <c r="L3106" s="73"/>
      <c r="M3106" s="73"/>
      <c r="N3106" s="73"/>
      <c r="O3106" s="73"/>
      <c r="P3106" s="73"/>
      <c r="Q3106" s="73"/>
      <c r="R3106" s="73"/>
      <c r="S3106" s="73"/>
      <c r="T3106" s="73"/>
      <c r="U3106" s="73"/>
      <c r="V3106" s="73"/>
      <c r="W3106" s="73"/>
      <c r="GL3106" s="73"/>
      <c r="GM3106" s="73"/>
      <c r="GN3106" s="73"/>
      <c r="GO3106" s="73"/>
      <c r="GP3106" s="73"/>
      <c r="GQ3106" s="73"/>
      <c r="GR3106" s="73"/>
      <c r="GS3106" s="73"/>
      <c r="GT3106" s="73"/>
      <c r="GU3106" s="73"/>
      <c r="GV3106" s="73"/>
      <c r="GW3106" s="73"/>
      <c r="GX3106" s="73"/>
      <c r="GY3106" s="73"/>
      <c r="GZ3106" s="73"/>
      <c r="HA3106" s="73"/>
      <c r="HB3106" s="73"/>
      <c r="HC3106" s="73"/>
      <c r="HD3106" s="73"/>
      <c r="HE3106" s="73"/>
      <c r="HF3106" s="73"/>
      <c r="HG3106" s="73"/>
      <c r="HH3106" s="73"/>
      <c r="HI3106" s="73"/>
      <c r="HJ3106" s="73"/>
      <c r="HK3106" s="73"/>
      <c r="HL3106" s="73"/>
      <c r="HM3106" s="73"/>
      <c r="HN3106" s="73"/>
      <c r="HO3106" s="73"/>
      <c r="HP3106" s="73"/>
      <c r="HQ3106" s="73"/>
      <c r="HR3106" s="73"/>
      <c r="HS3106" s="73"/>
      <c r="HT3106" s="73"/>
      <c r="HU3106" s="73"/>
      <c r="HV3106" s="73"/>
      <c r="HW3106" s="73"/>
      <c r="HX3106" s="73"/>
      <c r="HY3106" s="73"/>
      <c r="HZ3106" s="73"/>
      <c r="IA3106" s="73"/>
      <c r="IB3106" s="73"/>
      <c r="IC3106" s="73"/>
      <c r="ID3106" s="73"/>
      <c r="IE3106" s="73"/>
      <c r="IF3106" s="73"/>
      <c r="IG3106" s="73"/>
      <c r="IH3106" s="73"/>
      <c r="II3106" s="73"/>
      <c r="IJ3106" s="73"/>
      <c r="IK3106" s="73"/>
      <c r="IL3106" s="73"/>
      <c r="IM3106" s="73"/>
      <c r="IN3106" s="73"/>
      <c r="IO3106" s="73"/>
      <c r="IP3106" s="73"/>
      <c r="IQ3106" s="73"/>
      <c r="IR3106" s="73"/>
      <c r="IS3106" s="73"/>
      <c r="IT3106" s="73"/>
      <c r="IU3106" s="73"/>
      <c r="IV3106" s="73"/>
      <c r="IW3106" s="73"/>
      <c r="IX3106" s="73"/>
      <c r="IY3106" s="73"/>
      <c r="IZ3106" s="73"/>
      <c r="JA3106" s="73"/>
      <c r="JB3106" s="73"/>
      <c r="JC3106" s="73"/>
    </row>
    <row r="3107" spans="2:263" s="72" customFormat="1">
      <c r="B3107" s="73"/>
      <c r="C3107" s="73"/>
      <c r="D3107" s="73"/>
      <c r="E3107" s="73"/>
      <c r="F3107" s="73"/>
      <c r="G3107" s="73"/>
      <c r="H3107" s="73"/>
      <c r="I3107" s="73"/>
      <c r="J3107" s="73"/>
      <c r="K3107" s="73"/>
      <c r="L3107" s="73"/>
      <c r="M3107" s="73"/>
      <c r="N3107" s="73"/>
      <c r="O3107" s="73"/>
      <c r="P3107" s="73"/>
      <c r="Q3107" s="73"/>
      <c r="R3107" s="73"/>
      <c r="S3107" s="73"/>
      <c r="T3107" s="73"/>
      <c r="U3107" s="73"/>
      <c r="V3107" s="73"/>
      <c r="W3107" s="73"/>
      <c r="GL3107" s="73"/>
      <c r="GM3107" s="73"/>
      <c r="GN3107" s="73"/>
      <c r="GO3107" s="73"/>
      <c r="GP3107" s="73"/>
      <c r="GQ3107" s="73"/>
      <c r="GR3107" s="73"/>
      <c r="GS3107" s="73"/>
      <c r="GT3107" s="73"/>
      <c r="GU3107" s="73"/>
      <c r="GV3107" s="73"/>
      <c r="GW3107" s="73"/>
      <c r="GX3107" s="73"/>
      <c r="GY3107" s="73"/>
      <c r="GZ3107" s="73"/>
      <c r="HA3107" s="73"/>
      <c r="HB3107" s="73"/>
      <c r="HC3107" s="73"/>
      <c r="HD3107" s="73"/>
      <c r="HE3107" s="73"/>
      <c r="HF3107" s="73"/>
      <c r="HG3107" s="73"/>
      <c r="HH3107" s="73"/>
      <c r="HI3107" s="73"/>
      <c r="HJ3107" s="73"/>
      <c r="HK3107" s="73"/>
      <c r="HL3107" s="73"/>
      <c r="HM3107" s="73"/>
      <c r="HN3107" s="73"/>
      <c r="HO3107" s="73"/>
      <c r="HP3107" s="73"/>
      <c r="HQ3107" s="73"/>
      <c r="HR3107" s="73"/>
      <c r="HS3107" s="73"/>
      <c r="HT3107" s="73"/>
      <c r="HU3107" s="73"/>
      <c r="HV3107" s="73"/>
      <c r="HW3107" s="73"/>
      <c r="HX3107" s="73"/>
      <c r="HY3107" s="73"/>
      <c r="HZ3107" s="73"/>
      <c r="IA3107" s="73"/>
      <c r="IB3107" s="73"/>
      <c r="IC3107" s="73"/>
      <c r="ID3107" s="73"/>
      <c r="IE3107" s="73"/>
      <c r="IF3107" s="73"/>
      <c r="IG3107" s="73"/>
      <c r="IH3107" s="73"/>
      <c r="II3107" s="73"/>
      <c r="IJ3107" s="73"/>
      <c r="IK3107" s="73"/>
      <c r="IL3107" s="73"/>
      <c r="IM3107" s="73"/>
      <c r="IN3107" s="73"/>
      <c r="IO3107" s="73"/>
      <c r="IP3107" s="73"/>
      <c r="IQ3107" s="73"/>
      <c r="IR3107" s="73"/>
      <c r="IS3107" s="73"/>
      <c r="IT3107" s="73"/>
      <c r="IU3107" s="73"/>
      <c r="IV3107" s="73"/>
      <c r="IW3107" s="73"/>
      <c r="IX3107" s="73"/>
      <c r="IY3107" s="73"/>
      <c r="IZ3107" s="73"/>
      <c r="JA3107" s="73"/>
      <c r="JB3107" s="73"/>
      <c r="JC3107" s="73"/>
    </row>
    <row r="3108" spans="2:263" s="72" customFormat="1">
      <c r="B3108" s="73"/>
      <c r="C3108" s="73"/>
      <c r="D3108" s="73"/>
      <c r="E3108" s="73"/>
      <c r="F3108" s="73"/>
      <c r="G3108" s="73"/>
      <c r="H3108" s="73"/>
      <c r="I3108" s="73"/>
      <c r="J3108" s="73"/>
      <c r="K3108" s="73"/>
      <c r="L3108" s="73"/>
      <c r="M3108" s="73"/>
      <c r="N3108" s="73"/>
      <c r="O3108" s="73"/>
      <c r="P3108" s="73"/>
      <c r="Q3108" s="73"/>
      <c r="R3108" s="73"/>
      <c r="S3108" s="73"/>
      <c r="T3108" s="73"/>
      <c r="U3108" s="73"/>
      <c r="V3108" s="73"/>
      <c r="W3108" s="73"/>
      <c r="GL3108" s="73"/>
      <c r="GM3108" s="73"/>
      <c r="GN3108" s="73"/>
      <c r="GO3108" s="73"/>
      <c r="GP3108" s="73"/>
      <c r="GQ3108" s="73"/>
      <c r="GR3108" s="73"/>
      <c r="GS3108" s="73"/>
      <c r="GT3108" s="73"/>
      <c r="GU3108" s="73"/>
      <c r="GV3108" s="73"/>
      <c r="GW3108" s="73"/>
      <c r="GX3108" s="73"/>
      <c r="GY3108" s="73"/>
      <c r="GZ3108" s="73"/>
      <c r="HA3108" s="73"/>
      <c r="HB3108" s="73"/>
      <c r="HC3108" s="73"/>
      <c r="HD3108" s="73"/>
      <c r="HE3108" s="73"/>
      <c r="HF3108" s="73"/>
      <c r="HG3108" s="73"/>
      <c r="HH3108" s="73"/>
      <c r="HI3108" s="73"/>
      <c r="HJ3108" s="73"/>
      <c r="HK3108" s="73"/>
      <c r="HL3108" s="73"/>
      <c r="HM3108" s="73"/>
      <c r="HN3108" s="73"/>
      <c r="HO3108" s="73"/>
      <c r="HP3108" s="73"/>
      <c r="HQ3108" s="73"/>
      <c r="HR3108" s="73"/>
      <c r="HS3108" s="73"/>
      <c r="HT3108" s="73"/>
      <c r="HU3108" s="73"/>
      <c r="HV3108" s="73"/>
      <c r="HW3108" s="73"/>
      <c r="HX3108" s="73"/>
      <c r="HY3108" s="73"/>
      <c r="HZ3108" s="73"/>
      <c r="IA3108" s="73"/>
      <c r="IB3108" s="73"/>
      <c r="IC3108" s="73"/>
      <c r="ID3108" s="73"/>
      <c r="IE3108" s="73"/>
      <c r="IF3108" s="73"/>
      <c r="IG3108" s="73"/>
      <c r="IH3108" s="73"/>
      <c r="II3108" s="73"/>
      <c r="IJ3108" s="73"/>
      <c r="IK3108" s="73"/>
      <c r="IL3108" s="73"/>
      <c r="IM3108" s="73"/>
      <c r="IN3108" s="73"/>
      <c r="IO3108" s="73"/>
      <c r="IP3108" s="73"/>
      <c r="IQ3108" s="73"/>
      <c r="IR3108" s="73"/>
      <c r="IS3108" s="73"/>
      <c r="IT3108" s="73"/>
      <c r="IU3108" s="73"/>
      <c r="IV3108" s="73"/>
      <c r="IW3108" s="73"/>
      <c r="IX3108" s="73"/>
      <c r="IY3108" s="73"/>
      <c r="IZ3108" s="73"/>
      <c r="JA3108" s="73"/>
      <c r="JB3108" s="73"/>
      <c r="JC3108" s="73"/>
    </row>
    <row r="3109" spans="2:263" s="72" customFormat="1">
      <c r="B3109" s="73"/>
      <c r="C3109" s="73"/>
      <c r="D3109" s="73"/>
      <c r="E3109" s="73"/>
      <c r="F3109" s="73"/>
      <c r="G3109" s="73"/>
      <c r="H3109" s="73"/>
      <c r="I3109" s="73"/>
      <c r="J3109" s="73"/>
      <c r="K3109" s="73"/>
      <c r="L3109" s="73"/>
      <c r="M3109" s="73"/>
      <c r="N3109" s="73"/>
      <c r="O3109" s="73"/>
      <c r="P3109" s="73"/>
      <c r="Q3109" s="73"/>
      <c r="R3109" s="73"/>
      <c r="S3109" s="73"/>
      <c r="T3109" s="73"/>
      <c r="U3109" s="73"/>
      <c r="V3109" s="73"/>
      <c r="W3109" s="73"/>
      <c r="GL3109" s="73"/>
      <c r="GM3109" s="73"/>
      <c r="GN3109" s="73"/>
      <c r="GO3109" s="73"/>
      <c r="GP3109" s="73"/>
      <c r="GQ3109" s="73"/>
      <c r="GR3109" s="73"/>
      <c r="GS3109" s="73"/>
      <c r="GT3109" s="73"/>
      <c r="GU3109" s="73"/>
      <c r="GV3109" s="73"/>
      <c r="GW3109" s="73"/>
      <c r="GX3109" s="73"/>
      <c r="GY3109" s="73"/>
      <c r="GZ3109" s="73"/>
      <c r="HA3109" s="73"/>
      <c r="HB3109" s="73"/>
      <c r="HC3109" s="73"/>
      <c r="HD3109" s="73"/>
      <c r="HE3109" s="73"/>
      <c r="HF3109" s="73"/>
      <c r="HG3109" s="73"/>
      <c r="HH3109" s="73"/>
      <c r="HI3109" s="73"/>
      <c r="HJ3109" s="73"/>
      <c r="HK3109" s="73"/>
      <c r="HL3109" s="73"/>
      <c r="HM3109" s="73"/>
      <c r="HN3109" s="73"/>
      <c r="HO3109" s="73"/>
      <c r="HP3109" s="73"/>
      <c r="HQ3109" s="73"/>
      <c r="HR3109" s="73"/>
      <c r="HS3109" s="73"/>
      <c r="HT3109" s="73"/>
      <c r="HU3109" s="73"/>
      <c r="HV3109" s="73"/>
      <c r="HW3109" s="73"/>
      <c r="HX3109" s="73"/>
      <c r="HY3109" s="73"/>
      <c r="HZ3109" s="73"/>
      <c r="IA3109" s="73"/>
      <c r="IB3109" s="73"/>
      <c r="IC3109" s="73"/>
      <c r="ID3109" s="73"/>
      <c r="IE3109" s="73"/>
      <c r="IF3109" s="73"/>
      <c r="IG3109" s="73"/>
      <c r="IH3109" s="73"/>
      <c r="II3109" s="73"/>
      <c r="IJ3109" s="73"/>
      <c r="IK3109" s="73"/>
      <c r="IL3109" s="73"/>
      <c r="IM3109" s="73"/>
      <c r="IN3109" s="73"/>
      <c r="IO3109" s="73"/>
      <c r="IP3109" s="73"/>
      <c r="IQ3109" s="73"/>
      <c r="IR3109" s="73"/>
      <c r="IS3109" s="73"/>
      <c r="IT3109" s="73"/>
      <c r="IU3109" s="73"/>
      <c r="IV3109" s="73"/>
      <c r="IW3109" s="73"/>
      <c r="IX3109" s="73"/>
      <c r="IY3109" s="73"/>
      <c r="IZ3109" s="73"/>
      <c r="JA3109" s="73"/>
      <c r="JB3109" s="73"/>
      <c r="JC3109" s="73"/>
    </row>
    <row r="3110" spans="2:263" s="72" customFormat="1">
      <c r="B3110" s="73"/>
      <c r="C3110" s="73"/>
      <c r="D3110" s="73"/>
      <c r="E3110" s="73"/>
      <c r="F3110" s="73"/>
      <c r="G3110" s="73"/>
      <c r="H3110" s="73"/>
      <c r="I3110" s="73"/>
      <c r="J3110" s="73"/>
      <c r="K3110" s="73"/>
      <c r="L3110" s="73"/>
      <c r="M3110" s="73"/>
      <c r="N3110" s="73"/>
      <c r="O3110" s="73"/>
      <c r="P3110" s="73"/>
      <c r="Q3110" s="73"/>
      <c r="R3110" s="73"/>
      <c r="S3110" s="73"/>
      <c r="T3110" s="73"/>
      <c r="U3110" s="73"/>
      <c r="V3110" s="73"/>
      <c r="W3110" s="73"/>
      <c r="GL3110" s="73"/>
      <c r="GM3110" s="73"/>
      <c r="GN3110" s="73"/>
      <c r="GO3110" s="73"/>
      <c r="GP3110" s="73"/>
      <c r="GQ3110" s="73"/>
      <c r="GR3110" s="73"/>
      <c r="GS3110" s="73"/>
      <c r="GT3110" s="73"/>
      <c r="GU3110" s="73"/>
      <c r="GV3110" s="73"/>
      <c r="GW3110" s="73"/>
      <c r="GX3110" s="73"/>
      <c r="GY3110" s="73"/>
      <c r="GZ3110" s="73"/>
      <c r="HA3110" s="73"/>
      <c r="HB3110" s="73"/>
      <c r="HC3110" s="73"/>
      <c r="HD3110" s="73"/>
      <c r="HE3110" s="73"/>
      <c r="HF3110" s="73"/>
      <c r="HG3110" s="73"/>
      <c r="HH3110" s="73"/>
      <c r="HI3110" s="73"/>
      <c r="HJ3110" s="73"/>
      <c r="HK3110" s="73"/>
      <c r="HL3110" s="73"/>
      <c r="HM3110" s="73"/>
      <c r="HN3110" s="73"/>
      <c r="HO3110" s="73"/>
      <c r="HP3110" s="73"/>
      <c r="HQ3110" s="73"/>
      <c r="HR3110" s="73"/>
      <c r="HS3110" s="73"/>
      <c r="HT3110" s="73"/>
      <c r="HU3110" s="73"/>
      <c r="HV3110" s="73"/>
      <c r="HW3110" s="73"/>
      <c r="HX3110" s="73"/>
      <c r="HY3110" s="73"/>
      <c r="HZ3110" s="73"/>
      <c r="IA3110" s="73"/>
      <c r="IB3110" s="73"/>
      <c r="IC3110" s="73"/>
      <c r="ID3110" s="73"/>
      <c r="IE3110" s="73"/>
      <c r="IF3110" s="73"/>
      <c r="IG3110" s="73"/>
      <c r="IH3110" s="73"/>
      <c r="II3110" s="73"/>
      <c r="IJ3110" s="73"/>
      <c r="IK3110" s="73"/>
      <c r="IL3110" s="73"/>
      <c r="IM3110" s="73"/>
      <c r="IN3110" s="73"/>
      <c r="IO3110" s="73"/>
      <c r="IP3110" s="73"/>
      <c r="IQ3110" s="73"/>
      <c r="IR3110" s="73"/>
      <c r="IS3110" s="73"/>
      <c r="IT3110" s="73"/>
      <c r="IU3110" s="73"/>
      <c r="IV3110" s="73"/>
      <c r="IW3110" s="73"/>
      <c r="IX3110" s="73"/>
      <c r="IY3110" s="73"/>
      <c r="IZ3110" s="73"/>
      <c r="JA3110" s="73"/>
      <c r="JB3110" s="73"/>
      <c r="JC3110" s="73"/>
    </row>
    <row r="3111" spans="2:263" s="72" customFormat="1">
      <c r="B3111" s="73"/>
      <c r="C3111" s="73"/>
      <c r="D3111" s="73"/>
      <c r="E3111" s="73"/>
      <c r="F3111" s="73"/>
      <c r="G3111" s="73"/>
      <c r="H3111" s="73"/>
      <c r="I3111" s="73"/>
      <c r="J3111" s="73"/>
      <c r="K3111" s="73"/>
      <c r="L3111" s="73"/>
      <c r="M3111" s="73"/>
      <c r="N3111" s="73"/>
      <c r="O3111" s="73"/>
      <c r="P3111" s="73"/>
      <c r="Q3111" s="73"/>
      <c r="R3111" s="73"/>
      <c r="S3111" s="73"/>
      <c r="T3111" s="73"/>
      <c r="U3111" s="73"/>
      <c r="V3111" s="73"/>
      <c r="W3111" s="73"/>
      <c r="GL3111" s="73"/>
      <c r="GM3111" s="73"/>
      <c r="GN3111" s="73"/>
      <c r="GO3111" s="73"/>
      <c r="GP3111" s="73"/>
      <c r="GQ3111" s="73"/>
      <c r="GR3111" s="73"/>
      <c r="GS3111" s="73"/>
      <c r="GT3111" s="73"/>
      <c r="GU3111" s="73"/>
      <c r="GV3111" s="73"/>
      <c r="GW3111" s="73"/>
      <c r="GX3111" s="73"/>
      <c r="GY3111" s="73"/>
      <c r="GZ3111" s="73"/>
      <c r="HA3111" s="73"/>
      <c r="HB3111" s="73"/>
      <c r="HC3111" s="73"/>
      <c r="HD3111" s="73"/>
      <c r="HE3111" s="73"/>
      <c r="HF3111" s="73"/>
      <c r="HG3111" s="73"/>
      <c r="HH3111" s="73"/>
      <c r="HI3111" s="73"/>
      <c r="HJ3111" s="73"/>
      <c r="HK3111" s="73"/>
      <c r="HL3111" s="73"/>
      <c r="HM3111" s="73"/>
      <c r="HN3111" s="73"/>
      <c r="HO3111" s="73"/>
      <c r="HP3111" s="73"/>
      <c r="HQ3111" s="73"/>
      <c r="HR3111" s="73"/>
      <c r="HS3111" s="73"/>
      <c r="HT3111" s="73"/>
      <c r="HU3111" s="73"/>
      <c r="HV3111" s="73"/>
      <c r="HW3111" s="73"/>
      <c r="HX3111" s="73"/>
      <c r="HY3111" s="73"/>
      <c r="HZ3111" s="73"/>
      <c r="IA3111" s="73"/>
      <c r="IB3111" s="73"/>
      <c r="IC3111" s="73"/>
      <c r="ID3111" s="73"/>
      <c r="IE3111" s="73"/>
      <c r="IF3111" s="73"/>
      <c r="IG3111" s="73"/>
      <c r="IH3111" s="73"/>
      <c r="II3111" s="73"/>
      <c r="IJ3111" s="73"/>
      <c r="IK3111" s="73"/>
      <c r="IL3111" s="73"/>
      <c r="IM3111" s="73"/>
      <c r="IN3111" s="73"/>
      <c r="IO3111" s="73"/>
      <c r="IP3111" s="73"/>
      <c r="IQ3111" s="73"/>
      <c r="IR3111" s="73"/>
      <c r="IS3111" s="73"/>
      <c r="IT3111" s="73"/>
      <c r="IU3111" s="73"/>
      <c r="IV3111" s="73"/>
      <c r="IW3111" s="73"/>
      <c r="IX3111" s="73"/>
      <c r="IY3111" s="73"/>
      <c r="IZ3111" s="73"/>
      <c r="JA3111" s="73"/>
      <c r="JB3111" s="73"/>
      <c r="JC3111" s="73"/>
    </row>
    <row r="3112" spans="2:263" s="72" customFormat="1">
      <c r="B3112" s="73"/>
      <c r="C3112" s="73"/>
      <c r="D3112" s="73"/>
      <c r="E3112" s="73"/>
      <c r="F3112" s="73"/>
      <c r="G3112" s="73"/>
      <c r="H3112" s="73"/>
      <c r="I3112" s="73"/>
      <c r="J3112" s="73"/>
      <c r="K3112" s="73"/>
      <c r="L3112" s="73"/>
      <c r="M3112" s="73"/>
      <c r="N3112" s="73"/>
      <c r="O3112" s="73"/>
      <c r="P3112" s="73"/>
      <c r="Q3112" s="73"/>
      <c r="R3112" s="73"/>
      <c r="S3112" s="73"/>
      <c r="T3112" s="73"/>
      <c r="U3112" s="73"/>
      <c r="V3112" s="73"/>
      <c r="W3112" s="73"/>
      <c r="GL3112" s="73"/>
      <c r="GM3112" s="73"/>
      <c r="GN3112" s="73"/>
      <c r="GO3112" s="73"/>
      <c r="GP3112" s="73"/>
      <c r="GQ3112" s="73"/>
      <c r="GR3112" s="73"/>
      <c r="GS3112" s="73"/>
      <c r="GT3112" s="73"/>
      <c r="GU3112" s="73"/>
      <c r="GV3112" s="73"/>
      <c r="GW3112" s="73"/>
      <c r="GX3112" s="73"/>
      <c r="GY3112" s="73"/>
      <c r="GZ3112" s="73"/>
      <c r="HA3112" s="73"/>
      <c r="HB3112" s="73"/>
      <c r="HC3112" s="73"/>
      <c r="HD3112" s="73"/>
      <c r="HE3112" s="73"/>
      <c r="HF3112" s="73"/>
      <c r="HG3112" s="73"/>
      <c r="HH3112" s="73"/>
      <c r="HI3112" s="73"/>
      <c r="HJ3112" s="73"/>
      <c r="HK3112" s="73"/>
      <c r="HL3112" s="73"/>
      <c r="HM3112" s="73"/>
      <c r="HN3112" s="73"/>
      <c r="HO3112" s="73"/>
      <c r="HP3112" s="73"/>
      <c r="HQ3112" s="73"/>
      <c r="HR3112" s="73"/>
      <c r="HS3112" s="73"/>
      <c r="HT3112" s="73"/>
      <c r="HU3112" s="73"/>
      <c r="HV3112" s="73"/>
      <c r="HW3112" s="73"/>
      <c r="HX3112" s="73"/>
      <c r="HY3112" s="73"/>
      <c r="HZ3112" s="73"/>
      <c r="IA3112" s="73"/>
      <c r="IB3112" s="73"/>
      <c r="IC3112" s="73"/>
      <c r="ID3112" s="73"/>
      <c r="IE3112" s="73"/>
      <c r="IF3112" s="73"/>
      <c r="IG3112" s="73"/>
      <c r="IH3112" s="73"/>
      <c r="II3112" s="73"/>
      <c r="IJ3112" s="73"/>
      <c r="IK3112" s="73"/>
      <c r="IL3112" s="73"/>
      <c r="IM3112" s="73"/>
      <c r="IN3112" s="73"/>
      <c r="IO3112" s="73"/>
      <c r="IP3112" s="73"/>
      <c r="IQ3112" s="73"/>
      <c r="IR3112" s="73"/>
      <c r="IS3112" s="73"/>
      <c r="IT3112" s="73"/>
      <c r="IU3112" s="73"/>
      <c r="IV3112" s="73"/>
      <c r="IW3112" s="73"/>
      <c r="IX3112" s="73"/>
      <c r="IY3112" s="73"/>
      <c r="IZ3112" s="73"/>
      <c r="JA3112" s="73"/>
      <c r="JB3112" s="73"/>
      <c r="JC3112" s="73"/>
    </row>
    <row r="3113" spans="2:263" s="72" customFormat="1">
      <c r="B3113" s="73"/>
      <c r="C3113" s="73"/>
      <c r="D3113" s="73"/>
      <c r="E3113" s="73"/>
      <c r="F3113" s="73"/>
      <c r="G3113" s="73"/>
      <c r="H3113" s="73"/>
      <c r="I3113" s="73"/>
      <c r="J3113" s="73"/>
      <c r="K3113" s="73"/>
      <c r="L3113" s="73"/>
      <c r="M3113" s="73"/>
      <c r="N3113" s="73"/>
      <c r="O3113" s="73"/>
      <c r="P3113" s="73"/>
      <c r="Q3113" s="73"/>
      <c r="R3113" s="73"/>
      <c r="S3113" s="73"/>
      <c r="T3113" s="73"/>
      <c r="U3113" s="73"/>
      <c r="V3113" s="73"/>
      <c r="W3113" s="73"/>
      <c r="GL3113" s="73"/>
      <c r="GM3113" s="73"/>
      <c r="GN3113" s="73"/>
      <c r="GO3113" s="73"/>
      <c r="GP3113" s="73"/>
      <c r="GQ3113" s="73"/>
      <c r="GR3113" s="73"/>
      <c r="GS3113" s="73"/>
      <c r="GT3113" s="73"/>
      <c r="GU3113" s="73"/>
      <c r="GV3113" s="73"/>
      <c r="GW3113" s="73"/>
      <c r="GX3113" s="73"/>
      <c r="GY3113" s="73"/>
      <c r="GZ3113" s="73"/>
      <c r="HA3113" s="73"/>
      <c r="HB3113" s="73"/>
      <c r="HC3113" s="73"/>
      <c r="HD3113" s="73"/>
      <c r="HE3113" s="73"/>
      <c r="HF3113" s="73"/>
      <c r="HG3113" s="73"/>
      <c r="HH3113" s="73"/>
      <c r="HI3113" s="73"/>
      <c r="HJ3113" s="73"/>
      <c r="HK3113" s="73"/>
      <c r="HL3113" s="73"/>
      <c r="HM3113" s="73"/>
      <c r="HN3113" s="73"/>
      <c r="HO3113" s="73"/>
      <c r="HP3113" s="73"/>
      <c r="HQ3113" s="73"/>
      <c r="HR3113" s="73"/>
      <c r="HS3113" s="73"/>
      <c r="HT3113" s="73"/>
      <c r="HU3113" s="73"/>
      <c r="HV3113" s="73"/>
      <c r="HW3113" s="73"/>
      <c r="HX3113" s="73"/>
      <c r="HY3113" s="73"/>
      <c r="HZ3113" s="73"/>
      <c r="IA3113" s="73"/>
      <c r="IB3113" s="73"/>
      <c r="IC3113" s="73"/>
      <c r="ID3113" s="73"/>
      <c r="IE3113" s="73"/>
      <c r="IF3113" s="73"/>
      <c r="IG3113" s="73"/>
      <c r="IH3113" s="73"/>
      <c r="II3113" s="73"/>
      <c r="IJ3113" s="73"/>
      <c r="IK3113" s="73"/>
      <c r="IL3113" s="73"/>
      <c r="IM3113" s="73"/>
      <c r="IN3113" s="73"/>
      <c r="IO3113" s="73"/>
      <c r="IP3113" s="73"/>
      <c r="IQ3113" s="73"/>
      <c r="IR3113" s="73"/>
      <c r="IS3113" s="73"/>
      <c r="IT3113" s="73"/>
      <c r="IU3113" s="73"/>
      <c r="IV3113" s="73"/>
      <c r="IW3113" s="73"/>
      <c r="IX3113" s="73"/>
      <c r="IY3113" s="73"/>
      <c r="IZ3113" s="73"/>
      <c r="JA3113" s="73"/>
      <c r="JB3113" s="73"/>
      <c r="JC3113" s="73"/>
    </row>
    <row r="3114" spans="2:263" s="72" customFormat="1">
      <c r="B3114" s="73"/>
      <c r="C3114" s="73"/>
      <c r="D3114" s="73"/>
      <c r="E3114" s="73"/>
      <c r="F3114" s="73"/>
      <c r="G3114" s="73"/>
      <c r="H3114" s="73"/>
      <c r="I3114" s="73"/>
      <c r="J3114" s="73"/>
      <c r="K3114" s="73"/>
      <c r="L3114" s="73"/>
      <c r="M3114" s="73"/>
      <c r="N3114" s="73"/>
      <c r="O3114" s="73"/>
      <c r="P3114" s="73"/>
      <c r="Q3114" s="73"/>
      <c r="R3114" s="73"/>
      <c r="S3114" s="73"/>
      <c r="T3114" s="73"/>
      <c r="U3114" s="73"/>
      <c r="V3114" s="73"/>
      <c r="W3114" s="73"/>
      <c r="GL3114" s="73"/>
      <c r="GM3114" s="73"/>
      <c r="GN3114" s="73"/>
      <c r="GO3114" s="73"/>
      <c r="GP3114" s="73"/>
      <c r="GQ3114" s="73"/>
      <c r="GR3114" s="73"/>
      <c r="GS3114" s="73"/>
      <c r="GT3114" s="73"/>
      <c r="GU3114" s="73"/>
      <c r="GV3114" s="73"/>
      <c r="GW3114" s="73"/>
      <c r="GX3114" s="73"/>
      <c r="GY3114" s="73"/>
      <c r="GZ3114" s="73"/>
      <c r="HA3114" s="73"/>
      <c r="HB3114" s="73"/>
      <c r="HC3114" s="73"/>
      <c r="HD3114" s="73"/>
      <c r="HE3114" s="73"/>
      <c r="HF3114" s="73"/>
      <c r="HG3114" s="73"/>
      <c r="HH3114" s="73"/>
      <c r="HI3114" s="73"/>
      <c r="HJ3114" s="73"/>
      <c r="HK3114" s="73"/>
      <c r="HL3114" s="73"/>
      <c r="HM3114" s="73"/>
      <c r="HN3114" s="73"/>
      <c r="HO3114" s="73"/>
      <c r="HP3114" s="73"/>
      <c r="HQ3114" s="73"/>
      <c r="HR3114" s="73"/>
      <c r="HS3114" s="73"/>
      <c r="HT3114" s="73"/>
      <c r="HU3114" s="73"/>
      <c r="HV3114" s="73"/>
      <c r="HW3114" s="73"/>
      <c r="HX3114" s="73"/>
      <c r="HY3114" s="73"/>
      <c r="HZ3114" s="73"/>
      <c r="IA3114" s="73"/>
      <c r="IB3114" s="73"/>
      <c r="IC3114" s="73"/>
      <c r="ID3114" s="73"/>
      <c r="IE3114" s="73"/>
      <c r="IF3114" s="73"/>
      <c r="IG3114" s="73"/>
      <c r="IH3114" s="73"/>
      <c r="II3114" s="73"/>
      <c r="IJ3114" s="73"/>
      <c r="IK3114" s="73"/>
      <c r="IL3114" s="73"/>
      <c r="IM3114" s="73"/>
      <c r="IN3114" s="73"/>
      <c r="IO3114" s="73"/>
      <c r="IP3114" s="73"/>
      <c r="IQ3114" s="73"/>
      <c r="IR3114" s="73"/>
      <c r="IS3114" s="73"/>
      <c r="IT3114" s="73"/>
      <c r="IU3114" s="73"/>
      <c r="IV3114" s="73"/>
      <c r="IW3114" s="73"/>
      <c r="IX3114" s="73"/>
      <c r="IY3114" s="73"/>
      <c r="IZ3114" s="73"/>
      <c r="JA3114" s="73"/>
      <c r="JB3114" s="73"/>
      <c r="JC3114" s="73"/>
    </row>
    <row r="3115" spans="2:263" s="72" customFormat="1">
      <c r="B3115" s="73"/>
      <c r="C3115" s="73"/>
      <c r="D3115" s="73"/>
      <c r="E3115" s="73"/>
      <c r="F3115" s="73"/>
      <c r="G3115" s="73"/>
      <c r="H3115" s="73"/>
      <c r="I3115" s="73"/>
      <c r="J3115" s="73"/>
      <c r="K3115" s="73"/>
      <c r="L3115" s="73"/>
      <c r="M3115" s="73"/>
      <c r="N3115" s="73"/>
      <c r="O3115" s="73"/>
      <c r="P3115" s="73"/>
      <c r="Q3115" s="73"/>
      <c r="R3115" s="73"/>
      <c r="S3115" s="73"/>
      <c r="T3115" s="73"/>
      <c r="U3115" s="73"/>
      <c r="V3115" s="73"/>
      <c r="W3115" s="73"/>
      <c r="GL3115" s="73"/>
      <c r="GM3115" s="73"/>
      <c r="GN3115" s="73"/>
      <c r="GO3115" s="73"/>
      <c r="GP3115" s="73"/>
      <c r="GQ3115" s="73"/>
      <c r="GR3115" s="73"/>
      <c r="GS3115" s="73"/>
      <c r="GT3115" s="73"/>
      <c r="GU3115" s="73"/>
      <c r="GV3115" s="73"/>
      <c r="GW3115" s="73"/>
      <c r="GX3115" s="73"/>
      <c r="GY3115" s="73"/>
      <c r="GZ3115" s="73"/>
      <c r="HA3115" s="73"/>
      <c r="HB3115" s="73"/>
      <c r="HC3115" s="73"/>
      <c r="HD3115" s="73"/>
      <c r="HE3115" s="73"/>
      <c r="HF3115" s="73"/>
      <c r="HG3115" s="73"/>
      <c r="HH3115" s="73"/>
      <c r="HI3115" s="73"/>
      <c r="HJ3115" s="73"/>
      <c r="HK3115" s="73"/>
      <c r="HL3115" s="73"/>
      <c r="HM3115" s="73"/>
      <c r="HN3115" s="73"/>
      <c r="HO3115" s="73"/>
      <c r="HP3115" s="73"/>
      <c r="HQ3115" s="73"/>
      <c r="HR3115" s="73"/>
      <c r="HS3115" s="73"/>
      <c r="HT3115" s="73"/>
      <c r="HU3115" s="73"/>
      <c r="HV3115" s="73"/>
      <c r="HW3115" s="73"/>
      <c r="HX3115" s="73"/>
      <c r="HY3115" s="73"/>
      <c r="HZ3115" s="73"/>
      <c r="IA3115" s="73"/>
      <c r="IB3115" s="73"/>
      <c r="IC3115" s="73"/>
      <c r="ID3115" s="73"/>
      <c r="IE3115" s="73"/>
      <c r="IF3115" s="73"/>
      <c r="IG3115" s="73"/>
      <c r="IH3115" s="73"/>
      <c r="II3115" s="73"/>
      <c r="IJ3115" s="73"/>
      <c r="IK3115" s="73"/>
      <c r="IL3115" s="73"/>
      <c r="IM3115" s="73"/>
      <c r="IN3115" s="73"/>
      <c r="IO3115" s="73"/>
      <c r="IP3115" s="73"/>
      <c r="IQ3115" s="73"/>
      <c r="IR3115" s="73"/>
      <c r="IS3115" s="73"/>
      <c r="IT3115" s="73"/>
      <c r="IU3115" s="73"/>
      <c r="IV3115" s="73"/>
      <c r="IW3115" s="73"/>
      <c r="IX3115" s="73"/>
      <c r="IY3115" s="73"/>
      <c r="IZ3115" s="73"/>
      <c r="JA3115" s="73"/>
      <c r="JB3115" s="73"/>
      <c r="JC3115" s="73"/>
    </row>
    <row r="3116" spans="2:263" s="72" customFormat="1">
      <c r="B3116" s="73"/>
      <c r="C3116" s="73"/>
      <c r="D3116" s="73"/>
      <c r="E3116" s="73"/>
      <c r="F3116" s="73"/>
      <c r="G3116" s="73"/>
      <c r="H3116" s="73"/>
      <c r="I3116" s="73"/>
      <c r="J3116" s="73"/>
      <c r="K3116" s="73"/>
      <c r="L3116" s="73"/>
      <c r="M3116" s="73"/>
      <c r="N3116" s="73"/>
      <c r="O3116" s="73"/>
      <c r="P3116" s="73"/>
      <c r="Q3116" s="73"/>
      <c r="R3116" s="73"/>
      <c r="S3116" s="73"/>
      <c r="T3116" s="73"/>
      <c r="U3116" s="73"/>
      <c r="V3116" s="73"/>
      <c r="W3116" s="73"/>
      <c r="GL3116" s="73"/>
      <c r="GM3116" s="73"/>
      <c r="GN3116" s="73"/>
      <c r="GO3116" s="73"/>
      <c r="GP3116" s="73"/>
      <c r="GQ3116" s="73"/>
      <c r="GR3116" s="73"/>
      <c r="GS3116" s="73"/>
      <c r="GT3116" s="73"/>
      <c r="GU3116" s="73"/>
      <c r="GV3116" s="73"/>
      <c r="GW3116" s="73"/>
      <c r="GX3116" s="73"/>
      <c r="GY3116" s="73"/>
      <c r="GZ3116" s="73"/>
      <c r="HA3116" s="73"/>
      <c r="HB3116" s="73"/>
      <c r="HC3116" s="73"/>
      <c r="HD3116" s="73"/>
      <c r="HE3116" s="73"/>
      <c r="HF3116" s="73"/>
      <c r="HG3116" s="73"/>
      <c r="HH3116" s="73"/>
      <c r="HI3116" s="73"/>
      <c r="HJ3116" s="73"/>
      <c r="HK3116" s="73"/>
      <c r="HL3116" s="73"/>
      <c r="HM3116" s="73"/>
      <c r="HN3116" s="73"/>
      <c r="HO3116" s="73"/>
      <c r="HP3116" s="73"/>
      <c r="HQ3116" s="73"/>
      <c r="HR3116" s="73"/>
      <c r="HS3116" s="73"/>
      <c r="HT3116" s="73"/>
      <c r="HU3116" s="73"/>
      <c r="HV3116" s="73"/>
      <c r="HW3116" s="73"/>
      <c r="HX3116" s="73"/>
      <c r="HY3116" s="73"/>
      <c r="HZ3116" s="73"/>
      <c r="IA3116" s="73"/>
      <c r="IB3116" s="73"/>
      <c r="IC3116" s="73"/>
      <c r="ID3116" s="73"/>
      <c r="IE3116" s="73"/>
      <c r="IF3116" s="73"/>
      <c r="IG3116" s="73"/>
      <c r="IH3116" s="73"/>
      <c r="II3116" s="73"/>
      <c r="IJ3116" s="73"/>
      <c r="IK3116" s="73"/>
      <c r="IL3116" s="73"/>
      <c r="IM3116" s="73"/>
      <c r="IN3116" s="73"/>
      <c r="IO3116" s="73"/>
      <c r="IP3116" s="73"/>
      <c r="IQ3116" s="73"/>
      <c r="IR3116" s="73"/>
      <c r="IS3116" s="73"/>
      <c r="IT3116" s="73"/>
      <c r="IU3116" s="73"/>
      <c r="IV3116" s="73"/>
      <c r="IW3116" s="73"/>
      <c r="IX3116" s="73"/>
      <c r="IY3116" s="73"/>
      <c r="IZ3116" s="73"/>
      <c r="JA3116" s="73"/>
      <c r="JB3116" s="73"/>
      <c r="JC3116" s="73"/>
    </row>
    <row r="3117" spans="2:263" s="72" customFormat="1">
      <c r="B3117" s="73"/>
      <c r="C3117" s="73"/>
      <c r="D3117" s="73"/>
      <c r="E3117" s="73"/>
      <c r="F3117" s="73"/>
      <c r="G3117" s="73"/>
      <c r="H3117" s="73"/>
      <c r="I3117" s="73"/>
      <c r="J3117" s="73"/>
      <c r="K3117" s="73"/>
      <c r="L3117" s="73"/>
      <c r="M3117" s="73"/>
      <c r="N3117" s="73"/>
      <c r="O3117" s="73"/>
      <c r="P3117" s="73"/>
      <c r="Q3117" s="73"/>
      <c r="R3117" s="73"/>
      <c r="S3117" s="73"/>
      <c r="T3117" s="73"/>
      <c r="U3117" s="73"/>
      <c r="V3117" s="73"/>
      <c r="W3117" s="73"/>
      <c r="GL3117" s="73"/>
      <c r="GM3117" s="73"/>
      <c r="GN3117" s="73"/>
      <c r="GO3117" s="73"/>
      <c r="GP3117" s="73"/>
      <c r="GQ3117" s="73"/>
      <c r="GR3117" s="73"/>
      <c r="GS3117" s="73"/>
      <c r="GT3117" s="73"/>
      <c r="GU3117" s="73"/>
      <c r="GV3117" s="73"/>
      <c r="GW3117" s="73"/>
      <c r="GX3117" s="73"/>
      <c r="GY3117" s="73"/>
      <c r="GZ3117" s="73"/>
      <c r="HA3117" s="73"/>
      <c r="HB3117" s="73"/>
      <c r="HC3117" s="73"/>
      <c r="HD3117" s="73"/>
      <c r="HE3117" s="73"/>
      <c r="HF3117" s="73"/>
      <c r="HG3117" s="73"/>
      <c r="HH3117" s="73"/>
      <c r="HI3117" s="73"/>
      <c r="HJ3117" s="73"/>
      <c r="HK3117" s="73"/>
      <c r="HL3117" s="73"/>
      <c r="HM3117" s="73"/>
      <c r="HN3117" s="73"/>
      <c r="HO3117" s="73"/>
      <c r="HP3117" s="73"/>
      <c r="HQ3117" s="73"/>
      <c r="HR3117" s="73"/>
      <c r="HS3117" s="73"/>
      <c r="HT3117" s="73"/>
      <c r="HU3117" s="73"/>
      <c r="HV3117" s="73"/>
      <c r="HW3117" s="73"/>
      <c r="HX3117" s="73"/>
      <c r="HY3117" s="73"/>
      <c r="HZ3117" s="73"/>
      <c r="IA3117" s="73"/>
      <c r="IB3117" s="73"/>
      <c r="IC3117" s="73"/>
      <c r="ID3117" s="73"/>
      <c r="IE3117" s="73"/>
      <c r="IF3117" s="73"/>
      <c r="IG3117" s="73"/>
      <c r="IH3117" s="73"/>
      <c r="II3117" s="73"/>
      <c r="IJ3117" s="73"/>
      <c r="IK3117" s="73"/>
      <c r="IL3117" s="73"/>
      <c r="IM3117" s="73"/>
      <c r="IN3117" s="73"/>
      <c r="IO3117" s="73"/>
      <c r="IP3117" s="73"/>
      <c r="IQ3117" s="73"/>
      <c r="IR3117" s="73"/>
      <c r="IS3117" s="73"/>
      <c r="IT3117" s="73"/>
      <c r="IU3117" s="73"/>
      <c r="IV3117" s="73"/>
      <c r="IW3117" s="73"/>
      <c r="IX3117" s="73"/>
      <c r="IY3117" s="73"/>
      <c r="IZ3117" s="73"/>
      <c r="JA3117" s="73"/>
      <c r="JB3117" s="73"/>
      <c r="JC3117" s="73"/>
    </row>
    <row r="3118" spans="2:263" s="72" customFormat="1">
      <c r="B3118" s="73"/>
      <c r="C3118" s="73"/>
      <c r="D3118" s="73"/>
      <c r="E3118" s="73"/>
      <c r="F3118" s="73"/>
      <c r="G3118" s="73"/>
      <c r="H3118" s="73"/>
      <c r="I3118" s="73"/>
      <c r="J3118" s="73"/>
      <c r="K3118" s="73"/>
      <c r="L3118" s="73"/>
      <c r="M3118" s="73"/>
      <c r="N3118" s="73"/>
      <c r="O3118" s="73"/>
      <c r="P3118" s="73"/>
      <c r="Q3118" s="73"/>
      <c r="R3118" s="73"/>
      <c r="S3118" s="73"/>
      <c r="T3118" s="73"/>
      <c r="U3118" s="73"/>
      <c r="V3118" s="73"/>
      <c r="W3118" s="73"/>
      <c r="GL3118" s="73"/>
      <c r="GM3118" s="73"/>
      <c r="GN3118" s="73"/>
      <c r="GO3118" s="73"/>
      <c r="GP3118" s="73"/>
      <c r="GQ3118" s="73"/>
      <c r="GR3118" s="73"/>
      <c r="GS3118" s="73"/>
      <c r="GT3118" s="73"/>
      <c r="GU3118" s="73"/>
      <c r="GV3118" s="73"/>
      <c r="GW3118" s="73"/>
      <c r="GX3118" s="73"/>
      <c r="GY3118" s="73"/>
      <c r="GZ3118" s="73"/>
      <c r="HA3118" s="73"/>
      <c r="HB3118" s="73"/>
      <c r="HC3118" s="73"/>
      <c r="HD3118" s="73"/>
      <c r="HE3118" s="73"/>
      <c r="HF3118" s="73"/>
      <c r="HG3118" s="73"/>
      <c r="HH3118" s="73"/>
      <c r="HI3118" s="73"/>
      <c r="HJ3118" s="73"/>
      <c r="HK3118" s="73"/>
      <c r="HL3118" s="73"/>
      <c r="HM3118" s="73"/>
      <c r="HN3118" s="73"/>
      <c r="HO3118" s="73"/>
      <c r="HP3118" s="73"/>
      <c r="HQ3118" s="73"/>
      <c r="HR3118" s="73"/>
      <c r="HS3118" s="73"/>
      <c r="HT3118" s="73"/>
      <c r="HU3118" s="73"/>
      <c r="HV3118" s="73"/>
      <c r="HW3118" s="73"/>
      <c r="HX3118" s="73"/>
      <c r="HY3118" s="73"/>
      <c r="HZ3118" s="73"/>
      <c r="IA3118" s="73"/>
      <c r="IB3118" s="73"/>
      <c r="IC3118" s="73"/>
      <c r="ID3118" s="73"/>
      <c r="IE3118" s="73"/>
      <c r="IF3118" s="73"/>
      <c r="IG3118" s="73"/>
      <c r="IH3118" s="73"/>
      <c r="II3118" s="73"/>
      <c r="IJ3118" s="73"/>
      <c r="IK3118" s="73"/>
      <c r="IL3118" s="73"/>
      <c r="IM3118" s="73"/>
      <c r="IN3118" s="73"/>
      <c r="IO3118" s="73"/>
      <c r="IP3118" s="73"/>
      <c r="IQ3118" s="73"/>
      <c r="IR3118" s="73"/>
      <c r="IS3118" s="73"/>
      <c r="IT3118" s="73"/>
      <c r="IU3118" s="73"/>
      <c r="IV3118" s="73"/>
      <c r="IW3118" s="73"/>
      <c r="IX3118" s="73"/>
      <c r="IY3118" s="73"/>
      <c r="IZ3118" s="73"/>
      <c r="JA3118" s="73"/>
      <c r="JB3118" s="73"/>
      <c r="JC3118" s="73"/>
    </row>
    <row r="3119" spans="2:263" s="72" customFormat="1">
      <c r="B3119" s="73"/>
      <c r="C3119" s="73"/>
      <c r="D3119" s="73"/>
      <c r="E3119" s="73"/>
      <c r="F3119" s="73"/>
      <c r="G3119" s="73"/>
      <c r="H3119" s="73"/>
      <c r="I3119" s="73"/>
      <c r="J3119" s="73"/>
      <c r="K3119" s="73"/>
      <c r="L3119" s="73"/>
      <c r="M3119" s="73"/>
      <c r="N3119" s="73"/>
      <c r="O3119" s="73"/>
      <c r="P3119" s="73"/>
      <c r="Q3119" s="73"/>
      <c r="R3119" s="73"/>
      <c r="S3119" s="73"/>
      <c r="T3119" s="73"/>
      <c r="U3119" s="73"/>
      <c r="V3119" s="73"/>
      <c r="W3119" s="73"/>
      <c r="GL3119" s="73"/>
      <c r="GM3119" s="73"/>
      <c r="GN3119" s="73"/>
      <c r="GO3119" s="73"/>
      <c r="GP3119" s="73"/>
      <c r="GQ3119" s="73"/>
      <c r="GR3119" s="73"/>
      <c r="GS3119" s="73"/>
      <c r="GT3119" s="73"/>
      <c r="GU3119" s="73"/>
      <c r="GV3119" s="73"/>
      <c r="GW3119" s="73"/>
      <c r="GX3119" s="73"/>
      <c r="GY3119" s="73"/>
      <c r="GZ3119" s="73"/>
      <c r="HA3119" s="73"/>
      <c r="HB3119" s="73"/>
      <c r="HC3119" s="73"/>
      <c r="HD3119" s="73"/>
      <c r="HE3119" s="73"/>
      <c r="HF3119" s="73"/>
      <c r="HG3119" s="73"/>
      <c r="HH3119" s="73"/>
      <c r="HI3119" s="73"/>
      <c r="HJ3119" s="73"/>
      <c r="HK3119" s="73"/>
      <c r="HL3119" s="73"/>
      <c r="HM3119" s="73"/>
      <c r="HN3119" s="73"/>
      <c r="HO3119" s="73"/>
      <c r="HP3119" s="73"/>
      <c r="HQ3119" s="73"/>
      <c r="HR3119" s="73"/>
      <c r="HS3119" s="73"/>
      <c r="HT3119" s="73"/>
      <c r="HU3119" s="73"/>
      <c r="HV3119" s="73"/>
      <c r="HW3119" s="73"/>
      <c r="HX3119" s="73"/>
      <c r="HY3119" s="73"/>
      <c r="HZ3119" s="73"/>
      <c r="IA3119" s="73"/>
      <c r="IB3119" s="73"/>
      <c r="IC3119" s="73"/>
      <c r="ID3119" s="73"/>
      <c r="IE3119" s="73"/>
      <c r="IF3119" s="73"/>
      <c r="IG3119" s="73"/>
      <c r="IH3119" s="73"/>
      <c r="II3119" s="73"/>
      <c r="IJ3119" s="73"/>
      <c r="IK3119" s="73"/>
      <c r="IL3119" s="73"/>
      <c r="IM3119" s="73"/>
      <c r="IN3119" s="73"/>
      <c r="IO3119" s="73"/>
      <c r="IP3119" s="73"/>
      <c r="IQ3119" s="73"/>
      <c r="IR3119" s="73"/>
      <c r="IS3119" s="73"/>
      <c r="IT3119" s="73"/>
      <c r="IU3119" s="73"/>
      <c r="IV3119" s="73"/>
      <c r="IW3119" s="73"/>
      <c r="IX3119" s="73"/>
      <c r="IY3119" s="73"/>
      <c r="IZ3119" s="73"/>
      <c r="JA3119" s="73"/>
      <c r="JB3119" s="73"/>
      <c r="JC3119" s="73"/>
    </row>
    <row r="3120" spans="2:263" s="72" customFormat="1">
      <c r="B3120" s="73"/>
      <c r="C3120" s="73"/>
      <c r="D3120" s="73"/>
      <c r="E3120" s="73"/>
      <c r="F3120" s="73"/>
      <c r="G3120" s="73"/>
      <c r="H3120" s="73"/>
      <c r="I3120" s="73"/>
      <c r="J3120" s="73"/>
      <c r="K3120" s="73"/>
      <c r="L3120" s="73"/>
      <c r="M3120" s="73"/>
      <c r="N3120" s="73"/>
      <c r="O3120" s="73"/>
      <c r="P3120" s="73"/>
      <c r="Q3120" s="73"/>
      <c r="R3120" s="73"/>
      <c r="S3120" s="73"/>
      <c r="T3120" s="73"/>
      <c r="U3120" s="73"/>
      <c r="V3120" s="73"/>
      <c r="W3120" s="73"/>
      <c r="GL3120" s="73"/>
      <c r="GM3120" s="73"/>
      <c r="GN3120" s="73"/>
      <c r="GO3120" s="73"/>
      <c r="GP3120" s="73"/>
      <c r="GQ3120" s="73"/>
      <c r="GR3120" s="73"/>
      <c r="GS3120" s="73"/>
      <c r="GT3120" s="73"/>
      <c r="GU3120" s="73"/>
      <c r="GV3120" s="73"/>
      <c r="GW3120" s="73"/>
      <c r="GX3120" s="73"/>
      <c r="GY3120" s="73"/>
      <c r="GZ3120" s="73"/>
      <c r="HA3120" s="73"/>
      <c r="HB3120" s="73"/>
      <c r="HC3120" s="73"/>
      <c r="HD3120" s="73"/>
      <c r="HE3120" s="73"/>
      <c r="HF3120" s="73"/>
      <c r="HG3120" s="73"/>
      <c r="HH3120" s="73"/>
      <c r="HI3120" s="73"/>
      <c r="HJ3120" s="73"/>
      <c r="HK3120" s="73"/>
      <c r="HL3120" s="73"/>
      <c r="HM3120" s="73"/>
      <c r="HN3120" s="73"/>
      <c r="HO3120" s="73"/>
      <c r="HP3120" s="73"/>
      <c r="HQ3120" s="73"/>
      <c r="HR3120" s="73"/>
      <c r="HS3120" s="73"/>
      <c r="HT3120" s="73"/>
      <c r="HU3120" s="73"/>
      <c r="HV3120" s="73"/>
      <c r="HW3120" s="73"/>
      <c r="HX3120" s="73"/>
      <c r="HY3120" s="73"/>
      <c r="HZ3120" s="73"/>
      <c r="IA3120" s="73"/>
      <c r="IB3120" s="73"/>
      <c r="IC3120" s="73"/>
      <c r="ID3120" s="73"/>
      <c r="IE3120" s="73"/>
      <c r="IF3120" s="73"/>
      <c r="IG3120" s="73"/>
      <c r="IH3120" s="73"/>
      <c r="II3120" s="73"/>
      <c r="IJ3120" s="73"/>
      <c r="IK3120" s="73"/>
      <c r="IL3120" s="73"/>
      <c r="IM3120" s="73"/>
      <c r="IN3120" s="73"/>
      <c r="IO3120" s="73"/>
      <c r="IP3120" s="73"/>
      <c r="IQ3120" s="73"/>
      <c r="IR3120" s="73"/>
      <c r="IS3120" s="73"/>
      <c r="IT3120" s="73"/>
      <c r="IU3120" s="73"/>
      <c r="IV3120" s="73"/>
      <c r="IW3120" s="73"/>
      <c r="IX3120" s="73"/>
      <c r="IY3120" s="73"/>
      <c r="IZ3120" s="73"/>
      <c r="JA3120" s="73"/>
      <c r="JB3120" s="73"/>
      <c r="JC3120" s="73"/>
    </row>
    <row r="3121" spans="2:263" s="72" customFormat="1">
      <c r="B3121" s="73"/>
      <c r="C3121" s="73"/>
      <c r="D3121" s="73"/>
      <c r="E3121" s="73"/>
      <c r="F3121" s="73"/>
      <c r="G3121" s="73"/>
      <c r="H3121" s="73"/>
      <c r="I3121" s="73"/>
      <c r="J3121" s="73"/>
      <c r="K3121" s="73"/>
      <c r="L3121" s="73"/>
      <c r="M3121" s="73"/>
      <c r="N3121" s="73"/>
      <c r="O3121" s="73"/>
      <c r="P3121" s="73"/>
      <c r="Q3121" s="73"/>
      <c r="R3121" s="73"/>
      <c r="S3121" s="73"/>
      <c r="T3121" s="73"/>
      <c r="U3121" s="73"/>
      <c r="V3121" s="73"/>
      <c r="W3121" s="73"/>
      <c r="GL3121" s="73"/>
      <c r="GM3121" s="73"/>
      <c r="GN3121" s="73"/>
      <c r="GO3121" s="73"/>
      <c r="GP3121" s="73"/>
      <c r="GQ3121" s="73"/>
      <c r="GR3121" s="73"/>
      <c r="GS3121" s="73"/>
      <c r="GT3121" s="73"/>
      <c r="GU3121" s="73"/>
      <c r="GV3121" s="73"/>
      <c r="GW3121" s="73"/>
      <c r="GX3121" s="73"/>
      <c r="GY3121" s="73"/>
      <c r="GZ3121" s="73"/>
      <c r="HA3121" s="73"/>
      <c r="HB3121" s="73"/>
      <c r="HC3121" s="73"/>
      <c r="HD3121" s="73"/>
      <c r="HE3121" s="73"/>
      <c r="HF3121" s="73"/>
      <c r="HG3121" s="73"/>
      <c r="HH3121" s="73"/>
      <c r="HI3121" s="73"/>
      <c r="HJ3121" s="73"/>
      <c r="HK3121" s="73"/>
      <c r="HL3121" s="73"/>
      <c r="HM3121" s="73"/>
      <c r="HN3121" s="73"/>
      <c r="HO3121" s="73"/>
      <c r="HP3121" s="73"/>
      <c r="HQ3121" s="73"/>
      <c r="HR3121" s="73"/>
      <c r="HS3121" s="73"/>
      <c r="HT3121" s="73"/>
      <c r="HU3121" s="73"/>
      <c r="HV3121" s="73"/>
      <c r="HW3121" s="73"/>
      <c r="HX3121" s="73"/>
      <c r="HY3121" s="73"/>
      <c r="HZ3121" s="73"/>
      <c r="IA3121" s="73"/>
      <c r="IB3121" s="73"/>
      <c r="IC3121" s="73"/>
      <c r="ID3121" s="73"/>
      <c r="IE3121" s="73"/>
      <c r="IF3121" s="73"/>
      <c r="IG3121" s="73"/>
      <c r="IH3121" s="73"/>
      <c r="II3121" s="73"/>
      <c r="IJ3121" s="73"/>
      <c r="IK3121" s="73"/>
      <c r="IL3121" s="73"/>
      <c r="IM3121" s="73"/>
      <c r="IN3121" s="73"/>
      <c r="IO3121" s="73"/>
      <c r="IP3121" s="73"/>
      <c r="IQ3121" s="73"/>
      <c r="IR3121" s="73"/>
      <c r="IS3121" s="73"/>
      <c r="IT3121" s="73"/>
      <c r="IU3121" s="73"/>
      <c r="IV3121" s="73"/>
      <c r="IW3121" s="73"/>
      <c r="IX3121" s="73"/>
      <c r="IY3121" s="73"/>
      <c r="IZ3121" s="73"/>
      <c r="JA3121" s="73"/>
      <c r="JB3121" s="73"/>
      <c r="JC3121" s="73"/>
    </row>
    <row r="3122" spans="2:263" s="72" customFormat="1">
      <c r="B3122" s="73"/>
      <c r="C3122" s="73"/>
      <c r="D3122" s="73"/>
      <c r="E3122" s="73"/>
      <c r="F3122" s="73"/>
      <c r="G3122" s="73"/>
      <c r="H3122" s="73"/>
      <c r="I3122" s="73"/>
      <c r="J3122" s="73"/>
      <c r="K3122" s="73"/>
      <c r="L3122" s="73"/>
      <c r="M3122" s="73"/>
      <c r="N3122" s="73"/>
      <c r="O3122" s="73"/>
      <c r="P3122" s="73"/>
      <c r="Q3122" s="73"/>
      <c r="R3122" s="73"/>
      <c r="S3122" s="73"/>
      <c r="T3122" s="73"/>
      <c r="U3122" s="73"/>
      <c r="V3122" s="73"/>
      <c r="W3122" s="73"/>
      <c r="GL3122" s="73"/>
      <c r="GM3122" s="73"/>
      <c r="GN3122" s="73"/>
      <c r="GO3122" s="73"/>
      <c r="GP3122" s="73"/>
      <c r="GQ3122" s="73"/>
      <c r="GR3122" s="73"/>
      <c r="GS3122" s="73"/>
      <c r="GT3122" s="73"/>
      <c r="GU3122" s="73"/>
      <c r="GV3122" s="73"/>
      <c r="GW3122" s="73"/>
      <c r="GX3122" s="73"/>
      <c r="GY3122" s="73"/>
      <c r="GZ3122" s="73"/>
      <c r="HA3122" s="73"/>
      <c r="HB3122" s="73"/>
      <c r="HC3122" s="73"/>
      <c r="HD3122" s="73"/>
      <c r="HE3122" s="73"/>
      <c r="HF3122" s="73"/>
      <c r="HG3122" s="73"/>
      <c r="HH3122" s="73"/>
      <c r="HI3122" s="73"/>
      <c r="HJ3122" s="73"/>
      <c r="HK3122" s="73"/>
      <c r="HL3122" s="73"/>
      <c r="HM3122" s="73"/>
      <c r="HN3122" s="73"/>
      <c r="HO3122" s="73"/>
      <c r="HP3122" s="73"/>
      <c r="HQ3122" s="73"/>
      <c r="HR3122" s="73"/>
      <c r="HS3122" s="73"/>
      <c r="HT3122" s="73"/>
      <c r="HU3122" s="73"/>
      <c r="HV3122" s="73"/>
      <c r="HW3122" s="73"/>
      <c r="HX3122" s="73"/>
      <c r="HY3122" s="73"/>
      <c r="HZ3122" s="73"/>
      <c r="IA3122" s="73"/>
      <c r="IB3122" s="73"/>
      <c r="IC3122" s="73"/>
      <c r="ID3122" s="73"/>
      <c r="IE3122" s="73"/>
      <c r="IF3122" s="73"/>
      <c r="IG3122" s="73"/>
      <c r="IH3122" s="73"/>
      <c r="II3122" s="73"/>
      <c r="IJ3122" s="73"/>
      <c r="IK3122" s="73"/>
      <c r="IL3122" s="73"/>
      <c r="IM3122" s="73"/>
      <c r="IN3122" s="73"/>
      <c r="IO3122" s="73"/>
      <c r="IP3122" s="73"/>
      <c r="IQ3122" s="73"/>
      <c r="IR3122" s="73"/>
      <c r="IS3122" s="73"/>
      <c r="IT3122" s="73"/>
      <c r="IU3122" s="73"/>
      <c r="IV3122" s="73"/>
      <c r="IW3122" s="73"/>
      <c r="IX3122" s="73"/>
      <c r="IY3122" s="73"/>
      <c r="IZ3122" s="73"/>
      <c r="JA3122" s="73"/>
      <c r="JB3122" s="73"/>
      <c r="JC3122" s="73"/>
    </row>
    <row r="3123" spans="2:263" s="72" customFormat="1">
      <c r="B3123" s="73"/>
      <c r="C3123" s="73"/>
      <c r="D3123" s="73"/>
      <c r="E3123" s="73"/>
      <c r="F3123" s="73"/>
      <c r="G3123" s="73"/>
      <c r="H3123" s="73"/>
      <c r="I3123" s="73"/>
      <c r="J3123" s="73"/>
      <c r="K3123" s="73"/>
      <c r="L3123" s="73"/>
      <c r="M3123" s="73"/>
      <c r="N3123" s="73"/>
      <c r="O3123" s="73"/>
      <c r="P3123" s="73"/>
      <c r="Q3123" s="73"/>
      <c r="R3123" s="73"/>
      <c r="S3123" s="73"/>
      <c r="T3123" s="73"/>
      <c r="U3123" s="73"/>
      <c r="V3123" s="73"/>
      <c r="W3123" s="73"/>
      <c r="GL3123" s="73"/>
      <c r="GM3123" s="73"/>
      <c r="GN3123" s="73"/>
      <c r="GO3123" s="73"/>
      <c r="GP3123" s="73"/>
      <c r="GQ3123" s="73"/>
      <c r="GR3123" s="73"/>
      <c r="GS3123" s="73"/>
      <c r="GT3123" s="73"/>
      <c r="GU3123" s="73"/>
      <c r="GV3123" s="73"/>
      <c r="GW3123" s="73"/>
      <c r="GX3123" s="73"/>
      <c r="GY3123" s="73"/>
      <c r="GZ3123" s="73"/>
      <c r="HA3123" s="73"/>
      <c r="HB3123" s="73"/>
      <c r="HC3123" s="73"/>
      <c r="HD3123" s="73"/>
      <c r="HE3123" s="73"/>
      <c r="HF3123" s="73"/>
      <c r="HG3123" s="73"/>
      <c r="HH3123" s="73"/>
      <c r="HI3123" s="73"/>
      <c r="HJ3123" s="73"/>
      <c r="HK3123" s="73"/>
      <c r="HL3123" s="73"/>
      <c r="HM3123" s="73"/>
      <c r="HN3123" s="73"/>
      <c r="HO3123" s="73"/>
      <c r="HP3123" s="73"/>
      <c r="HQ3123" s="73"/>
      <c r="HR3123" s="73"/>
      <c r="HS3123" s="73"/>
      <c r="HT3123" s="73"/>
      <c r="HU3123" s="73"/>
      <c r="HV3123" s="73"/>
      <c r="HW3123" s="73"/>
      <c r="HX3123" s="73"/>
      <c r="HY3123" s="73"/>
      <c r="HZ3123" s="73"/>
      <c r="IA3123" s="73"/>
      <c r="IB3123" s="73"/>
      <c r="IC3123" s="73"/>
      <c r="ID3123" s="73"/>
      <c r="IE3123" s="73"/>
      <c r="IF3123" s="73"/>
      <c r="IG3123" s="73"/>
      <c r="IH3123" s="73"/>
      <c r="II3123" s="73"/>
      <c r="IJ3123" s="73"/>
      <c r="IK3123" s="73"/>
      <c r="IL3123" s="73"/>
      <c r="IM3123" s="73"/>
      <c r="IN3123" s="73"/>
      <c r="IO3123" s="73"/>
      <c r="IP3123" s="73"/>
      <c r="IQ3123" s="73"/>
      <c r="IR3123" s="73"/>
      <c r="IS3123" s="73"/>
      <c r="IT3123" s="73"/>
      <c r="IU3123" s="73"/>
      <c r="IV3123" s="73"/>
      <c r="IW3123" s="73"/>
      <c r="IX3123" s="73"/>
      <c r="IY3123" s="73"/>
      <c r="IZ3123" s="73"/>
      <c r="JA3123" s="73"/>
      <c r="JB3123" s="73"/>
      <c r="JC3123" s="73"/>
    </row>
    <row r="3124" spans="2:263" s="72" customFormat="1">
      <c r="B3124" s="73"/>
      <c r="C3124" s="73"/>
      <c r="D3124" s="73"/>
      <c r="E3124" s="73"/>
      <c r="F3124" s="73"/>
      <c r="G3124" s="73"/>
      <c r="H3124" s="73"/>
      <c r="I3124" s="73"/>
      <c r="J3124" s="73"/>
      <c r="K3124" s="73"/>
      <c r="L3124" s="73"/>
      <c r="M3124" s="73"/>
      <c r="N3124" s="73"/>
      <c r="O3124" s="73"/>
      <c r="P3124" s="73"/>
      <c r="Q3124" s="73"/>
      <c r="R3124" s="73"/>
      <c r="S3124" s="73"/>
      <c r="T3124" s="73"/>
      <c r="U3124" s="73"/>
      <c r="V3124" s="73"/>
      <c r="W3124" s="73"/>
      <c r="GL3124" s="73"/>
      <c r="GM3124" s="73"/>
      <c r="GN3124" s="73"/>
      <c r="GO3124" s="73"/>
      <c r="GP3124" s="73"/>
      <c r="GQ3124" s="73"/>
      <c r="GR3124" s="73"/>
      <c r="GS3124" s="73"/>
      <c r="GT3124" s="73"/>
      <c r="GU3124" s="73"/>
      <c r="GV3124" s="73"/>
      <c r="GW3124" s="73"/>
      <c r="GX3124" s="73"/>
      <c r="GY3124" s="73"/>
      <c r="GZ3124" s="73"/>
      <c r="HA3124" s="73"/>
      <c r="HB3124" s="73"/>
      <c r="HC3124" s="73"/>
      <c r="HD3124" s="73"/>
      <c r="HE3124" s="73"/>
      <c r="HF3124" s="73"/>
      <c r="HG3124" s="73"/>
      <c r="HH3124" s="73"/>
      <c r="HI3124" s="73"/>
      <c r="HJ3124" s="73"/>
      <c r="HK3124" s="73"/>
      <c r="HL3124" s="73"/>
      <c r="HM3124" s="73"/>
      <c r="HN3124" s="73"/>
      <c r="HO3124" s="73"/>
      <c r="HP3124" s="73"/>
      <c r="HQ3124" s="73"/>
      <c r="HR3124" s="73"/>
      <c r="HS3124" s="73"/>
      <c r="HT3124" s="73"/>
      <c r="HU3124" s="73"/>
      <c r="HV3124" s="73"/>
      <c r="HW3124" s="73"/>
      <c r="HX3124" s="73"/>
      <c r="HY3124" s="73"/>
      <c r="HZ3124" s="73"/>
      <c r="IA3124" s="73"/>
      <c r="IB3124" s="73"/>
      <c r="IC3124" s="73"/>
      <c r="ID3124" s="73"/>
      <c r="IE3124" s="73"/>
      <c r="IF3124" s="73"/>
      <c r="IG3124" s="73"/>
      <c r="IH3124" s="73"/>
      <c r="II3124" s="73"/>
      <c r="IJ3124" s="73"/>
      <c r="IK3124" s="73"/>
      <c r="IL3124" s="73"/>
      <c r="IM3124" s="73"/>
      <c r="IN3124" s="73"/>
      <c r="IO3124" s="73"/>
      <c r="IP3124" s="73"/>
      <c r="IQ3124" s="73"/>
      <c r="IR3124" s="73"/>
      <c r="IS3124" s="73"/>
      <c r="IT3124" s="73"/>
      <c r="IU3124" s="73"/>
      <c r="IV3124" s="73"/>
      <c r="IW3124" s="73"/>
      <c r="IX3124" s="73"/>
      <c r="IY3124" s="73"/>
      <c r="IZ3124" s="73"/>
      <c r="JA3124" s="73"/>
      <c r="JB3124" s="73"/>
      <c r="JC3124" s="73"/>
    </row>
    <row r="3125" spans="2:263" s="72" customFormat="1">
      <c r="B3125" s="73"/>
      <c r="C3125" s="73"/>
      <c r="D3125" s="73"/>
      <c r="E3125" s="73"/>
      <c r="F3125" s="73"/>
      <c r="G3125" s="73"/>
      <c r="H3125" s="73"/>
      <c r="I3125" s="73"/>
      <c r="J3125" s="73"/>
      <c r="K3125" s="73"/>
      <c r="L3125" s="73"/>
      <c r="M3125" s="73"/>
      <c r="N3125" s="73"/>
      <c r="O3125" s="73"/>
      <c r="P3125" s="73"/>
      <c r="Q3125" s="73"/>
      <c r="R3125" s="73"/>
      <c r="S3125" s="73"/>
      <c r="T3125" s="73"/>
      <c r="U3125" s="73"/>
      <c r="V3125" s="73"/>
      <c r="W3125" s="73"/>
      <c r="GL3125" s="73"/>
      <c r="GM3125" s="73"/>
      <c r="GN3125" s="73"/>
      <c r="GO3125" s="73"/>
      <c r="GP3125" s="73"/>
      <c r="GQ3125" s="73"/>
      <c r="GR3125" s="73"/>
      <c r="GS3125" s="73"/>
      <c r="GT3125" s="73"/>
      <c r="GU3125" s="73"/>
      <c r="GV3125" s="73"/>
      <c r="GW3125" s="73"/>
      <c r="GX3125" s="73"/>
      <c r="GY3125" s="73"/>
      <c r="GZ3125" s="73"/>
      <c r="HA3125" s="73"/>
      <c r="HB3125" s="73"/>
      <c r="HC3125" s="73"/>
      <c r="HD3125" s="73"/>
      <c r="HE3125" s="73"/>
      <c r="HF3125" s="73"/>
      <c r="HG3125" s="73"/>
      <c r="HH3125" s="73"/>
      <c r="HI3125" s="73"/>
      <c r="HJ3125" s="73"/>
      <c r="HK3125" s="73"/>
      <c r="HL3125" s="73"/>
      <c r="HM3125" s="73"/>
      <c r="HN3125" s="73"/>
      <c r="HO3125" s="73"/>
      <c r="HP3125" s="73"/>
      <c r="HQ3125" s="73"/>
      <c r="HR3125" s="73"/>
      <c r="HS3125" s="73"/>
      <c r="HT3125" s="73"/>
      <c r="HU3125" s="73"/>
      <c r="HV3125" s="73"/>
      <c r="HW3125" s="73"/>
      <c r="HX3125" s="73"/>
      <c r="HY3125" s="73"/>
      <c r="HZ3125" s="73"/>
      <c r="IA3125" s="73"/>
      <c r="IB3125" s="73"/>
      <c r="IC3125" s="73"/>
      <c r="ID3125" s="73"/>
      <c r="IE3125" s="73"/>
      <c r="IF3125" s="73"/>
      <c r="IG3125" s="73"/>
      <c r="IH3125" s="73"/>
      <c r="II3125" s="73"/>
      <c r="IJ3125" s="73"/>
      <c r="IK3125" s="73"/>
      <c r="IL3125" s="73"/>
      <c r="IM3125" s="73"/>
      <c r="IN3125" s="73"/>
      <c r="IO3125" s="73"/>
      <c r="IP3125" s="73"/>
      <c r="IQ3125" s="73"/>
      <c r="IR3125" s="73"/>
      <c r="IS3125" s="73"/>
      <c r="IT3125" s="73"/>
      <c r="IU3125" s="73"/>
      <c r="IV3125" s="73"/>
      <c r="IW3125" s="73"/>
      <c r="IX3125" s="73"/>
      <c r="IY3125" s="73"/>
      <c r="IZ3125" s="73"/>
      <c r="JA3125" s="73"/>
      <c r="JB3125" s="73"/>
      <c r="JC3125" s="73"/>
    </row>
    <row r="3126" spans="2:263" s="72" customFormat="1">
      <c r="B3126" s="73"/>
      <c r="C3126" s="73"/>
      <c r="D3126" s="73"/>
      <c r="E3126" s="73"/>
      <c r="F3126" s="73"/>
      <c r="G3126" s="73"/>
      <c r="H3126" s="73"/>
      <c r="I3126" s="73"/>
      <c r="J3126" s="73"/>
      <c r="K3126" s="73"/>
      <c r="L3126" s="73"/>
      <c r="M3126" s="73"/>
      <c r="N3126" s="73"/>
      <c r="O3126" s="73"/>
      <c r="P3126" s="73"/>
      <c r="Q3126" s="73"/>
      <c r="R3126" s="73"/>
      <c r="S3126" s="73"/>
      <c r="T3126" s="73"/>
      <c r="U3126" s="73"/>
      <c r="V3126" s="73"/>
      <c r="W3126" s="73"/>
      <c r="GL3126" s="73"/>
      <c r="GM3126" s="73"/>
      <c r="GN3126" s="73"/>
      <c r="GO3126" s="73"/>
      <c r="GP3126" s="73"/>
      <c r="GQ3126" s="73"/>
      <c r="GR3126" s="73"/>
      <c r="GS3126" s="73"/>
      <c r="GT3126" s="73"/>
      <c r="GU3126" s="73"/>
      <c r="GV3126" s="73"/>
      <c r="GW3126" s="73"/>
      <c r="GX3126" s="73"/>
      <c r="GY3126" s="73"/>
      <c r="GZ3126" s="73"/>
      <c r="HA3126" s="73"/>
      <c r="HB3126" s="73"/>
      <c r="HC3126" s="73"/>
      <c r="HD3126" s="73"/>
      <c r="HE3126" s="73"/>
      <c r="HF3126" s="73"/>
      <c r="HG3126" s="73"/>
      <c r="HH3126" s="73"/>
      <c r="HI3126" s="73"/>
      <c r="HJ3126" s="73"/>
      <c r="HK3126" s="73"/>
      <c r="HL3126" s="73"/>
      <c r="HM3126" s="73"/>
      <c r="HN3126" s="73"/>
      <c r="HO3126" s="73"/>
      <c r="HP3126" s="73"/>
      <c r="HQ3126" s="73"/>
      <c r="HR3126" s="73"/>
      <c r="HS3126" s="73"/>
      <c r="HT3126" s="73"/>
      <c r="HU3126" s="73"/>
      <c r="HV3126" s="73"/>
      <c r="HW3126" s="73"/>
      <c r="HX3126" s="73"/>
      <c r="HY3126" s="73"/>
      <c r="HZ3126" s="73"/>
      <c r="IA3126" s="73"/>
      <c r="IB3126" s="73"/>
      <c r="IC3126" s="73"/>
      <c r="ID3126" s="73"/>
      <c r="IE3126" s="73"/>
      <c r="IF3126" s="73"/>
      <c r="IG3126" s="73"/>
      <c r="IH3126" s="73"/>
      <c r="II3126" s="73"/>
      <c r="IJ3126" s="73"/>
      <c r="IK3126" s="73"/>
      <c r="IL3126" s="73"/>
      <c r="IM3126" s="73"/>
      <c r="IN3126" s="73"/>
      <c r="IO3126" s="73"/>
      <c r="IP3126" s="73"/>
      <c r="IQ3126" s="73"/>
      <c r="IR3126" s="73"/>
      <c r="IS3126" s="73"/>
      <c r="IT3126" s="73"/>
      <c r="IU3126" s="73"/>
      <c r="IV3126" s="73"/>
      <c r="IW3126" s="73"/>
      <c r="IX3126" s="73"/>
      <c r="IY3126" s="73"/>
      <c r="IZ3126" s="73"/>
      <c r="JA3126" s="73"/>
      <c r="JB3126" s="73"/>
      <c r="JC3126" s="73"/>
    </row>
    <row r="3127" spans="2:263" s="72" customFormat="1">
      <c r="B3127" s="73"/>
      <c r="C3127" s="73"/>
      <c r="D3127" s="73"/>
      <c r="E3127" s="73"/>
      <c r="F3127" s="73"/>
      <c r="G3127" s="73"/>
      <c r="H3127" s="73"/>
      <c r="I3127" s="73"/>
      <c r="J3127" s="73"/>
      <c r="K3127" s="73"/>
      <c r="L3127" s="73"/>
      <c r="M3127" s="73"/>
      <c r="N3127" s="73"/>
      <c r="O3127" s="73"/>
      <c r="P3127" s="73"/>
      <c r="Q3127" s="73"/>
      <c r="R3127" s="73"/>
      <c r="S3127" s="73"/>
      <c r="T3127" s="73"/>
      <c r="U3127" s="73"/>
      <c r="V3127" s="73"/>
      <c r="W3127" s="73"/>
      <c r="GL3127" s="73"/>
      <c r="GM3127" s="73"/>
      <c r="GN3127" s="73"/>
      <c r="GO3127" s="73"/>
      <c r="GP3127" s="73"/>
      <c r="GQ3127" s="73"/>
      <c r="GR3127" s="73"/>
      <c r="GS3127" s="73"/>
      <c r="GT3127" s="73"/>
      <c r="GU3127" s="73"/>
      <c r="GV3127" s="73"/>
      <c r="GW3127" s="73"/>
      <c r="GX3127" s="73"/>
      <c r="GY3127" s="73"/>
      <c r="GZ3127" s="73"/>
      <c r="HA3127" s="73"/>
      <c r="HB3127" s="73"/>
      <c r="HC3127" s="73"/>
      <c r="HD3127" s="73"/>
      <c r="HE3127" s="73"/>
      <c r="HF3127" s="73"/>
      <c r="HG3127" s="73"/>
      <c r="HH3127" s="73"/>
      <c r="HI3127" s="73"/>
      <c r="HJ3127" s="73"/>
      <c r="HK3127" s="73"/>
      <c r="HL3127" s="73"/>
      <c r="HM3127" s="73"/>
      <c r="HN3127" s="73"/>
      <c r="HO3127" s="73"/>
      <c r="HP3127" s="73"/>
      <c r="HQ3127" s="73"/>
      <c r="HR3127" s="73"/>
      <c r="HS3127" s="73"/>
      <c r="HT3127" s="73"/>
      <c r="HU3127" s="73"/>
      <c r="HV3127" s="73"/>
      <c r="HW3127" s="73"/>
      <c r="HX3127" s="73"/>
      <c r="HY3127" s="73"/>
      <c r="HZ3127" s="73"/>
      <c r="IA3127" s="73"/>
      <c r="IB3127" s="73"/>
      <c r="IC3127" s="73"/>
      <c r="ID3127" s="73"/>
      <c r="IE3127" s="73"/>
      <c r="IF3127" s="73"/>
      <c r="IG3127" s="73"/>
      <c r="IH3127" s="73"/>
      <c r="II3127" s="73"/>
      <c r="IJ3127" s="73"/>
      <c r="IK3127" s="73"/>
      <c r="IL3127" s="73"/>
      <c r="IM3127" s="73"/>
      <c r="IN3127" s="73"/>
      <c r="IO3127" s="73"/>
      <c r="IP3127" s="73"/>
      <c r="IQ3127" s="73"/>
      <c r="IR3127" s="73"/>
      <c r="IS3127" s="73"/>
      <c r="IT3127" s="73"/>
      <c r="IU3127" s="73"/>
      <c r="IV3127" s="73"/>
      <c r="IW3127" s="73"/>
      <c r="IX3127" s="73"/>
      <c r="IY3127" s="73"/>
      <c r="IZ3127" s="73"/>
      <c r="JA3127" s="73"/>
      <c r="JB3127" s="73"/>
      <c r="JC3127" s="73"/>
    </row>
    <row r="3128" spans="2:263" s="72" customFormat="1">
      <c r="B3128" s="73"/>
      <c r="C3128" s="73"/>
      <c r="D3128" s="73"/>
      <c r="E3128" s="73"/>
      <c r="F3128" s="73"/>
      <c r="G3128" s="73"/>
      <c r="H3128" s="73"/>
      <c r="I3128" s="73"/>
      <c r="J3128" s="73"/>
      <c r="K3128" s="73"/>
      <c r="L3128" s="73"/>
      <c r="M3128" s="73"/>
      <c r="N3128" s="73"/>
      <c r="O3128" s="73"/>
      <c r="P3128" s="73"/>
      <c r="Q3128" s="73"/>
      <c r="R3128" s="73"/>
      <c r="S3128" s="73"/>
      <c r="T3128" s="73"/>
      <c r="U3128" s="73"/>
      <c r="V3128" s="73"/>
      <c r="W3128" s="73"/>
      <c r="GL3128" s="73"/>
      <c r="GM3128" s="73"/>
      <c r="GN3128" s="73"/>
      <c r="GO3128" s="73"/>
      <c r="GP3128" s="73"/>
      <c r="GQ3128" s="73"/>
      <c r="GR3128" s="73"/>
      <c r="GS3128" s="73"/>
      <c r="GT3128" s="73"/>
      <c r="GU3128" s="73"/>
      <c r="GV3128" s="73"/>
      <c r="GW3128" s="73"/>
      <c r="GX3128" s="73"/>
      <c r="GY3128" s="73"/>
      <c r="GZ3128" s="73"/>
      <c r="HA3128" s="73"/>
      <c r="HB3128" s="73"/>
      <c r="HC3128" s="73"/>
      <c r="HD3128" s="73"/>
      <c r="HE3128" s="73"/>
      <c r="HF3128" s="73"/>
      <c r="HG3128" s="73"/>
      <c r="HH3128" s="73"/>
      <c r="HI3128" s="73"/>
      <c r="HJ3128" s="73"/>
      <c r="HK3128" s="73"/>
      <c r="HL3128" s="73"/>
      <c r="HM3128" s="73"/>
      <c r="HN3128" s="73"/>
      <c r="HO3128" s="73"/>
      <c r="HP3128" s="73"/>
      <c r="HQ3128" s="73"/>
      <c r="HR3128" s="73"/>
      <c r="HS3128" s="73"/>
      <c r="HT3128" s="73"/>
      <c r="HU3128" s="73"/>
      <c r="HV3128" s="73"/>
      <c r="HW3128" s="73"/>
      <c r="HX3128" s="73"/>
      <c r="HY3128" s="73"/>
      <c r="HZ3128" s="73"/>
      <c r="IA3128" s="73"/>
      <c r="IB3128" s="73"/>
      <c r="IC3128" s="73"/>
      <c r="ID3128" s="73"/>
      <c r="IE3128" s="73"/>
      <c r="IF3128" s="73"/>
      <c r="IG3128" s="73"/>
      <c r="IH3128" s="73"/>
      <c r="II3128" s="73"/>
      <c r="IJ3128" s="73"/>
      <c r="IK3128" s="73"/>
      <c r="IL3128" s="73"/>
      <c r="IM3128" s="73"/>
      <c r="IN3128" s="73"/>
      <c r="IO3128" s="73"/>
      <c r="IP3128" s="73"/>
      <c r="IQ3128" s="73"/>
      <c r="IR3128" s="73"/>
      <c r="IS3128" s="73"/>
      <c r="IT3128" s="73"/>
      <c r="IU3128" s="73"/>
      <c r="IV3128" s="73"/>
      <c r="IW3128" s="73"/>
      <c r="IX3128" s="73"/>
      <c r="IY3128" s="73"/>
      <c r="IZ3128" s="73"/>
      <c r="JA3128" s="73"/>
      <c r="JB3128" s="73"/>
      <c r="JC3128" s="73"/>
    </row>
    <row r="3129" spans="2:263" s="72" customFormat="1">
      <c r="B3129" s="73"/>
      <c r="C3129" s="73"/>
      <c r="D3129" s="73"/>
      <c r="E3129" s="73"/>
      <c r="F3129" s="73"/>
      <c r="G3129" s="73"/>
      <c r="H3129" s="73"/>
      <c r="I3129" s="73"/>
      <c r="J3129" s="73"/>
      <c r="K3129" s="73"/>
      <c r="L3129" s="73"/>
      <c r="M3129" s="73"/>
      <c r="N3129" s="73"/>
      <c r="O3129" s="73"/>
      <c r="P3129" s="73"/>
      <c r="Q3129" s="73"/>
      <c r="R3129" s="73"/>
      <c r="S3129" s="73"/>
      <c r="T3129" s="73"/>
      <c r="U3129" s="73"/>
      <c r="V3129" s="73"/>
      <c r="W3129" s="73"/>
      <c r="GL3129" s="73"/>
      <c r="GM3129" s="73"/>
      <c r="GN3129" s="73"/>
      <c r="GO3129" s="73"/>
      <c r="GP3129" s="73"/>
      <c r="GQ3129" s="73"/>
      <c r="GR3129" s="73"/>
      <c r="GS3129" s="73"/>
      <c r="GT3129" s="73"/>
      <c r="GU3129" s="73"/>
      <c r="GV3129" s="73"/>
      <c r="GW3129" s="73"/>
      <c r="GX3129" s="73"/>
      <c r="GY3129" s="73"/>
      <c r="GZ3129" s="73"/>
      <c r="HA3129" s="73"/>
      <c r="HB3129" s="73"/>
      <c r="HC3129" s="73"/>
      <c r="HD3129" s="73"/>
      <c r="HE3129" s="73"/>
      <c r="HF3129" s="73"/>
      <c r="HG3129" s="73"/>
      <c r="HH3129" s="73"/>
      <c r="HI3129" s="73"/>
      <c r="HJ3129" s="73"/>
      <c r="HK3129" s="73"/>
      <c r="HL3129" s="73"/>
      <c r="HM3129" s="73"/>
      <c r="HN3129" s="73"/>
      <c r="HO3129" s="73"/>
      <c r="HP3129" s="73"/>
      <c r="HQ3129" s="73"/>
      <c r="HR3129" s="73"/>
      <c r="HS3129" s="73"/>
      <c r="HT3129" s="73"/>
      <c r="HU3129" s="73"/>
      <c r="HV3129" s="73"/>
      <c r="HW3129" s="73"/>
      <c r="HX3129" s="73"/>
      <c r="HY3129" s="73"/>
      <c r="HZ3129" s="73"/>
      <c r="IA3129" s="73"/>
      <c r="IB3129" s="73"/>
      <c r="IC3129" s="73"/>
      <c r="ID3129" s="73"/>
      <c r="IE3129" s="73"/>
      <c r="IF3129" s="73"/>
      <c r="IG3129" s="73"/>
      <c r="IH3129" s="73"/>
      <c r="II3129" s="73"/>
      <c r="IJ3129" s="73"/>
      <c r="IK3129" s="73"/>
      <c r="IL3129" s="73"/>
      <c r="IM3129" s="73"/>
      <c r="IN3129" s="73"/>
      <c r="IO3129" s="73"/>
      <c r="IP3129" s="73"/>
      <c r="IQ3129" s="73"/>
      <c r="IR3129" s="73"/>
      <c r="IS3129" s="73"/>
      <c r="IT3129" s="73"/>
      <c r="IU3129" s="73"/>
      <c r="IV3129" s="73"/>
      <c r="IW3129" s="73"/>
      <c r="IX3129" s="73"/>
      <c r="IY3129" s="73"/>
      <c r="IZ3129" s="73"/>
      <c r="JA3129" s="73"/>
      <c r="JB3129" s="73"/>
      <c r="JC3129" s="73"/>
    </row>
    <row r="3130" spans="2:263" s="72" customFormat="1">
      <c r="B3130" s="73"/>
      <c r="C3130" s="73"/>
      <c r="D3130" s="73"/>
      <c r="E3130" s="73"/>
      <c r="F3130" s="73"/>
      <c r="G3130" s="73"/>
      <c r="H3130" s="73"/>
      <c r="I3130" s="73"/>
      <c r="J3130" s="73"/>
      <c r="K3130" s="73"/>
      <c r="L3130" s="73"/>
      <c r="M3130" s="73"/>
      <c r="N3130" s="73"/>
      <c r="O3130" s="73"/>
      <c r="P3130" s="73"/>
      <c r="Q3130" s="73"/>
      <c r="R3130" s="73"/>
      <c r="S3130" s="73"/>
      <c r="T3130" s="73"/>
      <c r="U3130" s="73"/>
      <c r="V3130" s="73"/>
      <c r="W3130" s="73"/>
      <c r="GL3130" s="73"/>
      <c r="GM3130" s="73"/>
      <c r="GN3130" s="73"/>
      <c r="GO3130" s="73"/>
      <c r="GP3130" s="73"/>
      <c r="GQ3130" s="73"/>
      <c r="GR3130" s="73"/>
      <c r="GS3130" s="73"/>
      <c r="GT3130" s="73"/>
      <c r="GU3130" s="73"/>
      <c r="GV3130" s="73"/>
      <c r="GW3130" s="73"/>
      <c r="GX3130" s="73"/>
      <c r="GY3130" s="73"/>
      <c r="GZ3130" s="73"/>
      <c r="HA3130" s="73"/>
      <c r="HB3130" s="73"/>
      <c r="HC3130" s="73"/>
      <c r="HD3130" s="73"/>
      <c r="HE3130" s="73"/>
      <c r="HF3130" s="73"/>
      <c r="HG3130" s="73"/>
      <c r="HH3130" s="73"/>
      <c r="HI3130" s="73"/>
      <c r="HJ3130" s="73"/>
      <c r="HK3130" s="73"/>
      <c r="HL3130" s="73"/>
      <c r="HM3130" s="73"/>
      <c r="HN3130" s="73"/>
      <c r="HO3130" s="73"/>
      <c r="HP3130" s="73"/>
      <c r="HQ3130" s="73"/>
      <c r="HR3130" s="73"/>
      <c r="HS3130" s="73"/>
      <c r="HT3130" s="73"/>
      <c r="HU3130" s="73"/>
      <c r="HV3130" s="73"/>
      <c r="HW3130" s="73"/>
      <c r="HX3130" s="73"/>
      <c r="HY3130" s="73"/>
      <c r="HZ3130" s="73"/>
      <c r="IA3130" s="73"/>
      <c r="IB3130" s="73"/>
      <c r="IC3130" s="73"/>
      <c r="ID3130" s="73"/>
      <c r="IE3130" s="73"/>
      <c r="IF3130" s="73"/>
      <c r="IG3130" s="73"/>
      <c r="IH3130" s="73"/>
      <c r="II3130" s="73"/>
      <c r="IJ3130" s="73"/>
      <c r="IK3130" s="73"/>
      <c r="IL3130" s="73"/>
      <c r="IM3130" s="73"/>
      <c r="IN3130" s="73"/>
      <c r="IO3130" s="73"/>
      <c r="IP3130" s="73"/>
      <c r="IQ3130" s="73"/>
      <c r="IR3130" s="73"/>
      <c r="IS3130" s="73"/>
      <c r="IT3130" s="73"/>
      <c r="IU3130" s="73"/>
      <c r="IV3130" s="73"/>
      <c r="IW3130" s="73"/>
      <c r="IX3130" s="73"/>
      <c r="IY3130" s="73"/>
      <c r="IZ3130" s="73"/>
      <c r="JA3130" s="73"/>
      <c r="JB3130" s="73"/>
      <c r="JC3130" s="73"/>
    </row>
    <row r="3131" spans="2:263" s="72" customFormat="1">
      <c r="B3131" s="73"/>
      <c r="C3131" s="73"/>
      <c r="D3131" s="73"/>
      <c r="E3131" s="73"/>
      <c r="F3131" s="73"/>
      <c r="G3131" s="73"/>
      <c r="H3131" s="73"/>
      <c r="I3131" s="73"/>
      <c r="J3131" s="73"/>
      <c r="K3131" s="73"/>
      <c r="L3131" s="73"/>
      <c r="M3131" s="73"/>
      <c r="N3131" s="73"/>
      <c r="O3131" s="73"/>
      <c r="P3131" s="73"/>
      <c r="Q3131" s="73"/>
      <c r="R3131" s="73"/>
      <c r="S3131" s="73"/>
      <c r="T3131" s="73"/>
      <c r="U3131" s="73"/>
      <c r="V3131" s="73"/>
      <c r="W3131" s="73"/>
      <c r="GL3131" s="73"/>
      <c r="GM3131" s="73"/>
      <c r="GN3131" s="73"/>
      <c r="GO3131" s="73"/>
      <c r="GP3131" s="73"/>
      <c r="GQ3131" s="73"/>
      <c r="GR3131" s="73"/>
      <c r="GS3131" s="73"/>
      <c r="GT3131" s="73"/>
      <c r="GU3131" s="73"/>
      <c r="GV3131" s="73"/>
      <c r="GW3131" s="73"/>
      <c r="GX3131" s="73"/>
      <c r="GY3131" s="73"/>
      <c r="GZ3131" s="73"/>
      <c r="HA3131" s="73"/>
      <c r="HB3131" s="73"/>
      <c r="HC3131" s="73"/>
      <c r="HD3131" s="73"/>
      <c r="HE3131" s="73"/>
      <c r="HF3131" s="73"/>
      <c r="HG3131" s="73"/>
      <c r="HH3131" s="73"/>
      <c r="HI3131" s="73"/>
      <c r="HJ3131" s="73"/>
      <c r="HK3131" s="73"/>
      <c r="HL3131" s="73"/>
      <c r="HM3131" s="73"/>
      <c r="HN3131" s="73"/>
      <c r="HO3131" s="73"/>
      <c r="HP3131" s="73"/>
      <c r="HQ3131" s="73"/>
      <c r="HR3131" s="73"/>
      <c r="HS3131" s="73"/>
      <c r="HT3131" s="73"/>
      <c r="HU3131" s="73"/>
      <c r="HV3131" s="73"/>
      <c r="HW3131" s="73"/>
      <c r="HX3131" s="73"/>
      <c r="HY3131" s="73"/>
      <c r="HZ3131" s="73"/>
      <c r="IA3131" s="73"/>
      <c r="IB3131" s="73"/>
      <c r="IC3131" s="73"/>
      <c r="ID3131" s="73"/>
      <c r="IE3131" s="73"/>
      <c r="IF3131" s="73"/>
      <c r="IG3131" s="73"/>
      <c r="IH3131" s="73"/>
      <c r="II3131" s="73"/>
      <c r="IJ3131" s="73"/>
      <c r="IK3131" s="73"/>
      <c r="IL3131" s="73"/>
      <c r="IM3131" s="73"/>
      <c r="IN3131" s="73"/>
      <c r="IO3131" s="73"/>
      <c r="IP3131" s="73"/>
      <c r="IQ3131" s="73"/>
      <c r="IR3131" s="73"/>
      <c r="IS3131" s="73"/>
      <c r="IT3131" s="73"/>
      <c r="IU3131" s="73"/>
      <c r="IV3131" s="73"/>
      <c r="IW3131" s="73"/>
      <c r="IX3131" s="73"/>
      <c r="IY3131" s="73"/>
      <c r="IZ3131" s="73"/>
      <c r="JA3131" s="73"/>
      <c r="JB3131" s="73"/>
      <c r="JC3131" s="73"/>
    </row>
    <row r="3132" spans="2:263" s="72" customFormat="1">
      <c r="B3132" s="73"/>
      <c r="C3132" s="73"/>
      <c r="D3132" s="73"/>
      <c r="E3132" s="73"/>
      <c r="F3132" s="73"/>
      <c r="G3132" s="73"/>
      <c r="H3132" s="73"/>
      <c r="I3132" s="73"/>
      <c r="J3132" s="73"/>
      <c r="K3132" s="73"/>
      <c r="L3132" s="73"/>
      <c r="M3132" s="73"/>
      <c r="N3132" s="73"/>
      <c r="O3132" s="73"/>
      <c r="P3132" s="73"/>
      <c r="Q3132" s="73"/>
      <c r="R3132" s="73"/>
      <c r="S3132" s="73"/>
      <c r="T3132" s="73"/>
      <c r="U3132" s="73"/>
      <c r="V3132" s="73"/>
      <c r="W3132" s="73"/>
      <c r="GL3132" s="73"/>
      <c r="GM3132" s="73"/>
      <c r="GN3132" s="73"/>
      <c r="GO3132" s="73"/>
      <c r="GP3132" s="73"/>
      <c r="GQ3132" s="73"/>
      <c r="GR3132" s="73"/>
      <c r="GS3132" s="73"/>
      <c r="GT3132" s="73"/>
      <c r="GU3132" s="73"/>
      <c r="GV3132" s="73"/>
      <c r="GW3132" s="73"/>
      <c r="GX3132" s="73"/>
      <c r="GY3132" s="73"/>
      <c r="GZ3132" s="73"/>
      <c r="HA3132" s="73"/>
      <c r="HB3132" s="73"/>
      <c r="HC3132" s="73"/>
      <c r="HD3132" s="73"/>
      <c r="HE3132" s="73"/>
      <c r="HF3132" s="73"/>
      <c r="HG3132" s="73"/>
      <c r="HH3132" s="73"/>
      <c r="HI3132" s="73"/>
      <c r="HJ3132" s="73"/>
      <c r="HK3132" s="73"/>
      <c r="HL3132" s="73"/>
      <c r="HM3132" s="73"/>
      <c r="HN3132" s="73"/>
      <c r="HO3132" s="73"/>
      <c r="HP3132" s="73"/>
      <c r="HQ3132" s="73"/>
      <c r="HR3132" s="73"/>
      <c r="HS3132" s="73"/>
      <c r="HT3132" s="73"/>
      <c r="HU3132" s="73"/>
      <c r="HV3132" s="73"/>
      <c r="HW3132" s="73"/>
      <c r="HX3132" s="73"/>
      <c r="HY3132" s="73"/>
      <c r="HZ3132" s="73"/>
      <c r="IA3132" s="73"/>
      <c r="IB3132" s="73"/>
      <c r="IC3132" s="73"/>
      <c r="ID3132" s="73"/>
      <c r="IE3132" s="73"/>
      <c r="IF3132" s="73"/>
      <c r="IG3132" s="73"/>
      <c r="IH3132" s="73"/>
      <c r="II3132" s="73"/>
      <c r="IJ3132" s="73"/>
      <c r="IK3132" s="73"/>
      <c r="IL3132" s="73"/>
      <c r="IM3132" s="73"/>
      <c r="IN3132" s="73"/>
      <c r="IO3132" s="73"/>
      <c r="IP3132" s="73"/>
      <c r="IQ3132" s="73"/>
      <c r="IR3132" s="73"/>
      <c r="IS3132" s="73"/>
      <c r="IT3132" s="73"/>
      <c r="IU3132" s="73"/>
      <c r="IV3132" s="73"/>
      <c r="IW3132" s="73"/>
      <c r="IX3132" s="73"/>
      <c r="IY3132" s="73"/>
      <c r="IZ3132" s="73"/>
      <c r="JA3132" s="73"/>
      <c r="JB3132" s="73"/>
      <c r="JC3132" s="73"/>
    </row>
    <row r="3133" spans="2:263" s="72" customFormat="1">
      <c r="B3133" s="73"/>
      <c r="C3133" s="73"/>
      <c r="D3133" s="73"/>
      <c r="E3133" s="73"/>
      <c r="F3133" s="73"/>
      <c r="G3133" s="73"/>
      <c r="H3133" s="73"/>
      <c r="I3133" s="73"/>
      <c r="J3133" s="73"/>
      <c r="K3133" s="73"/>
      <c r="L3133" s="73"/>
      <c r="M3133" s="73"/>
      <c r="N3133" s="73"/>
      <c r="O3133" s="73"/>
      <c r="P3133" s="73"/>
      <c r="Q3133" s="73"/>
      <c r="R3133" s="73"/>
      <c r="S3133" s="73"/>
      <c r="T3133" s="73"/>
      <c r="U3133" s="73"/>
      <c r="V3133" s="73"/>
      <c r="W3133" s="73"/>
      <c r="GL3133" s="73"/>
      <c r="GM3133" s="73"/>
      <c r="GN3133" s="73"/>
      <c r="GO3133" s="73"/>
      <c r="GP3133" s="73"/>
      <c r="GQ3133" s="73"/>
      <c r="GR3133" s="73"/>
      <c r="GS3133" s="73"/>
      <c r="GT3133" s="73"/>
      <c r="GU3133" s="73"/>
      <c r="GV3133" s="73"/>
      <c r="GW3133" s="73"/>
      <c r="GX3133" s="73"/>
      <c r="GY3133" s="73"/>
      <c r="GZ3133" s="73"/>
      <c r="HA3133" s="73"/>
      <c r="HB3133" s="73"/>
      <c r="HC3133" s="73"/>
      <c r="HD3133" s="73"/>
      <c r="HE3133" s="73"/>
      <c r="HF3133" s="73"/>
      <c r="HG3133" s="73"/>
      <c r="HH3133" s="73"/>
      <c r="HI3133" s="73"/>
      <c r="HJ3133" s="73"/>
      <c r="HK3133" s="73"/>
      <c r="HL3133" s="73"/>
      <c r="HM3133" s="73"/>
      <c r="HN3133" s="73"/>
      <c r="HO3133" s="73"/>
      <c r="HP3133" s="73"/>
      <c r="HQ3133" s="73"/>
      <c r="HR3133" s="73"/>
      <c r="HS3133" s="73"/>
      <c r="HT3133" s="73"/>
      <c r="HU3133" s="73"/>
      <c r="HV3133" s="73"/>
      <c r="HW3133" s="73"/>
      <c r="HX3133" s="73"/>
      <c r="HY3133" s="73"/>
      <c r="HZ3133" s="73"/>
      <c r="IA3133" s="73"/>
      <c r="IB3133" s="73"/>
      <c r="IC3133" s="73"/>
      <c r="ID3133" s="73"/>
      <c r="IE3133" s="73"/>
      <c r="IF3133" s="73"/>
      <c r="IG3133" s="73"/>
      <c r="IH3133" s="73"/>
      <c r="II3133" s="73"/>
      <c r="IJ3133" s="73"/>
      <c r="IK3133" s="73"/>
      <c r="IL3133" s="73"/>
      <c r="IM3133" s="73"/>
      <c r="IN3133" s="73"/>
      <c r="IO3133" s="73"/>
      <c r="IP3133" s="73"/>
      <c r="IQ3133" s="73"/>
      <c r="IR3133" s="73"/>
      <c r="IS3133" s="73"/>
      <c r="IT3133" s="73"/>
      <c r="IU3133" s="73"/>
      <c r="IV3133" s="73"/>
      <c r="IW3133" s="73"/>
      <c r="IX3133" s="73"/>
      <c r="IY3133" s="73"/>
      <c r="IZ3133" s="73"/>
      <c r="JA3133" s="73"/>
      <c r="JB3133" s="73"/>
      <c r="JC3133" s="73"/>
    </row>
    <row r="3134" spans="2:263" s="72" customFormat="1">
      <c r="B3134" s="73"/>
      <c r="C3134" s="73"/>
      <c r="D3134" s="73"/>
      <c r="E3134" s="73"/>
      <c r="F3134" s="73"/>
      <c r="G3134" s="73"/>
      <c r="H3134" s="73"/>
      <c r="I3134" s="73"/>
      <c r="J3134" s="73"/>
      <c r="K3134" s="73"/>
      <c r="L3134" s="73"/>
      <c r="M3134" s="73"/>
      <c r="N3134" s="73"/>
      <c r="O3134" s="73"/>
      <c r="P3134" s="73"/>
      <c r="Q3134" s="73"/>
      <c r="R3134" s="73"/>
      <c r="S3134" s="73"/>
      <c r="T3134" s="73"/>
      <c r="U3134" s="73"/>
      <c r="V3134" s="73"/>
      <c r="W3134" s="73"/>
      <c r="GL3134" s="73"/>
      <c r="GM3134" s="73"/>
      <c r="GN3134" s="73"/>
      <c r="GO3134" s="73"/>
      <c r="GP3134" s="73"/>
      <c r="GQ3134" s="73"/>
      <c r="GR3134" s="73"/>
      <c r="GS3134" s="73"/>
      <c r="GT3134" s="73"/>
      <c r="GU3134" s="73"/>
      <c r="GV3134" s="73"/>
      <c r="GW3134" s="73"/>
      <c r="GX3134" s="73"/>
      <c r="GY3134" s="73"/>
      <c r="GZ3134" s="73"/>
      <c r="HA3134" s="73"/>
      <c r="HB3134" s="73"/>
      <c r="HC3134" s="73"/>
      <c r="HD3134" s="73"/>
      <c r="HE3134" s="73"/>
      <c r="HF3134" s="73"/>
      <c r="HG3134" s="73"/>
      <c r="HH3134" s="73"/>
      <c r="HI3134" s="73"/>
      <c r="HJ3134" s="73"/>
      <c r="HK3134" s="73"/>
      <c r="HL3134" s="73"/>
      <c r="HM3134" s="73"/>
      <c r="HN3134" s="73"/>
      <c r="HO3134" s="73"/>
      <c r="HP3134" s="73"/>
      <c r="HQ3134" s="73"/>
      <c r="HR3134" s="73"/>
      <c r="HS3134" s="73"/>
      <c r="HT3134" s="73"/>
      <c r="HU3134" s="73"/>
      <c r="HV3134" s="73"/>
      <c r="HW3134" s="73"/>
      <c r="HX3134" s="73"/>
      <c r="HY3134" s="73"/>
      <c r="HZ3134" s="73"/>
      <c r="IA3134" s="73"/>
      <c r="IB3134" s="73"/>
      <c r="IC3134" s="73"/>
      <c r="ID3134" s="73"/>
      <c r="IE3134" s="73"/>
      <c r="IF3134" s="73"/>
      <c r="IG3134" s="73"/>
      <c r="IH3134" s="73"/>
      <c r="II3134" s="73"/>
      <c r="IJ3134" s="73"/>
      <c r="IK3134" s="73"/>
      <c r="IL3134" s="73"/>
      <c r="IM3134" s="73"/>
      <c r="IN3134" s="73"/>
      <c r="IO3134" s="73"/>
      <c r="IP3134" s="73"/>
      <c r="IQ3134" s="73"/>
      <c r="IR3134" s="73"/>
      <c r="IS3134" s="73"/>
      <c r="IT3134" s="73"/>
      <c r="IU3134" s="73"/>
      <c r="IV3134" s="73"/>
      <c r="IW3134" s="73"/>
      <c r="IX3134" s="73"/>
      <c r="IY3134" s="73"/>
      <c r="IZ3134" s="73"/>
      <c r="JA3134" s="73"/>
      <c r="JB3134" s="73"/>
      <c r="JC3134" s="73"/>
    </row>
    <row r="3135" spans="2:263" s="72" customFormat="1">
      <c r="B3135" s="73"/>
      <c r="C3135" s="73"/>
      <c r="D3135" s="73"/>
      <c r="E3135" s="73"/>
      <c r="F3135" s="73"/>
      <c r="G3135" s="73"/>
      <c r="H3135" s="73"/>
      <c r="I3135" s="73"/>
      <c r="J3135" s="73"/>
      <c r="K3135" s="73"/>
      <c r="L3135" s="73"/>
      <c r="M3135" s="73"/>
      <c r="N3135" s="73"/>
      <c r="O3135" s="73"/>
      <c r="P3135" s="73"/>
      <c r="Q3135" s="73"/>
      <c r="R3135" s="73"/>
      <c r="S3135" s="73"/>
      <c r="T3135" s="73"/>
      <c r="U3135" s="73"/>
      <c r="V3135" s="73"/>
      <c r="W3135" s="73"/>
      <c r="GL3135" s="73"/>
      <c r="GM3135" s="73"/>
      <c r="GN3135" s="73"/>
      <c r="GO3135" s="73"/>
      <c r="GP3135" s="73"/>
      <c r="GQ3135" s="73"/>
      <c r="GR3135" s="73"/>
      <c r="GS3135" s="73"/>
      <c r="GT3135" s="73"/>
      <c r="GU3135" s="73"/>
      <c r="GV3135" s="73"/>
      <c r="GW3135" s="73"/>
      <c r="GX3135" s="73"/>
      <c r="GY3135" s="73"/>
      <c r="GZ3135" s="73"/>
      <c r="HA3135" s="73"/>
      <c r="HB3135" s="73"/>
      <c r="HC3135" s="73"/>
      <c r="HD3135" s="73"/>
      <c r="HE3135" s="73"/>
      <c r="HF3135" s="73"/>
      <c r="HG3135" s="73"/>
      <c r="HH3135" s="73"/>
      <c r="HI3135" s="73"/>
      <c r="HJ3135" s="73"/>
      <c r="HK3135" s="73"/>
      <c r="HL3135" s="73"/>
      <c r="HM3135" s="73"/>
      <c r="HN3135" s="73"/>
      <c r="HO3135" s="73"/>
      <c r="HP3135" s="73"/>
      <c r="HQ3135" s="73"/>
      <c r="HR3135" s="73"/>
      <c r="HS3135" s="73"/>
      <c r="HT3135" s="73"/>
      <c r="HU3135" s="73"/>
      <c r="HV3135" s="73"/>
      <c r="HW3135" s="73"/>
      <c r="HX3135" s="73"/>
      <c r="HY3135" s="73"/>
      <c r="HZ3135" s="73"/>
      <c r="IA3135" s="73"/>
      <c r="IB3135" s="73"/>
      <c r="IC3135" s="73"/>
      <c r="ID3135" s="73"/>
      <c r="IE3135" s="73"/>
      <c r="IF3135" s="73"/>
      <c r="IG3135" s="73"/>
      <c r="IH3135" s="73"/>
      <c r="II3135" s="73"/>
      <c r="IJ3135" s="73"/>
      <c r="IK3135" s="73"/>
      <c r="IL3135" s="73"/>
      <c r="IM3135" s="73"/>
      <c r="IN3135" s="73"/>
      <c r="IO3135" s="73"/>
      <c r="IP3135" s="73"/>
      <c r="IQ3135" s="73"/>
      <c r="IR3135" s="73"/>
      <c r="IS3135" s="73"/>
      <c r="IT3135" s="73"/>
      <c r="IU3135" s="73"/>
      <c r="IV3135" s="73"/>
      <c r="IW3135" s="73"/>
      <c r="IX3135" s="73"/>
      <c r="IY3135" s="73"/>
      <c r="IZ3135" s="73"/>
      <c r="JA3135" s="73"/>
      <c r="JB3135" s="73"/>
      <c r="JC3135" s="73"/>
    </row>
    <row r="3136" spans="2:263" s="72" customFormat="1">
      <c r="B3136" s="73"/>
      <c r="C3136" s="73"/>
      <c r="D3136" s="73"/>
      <c r="E3136" s="73"/>
      <c r="F3136" s="73"/>
      <c r="G3136" s="73"/>
      <c r="H3136" s="73"/>
      <c r="I3136" s="73"/>
      <c r="J3136" s="73"/>
      <c r="K3136" s="73"/>
      <c r="L3136" s="73"/>
      <c r="M3136" s="73"/>
      <c r="N3136" s="73"/>
      <c r="O3136" s="73"/>
      <c r="P3136" s="73"/>
      <c r="Q3136" s="73"/>
      <c r="R3136" s="73"/>
      <c r="S3136" s="73"/>
      <c r="T3136" s="73"/>
      <c r="U3136" s="73"/>
      <c r="V3136" s="73"/>
      <c r="W3136" s="73"/>
      <c r="GL3136" s="73"/>
      <c r="GM3136" s="73"/>
      <c r="GN3136" s="73"/>
      <c r="GO3136" s="73"/>
      <c r="GP3136" s="73"/>
      <c r="GQ3136" s="73"/>
      <c r="GR3136" s="73"/>
      <c r="GS3136" s="73"/>
      <c r="GT3136" s="73"/>
      <c r="GU3136" s="73"/>
      <c r="GV3136" s="73"/>
      <c r="GW3136" s="73"/>
      <c r="GX3136" s="73"/>
      <c r="GY3136" s="73"/>
      <c r="GZ3136" s="73"/>
      <c r="HA3136" s="73"/>
      <c r="HB3136" s="73"/>
      <c r="HC3136" s="73"/>
      <c r="HD3136" s="73"/>
      <c r="HE3136" s="73"/>
      <c r="HF3136" s="73"/>
      <c r="HG3136" s="73"/>
      <c r="HH3136" s="73"/>
      <c r="HI3136" s="73"/>
      <c r="HJ3136" s="73"/>
      <c r="HK3136" s="73"/>
      <c r="HL3136" s="73"/>
      <c r="HM3136" s="73"/>
      <c r="HN3136" s="73"/>
      <c r="HO3136" s="73"/>
      <c r="HP3136" s="73"/>
      <c r="HQ3136" s="73"/>
      <c r="HR3136" s="73"/>
      <c r="HS3136" s="73"/>
      <c r="HT3136" s="73"/>
      <c r="HU3136" s="73"/>
      <c r="HV3136" s="73"/>
      <c r="HW3136" s="73"/>
      <c r="HX3136" s="73"/>
      <c r="HY3136" s="73"/>
      <c r="HZ3136" s="73"/>
      <c r="IA3136" s="73"/>
      <c r="IB3136" s="73"/>
      <c r="IC3136" s="73"/>
      <c r="ID3136" s="73"/>
      <c r="IE3136" s="73"/>
      <c r="IF3136" s="73"/>
      <c r="IG3136" s="73"/>
      <c r="IH3136" s="73"/>
      <c r="II3136" s="73"/>
      <c r="IJ3136" s="73"/>
      <c r="IK3136" s="73"/>
      <c r="IL3136" s="73"/>
      <c r="IM3136" s="73"/>
      <c r="IN3136" s="73"/>
      <c r="IO3136" s="73"/>
      <c r="IP3136" s="73"/>
      <c r="IQ3136" s="73"/>
      <c r="IR3136" s="73"/>
      <c r="IS3136" s="73"/>
      <c r="IT3136" s="73"/>
      <c r="IU3136" s="73"/>
      <c r="IV3136" s="73"/>
      <c r="IW3136" s="73"/>
      <c r="IX3136" s="73"/>
      <c r="IY3136" s="73"/>
      <c r="IZ3136" s="73"/>
      <c r="JA3136" s="73"/>
      <c r="JB3136" s="73"/>
      <c r="JC3136" s="73"/>
    </row>
    <row r="3137" spans="2:263" s="72" customFormat="1">
      <c r="B3137" s="73"/>
      <c r="C3137" s="73"/>
      <c r="D3137" s="73"/>
      <c r="E3137" s="73"/>
      <c r="F3137" s="73"/>
      <c r="G3137" s="73"/>
      <c r="H3137" s="73"/>
      <c r="I3137" s="73"/>
      <c r="J3137" s="73"/>
      <c r="K3137" s="73"/>
      <c r="L3137" s="73"/>
      <c r="M3137" s="73"/>
      <c r="N3137" s="73"/>
      <c r="O3137" s="73"/>
      <c r="P3137" s="73"/>
      <c r="Q3137" s="73"/>
      <c r="R3137" s="73"/>
      <c r="S3137" s="73"/>
      <c r="T3137" s="73"/>
      <c r="U3137" s="73"/>
      <c r="V3137" s="73"/>
      <c r="W3137" s="73"/>
      <c r="GL3137" s="73"/>
      <c r="GM3137" s="73"/>
      <c r="GN3137" s="73"/>
      <c r="GO3137" s="73"/>
      <c r="GP3137" s="73"/>
      <c r="GQ3137" s="73"/>
      <c r="GR3137" s="73"/>
      <c r="GS3137" s="73"/>
      <c r="GT3137" s="73"/>
      <c r="GU3137" s="73"/>
      <c r="GV3137" s="73"/>
      <c r="GW3137" s="73"/>
      <c r="GX3137" s="73"/>
      <c r="GY3137" s="73"/>
      <c r="GZ3137" s="73"/>
      <c r="HA3137" s="73"/>
      <c r="HB3137" s="73"/>
      <c r="HC3137" s="73"/>
      <c r="HD3137" s="73"/>
      <c r="HE3137" s="73"/>
      <c r="HF3137" s="73"/>
      <c r="HG3137" s="73"/>
      <c r="HH3137" s="73"/>
      <c r="HI3137" s="73"/>
      <c r="HJ3137" s="73"/>
      <c r="HK3137" s="73"/>
      <c r="HL3137" s="73"/>
      <c r="HM3137" s="73"/>
      <c r="HN3137" s="73"/>
      <c r="HO3137" s="73"/>
      <c r="HP3137" s="73"/>
      <c r="HQ3137" s="73"/>
      <c r="HR3137" s="73"/>
      <c r="HS3137" s="73"/>
      <c r="HT3137" s="73"/>
      <c r="HU3137" s="73"/>
      <c r="HV3137" s="73"/>
      <c r="HW3137" s="73"/>
      <c r="HX3137" s="73"/>
      <c r="HY3137" s="73"/>
      <c r="HZ3137" s="73"/>
      <c r="IA3137" s="73"/>
      <c r="IB3137" s="73"/>
      <c r="IC3137" s="73"/>
      <c r="ID3137" s="73"/>
      <c r="IE3137" s="73"/>
      <c r="IF3137" s="73"/>
      <c r="IG3137" s="73"/>
      <c r="IH3137" s="73"/>
      <c r="II3137" s="73"/>
      <c r="IJ3137" s="73"/>
      <c r="IK3137" s="73"/>
      <c r="IL3137" s="73"/>
      <c r="IM3137" s="73"/>
      <c r="IN3137" s="73"/>
      <c r="IO3137" s="73"/>
      <c r="IP3137" s="73"/>
      <c r="IQ3137" s="73"/>
      <c r="IR3137" s="73"/>
      <c r="IS3137" s="73"/>
      <c r="IT3137" s="73"/>
      <c r="IU3137" s="73"/>
      <c r="IV3137" s="73"/>
      <c r="IW3137" s="73"/>
      <c r="IX3137" s="73"/>
      <c r="IY3137" s="73"/>
      <c r="IZ3137" s="73"/>
      <c r="JA3137" s="73"/>
      <c r="JB3137" s="73"/>
      <c r="JC3137" s="73"/>
    </row>
    <row r="3138" spans="2:263" s="72" customFormat="1">
      <c r="B3138" s="73"/>
      <c r="C3138" s="73"/>
      <c r="D3138" s="73"/>
      <c r="E3138" s="73"/>
      <c r="F3138" s="73"/>
      <c r="G3138" s="73"/>
      <c r="H3138" s="73"/>
      <c r="I3138" s="73"/>
      <c r="J3138" s="73"/>
      <c r="K3138" s="73"/>
      <c r="L3138" s="73"/>
      <c r="M3138" s="73"/>
      <c r="N3138" s="73"/>
      <c r="O3138" s="73"/>
      <c r="P3138" s="73"/>
      <c r="Q3138" s="73"/>
      <c r="R3138" s="73"/>
      <c r="S3138" s="73"/>
      <c r="T3138" s="73"/>
      <c r="U3138" s="73"/>
      <c r="V3138" s="73"/>
      <c r="W3138" s="73"/>
      <c r="GL3138" s="73"/>
      <c r="GM3138" s="73"/>
      <c r="GN3138" s="73"/>
      <c r="GO3138" s="73"/>
      <c r="GP3138" s="73"/>
      <c r="GQ3138" s="73"/>
      <c r="GR3138" s="73"/>
      <c r="GS3138" s="73"/>
      <c r="GT3138" s="73"/>
      <c r="GU3138" s="73"/>
      <c r="GV3138" s="73"/>
      <c r="GW3138" s="73"/>
      <c r="GX3138" s="73"/>
      <c r="GY3138" s="73"/>
      <c r="GZ3138" s="73"/>
      <c r="HA3138" s="73"/>
      <c r="HB3138" s="73"/>
      <c r="HC3138" s="73"/>
      <c r="HD3138" s="73"/>
      <c r="HE3138" s="73"/>
      <c r="HF3138" s="73"/>
      <c r="HG3138" s="73"/>
      <c r="HH3138" s="73"/>
      <c r="HI3138" s="73"/>
      <c r="HJ3138" s="73"/>
      <c r="HK3138" s="73"/>
      <c r="HL3138" s="73"/>
      <c r="HM3138" s="73"/>
      <c r="HN3138" s="73"/>
      <c r="HO3138" s="73"/>
      <c r="HP3138" s="73"/>
      <c r="HQ3138" s="73"/>
      <c r="HR3138" s="73"/>
      <c r="HS3138" s="73"/>
      <c r="HT3138" s="73"/>
      <c r="HU3138" s="73"/>
      <c r="HV3138" s="73"/>
      <c r="HW3138" s="73"/>
      <c r="HX3138" s="73"/>
      <c r="HY3138" s="73"/>
      <c r="HZ3138" s="73"/>
      <c r="IA3138" s="73"/>
      <c r="IB3138" s="73"/>
      <c r="IC3138" s="73"/>
      <c r="ID3138" s="73"/>
      <c r="IE3138" s="73"/>
      <c r="IF3138" s="73"/>
      <c r="IG3138" s="73"/>
      <c r="IH3138" s="73"/>
      <c r="II3138" s="73"/>
      <c r="IJ3138" s="73"/>
      <c r="IK3138" s="73"/>
      <c r="IL3138" s="73"/>
      <c r="IM3138" s="73"/>
      <c r="IN3138" s="73"/>
      <c r="IO3138" s="73"/>
      <c r="IP3138" s="73"/>
      <c r="IQ3138" s="73"/>
      <c r="IR3138" s="73"/>
      <c r="IS3138" s="73"/>
      <c r="IT3138" s="73"/>
      <c r="IU3138" s="73"/>
      <c r="IV3138" s="73"/>
      <c r="IW3138" s="73"/>
      <c r="IX3138" s="73"/>
      <c r="IY3138" s="73"/>
      <c r="IZ3138" s="73"/>
      <c r="JA3138" s="73"/>
      <c r="JB3138" s="73"/>
      <c r="JC3138" s="73"/>
    </row>
    <row r="3139" spans="2:263" s="72" customFormat="1">
      <c r="B3139" s="73"/>
      <c r="C3139" s="73"/>
      <c r="D3139" s="73"/>
      <c r="E3139" s="73"/>
      <c r="F3139" s="73"/>
      <c r="G3139" s="73"/>
      <c r="H3139" s="73"/>
      <c r="I3139" s="73"/>
      <c r="J3139" s="73"/>
      <c r="K3139" s="73"/>
      <c r="L3139" s="73"/>
      <c r="M3139" s="73"/>
      <c r="N3139" s="73"/>
      <c r="O3139" s="73"/>
      <c r="P3139" s="73"/>
      <c r="Q3139" s="73"/>
      <c r="R3139" s="73"/>
      <c r="S3139" s="73"/>
      <c r="T3139" s="73"/>
      <c r="U3139" s="73"/>
      <c r="V3139" s="73"/>
      <c r="W3139" s="73"/>
      <c r="GL3139" s="73"/>
      <c r="GM3139" s="73"/>
      <c r="GN3139" s="73"/>
      <c r="GO3139" s="73"/>
      <c r="GP3139" s="73"/>
      <c r="GQ3139" s="73"/>
      <c r="GR3139" s="73"/>
      <c r="GS3139" s="73"/>
      <c r="GT3139" s="73"/>
      <c r="GU3139" s="73"/>
      <c r="GV3139" s="73"/>
      <c r="GW3139" s="73"/>
      <c r="GX3139" s="73"/>
      <c r="GY3139" s="73"/>
      <c r="GZ3139" s="73"/>
      <c r="HA3139" s="73"/>
      <c r="HB3139" s="73"/>
      <c r="HC3139" s="73"/>
      <c r="HD3139" s="73"/>
      <c r="HE3139" s="73"/>
      <c r="HF3139" s="73"/>
      <c r="HG3139" s="73"/>
      <c r="HH3139" s="73"/>
      <c r="HI3139" s="73"/>
      <c r="HJ3139" s="73"/>
      <c r="HK3139" s="73"/>
      <c r="HL3139" s="73"/>
      <c r="HM3139" s="73"/>
      <c r="HN3139" s="73"/>
      <c r="HO3139" s="73"/>
      <c r="HP3139" s="73"/>
      <c r="HQ3139" s="73"/>
      <c r="HR3139" s="73"/>
      <c r="HS3139" s="73"/>
      <c r="HT3139" s="73"/>
      <c r="HU3139" s="73"/>
      <c r="HV3139" s="73"/>
      <c r="HW3139" s="73"/>
      <c r="HX3139" s="73"/>
      <c r="HY3139" s="73"/>
      <c r="HZ3139" s="73"/>
      <c r="IA3139" s="73"/>
      <c r="IB3139" s="73"/>
      <c r="IC3139" s="73"/>
      <c r="ID3139" s="73"/>
      <c r="IE3139" s="73"/>
      <c r="IF3139" s="73"/>
      <c r="IG3139" s="73"/>
      <c r="IH3139" s="73"/>
      <c r="II3139" s="73"/>
      <c r="IJ3139" s="73"/>
      <c r="IK3139" s="73"/>
      <c r="IL3139" s="73"/>
      <c r="IM3139" s="73"/>
      <c r="IN3139" s="73"/>
      <c r="IO3139" s="73"/>
      <c r="IP3139" s="73"/>
      <c r="IQ3139" s="73"/>
      <c r="IR3139" s="73"/>
      <c r="IS3139" s="73"/>
      <c r="IT3139" s="73"/>
      <c r="IU3139" s="73"/>
      <c r="IV3139" s="73"/>
      <c r="IW3139" s="73"/>
      <c r="IX3139" s="73"/>
      <c r="IY3139" s="73"/>
      <c r="IZ3139" s="73"/>
      <c r="JA3139" s="73"/>
      <c r="JB3139" s="73"/>
      <c r="JC3139" s="73"/>
    </row>
    <row r="3140" spans="2:263" s="72" customFormat="1">
      <c r="B3140" s="73"/>
      <c r="C3140" s="73"/>
      <c r="D3140" s="73"/>
      <c r="E3140" s="73"/>
      <c r="F3140" s="73"/>
      <c r="G3140" s="73"/>
      <c r="H3140" s="73"/>
      <c r="I3140" s="73"/>
      <c r="J3140" s="73"/>
      <c r="K3140" s="73"/>
      <c r="L3140" s="73"/>
      <c r="M3140" s="73"/>
      <c r="N3140" s="73"/>
      <c r="O3140" s="73"/>
      <c r="P3140" s="73"/>
      <c r="Q3140" s="73"/>
      <c r="R3140" s="73"/>
      <c r="S3140" s="73"/>
      <c r="T3140" s="73"/>
      <c r="U3140" s="73"/>
      <c r="V3140" s="73"/>
      <c r="W3140" s="73"/>
      <c r="GL3140" s="73"/>
      <c r="GM3140" s="73"/>
      <c r="GN3140" s="73"/>
      <c r="GO3140" s="73"/>
      <c r="GP3140" s="73"/>
      <c r="GQ3140" s="73"/>
      <c r="GR3140" s="73"/>
      <c r="GS3140" s="73"/>
      <c r="GT3140" s="73"/>
      <c r="GU3140" s="73"/>
      <c r="GV3140" s="73"/>
      <c r="GW3140" s="73"/>
      <c r="GX3140" s="73"/>
      <c r="GY3140" s="73"/>
      <c r="GZ3140" s="73"/>
      <c r="HA3140" s="73"/>
      <c r="HB3140" s="73"/>
      <c r="HC3140" s="73"/>
      <c r="HD3140" s="73"/>
      <c r="HE3140" s="73"/>
      <c r="HF3140" s="73"/>
      <c r="HG3140" s="73"/>
      <c r="HH3140" s="73"/>
      <c r="HI3140" s="73"/>
      <c r="HJ3140" s="73"/>
      <c r="HK3140" s="73"/>
      <c r="HL3140" s="73"/>
      <c r="HM3140" s="73"/>
      <c r="HN3140" s="73"/>
      <c r="HO3140" s="73"/>
      <c r="HP3140" s="73"/>
      <c r="HQ3140" s="73"/>
      <c r="HR3140" s="73"/>
      <c r="HS3140" s="73"/>
      <c r="HT3140" s="73"/>
      <c r="HU3140" s="73"/>
      <c r="HV3140" s="73"/>
      <c r="HW3140" s="73"/>
      <c r="HX3140" s="73"/>
      <c r="HY3140" s="73"/>
      <c r="HZ3140" s="73"/>
      <c r="IA3140" s="73"/>
      <c r="IB3140" s="73"/>
      <c r="IC3140" s="73"/>
      <c r="ID3140" s="73"/>
      <c r="IE3140" s="73"/>
      <c r="IF3140" s="73"/>
      <c r="IG3140" s="73"/>
      <c r="IH3140" s="73"/>
      <c r="II3140" s="73"/>
      <c r="IJ3140" s="73"/>
      <c r="IK3140" s="73"/>
      <c r="IL3140" s="73"/>
      <c r="IM3140" s="73"/>
      <c r="IN3140" s="73"/>
      <c r="IO3140" s="73"/>
      <c r="IP3140" s="73"/>
      <c r="IQ3140" s="73"/>
      <c r="IR3140" s="73"/>
      <c r="IS3140" s="73"/>
      <c r="IT3140" s="73"/>
      <c r="IU3140" s="73"/>
      <c r="IV3140" s="73"/>
      <c r="IW3140" s="73"/>
      <c r="IX3140" s="73"/>
      <c r="IY3140" s="73"/>
      <c r="IZ3140" s="73"/>
      <c r="JA3140" s="73"/>
      <c r="JB3140" s="73"/>
      <c r="JC3140" s="73"/>
    </row>
    <row r="3141" spans="2:263" s="72" customFormat="1">
      <c r="B3141" s="73"/>
      <c r="C3141" s="73"/>
      <c r="D3141" s="73"/>
      <c r="E3141" s="73"/>
      <c r="F3141" s="73"/>
      <c r="G3141" s="73"/>
      <c r="H3141" s="73"/>
      <c r="I3141" s="73"/>
      <c r="J3141" s="73"/>
      <c r="K3141" s="73"/>
      <c r="L3141" s="73"/>
      <c r="M3141" s="73"/>
      <c r="N3141" s="73"/>
      <c r="O3141" s="73"/>
      <c r="P3141" s="73"/>
      <c r="Q3141" s="73"/>
      <c r="R3141" s="73"/>
      <c r="S3141" s="73"/>
      <c r="T3141" s="73"/>
      <c r="U3141" s="73"/>
      <c r="V3141" s="73"/>
      <c r="W3141" s="73"/>
      <c r="GL3141" s="73"/>
      <c r="GM3141" s="73"/>
      <c r="GN3141" s="73"/>
      <c r="GO3141" s="73"/>
      <c r="GP3141" s="73"/>
      <c r="GQ3141" s="73"/>
      <c r="GR3141" s="73"/>
      <c r="GS3141" s="73"/>
      <c r="GT3141" s="73"/>
      <c r="GU3141" s="73"/>
      <c r="GV3141" s="73"/>
      <c r="GW3141" s="73"/>
      <c r="GX3141" s="73"/>
      <c r="GY3141" s="73"/>
      <c r="GZ3141" s="73"/>
      <c r="HA3141" s="73"/>
      <c r="HB3141" s="73"/>
      <c r="HC3141" s="73"/>
      <c r="HD3141" s="73"/>
      <c r="HE3141" s="73"/>
      <c r="HF3141" s="73"/>
      <c r="HG3141" s="73"/>
      <c r="HH3141" s="73"/>
      <c r="HI3141" s="73"/>
      <c r="HJ3141" s="73"/>
      <c r="HK3141" s="73"/>
      <c r="HL3141" s="73"/>
      <c r="HM3141" s="73"/>
      <c r="HN3141" s="73"/>
      <c r="HO3141" s="73"/>
      <c r="HP3141" s="73"/>
      <c r="HQ3141" s="73"/>
      <c r="HR3141" s="73"/>
      <c r="HS3141" s="73"/>
      <c r="HT3141" s="73"/>
      <c r="HU3141" s="73"/>
      <c r="HV3141" s="73"/>
      <c r="HW3141" s="73"/>
      <c r="HX3141" s="73"/>
      <c r="HY3141" s="73"/>
      <c r="HZ3141" s="73"/>
      <c r="IA3141" s="73"/>
      <c r="IB3141" s="73"/>
      <c r="IC3141" s="73"/>
      <c r="ID3141" s="73"/>
      <c r="IE3141" s="73"/>
      <c r="IF3141" s="73"/>
      <c r="IG3141" s="73"/>
      <c r="IH3141" s="73"/>
      <c r="II3141" s="73"/>
      <c r="IJ3141" s="73"/>
      <c r="IK3141" s="73"/>
      <c r="IL3141" s="73"/>
      <c r="IM3141" s="73"/>
      <c r="IN3141" s="73"/>
      <c r="IO3141" s="73"/>
      <c r="IP3141" s="73"/>
      <c r="IQ3141" s="73"/>
      <c r="IR3141" s="73"/>
      <c r="IS3141" s="73"/>
      <c r="IT3141" s="73"/>
      <c r="IU3141" s="73"/>
      <c r="IV3141" s="73"/>
      <c r="IW3141" s="73"/>
      <c r="IX3141" s="73"/>
      <c r="IY3141" s="73"/>
      <c r="IZ3141" s="73"/>
      <c r="JA3141" s="73"/>
      <c r="JB3141" s="73"/>
      <c r="JC3141" s="73"/>
    </row>
    <row r="3142" spans="2:263" s="72" customFormat="1">
      <c r="B3142" s="73"/>
      <c r="C3142" s="73"/>
      <c r="D3142" s="73"/>
      <c r="E3142" s="73"/>
      <c r="F3142" s="73"/>
      <c r="G3142" s="73"/>
      <c r="H3142" s="73"/>
      <c r="I3142" s="73"/>
      <c r="J3142" s="73"/>
      <c r="K3142" s="73"/>
      <c r="L3142" s="73"/>
      <c r="M3142" s="73"/>
      <c r="N3142" s="73"/>
      <c r="O3142" s="73"/>
      <c r="P3142" s="73"/>
      <c r="Q3142" s="73"/>
      <c r="R3142" s="73"/>
      <c r="S3142" s="73"/>
      <c r="T3142" s="73"/>
      <c r="U3142" s="73"/>
      <c r="V3142" s="73"/>
      <c r="W3142" s="73"/>
      <c r="GL3142" s="73"/>
      <c r="GM3142" s="73"/>
      <c r="GN3142" s="73"/>
      <c r="GO3142" s="73"/>
      <c r="GP3142" s="73"/>
      <c r="GQ3142" s="73"/>
      <c r="GR3142" s="73"/>
      <c r="GS3142" s="73"/>
      <c r="GT3142" s="73"/>
      <c r="GU3142" s="73"/>
      <c r="GV3142" s="73"/>
      <c r="GW3142" s="73"/>
      <c r="GX3142" s="73"/>
      <c r="GY3142" s="73"/>
      <c r="GZ3142" s="73"/>
      <c r="HA3142" s="73"/>
      <c r="HB3142" s="73"/>
      <c r="HC3142" s="73"/>
      <c r="HD3142" s="73"/>
      <c r="HE3142" s="73"/>
      <c r="HF3142" s="73"/>
      <c r="HG3142" s="73"/>
      <c r="HH3142" s="73"/>
      <c r="HI3142" s="73"/>
      <c r="HJ3142" s="73"/>
      <c r="HK3142" s="73"/>
      <c r="HL3142" s="73"/>
      <c r="HM3142" s="73"/>
      <c r="HN3142" s="73"/>
      <c r="HO3142" s="73"/>
      <c r="HP3142" s="73"/>
      <c r="HQ3142" s="73"/>
      <c r="HR3142" s="73"/>
      <c r="HS3142" s="73"/>
      <c r="HT3142" s="73"/>
      <c r="HU3142" s="73"/>
      <c r="HV3142" s="73"/>
      <c r="HW3142" s="73"/>
      <c r="HX3142" s="73"/>
      <c r="HY3142" s="73"/>
      <c r="HZ3142" s="73"/>
      <c r="IA3142" s="73"/>
      <c r="IB3142" s="73"/>
      <c r="IC3142" s="73"/>
      <c r="ID3142" s="73"/>
      <c r="IE3142" s="73"/>
      <c r="IF3142" s="73"/>
      <c r="IG3142" s="73"/>
      <c r="IH3142" s="73"/>
      <c r="II3142" s="73"/>
      <c r="IJ3142" s="73"/>
      <c r="IK3142" s="73"/>
      <c r="IL3142" s="73"/>
      <c r="IM3142" s="73"/>
      <c r="IN3142" s="73"/>
      <c r="IO3142" s="73"/>
      <c r="IP3142" s="73"/>
      <c r="IQ3142" s="73"/>
      <c r="IR3142" s="73"/>
      <c r="IS3142" s="73"/>
      <c r="IT3142" s="73"/>
      <c r="IU3142" s="73"/>
      <c r="IV3142" s="73"/>
      <c r="IW3142" s="73"/>
      <c r="IX3142" s="73"/>
      <c r="IY3142" s="73"/>
      <c r="IZ3142" s="73"/>
      <c r="JA3142" s="73"/>
      <c r="JB3142" s="73"/>
      <c r="JC3142" s="73"/>
    </row>
    <row r="3143" spans="2:263" s="72" customFormat="1">
      <c r="B3143" s="73"/>
      <c r="C3143" s="73"/>
      <c r="D3143" s="73"/>
      <c r="E3143" s="73"/>
      <c r="F3143" s="73"/>
      <c r="G3143" s="73"/>
      <c r="H3143" s="73"/>
      <c r="I3143" s="73"/>
      <c r="J3143" s="73"/>
      <c r="K3143" s="73"/>
      <c r="L3143" s="73"/>
      <c r="M3143" s="73"/>
      <c r="N3143" s="73"/>
      <c r="O3143" s="73"/>
      <c r="P3143" s="73"/>
      <c r="Q3143" s="73"/>
      <c r="R3143" s="73"/>
      <c r="S3143" s="73"/>
      <c r="T3143" s="73"/>
      <c r="U3143" s="73"/>
      <c r="V3143" s="73"/>
      <c r="W3143" s="73"/>
      <c r="GL3143" s="73"/>
      <c r="GM3143" s="73"/>
      <c r="GN3143" s="73"/>
      <c r="GO3143" s="73"/>
      <c r="GP3143" s="73"/>
      <c r="GQ3143" s="73"/>
      <c r="GR3143" s="73"/>
      <c r="GS3143" s="73"/>
      <c r="GT3143" s="73"/>
      <c r="GU3143" s="73"/>
      <c r="GV3143" s="73"/>
      <c r="GW3143" s="73"/>
      <c r="GX3143" s="73"/>
      <c r="GY3143" s="73"/>
      <c r="GZ3143" s="73"/>
      <c r="HA3143" s="73"/>
      <c r="HB3143" s="73"/>
      <c r="HC3143" s="73"/>
      <c r="HD3143" s="73"/>
      <c r="HE3143" s="73"/>
      <c r="HF3143" s="73"/>
      <c r="HG3143" s="73"/>
      <c r="HH3143" s="73"/>
      <c r="HI3143" s="73"/>
      <c r="HJ3143" s="73"/>
      <c r="HK3143" s="73"/>
      <c r="HL3143" s="73"/>
      <c r="HM3143" s="73"/>
      <c r="HN3143" s="73"/>
      <c r="HO3143" s="73"/>
      <c r="HP3143" s="73"/>
      <c r="HQ3143" s="73"/>
      <c r="HR3143" s="73"/>
      <c r="HS3143" s="73"/>
      <c r="HT3143" s="73"/>
      <c r="HU3143" s="73"/>
      <c r="HV3143" s="73"/>
      <c r="HW3143" s="73"/>
      <c r="HX3143" s="73"/>
      <c r="HY3143" s="73"/>
      <c r="HZ3143" s="73"/>
      <c r="IA3143" s="73"/>
      <c r="IB3143" s="73"/>
      <c r="IC3143" s="73"/>
      <c r="ID3143" s="73"/>
      <c r="IE3143" s="73"/>
      <c r="IF3143" s="73"/>
      <c r="IG3143" s="73"/>
      <c r="IH3143" s="73"/>
      <c r="II3143" s="73"/>
      <c r="IJ3143" s="73"/>
      <c r="IK3143" s="73"/>
      <c r="IL3143" s="73"/>
      <c r="IM3143" s="73"/>
      <c r="IN3143" s="73"/>
      <c r="IO3143" s="73"/>
      <c r="IP3143" s="73"/>
      <c r="IQ3143" s="73"/>
      <c r="IR3143" s="73"/>
      <c r="IS3143" s="73"/>
      <c r="IT3143" s="73"/>
      <c r="IU3143" s="73"/>
      <c r="IV3143" s="73"/>
      <c r="IW3143" s="73"/>
      <c r="IX3143" s="73"/>
      <c r="IY3143" s="73"/>
      <c r="IZ3143" s="73"/>
      <c r="JA3143" s="73"/>
      <c r="JB3143" s="73"/>
      <c r="JC3143" s="73"/>
    </row>
    <row r="3144" spans="2:263" s="72" customFormat="1">
      <c r="B3144" s="73"/>
      <c r="C3144" s="73"/>
      <c r="D3144" s="73"/>
      <c r="E3144" s="73"/>
      <c r="F3144" s="73"/>
      <c r="G3144" s="73"/>
      <c r="H3144" s="73"/>
      <c r="I3144" s="73"/>
      <c r="J3144" s="73"/>
      <c r="K3144" s="73"/>
      <c r="L3144" s="73"/>
      <c r="M3144" s="73"/>
      <c r="N3144" s="73"/>
      <c r="O3144" s="73"/>
      <c r="P3144" s="73"/>
      <c r="Q3144" s="73"/>
      <c r="R3144" s="73"/>
      <c r="S3144" s="73"/>
      <c r="T3144" s="73"/>
      <c r="U3144" s="73"/>
      <c r="V3144" s="73"/>
      <c r="W3144" s="73"/>
      <c r="GL3144" s="73"/>
      <c r="GM3144" s="73"/>
      <c r="GN3144" s="73"/>
      <c r="GO3144" s="73"/>
      <c r="GP3144" s="73"/>
      <c r="GQ3144" s="73"/>
      <c r="GR3144" s="73"/>
      <c r="GS3144" s="73"/>
      <c r="GT3144" s="73"/>
      <c r="GU3144" s="73"/>
      <c r="GV3144" s="73"/>
      <c r="GW3144" s="73"/>
      <c r="GX3144" s="73"/>
      <c r="GY3144" s="73"/>
      <c r="GZ3144" s="73"/>
      <c r="HA3144" s="73"/>
      <c r="HB3144" s="73"/>
      <c r="HC3144" s="73"/>
      <c r="HD3144" s="73"/>
      <c r="HE3144" s="73"/>
      <c r="HF3144" s="73"/>
      <c r="HG3144" s="73"/>
      <c r="HH3144" s="73"/>
      <c r="HI3144" s="73"/>
      <c r="HJ3144" s="73"/>
      <c r="HK3144" s="73"/>
      <c r="HL3144" s="73"/>
      <c r="HM3144" s="73"/>
      <c r="HN3144" s="73"/>
      <c r="HO3144" s="73"/>
      <c r="HP3144" s="73"/>
      <c r="HQ3144" s="73"/>
      <c r="HR3144" s="73"/>
      <c r="HS3144" s="73"/>
      <c r="HT3144" s="73"/>
      <c r="HU3144" s="73"/>
      <c r="HV3144" s="73"/>
      <c r="HW3144" s="73"/>
      <c r="HX3144" s="73"/>
      <c r="HY3144" s="73"/>
      <c r="HZ3144" s="73"/>
      <c r="IA3144" s="73"/>
      <c r="IB3144" s="73"/>
      <c r="IC3144" s="73"/>
      <c r="ID3144" s="73"/>
      <c r="IE3144" s="73"/>
      <c r="IF3144" s="73"/>
      <c r="IG3144" s="73"/>
      <c r="IH3144" s="73"/>
      <c r="II3144" s="73"/>
      <c r="IJ3144" s="73"/>
      <c r="IK3144" s="73"/>
      <c r="IL3144" s="73"/>
      <c r="IM3144" s="73"/>
      <c r="IN3144" s="73"/>
      <c r="IO3144" s="73"/>
      <c r="IP3144" s="73"/>
      <c r="IQ3144" s="73"/>
      <c r="IR3144" s="73"/>
      <c r="IS3144" s="73"/>
      <c r="IT3144" s="73"/>
      <c r="IU3144" s="73"/>
      <c r="IV3144" s="73"/>
      <c r="IW3144" s="73"/>
      <c r="IX3144" s="73"/>
      <c r="IY3144" s="73"/>
      <c r="IZ3144" s="73"/>
      <c r="JA3144" s="73"/>
      <c r="JB3144" s="73"/>
      <c r="JC3144" s="73"/>
    </row>
    <row r="3145" spans="2:263" s="72" customFormat="1">
      <c r="B3145" s="73"/>
      <c r="C3145" s="73"/>
      <c r="D3145" s="73"/>
      <c r="E3145" s="73"/>
      <c r="F3145" s="73"/>
      <c r="G3145" s="73"/>
      <c r="H3145" s="73"/>
      <c r="I3145" s="73"/>
      <c r="J3145" s="73"/>
      <c r="K3145" s="73"/>
      <c r="L3145" s="73"/>
      <c r="M3145" s="73"/>
      <c r="N3145" s="73"/>
      <c r="O3145" s="73"/>
      <c r="P3145" s="73"/>
      <c r="Q3145" s="73"/>
      <c r="R3145" s="73"/>
      <c r="S3145" s="73"/>
      <c r="T3145" s="73"/>
      <c r="U3145" s="73"/>
      <c r="V3145" s="73"/>
      <c r="W3145" s="73"/>
      <c r="GL3145" s="73"/>
      <c r="GM3145" s="73"/>
      <c r="GN3145" s="73"/>
      <c r="GO3145" s="73"/>
      <c r="GP3145" s="73"/>
      <c r="GQ3145" s="73"/>
      <c r="GR3145" s="73"/>
      <c r="GS3145" s="73"/>
      <c r="GT3145" s="73"/>
      <c r="GU3145" s="73"/>
      <c r="GV3145" s="73"/>
      <c r="GW3145" s="73"/>
      <c r="GX3145" s="73"/>
      <c r="GY3145" s="73"/>
      <c r="GZ3145" s="73"/>
      <c r="HA3145" s="73"/>
      <c r="HB3145" s="73"/>
      <c r="HC3145" s="73"/>
      <c r="HD3145" s="73"/>
      <c r="HE3145" s="73"/>
      <c r="HF3145" s="73"/>
      <c r="HG3145" s="73"/>
      <c r="HH3145" s="73"/>
      <c r="HI3145" s="73"/>
      <c r="HJ3145" s="73"/>
      <c r="HK3145" s="73"/>
      <c r="HL3145" s="73"/>
      <c r="HM3145" s="73"/>
      <c r="HN3145" s="73"/>
      <c r="HO3145" s="73"/>
      <c r="HP3145" s="73"/>
      <c r="HQ3145" s="73"/>
      <c r="HR3145" s="73"/>
      <c r="HS3145" s="73"/>
      <c r="HT3145" s="73"/>
      <c r="HU3145" s="73"/>
      <c r="HV3145" s="73"/>
      <c r="HW3145" s="73"/>
      <c r="HX3145" s="73"/>
      <c r="HY3145" s="73"/>
      <c r="HZ3145" s="73"/>
      <c r="IA3145" s="73"/>
      <c r="IB3145" s="73"/>
      <c r="IC3145" s="73"/>
      <c r="ID3145" s="73"/>
      <c r="IE3145" s="73"/>
      <c r="IF3145" s="73"/>
      <c r="IG3145" s="73"/>
      <c r="IH3145" s="73"/>
      <c r="II3145" s="73"/>
      <c r="IJ3145" s="73"/>
      <c r="IK3145" s="73"/>
      <c r="IL3145" s="73"/>
      <c r="IM3145" s="73"/>
      <c r="IN3145" s="73"/>
      <c r="IO3145" s="73"/>
      <c r="IP3145" s="73"/>
      <c r="IQ3145" s="73"/>
      <c r="IR3145" s="73"/>
      <c r="IS3145" s="73"/>
      <c r="IT3145" s="73"/>
      <c r="IU3145" s="73"/>
      <c r="IV3145" s="73"/>
      <c r="IW3145" s="73"/>
      <c r="IX3145" s="73"/>
      <c r="IY3145" s="73"/>
      <c r="IZ3145" s="73"/>
      <c r="JA3145" s="73"/>
      <c r="JB3145" s="73"/>
      <c r="JC3145" s="73"/>
    </row>
    <row r="3146" spans="2:263" s="72" customFormat="1">
      <c r="B3146" s="73"/>
      <c r="C3146" s="73"/>
      <c r="D3146" s="73"/>
      <c r="E3146" s="73"/>
      <c r="F3146" s="73"/>
      <c r="G3146" s="73"/>
      <c r="H3146" s="73"/>
      <c r="I3146" s="73"/>
      <c r="J3146" s="73"/>
      <c r="K3146" s="73"/>
      <c r="L3146" s="73"/>
      <c r="M3146" s="73"/>
      <c r="N3146" s="73"/>
      <c r="O3146" s="73"/>
      <c r="P3146" s="73"/>
      <c r="Q3146" s="73"/>
      <c r="R3146" s="73"/>
      <c r="S3146" s="73"/>
      <c r="T3146" s="73"/>
      <c r="U3146" s="73"/>
      <c r="V3146" s="73"/>
      <c r="W3146" s="73"/>
      <c r="GL3146" s="73"/>
      <c r="GM3146" s="73"/>
      <c r="GN3146" s="73"/>
      <c r="GO3146" s="73"/>
      <c r="GP3146" s="73"/>
      <c r="GQ3146" s="73"/>
      <c r="GR3146" s="73"/>
      <c r="GS3146" s="73"/>
      <c r="GT3146" s="73"/>
      <c r="GU3146" s="73"/>
      <c r="GV3146" s="73"/>
      <c r="GW3146" s="73"/>
      <c r="GX3146" s="73"/>
      <c r="GY3146" s="73"/>
      <c r="GZ3146" s="73"/>
      <c r="HA3146" s="73"/>
      <c r="HB3146" s="73"/>
      <c r="HC3146" s="73"/>
      <c r="HD3146" s="73"/>
      <c r="HE3146" s="73"/>
      <c r="HF3146" s="73"/>
      <c r="HG3146" s="73"/>
      <c r="HH3146" s="73"/>
      <c r="HI3146" s="73"/>
      <c r="HJ3146" s="73"/>
      <c r="HK3146" s="73"/>
      <c r="HL3146" s="73"/>
      <c r="HM3146" s="73"/>
      <c r="HN3146" s="73"/>
      <c r="HO3146" s="73"/>
      <c r="HP3146" s="73"/>
      <c r="HQ3146" s="73"/>
      <c r="HR3146" s="73"/>
      <c r="HS3146" s="73"/>
      <c r="HT3146" s="73"/>
      <c r="HU3146" s="73"/>
      <c r="HV3146" s="73"/>
      <c r="HW3146" s="73"/>
      <c r="HX3146" s="73"/>
      <c r="HY3146" s="73"/>
      <c r="HZ3146" s="73"/>
      <c r="IA3146" s="73"/>
      <c r="IB3146" s="73"/>
      <c r="IC3146" s="73"/>
      <c r="ID3146" s="73"/>
      <c r="IE3146" s="73"/>
      <c r="IF3146" s="73"/>
      <c r="IG3146" s="73"/>
      <c r="IH3146" s="73"/>
      <c r="II3146" s="73"/>
      <c r="IJ3146" s="73"/>
      <c r="IK3146" s="73"/>
      <c r="IL3146" s="73"/>
      <c r="IM3146" s="73"/>
      <c r="IN3146" s="73"/>
      <c r="IO3146" s="73"/>
      <c r="IP3146" s="73"/>
      <c r="IQ3146" s="73"/>
      <c r="IR3146" s="73"/>
      <c r="IS3146" s="73"/>
      <c r="IT3146" s="73"/>
      <c r="IU3146" s="73"/>
      <c r="IV3146" s="73"/>
      <c r="IW3146" s="73"/>
      <c r="IX3146" s="73"/>
      <c r="IY3146" s="73"/>
      <c r="IZ3146" s="73"/>
      <c r="JA3146" s="73"/>
      <c r="JB3146" s="73"/>
      <c r="JC3146" s="73"/>
    </row>
    <row r="3147" spans="2:263" s="72" customFormat="1">
      <c r="B3147" s="73"/>
      <c r="C3147" s="73"/>
      <c r="D3147" s="73"/>
      <c r="E3147" s="73"/>
      <c r="F3147" s="73"/>
      <c r="G3147" s="73"/>
      <c r="H3147" s="73"/>
      <c r="I3147" s="73"/>
      <c r="J3147" s="73"/>
      <c r="K3147" s="73"/>
      <c r="L3147" s="73"/>
      <c r="M3147" s="73"/>
      <c r="N3147" s="73"/>
      <c r="O3147" s="73"/>
      <c r="P3147" s="73"/>
      <c r="Q3147" s="73"/>
      <c r="R3147" s="73"/>
      <c r="S3147" s="73"/>
      <c r="T3147" s="73"/>
      <c r="U3147" s="73"/>
      <c r="V3147" s="73"/>
      <c r="W3147" s="73"/>
      <c r="GL3147" s="73"/>
      <c r="GM3147" s="73"/>
      <c r="GN3147" s="73"/>
      <c r="GO3147" s="73"/>
      <c r="GP3147" s="73"/>
      <c r="GQ3147" s="73"/>
      <c r="GR3147" s="73"/>
      <c r="GS3147" s="73"/>
      <c r="GT3147" s="73"/>
      <c r="GU3147" s="73"/>
      <c r="GV3147" s="73"/>
      <c r="GW3147" s="73"/>
      <c r="GX3147" s="73"/>
      <c r="GY3147" s="73"/>
      <c r="GZ3147" s="73"/>
      <c r="HA3147" s="73"/>
      <c r="HB3147" s="73"/>
      <c r="HC3147" s="73"/>
      <c r="HD3147" s="73"/>
      <c r="HE3147" s="73"/>
      <c r="HF3147" s="73"/>
      <c r="HG3147" s="73"/>
      <c r="HH3147" s="73"/>
      <c r="HI3147" s="73"/>
      <c r="HJ3147" s="73"/>
      <c r="HK3147" s="73"/>
      <c r="HL3147" s="73"/>
      <c r="HM3147" s="73"/>
      <c r="HN3147" s="73"/>
      <c r="HO3147" s="73"/>
      <c r="HP3147" s="73"/>
      <c r="HQ3147" s="73"/>
      <c r="HR3147" s="73"/>
      <c r="HS3147" s="73"/>
      <c r="HT3147" s="73"/>
      <c r="HU3147" s="73"/>
      <c r="HV3147" s="73"/>
      <c r="HW3147" s="73"/>
      <c r="HX3147" s="73"/>
      <c r="HY3147" s="73"/>
      <c r="HZ3147" s="73"/>
      <c r="IA3147" s="73"/>
      <c r="IB3147" s="73"/>
      <c r="IC3147" s="73"/>
      <c r="ID3147" s="73"/>
      <c r="IE3147" s="73"/>
      <c r="IF3147" s="73"/>
      <c r="IG3147" s="73"/>
      <c r="IH3147" s="73"/>
      <c r="II3147" s="73"/>
      <c r="IJ3147" s="73"/>
      <c r="IK3147" s="73"/>
      <c r="IL3147" s="73"/>
      <c r="IM3147" s="73"/>
      <c r="IN3147" s="73"/>
      <c r="IO3147" s="73"/>
      <c r="IP3147" s="73"/>
      <c r="IQ3147" s="73"/>
      <c r="IR3147" s="73"/>
      <c r="IS3147" s="73"/>
      <c r="IT3147" s="73"/>
      <c r="IU3147" s="73"/>
      <c r="IV3147" s="73"/>
      <c r="IW3147" s="73"/>
      <c r="IX3147" s="73"/>
      <c r="IY3147" s="73"/>
      <c r="IZ3147" s="73"/>
      <c r="JA3147" s="73"/>
      <c r="JB3147" s="73"/>
      <c r="JC3147" s="73"/>
    </row>
    <row r="3148" spans="2:263" s="72" customFormat="1">
      <c r="B3148" s="73"/>
      <c r="C3148" s="73"/>
      <c r="D3148" s="73"/>
      <c r="E3148" s="73"/>
      <c r="F3148" s="73"/>
      <c r="G3148" s="73"/>
      <c r="H3148" s="73"/>
      <c r="I3148" s="73"/>
      <c r="J3148" s="73"/>
      <c r="K3148" s="73"/>
      <c r="L3148" s="73"/>
      <c r="M3148" s="73"/>
      <c r="N3148" s="73"/>
      <c r="O3148" s="73"/>
      <c r="P3148" s="73"/>
      <c r="Q3148" s="73"/>
      <c r="R3148" s="73"/>
      <c r="S3148" s="73"/>
      <c r="T3148" s="73"/>
      <c r="U3148" s="73"/>
      <c r="V3148" s="73"/>
      <c r="W3148" s="73"/>
      <c r="GL3148" s="73"/>
      <c r="GM3148" s="73"/>
      <c r="GN3148" s="73"/>
      <c r="GO3148" s="73"/>
      <c r="GP3148" s="73"/>
      <c r="GQ3148" s="73"/>
      <c r="GR3148" s="73"/>
      <c r="GS3148" s="73"/>
      <c r="GT3148" s="73"/>
      <c r="GU3148" s="73"/>
      <c r="GV3148" s="73"/>
      <c r="GW3148" s="73"/>
      <c r="GX3148" s="73"/>
      <c r="GY3148" s="73"/>
      <c r="GZ3148" s="73"/>
      <c r="HA3148" s="73"/>
      <c r="HB3148" s="73"/>
      <c r="HC3148" s="73"/>
      <c r="HD3148" s="73"/>
      <c r="HE3148" s="73"/>
      <c r="HF3148" s="73"/>
      <c r="HG3148" s="73"/>
      <c r="HH3148" s="73"/>
      <c r="HI3148" s="73"/>
      <c r="HJ3148" s="73"/>
      <c r="HK3148" s="73"/>
      <c r="HL3148" s="73"/>
      <c r="HM3148" s="73"/>
      <c r="HN3148" s="73"/>
      <c r="HO3148" s="73"/>
      <c r="HP3148" s="73"/>
      <c r="HQ3148" s="73"/>
      <c r="HR3148" s="73"/>
      <c r="HS3148" s="73"/>
      <c r="HT3148" s="73"/>
      <c r="HU3148" s="73"/>
      <c r="HV3148" s="73"/>
      <c r="HW3148" s="73"/>
      <c r="HX3148" s="73"/>
      <c r="HY3148" s="73"/>
      <c r="HZ3148" s="73"/>
      <c r="IA3148" s="73"/>
      <c r="IB3148" s="73"/>
      <c r="IC3148" s="73"/>
      <c r="ID3148" s="73"/>
      <c r="IE3148" s="73"/>
      <c r="IF3148" s="73"/>
      <c r="IG3148" s="73"/>
      <c r="IH3148" s="73"/>
      <c r="II3148" s="73"/>
      <c r="IJ3148" s="73"/>
      <c r="IK3148" s="73"/>
      <c r="IL3148" s="73"/>
      <c r="IM3148" s="73"/>
      <c r="IN3148" s="73"/>
      <c r="IO3148" s="73"/>
      <c r="IP3148" s="73"/>
      <c r="IQ3148" s="73"/>
      <c r="IR3148" s="73"/>
      <c r="IS3148" s="73"/>
      <c r="IT3148" s="73"/>
      <c r="IU3148" s="73"/>
      <c r="IV3148" s="73"/>
      <c r="IW3148" s="73"/>
      <c r="IX3148" s="73"/>
      <c r="IY3148" s="73"/>
      <c r="IZ3148" s="73"/>
      <c r="JA3148" s="73"/>
      <c r="JB3148" s="73"/>
      <c r="JC3148" s="73"/>
    </row>
    <row r="3149" spans="2:263" s="72" customFormat="1">
      <c r="B3149" s="73"/>
      <c r="C3149" s="73"/>
      <c r="D3149" s="73"/>
      <c r="E3149" s="73"/>
      <c r="F3149" s="73"/>
      <c r="G3149" s="73"/>
      <c r="H3149" s="73"/>
      <c r="I3149" s="73"/>
      <c r="J3149" s="73"/>
      <c r="K3149" s="73"/>
      <c r="L3149" s="73"/>
      <c r="M3149" s="73"/>
      <c r="N3149" s="73"/>
      <c r="O3149" s="73"/>
      <c r="P3149" s="73"/>
      <c r="Q3149" s="73"/>
      <c r="R3149" s="73"/>
      <c r="S3149" s="73"/>
      <c r="T3149" s="73"/>
      <c r="U3149" s="73"/>
      <c r="V3149" s="73"/>
      <c r="W3149" s="73"/>
      <c r="GL3149" s="73"/>
      <c r="GM3149" s="73"/>
      <c r="GN3149" s="73"/>
      <c r="GO3149" s="73"/>
      <c r="GP3149" s="73"/>
      <c r="GQ3149" s="73"/>
      <c r="GR3149" s="73"/>
      <c r="GS3149" s="73"/>
      <c r="GT3149" s="73"/>
      <c r="GU3149" s="73"/>
      <c r="GV3149" s="73"/>
      <c r="GW3149" s="73"/>
      <c r="GX3149" s="73"/>
      <c r="GY3149" s="73"/>
      <c r="GZ3149" s="73"/>
      <c r="HA3149" s="73"/>
      <c r="HB3149" s="73"/>
      <c r="HC3149" s="73"/>
      <c r="HD3149" s="73"/>
      <c r="HE3149" s="73"/>
      <c r="HF3149" s="73"/>
      <c r="HG3149" s="73"/>
      <c r="HH3149" s="73"/>
      <c r="HI3149" s="73"/>
      <c r="HJ3149" s="73"/>
      <c r="HK3149" s="73"/>
      <c r="HL3149" s="73"/>
      <c r="HM3149" s="73"/>
      <c r="HN3149" s="73"/>
      <c r="HO3149" s="73"/>
      <c r="HP3149" s="73"/>
      <c r="HQ3149" s="73"/>
      <c r="HR3149" s="73"/>
      <c r="HS3149" s="73"/>
      <c r="HT3149" s="73"/>
      <c r="HU3149" s="73"/>
      <c r="HV3149" s="73"/>
      <c r="HW3149" s="73"/>
      <c r="HX3149" s="73"/>
      <c r="HY3149" s="73"/>
      <c r="HZ3149" s="73"/>
      <c r="IA3149" s="73"/>
      <c r="IB3149" s="73"/>
      <c r="IC3149" s="73"/>
      <c r="ID3149" s="73"/>
      <c r="IE3149" s="73"/>
      <c r="IF3149" s="73"/>
      <c r="IG3149" s="73"/>
      <c r="IH3149" s="73"/>
      <c r="II3149" s="73"/>
      <c r="IJ3149" s="73"/>
      <c r="IK3149" s="73"/>
      <c r="IL3149" s="73"/>
      <c r="IM3149" s="73"/>
      <c r="IN3149" s="73"/>
      <c r="IO3149" s="73"/>
      <c r="IP3149" s="73"/>
      <c r="IQ3149" s="73"/>
      <c r="IR3149" s="73"/>
      <c r="IS3149" s="73"/>
      <c r="IT3149" s="73"/>
      <c r="IU3149" s="73"/>
      <c r="IV3149" s="73"/>
      <c r="IW3149" s="73"/>
      <c r="IX3149" s="73"/>
      <c r="IY3149" s="73"/>
      <c r="IZ3149" s="73"/>
      <c r="JA3149" s="73"/>
      <c r="JB3149" s="73"/>
      <c r="JC3149" s="73"/>
    </row>
    <row r="3150" spans="2:263" s="72" customFormat="1">
      <c r="B3150" s="73"/>
      <c r="C3150" s="73"/>
      <c r="D3150" s="73"/>
      <c r="E3150" s="73"/>
      <c r="F3150" s="73"/>
      <c r="G3150" s="73"/>
      <c r="H3150" s="73"/>
      <c r="I3150" s="73"/>
      <c r="J3150" s="73"/>
      <c r="K3150" s="73"/>
      <c r="L3150" s="73"/>
      <c r="M3150" s="73"/>
      <c r="N3150" s="73"/>
      <c r="O3150" s="73"/>
      <c r="P3150" s="73"/>
      <c r="Q3150" s="73"/>
      <c r="R3150" s="73"/>
      <c r="S3150" s="73"/>
      <c r="T3150" s="73"/>
      <c r="U3150" s="73"/>
      <c r="V3150" s="73"/>
      <c r="W3150" s="73"/>
      <c r="GL3150" s="73"/>
      <c r="GM3150" s="73"/>
      <c r="GN3150" s="73"/>
      <c r="GO3150" s="73"/>
      <c r="GP3150" s="73"/>
      <c r="GQ3150" s="73"/>
      <c r="GR3150" s="73"/>
      <c r="GS3150" s="73"/>
      <c r="GT3150" s="73"/>
      <c r="GU3150" s="73"/>
      <c r="GV3150" s="73"/>
      <c r="GW3150" s="73"/>
      <c r="GX3150" s="73"/>
      <c r="GY3150" s="73"/>
      <c r="GZ3150" s="73"/>
      <c r="HA3150" s="73"/>
      <c r="HB3150" s="73"/>
      <c r="HC3150" s="73"/>
      <c r="HD3150" s="73"/>
      <c r="HE3150" s="73"/>
      <c r="HF3150" s="73"/>
      <c r="HG3150" s="73"/>
      <c r="HH3150" s="73"/>
      <c r="HI3150" s="73"/>
      <c r="HJ3150" s="73"/>
      <c r="HK3150" s="73"/>
      <c r="HL3150" s="73"/>
      <c r="HM3150" s="73"/>
      <c r="HN3150" s="73"/>
      <c r="HO3150" s="73"/>
      <c r="HP3150" s="73"/>
      <c r="HQ3150" s="73"/>
      <c r="HR3150" s="73"/>
      <c r="HS3150" s="73"/>
      <c r="HT3150" s="73"/>
      <c r="HU3150" s="73"/>
      <c r="HV3150" s="73"/>
      <c r="HW3150" s="73"/>
      <c r="HX3150" s="73"/>
      <c r="HY3150" s="73"/>
      <c r="HZ3150" s="73"/>
      <c r="IA3150" s="73"/>
      <c r="IB3150" s="73"/>
      <c r="IC3150" s="73"/>
      <c r="ID3150" s="73"/>
      <c r="IE3150" s="73"/>
      <c r="IF3150" s="73"/>
      <c r="IG3150" s="73"/>
      <c r="IH3150" s="73"/>
      <c r="II3150" s="73"/>
      <c r="IJ3150" s="73"/>
      <c r="IK3150" s="73"/>
      <c r="IL3150" s="73"/>
      <c r="IM3150" s="73"/>
      <c r="IN3150" s="73"/>
      <c r="IO3150" s="73"/>
      <c r="IP3150" s="73"/>
      <c r="IQ3150" s="73"/>
      <c r="IR3150" s="73"/>
      <c r="IS3150" s="73"/>
      <c r="IT3150" s="73"/>
      <c r="IU3150" s="73"/>
      <c r="IV3150" s="73"/>
      <c r="IW3150" s="73"/>
      <c r="IX3150" s="73"/>
      <c r="IY3150" s="73"/>
      <c r="IZ3150" s="73"/>
      <c r="JA3150" s="73"/>
      <c r="JB3150" s="73"/>
      <c r="JC3150" s="73"/>
    </row>
    <row r="3151" spans="2:263" s="72" customFormat="1">
      <c r="B3151" s="73"/>
      <c r="C3151" s="73"/>
      <c r="D3151" s="73"/>
      <c r="E3151" s="73"/>
      <c r="F3151" s="73"/>
      <c r="G3151" s="73"/>
      <c r="H3151" s="73"/>
      <c r="I3151" s="73"/>
      <c r="J3151" s="73"/>
      <c r="K3151" s="73"/>
      <c r="L3151" s="73"/>
      <c r="M3151" s="73"/>
      <c r="N3151" s="73"/>
      <c r="O3151" s="73"/>
      <c r="P3151" s="73"/>
      <c r="Q3151" s="73"/>
      <c r="R3151" s="73"/>
      <c r="S3151" s="73"/>
      <c r="T3151" s="73"/>
      <c r="U3151" s="73"/>
      <c r="V3151" s="73"/>
      <c r="W3151" s="73"/>
      <c r="GL3151" s="73"/>
      <c r="GM3151" s="73"/>
      <c r="GN3151" s="73"/>
      <c r="GO3151" s="73"/>
      <c r="GP3151" s="73"/>
      <c r="GQ3151" s="73"/>
      <c r="GR3151" s="73"/>
      <c r="GS3151" s="73"/>
      <c r="GT3151" s="73"/>
      <c r="GU3151" s="73"/>
      <c r="GV3151" s="73"/>
      <c r="GW3151" s="73"/>
      <c r="GX3151" s="73"/>
      <c r="GY3151" s="73"/>
      <c r="GZ3151" s="73"/>
      <c r="HA3151" s="73"/>
      <c r="HB3151" s="73"/>
      <c r="HC3151" s="73"/>
      <c r="HD3151" s="73"/>
      <c r="HE3151" s="73"/>
      <c r="HF3151" s="73"/>
      <c r="HG3151" s="73"/>
      <c r="HH3151" s="73"/>
      <c r="HI3151" s="73"/>
      <c r="HJ3151" s="73"/>
      <c r="HK3151" s="73"/>
      <c r="HL3151" s="73"/>
      <c r="HM3151" s="73"/>
      <c r="HN3151" s="73"/>
      <c r="HO3151" s="73"/>
      <c r="HP3151" s="73"/>
      <c r="HQ3151" s="73"/>
      <c r="HR3151" s="73"/>
      <c r="HS3151" s="73"/>
      <c r="HT3151" s="73"/>
      <c r="HU3151" s="73"/>
      <c r="HV3151" s="73"/>
      <c r="HW3151" s="73"/>
      <c r="HX3151" s="73"/>
      <c r="HY3151" s="73"/>
      <c r="HZ3151" s="73"/>
      <c r="IA3151" s="73"/>
      <c r="IB3151" s="73"/>
      <c r="IC3151" s="73"/>
      <c r="ID3151" s="73"/>
      <c r="IE3151" s="73"/>
      <c r="IF3151" s="73"/>
      <c r="IG3151" s="73"/>
      <c r="IH3151" s="73"/>
      <c r="II3151" s="73"/>
      <c r="IJ3151" s="73"/>
      <c r="IK3151" s="73"/>
      <c r="IL3151" s="73"/>
      <c r="IM3151" s="73"/>
      <c r="IN3151" s="73"/>
      <c r="IO3151" s="73"/>
      <c r="IP3151" s="73"/>
      <c r="IQ3151" s="73"/>
      <c r="IR3151" s="73"/>
      <c r="IS3151" s="73"/>
      <c r="IT3151" s="73"/>
      <c r="IU3151" s="73"/>
      <c r="IV3151" s="73"/>
      <c r="IW3151" s="73"/>
      <c r="IX3151" s="73"/>
      <c r="IY3151" s="73"/>
      <c r="IZ3151" s="73"/>
      <c r="JA3151" s="73"/>
      <c r="JB3151" s="73"/>
      <c r="JC3151" s="73"/>
    </row>
    <row r="3152" spans="2:263" s="72" customFormat="1">
      <c r="B3152" s="73"/>
      <c r="C3152" s="73"/>
      <c r="D3152" s="73"/>
      <c r="E3152" s="73"/>
      <c r="F3152" s="73"/>
      <c r="G3152" s="73"/>
      <c r="H3152" s="73"/>
      <c r="I3152" s="73"/>
      <c r="J3152" s="73"/>
      <c r="K3152" s="73"/>
      <c r="L3152" s="73"/>
      <c r="M3152" s="73"/>
      <c r="N3152" s="73"/>
      <c r="O3152" s="73"/>
      <c r="P3152" s="73"/>
      <c r="Q3152" s="73"/>
      <c r="R3152" s="73"/>
      <c r="S3152" s="73"/>
      <c r="T3152" s="73"/>
      <c r="U3152" s="73"/>
      <c r="V3152" s="73"/>
      <c r="W3152" s="73"/>
      <c r="GL3152" s="73"/>
      <c r="GM3152" s="73"/>
      <c r="GN3152" s="73"/>
      <c r="GO3152" s="73"/>
      <c r="GP3152" s="73"/>
      <c r="GQ3152" s="73"/>
      <c r="GR3152" s="73"/>
      <c r="GS3152" s="73"/>
      <c r="GT3152" s="73"/>
      <c r="GU3152" s="73"/>
      <c r="GV3152" s="73"/>
      <c r="GW3152" s="73"/>
      <c r="GX3152" s="73"/>
      <c r="GY3152" s="73"/>
      <c r="GZ3152" s="73"/>
      <c r="HA3152" s="73"/>
      <c r="HB3152" s="73"/>
      <c r="HC3152" s="73"/>
      <c r="HD3152" s="73"/>
      <c r="HE3152" s="73"/>
      <c r="HF3152" s="73"/>
      <c r="HG3152" s="73"/>
      <c r="HH3152" s="73"/>
      <c r="HI3152" s="73"/>
      <c r="HJ3152" s="73"/>
      <c r="HK3152" s="73"/>
      <c r="HL3152" s="73"/>
      <c r="HM3152" s="73"/>
      <c r="HN3152" s="73"/>
      <c r="HO3152" s="73"/>
      <c r="HP3152" s="73"/>
      <c r="HQ3152" s="73"/>
      <c r="HR3152" s="73"/>
      <c r="HS3152" s="73"/>
      <c r="HT3152" s="73"/>
      <c r="HU3152" s="73"/>
      <c r="HV3152" s="73"/>
      <c r="HW3152" s="73"/>
      <c r="HX3152" s="73"/>
      <c r="HY3152" s="73"/>
      <c r="HZ3152" s="73"/>
      <c r="IA3152" s="73"/>
      <c r="IB3152" s="73"/>
      <c r="IC3152" s="73"/>
      <c r="ID3152" s="73"/>
      <c r="IE3152" s="73"/>
      <c r="IF3152" s="73"/>
      <c r="IG3152" s="73"/>
      <c r="IH3152" s="73"/>
      <c r="II3152" s="73"/>
      <c r="IJ3152" s="73"/>
      <c r="IK3152" s="73"/>
      <c r="IL3152" s="73"/>
      <c r="IM3152" s="73"/>
      <c r="IN3152" s="73"/>
      <c r="IO3152" s="73"/>
      <c r="IP3152" s="73"/>
      <c r="IQ3152" s="73"/>
      <c r="IR3152" s="73"/>
      <c r="IS3152" s="73"/>
      <c r="IT3152" s="73"/>
      <c r="IU3152" s="73"/>
      <c r="IV3152" s="73"/>
      <c r="IW3152" s="73"/>
      <c r="IX3152" s="73"/>
      <c r="IY3152" s="73"/>
      <c r="IZ3152" s="73"/>
      <c r="JA3152" s="73"/>
      <c r="JB3152" s="73"/>
      <c r="JC3152" s="73"/>
    </row>
    <row r="3153" spans="2:263" s="72" customFormat="1">
      <c r="B3153" s="73"/>
      <c r="C3153" s="73"/>
      <c r="D3153" s="73"/>
      <c r="E3153" s="73"/>
      <c r="F3153" s="73"/>
      <c r="G3153" s="73"/>
      <c r="H3153" s="73"/>
      <c r="I3153" s="73"/>
      <c r="J3153" s="73"/>
      <c r="K3153" s="73"/>
      <c r="L3153" s="73"/>
      <c r="M3153" s="73"/>
      <c r="N3153" s="73"/>
      <c r="O3153" s="73"/>
      <c r="P3153" s="73"/>
      <c r="Q3153" s="73"/>
      <c r="R3153" s="73"/>
      <c r="S3153" s="73"/>
      <c r="T3153" s="73"/>
      <c r="U3153" s="73"/>
      <c r="V3153" s="73"/>
      <c r="W3153" s="73"/>
      <c r="GL3153" s="73"/>
      <c r="GM3153" s="73"/>
      <c r="GN3153" s="73"/>
      <c r="GO3153" s="73"/>
      <c r="GP3153" s="73"/>
      <c r="GQ3153" s="73"/>
      <c r="GR3153" s="73"/>
      <c r="GS3153" s="73"/>
      <c r="GT3153" s="73"/>
      <c r="GU3153" s="73"/>
      <c r="GV3153" s="73"/>
      <c r="GW3153" s="73"/>
      <c r="GX3153" s="73"/>
      <c r="GY3153" s="73"/>
      <c r="GZ3153" s="73"/>
      <c r="HA3153" s="73"/>
      <c r="HB3153" s="73"/>
      <c r="HC3153" s="73"/>
      <c r="HD3153" s="73"/>
      <c r="HE3153" s="73"/>
      <c r="HF3153" s="73"/>
      <c r="HG3153" s="73"/>
      <c r="HH3153" s="73"/>
      <c r="HI3153" s="73"/>
      <c r="HJ3153" s="73"/>
      <c r="HK3153" s="73"/>
      <c r="HL3153" s="73"/>
      <c r="HM3153" s="73"/>
      <c r="HN3153" s="73"/>
      <c r="HO3153" s="73"/>
      <c r="HP3153" s="73"/>
      <c r="HQ3153" s="73"/>
      <c r="HR3153" s="73"/>
      <c r="HS3153" s="73"/>
      <c r="HT3153" s="73"/>
      <c r="HU3153" s="73"/>
      <c r="HV3153" s="73"/>
      <c r="HW3153" s="73"/>
      <c r="HX3153" s="73"/>
      <c r="HY3153" s="73"/>
      <c r="HZ3153" s="73"/>
      <c r="IA3153" s="73"/>
      <c r="IB3153" s="73"/>
      <c r="IC3153" s="73"/>
      <c r="ID3153" s="73"/>
      <c r="IE3153" s="73"/>
      <c r="IF3153" s="73"/>
      <c r="IG3153" s="73"/>
      <c r="IH3153" s="73"/>
      <c r="II3153" s="73"/>
      <c r="IJ3153" s="73"/>
      <c r="IK3153" s="73"/>
      <c r="IL3153" s="73"/>
      <c r="IM3153" s="73"/>
      <c r="IN3153" s="73"/>
      <c r="IO3153" s="73"/>
      <c r="IP3153" s="73"/>
      <c r="IQ3153" s="73"/>
      <c r="IR3153" s="73"/>
      <c r="IS3153" s="73"/>
      <c r="IT3153" s="73"/>
      <c r="IU3153" s="73"/>
      <c r="IV3153" s="73"/>
      <c r="IW3153" s="73"/>
      <c r="IX3153" s="73"/>
      <c r="IY3153" s="73"/>
      <c r="IZ3153" s="73"/>
      <c r="JA3153" s="73"/>
      <c r="JB3153" s="73"/>
      <c r="JC3153" s="73"/>
    </row>
    <row r="3154" spans="2:263" s="72" customFormat="1">
      <c r="B3154" s="73"/>
      <c r="C3154" s="73"/>
      <c r="D3154" s="73"/>
      <c r="E3154" s="73"/>
      <c r="F3154" s="73"/>
      <c r="G3154" s="73"/>
      <c r="H3154" s="73"/>
      <c r="I3154" s="73"/>
      <c r="J3154" s="73"/>
      <c r="K3154" s="73"/>
      <c r="L3154" s="73"/>
      <c r="M3154" s="73"/>
      <c r="N3154" s="73"/>
      <c r="O3154" s="73"/>
      <c r="P3154" s="73"/>
      <c r="Q3154" s="73"/>
      <c r="R3154" s="73"/>
      <c r="S3154" s="73"/>
      <c r="T3154" s="73"/>
      <c r="U3154" s="73"/>
      <c r="V3154" s="73"/>
      <c r="W3154" s="73"/>
      <c r="GL3154" s="73"/>
      <c r="GM3154" s="73"/>
      <c r="GN3154" s="73"/>
      <c r="GO3154" s="73"/>
      <c r="GP3154" s="73"/>
      <c r="GQ3154" s="73"/>
      <c r="GR3154" s="73"/>
      <c r="GS3154" s="73"/>
      <c r="GT3154" s="73"/>
      <c r="GU3154" s="73"/>
      <c r="GV3154" s="73"/>
      <c r="GW3154" s="73"/>
      <c r="GX3154" s="73"/>
      <c r="GY3154" s="73"/>
      <c r="GZ3154" s="73"/>
      <c r="HA3154" s="73"/>
      <c r="HB3154" s="73"/>
      <c r="HC3154" s="73"/>
      <c r="HD3154" s="73"/>
      <c r="HE3154" s="73"/>
      <c r="HF3154" s="73"/>
      <c r="HG3154" s="73"/>
      <c r="HH3154" s="73"/>
      <c r="HI3154" s="73"/>
      <c r="HJ3154" s="73"/>
      <c r="HK3154" s="73"/>
      <c r="HL3154" s="73"/>
      <c r="HM3154" s="73"/>
      <c r="HN3154" s="73"/>
      <c r="HO3154" s="73"/>
      <c r="HP3154" s="73"/>
      <c r="HQ3154" s="73"/>
      <c r="HR3154" s="73"/>
      <c r="HS3154" s="73"/>
      <c r="HT3154" s="73"/>
      <c r="HU3154" s="73"/>
      <c r="HV3154" s="73"/>
      <c r="HW3154" s="73"/>
      <c r="HX3154" s="73"/>
      <c r="HY3154" s="73"/>
      <c r="HZ3154" s="73"/>
      <c r="IA3154" s="73"/>
      <c r="IB3154" s="73"/>
      <c r="IC3154" s="73"/>
      <c r="ID3154" s="73"/>
      <c r="IE3154" s="73"/>
      <c r="IF3154" s="73"/>
      <c r="IG3154" s="73"/>
      <c r="IH3154" s="73"/>
      <c r="II3154" s="73"/>
      <c r="IJ3154" s="73"/>
      <c r="IK3154" s="73"/>
      <c r="IL3154" s="73"/>
      <c r="IM3154" s="73"/>
      <c r="IN3154" s="73"/>
      <c r="IO3154" s="73"/>
      <c r="IP3154" s="73"/>
      <c r="IQ3154" s="73"/>
      <c r="IR3154" s="73"/>
      <c r="IS3154" s="73"/>
      <c r="IT3154" s="73"/>
      <c r="IU3154" s="73"/>
      <c r="IV3154" s="73"/>
      <c r="IW3154" s="73"/>
      <c r="IX3154" s="73"/>
      <c r="IY3154" s="73"/>
      <c r="IZ3154" s="73"/>
      <c r="JA3154" s="73"/>
      <c r="JB3154" s="73"/>
      <c r="JC3154" s="73"/>
    </row>
    <row r="3155" spans="2:263" s="72" customFormat="1">
      <c r="B3155" s="73"/>
      <c r="C3155" s="73"/>
      <c r="D3155" s="73"/>
      <c r="E3155" s="73"/>
      <c r="F3155" s="73"/>
      <c r="G3155" s="73"/>
      <c r="H3155" s="73"/>
      <c r="I3155" s="73"/>
      <c r="J3155" s="73"/>
      <c r="K3155" s="73"/>
      <c r="L3155" s="73"/>
      <c r="M3155" s="73"/>
      <c r="N3155" s="73"/>
      <c r="O3155" s="73"/>
      <c r="P3155" s="73"/>
      <c r="Q3155" s="73"/>
      <c r="R3155" s="73"/>
      <c r="S3155" s="73"/>
      <c r="T3155" s="73"/>
      <c r="U3155" s="73"/>
      <c r="V3155" s="73"/>
      <c r="W3155" s="73"/>
      <c r="GL3155" s="73"/>
      <c r="GM3155" s="73"/>
      <c r="GN3155" s="73"/>
      <c r="GO3155" s="73"/>
      <c r="GP3155" s="73"/>
      <c r="GQ3155" s="73"/>
      <c r="GR3155" s="73"/>
      <c r="GS3155" s="73"/>
      <c r="GT3155" s="73"/>
      <c r="GU3155" s="73"/>
      <c r="GV3155" s="73"/>
      <c r="GW3155" s="73"/>
      <c r="GX3155" s="73"/>
      <c r="GY3155" s="73"/>
      <c r="GZ3155" s="73"/>
      <c r="HA3155" s="73"/>
      <c r="HB3155" s="73"/>
      <c r="HC3155" s="73"/>
      <c r="HD3155" s="73"/>
      <c r="HE3155" s="73"/>
      <c r="HF3155" s="73"/>
      <c r="HG3155" s="73"/>
      <c r="HH3155" s="73"/>
      <c r="HI3155" s="73"/>
      <c r="HJ3155" s="73"/>
      <c r="HK3155" s="73"/>
      <c r="HL3155" s="73"/>
      <c r="HM3155" s="73"/>
      <c r="HN3155" s="73"/>
      <c r="HO3155" s="73"/>
      <c r="HP3155" s="73"/>
      <c r="HQ3155" s="73"/>
      <c r="HR3155" s="73"/>
      <c r="HS3155" s="73"/>
      <c r="HT3155" s="73"/>
      <c r="HU3155" s="73"/>
      <c r="HV3155" s="73"/>
      <c r="HW3155" s="73"/>
      <c r="HX3155" s="73"/>
      <c r="HY3155" s="73"/>
      <c r="HZ3155" s="73"/>
      <c r="IA3155" s="73"/>
      <c r="IB3155" s="73"/>
      <c r="IC3155" s="73"/>
      <c r="ID3155" s="73"/>
      <c r="IE3155" s="73"/>
      <c r="IF3155" s="73"/>
      <c r="IG3155" s="73"/>
      <c r="IH3155" s="73"/>
      <c r="II3155" s="73"/>
      <c r="IJ3155" s="73"/>
      <c r="IK3155" s="73"/>
      <c r="IL3155" s="73"/>
      <c r="IM3155" s="73"/>
      <c r="IN3155" s="73"/>
      <c r="IO3155" s="73"/>
      <c r="IP3155" s="73"/>
      <c r="IQ3155" s="73"/>
      <c r="IR3155" s="73"/>
      <c r="IS3155" s="73"/>
      <c r="IT3155" s="73"/>
      <c r="IU3155" s="73"/>
      <c r="IV3155" s="73"/>
      <c r="IW3155" s="73"/>
      <c r="IX3155" s="73"/>
      <c r="IY3155" s="73"/>
      <c r="IZ3155" s="73"/>
      <c r="JA3155" s="73"/>
      <c r="JB3155" s="73"/>
      <c r="JC3155" s="73"/>
    </row>
    <row r="3156" spans="2:263" s="72" customFormat="1">
      <c r="B3156" s="73"/>
      <c r="C3156" s="73"/>
      <c r="D3156" s="73"/>
      <c r="E3156" s="73"/>
      <c r="F3156" s="73"/>
      <c r="G3156" s="73"/>
      <c r="H3156" s="73"/>
      <c r="I3156" s="73"/>
      <c r="J3156" s="73"/>
      <c r="K3156" s="73"/>
      <c r="L3156" s="73"/>
      <c r="M3156" s="73"/>
      <c r="N3156" s="73"/>
      <c r="O3156" s="73"/>
      <c r="P3156" s="73"/>
      <c r="Q3156" s="73"/>
      <c r="R3156" s="73"/>
      <c r="S3156" s="73"/>
      <c r="T3156" s="73"/>
      <c r="U3156" s="73"/>
      <c r="V3156" s="73"/>
      <c r="W3156" s="73"/>
      <c r="GL3156" s="73"/>
      <c r="GM3156" s="73"/>
      <c r="GN3156" s="73"/>
      <c r="GO3156" s="73"/>
      <c r="GP3156" s="73"/>
      <c r="GQ3156" s="73"/>
      <c r="GR3156" s="73"/>
      <c r="GS3156" s="73"/>
      <c r="GT3156" s="73"/>
      <c r="GU3156" s="73"/>
      <c r="GV3156" s="73"/>
      <c r="GW3156" s="73"/>
      <c r="GX3156" s="73"/>
      <c r="GY3156" s="73"/>
      <c r="GZ3156" s="73"/>
      <c r="HA3156" s="73"/>
      <c r="HB3156" s="73"/>
      <c r="HC3156" s="73"/>
      <c r="HD3156" s="73"/>
      <c r="HE3156" s="73"/>
      <c r="HF3156" s="73"/>
      <c r="HG3156" s="73"/>
      <c r="HH3156" s="73"/>
      <c r="HI3156" s="73"/>
      <c r="HJ3156" s="73"/>
      <c r="HK3156" s="73"/>
      <c r="HL3156" s="73"/>
      <c r="HM3156" s="73"/>
      <c r="HN3156" s="73"/>
      <c r="HO3156" s="73"/>
      <c r="HP3156" s="73"/>
      <c r="HQ3156" s="73"/>
      <c r="HR3156" s="73"/>
      <c r="HS3156" s="73"/>
      <c r="HT3156" s="73"/>
      <c r="HU3156" s="73"/>
      <c r="HV3156" s="73"/>
      <c r="HW3156" s="73"/>
      <c r="HX3156" s="73"/>
      <c r="HY3156" s="73"/>
      <c r="HZ3156" s="73"/>
      <c r="IA3156" s="73"/>
      <c r="IB3156" s="73"/>
      <c r="IC3156" s="73"/>
      <c r="ID3156" s="73"/>
      <c r="IE3156" s="73"/>
      <c r="IF3156" s="73"/>
      <c r="IG3156" s="73"/>
      <c r="IH3156" s="73"/>
      <c r="II3156" s="73"/>
      <c r="IJ3156" s="73"/>
      <c r="IK3156" s="73"/>
      <c r="IL3156" s="73"/>
      <c r="IM3156" s="73"/>
      <c r="IN3156" s="73"/>
      <c r="IO3156" s="73"/>
      <c r="IP3156" s="73"/>
      <c r="IQ3156" s="73"/>
      <c r="IR3156" s="73"/>
      <c r="IS3156" s="73"/>
      <c r="IT3156" s="73"/>
      <c r="IU3156" s="73"/>
      <c r="IV3156" s="73"/>
      <c r="IW3156" s="73"/>
      <c r="IX3156" s="73"/>
      <c r="IY3156" s="73"/>
      <c r="IZ3156" s="73"/>
      <c r="JA3156" s="73"/>
      <c r="JB3156" s="73"/>
      <c r="JC3156" s="73"/>
    </row>
    <row r="3157" spans="2:263" s="72" customFormat="1">
      <c r="B3157" s="73"/>
      <c r="C3157" s="73"/>
      <c r="D3157" s="73"/>
      <c r="E3157" s="73"/>
      <c r="F3157" s="73"/>
      <c r="G3157" s="73"/>
      <c r="H3157" s="73"/>
      <c r="I3157" s="73"/>
      <c r="J3157" s="73"/>
      <c r="K3157" s="73"/>
      <c r="L3157" s="73"/>
      <c r="M3157" s="73"/>
      <c r="N3157" s="73"/>
      <c r="O3157" s="73"/>
      <c r="P3157" s="73"/>
      <c r="Q3157" s="73"/>
      <c r="R3157" s="73"/>
      <c r="S3157" s="73"/>
      <c r="T3157" s="73"/>
      <c r="U3157" s="73"/>
      <c r="V3157" s="73"/>
      <c r="W3157" s="73"/>
      <c r="GL3157" s="73"/>
      <c r="GM3157" s="73"/>
      <c r="GN3157" s="73"/>
      <c r="GO3157" s="73"/>
      <c r="GP3157" s="73"/>
      <c r="GQ3157" s="73"/>
      <c r="GR3157" s="73"/>
      <c r="GS3157" s="73"/>
      <c r="GT3157" s="73"/>
      <c r="GU3157" s="73"/>
      <c r="GV3157" s="73"/>
      <c r="GW3157" s="73"/>
      <c r="GX3157" s="73"/>
      <c r="GY3157" s="73"/>
      <c r="GZ3157" s="73"/>
      <c r="HA3157" s="73"/>
      <c r="HB3157" s="73"/>
      <c r="HC3157" s="73"/>
      <c r="HD3157" s="73"/>
      <c r="HE3157" s="73"/>
      <c r="HF3157" s="73"/>
      <c r="HG3157" s="73"/>
      <c r="HH3157" s="73"/>
      <c r="HI3157" s="73"/>
      <c r="HJ3157" s="73"/>
      <c r="HK3157" s="73"/>
      <c r="HL3157" s="73"/>
      <c r="HM3157" s="73"/>
      <c r="HN3157" s="73"/>
      <c r="HO3157" s="73"/>
      <c r="HP3157" s="73"/>
      <c r="HQ3157" s="73"/>
      <c r="HR3157" s="73"/>
      <c r="HS3157" s="73"/>
      <c r="HT3157" s="73"/>
      <c r="HU3157" s="73"/>
      <c r="HV3157" s="73"/>
      <c r="HW3157" s="73"/>
      <c r="HX3157" s="73"/>
      <c r="HY3157" s="73"/>
      <c r="HZ3157" s="73"/>
      <c r="IA3157" s="73"/>
      <c r="IB3157" s="73"/>
      <c r="IC3157" s="73"/>
      <c r="ID3157" s="73"/>
      <c r="IE3157" s="73"/>
      <c r="IF3157" s="73"/>
      <c r="IG3157" s="73"/>
      <c r="IH3157" s="73"/>
      <c r="II3157" s="73"/>
      <c r="IJ3157" s="73"/>
      <c r="IK3157" s="73"/>
      <c r="IL3157" s="73"/>
      <c r="IM3157" s="73"/>
      <c r="IN3157" s="73"/>
      <c r="IO3157" s="73"/>
      <c r="IP3157" s="73"/>
      <c r="IQ3157" s="73"/>
      <c r="IR3157" s="73"/>
      <c r="IS3157" s="73"/>
      <c r="IT3157" s="73"/>
      <c r="IU3157" s="73"/>
      <c r="IV3157" s="73"/>
      <c r="IW3157" s="73"/>
      <c r="IX3157" s="73"/>
      <c r="IY3157" s="73"/>
      <c r="IZ3157" s="73"/>
      <c r="JA3157" s="73"/>
      <c r="JB3157" s="73"/>
      <c r="JC3157" s="73"/>
    </row>
    <row r="3158" spans="2:263" s="72" customFormat="1">
      <c r="B3158" s="73"/>
      <c r="C3158" s="73"/>
      <c r="D3158" s="73"/>
      <c r="E3158" s="73"/>
      <c r="F3158" s="73"/>
      <c r="G3158" s="73"/>
      <c r="H3158" s="73"/>
      <c r="I3158" s="73"/>
      <c r="J3158" s="73"/>
      <c r="K3158" s="73"/>
      <c r="L3158" s="73"/>
      <c r="M3158" s="73"/>
      <c r="N3158" s="73"/>
      <c r="O3158" s="73"/>
      <c r="P3158" s="73"/>
      <c r="Q3158" s="73"/>
      <c r="R3158" s="73"/>
      <c r="S3158" s="73"/>
      <c r="T3158" s="73"/>
      <c r="U3158" s="73"/>
      <c r="V3158" s="73"/>
      <c r="W3158" s="73"/>
      <c r="GL3158" s="73"/>
      <c r="GM3158" s="73"/>
      <c r="GN3158" s="73"/>
      <c r="GO3158" s="73"/>
      <c r="GP3158" s="73"/>
      <c r="GQ3158" s="73"/>
      <c r="GR3158" s="73"/>
      <c r="GS3158" s="73"/>
      <c r="GT3158" s="73"/>
      <c r="GU3158" s="73"/>
      <c r="GV3158" s="73"/>
      <c r="GW3158" s="73"/>
      <c r="GX3158" s="73"/>
      <c r="GY3158" s="73"/>
      <c r="GZ3158" s="73"/>
      <c r="HA3158" s="73"/>
      <c r="HB3158" s="73"/>
      <c r="HC3158" s="73"/>
      <c r="HD3158" s="73"/>
      <c r="HE3158" s="73"/>
      <c r="HF3158" s="73"/>
      <c r="HG3158" s="73"/>
      <c r="HH3158" s="73"/>
      <c r="HI3158" s="73"/>
      <c r="HJ3158" s="73"/>
      <c r="HK3158" s="73"/>
      <c r="HL3158" s="73"/>
      <c r="HM3158" s="73"/>
      <c r="HN3158" s="73"/>
      <c r="HO3158" s="73"/>
      <c r="HP3158" s="73"/>
      <c r="HQ3158" s="73"/>
      <c r="HR3158" s="73"/>
      <c r="HS3158" s="73"/>
      <c r="HT3158" s="73"/>
      <c r="HU3158" s="73"/>
      <c r="HV3158" s="73"/>
      <c r="HW3158" s="73"/>
      <c r="HX3158" s="73"/>
      <c r="HY3158" s="73"/>
      <c r="HZ3158" s="73"/>
      <c r="IA3158" s="73"/>
      <c r="IB3158" s="73"/>
      <c r="IC3158" s="73"/>
      <c r="ID3158" s="73"/>
      <c r="IE3158" s="73"/>
      <c r="IF3158" s="73"/>
      <c r="IG3158" s="73"/>
      <c r="IH3158" s="73"/>
      <c r="II3158" s="73"/>
      <c r="IJ3158" s="73"/>
      <c r="IK3158" s="73"/>
      <c r="IL3158" s="73"/>
      <c r="IM3158" s="73"/>
      <c r="IN3158" s="73"/>
      <c r="IO3158" s="73"/>
      <c r="IP3158" s="73"/>
      <c r="IQ3158" s="73"/>
      <c r="IR3158" s="73"/>
      <c r="IS3158" s="73"/>
      <c r="IT3158" s="73"/>
      <c r="IU3158" s="73"/>
      <c r="IV3158" s="73"/>
      <c r="IW3158" s="73"/>
      <c r="IX3158" s="73"/>
      <c r="IY3158" s="73"/>
      <c r="IZ3158" s="73"/>
      <c r="JA3158" s="73"/>
      <c r="JB3158" s="73"/>
      <c r="JC3158" s="73"/>
    </row>
    <row r="3159" spans="2:263" s="72" customFormat="1">
      <c r="B3159" s="73"/>
      <c r="C3159" s="73"/>
      <c r="D3159" s="73"/>
      <c r="E3159" s="73"/>
      <c r="F3159" s="73"/>
      <c r="G3159" s="73"/>
      <c r="H3159" s="73"/>
      <c r="I3159" s="73"/>
      <c r="J3159" s="73"/>
      <c r="K3159" s="73"/>
      <c r="L3159" s="73"/>
      <c r="M3159" s="73"/>
      <c r="N3159" s="73"/>
      <c r="O3159" s="73"/>
      <c r="P3159" s="73"/>
      <c r="Q3159" s="73"/>
      <c r="R3159" s="73"/>
      <c r="S3159" s="73"/>
      <c r="T3159" s="73"/>
      <c r="U3159" s="73"/>
      <c r="V3159" s="73"/>
      <c r="W3159" s="73"/>
      <c r="GL3159" s="73"/>
      <c r="GM3159" s="73"/>
      <c r="GN3159" s="73"/>
      <c r="GO3159" s="73"/>
      <c r="GP3159" s="73"/>
      <c r="GQ3159" s="73"/>
      <c r="GR3159" s="73"/>
      <c r="GS3159" s="73"/>
      <c r="GT3159" s="73"/>
      <c r="GU3159" s="73"/>
      <c r="GV3159" s="73"/>
      <c r="GW3159" s="73"/>
      <c r="GX3159" s="73"/>
      <c r="GY3159" s="73"/>
      <c r="GZ3159" s="73"/>
      <c r="HA3159" s="73"/>
      <c r="HB3159" s="73"/>
      <c r="HC3159" s="73"/>
      <c r="HD3159" s="73"/>
      <c r="HE3159" s="73"/>
      <c r="HF3159" s="73"/>
      <c r="HG3159" s="73"/>
      <c r="HH3159" s="73"/>
      <c r="HI3159" s="73"/>
      <c r="HJ3159" s="73"/>
      <c r="HK3159" s="73"/>
      <c r="HL3159" s="73"/>
      <c r="HM3159" s="73"/>
      <c r="HN3159" s="73"/>
      <c r="HO3159" s="73"/>
      <c r="HP3159" s="73"/>
      <c r="HQ3159" s="73"/>
      <c r="HR3159" s="73"/>
      <c r="HS3159" s="73"/>
      <c r="HT3159" s="73"/>
      <c r="HU3159" s="73"/>
      <c r="HV3159" s="73"/>
      <c r="HW3159" s="73"/>
      <c r="HX3159" s="73"/>
      <c r="HY3159" s="73"/>
      <c r="HZ3159" s="73"/>
      <c r="IA3159" s="73"/>
      <c r="IB3159" s="73"/>
      <c r="IC3159" s="73"/>
      <c r="ID3159" s="73"/>
      <c r="IE3159" s="73"/>
      <c r="IF3159" s="73"/>
      <c r="IG3159" s="73"/>
      <c r="IH3159" s="73"/>
      <c r="II3159" s="73"/>
      <c r="IJ3159" s="73"/>
      <c r="IK3159" s="73"/>
      <c r="IL3159" s="73"/>
      <c r="IM3159" s="73"/>
      <c r="IN3159" s="73"/>
      <c r="IO3159" s="73"/>
      <c r="IP3159" s="73"/>
      <c r="IQ3159" s="73"/>
      <c r="IR3159" s="73"/>
      <c r="IS3159" s="73"/>
      <c r="IT3159" s="73"/>
      <c r="IU3159" s="73"/>
      <c r="IV3159" s="73"/>
      <c r="IW3159" s="73"/>
      <c r="IX3159" s="73"/>
      <c r="IY3159" s="73"/>
      <c r="IZ3159" s="73"/>
      <c r="JA3159" s="73"/>
      <c r="JB3159" s="73"/>
      <c r="JC3159" s="73"/>
    </row>
    <row r="3160" spans="2:263" s="72" customFormat="1">
      <c r="B3160" s="73"/>
      <c r="C3160" s="73"/>
      <c r="D3160" s="73"/>
      <c r="E3160" s="73"/>
      <c r="F3160" s="73"/>
      <c r="G3160" s="73"/>
      <c r="H3160" s="73"/>
      <c r="I3160" s="73"/>
      <c r="J3160" s="73"/>
      <c r="K3160" s="73"/>
      <c r="L3160" s="73"/>
      <c r="M3160" s="73"/>
      <c r="N3160" s="73"/>
      <c r="O3160" s="73"/>
      <c r="P3160" s="73"/>
      <c r="Q3160" s="73"/>
      <c r="R3160" s="73"/>
      <c r="S3160" s="73"/>
      <c r="T3160" s="73"/>
      <c r="U3160" s="73"/>
      <c r="V3160" s="73"/>
      <c r="W3160" s="73"/>
      <c r="GL3160" s="73"/>
      <c r="GM3160" s="73"/>
      <c r="GN3160" s="73"/>
      <c r="GO3160" s="73"/>
      <c r="GP3160" s="73"/>
      <c r="GQ3160" s="73"/>
      <c r="GR3160" s="73"/>
      <c r="GS3160" s="73"/>
      <c r="GT3160" s="73"/>
      <c r="GU3160" s="73"/>
      <c r="GV3160" s="73"/>
      <c r="GW3160" s="73"/>
      <c r="GX3160" s="73"/>
      <c r="GY3160" s="73"/>
      <c r="GZ3160" s="73"/>
      <c r="HA3160" s="73"/>
      <c r="HB3160" s="73"/>
      <c r="HC3160" s="73"/>
      <c r="HD3160" s="73"/>
      <c r="HE3160" s="73"/>
      <c r="HF3160" s="73"/>
      <c r="HG3160" s="73"/>
      <c r="HH3160" s="73"/>
      <c r="HI3160" s="73"/>
      <c r="HJ3160" s="73"/>
      <c r="HK3160" s="73"/>
      <c r="HL3160" s="73"/>
      <c r="HM3160" s="73"/>
      <c r="HN3160" s="73"/>
      <c r="HO3160" s="73"/>
      <c r="HP3160" s="73"/>
      <c r="HQ3160" s="73"/>
      <c r="HR3160" s="73"/>
      <c r="HS3160" s="73"/>
      <c r="HT3160" s="73"/>
      <c r="HU3160" s="73"/>
      <c r="HV3160" s="73"/>
      <c r="HW3160" s="73"/>
      <c r="HX3160" s="73"/>
      <c r="HY3160" s="73"/>
      <c r="HZ3160" s="73"/>
      <c r="IA3160" s="73"/>
      <c r="IB3160" s="73"/>
      <c r="IC3160" s="73"/>
      <c r="ID3160" s="73"/>
      <c r="IE3160" s="73"/>
      <c r="IF3160" s="73"/>
      <c r="IG3160" s="73"/>
      <c r="IH3160" s="73"/>
      <c r="II3160" s="73"/>
      <c r="IJ3160" s="73"/>
      <c r="IK3160" s="73"/>
      <c r="IL3160" s="73"/>
      <c r="IM3160" s="73"/>
      <c r="IN3160" s="73"/>
      <c r="IO3160" s="73"/>
      <c r="IP3160" s="73"/>
      <c r="IQ3160" s="73"/>
      <c r="IR3160" s="73"/>
      <c r="IS3160" s="73"/>
      <c r="IT3160" s="73"/>
      <c r="IU3160" s="73"/>
      <c r="IV3160" s="73"/>
      <c r="IW3160" s="73"/>
      <c r="IX3160" s="73"/>
      <c r="IY3160" s="73"/>
      <c r="IZ3160" s="73"/>
      <c r="JA3160" s="73"/>
      <c r="JB3160" s="73"/>
      <c r="JC3160" s="73"/>
    </row>
    <row r="3161" spans="2:263" s="72" customFormat="1">
      <c r="B3161" s="73"/>
      <c r="C3161" s="73"/>
      <c r="D3161" s="73"/>
      <c r="E3161" s="73"/>
      <c r="F3161" s="73"/>
      <c r="G3161" s="73"/>
      <c r="H3161" s="73"/>
      <c r="I3161" s="73"/>
      <c r="J3161" s="73"/>
      <c r="K3161" s="73"/>
      <c r="L3161" s="73"/>
      <c r="M3161" s="73"/>
      <c r="N3161" s="73"/>
      <c r="O3161" s="73"/>
      <c r="P3161" s="73"/>
      <c r="Q3161" s="73"/>
      <c r="R3161" s="73"/>
      <c r="S3161" s="73"/>
      <c r="T3161" s="73"/>
      <c r="U3161" s="73"/>
      <c r="V3161" s="73"/>
      <c r="W3161" s="73"/>
      <c r="GL3161" s="73"/>
      <c r="GM3161" s="73"/>
      <c r="GN3161" s="73"/>
      <c r="GO3161" s="73"/>
      <c r="GP3161" s="73"/>
      <c r="GQ3161" s="73"/>
      <c r="GR3161" s="73"/>
      <c r="GS3161" s="73"/>
      <c r="GT3161" s="73"/>
      <c r="GU3161" s="73"/>
      <c r="GV3161" s="73"/>
      <c r="GW3161" s="73"/>
      <c r="GX3161" s="73"/>
      <c r="GY3161" s="73"/>
      <c r="GZ3161" s="73"/>
      <c r="HA3161" s="73"/>
      <c r="HB3161" s="73"/>
      <c r="HC3161" s="73"/>
      <c r="HD3161" s="73"/>
      <c r="HE3161" s="73"/>
      <c r="HF3161" s="73"/>
      <c r="HG3161" s="73"/>
      <c r="HH3161" s="73"/>
      <c r="HI3161" s="73"/>
      <c r="HJ3161" s="73"/>
      <c r="HK3161" s="73"/>
      <c r="HL3161" s="73"/>
      <c r="HM3161" s="73"/>
      <c r="HN3161" s="73"/>
      <c r="HO3161" s="73"/>
      <c r="HP3161" s="73"/>
      <c r="HQ3161" s="73"/>
      <c r="HR3161" s="73"/>
      <c r="HS3161" s="73"/>
      <c r="HT3161" s="73"/>
      <c r="HU3161" s="73"/>
      <c r="HV3161" s="73"/>
      <c r="HW3161" s="73"/>
      <c r="HX3161" s="73"/>
      <c r="HY3161" s="73"/>
      <c r="HZ3161" s="73"/>
      <c r="IA3161" s="73"/>
      <c r="IB3161" s="73"/>
      <c r="IC3161" s="73"/>
      <c r="ID3161" s="73"/>
      <c r="IE3161" s="73"/>
      <c r="IF3161" s="73"/>
      <c r="IG3161" s="73"/>
      <c r="IH3161" s="73"/>
      <c r="II3161" s="73"/>
      <c r="IJ3161" s="73"/>
      <c r="IK3161" s="73"/>
      <c r="IL3161" s="73"/>
      <c r="IM3161" s="73"/>
      <c r="IN3161" s="73"/>
      <c r="IO3161" s="73"/>
      <c r="IP3161" s="73"/>
      <c r="IQ3161" s="73"/>
      <c r="IR3161" s="73"/>
      <c r="IS3161" s="73"/>
      <c r="IT3161" s="73"/>
      <c r="IU3161" s="73"/>
      <c r="IV3161" s="73"/>
      <c r="IW3161" s="73"/>
      <c r="IX3161" s="73"/>
      <c r="IY3161" s="73"/>
      <c r="IZ3161" s="73"/>
      <c r="JA3161" s="73"/>
      <c r="JB3161" s="73"/>
      <c r="JC3161" s="73"/>
    </row>
    <row r="3162" spans="2:263" s="72" customFormat="1">
      <c r="B3162" s="73"/>
      <c r="C3162" s="73"/>
      <c r="D3162" s="73"/>
      <c r="E3162" s="73"/>
      <c r="F3162" s="73"/>
      <c r="G3162" s="73"/>
      <c r="H3162" s="73"/>
      <c r="I3162" s="73"/>
      <c r="J3162" s="73"/>
      <c r="K3162" s="73"/>
      <c r="L3162" s="73"/>
      <c r="M3162" s="73"/>
      <c r="N3162" s="73"/>
      <c r="O3162" s="73"/>
      <c r="P3162" s="73"/>
      <c r="Q3162" s="73"/>
      <c r="R3162" s="73"/>
      <c r="S3162" s="73"/>
      <c r="T3162" s="73"/>
      <c r="U3162" s="73"/>
      <c r="V3162" s="73"/>
      <c r="W3162" s="73"/>
      <c r="GL3162" s="73"/>
      <c r="GM3162" s="73"/>
      <c r="GN3162" s="73"/>
      <c r="GO3162" s="73"/>
      <c r="GP3162" s="73"/>
      <c r="GQ3162" s="73"/>
      <c r="GR3162" s="73"/>
      <c r="GS3162" s="73"/>
      <c r="GT3162" s="73"/>
      <c r="GU3162" s="73"/>
      <c r="GV3162" s="73"/>
      <c r="GW3162" s="73"/>
      <c r="GX3162" s="73"/>
      <c r="GY3162" s="73"/>
      <c r="GZ3162" s="73"/>
      <c r="HA3162" s="73"/>
      <c r="HB3162" s="73"/>
      <c r="HC3162" s="73"/>
      <c r="HD3162" s="73"/>
      <c r="HE3162" s="73"/>
      <c r="HF3162" s="73"/>
      <c r="HG3162" s="73"/>
      <c r="HH3162" s="73"/>
      <c r="HI3162" s="73"/>
      <c r="HJ3162" s="73"/>
      <c r="HK3162" s="73"/>
      <c r="HL3162" s="73"/>
      <c r="HM3162" s="73"/>
      <c r="HN3162" s="73"/>
      <c r="HO3162" s="73"/>
      <c r="HP3162" s="73"/>
      <c r="HQ3162" s="73"/>
      <c r="HR3162" s="73"/>
      <c r="HS3162" s="73"/>
      <c r="HT3162" s="73"/>
      <c r="HU3162" s="73"/>
      <c r="HV3162" s="73"/>
      <c r="HW3162" s="73"/>
      <c r="HX3162" s="73"/>
      <c r="HY3162" s="73"/>
      <c r="HZ3162" s="73"/>
      <c r="IA3162" s="73"/>
      <c r="IB3162" s="73"/>
      <c r="IC3162" s="73"/>
      <c r="ID3162" s="73"/>
      <c r="IE3162" s="73"/>
      <c r="IF3162" s="73"/>
      <c r="IG3162" s="73"/>
      <c r="IH3162" s="73"/>
      <c r="II3162" s="73"/>
      <c r="IJ3162" s="73"/>
      <c r="IK3162" s="73"/>
      <c r="IL3162" s="73"/>
      <c r="IM3162" s="73"/>
      <c r="IN3162" s="73"/>
      <c r="IO3162" s="73"/>
      <c r="IP3162" s="73"/>
      <c r="IQ3162" s="73"/>
      <c r="IR3162" s="73"/>
      <c r="IS3162" s="73"/>
      <c r="IT3162" s="73"/>
      <c r="IU3162" s="73"/>
      <c r="IV3162" s="73"/>
      <c r="IW3162" s="73"/>
      <c r="IX3162" s="73"/>
      <c r="IY3162" s="73"/>
      <c r="IZ3162" s="73"/>
      <c r="JA3162" s="73"/>
      <c r="JB3162" s="73"/>
      <c r="JC3162" s="73"/>
    </row>
    <row r="3163" spans="2:263" s="72" customFormat="1">
      <c r="B3163" s="73"/>
      <c r="C3163" s="73"/>
      <c r="D3163" s="73"/>
      <c r="E3163" s="73"/>
      <c r="F3163" s="73"/>
      <c r="G3163" s="73"/>
      <c r="H3163" s="73"/>
      <c r="I3163" s="73"/>
      <c r="J3163" s="73"/>
      <c r="K3163" s="73"/>
      <c r="L3163" s="73"/>
      <c r="M3163" s="73"/>
      <c r="N3163" s="73"/>
      <c r="O3163" s="73"/>
      <c r="P3163" s="73"/>
      <c r="Q3163" s="73"/>
      <c r="R3163" s="73"/>
      <c r="S3163" s="73"/>
      <c r="T3163" s="73"/>
      <c r="U3163" s="73"/>
      <c r="V3163" s="73"/>
      <c r="W3163" s="73"/>
      <c r="GL3163" s="73"/>
      <c r="GM3163" s="73"/>
      <c r="GN3163" s="73"/>
      <c r="GO3163" s="73"/>
      <c r="GP3163" s="73"/>
      <c r="GQ3163" s="73"/>
      <c r="GR3163" s="73"/>
      <c r="GS3163" s="73"/>
      <c r="GT3163" s="73"/>
      <c r="GU3163" s="73"/>
      <c r="GV3163" s="73"/>
      <c r="GW3163" s="73"/>
      <c r="GX3163" s="73"/>
      <c r="GY3163" s="73"/>
      <c r="GZ3163" s="73"/>
      <c r="HA3163" s="73"/>
      <c r="HB3163" s="73"/>
      <c r="HC3163" s="73"/>
      <c r="HD3163" s="73"/>
      <c r="HE3163" s="73"/>
      <c r="HF3163" s="73"/>
      <c r="HG3163" s="73"/>
      <c r="HH3163" s="73"/>
      <c r="HI3163" s="73"/>
      <c r="HJ3163" s="73"/>
      <c r="HK3163" s="73"/>
      <c r="HL3163" s="73"/>
      <c r="HM3163" s="73"/>
      <c r="HN3163" s="73"/>
      <c r="HO3163" s="73"/>
      <c r="HP3163" s="73"/>
      <c r="HQ3163" s="73"/>
      <c r="HR3163" s="73"/>
      <c r="HS3163" s="73"/>
      <c r="HT3163" s="73"/>
      <c r="HU3163" s="73"/>
      <c r="HV3163" s="73"/>
      <c r="HW3163" s="73"/>
      <c r="HX3163" s="73"/>
      <c r="HY3163" s="73"/>
      <c r="HZ3163" s="73"/>
      <c r="IA3163" s="73"/>
      <c r="IB3163" s="73"/>
      <c r="IC3163" s="73"/>
      <c r="ID3163" s="73"/>
      <c r="IE3163" s="73"/>
      <c r="IF3163" s="73"/>
      <c r="IG3163" s="73"/>
      <c r="IH3163" s="73"/>
      <c r="II3163" s="73"/>
      <c r="IJ3163" s="73"/>
      <c r="IK3163" s="73"/>
      <c r="IL3163" s="73"/>
      <c r="IM3163" s="73"/>
      <c r="IN3163" s="73"/>
      <c r="IO3163" s="73"/>
      <c r="IP3163" s="73"/>
      <c r="IQ3163" s="73"/>
      <c r="IR3163" s="73"/>
      <c r="IS3163" s="73"/>
      <c r="IT3163" s="73"/>
      <c r="IU3163" s="73"/>
      <c r="IV3163" s="73"/>
      <c r="IW3163" s="73"/>
      <c r="IX3163" s="73"/>
      <c r="IY3163" s="73"/>
      <c r="IZ3163" s="73"/>
      <c r="JA3163" s="73"/>
      <c r="JB3163" s="73"/>
      <c r="JC3163" s="73"/>
    </row>
    <row r="3164" spans="2:263" s="72" customFormat="1">
      <c r="B3164" s="73"/>
      <c r="C3164" s="73"/>
      <c r="D3164" s="73"/>
      <c r="E3164" s="73"/>
      <c r="F3164" s="73"/>
      <c r="G3164" s="73"/>
      <c r="H3164" s="73"/>
      <c r="I3164" s="73"/>
      <c r="J3164" s="73"/>
      <c r="K3164" s="73"/>
      <c r="L3164" s="73"/>
      <c r="M3164" s="73"/>
      <c r="N3164" s="73"/>
      <c r="O3164" s="73"/>
      <c r="P3164" s="73"/>
      <c r="Q3164" s="73"/>
      <c r="R3164" s="73"/>
      <c r="S3164" s="73"/>
      <c r="T3164" s="73"/>
      <c r="U3164" s="73"/>
      <c r="V3164" s="73"/>
      <c r="W3164" s="73"/>
      <c r="GL3164" s="73"/>
      <c r="GM3164" s="73"/>
      <c r="GN3164" s="73"/>
      <c r="GO3164" s="73"/>
      <c r="GP3164" s="73"/>
      <c r="GQ3164" s="73"/>
      <c r="GR3164" s="73"/>
      <c r="GS3164" s="73"/>
      <c r="GT3164" s="73"/>
      <c r="GU3164" s="73"/>
      <c r="GV3164" s="73"/>
      <c r="GW3164" s="73"/>
      <c r="GX3164" s="73"/>
      <c r="GY3164" s="73"/>
      <c r="GZ3164" s="73"/>
      <c r="HA3164" s="73"/>
      <c r="HB3164" s="73"/>
      <c r="HC3164" s="73"/>
      <c r="HD3164" s="73"/>
      <c r="HE3164" s="73"/>
      <c r="HF3164" s="73"/>
      <c r="HG3164" s="73"/>
      <c r="HH3164" s="73"/>
      <c r="HI3164" s="73"/>
      <c r="HJ3164" s="73"/>
      <c r="HK3164" s="73"/>
      <c r="HL3164" s="73"/>
      <c r="HM3164" s="73"/>
      <c r="HN3164" s="73"/>
      <c r="HO3164" s="73"/>
      <c r="HP3164" s="73"/>
      <c r="HQ3164" s="73"/>
      <c r="HR3164" s="73"/>
      <c r="HS3164" s="73"/>
      <c r="HT3164" s="73"/>
      <c r="HU3164" s="73"/>
      <c r="HV3164" s="73"/>
      <c r="HW3164" s="73"/>
      <c r="HX3164" s="73"/>
      <c r="HY3164" s="73"/>
      <c r="HZ3164" s="73"/>
      <c r="IA3164" s="73"/>
      <c r="IB3164" s="73"/>
      <c r="IC3164" s="73"/>
      <c r="ID3164" s="73"/>
      <c r="IE3164" s="73"/>
      <c r="IF3164" s="73"/>
      <c r="IG3164" s="73"/>
      <c r="IH3164" s="73"/>
      <c r="II3164" s="73"/>
      <c r="IJ3164" s="73"/>
      <c r="IK3164" s="73"/>
      <c r="IL3164" s="73"/>
      <c r="IM3164" s="73"/>
      <c r="IN3164" s="73"/>
      <c r="IO3164" s="73"/>
      <c r="IP3164" s="73"/>
      <c r="IQ3164" s="73"/>
      <c r="IR3164" s="73"/>
      <c r="IS3164" s="73"/>
      <c r="IT3164" s="73"/>
      <c r="IU3164" s="73"/>
      <c r="IV3164" s="73"/>
      <c r="IW3164" s="73"/>
      <c r="IX3164" s="73"/>
      <c r="IY3164" s="73"/>
      <c r="IZ3164" s="73"/>
      <c r="JA3164" s="73"/>
      <c r="JB3164" s="73"/>
      <c r="JC3164" s="73"/>
    </row>
    <row r="3165" spans="2:263" s="72" customFormat="1">
      <c r="B3165" s="73"/>
      <c r="C3165" s="73"/>
      <c r="D3165" s="73"/>
      <c r="E3165" s="73"/>
      <c r="F3165" s="73"/>
      <c r="G3165" s="73"/>
      <c r="H3165" s="73"/>
      <c r="I3165" s="73"/>
      <c r="J3165" s="73"/>
      <c r="K3165" s="73"/>
      <c r="L3165" s="73"/>
      <c r="M3165" s="73"/>
      <c r="N3165" s="73"/>
      <c r="O3165" s="73"/>
      <c r="P3165" s="73"/>
      <c r="Q3165" s="73"/>
      <c r="R3165" s="73"/>
      <c r="S3165" s="73"/>
      <c r="T3165" s="73"/>
      <c r="U3165" s="73"/>
      <c r="V3165" s="73"/>
      <c r="W3165" s="73"/>
      <c r="GL3165" s="73"/>
      <c r="GM3165" s="73"/>
      <c r="GN3165" s="73"/>
      <c r="GO3165" s="73"/>
      <c r="GP3165" s="73"/>
      <c r="GQ3165" s="73"/>
      <c r="GR3165" s="73"/>
      <c r="GS3165" s="73"/>
      <c r="GT3165" s="73"/>
      <c r="GU3165" s="73"/>
      <c r="GV3165" s="73"/>
      <c r="GW3165" s="73"/>
      <c r="GX3165" s="73"/>
      <c r="GY3165" s="73"/>
      <c r="GZ3165" s="73"/>
      <c r="HA3165" s="73"/>
      <c r="HB3165" s="73"/>
      <c r="HC3165" s="73"/>
      <c r="HD3165" s="73"/>
      <c r="HE3165" s="73"/>
      <c r="HF3165" s="73"/>
      <c r="HG3165" s="73"/>
      <c r="HH3165" s="73"/>
      <c r="HI3165" s="73"/>
      <c r="HJ3165" s="73"/>
      <c r="HK3165" s="73"/>
      <c r="HL3165" s="73"/>
      <c r="HM3165" s="73"/>
      <c r="HN3165" s="73"/>
      <c r="HO3165" s="73"/>
      <c r="HP3165" s="73"/>
      <c r="HQ3165" s="73"/>
      <c r="HR3165" s="73"/>
      <c r="HS3165" s="73"/>
      <c r="HT3165" s="73"/>
      <c r="HU3165" s="73"/>
      <c r="HV3165" s="73"/>
      <c r="HW3165" s="73"/>
      <c r="HX3165" s="73"/>
      <c r="HY3165" s="73"/>
      <c r="HZ3165" s="73"/>
      <c r="IA3165" s="73"/>
      <c r="IB3165" s="73"/>
      <c r="IC3165" s="73"/>
      <c r="ID3165" s="73"/>
      <c r="IE3165" s="73"/>
      <c r="IF3165" s="73"/>
      <c r="IG3165" s="73"/>
      <c r="IH3165" s="73"/>
      <c r="II3165" s="73"/>
      <c r="IJ3165" s="73"/>
      <c r="IK3165" s="73"/>
      <c r="IL3165" s="73"/>
      <c r="IM3165" s="73"/>
      <c r="IN3165" s="73"/>
      <c r="IO3165" s="73"/>
      <c r="IP3165" s="73"/>
      <c r="IQ3165" s="73"/>
      <c r="IR3165" s="73"/>
      <c r="IS3165" s="73"/>
      <c r="IT3165" s="73"/>
      <c r="IU3165" s="73"/>
      <c r="IV3165" s="73"/>
      <c r="IW3165" s="73"/>
      <c r="IX3165" s="73"/>
      <c r="IY3165" s="73"/>
      <c r="IZ3165" s="73"/>
      <c r="JA3165" s="73"/>
      <c r="JB3165" s="73"/>
      <c r="JC3165" s="73"/>
    </row>
    <row r="3166" spans="2:263" s="72" customFormat="1">
      <c r="B3166" s="73"/>
      <c r="C3166" s="73"/>
      <c r="D3166" s="73"/>
      <c r="E3166" s="73"/>
      <c r="F3166" s="73"/>
      <c r="G3166" s="73"/>
      <c r="H3166" s="73"/>
      <c r="I3166" s="73"/>
      <c r="J3166" s="73"/>
      <c r="K3166" s="73"/>
      <c r="L3166" s="73"/>
      <c r="M3166" s="73"/>
      <c r="N3166" s="73"/>
      <c r="O3166" s="73"/>
      <c r="P3166" s="73"/>
      <c r="Q3166" s="73"/>
      <c r="R3166" s="73"/>
      <c r="S3166" s="73"/>
      <c r="T3166" s="73"/>
      <c r="U3166" s="73"/>
      <c r="V3166" s="73"/>
      <c r="W3166" s="73"/>
      <c r="GL3166" s="73"/>
      <c r="GM3166" s="73"/>
      <c r="GN3166" s="73"/>
      <c r="GO3166" s="73"/>
      <c r="GP3166" s="73"/>
      <c r="GQ3166" s="73"/>
      <c r="GR3166" s="73"/>
      <c r="GS3166" s="73"/>
      <c r="GT3166" s="73"/>
      <c r="GU3166" s="73"/>
      <c r="GV3166" s="73"/>
      <c r="GW3166" s="73"/>
      <c r="GX3166" s="73"/>
      <c r="GY3166" s="73"/>
      <c r="GZ3166" s="73"/>
      <c r="HA3166" s="73"/>
      <c r="HB3166" s="73"/>
      <c r="HC3166" s="73"/>
      <c r="HD3166" s="73"/>
      <c r="HE3166" s="73"/>
      <c r="HF3166" s="73"/>
      <c r="HG3166" s="73"/>
      <c r="HH3166" s="73"/>
      <c r="HI3166" s="73"/>
      <c r="HJ3166" s="73"/>
      <c r="HK3166" s="73"/>
      <c r="HL3166" s="73"/>
      <c r="HM3166" s="73"/>
      <c r="HN3166" s="73"/>
      <c r="HO3166" s="73"/>
      <c r="HP3166" s="73"/>
      <c r="HQ3166" s="73"/>
      <c r="HR3166" s="73"/>
      <c r="HS3166" s="73"/>
      <c r="HT3166" s="73"/>
      <c r="HU3166" s="73"/>
      <c r="HV3166" s="73"/>
      <c r="HW3166" s="73"/>
      <c r="HX3166" s="73"/>
      <c r="HY3166" s="73"/>
      <c r="HZ3166" s="73"/>
      <c r="IA3166" s="73"/>
      <c r="IB3166" s="73"/>
      <c r="IC3166" s="73"/>
      <c r="ID3166" s="73"/>
      <c r="IE3166" s="73"/>
      <c r="IF3166" s="73"/>
      <c r="IG3166" s="73"/>
      <c r="IH3166" s="73"/>
      <c r="II3166" s="73"/>
      <c r="IJ3166" s="73"/>
      <c r="IK3166" s="73"/>
      <c r="IL3166" s="73"/>
      <c r="IM3166" s="73"/>
      <c r="IN3166" s="73"/>
      <c r="IO3166" s="73"/>
      <c r="IP3166" s="73"/>
      <c r="IQ3166" s="73"/>
      <c r="IR3166" s="73"/>
      <c r="IS3166" s="73"/>
      <c r="IT3166" s="73"/>
      <c r="IU3166" s="73"/>
      <c r="IV3166" s="73"/>
      <c r="IW3166" s="73"/>
      <c r="IX3166" s="73"/>
      <c r="IY3166" s="73"/>
      <c r="IZ3166" s="73"/>
      <c r="JA3166" s="73"/>
      <c r="JB3166" s="73"/>
      <c r="JC3166" s="73"/>
    </row>
    <row r="3167" spans="2:263" s="72" customFormat="1">
      <c r="B3167" s="73"/>
      <c r="C3167" s="73"/>
      <c r="D3167" s="73"/>
      <c r="E3167" s="73"/>
      <c r="F3167" s="73"/>
      <c r="G3167" s="73"/>
      <c r="H3167" s="73"/>
      <c r="I3167" s="73"/>
      <c r="J3167" s="73"/>
      <c r="K3167" s="73"/>
      <c r="L3167" s="73"/>
      <c r="M3167" s="73"/>
      <c r="N3167" s="73"/>
      <c r="O3167" s="73"/>
      <c r="P3167" s="73"/>
      <c r="Q3167" s="73"/>
      <c r="R3167" s="73"/>
      <c r="S3167" s="73"/>
      <c r="T3167" s="73"/>
      <c r="U3167" s="73"/>
      <c r="V3167" s="73"/>
      <c r="W3167" s="73"/>
      <c r="GL3167" s="73"/>
      <c r="GM3167" s="73"/>
      <c r="GN3167" s="73"/>
      <c r="GO3167" s="73"/>
      <c r="GP3167" s="73"/>
      <c r="GQ3167" s="73"/>
      <c r="GR3167" s="73"/>
      <c r="GS3167" s="73"/>
      <c r="GT3167" s="73"/>
      <c r="GU3167" s="73"/>
      <c r="GV3167" s="73"/>
      <c r="GW3167" s="73"/>
      <c r="GX3167" s="73"/>
      <c r="GY3167" s="73"/>
      <c r="GZ3167" s="73"/>
      <c r="HA3167" s="73"/>
      <c r="HB3167" s="73"/>
      <c r="HC3167" s="73"/>
      <c r="HD3167" s="73"/>
      <c r="HE3167" s="73"/>
      <c r="HF3167" s="73"/>
      <c r="HG3167" s="73"/>
      <c r="HH3167" s="73"/>
      <c r="HI3167" s="73"/>
      <c r="HJ3167" s="73"/>
      <c r="HK3167" s="73"/>
      <c r="HL3167" s="73"/>
      <c r="HM3167" s="73"/>
      <c r="HN3167" s="73"/>
      <c r="HO3167" s="73"/>
      <c r="HP3167" s="73"/>
      <c r="HQ3167" s="73"/>
      <c r="HR3167" s="73"/>
      <c r="HS3167" s="73"/>
      <c r="HT3167" s="73"/>
      <c r="HU3167" s="73"/>
      <c r="HV3167" s="73"/>
      <c r="HW3167" s="73"/>
      <c r="HX3167" s="73"/>
      <c r="HY3167" s="73"/>
      <c r="HZ3167" s="73"/>
      <c r="IA3167" s="73"/>
      <c r="IB3167" s="73"/>
      <c r="IC3167" s="73"/>
      <c r="ID3167" s="73"/>
      <c r="IE3167" s="73"/>
      <c r="IF3167" s="73"/>
      <c r="IG3167" s="73"/>
      <c r="IH3167" s="73"/>
      <c r="II3167" s="73"/>
      <c r="IJ3167" s="73"/>
      <c r="IK3167" s="73"/>
      <c r="IL3167" s="73"/>
      <c r="IM3167" s="73"/>
      <c r="IN3167" s="73"/>
      <c r="IO3167" s="73"/>
      <c r="IP3167" s="73"/>
      <c r="IQ3167" s="73"/>
      <c r="IR3167" s="73"/>
      <c r="IS3167" s="73"/>
      <c r="IT3167" s="73"/>
      <c r="IU3167" s="73"/>
      <c r="IV3167" s="73"/>
      <c r="IW3167" s="73"/>
      <c r="IX3167" s="73"/>
      <c r="IY3167" s="73"/>
      <c r="IZ3167" s="73"/>
      <c r="JA3167" s="73"/>
      <c r="JB3167" s="73"/>
      <c r="JC3167" s="73"/>
    </row>
    <row r="3168" spans="2:263" s="72" customFormat="1">
      <c r="B3168" s="73"/>
      <c r="C3168" s="73"/>
      <c r="D3168" s="73"/>
      <c r="E3168" s="73"/>
      <c r="F3168" s="73"/>
      <c r="G3168" s="73"/>
      <c r="H3168" s="73"/>
      <c r="I3168" s="73"/>
      <c r="J3168" s="73"/>
      <c r="K3168" s="73"/>
      <c r="L3168" s="73"/>
      <c r="M3168" s="73"/>
      <c r="N3168" s="73"/>
      <c r="O3168" s="73"/>
      <c r="P3168" s="73"/>
      <c r="Q3168" s="73"/>
      <c r="R3168" s="73"/>
      <c r="S3168" s="73"/>
      <c r="T3168" s="73"/>
      <c r="U3168" s="73"/>
      <c r="V3168" s="73"/>
      <c r="W3168" s="73"/>
      <c r="GL3168" s="73"/>
      <c r="GM3168" s="73"/>
      <c r="GN3168" s="73"/>
      <c r="GO3168" s="73"/>
      <c r="GP3168" s="73"/>
      <c r="GQ3168" s="73"/>
      <c r="GR3168" s="73"/>
      <c r="GS3168" s="73"/>
      <c r="GT3168" s="73"/>
      <c r="GU3168" s="73"/>
      <c r="GV3168" s="73"/>
      <c r="GW3168" s="73"/>
      <c r="GX3168" s="73"/>
      <c r="GY3168" s="73"/>
      <c r="GZ3168" s="73"/>
      <c r="HA3168" s="73"/>
      <c r="HB3168" s="73"/>
      <c r="HC3168" s="73"/>
      <c r="HD3168" s="73"/>
      <c r="HE3168" s="73"/>
      <c r="HF3168" s="73"/>
      <c r="HG3168" s="73"/>
      <c r="HH3168" s="73"/>
      <c r="HI3168" s="73"/>
      <c r="HJ3168" s="73"/>
      <c r="HK3168" s="73"/>
      <c r="HL3168" s="73"/>
      <c r="HM3168" s="73"/>
      <c r="HN3168" s="73"/>
      <c r="HO3168" s="73"/>
      <c r="HP3168" s="73"/>
      <c r="HQ3168" s="73"/>
      <c r="HR3168" s="73"/>
      <c r="HS3168" s="73"/>
      <c r="HT3168" s="73"/>
      <c r="HU3168" s="73"/>
      <c r="HV3168" s="73"/>
      <c r="HW3168" s="73"/>
      <c r="HX3168" s="73"/>
      <c r="HY3168" s="73"/>
      <c r="HZ3168" s="73"/>
      <c r="IA3168" s="73"/>
      <c r="IB3168" s="73"/>
      <c r="IC3168" s="73"/>
      <c r="ID3168" s="73"/>
      <c r="IE3168" s="73"/>
      <c r="IF3168" s="73"/>
      <c r="IG3168" s="73"/>
      <c r="IH3168" s="73"/>
      <c r="II3168" s="73"/>
      <c r="IJ3168" s="73"/>
      <c r="IK3168" s="73"/>
      <c r="IL3168" s="73"/>
      <c r="IM3168" s="73"/>
      <c r="IN3168" s="73"/>
      <c r="IO3168" s="73"/>
      <c r="IP3168" s="73"/>
      <c r="IQ3168" s="73"/>
      <c r="IR3168" s="73"/>
      <c r="IS3168" s="73"/>
      <c r="IT3168" s="73"/>
      <c r="IU3168" s="73"/>
      <c r="IV3168" s="73"/>
      <c r="IW3168" s="73"/>
      <c r="IX3168" s="73"/>
      <c r="IY3168" s="73"/>
      <c r="IZ3168" s="73"/>
      <c r="JA3168" s="73"/>
      <c r="JB3168" s="73"/>
      <c r="JC3168" s="73"/>
    </row>
    <row r="3169" spans="2:263" s="72" customFormat="1">
      <c r="B3169" s="73"/>
      <c r="C3169" s="73"/>
      <c r="D3169" s="73"/>
      <c r="E3169" s="73"/>
      <c r="F3169" s="73"/>
      <c r="G3169" s="73"/>
      <c r="H3169" s="73"/>
      <c r="I3169" s="73"/>
      <c r="J3169" s="73"/>
      <c r="K3169" s="73"/>
      <c r="L3169" s="73"/>
      <c r="M3169" s="73"/>
      <c r="N3169" s="73"/>
      <c r="O3169" s="73"/>
      <c r="P3169" s="73"/>
      <c r="Q3169" s="73"/>
      <c r="R3169" s="73"/>
      <c r="S3169" s="73"/>
      <c r="T3169" s="73"/>
      <c r="U3169" s="73"/>
      <c r="V3169" s="73"/>
      <c r="W3169" s="73"/>
      <c r="GL3169" s="73"/>
      <c r="GM3169" s="73"/>
      <c r="GN3169" s="73"/>
      <c r="GO3169" s="73"/>
      <c r="GP3169" s="73"/>
      <c r="GQ3169" s="73"/>
      <c r="GR3169" s="73"/>
      <c r="GS3169" s="73"/>
      <c r="GT3169" s="73"/>
      <c r="GU3169" s="73"/>
      <c r="GV3169" s="73"/>
      <c r="GW3169" s="73"/>
      <c r="GX3169" s="73"/>
      <c r="GY3169" s="73"/>
      <c r="GZ3169" s="73"/>
      <c r="HA3169" s="73"/>
      <c r="HB3169" s="73"/>
      <c r="HC3169" s="73"/>
      <c r="HD3169" s="73"/>
      <c r="HE3169" s="73"/>
      <c r="HF3169" s="73"/>
      <c r="HG3169" s="73"/>
      <c r="HH3169" s="73"/>
      <c r="HI3169" s="73"/>
      <c r="HJ3169" s="73"/>
      <c r="HK3169" s="73"/>
      <c r="HL3169" s="73"/>
      <c r="HM3169" s="73"/>
      <c r="HN3169" s="73"/>
      <c r="HO3169" s="73"/>
      <c r="HP3169" s="73"/>
      <c r="HQ3169" s="73"/>
      <c r="HR3169" s="73"/>
      <c r="HS3169" s="73"/>
      <c r="HT3169" s="73"/>
      <c r="HU3169" s="73"/>
      <c r="HV3169" s="73"/>
      <c r="HW3169" s="73"/>
      <c r="HX3169" s="73"/>
      <c r="HY3169" s="73"/>
      <c r="HZ3169" s="73"/>
      <c r="IA3169" s="73"/>
      <c r="IB3169" s="73"/>
      <c r="IC3169" s="73"/>
      <c r="ID3169" s="73"/>
      <c r="IE3169" s="73"/>
      <c r="IF3169" s="73"/>
      <c r="IG3169" s="73"/>
      <c r="IH3169" s="73"/>
      <c r="II3169" s="73"/>
      <c r="IJ3169" s="73"/>
      <c r="IK3169" s="73"/>
      <c r="IL3169" s="73"/>
      <c r="IM3169" s="73"/>
      <c r="IN3169" s="73"/>
      <c r="IO3169" s="73"/>
      <c r="IP3169" s="73"/>
      <c r="IQ3169" s="73"/>
      <c r="IR3169" s="73"/>
      <c r="IS3169" s="73"/>
      <c r="IT3169" s="73"/>
      <c r="IU3169" s="73"/>
      <c r="IV3169" s="73"/>
      <c r="IW3169" s="73"/>
      <c r="IX3169" s="73"/>
      <c r="IY3169" s="73"/>
      <c r="IZ3169" s="73"/>
      <c r="JA3169" s="73"/>
      <c r="JB3169" s="73"/>
      <c r="JC3169" s="73"/>
    </row>
    <row r="3170" spans="2:263" s="72" customFormat="1">
      <c r="B3170" s="73"/>
      <c r="C3170" s="73"/>
      <c r="D3170" s="73"/>
      <c r="E3170" s="73"/>
      <c r="F3170" s="73"/>
      <c r="G3170" s="73"/>
      <c r="H3170" s="73"/>
      <c r="I3170" s="73"/>
      <c r="J3170" s="73"/>
      <c r="K3170" s="73"/>
      <c r="L3170" s="73"/>
      <c r="M3170" s="73"/>
      <c r="N3170" s="73"/>
      <c r="O3170" s="73"/>
      <c r="P3170" s="73"/>
      <c r="Q3170" s="73"/>
      <c r="R3170" s="73"/>
      <c r="S3170" s="73"/>
      <c r="T3170" s="73"/>
      <c r="U3170" s="73"/>
      <c r="V3170" s="73"/>
      <c r="W3170" s="73"/>
      <c r="GL3170" s="73"/>
      <c r="GM3170" s="73"/>
      <c r="GN3170" s="73"/>
      <c r="GO3170" s="73"/>
      <c r="GP3170" s="73"/>
      <c r="GQ3170" s="73"/>
      <c r="GR3170" s="73"/>
      <c r="GS3170" s="73"/>
      <c r="GT3170" s="73"/>
      <c r="GU3170" s="73"/>
      <c r="GV3170" s="73"/>
      <c r="GW3170" s="73"/>
      <c r="GX3170" s="73"/>
      <c r="GY3170" s="73"/>
      <c r="GZ3170" s="73"/>
      <c r="HA3170" s="73"/>
      <c r="HB3170" s="73"/>
      <c r="HC3170" s="73"/>
      <c r="HD3170" s="73"/>
      <c r="HE3170" s="73"/>
      <c r="HF3170" s="73"/>
      <c r="HG3170" s="73"/>
      <c r="HH3170" s="73"/>
      <c r="HI3170" s="73"/>
      <c r="HJ3170" s="73"/>
      <c r="HK3170" s="73"/>
      <c r="HL3170" s="73"/>
      <c r="HM3170" s="73"/>
      <c r="HN3170" s="73"/>
      <c r="HO3170" s="73"/>
      <c r="HP3170" s="73"/>
      <c r="HQ3170" s="73"/>
      <c r="HR3170" s="73"/>
      <c r="HS3170" s="73"/>
      <c r="HT3170" s="73"/>
      <c r="HU3170" s="73"/>
      <c r="HV3170" s="73"/>
      <c r="HW3170" s="73"/>
      <c r="HX3170" s="73"/>
      <c r="HY3170" s="73"/>
      <c r="HZ3170" s="73"/>
      <c r="IA3170" s="73"/>
      <c r="IB3170" s="73"/>
      <c r="IC3170" s="73"/>
      <c r="ID3170" s="73"/>
      <c r="IE3170" s="73"/>
      <c r="IF3170" s="73"/>
      <c r="IG3170" s="73"/>
      <c r="IH3170" s="73"/>
      <c r="II3170" s="73"/>
      <c r="IJ3170" s="73"/>
      <c r="IK3170" s="73"/>
      <c r="IL3170" s="73"/>
      <c r="IM3170" s="73"/>
      <c r="IN3170" s="73"/>
      <c r="IO3170" s="73"/>
      <c r="IP3170" s="73"/>
      <c r="IQ3170" s="73"/>
      <c r="IR3170" s="73"/>
      <c r="IS3170" s="73"/>
      <c r="IT3170" s="73"/>
      <c r="IU3170" s="73"/>
      <c r="IV3170" s="73"/>
      <c r="IW3170" s="73"/>
      <c r="IX3170" s="73"/>
      <c r="IY3170" s="73"/>
      <c r="IZ3170" s="73"/>
      <c r="JA3170" s="73"/>
      <c r="JB3170" s="73"/>
      <c r="JC3170" s="73"/>
    </row>
    <row r="3171" spans="2:263" s="72" customFormat="1">
      <c r="B3171" s="73"/>
      <c r="C3171" s="73"/>
      <c r="D3171" s="73"/>
      <c r="E3171" s="73"/>
      <c r="F3171" s="73"/>
      <c r="G3171" s="73"/>
      <c r="H3171" s="73"/>
      <c r="I3171" s="73"/>
      <c r="J3171" s="73"/>
      <c r="K3171" s="73"/>
      <c r="L3171" s="73"/>
      <c r="M3171" s="73"/>
      <c r="N3171" s="73"/>
      <c r="O3171" s="73"/>
      <c r="P3171" s="73"/>
      <c r="Q3171" s="73"/>
      <c r="R3171" s="73"/>
      <c r="S3171" s="73"/>
      <c r="T3171" s="73"/>
      <c r="U3171" s="73"/>
      <c r="V3171" s="73"/>
      <c r="W3171" s="73"/>
      <c r="GL3171" s="73"/>
      <c r="GM3171" s="73"/>
      <c r="GN3171" s="73"/>
      <c r="GO3171" s="73"/>
      <c r="GP3171" s="73"/>
      <c r="GQ3171" s="73"/>
      <c r="GR3171" s="73"/>
      <c r="GS3171" s="73"/>
      <c r="GT3171" s="73"/>
      <c r="GU3171" s="73"/>
      <c r="GV3171" s="73"/>
      <c r="GW3171" s="73"/>
      <c r="GX3171" s="73"/>
      <c r="GY3171" s="73"/>
      <c r="GZ3171" s="73"/>
      <c r="HA3171" s="73"/>
      <c r="HB3171" s="73"/>
      <c r="HC3171" s="73"/>
      <c r="HD3171" s="73"/>
      <c r="HE3171" s="73"/>
      <c r="HF3171" s="73"/>
      <c r="HG3171" s="73"/>
      <c r="HH3171" s="73"/>
      <c r="HI3171" s="73"/>
      <c r="HJ3171" s="73"/>
      <c r="HK3171" s="73"/>
      <c r="HL3171" s="73"/>
      <c r="HM3171" s="73"/>
      <c r="HN3171" s="73"/>
      <c r="HO3171" s="73"/>
      <c r="HP3171" s="73"/>
      <c r="HQ3171" s="73"/>
      <c r="HR3171" s="73"/>
      <c r="HS3171" s="73"/>
      <c r="HT3171" s="73"/>
      <c r="HU3171" s="73"/>
      <c r="HV3171" s="73"/>
      <c r="HW3171" s="73"/>
      <c r="HX3171" s="73"/>
      <c r="HY3171" s="73"/>
      <c r="HZ3171" s="73"/>
      <c r="IA3171" s="73"/>
      <c r="IB3171" s="73"/>
      <c r="IC3171" s="73"/>
      <c r="ID3171" s="73"/>
      <c r="IE3171" s="73"/>
      <c r="IF3171" s="73"/>
      <c r="IG3171" s="73"/>
      <c r="IH3171" s="73"/>
      <c r="II3171" s="73"/>
      <c r="IJ3171" s="73"/>
      <c r="IK3171" s="73"/>
      <c r="IL3171" s="73"/>
      <c r="IM3171" s="73"/>
      <c r="IN3171" s="73"/>
      <c r="IO3171" s="73"/>
      <c r="IP3171" s="73"/>
      <c r="IQ3171" s="73"/>
      <c r="IR3171" s="73"/>
      <c r="IS3171" s="73"/>
      <c r="IT3171" s="73"/>
      <c r="IU3171" s="73"/>
      <c r="IV3171" s="73"/>
      <c r="IW3171" s="73"/>
      <c r="IX3171" s="73"/>
      <c r="IY3171" s="73"/>
      <c r="IZ3171" s="73"/>
      <c r="JA3171" s="73"/>
      <c r="JB3171" s="73"/>
      <c r="JC3171" s="73"/>
    </row>
    <row r="3172" spans="2:263" s="72" customFormat="1">
      <c r="B3172" s="73"/>
      <c r="C3172" s="73"/>
      <c r="D3172" s="73"/>
      <c r="E3172" s="73"/>
      <c r="F3172" s="73"/>
      <c r="G3172" s="73"/>
      <c r="H3172" s="73"/>
      <c r="I3172" s="73"/>
      <c r="J3172" s="73"/>
      <c r="K3172" s="73"/>
      <c r="L3172" s="73"/>
      <c r="M3172" s="73"/>
      <c r="N3172" s="73"/>
      <c r="O3172" s="73"/>
      <c r="P3172" s="73"/>
      <c r="Q3172" s="73"/>
      <c r="R3172" s="73"/>
      <c r="S3172" s="73"/>
      <c r="T3172" s="73"/>
      <c r="U3172" s="73"/>
      <c r="V3172" s="73"/>
      <c r="W3172" s="73"/>
      <c r="GL3172" s="73"/>
      <c r="GM3172" s="73"/>
      <c r="GN3172" s="73"/>
      <c r="GO3172" s="73"/>
      <c r="GP3172" s="73"/>
      <c r="GQ3172" s="73"/>
      <c r="GR3172" s="73"/>
      <c r="GS3172" s="73"/>
      <c r="GT3172" s="73"/>
      <c r="GU3172" s="73"/>
      <c r="GV3172" s="73"/>
      <c r="GW3172" s="73"/>
      <c r="GX3172" s="73"/>
      <c r="GY3172" s="73"/>
      <c r="GZ3172" s="73"/>
      <c r="HA3172" s="73"/>
      <c r="HB3172" s="73"/>
      <c r="HC3172" s="73"/>
      <c r="HD3172" s="73"/>
      <c r="HE3172" s="73"/>
      <c r="HF3172" s="73"/>
      <c r="HG3172" s="73"/>
      <c r="HH3172" s="73"/>
      <c r="HI3172" s="73"/>
      <c r="HJ3172" s="73"/>
      <c r="HK3172" s="73"/>
      <c r="HL3172" s="73"/>
      <c r="HM3172" s="73"/>
      <c r="HN3172" s="73"/>
      <c r="HO3172" s="73"/>
      <c r="HP3172" s="73"/>
      <c r="HQ3172" s="73"/>
      <c r="HR3172" s="73"/>
      <c r="HS3172" s="73"/>
      <c r="HT3172" s="73"/>
      <c r="HU3172" s="73"/>
      <c r="HV3172" s="73"/>
      <c r="HW3172" s="73"/>
      <c r="HX3172" s="73"/>
      <c r="HY3172" s="73"/>
      <c r="HZ3172" s="73"/>
      <c r="IA3172" s="73"/>
      <c r="IB3172" s="73"/>
      <c r="IC3172" s="73"/>
      <c r="ID3172" s="73"/>
      <c r="IE3172" s="73"/>
      <c r="IF3172" s="73"/>
      <c r="IG3172" s="73"/>
      <c r="IH3172" s="73"/>
      <c r="II3172" s="73"/>
      <c r="IJ3172" s="73"/>
      <c r="IK3172" s="73"/>
      <c r="IL3172" s="73"/>
      <c r="IM3172" s="73"/>
      <c r="IN3172" s="73"/>
      <c r="IO3172" s="73"/>
      <c r="IP3172" s="73"/>
      <c r="IQ3172" s="73"/>
      <c r="IR3172" s="73"/>
      <c r="IS3172" s="73"/>
      <c r="IT3172" s="73"/>
      <c r="IU3172" s="73"/>
      <c r="IV3172" s="73"/>
      <c r="IW3172" s="73"/>
      <c r="IX3172" s="73"/>
      <c r="IY3172" s="73"/>
      <c r="IZ3172" s="73"/>
      <c r="JA3172" s="73"/>
      <c r="JB3172" s="73"/>
      <c r="JC3172" s="73"/>
    </row>
    <row r="3173" spans="2:263" s="72" customFormat="1">
      <c r="B3173" s="73"/>
      <c r="C3173" s="73"/>
      <c r="D3173" s="73"/>
      <c r="E3173" s="73"/>
      <c r="F3173" s="73"/>
      <c r="G3173" s="73"/>
      <c r="H3173" s="73"/>
      <c r="I3173" s="73"/>
      <c r="J3173" s="73"/>
      <c r="K3173" s="73"/>
      <c r="L3173" s="73"/>
      <c r="M3173" s="73"/>
      <c r="N3173" s="73"/>
      <c r="O3173" s="73"/>
      <c r="P3173" s="73"/>
      <c r="Q3173" s="73"/>
      <c r="R3173" s="73"/>
      <c r="S3173" s="73"/>
      <c r="T3173" s="73"/>
      <c r="U3173" s="73"/>
      <c r="V3173" s="73"/>
      <c r="W3173" s="73"/>
      <c r="GL3173" s="73"/>
      <c r="GM3173" s="73"/>
      <c r="GN3173" s="73"/>
      <c r="GO3173" s="73"/>
      <c r="GP3173" s="73"/>
      <c r="GQ3173" s="73"/>
      <c r="GR3173" s="73"/>
      <c r="GS3173" s="73"/>
      <c r="GT3173" s="73"/>
      <c r="GU3173" s="73"/>
      <c r="GV3173" s="73"/>
      <c r="GW3173" s="73"/>
      <c r="GX3173" s="73"/>
      <c r="GY3173" s="73"/>
      <c r="GZ3173" s="73"/>
      <c r="HA3173" s="73"/>
      <c r="HB3173" s="73"/>
      <c r="HC3173" s="73"/>
      <c r="HD3173" s="73"/>
      <c r="HE3173" s="73"/>
      <c r="HF3173" s="73"/>
      <c r="HG3173" s="73"/>
      <c r="HH3173" s="73"/>
      <c r="HI3173" s="73"/>
      <c r="HJ3173" s="73"/>
      <c r="HK3173" s="73"/>
      <c r="HL3173" s="73"/>
      <c r="HM3173" s="73"/>
      <c r="HN3173" s="73"/>
      <c r="HO3173" s="73"/>
      <c r="HP3173" s="73"/>
      <c r="HQ3173" s="73"/>
      <c r="HR3173" s="73"/>
      <c r="HS3173" s="73"/>
      <c r="HT3173" s="73"/>
      <c r="HU3173" s="73"/>
      <c r="HV3173" s="73"/>
      <c r="HW3173" s="73"/>
      <c r="HX3173" s="73"/>
      <c r="HY3173" s="73"/>
      <c r="HZ3173" s="73"/>
      <c r="IA3173" s="73"/>
      <c r="IB3173" s="73"/>
      <c r="IC3173" s="73"/>
      <c r="ID3173" s="73"/>
      <c r="IE3173" s="73"/>
      <c r="IF3173" s="73"/>
      <c r="IG3173" s="73"/>
      <c r="IH3173" s="73"/>
      <c r="II3173" s="73"/>
      <c r="IJ3173" s="73"/>
      <c r="IK3173" s="73"/>
      <c r="IL3173" s="73"/>
      <c r="IM3173" s="73"/>
      <c r="IN3173" s="73"/>
      <c r="IO3173" s="73"/>
      <c r="IP3173" s="73"/>
      <c r="IQ3173" s="73"/>
      <c r="IR3173" s="73"/>
      <c r="IS3173" s="73"/>
      <c r="IT3173" s="73"/>
      <c r="IU3173" s="73"/>
      <c r="IV3173" s="73"/>
      <c r="IW3173" s="73"/>
      <c r="IX3173" s="73"/>
      <c r="IY3173" s="73"/>
      <c r="IZ3173" s="73"/>
      <c r="JA3173" s="73"/>
      <c r="JB3173" s="73"/>
      <c r="JC3173" s="73"/>
    </row>
    <row r="3174" spans="2:263" s="72" customFormat="1">
      <c r="B3174" s="73"/>
      <c r="C3174" s="73"/>
      <c r="D3174" s="73"/>
      <c r="E3174" s="73"/>
      <c r="F3174" s="73"/>
      <c r="G3174" s="73"/>
      <c r="H3174" s="73"/>
      <c r="I3174" s="73"/>
      <c r="J3174" s="73"/>
      <c r="K3174" s="73"/>
      <c r="L3174" s="73"/>
      <c r="M3174" s="73"/>
      <c r="N3174" s="73"/>
      <c r="O3174" s="73"/>
      <c r="P3174" s="73"/>
      <c r="Q3174" s="73"/>
      <c r="R3174" s="73"/>
      <c r="S3174" s="73"/>
      <c r="T3174" s="73"/>
      <c r="U3174" s="73"/>
      <c r="V3174" s="73"/>
      <c r="W3174" s="73"/>
      <c r="GL3174" s="73"/>
      <c r="GM3174" s="73"/>
      <c r="GN3174" s="73"/>
      <c r="GO3174" s="73"/>
      <c r="GP3174" s="73"/>
      <c r="GQ3174" s="73"/>
      <c r="GR3174" s="73"/>
      <c r="GS3174" s="73"/>
      <c r="GT3174" s="73"/>
      <c r="GU3174" s="73"/>
      <c r="GV3174" s="73"/>
      <c r="GW3174" s="73"/>
      <c r="GX3174" s="73"/>
      <c r="GY3174" s="73"/>
      <c r="GZ3174" s="73"/>
      <c r="HA3174" s="73"/>
      <c r="HB3174" s="73"/>
      <c r="HC3174" s="73"/>
      <c r="HD3174" s="73"/>
      <c r="HE3174" s="73"/>
      <c r="HF3174" s="73"/>
      <c r="HG3174" s="73"/>
      <c r="HH3174" s="73"/>
      <c r="HI3174" s="73"/>
      <c r="HJ3174" s="73"/>
      <c r="HK3174" s="73"/>
      <c r="HL3174" s="73"/>
      <c r="HM3174" s="73"/>
      <c r="HN3174" s="73"/>
      <c r="HO3174" s="73"/>
      <c r="HP3174" s="73"/>
      <c r="HQ3174" s="73"/>
      <c r="HR3174" s="73"/>
      <c r="HS3174" s="73"/>
      <c r="HT3174" s="73"/>
      <c r="HU3174" s="73"/>
      <c r="HV3174" s="73"/>
      <c r="HW3174" s="73"/>
      <c r="HX3174" s="73"/>
      <c r="HY3174" s="73"/>
      <c r="HZ3174" s="73"/>
      <c r="IA3174" s="73"/>
      <c r="IB3174" s="73"/>
      <c r="IC3174" s="73"/>
      <c r="ID3174" s="73"/>
      <c r="IE3174" s="73"/>
      <c r="IF3174" s="73"/>
      <c r="IG3174" s="73"/>
      <c r="IH3174" s="73"/>
      <c r="II3174" s="73"/>
      <c r="IJ3174" s="73"/>
      <c r="IK3174" s="73"/>
      <c r="IL3174" s="73"/>
      <c r="IM3174" s="73"/>
      <c r="IN3174" s="73"/>
      <c r="IO3174" s="73"/>
      <c r="IP3174" s="73"/>
      <c r="IQ3174" s="73"/>
      <c r="IR3174" s="73"/>
      <c r="IS3174" s="73"/>
      <c r="IT3174" s="73"/>
      <c r="IU3174" s="73"/>
      <c r="IV3174" s="73"/>
      <c r="IW3174" s="73"/>
      <c r="IX3174" s="73"/>
      <c r="IY3174" s="73"/>
      <c r="IZ3174" s="73"/>
      <c r="JA3174" s="73"/>
      <c r="JB3174" s="73"/>
      <c r="JC3174" s="73"/>
    </row>
    <row r="3175" spans="2:263" s="72" customFormat="1">
      <c r="B3175" s="73"/>
      <c r="C3175" s="73"/>
      <c r="D3175" s="73"/>
      <c r="E3175" s="73"/>
      <c r="F3175" s="73"/>
      <c r="G3175" s="73"/>
      <c r="H3175" s="73"/>
      <c r="I3175" s="73"/>
      <c r="J3175" s="73"/>
      <c r="K3175" s="73"/>
      <c r="L3175" s="73"/>
      <c r="M3175" s="73"/>
      <c r="N3175" s="73"/>
      <c r="O3175" s="73"/>
      <c r="P3175" s="73"/>
      <c r="Q3175" s="73"/>
      <c r="R3175" s="73"/>
      <c r="S3175" s="73"/>
      <c r="T3175" s="73"/>
      <c r="U3175" s="73"/>
      <c r="V3175" s="73"/>
      <c r="W3175" s="73"/>
      <c r="GL3175" s="73"/>
      <c r="GM3175" s="73"/>
      <c r="GN3175" s="73"/>
      <c r="GO3175" s="73"/>
      <c r="GP3175" s="73"/>
      <c r="GQ3175" s="73"/>
      <c r="GR3175" s="73"/>
      <c r="GS3175" s="73"/>
      <c r="GT3175" s="73"/>
      <c r="GU3175" s="73"/>
      <c r="GV3175" s="73"/>
      <c r="GW3175" s="73"/>
      <c r="GX3175" s="73"/>
      <c r="GY3175" s="73"/>
      <c r="GZ3175" s="73"/>
      <c r="HA3175" s="73"/>
      <c r="HB3175" s="73"/>
      <c r="HC3175" s="73"/>
      <c r="HD3175" s="73"/>
      <c r="HE3175" s="73"/>
      <c r="HF3175" s="73"/>
      <c r="HG3175" s="73"/>
      <c r="HH3175" s="73"/>
      <c r="HI3175" s="73"/>
      <c r="HJ3175" s="73"/>
      <c r="HK3175" s="73"/>
      <c r="HL3175" s="73"/>
      <c r="HM3175" s="73"/>
      <c r="HN3175" s="73"/>
      <c r="HO3175" s="73"/>
      <c r="HP3175" s="73"/>
      <c r="HQ3175" s="73"/>
      <c r="HR3175" s="73"/>
      <c r="HS3175" s="73"/>
      <c r="HT3175" s="73"/>
      <c r="HU3175" s="73"/>
      <c r="HV3175" s="73"/>
      <c r="HW3175" s="73"/>
      <c r="HX3175" s="73"/>
      <c r="HY3175" s="73"/>
      <c r="HZ3175" s="73"/>
      <c r="IA3175" s="73"/>
      <c r="IB3175" s="73"/>
      <c r="IC3175" s="73"/>
      <c r="ID3175" s="73"/>
      <c r="IE3175" s="73"/>
      <c r="IF3175" s="73"/>
      <c r="IG3175" s="73"/>
      <c r="IH3175" s="73"/>
      <c r="II3175" s="73"/>
      <c r="IJ3175" s="73"/>
      <c r="IK3175" s="73"/>
      <c r="IL3175" s="73"/>
      <c r="IM3175" s="73"/>
      <c r="IN3175" s="73"/>
      <c r="IO3175" s="73"/>
      <c r="IP3175" s="73"/>
      <c r="IQ3175" s="73"/>
      <c r="IR3175" s="73"/>
      <c r="IS3175" s="73"/>
      <c r="IT3175" s="73"/>
      <c r="IU3175" s="73"/>
      <c r="IV3175" s="73"/>
      <c r="IW3175" s="73"/>
      <c r="IX3175" s="73"/>
      <c r="IY3175" s="73"/>
      <c r="IZ3175" s="73"/>
      <c r="JA3175" s="73"/>
      <c r="JB3175" s="73"/>
      <c r="JC3175" s="73"/>
    </row>
    <row r="3176" spans="2:263" s="72" customFormat="1">
      <c r="B3176" s="73"/>
      <c r="C3176" s="73"/>
      <c r="D3176" s="73"/>
      <c r="E3176" s="73"/>
      <c r="F3176" s="73"/>
      <c r="G3176" s="73"/>
      <c r="H3176" s="73"/>
      <c r="I3176" s="73"/>
      <c r="J3176" s="73"/>
      <c r="K3176" s="73"/>
      <c r="L3176" s="73"/>
      <c r="M3176" s="73"/>
      <c r="N3176" s="73"/>
      <c r="O3176" s="73"/>
      <c r="P3176" s="73"/>
      <c r="Q3176" s="73"/>
      <c r="R3176" s="73"/>
      <c r="S3176" s="73"/>
      <c r="T3176" s="73"/>
      <c r="U3176" s="73"/>
      <c r="V3176" s="73"/>
      <c r="W3176" s="73"/>
      <c r="GL3176" s="73"/>
      <c r="GM3176" s="73"/>
      <c r="GN3176" s="73"/>
      <c r="GO3176" s="73"/>
      <c r="GP3176" s="73"/>
      <c r="GQ3176" s="73"/>
      <c r="GR3176" s="73"/>
      <c r="GS3176" s="73"/>
      <c r="GT3176" s="73"/>
      <c r="GU3176" s="73"/>
      <c r="GV3176" s="73"/>
      <c r="GW3176" s="73"/>
      <c r="GX3176" s="73"/>
      <c r="GY3176" s="73"/>
      <c r="GZ3176" s="73"/>
      <c r="HA3176" s="73"/>
      <c r="HB3176" s="73"/>
      <c r="HC3176" s="73"/>
      <c r="HD3176" s="73"/>
      <c r="HE3176" s="73"/>
      <c r="HF3176" s="73"/>
      <c r="HG3176" s="73"/>
      <c r="HH3176" s="73"/>
      <c r="HI3176" s="73"/>
      <c r="HJ3176" s="73"/>
      <c r="HK3176" s="73"/>
      <c r="HL3176" s="73"/>
      <c r="HM3176" s="73"/>
      <c r="HN3176" s="73"/>
      <c r="HO3176" s="73"/>
      <c r="HP3176" s="73"/>
      <c r="HQ3176" s="73"/>
      <c r="HR3176" s="73"/>
      <c r="HS3176" s="73"/>
      <c r="HT3176" s="73"/>
      <c r="HU3176" s="73"/>
      <c r="HV3176" s="73"/>
      <c r="HW3176" s="73"/>
      <c r="HX3176" s="73"/>
      <c r="HY3176" s="73"/>
      <c r="HZ3176" s="73"/>
      <c r="IA3176" s="73"/>
      <c r="IB3176" s="73"/>
      <c r="IC3176" s="73"/>
      <c r="ID3176" s="73"/>
      <c r="IE3176" s="73"/>
      <c r="IF3176" s="73"/>
      <c r="IG3176" s="73"/>
      <c r="IH3176" s="73"/>
      <c r="II3176" s="73"/>
      <c r="IJ3176" s="73"/>
      <c r="IK3176" s="73"/>
      <c r="IL3176" s="73"/>
      <c r="IM3176" s="73"/>
      <c r="IN3176" s="73"/>
      <c r="IO3176" s="73"/>
      <c r="IP3176" s="73"/>
      <c r="IQ3176" s="73"/>
      <c r="IR3176" s="73"/>
      <c r="IS3176" s="73"/>
      <c r="IT3176" s="73"/>
      <c r="IU3176" s="73"/>
      <c r="IV3176" s="73"/>
      <c r="IW3176" s="73"/>
      <c r="IX3176" s="73"/>
      <c r="IY3176" s="73"/>
      <c r="IZ3176" s="73"/>
      <c r="JA3176" s="73"/>
      <c r="JB3176" s="73"/>
      <c r="JC3176" s="73"/>
    </row>
    <row r="3177" spans="2:263" s="72" customFormat="1">
      <c r="B3177" s="73"/>
      <c r="C3177" s="73"/>
      <c r="D3177" s="73"/>
      <c r="E3177" s="73"/>
      <c r="F3177" s="73"/>
      <c r="G3177" s="73"/>
      <c r="H3177" s="73"/>
      <c r="I3177" s="73"/>
      <c r="J3177" s="73"/>
      <c r="K3177" s="73"/>
      <c r="L3177" s="73"/>
      <c r="M3177" s="73"/>
      <c r="N3177" s="73"/>
      <c r="O3177" s="73"/>
      <c r="P3177" s="73"/>
      <c r="Q3177" s="73"/>
      <c r="R3177" s="73"/>
      <c r="S3177" s="73"/>
      <c r="T3177" s="73"/>
      <c r="U3177" s="73"/>
      <c r="V3177" s="73"/>
      <c r="W3177" s="73"/>
      <c r="GL3177" s="73"/>
      <c r="GM3177" s="73"/>
      <c r="GN3177" s="73"/>
      <c r="GO3177" s="73"/>
      <c r="GP3177" s="73"/>
      <c r="GQ3177" s="73"/>
      <c r="GR3177" s="73"/>
      <c r="GS3177" s="73"/>
      <c r="GT3177" s="73"/>
      <c r="GU3177" s="73"/>
      <c r="GV3177" s="73"/>
      <c r="GW3177" s="73"/>
      <c r="GX3177" s="73"/>
      <c r="GY3177" s="73"/>
      <c r="GZ3177" s="73"/>
      <c r="HA3177" s="73"/>
      <c r="HB3177" s="73"/>
      <c r="HC3177" s="73"/>
      <c r="HD3177" s="73"/>
      <c r="HE3177" s="73"/>
      <c r="HF3177" s="73"/>
      <c r="HG3177" s="73"/>
      <c r="HH3177" s="73"/>
      <c r="HI3177" s="73"/>
      <c r="HJ3177" s="73"/>
      <c r="HK3177" s="73"/>
      <c r="HL3177" s="73"/>
      <c r="HM3177" s="73"/>
      <c r="HN3177" s="73"/>
      <c r="HO3177" s="73"/>
      <c r="HP3177" s="73"/>
      <c r="HQ3177" s="73"/>
      <c r="HR3177" s="73"/>
      <c r="HS3177" s="73"/>
      <c r="HT3177" s="73"/>
      <c r="HU3177" s="73"/>
      <c r="HV3177" s="73"/>
      <c r="HW3177" s="73"/>
      <c r="HX3177" s="73"/>
      <c r="HY3177" s="73"/>
      <c r="HZ3177" s="73"/>
      <c r="IA3177" s="73"/>
      <c r="IB3177" s="73"/>
      <c r="IC3177" s="73"/>
      <c r="ID3177" s="73"/>
      <c r="IE3177" s="73"/>
      <c r="IF3177" s="73"/>
      <c r="IG3177" s="73"/>
      <c r="IH3177" s="73"/>
      <c r="II3177" s="73"/>
      <c r="IJ3177" s="73"/>
      <c r="IK3177" s="73"/>
      <c r="IL3177" s="73"/>
      <c r="IM3177" s="73"/>
      <c r="IN3177" s="73"/>
      <c r="IO3177" s="73"/>
      <c r="IP3177" s="73"/>
      <c r="IQ3177" s="73"/>
      <c r="IR3177" s="73"/>
      <c r="IS3177" s="73"/>
      <c r="IT3177" s="73"/>
      <c r="IU3177" s="73"/>
      <c r="IV3177" s="73"/>
      <c r="IW3177" s="73"/>
      <c r="IX3177" s="73"/>
      <c r="IY3177" s="73"/>
      <c r="IZ3177" s="73"/>
      <c r="JA3177" s="73"/>
      <c r="JB3177" s="73"/>
      <c r="JC3177" s="73"/>
    </row>
    <row r="3178" spans="2:263" s="72" customFormat="1">
      <c r="B3178" s="73"/>
      <c r="C3178" s="73"/>
      <c r="D3178" s="73"/>
      <c r="E3178" s="73"/>
      <c r="F3178" s="73"/>
      <c r="G3178" s="73"/>
      <c r="H3178" s="73"/>
      <c r="I3178" s="73"/>
      <c r="J3178" s="73"/>
      <c r="K3178" s="73"/>
      <c r="L3178" s="73"/>
      <c r="M3178" s="73"/>
      <c r="N3178" s="73"/>
      <c r="O3178" s="73"/>
      <c r="P3178" s="73"/>
      <c r="Q3178" s="73"/>
      <c r="R3178" s="73"/>
      <c r="S3178" s="73"/>
      <c r="T3178" s="73"/>
      <c r="U3178" s="73"/>
      <c r="V3178" s="73"/>
      <c r="W3178" s="73"/>
      <c r="GL3178" s="73"/>
      <c r="GM3178" s="73"/>
      <c r="GN3178" s="73"/>
      <c r="GO3178" s="73"/>
      <c r="GP3178" s="73"/>
      <c r="GQ3178" s="73"/>
      <c r="GR3178" s="73"/>
      <c r="GS3178" s="73"/>
      <c r="GT3178" s="73"/>
      <c r="GU3178" s="73"/>
      <c r="GV3178" s="73"/>
      <c r="GW3178" s="73"/>
      <c r="GX3178" s="73"/>
      <c r="GY3178" s="73"/>
      <c r="GZ3178" s="73"/>
      <c r="HA3178" s="73"/>
      <c r="HB3178" s="73"/>
      <c r="HC3178" s="73"/>
      <c r="HD3178" s="73"/>
      <c r="HE3178" s="73"/>
      <c r="HF3178" s="73"/>
      <c r="HG3178" s="73"/>
      <c r="HH3178" s="73"/>
      <c r="HI3178" s="73"/>
      <c r="HJ3178" s="73"/>
      <c r="HK3178" s="73"/>
      <c r="HL3178" s="73"/>
      <c r="HM3178" s="73"/>
      <c r="HN3178" s="73"/>
      <c r="HO3178" s="73"/>
      <c r="HP3178" s="73"/>
      <c r="HQ3178" s="73"/>
      <c r="HR3178" s="73"/>
      <c r="HS3178" s="73"/>
      <c r="HT3178" s="73"/>
      <c r="HU3178" s="73"/>
      <c r="HV3178" s="73"/>
      <c r="HW3178" s="73"/>
      <c r="HX3178" s="73"/>
      <c r="HY3178" s="73"/>
      <c r="HZ3178" s="73"/>
      <c r="IA3178" s="73"/>
      <c r="IB3178" s="73"/>
      <c r="IC3178" s="73"/>
      <c r="ID3178" s="73"/>
      <c r="IE3178" s="73"/>
      <c r="IF3178" s="73"/>
      <c r="IG3178" s="73"/>
      <c r="IH3178" s="73"/>
      <c r="II3178" s="73"/>
      <c r="IJ3178" s="73"/>
      <c r="IK3178" s="73"/>
      <c r="IL3178" s="73"/>
      <c r="IM3178" s="73"/>
      <c r="IN3178" s="73"/>
      <c r="IO3178" s="73"/>
      <c r="IP3178" s="73"/>
      <c r="IQ3178" s="73"/>
      <c r="IR3178" s="73"/>
      <c r="IS3178" s="73"/>
      <c r="IT3178" s="73"/>
      <c r="IU3178" s="73"/>
      <c r="IV3178" s="73"/>
      <c r="IW3178" s="73"/>
      <c r="IX3178" s="73"/>
      <c r="IY3178" s="73"/>
      <c r="IZ3178" s="73"/>
      <c r="JA3178" s="73"/>
      <c r="JB3178" s="73"/>
      <c r="JC3178" s="73"/>
    </row>
    <row r="3179" spans="2:263" s="72" customFormat="1">
      <c r="B3179" s="73"/>
      <c r="C3179" s="73"/>
      <c r="D3179" s="73"/>
      <c r="E3179" s="73"/>
      <c r="F3179" s="73"/>
      <c r="G3179" s="73"/>
      <c r="H3179" s="73"/>
      <c r="I3179" s="73"/>
      <c r="J3179" s="73"/>
      <c r="K3179" s="73"/>
      <c r="L3179" s="73"/>
      <c r="M3179" s="73"/>
      <c r="N3179" s="73"/>
      <c r="O3179" s="73"/>
      <c r="P3179" s="73"/>
      <c r="Q3179" s="73"/>
      <c r="R3179" s="73"/>
      <c r="S3179" s="73"/>
      <c r="T3179" s="73"/>
      <c r="U3179" s="73"/>
      <c r="V3179" s="73"/>
      <c r="W3179" s="73"/>
      <c r="GL3179" s="73"/>
      <c r="GM3179" s="73"/>
      <c r="GN3179" s="73"/>
      <c r="GO3179" s="73"/>
      <c r="GP3179" s="73"/>
      <c r="GQ3179" s="73"/>
      <c r="GR3179" s="73"/>
      <c r="GS3179" s="73"/>
      <c r="GT3179" s="73"/>
      <c r="GU3179" s="73"/>
      <c r="GV3179" s="73"/>
      <c r="GW3179" s="73"/>
      <c r="GX3179" s="73"/>
      <c r="GY3179" s="73"/>
      <c r="GZ3179" s="73"/>
      <c r="HA3179" s="73"/>
      <c r="HB3179" s="73"/>
      <c r="HC3179" s="73"/>
      <c r="HD3179" s="73"/>
      <c r="HE3179" s="73"/>
      <c r="HF3179" s="73"/>
      <c r="HG3179" s="73"/>
      <c r="HH3179" s="73"/>
      <c r="HI3179" s="73"/>
      <c r="HJ3179" s="73"/>
      <c r="HK3179" s="73"/>
      <c r="HL3179" s="73"/>
      <c r="HM3179" s="73"/>
      <c r="HN3179" s="73"/>
      <c r="HO3179" s="73"/>
      <c r="HP3179" s="73"/>
      <c r="HQ3179" s="73"/>
      <c r="HR3179" s="73"/>
      <c r="HS3179" s="73"/>
      <c r="HT3179" s="73"/>
      <c r="HU3179" s="73"/>
      <c r="HV3179" s="73"/>
      <c r="HW3179" s="73"/>
      <c r="HX3179" s="73"/>
      <c r="HY3179" s="73"/>
      <c r="HZ3179" s="73"/>
      <c r="IA3179" s="73"/>
      <c r="IB3179" s="73"/>
      <c r="IC3179" s="73"/>
      <c r="ID3179" s="73"/>
      <c r="IE3179" s="73"/>
      <c r="IF3179" s="73"/>
      <c r="IG3179" s="73"/>
      <c r="IH3179" s="73"/>
      <c r="II3179" s="73"/>
      <c r="IJ3179" s="73"/>
      <c r="IK3179" s="73"/>
      <c r="IL3179" s="73"/>
      <c r="IM3179" s="73"/>
      <c r="IN3179" s="73"/>
      <c r="IO3179" s="73"/>
      <c r="IP3179" s="73"/>
      <c r="IQ3179" s="73"/>
      <c r="IR3179" s="73"/>
      <c r="IS3179" s="73"/>
      <c r="IT3179" s="73"/>
      <c r="IU3179" s="73"/>
      <c r="IV3179" s="73"/>
      <c r="IW3179" s="73"/>
      <c r="IX3179" s="73"/>
      <c r="IY3179" s="73"/>
      <c r="IZ3179" s="73"/>
      <c r="JA3179" s="73"/>
      <c r="JB3179" s="73"/>
      <c r="JC3179" s="73"/>
    </row>
    <row r="3180" spans="2:263" s="72" customFormat="1">
      <c r="B3180" s="73"/>
      <c r="C3180" s="73"/>
      <c r="D3180" s="73"/>
      <c r="E3180" s="73"/>
      <c r="F3180" s="73"/>
      <c r="G3180" s="73"/>
      <c r="H3180" s="73"/>
      <c r="I3180" s="73"/>
      <c r="J3180" s="73"/>
      <c r="K3180" s="73"/>
      <c r="L3180" s="73"/>
      <c r="M3180" s="73"/>
      <c r="N3180" s="73"/>
      <c r="O3180" s="73"/>
      <c r="P3180" s="73"/>
      <c r="Q3180" s="73"/>
      <c r="R3180" s="73"/>
      <c r="S3180" s="73"/>
      <c r="T3180" s="73"/>
      <c r="U3180" s="73"/>
      <c r="V3180" s="73"/>
      <c r="W3180" s="73"/>
      <c r="GL3180" s="73"/>
      <c r="GM3180" s="73"/>
      <c r="GN3180" s="73"/>
      <c r="GO3180" s="73"/>
      <c r="GP3180" s="73"/>
      <c r="GQ3180" s="73"/>
      <c r="GR3180" s="73"/>
      <c r="GS3180" s="73"/>
      <c r="GT3180" s="73"/>
      <c r="GU3180" s="73"/>
      <c r="GV3180" s="73"/>
      <c r="GW3180" s="73"/>
      <c r="GX3180" s="73"/>
      <c r="GY3180" s="73"/>
      <c r="GZ3180" s="73"/>
      <c r="HA3180" s="73"/>
      <c r="HB3180" s="73"/>
      <c r="HC3180" s="73"/>
      <c r="HD3180" s="73"/>
      <c r="HE3180" s="73"/>
      <c r="HF3180" s="73"/>
      <c r="HG3180" s="73"/>
      <c r="HH3180" s="73"/>
      <c r="HI3180" s="73"/>
      <c r="HJ3180" s="73"/>
      <c r="HK3180" s="73"/>
      <c r="HL3180" s="73"/>
      <c r="HM3180" s="73"/>
      <c r="HN3180" s="73"/>
      <c r="HO3180" s="73"/>
      <c r="HP3180" s="73"/>
      <c r="HQ3180" s="73"/>
      <c r="HR3180" s="73"/>
      <c r="HS3180" s="73"/>
      <c r="HT3180" s="73"/>
      <c r="HU3180" s="73"/>
      <c r="HV3180" s="73"/>
      <c r="HW3180" s="73"/>
      <c r="HX3180" s="73"/>
      <c r="HY3180" s="73"/>
      <c r="HZ3180" s="73"/>
      <c r="IA3180" s="73"/>
      <c r="IB3180" s="73"/>
      <c r="IC3180" s="73"/>
      <c r="ID3180" s="73"/>
      <c r="IE3180" s="73"/>
      <c r="IF3180" s="73"/>
      <c r="IG3180" s="73"/>
      <c r="IH3180" s="73"/>
      <c r="II3180" s="73"/>
      <c r="IJ3180" s="73"/>
      <c r="IK3180" s="73"/>
      <c r="IL3180" s="73"/>
      <c r="IM3180" s="73"/>
      <c r="IN3180" s="73"/>
      <c r="IO3180" s="73"/>
      <c r="IP3180" s="73"/>
      <c r="IQ3180" s="73"/>
      <c r="IR3180" s="73"/>
      <c r="IS3180" s="73"/>
      <c r="IT3180" s="73"/>
      <c r="IU3180" s="73"/>
      <c r="IV3180" s="73"/>
      <c r="IW3180" s="73"/>
      <c r="IX3180" s="73"/>
      <c r="IY3180" s="73"/>
      <c r="IZ3180" s="73"/>
      <c r="JA3180" s="73"/>
      <c r="JB3180" s="73"/>
      <c r="JC3180" s="73"/>
    </row>
    <row r="3181" spans="2:263" s="72" customFormat="1">
      <c r="B3181" s="73"/>
      <c r="C3181" s="73"/>
      <c r="D3181" s="73"/>
      <c r="E3181" s="73"/>
      <c r="F3181" s="73"/>
      <c r="G3181" s="73"/>
      <c r="H3181" s="73"/>
      <c r="I3181" s="73"/>
      <c r="J3181" s="73"/>
      <c r="K3181" s="73"/>
      <c r="L3181" s="73"/>
      <c r="M3181" s="73"/>
      <c r="N3181" s="73"/>
      <c r="O3181" s="73"/>
      <c r="P3181" s="73"/>
      <c r="Q3181" s="73"/>
      <c r="R3181" s="73"/>
      <c r="S3181" s="73"/>
      <c r="T3181" s="73"/>
      <c r="U3181" s="73"/>
      <c r="V3181" s="73"/>
      <c r="W3181" s="73"/>
      <c r="GL3181" s="73"/>
      <c r="GM3181" s="73"/>
      <c r="GN3181" s="73"/>
      <c r="GO3181" s="73"/>
      <c r="GP3181" s="73"/>
      <c r="GQ3181" s="73"/>
      <c r="GR3181" s="73"/>
      <c r="GS3181" s="73"/>
      <c r="GT3181" s="73"/>
      <c r="GU3181" s="73"/>
      <c r="GV3181" s="73"/>
      <c r="GW3181" s="73"/>
      <c r="GX3181" s="73"/>
      <c r="GY3181" s="73"/>
      <c r="GZ3181" s="73"/>
      <c r="HA3181" s="73"/>
      <c r="HB3181" s="73"/>
      <c r="HC3181" s="73"/>
      <c r="HD3181" s="73"/>
      <c r="HE3181" s="73"/>
      <c r="HF3181" s="73"/>
      <c r="HG3181" s="73"/>
      <c r="HH3181" s="73"/>
      <c r="HI3181" s="73"/>
      <c r="HJ3181" s="73"/>
      <c r="HK3181" s="73"/>
      <c r="HL3181" s="73"/>
      <c r="HM3181" s="73"/>
      <c r="HN3181" s="73"/>
      <c r="HO3181" s="73"/>
      <c r="HP3181" s="73"/>
      <c r="HQ3181" s="73"/>
      <c r="HR3181" s="73"/>
      <c r="HS3181" s="73"/>
      <c r="HT3181" s="73"/>
      <c r="HU3181" s="73"/>
      <c r="HV3181" s="73"/>
      <c r="HW3181" s="73"/>
      <c r="HX3181" s="73"/>
      <c r="HY3181" s="73"/>
      <c r="HZ3181" s="73"/>
      <c r="IA3181" s="73"/>
      <c r="IB3181" s="73"/>
      <c r="IC3181" s="73"/>
      <c r="ID3181" s="73"/>
      <c r="IE3181" s="73"/>
      <c r="IF3181" s="73"/>
      <c r="IG3181" s="73"/>
      <c r="IH3181" s="73"/>
      <c r="II3181" s="73"/>
      <c r="IJ3181" s="73"/>
      <c r="IK3181" s="73"/>
      <c r="IL3181" s="73"/>
      <c r="IM3181" s="73"/>
      <c r="IN3181" s="73"/>
      <c r="IO3181" s="73"/>
      <c r="IP3181" s="73"/>
      <c r="IQ3181" s="73"/>
      <c r="IR3181" s="73"/>
      <c r="IS3181" s="73"/>
      <c r="IT3181" s="73"/>
      <c r="IU3181" s="73"/>
      <c r="IV3181" s="73"/>
      <c r="IW3181" s="73"/>
      <c r="IX3181" s="73"/>
      <c r="IY3181" s="73"/>
      <c r="IZ3181" s="73"/>
      <c r="JA3181" s="73"/>
      <c r="JB3181" s="73"/>
      <c r="JC3181" s="73"/>
    </row>
    <row r="3182" spans="2:263" s="72" customFormat="1">
      <c r="B3182" s="73"/>
      <c r="C3182" s="73"/>
      <c r="D3182" s="73"/>
      <c r="E3182" s="73"/>
      <c r="F3182" s="73"/>
      <c r="G3182" s="73"/>
      <c r="H3182" s="73"/>
      <c r="I3182" s="73"/>
      <c r="J3182" s="73"/>
      <c r="K3182" s="73"/>
      <c r="L3182" s="73"/>
      <c r="M3182" s="73"/>
      <c r="N3182" s="73"/>
      <c r="O3182" s="73"/>
      <c r="P3182" s="73"/>
      <c r="Q3182" s="73"/>
      <c r="R3182" s="73"/>
      <c r="S3182" s="73"/>
      <c r="T3182" s="73"/>
      <c r="U3182" s="73"/>
      <c r="V3182" s="73"/>
      <c r="W3182" s="73"/>
      <c r="GL3182" s="73"/>
      <c r="GM3182" s="73"/>
      <c r="GN3182" s="73"/>
      <c r="GO3182" s="73"/>
      <c r="GP3182" s="73"/>
      <c r="GQ3182" s="73"/>
      <c r="GR3182" s="73"/>
      <c r="GS3182" s="73"/>
      <c r="GT3182" s="73"/>
      <c r="GU3182" s="73"/>
      <c r="GV3182" s="73"/>
      <c r="GW3182" s="73"/>
      <c r="GX3182" s="73"/>
      <c r="GY3182" s="73"/>
      <c r="GZ3182" s="73"/>
      <c r="HA3182" s="73"/>
      <c r="HB3182" s="73"/>
      <c r="HC3182" s="73"/>
      <c r="HD3182" s="73"/>
      <c r="HE3182" s="73"/>
      <c r="HF3182" s="73"/>
      <c r="HG3182" s="73"/>
      <c r="HH3182" s="73"/>
      <c r="HI3182" s="73"/>
      <c r="HJ3182" s="73"/>
      <c r="HK3182" s="73"/>
      <c r="HL3182" s="73"/>
      <c r="HM3182" s="73"/>
      <c r="HN3182" s="73"/>
      <c r="HO3182" s="73"/>
      <c r="HP3182" s="73"/>
      <c r="HQ3182" s="73"/>
      <c r="HR3182" s="73"/>
      <c r="HS3182" s="73"/>
      <c r="HT3182" s="73"/>
      <c r="HU3182" s="73"/>
      <c r="HV3182" s="73"/>
      <c r="HW3182" s="73"/>
      <c r="HX3182" s="73"/>
      <c r="HY3182" s="73"/>
      <c r="HZ3182" s="73"/>
      <c r="IA3182" s="73"/>
      <c r="IB3182" s="73"/>
      <c r="IC3182" s="73"/>
      <c r="ID3182" s="73"/>
      <c r="IE3182" s="73"/>
      <c r="IF3182" s="73"/>
      <c r="IG3182" s="73"/>
      <c r="IH3182" s="73"/>
      <c r="II3182" s="73"/>
      <c r="IJ3182" s="73"/>
      <c r="IK3182" s="73"/>
      <c r="IL3182" s="73"/>
      <c r="IM3182" s="73"/>
      <c r="IN3182" s="73"/>
      <c r="IO3182" s="73"/>
      <c r="IP3182" s="73"/>
      <c r="IQ3182" s="73"/>
      <c r="IR3182" s="73"/>
      <c r="IS3182" s="73"/>
      <c r="IT3182" s="73"/>
      <c r="IU3182" s="73"/>
      <c r="IV3182" s="73"/>
      <c r="IW3182" s="73"/>
      <c r="IX3182" s="73"/>
      <c r="IY3182" s="73"/>
      <c r="IZ3182" s="73"/>
      <c r="JA3182" s="73"/>
      <c r="JB3182" s="73"/>
      <c r="JC3182" s="73"/>
    </row>
    <row r="3183" spans="2:263" s="72" customFormat="1">
      <c r="B3183" s="73"/>
      <c r="C3183" s="73"/>
      <c r="D3183" s="73"/>
      <c r="E3183" s="73"/>
      <c r="F3183" s="73"/>
      <c r="G3183" s="73"/>
      <c r="H3183" s="73"/>
      <c r="I3183" s="73"/>
      <c r="J3183" s="73"/>
      <c r="K3183" s="73"/>
      <c r="L3183" s="73"/>
      <c r="M3183" s="73"/>
      <c r="N3183" s="73"/>
      <c r="O3183" s="73"/>
      <c r="P3183" s="73"/>
      <c r="Q3183" s="73"/>
      <c r="R3183" s="73"/>
      <c r="S3183" s="73"/>
      <c r="T3183" s="73"/>
      <c r="U3183" s="73"/>
      <c r="V3183" s="73"/>
      <c r="W3183" s="73"/>
      <c r="GL3183" s="73"/>
      <c r="GM3183" s="73"/>
      <c r="GN3183" s="73"/>
      <c r="GO3183" s="73"/>
      <c r="GP3183" s="73"/>
      <c r="GQ3183" s="73"/>
      <c r="GR3183" s="73"/>
      <c r="GS3183" s="73"/>
      <c r="GT3183" s="73"/>
      <c r="GU3183" s="73"/>
      <c r="GV3183" s="73"/>
      <c r="GW3183" s="73"/>
      <c r="GX3183" s="73"/>
      <c r="GY3183" s="73"/>
      <c r="GZ3183" s="73"/>
      <c r="HA3183" s="73"/>
      <c r="HB3183" s="73"/>
      <c r="HC3183" s="73"/>
      <c r="HD3183" s="73"/>
      <c r="HE3183" s="73"/>
      <c r="HF3183" s="73"/>
      <c r="HG3183" s="73"/>
      <c r="HH3183" s="73"/>
      <c r="HI3183" s="73"/>
      <c r="HJ3183" s="73"/>
      <c r="HK3183" s="73"/>
      <c r="HL3183" s="73"/>
      <c r="HM3183" s="73"/>
      <c r="HN3183" s="73"/>
      <c r="HO3183" s="73"/>
      <c r="HP3183" s="73"/>
      <c r="HQ3183" s="73"/>
      <c r="HR3183" s="73"/>
      <c r="HS3183" s="73"/>
      <c r="HT3183" s="73"/>
      <c r="HU3183" s="73"/>
      <c r="HV3183" s="73"/>
      <c r="HW3183" s="73"/>
      <c r="HX3183" s="73"/>
      <c r="HY3183" s="73"/>
      <c r="HZ3183" s="73"/>
      <c r="IA3183" s="73"/>
      <c r="IB3183" s="73"/>
      <c r="IC3183" s="73"/>
      <c r="ID3183" s="73"/>
      <c r="IE3183" s="73"/>
      <c r="IF3183" s="73"/>
      <c r="IG3183" s="73"/>
      <c r="IH3183" s="73"/>
      <c r="II3183" s="73"/>
      <c r="IJ3183" s="73"/>
      <c r="IK3183" s="73"/>
      <c r="IL3183" s="73"/>
      <c r="IM3183" s="73"/>
      <c r="IN3183" s="73"/>
      <c r="IO3183" s="73"/>
      <c r="IP3183" s="73"/>
      <c r="IQ3183" s="73"/>
      <c r="IR3183" s="73"/>
      <c r="IS3183" s="73"/>
      <c r="IT3183" s="73"/>
      <c r="IU3183" s="73"/>
      <c r="IV3183" s="73"/>
      <c r="IW3183" s="73"/>
      <c r="IX3183" s="73"/>
      <c r="IY3183" s="73"/>
      <c r="IZ3183" s="73"/>
      <c r="JA3183" s="73"/>
      <c r="JB3183" s="73"/>
      <c r="JC3183" s="73"/>
    </row>
    <row r="3184" spans="2:263" s="72" customFormat="1">
      <c r="B3184" s="73"/>
      <c r="C3184" s="73"/>
      <c r="D3184" s="73"/>
      <c r="E3184" s="73"/>
      <c r="F3184" s="73"/>
      <c r="G3184" s="73"/>
      <c r="H3184" s="73"/>
      <c r="I3184" s="73"/>
      <c r="J3184" s="73"/>
      <c r="K3184" s="73"/>
      <c r="L3184" s="73"/>
      <c r="M3184" s="73"/>
      <c r="N3184" s="73"/>
      <c r="O3184" s="73"/>
      <c r="P3184" s="73"/>
      <c r="Q3184" s="73"/>
      <c r="R3184" s="73"/>
      <c r="S3184" s="73"/>
      <c r="T3184" s="73"/>
      <c r="U3184" s="73"/>
      <c r="V3184" s="73"/>
      <c r="W3184" s="73"/>
      <c r="GL3184" s="73"/>
      <c r="GM3184" s="73"/>
      <c r="GN3184" s="73"/>
      <c r="GO3184" s="73"/>
      <c r="GP3184" s="73"/>
      <c r="GQ3184" s="73"/>
      <c r="GR3184" s="73"/>
      <c r="GS3184" s="73"/>
      <c r="GT3184" s="73"/>
      <c r="GU3184" s="73"/>
      <c r="GV3184" s="73"/>
      <c r="GW3184" s="73"/>
      <c r="GX3184" s="73"/>
      <c r="GY3184" s="73"/>
      <c r="GZ3184" s="73"/>
      <c r="HA3184" s="73"/>
      <c r="HB3184" s="73"/>
      <c r="HC3184" s="73"/>
      <c r="HD3184" s="73"/>
      <c r="HE3184" s="73"/>
      <c r="HF3184" s="73"/>
      <c r="HG3184" s="73"/>
      <c r="HH3184" s="73"/>
      <c r="HI3184" s="73"/>
      <c r="HJ3184" s="73"/>
      <c r="HK3184" s="73"/>
      <c r="HL3184" s="73"/>
      <c r="HM3184" s="73"/>
      <c r="HN3184" s="73"/>
      <c r="HO3184" s="73"/>
      <c r="HP3184" s="73"/>
      <c r="HQ3184" s="73"/>
      <c r="HR3184" s="73"/>
      <c r="HS3184" s="73"/>
      <c r="HT3184" s="73"/>
      <c r="HU3184" s="73"/>
      <c r="HV3184" s="73"/>
      <c r="HW3184" s="73"/>
      <c r="HX3184" s="73"/>
      <c r="HY3184" s="73"/>
      <c r="HZ3184" s="73"/>
      <c r="IA3184" s="73"/>
      <c r="IB3184" s="73"/>
      <c r="IC3184" s="73"/>
      <c r="ID3184" s="73"/>
      <c r="IE3184" s="73"/>
      <c r="IF3184" s="73"/>
      <c r="IG3184" s="73"/>
      <c r="IH3184" s="73"/>
      <c r="II3184" s="73"/>
      <c r="IJ3184" s="73"/>
      <c r="IK3184" s="73"/>
      <c r="IL3184" s="73"/>
      <c r="IM3184" s="73"/>
      <c r="IN3184" s="73"/>
      <c r="IO3184" s="73"/>
      <c r="IP3184" s="73"/>
      <c r="IQ3184" s="73"/>
      <c r="IR3184" s="73"/>
      <c r="IS3184" s="73"/>
      <c r="IT3184" s="73"/>
      <c r="IU3184" s="73"/>
      <c r="IV3184" s="73"/>
      <c r="IW3184" s="73"/>
      <c r="IX3184" s="73"/>
      <c r="IY3184" s="73"/>
      <c r="IZ3184" s="73"/>
      <c r="JA3184" s="73"/>
      <c r="JB3184" s="73"/>
      <c r="JC3184" s="73"/>
    </row>
    <row r="3185" spans="2:263" s="72" customFormat="1">
      <c r="B3185" s="73"/>
      <c r="C3185" s="73"/>
      <c r="D3185" s="73"/>
      <c r="E3185" s="73"/>
      <c r="F3185" s="73"/>
      <c r="G3185" s="73"/>
      <c r="H3185" s="73"/>
      <c r="I3185" s="73"/>
      <c r="J3185" s="73"/>
      <c r="K3185" s="73"/>
      <c r="L3185" s="73"/>
      <c r="M3185" s="73"/>
      <c r="N3185" s="73"/>
      <c r="O3185" s="73"/>
      <c r="P3185" s="73"/>
      <c r="Q3185" s="73"/>
      <c r="R3185" s="73"/>
      <c r="S3185" s="73"/>
      <c r="T3185" s="73"/>
      <c r="U3185" s="73"/>
      <c r="V3185" s="73"/>
      <c r="W3185" s="73"/>
      <c r="GL3185" s="73"/>
      <c r="GM3185" s="73"/>
      <c r="GN3185" s="73"/>
      <c r="GO3185" s="73"/>
      <c r="GP3185" s="73"/>
      <c r="GQ3185" s="73"/>
      <c r="GR3185" s="73"/>
      <c r="GS3185" s="73"/>
      <c r="GT3185" s="73"/>
      <c r="GU3185" s="73"/>
      <c r="GV3185" s="73"/>
      <c r="GW3185" s="73"/>
      <c r="GX3185" s="73"/>
      <c r="GY3185" s="73"/>
      <c r="GZ3185" s="73"/>
      <c r="HA3185" s="73"/>
      <c r="HB3185" s="73"/>
      <c r="HC3185" s="73"/>
      <c r="HD3185" s="73"/>
      <c r="HE3185" s="73"/>
      <c r="HF3185" s="73"/>
      <c r="HG3185" s="73"/>
      <c r="HH3185" s="73"/>
      <c r="HI3185" s="73"/>
      <c r="HJ3185" s="73"/>
      <c r="HK3185" s="73"/>
      <c r="HL3185" s="73"/>
      <c r="HM3185" s="73"/>
      <c r="HN3185" s="73"/>
      <c r="HO3185" s="73"/>
      <c r="HP3185" s="73"/>
      <c r="HQ3185" s="73"/>
      <c r="HR3185" s="73"/>
      <c r="HS3185" s="73"/>
      <c r="HT3185" s="73"/>
      <c r="HU3185" s="73"/>
      <c r="HV3185" s="73"/>
      <c r="HW3185" s="73"/>
      <c r="HX3185" s="73"/>
      <c r="HY3185" s="73"/>
      <c r="HZ3185" s="73"/>
      <c r="IA3185" s="73"/>
      <c r="IB3185" s="73"/>
      <c r="IC3185" s="73"/>
      <c r="ID3185" s="73"/>
      <c r="IE3185" s="73"/>
      <c r="IF3185" s="73"/>
      <c r="IG3185" s="73"/>
      <c r="IH3185" s="73"/>
      <c r="II3185" s="73"/>
      <c r="IJ3185" s="73"/>
      <c r="IK3185" s="73"/>
      <c r="IL3185" s="73"/>
      <c r="IM3185" s="73"/>
      <c r="IN3185" s="73"/>
      <c r="IO3185" s="73"/>
      <c r="IP3185" s="73"/>
      <c r="IQ3185" s="73"/>
      <c r="IR3185" s="73"/>
      <c r="IS3185" s="73"/>
      <c r="IT3185" s="73"/>
      <c r="IU3185" s="73"/>
      <c r="IV3185" s="73"/>
      <c r="IW3185" s="73"/>
      <c r="IX3185" s="73"/>
      <c r="IY3185" s="73"/>
      <c r="IZ3185" s="73"/>
      <c r="JA3185" s="73"/>
      <c r="JB3185" s="73"/>
      <c r="JC3185" s="73"/>
    </row>
    <row r="3186" spans="2:263" s="72" customFormat="1">
      <c r="B3186" s="73"/>
      <c r="C3186" s="73"/>
      <c r="D3186" s="73"/>
      <c r="E3186" s="73"/>
      <c r="F3186" s="73"/>
      <c r="G3186" s="73"/>
      <c r="H3186" s="73"/>
      <c r="I3186" s="73"/>
      <c r="J3186" s="73"/>
      <c r="K3186" s="73"/>
      <c r="L3186" s="73"/>
      <c r="M3186" s="73"/>
      <c r="N3186" s="73"/>
      <c r="O3186" s="73"/>
      <c r="P3186" s="73"/>
      <c r="Q3186" s="73"/>
      <c r="R3186" s="73"/>
      <c r="S3186" s="73"/>
      <c r="T3186" s="73"/>
      <c r="U3186" s="73"/>
      <c r="V3186" s="73"/>
      <c r="W3186" s="73"/>
      <c r="GL3186" s="73"/>
      <c r="GM3186" s="73"/>
      <c r="GN3186" s="73"/>
      <c r="GO3186" s="73"/>
      <c r="GP3186" s="73"/>
      <c r="GQ3186" s="73"/>
      <c r="GR3186" s="73"/>
      <c r="GS3186" s="73"/>
      <c r="GT3186" s="73"/>
      <c r="GU3186" s="73"/>
      <c r="GV3186" s="73"/>
      <c r="GW3186" s="73"/>
      <c r="GX3186" s="73"/>
      <c r="GY3186" s="73"/>
      <c r="GZ3186" s="73"/>
      <c r="HA3186" s="73"/>
      <c r="HB3186" s="73"/>
      <c r="HC3186" s="73"/>
      <c r="HD3186" s="73"/>
      <c r="HE3186" s="73"/>
      <c r="HF3186" s="73"/>
      <c r="HG3186" s="73"/>
      <c r="HH3186" s="73"/>
      <c r="HI3186" s="73"/>
      <c r="HJ3186" s="73"/>
      <c r="HK3186" s="73"/>
      <c r="HL3186" s="73"/>
      <c r="HM3186" s="73"/>
      <c r="HN3186" s="73"/>
      <c r="HO3186" s="73"/>
      <c r="HP3186" s="73"/>
      <c r="HQ3186" s="73"/>
      <c r="HR3186" s="73"/>
      <c r="HS3186" s="73"/>
      <c r="HT3186" s="73"/>
      <c r="HU3186" s="73"/>
      <c r="HV3186" s="73"/>
      <c r="HW3186" s="73"/>
      <c r="HX3186" s="73"/>
      <c r="HY3186" s="73"/>
      <c r="HZ3186" s="73"/>
      <c r="IA3186" s="73"/>
      <c r="IB3186" s="73"/>
      <c r="IC3186" s="73"/>
      <c r="ID3186" s="73"/>
      <c r="IE3186" s="73"/>
      <c r="IF3186" s="73"/>
      <c r="IG3186" s="73"/>
      <c r="IH3186" s="73"/>
      <c r="II3186" s="73"/>
      <c r="IJ3186" s="73"/>
      <c r="IK3186" s="73"/>
      <c r="IL3186" s="73"/>
      <c r="IM3186" s="73"/>
      <c r="IN3186" s="73"/>
      <c r="IO3186" s="73"/>
      <c r="IP3186" s="73"/>
      <c r="IQ3186" s="73"/>
      <c r="IR3186" s="73"/>
      <c r="IS3186" s="73"/>
      <c r="IT3186" s="73"/>
      <c r="IU3186" s="73"/>
      <c r="IV3186" s="73"/>
      <c r="IW3186" s="73"/>
      <c r="IX3186" s="73"/>
      <c r="IY3186" s="73"/>
      <c r="IZ3186" s="73"/>
      <c r="JA3186" s="73"/>
      <c r="JB3186" s="73"/>
      <c r="JC3186" s="73"/>
    </row>
    <row r="3187" spans="2:263" s="72" customFormat="1">
      <c r="B3187" s="73"/>
      <c r="C3187" s="73"/>
      <c r="D3187" s="73"/>
      <c r="E3187" s="73"/>
      <c r="F3187" s="73"/>
      <c r="G3187" s="73"/>
      <c r="H3187" s="73"/>
      <c r="I3187" s="73"/>
      <c r="J3187" s="73"/>
      <c r="K3187" s="73"/>
      <c r="L3187" s="73"/>
      <c r="M3187" s="73"/>
      <c r="N3187" s="73"/>
      <c r="O3187" s="73"/>
      <c r="P3187" s="73"/>
      <c r="Q3187" s="73"/>
      <c r="R3187" s="73"/>
      <c r="S3187" s="73"/>
      <c r="T3187" s="73"/>
      <c r="U3187" s="73"/>
      <c r="V3187" s="73"/>
      <c r="W3187" s="73"/>
      <c r="GL3187" s="73"/>
      <c r="GM3187" s="73"/>
      <c r="GN3187" s="73"/>
      <c r="GO3187" s="73"/>
      <c r="GP3187" s="73"/>
      <c r="GQ3187" s="73"/>
      <c r="GR3187" s="73"/>
      <c r="GS3187" s="73"/>
      <c r="GT3187" s="73"/>
      <c r="GU3187" s="73"/>
      <c r="GV3187" s="73"/>
      <c r="GW3187" s="73"/>
      <c r="GX3187" s="73"/>
      <c r="GY3187" s="73"/>
      <c r="GZ3187" s="73"/>
      <c r="HA3187" s="73"/>
      <c r="HB3187" s="73"/>
      <c r="HC3187" s="73"/>
      <c r="HD3187" s="73"/>
      <c r="HE3187" s="73"/>
      <c r="HF3187" s="73"/>
      <c r="HG3187" s="73"/>
      <c r="HH3187" s="73"/>
      <c r="HI3187" s="73"/>
      <c r="HJ3187" s="73"/>
      <c r="HK3187" s="73"/>
      <c r="HL3187" s="73"/>
      <c r="HM3187" s="73"/>
      <c r="HN3187" s="73"/>
      <c r="HO3187" s="73"/>
      <c r="HP3187" s="73"/>
      <c r="HQ3187" s="73"/>
      <c r="HR3187" s="73"/>
      <c r="HS3187" s="73"/>
      <c r="HT3187" s="73"/>
      <c r="HU3187" s="73"/>
      <c r="HV3187" s="73"/>
      <c r="HW3187" s="73"/>
      <c r="HX3187" s="73"/>
      <c r="HY3187" s="73"/>
      <c r="HZ3187" s="73"/>
      <c r="IA3187" s="73"/>
      <c r="IB3187" s="73"/>
      <c r="IC3187" s="73"/>
      <c r="ID3187" s="73"/>
      <c r="IE3187" s="73"/>
      <c r="IF3187" s="73"/>
      <c r="IG3187" s="73"/>
      <c r="IH3187" s="73"/>
      <c r="II3187" s="73"/>
      <c r="IJ3187" s="73"/>
      <c r="IK3187" s="73"/>
      <c r="IL3187" s="73"/>
      <c r="IM3187" s="73"/>
      <c r="IN3187" s="73"/>
      <c r="IO3187" s="73"/>
      <c r="IP3187" s="73"/>
      <c r="IQ3187" s="73"/>
      <c r="IR3187" s="73"/>
      <c r="IS3187" s="73"/>
      <c r="IT3187" s="73"/>
      <c r="IU3187" s="73"/>
      <c r="IV3187" s="73"/>
      <c r="IW3187" s="73"/>
      <c r="IX3187" s="73"/>
      <c r="IY3187" s="73"/>
      <c r="IZ3187" s="73"/>
      <c r="JA3187" s="73"/>
      <c r="JB3187" s="73"/>
      <c r="JC3187" s="73"/>
    </row>
    <row r="3188" spans="2:263" s="72" customFormat="1">
      <c r="B3188" s="73"/>
      <c r="C3188" s="73"/>
      <c r="D3188" s="73"/>
      <c r="E3188" s="73"/>
      <c r="F3188" s="73"/>
      <c r="G3188" s="73"/>
      <c r="H3188" s="73"/>
      <c r="I3188" s="73"/>
      <c r="J3188" s="73"/>
      <c r="K3188" s="73"/>
      <c r="L3188" s="73"/>
      <c r="M3188" s="73"/>
      <c r="N3188" s="73"/>
      <c r="O3188" s="73"/>
      <c r="P3188" s="73"/>
      <c r="Q3188" s="73"/>
      <c r="R3188" s="73"/>
      <c r="S3188" s="73"/>
      <c r="T3188" s="73"/>
      <c r="U3188" s="73"/>
      <c r="V3188" s="73"/>
      <c r="W3188" s="73"/>
      <c r="GL3188" s="73"/>
      <c r="GM3188" s="73"/>
      <c r="GN3188" s="73"/>
      <c r="GO3188" s="73"/>
      <c r="GP3188" s="73"/>
      <c r="GQ3188" s="73"/>
      <c r="GR3188" s="73"/>
      <c r="GS3188" s="73"/>
      <c r="GT3188" s="73"/>
      <c r="GU3188" s="73"/>
      <c r="GV3188" s="73"/>
      <c r="GW3188" s="73"/>
      <c r="GX3188" s="73"/>
      <c r="GY3188" s="73"/>
      <c r="GZ3188" s="73"/>
      <c r="HA3188" s="73"/>
      <c r="HB3188" s="73"/>
      <c r="HC3188" s="73"/>
      <c r="HD3188" s="73"/>
      <c r="HE3188" s="73"/>
      <c r="HF3188" s="73"/>
      <c r="HG3188" s="73"/>
      <c r="HH3188" s="73"/>
      <c r="HI3188" s="73"/>
      <c r="HJ3188" s="73"/>
      <c r="HK3188" s="73"/>
      <c r="HL3188" s="73"/>
      <c r="HM3188" s="73"/>
      <c r="HN3188" s="73"/>
      <c r="HO3188" s="73"/>
      <c r="HP3188" s="73"/>
      <c r="HQ3188" s="73"/>
      <c r="HR3188" s="73"/>
      <c r="HS3188" s="73"/>
      <c r="HT3188" s="73"/>
      <c r="HU3188" s="73"/>
      <c r="HV3188" s="73"/>
      <c r="HW3188" s="73"/>
      <c r="HX3188" s="73"/>
      <c r="HY3188" s="73"/>
      <c r="HZ3188" s="73"/>
      <c r="IA3188" s="73"/>
      <c r="IB3188" s="73"/>
      <c r="IC3188" s="73"/>
      <c r="ID3188" s="73"/>
      <c r="IE3188" s="73"/>
      <c r="IF3188" s="73"/>
      <c r="IG3188" s="73"/>
      <c r="IH3188" s="73"/>
      <c r="II3188" s="73"/>
      <c r="IJ3188" s="73"/>
      <c r="IK3188" s="73"/>
      <c r="IL3188" s="73"/>
      <c r="IM3188" s="73"/>
      <c r="IN3188" s="73"/>
      <c r="IO3188" s="73"/>
      <c r="IP3188" s="73"/>
      <c r="IQ3188" s="73"/>
      <c r="IR3188" s="73"/>
      <c r="IS3188" s="73"/>
      <c r="IT3188" s="73"/>
      <c r="IU3188" s="73"/>
      <c r="IV3188" s="73"/>
      <c r="IW3188" s="73"/>
      <c r="IX3188" s="73"/>
      <c r="IY3188" s="73"/>
      <c r="IZ3188" s="73"/>
      <c r="JA3188" s="73"/>
      <c r="JB3188" s="73"/>
      <c r="JC3188" s="73"/>
    </row>
    <row r="3189" spans="2:263" s="72" customFormat="1">
      <c r="B3189" s="73"/>
      <c r="C3189" s="73"/>
      <c r="D3189" s="73"/>
      <c r="E3189" s="73"/>
      <c r="F3189" s="73"/>
      <c r="G3189" s="73"/>
      <c r="H3189" s="73"/>
      <c r="I3189" s="73"/>
      <c r="J3189" s="73"/>
      <c r="K3189" s="73"/>
      <c r="L3189" s="73"/>
      <c r="M3189" s="73"/>
      <c r="N3189" s="73"/>
      <c r="O3189" s="73"/>
      <c r="P3189" s="73"/>
      <c r="Q3189" s="73"/>
      <c r="R3189" s="73"/>
      <c r="S3189" s="73"/>
      <c r="T3189" s="73"/>
      <c r="U3189" s="73"/>
      <c r="V3189" s="73"/>
      <c r="W3189" s="73"/>
      <c r="GL3189" s="73"/>
      <c r="GM3189" s="73"/>
      <c r="GN3189" s="73"/>
      <c r="GO3189" s="73"/>
      <c r="GP3189" s="73"/>
      <c r="GQ3189" s="73"/>
      <c r="GR3189" s="73"/>
      <c r="GS3189" s="73"/>
      <c r="GT3189" s="73"/>
      <c r="GU3189" s="73"/>
      <c r="GV3189" s="73"/>
      <c r="GW3189" s="73"/>
      <c r="GX3189" s="73"/>
      <c r="GY3189" s="73"/>
      <c r="GZ3189" s="73"/>
      <c r="HA3189" s="73"/>
      <c r="HB3189" s="73"/>
      <c r="HC3189" s="73"/>
      <c r="HD3189" s="73"/>
      <c r="HE3189" s="73"/>
      <c r="HF3189" s="73"/>
      <c r="HG3189" s="73"/>
      <c r="HH3189" s="73"/>
      <c r="HI3189" s="73"/>
      <c r="HJ3189" s="73"/>
      <c r="HK3189" s="73"/>
      <c r="HL3189" s="73"/>
      <c r="HM3189" s="73"/>
      <c r="HN3189" s="73"/>
      <c r="HO3189" s="73"/>
      <c r="HP3189" s="73"/>
      <c r="HQ3189" s="73"/>
      <c r="HR3189" s="73"/>
      <c r="HS3189" s="73"/>
      <c r="HT3189" s="73"/>
      <c r="HU3189" s="73"/>
      <c r="HV3189" s="73"/>
      <c r="HW3189" s="73"/>
      <c r="HX3189" s="73"/>
      <c r="HY3189" s="73"/>
      <c r="HZ3189" s="73"/>
      <c r="IA3189" s="73"/>
      <c r="IB3189" s="73"/>
      <c r="IC3189" s="73"/>
      <c r="ID3189" s="73"/>
      <c r="IE3189" s="73"/>
      <c r="IF3189" s="73"/>
      <c r="IG3189" s="73"/>
      <c r="IH3189" s="73"/>
      <c r="II3189" s="73"/>
      <c r="IJ3189" s="73"/>
      <c r="IK3189" s="73"/>
      <c r="IL3189" s="73"/>
      <c r="IM3189" s="73"/>
      <c r="IN3189" s="73"/>
      <c r="IO3189" s="73"/>
      <c r="IP3189" s="73"/>
      <c r="IQ3189" s="73"/>
      <c r="IR3189" s="73"/>
      <c r="IS3189" s="73"/>
      <c r="IT3189" s="73"/>
      <c r="IU3189" s="73"/>
      <c r="IV3189" s="73"/>
      <c r="IW3189" s="73"/>
      <c r="IX3189" s="73"/>
      <c r="IY3189" s="73"/>
      <c r="IZ3189" s="73"/>
      <c r="JA3189" s="73"/>
      <c r="JB3189" s="73"/>
      <c r="JC3189" s="73"/>
    </row>
    <row r="3190" spans="2:263" s="72" customFormat="1">
      <c r="B3190" s="73"/>
      <c r="C3190" s="73"/>
      <c r="D3190" s="73"/>
      <c r="E3190" s="73"/>
      <c r="F3190" s="73"/>
      <c r="G3190" s="73"/>
      <c r="H3190" s="73"/>
      <c r="I3190" s="73"/>
      <c r="J3190" s="73"/>
      <c r="K3190" s="73"/>
      <c r="L3190" s="73"/>
      <c r="M3190" s="73"/>
      <c r="N3190" s="73"/>
      <c r="O3190" s="73"/>
      <c r="P3190" s="73"/>
      <c r="Q3190" s="73"/>
      <c r="R3190" s="73"/>
      <c r="S3190" s="73"/>
      <c r="T3190" s="73"/>
      <c r="U3190" s="73"/>
      <c r="V3190" s="73"/>
      <c r="W3190" s="73"/>
      <c r="GL3190" s="73"/>
      <c r="GM3190" s="73"/>
      <c r="GN3190" s="73"/>
      <c r="GO3190" s="73"/>
      <c r="GP3190" s="73"/>
      <c r="GQ3190" s="73"/>
      <c r="GR3190" s="73"/>
      <c r="GS3190" s="73"/>
      <c r="GT3190" s="73"/>
      <c r="GU3190" s="73"/>
      <c r="GV3190" s="73"/>
      <c r="GW3190" s="73"/>
      <c r="GX3190" s="73"/>
      <c r="GY3190" s="73"/>
      <c r="GZ3190" s="73"/>
      <c r="HA3190" s="73"/>
      <c r="HB3190" s="73"/>
      <c r="HC3190" s="73"/>
      <c r="HD3190" s="73"/>
      <c r="HE3190" s="73"/>
      <c r="HF3190" s="73"/>
      <c r="HG3190" s="73"/>
      <c r="HH3190" s="73"/>
      <c r="HI3190" s="73"/>
      <c r="HJ3190" s="73"/>
      <c r="HK3190" s="73"/>
      <c r="HL3190" s="73"/>
      <c r="HM3190" s="73"/>
      <c r="HN3190" s="73"/>
      <c r="HO3190" s="73"/>
      <c r="HP3190" s="73"/>
      <c r="HQ3190" s="73"/>
      <c r="HR3190" s="73"/>
      <c r="HS3190" s="73"/>
      <c r="HT3190" s="73"/>
      <c r="HU3190" s="73"/>
      <c r="HV3190" s="73"/>
      <c r="HW3190" s="73"/>
      <c r="HX3190" s="73"/>
      <c r="HY3190" s="73"/>
      <c r="HZ3190" s="73"/>
      <c r="IA3190" s="73"/>
      <c r="IB3190" s="73"/>
      <c r="IC3190" s="73"/>
      <c r="ID3190" s="73"/>
      <c r="IE3190" s="73"/>
      <c r="IF3190" s="73"/>
      <c r="IG3190" s="73"/>
      <c r="IH3190" s="73"/>
      <c r="II3190" s="73"/>
      <c r="IJ3190" s="73"/>
      <c r="IK3190" s="73"/>
      <c r="IL3190" s="73"/>
      <c r="IM3190" s="73"/>
      <c r="IN3190" s="73"/>
      <c r="IO3190" s="73"/>
      <c r="IP3190" s="73"/>
      <c r="IQ3190" s="73"/>
      <c r="IR3190" s="73"/>
      <c r="IS3190" s="73"/>
      <c r="IT3190" s="73"/>
      <c r="IU3190" s="73"/>
      <c r="IV3190" s="73"/>
      <c r="IW3190" s="73"/>
      <c r="IX3190" s="73"/>
      <c r="IY3190" s="73"/>
      <c r="IZ3190" s="73"/>
      <c r="JA3190" s="73"/>
      <c r="JB3190" s="73"/>
      <c r="JC3190" s="73"/>
    </row>
    <row r="3191" spans="2:263" s="72" customFormat="1">
      <c r="B3191" s="73"/>
      <c r="C3191" s="73"/>
      <c r="D3191" s="73"/>
      <c r="E3191" s="73"/>
      <c r="F3191" s="73"/>
      <c r="G3191" s="73"/>
      <c r="H3191" s="73"/>
      <c r="I3191" s="73"/>
      <c r="J3191" s="73"/>
      <c r="K3191" s="73"/>
      <c r="L3191" s="73"/>
      <c r="M3191" s="73"/>
      <c r="N3191" s="73"/>
      <c r="O3191" s="73"/>
      <c r="P3191" s="73"/>
      <c r="Q3191" s="73"/>
      <c r="R3191" s="73"/>
      <c r="S3191" s="73"/>
      <c r="T3191" s="73"/>
      <c r="U3191" s="73"/>
      <c r="V3191" s="73"/>
      <c r="W3191" s="73"/>
      <c r="GL3191" s="73"/>
      <c r="GM3191" s="73"/>
      <c r="GN3191" s="73"/>
      <c r="GO3191" s="73"/>
      <c r="GP3191" s="73"/>
      <c r="GQ3191" s="73"/>
      <c r="GR3191" s="73"/>
      <c r="GS3191" s="73"/>
      <c r="GT3191" s="73"/>
      <c r="GU3191" s="73"/>
      <c r="GV3191" s="73"/>
      <c r="GW3191" s="73"/>
      <c r="GX3191" s="73"/>
      <c r="GY3191" s="73"/>
      <c r="GZ3191" s="73"/>
      <c r="HA3191" s="73"/>
      <c r="HB3191" s="73"/>
      <c r="HC3191" s="73"/>
      <c r="HD3191" s="73"/>
      <c r="HE3191" s="73"/>
      <c r="HF3191" s="73"/>
      <c r="HG3191" s="73"/>
      <c r="HH3191" s="73"/>
      <c r="HI3191" s="73"/>
      <c r="HJ3191" s="73"/>
      <c r="HK3191" s="73"/>
      <c r="HL3191" s="73"/>
      <c r="HM3191" s="73"/>
      <c r="HN3191" s="73"/>
      <c r="HO3191" s="73"/>
      <c r="HP3191" s="73"/>
      <c r="HQ3191" s="73"/>
      <c r="HR3191" s="73"/>
      <c r="HS3191" s="73"/>
      <c r="HT3191" s="73"/>
      <c r="HU3191" s="73"/>
      <c r="HV3191" s="73"/>
      <c r="HW3191" s="73"/>
      <c r="HX3191" s="73"/>
      <c r="HY3191" s="73"/>
      <c r="HZ3191" s="73"/>
      <c r="IA3191" s="73"/>
      <c r="IB3191" s="73"/>
      <c r="IC3191" s="73"/>
      <c r="ID3191" s="73"/>
      <c r="IE3191" s="73"/>
      <c r="IF3191" s="73"/>
      <c r="IG3191" s="73"/>
      <c r="IH3191" s="73"/>
      <c r="II3191" s="73"/>
      <c r="IJ3191" s="73"/>
      <c r="IK3191" s="73"/>
      <c r="IL3191" s="73"/>
      <c r="IM3191" s="73"/>
      <c r="IN3191" s="73"/>
      <c r="IO3191" s="73"/>
      <c r="IP3191" s="73"/>
      <c r="IQ3191" s="73"/>
      <c r="IR3191" s="73"/>
      <c r="IS3191" s="73"/>
      <c r="IT3191" s="73"/>
      <c r="IU3191" s="73"/>
      <c r="IV3191" s="73"/>
      <c r="IW3191" s="73"/>
      <c r="IX3191" s="73"/>
      <c r="IY3191" s="73"/>
      <c r="IZ3191" s="73"/>
      <c r="JA3191" s="73"/>
      <c r="JB3191" s="73"/>
      <c r="JC3191" s="73"/>
    </row>
    <row r="3192" spans="2:263" s="72" customFormat="1">
      <c r="B3192" s="73"/>
      <c r="C3192" s="73"/>
      <c r="D3192" s="73"/>
      <c r="E3192" s="73"/>
      <c r="F3192" s="73"/>
      <c r="G3192" s="73"/>
      <c r="H3192" s="73"/>
      <c r="I3192" s="73"/>
      <c r="J3192" s="73"/>
      <c r="K3192" s="73"/>
      <c r="L3192" s="73"/>
      <c r="M3192" s="73"/>
      <c r="N3192" s="73"/>
      <c r="O3192" s="73"/>
      <c r="P3192" s="73"/>
      <c r="Q3192" s="73"/>
      <c r="R3192" s="73"/>
      <c r="S3192" s="73"/>
      <c r="T3192" s="73"/>
      <c r="U3192" s="73"/>
      <c r="V3192" s="73"/>
      <c r="W3192" s="73"/>
      <c r="GL3192" s="73"/>
      <c r="GM3192" s="73"/>
      <c r="GN3192" s="73"/>
      <c r="GO3192" s="73"/>
      <c r="GP3192" s="73"/>
      <c r="GQ3192" s="73"/>
      <c r="GR3192" s="73"/>
      <c r="GS3192" s="73"/>
      <c r="GT3192" s="73"/>
      <c r="GU3192" s="73"/>
      <c r="GV3192" s="73"/>
      <c r="GW3192" s="73"/>
      <c r="GX3192" s="73"/>
      <c r="GY3192" s="73"/>
      <c r="GZ3192" s="73"/>
      <c r="HA3192" s="73"/>
      <c r="HB3192" s="73"/>
      <c r="HC3192" s="73"/>
      <c r="HD3192" s="73"/>
      <c r="HE3192" s="73"/>
      <c r="HF3192" s="73"/>
      <c r="HG3192" s="73"/>
      <c r="HH3192" s="73"/>
      <c r="HI3192" s="73"/>
      <c r="HJ3192" s="73"/>
      <c r="HK3192" s="73"/>
      <c r="HL3192" s="73"/>
      <c r="HM3192" s="73"/>
      <c r="HN3192" s="73"/>
      <c r="HO3192" s="73"/>
      <c r="HP3192" s="73"/>
      <c r="HQ3192" s="73"/>
      <c r="HR3192" s="73"/>
      <c r="HS3192" s="73"/>
      <c r="HT3192" s="73"/>
      <c r="HU3192" s="73"/>
      <c r="HV3192" s="73"/>
      <c r="HW3192" s="73"/>
      <c r="HX3192" s="73"/>
      <c r="HY3192" s="73"/>
      <c r="HZ3192" s="73"/>
      <c r="IA3192" s="73"/>
      <c r="IB3192" s="73"/>
      <c r="IC3192" s="73"/>
      <c r="ID3192" s="73"/>
      <c r="IE3192" s="73"/>
      <c r="IF3192" s="73"/>
      <c r="IG3192" s="73"/>
      <c r="IH3192" s="73"/>
      <c r="II3192" s="73"/>
      <c r="IJ3192" s="73"/>
      <c r="IK3192" s="73"/>
      <c r="IL3192" s="73"/>
      <c r="IM3192" s="73"/>
      <c r="IN3192" s="73"/>
      <c r="IO3192" s="73"/>
      <c r="IP3192" s="73"/>
      <c r="IQ3192" s="73"/>
      <c r="IR3192" s="73"/>
      <c r="IS3192" s="73"/>
      <c r="IT3192" s="73"/>
      <c r="IU3192" s="73"/>
      <c r="IV3192" s="73"/>
      <c r="IW3192" s="73"/>
      <c r="IX3192" s="73"/>
      <c r="IY3192" s="73"/>
      <c r="IZ3192" s="73"/>
      <c r="JA3192" s="73"/>
      <c r="JB3192" s="73"/>
      <c r="JC3192" s="73"/>
    </row>
    <row r="3193" spans="2:263" s="72" customFormat="1">
      <c r="B3193" s="73"/>
      <c r="C3193" s="73"/>
      <c r="D3193" s="73"/>
      <c r="E3193" s="73"/>
      <c r="F3193" s="73"/>
      <c r="G3193" s="73"/>
      <c r="H3193" s="73"/>
      <c r="I3193" s="73"/>
      <c r="J3193" s="73"/>
      <c r="K3193" s="73"/>
      <c r="L3193" s="73"/>
      <c r="M3193" s="73"/>
      <c r="N3193" s="73"/>
      <c r="O3193" s="73"/>
      <c r="P3193" s="73"/>
      <c r="Q3193" s="73"/>
      <c r="R3193" s="73"/>
      <c r="S3193" s="73"/>
      <c r="T3193" s="73"/>
      <c r="U3193" s="73"/>
      <c r="V3193" s="73"/>
      <c r="W3193" s="73"/>
      <c r="GL3193" s="73"/>
      <c r="GM3193" s="73"/>
      <c r="GN3193" s="73"/>
      <c r="GO3193" s="73"/>
      <c r="GP3193" s="73"/>
      <c r="GQ3193" s="73"/>
      <c r="GR3193" s="73"/>
      <c r="GS3193" s="73"/>
      <c r="GT3193" s="73"/>
      <c r="GU3193" s="73"/>
      <c r="GV3193" s="73"/>
      <c r="GW3193" s="73"/>
      <c r="GX3193" s="73"/>
      <c r="GY3193" s="73"/>
      <c r="GZ3193" s="73"/>
      <c r="HA3193" s="73"/>
      <c r="HB3193" s="73"/>
      <c r="HC3193" s="73"/>
      <c r="HD3193" s="73"/>
      <c r="HE3193" s="73"/>
      <c r="HF3193" s="73"/>
      <c r="HG3193" s="73"/>
      <c r="HH3193" s="73"/>
      <c r="HI3193" s="73"/>
      <c r="HJ3193" s="73"/>
      <c r="HK3193" s="73"/>
      <c r="HL3193" s="73"/>
      <c r="HM3193" s="73"/>
      <c r="HN3193" s="73"/>
      <c r="HO3193" s="73"/>
      <c r="HP3193" s="73"/>
      <c r="HQ3193" s="73"/>
      <c r="HR3193" s="73"/>
      <c r="HS3193" s="73"/>
      <c r="HT3193" s="73"/>
      <c r="HU3193" s="73"/>
      <c r="HV3193" s="73"/>
      <c r="HW3193" s="73"/>
      <c r="HX3193" s="73"/>
      <c r="HY3193" s="73"/>
      <c r="HZ3193" s="73"/>
      <c r="IA3193" s="73"/>
      <c r="IB3193" s="73"/>
      <c r="IC3193" s="73"/>
      <c r="ID3193" s="73"/>
      <c r="IE3193" s="73"/>
      <c r="IF3193" s="73"/>
      <c r="IG3193" s="73"/>
      <c r="IH3193" s="73"/>
      <c r="II3193" s="73"/>
      <c r="IJ3193" s="73"/>
      <c r="IK3193" s="73"/>
      <c r="IL3193" s="73"/>
      <c r="IM3193" s="73"/>
      <c r="IN3193" s="73"/>
      <c r="IO3193" s="73"/>
      <c r="IP3193" s="73"/>
      <c r="IQ3193" s="73"/>
      <c r="IR3193" s="73"/>
      <c r="IS3193" s="73"/>
      <c r="IT3193" s="73"/>
      <c r="IU3193" s="73"/>
      <c r="IV3193" s="73"/>
      <c r="IW3193" s="73"/>
      <c r="IX3193" s="73"/>
      <c r="IY3193" s="73"/>
      <c r="IZ3193" s="73"/>
      <c r="JA3193" s="73"/>
      <c r="JB3193" s="73"/>
      <c r="JC3193" s="73"/>
    </row>
    <row r="3194" spans="2:263" s="72" customFormat="1">
      <c r="B3194" s="73"/>
      <c r="C3194" s="73"/>
      <c r="D3194" s="73"/>
      <c r="E3194" s="73"/>
      <c r="F3194" s="73"/>
      <c r="G3194" s="73"/>
      <c r="H3194" s="73"/>
      <c r="I3194" s="73"/>
      <c r="J3194" s="73"/>
      <c r="K3194" s="73"/>
      <c r="L3194" s="73"/>
      <c r="M3194" s="73"/>
      <c r="N3194" s="73"/>
      <c r="O3194" s="73"/>
      <c r="P3194" s="73"/>
      <c r="Q3194" s="73"/>
      <c r="R3194" s="73"/>
      <c r="S3194" s="73"/>
      <c r="T3194" s="73"/>
      <c r="U3194" s="73"/>
      <c r="V3194" s="73"/>
      <c r="W3194" s="73"/>
      <c r="GL3194" s="73"/>
      <c r="GM3194" s="73"/>
      <c r="GN3194" s="73"/>
      <c r="GO3194" s="73"/>
      <c r="GP3194" s="73"/>
      <c r="GQ3194" s="73"/>
      <c r="GR3194" s="73"/>
      <c r="GS3194" s="73"/>
      <c r="GT3194" s="73"/>
      <c r="GU3194" s="73"/>
      <c r="GV3194" s="73"/>
      <c r="GW3194" s="73"/>
      <c r="GX3194" s="73"/>
      <c r="GY3194" s="73"/>
      <c r="GZ3194" s="73"/>
      <c r="HA3194" s="73"/>
      <c r="HB3194" s="73"/>
      <c r="HC3194" s="73"/>
      <c r="HD3194" s="73"/>
      <c r="HE3194" s="73"/>
      <c r="HF3194" s="73"/>
      <c r="HG3194" s="73"/>
      <c r="HH3194" s="73"/>
      <c r="HI3194" s="73"/>
      <c r="HJ3194" s="73"/>
      <c r="HK3194" s="73"/>
      <c r="HL3194" s="73"/>
      <c r="HM3194" s="73"/>
      <c r="HN3194" s="73"/>
      <c r="HO3194" s="73"/>
      <c r="HP3194" s="73"/>
      <c r="HQ3194" s="73"/>
      <c r="HR3194" s="73"/>
      <c r="HS3194" s="73"/>
      <c r="HT3194" s="73"/>
      <c r="HU3194" s="73"/>
      <c r="HV3194" s="73"/>
      <c r="HW3194" s="73"/>
      <c r="HX3194" s="73"/>
      <c r="HY3194" s="73"/>
      <c r="HZ3194" s="73"/>
      <c r="IA3194" s="73"/>
      <c r="IB3194" s="73"/>
      <c r="IC3194" s="73"/>
      <c r="ID3194" s="73"/>
      <c r="IE3194" s="73"/>
      <c r="IF3194" s="73"/>
      <c r="IG3194" s="73"/>
      <c r="IH3194" s="73"/>
      <c r="II3194" s="73"/>
      <c r="IJ3194" s="73"/>
      <c r="IK3194" s="73"/>
      <c r="IL3194" s="73"/>
      <c r="IM3194" s="73"/>
      <c r="IN3194" s="73"/>
      <c r="IO3194" s="73"/>
      <c r="IP3194" s="73"/>
      <c r="IQ3194" s="73"/>
      <c r="IR3194" s="73"/>
      <c r="IS3194" s="73"/>
      <c r="IT3194" s="73"/>
      <c r="IU3194" s="73"/>
      <c r="IV3194" s="73"/>
      <c r="IW3194" s="73"/>
      <c r="IX3194" s="73"/>
      <c r="IY3194" s="73"/>
      <c r="IZ3194" s="73"/>
      <c r="JA3194" s="73"/>
      <c r="JB3194" s="73"/>
      <c r="JC3194" s="73"/>
    </row>
    <row r="3195" spans="2:263" s="72" customFormat="1">
      <c r="B3195" s="73"/>
      <c r="C3195" s="73"/>
      <c r="D3195" s="73"/>
      <c r="E3195" s="73"/>
      <c r="F3195" s="73"/>
      <c r="G3195" s="73"/>
      <c r="H3195" s="73"/>
      <c r="I3195" s="73"/>
      <c r="J3195" s="73"/>
      <c r="K3195" s="73"/>
      <c r="L3195" s="73"/>
      <c r="M3195" s="73"/>
      <c r="N3195" s="73"/>
      <c r="O3195" s="73"/>
      <c r="P3195" s="73"/>
      <c r="Q3195" s="73"/>
      <c r="R3195" s="73"/>
      <c r="S3195" s="73"/>
      <c r="T3195" s="73"/>
      <c r="U3195" s="73"/>
      <c r="V3195" s="73"/>
      <c r="W3195" s="73"/>
      <c r="GL3195" s="73"/>
      <c r="GM3195" s="73"/>
      <c r="GN3195" s="73"/>
      <c r="GO3195" s="73"/>
      <c r="GP3195" s="73"/>
      <c r="GQ3195" s="73"/>
      <c r="GR3195" s="73"/>
      <c r="GS3195" s="73"/>
      <c r="GT3195" s="73"/>
      <c r="GU3195" s="73"/>
      <c r="GV3195" s="73"/>
      <c r="GW3195" s="73"/>
      <c r="GX3195" s="73"/>
      <c r="GY3195" s="73"/>
      <c r="GZ3195" s="73"/>
      <c r="HA3195" s="73"/>
      <c r="HB3195" s="73"/>
      <c r="HC3195" s="73"/>
      <c r="HD3195" s="73"/>
      <c r="HE3195" s="73"/>
      <c r="HF3195" s="73"/>
      <c r="HG3195" s="73"/>
      <c r="HH3195" s="73"/>
      <c r="HI3195" s="73"/>
      <c r="HJ3195" s="73"/>
      <c r="HK3195" s="73"/>
      <c r="HL3195" s="73"/>
      <c r="HM3195" s="73"/>
      <c r="HN3195" s="73"/>
      <c r="HO3195" s="73"/>
      <c r="HP3195" s="73"/>
      <c r="HQ3195" s="73"/>
      <c r="HR3195" s="73"/>
      <c r="HS3195" s="73"/>
      <c r="HT3195" s="73"/>
      <c r="HU3195" s="73"/>
      <c r="HV3195" s="73"/>
      <c r="HW3195" s="73"/>
      <c r="HX3195" s="73"/>
      <c r="HY3195" s="73"/>
      <c r="HZ3195" s="73"/>
      <c r="IA3195" s="73"/>
      <c r="IB3195" s="73"/>
      <c r="IC3195" s="73"/>
      <c r="ID3195" s="73"/>
      <c r="IE3195" s="73"/>
      <c r="IF3195" s="73"/>
      <c r="IG3195" s="73"/>
      <c r="IH3195" s="73"/>
      <c r="II3195" s="73"/>
      <c r="IJ3195" s="73"/>
      <c r="IK3195" s="73"/>
      <c r="IL3195" s="73"/>
      <c r="IM3195" s="73"/>
      <c r="IN3195" s="73"/>
      <c r="IO3195" s="73"/>
      <c r="IP3195" s="73"/>
      <c r="IQ3195" s="73"/>
      <c r="IR3195" s="73"/>
      <c r="IS3195" s="73"/>
      <c r="IT3195" s="73"/>
      <c r="IU3195" s="73"/>
      <c r="IV3195" s="73"/>
      <c r="IW3195" s="73"/>
      <c r="IX3195" s="73"/>
      <c r="IY3195" s="73"/>
      <c r="IZ3195" s="73"/>
      <c r="JA3195" s="73"/>
      <c r="JB3195" s="73"/>
      <c r="JC3195" s="73"/>
    </row>
    <row r="3196" spans="2:263" s="72" customFormat="1">
      <c r="B3196" s="73"/>
      <c r="C3196" s="73"/>
      <c r="D3196" s="73"/>
      <c r="E3196" s="73"/>
      <c r="F3196" s="73"/>
      <c r="G3196" s="73"/>
      <c r="H3196" s="73"/>
      <c r="I3196" s="73"/>
      <c r="J3196" s="73"/>
      <c r="K3196" s="73"/>
      <c r="L3196" s="73"/>
      <c r="M3196" s="73"/>
      <c r="N3196" s="73"/>
      <c r="O3196" s="73"/>
      <c r="P3196" s="73"/>
      <c r="Q3196" s="73"/>
      <c r="R3196" s="73"/>
      <c r="S3196" s="73"/>
      <c r="T3196" s="73"/>
      <c r="U3196" s="73"/>
      <c r="V3196" s="73"/>
      <c r="W3196" s="73"/>
      <c r="GL3196" s="73"/>
      <c r="GM3196" s="73"/>
      <c r="GN3196" s="73"/>
      <c r="GO3196" s="73"/>
      <c r="GP3196" s="73"/>
      <c r="GQ3196" s="73"/>
      <c r="GR3196" s="73"/>
      <c r="GS3196" s="73"/>
      <c r="GT3196" s="73"/>
      <c r="GU3196" s="73"/>
      <c r="GV3196" s="73"/>
      <c r="GW3196" s="73"/>
      <c r="GX3196" s="73"/>
      <c r="GY3196" s="73"/>
      <c r="GZ3196" s="73"/>
      <c r="HA3196" s="73"/>
      <c r="HB3196" s="73"/>
      <c r="HC3196" s="73"/>
      <c r="HD3196" s="73"/>
      <c r="HE3196" s="73"/>
      <c r="HF3196" s="73"/>
      <c r="HG3196" s="73"/>
      <c r="HH3196" s="73"/>
      <c r="HI3196" s="73"/>
      <c r="HJ3196" s="73"/>
      <c r="HK3196" s="73"/>
      <c r="HL3196" s="73"/>
      <c r="HM3196" s="73"/>
      <c r="HN3196" s="73"/>
      <c r="HO3196" s="73"/>
      <c r="HP3196" s="73"/>
      <c r="HQ3196" s="73"/>
      <c r="HR3196" s="73"/>
      <c r="HS3196" s="73"/>
      <c r="HT3196" s="73"/>
      <c r="HU3196" s="73"/>
      <c r="HV3196" s="73"/>
      <c r="HW3196" s="73"/>
      <c r="HX3196" s="73"/>
      <c r="HY3196" s="73"/>
      <c r="HZ3196" s="73"/>
      <c r="IA3196" s="73"/>
      <c r="IB3196" s="73"/>
      <c r="IC3196" s="73"/>
      <c r="ID3196" s="73"/>
      <c r="IE3196" s="73"/>
      <c r="IF3196" s="73"/>
      <c r="IG3196" s="73"/>
      <c r="IH3196" s="73"/>
      <c r="II3196" s="73"/>
      <c r="IJ3196" s="73"/>
      <c r="IK3196" s="73"/>
      <c r="IL3196" s="73"/>
      <c r="IM3196" s="73"/>
      <c r="IN3196" s="73"/>
      <c r="IO3196" s="73"/>
      <c r="IP3196" s="73"/>
      <c r="IQ3196" s="73"/>
      <c r="IR3196" s="73"/>
      <c r="IS3196" s="73"/>
      <c r="IT3196" s="73"/>
      <c r="IU3196" s="73"/>
      <c r="IV3196" s="73"/>
      <c r="IW3196" s="73"/>
      <c r="IX3196" s="73"/>
      <c r="IY3196" s="73"/>
      <c r="IZ3196" s="73"/>
      <c r="JA3196" s="73"/>
      <c r="JB3196" s="73"/>
      <c r="JC3196" s="73"/>
    </row>
    <row r="3197" spans="2:263" s="72" customFormat="1">
      <c r="B3197" s="73"/>
      <c r="C3197" s="73"/>
      <c r="D3197" s="73"/>
      <c r="E3197" s="73"/>
      <c r="F3197" s="73"/>
      <c r="G3197" s="73"/>
      <c r="H3197" s="73"/>
      <c r="I3197" s="73"/>
      <c r="J3197" s="73"/>
      <c r="K3197" s="73"/>
      <c r="L3197" s="73"/>
      <c r="M3197" s="73"/>
      <c r="N3197" s="73"/>
      <c r="O3197" s="73"/>
      <c r="P3197" s="73"/>
      <c r="Q3197" s="73"/>
      <c r="R3197" s="73"/>
      <c r="S3197" s="73"/>
      <c r="T3197" s="73"/>
      <c r="U3197" s="73"/>
      <c r="V3197" s="73"/>
      <c r="W3197" s="73"/>
      <c r="GL3197" s="73"/>
      <c r="GM3197" s="73"/>
      <c r="GN3197" s="73"/>
      <c r="GO3197" s="73"/>
      <c r="GP3197" s="73"/>
      <c r="GQ3197" s="73"/>
      <c r="GR3197" s="73"/>
      <c r="GS3197" s="73"/>
      <c r="GT3197" s="73"/>
      <c r="GU3197" s="73"/>
      <c r="GV3197" s="73"/>
      <c r="GW3197" s="73"/>
      <c r="GX3197" s="73"/>
      <c r="GY3197" s="73"/>
      <c r="GZ3197" s="73"/>
      <c r="HA3197" s="73"/>
      <c r="HB3197" s="73"/>
      <c r="HC3197" s="73"/>
      <c r="HD3197" s="73"/>
      <c r="HE3197" s="73"/>
      <c r="HF3197" s="73"/>
      <c r="HG3197" s="73"/>
      <c r="HH3197" s="73"/>
      <c r="HI3197" s="73"/>
      <c r="HJ3197" s="73"/>
      <c r="HK3197" s="73"/>
      <c r="HL3197" s="73"/>
      <c r="HM3197" s="73"/>
      <c r="HN3197" s="73"/>
      <c r="HO3197" s="73"/>
      <c r="HP3197" s="73"/>
      <c r="HQ3197" s="73"/>
      <c r="HR3197" s="73"/>
      <c r="HS3197" s="73"/>
      <c r="HT3197" s="73"/>
      <c r="HU3197" s="73"/>
      <c r="HV3197" s="73"/>
      <c r="HW3197" s="73"/>
      <c r="HX3197" s="73"/>
      <c r="HY3197" s="73"/>
      <c r="HZ3197" s="73"/>
      <c r="IA3197" s="73"/>
      <c r="IB3197" s="73"/>
      <c r="IC3197" s="73"/>
      <c r="ID3197" s="73"/>
      <c r="IE3197" s="73"/>
      <c r="IF3197" s="73"/>
      <c r="IG3197" s="73"/>
      <c r="IH3197" s="73"/>
      <c r="II3197" s="73"/>
      <c r="IJ3197" s="73"/>
      <c r="IK3197" s="73"/>
      <c r="IL3197" s="73"/>
      <c r="IM3197" s="73"/>
      <c r="IN3197" s="73"/>
      <c r="IO3197" s="73"/>
      <c r="IP3197" s="73"/>
      <c r="IQ3197" s="73"/>
      <c r="IR3197" s="73"/>
      <c r="IS3197" s="73"/>
      <c r="IT3197" s="73"/>
      <c r="IU3197" s="73"/>
      <c r="IV3197" s="73"/>
      <c r="IW3197" s="73"/>
      <c r="IX3197" s="73"/>
      <c r="IY3197" s="73"/>
      <c r="IZ3197" s="73"/>
      <c r="JA3197" s="73"/>
      <c r="JB3197" s="73"/>
      <c r="JC3197" s="73"/>
    </row>
    <row r="3198" spans="2:263" s="72" customFormat="1">
      <c r="B3198" s="73"/>
      <c r="C3198" s="73"/>
      <c r="D3198" s="73"/>
      <c r="E3198" s="73"/>
      <c r="F3198" s="73"/>
      <c r="G3198" s="73"/>
      <c r="H3198" s="73"/>
      <c r="I3198" s="73"/>
      <c r="J3198" s="73"/>
      <c r="K3198" s="73"/>
      <c r="L3198" s="73"/>
      <c r="M3198" s="73"/>
      <c r="N3198" s="73"/>
      <c r="O3198" s="73"/>
      <c r="P3198" s="73"/>
      <c r="Q3198" s="73"/>
      <c r="R3198" s="73"/>
      <c r="S3198" s="73"/>
      <c r="T3198" s="73"/>
      <c r="U3198" s="73"/>
      <c r="V3198" s="73"/>
      <c r="W3198" s="73"/>
      <c r="GL3198" s="73"/>
      <c r="GM3198" s="73"/>
      <c r="GN3198" s="73"/>
      <c r="GO3198" s="73"/>
      <c r="GP3198" s="73"/>
      <c r="GQ3198" s="73"/>
      <c r="GR3198" s="73"/>
      <c r="GS3198" s="73"/>
      <c r="GT3198" s="73"/>
      <c r="GU3198" s="73"/>
      <c r="GV3198" s="73"/>
      <c r="GW3198" s="73"/>
      <c r="GX3198" s="73"/>
      <c r="GY3198" s="73"/>
      <c r="GZ3198" s="73"/>
      <c r="HA3198" s="73"/>
      <c r="HB3198" s="73"/>
      <c r="HC3198" s="73"/>
      <c r="HD3198" s="73"/>
      <c r="HE3198" s="73"/>
      <c r="HF3198" s="73"/>
      <c r="HG3198" s="73"/>
      <c r="HH3198" s="73"/>
      <c r="HI3198" s="73"/>
      <c r="HJ3198" s="73"/>
      <c r="HK3198" s="73"/>
      <c r="HL3198" s="73"/>
      <c r="HM3198" s="73"/>
      <c r="HN3198" s="73"/>
      <c r="HO3198" s="73"/>
      <c r="HP3198" s="73"/>
      <c r="HQ3198" s="73"/>
      <c r="HR3198" s="73"/>
      <c r="HS3198" s="73"/>
      <c r="HT3198" s="73"/>
      <c r="HU3198" s="73"/>
      <c r="HV3198" s="73"/>
      <c r="HW3198" s="73"/>
      <c r="HX3198" s="73"/>
      <c r="HY3198" s="73"/>
      <c r="HZ3198" s="73"/>
      <c r="IA3198" s="73"/>
      <c r="IB3198" s="73"/>
      <c r="IC3198" s="73"/>
      <c r="ID3198" s="73"/>
      <c r="IE3198" s="73"/>
      <c r="IF3198" s="73"/>
      <c r="IG3198" s="73"/>
      <c r="IH3198" s="73"/>
      <c r="II3198" s="73"/>
      <c r="IJ3198" s="73"/>
      <c r="IK3198" s="73"/>
      <c r="IL3198" s="73"/>
      <c r="IM3198" s="73"/>
      <c r="IN3198" s="73"/>
      <c r="IO3198" s="73"/>
      <c r="IP3198" s="73"/>
      <c r="IQ3198" s="73"/>
      <c r="IR3198" s="73"/>
      <c r="IS3198" s="73"/>
      <c r="IT3198" s="73"/>
      <c r="IU3198" s="73"/>
      <c r="IV3198" s="73"/>
      <c r="IW3198" s="73"/>
      <c r="IX3198" s="73"/>
      <c r="IY3198" s="73"/>
      <c r="IZ3198" s="73"/>
      <c r="JA3198" s="73"/>
      <c r="JB3198" s="73"/>
      <c r="JC3198" s="73"/>
    </row>
    <row r="3199" spans="2:263" s="72" customFormat="1">
      <c r="B3199" s="73"/>
      <c r="C3199" s="73"/>
      <c r="D3199" s="73"/>
      <c r="E3199" s="73"/>
      <c r="F3199" s="73"/>
      <c r="G3199" s="73"/>
      <c r="H3199" s="73"/>
      <c r="I3199" s="73"/>
      <c r="J3199" s="73"/>
      <c r="K3199" s="73"/>
      <c r="L3199" s="73"/>
      <c r="M3199" s="73"/>
      <c r="N3199" s="73"/>
      <c r="O3199" s="73"/>
      <c r="P3199" s="73"/>
      <c r="Q3199" s="73"/>
      <c r="R3199" s="73"/>
      <c r="S3199" s="73"/>
      <c r="T3199" s="73"/>
      <c r="U3199" s="73"/>
      <c r="V3199" s="73"/>
      <c r="W3199" s="73"/>
      <c r="GL3199" s="73"/>
      <c r="GM3199" s="73"/>
      <c r="GN3199" s="73"/>
      <c r="GO3199" s="73"/>
      <c r="GP3199" s="73"/>
      <c r="GQ3199" s="73"/>
      <c r="GR3199" s="73"/>
      <c r="GS3199" s="73"/>
      <c r="GT3199" s="73"/>
      <c r="GU3199" s="73"/>
      <c r="GV3199" s="73"/>
      <c r="GW3199" s="73"/>
      <c r="GX3199" s="73"/>
      <c r="GY3199" s="73"/>
      <c r="GZ3199" s="73"/>
      <c r="HA3199" s="73"/>
      <c r="HB3199" s="73"/>
      <c r="HC3199" s="73"/>
      <c r="HD3199" s="73"/>
      <c r="HE3199" s="73"/>
      <c r="HF3199" s="73"/>
      <c r="HG3199" s="73"/>
      <c r="HH3199" s="73"/>
      <c r="HI3199" s="73"/>
      <c r="HJ3199" s="73"/>
      <c r="HK3199" s="73"/>
      <c r="HL3199" s="73"/>
      <c r="HM3199" s="73"/>
      <c r="HN3199" s="73"/>
      <c r="HO3199" s="73"/>
      <c r="HP3199" s="73"/>
      <c r="HQ3199" s="73"/>
      <c r="HR3199" s="73"/>
      <c r="HS3199" s="73"/>
      <c r="HT3199" s="73"/>
      <c r="HU3199" s="73"/>
      <c r="HV3199" s="73"/>
      <c r="HW3199" s="73"/>
      <c r="HX3199" s="73"/>
      <c r="HY3199" s="73"/>
      <c r="HZ3199" s="73"/>
      <c r="IA3199" s="73"/>
      <c r="IB3199" s="73"/>
      <c r="IC3199" s="73"/>
      <c r="ID3199" s="73"/>
      <c r="IE3199" s="73"/>
      <c r="IF3199" s="73"/>
      <c r="IG3199" s="73"/>
      <c r="IH3199" s="73"/>
      <c r="II3199" s="73"/>
      <c r="IJ3199" s="73"/>
      <c r="IK3199" s="73"/>
      <c r="IL3199" s="73"/>
      <c r="IM3199" s="73"/>
      <c r="IN3199" s="73"/>
      <c r="IO3199" s="73"/>
      <c r="IP3199" s="73"/>
      <c r="IQ3199" s="73"/>
      <c r="IR3199" s="73"/>
      <c r="IS3199" s="73"/>
      <c r="IT3199" s="73"/>
      <c r="IU3199" s="73"/>
      <c r="IV3199" s="73"/>
      <c r="IW3199" s="73"/>
      <c r="IX3199" s="73"/>
      <c r="IY3199" s="73"/>
      <c r="IZ3199" s="73"/>
      <c r="JA3199" s="73"/>
      <c r="JB3199" s="73"/>
      <c r="JC3199" s="73"/>
    </row>
    <row r="3200" spans="2:263" s="72" customFormat="1">
      <c r="B3200" s="73"/>
      <c r="C3200" s="73"/>
      <c r="D3200" s="73"/>
      <c r="E3200" s="73"/>
      <c r="F3200" s="73"/>
      <c r="G3200" s="73"/>
      <c r="H3200" s="73"/>
      <c r="I3200" s="73"/>
      <c r="J3200" s="73"/>
      <c r="K3200" s="73"/>
      <c r="L3200" s="73"/>
      <c r="M3200" s="73"/>
      <c r="N3200" s="73"/>
      <c r="O3200" s="73"/>
      <c r="P3200" s="73"/>
      <c r="Q3200" s="73"/>
      <c r="R3200" s="73"/>
      <c r="S3200" s="73"/>
      <c r="T3200" s="73"/>
      <c r="U3200" s="73"/>
      <c r="V3200" s="73"/>
      <c r="W3200" s="73"/>
      <c r="GL3200" s="73"/>
      <c r="GM3200" s="73"/>
      <c r="GN3200" s="73"/>
      <c r="GO3200" s="73"/>
      <c r="GP3200" s="73"/>
      <c r="GQ3200" s="73"/>
      <c r="GR3200" s="73"/>
      <c r="GS3200" s="73"/>
      <c r="GT3200" s="73"/>
      <c r="GU3200" s="73"/>
      <c r="GV3200" s="73"/>
      <c r="GW3200" s="73"/>
      <c r="GX3200" s="73"/>
      <c r="GY3200" s="73"/>
      <c r="GZ3200" s="73"/>
      <c r="HA3200" s="73"/>
      <c r="HB3200" s="73"/>
      <c r="HC3200" s="73"/>
      <c r="HD3200" s="73"/>
      <c r="HE3200" s="73"/>
      <c r="HF3200" s="73"/>
      <c r="HG3200" s="73"/>
      <c r="HH3200" s="73"/>
      <c r="HI3200" s="73"/>
      <c r="HJ3200" s="73"/>
      <c r="HK3200" s="73"/>
      <c r="HL3200" s="73"/>
      <c r="HM3200" s="73"/>
      <c r="HN3200" s="73"/>
      <c r="HO3200" s="73"/>
      <c r="HP3200" s="73"/>
      <c r="HQ3200" s="73"/>
      <c r="HR3200" s="73"/>
      <c r="HS3200" s="73"/>
      <c r="HT3200" s="73"/>
      <c r="HU3200" s="73"/>
      <c r="HV3200" s="73"/>
      <c r="HW3200" s="73"/>
      <c r="HX3200" s="73"/>
      <c r="HY3200" s="73"/>
      <c r="HZ3200" s="73"/>
      <c r="IA3200" s="73"/>
      <c r="IB3200" s="73"/>
      <c r="IC3200" s="73"/>
      <c r="ID3200" s="73"/>
      <c r="IE3200" s="73"/>
      <c r="IF3200" s="73"/>
      <c r="IG3200" s="73"/>
      <c r="IH3200" s="73"/>
      <c r="II3200" s="73"/>
      <c r="IJ3200" s="73"/>
      <c r="IK3200" s="73"/>
      <c r="IL3200" s="73"/>
      <c r="IM3200" s="73"/>
      <c r="IN3200" s="73"/>
      <c r="IO3200" s="73"/>
      <c r="IP3200" s="73"/>
      <c r="IQ3200" s="73"/>
      <c r="IR3200" s="73"/>
      <c r="IS3200" s="73"/>
      <c r="IT3200" s="73"/>
      <c r="IU3200" s="73"/>
      <c r="IV3200" s="73"/>
      <c r="IW3200" s="73"/>
      <c r="IX3200" s="73"/>
      <c r="IY3200" s="73"/>
      <c r="IZ3200" s="73"/>
      <c r="JA3200" s="73"/>
      <c r="JB3200" s="73"/>
      <c r="JC3200" s="73"/>
    </row>
    <row r="3201" spans="2:263" s="72" customFormat="1">
      <c r="B3201" s="73"/>
      <c r="C3201" s="73"/>
      <c r="D3201" s="73"/>
      <c r="E3201" s="73"/>
      <c r="F3201" s="73"/>
      <c r="G3201" s="73"/>
      <c r="H3201" s="73"/>
      <c r="I3201" s="73"/>
      <c r="J3201" s="73"/>
      <c r="K3201" s="73"/>
      <c r="L3201" s="73"/>
      <c r="M3201" s="73"/>
      <c r="N3201" s="73"/>
      <c r="O3201" s="73"/>
      <c r="P3201" s="73"/>
      <c r="Q3201" s="73"/>
      <c r="R3201" s="73"/>
      <c r="S3201" s="73"/>
      <c r="T3201" s="73"/>
      <c r="U3201" s="73"/>
      <c r="V3201" s="73"/>
      <c r="W3201" s="73"/>
      <c r="GL3201" s="73"/>
      <c r="GM3201" s="73"/>
      <c r="GN3201" s="73"/>
      <c r="GO3201" s="73"/>
      <c r="GP3201" s="73"/>
      <c r="GQ3201" s="73"/>
      <c r="GR3201" s="73"/>
      <c r="GS3201" s="73"/>
      <c r="GT3201" s="73"/>
      <c r="GU3201" s="73"/>
      <c r="GV3201" s="73"/>
      <c r="GW3201" s="73"/>
      <c r="GX3201" s="73"/>
      <c r="GY3201" s="73"/>
      <c r="GZ3201" s="73"/>
      <c r="HA3201" s="73"/>
      <c r="HB3201" s="73"/>
      <c r="HC3201" s="73"/>
      <c r="HD3201" s="73"/>
      <c r="HE3201" s="73"/>
      <c r="HF3201" s="73"/>
      <c r="HG3201" s="73"/>
      <c r="HH3201" s="73"/>
      <c r="HI3201" s="73"/>
      <c r="HJ3201" s="73"/>
      <c r="HK3201" s="73"/>
      <c r="HL3201" s="73"/>
      <c r="HM3201" s="73"/>
      <c r="HN3201" s="73"/>
      <c r="HO3201" s="73"/>
      <c r="HP3201" s="73"/>
      <c r="HQ3201" s="73"/>
      <c r="HR3201" s="73"/>
      <c r="HS3201" s="73"/>
      <c r="HT3201" s="73"/>
      <c r="HU3201" s="73"/>
      <c r="HV3201" s="73"/>
      <c r="HW3201" s="73"/>
      <c r="HX3201" s="73"/>
      <c r="HY3201" s="73"/>
      <c r="HZ3201" s="73"/>
      <c r="IA3201" s="73"/>
      <c r="IB3201" s="73"/>
      <c r="IC3201" s="73"/>
      <c r="ID3201" s="73"/>
      <c r="IE3201" s="73"/>
      <c r="IF3201" s="73"/>
      <c r="IG3201" s="73"/>
      <c r="IH3201" s="73"/>
      <c r="II3201" s="73"/>
      <c r="IJ3201" s="73"/>
      <c r="IK3201" s="73"/>
      <c r="IL3201" s="73"/>
      <c r="IM3201" s="73"/>
      <c r="IN3201" s="73"/>
      <c r="IO3201" s="73"/>
      <c r="IP3201" s="73"/>
      <c r="IQ3201" s="73"/>
      <c r="IR3201" s="73"/>
      <c r="IS3201" s="73"/>
      <c r="IT3201" s="73"/>
      <c r="IU3201" s="73"/>
      <c r="IV3201" s="73"/>
      <c r="IW3201" s="73"/>
      <c r="IX3201" s="73"/>
      <c r="IY3201" s="73"/>
      <c r="IZ3201" s="73"/>
      <c r="JA3201" s="73"/>
      <c r="JB3201" s="73"/>
      <c r="JC3201" s="73"/>
    </row>
    <row r="3202" spans="2:263" s="72" customFormat="1">
      <c r="B3202" s="73"/>
      <c r="C3202" s="73"/>
      <c r="D3202" s="73"/>
      <c r="E3202" s="73"/>
      <c r="F3202" s="73"/>
      <c r="G3202" s="73"/>
      <c r="H3202" s="73"/>
      <c r="I3202" s="73"/>
      <c r="J3202" s="73"/>
      <c r="K3202" s="73"/>
      <c r="L3202" s="73"/>
      <c r="M3202" s="73"/>
      <c r="N3202" s="73"/>
      <c r="O3202" s="73"/>
      <c r="P3202" s="73"/>
      <c r="Q3202" s="73"/>
      <c r="R3202" s="73"/>
      <c r="S3202" s="73"/>
      <c r="T3202" s="73"/>
      <c r="U3202" s="73"/>
      <c r="V3202" s="73"/>
      <c r="W3202" s="73"/>
      <c r="GL3202" s="73"/>
      <c r="GM3202" s="73"/>
      <c r="GN3202" s="73"/>
      <c r="GO3202" s="73"/>
      <c r="GP3202" s="73"/>
      <c r="GQ3202" s="73"/>
      <c r="GR3202" s="73"/>
      <c r="GS3202" s="73"/>
      <c r="GT3202" s="73"/>
      <c r="GU3202" s="73"/>
      <c r="GV3202" s="73"/>
      <c r="GW3202" s="73"/>
      <c r="GX3202" s="73"/>
      <c r="GY3202" s="73"/>
      <c r="GZ3202" s="73"/>
      <c r="HA3202" s="73"/>
      <c r="HB3202" s="73"/>
      <c r="HC3202" s="73"/>
      <c r="HD3202" s="73"/>
      <c r="HE3202" s="73"/>
      <c r="HF3202" s="73"/>
      <c r="HG3202" s="73"/>
      <c r="HH3202" s="73"/>
      <c r="HI3202" s="73"/>
      <c r="HJ3202" s="73"/>
      <c r="HK3202" s="73"/>
      <c r="HL3202" s="73"/>
      <c r="HM3202" s="73"/>
      <c r="HN3202" s="73"/>
      <c r="HO3202" s="73"/>
      <c r="HP3202" s="73"/>
      <c r="HQ3202" s="73"/>
      <c r="HR3202" s="73"/>
      <c r="HS3202" s="73"/>
      <c r="HT3202" s="73"/>
      <c r="HU3202" s="73"/>
      <c r="HV3202" s="73"/>
      <c r="HW3202" s="73"/>
      <c r="HX3202" s="73"/>
      <c r="HY3202" s="73"/>
      <c r="HZ3202" s="73"/>
      <c r="IA3202" s="73"/>
      <c r="IB3202" s="73"/>
      <c r="IC3202" s="73"/>
      <c r="ID3202" s="73"/>
      <c r="IE3202" s="73"/>
      <c r="IF3202" s="73"/>
      <c r="IG3202" s="73"/>
      <c r="IH3202" s="73"/>
      <c r="II3202" s="73"/>
      <c r="IJ3202" s="73"/>
      <c r="IK3202" s="73"/>
      <c r="IL3202" s="73"/>
      <c r="IM3202" s="73"/>
      <c r="IN3202" s="73"/>
      <c r="IO3202" s="73"/>
      <c r="IP3202" s="73"/>
      <c r="IQ3202" s="73"/>
      <c r="IR3202" s="73"/>
      <c r="IS3202" s="73"/>
      <c r="IT3202" s="73"/>
      <c r="IU3202" s="73"/>
      <c r="IV3202" s="73"/>
      <c r="IW3202" s="73"/>
      <c r="IX3202" s="73"/>
      <c r="IY3202" s="73"/>
      <c r="IZ3202" s="73"/>
      <c r="JA3202" s="73"/>
      <c r="JB3202" s="73"/>
      <c r="JC3202" s="73"/>
    </row>
    <row r="3203" spans="2:263" s="72" customFormat="1">
      <c r="B3203" s="73"/>
      <c r="C3203" s="73"/>
      <c r="D3203" s="73"/>
      <c r="E3203" s="73"/>
      <c r="F3203" s="73"/>
      <c r="G3203" s="73"/>
      <c r="H3203" s="73"/>
      <c r="I3203" s="73"/>
      <c r="J3203" s="73"/>
      <c r="K3203" s="73"/>
      <c r="L3203" s="73"/>
      <c r="M3203" s="73"/>
      <c r="N3203" s="73"/>
      <c r="O3203" s="73"/>
      <c r="P3203" s="73"/>
      <c r="Q3203" s="73"/>
      <c r="R3203" s="73"/>
      <c r="S3203" s="73"/>
      <c r="T3203" s="73"/>
      <c r="U3203" s="73"/>
      <c r="V3203" s="73"/>
      <c r="W3203" s="73"/>
      <c r="GL3203" s="73"/>
      <c r="GM3203" s="73"/>
      <c r="GN3203" s="73"/>
      <c r="GO3203" s="73"/>
      <c r="GP3203" s="73"/>
      <c r="GQ3203" s="73"/>
      <c r="GR3203" s="73"/>
      <c r="GS3203" s="73"/>
      <c r="GT3203" s="73"/>
      <c r="GU3203" s="73"/>
      <c r="GV3203" s="73"/>
      <c r="GW3203" s="73"/>
      <c r="GX3203" s="73"/>
      <c r="GY3203" s="73"/>
      <c r="GZ3203" s="73"/>
      <c r="HA3203" s="73"/>
      <c r="HB3203" s="73"/>
      <c r="HC3203" s="73"/>
      <c r="HD3203" s="73"/>
      <c r="HE3203" s="73"/>
      <c r="HF3203" s="73"/>
      <c r="HG3203" s="73"/>
      <c r="HH3203" s="73"/>
      <c r="HI3203" s="73"/>
      <c r="HJ3203" s="73"/>
      <c r="HK3203" s="73"/>
      <c r="HL3203" s="73"/>
      <c r="HM3203" s="73"/>
      <c r="HN3203" s="73"/>
      <c r="HO3203" s="73"/>
      <c r="HP3203" s="73"/>
      <c r="HQ3203" s="73"/>
      <c r="HR3203" s="73"/>
      <c r="HS3203" s="73"/>
      <c r="HT3203" s="73"/>
      <c r="HU3203" s="73"/>
      <c r="HV3203" s="73"/>
      <c r="HW3203" s="73"/>
      <c r="HX3203" s="73"/>
      <c r="HY3203" s="73"/>
      <c r="HZ3203" s="73"/>
      <c r="IA3203" s="73"/>
      <c r="IB3203" s="73"/>
      <c r="IC3203" s="73"/>
      <c r="ID3203" s="73"/>
      <c r="IE3203" s="73"/>
      <c r="IF3203" s="73"/>
      <c r="IG3203" s="73"/>
      <c r="IH3203" s="73"/>
      <c r="II3203" s="73"/>
      <c r="IJ3203" s="73"/>
      <c r="IK3203" s="73"/>
      <c r="IL3203" s="73"/>
      <c r="IM3203" s="73"/>
      <c r="IN3203" s="73"/>
      <c r="IO3203" s="73"/>
      <c r="IP3203" s="73"/>
      <c r="IQ3203" s="73"/>
      <c r="IR3203" s="73"/>
      <c r="IS3203" s="73"/>
      <c r="IT3203" s="73"/>
      <c r="IU3203" s="73"/>
      <c r="IV3203" s="73"/>
      <c r="IW3203" s="73"/>
      <c r="IX3203" s="73"/>
      <c r="IY3203" s="73"/>
      <c r="IZ3203" s="73"/>
      <c r="JA3203" s="73"/>
      <c r="JB3203" s="73"/>
      <c r="JC3203" s="73"/>
    </row>
    <row r="3204" spans="2:263" s="72" customFormat="1">
      <c r="B3204" s="73"/>
      <c r="C3204" s="73"/>
      <c r="D3204" s="73"/>
      <c r="E3204" s="73"/>
      <c r="F3204" s="73"/>
      <c r="G3204" s="73"/>
      <c r="H3204" s="73"/>
      <c r="I3204" s="73"/>
      <c r="J3204" s="73"/>
      <c r="K3204" s="73"/>
      <c r="L3204" s="73"/>
      <c r="M3204" s="73"/>
      <c r="N3204" s="73"/>
      <c r="O3204" s="73"/>
      <c r="P3204" s="73"/>
      <c r="Q3204" s="73"/>
      <c r="R3204" s="73"/>
      <c r="S3204" s="73"/>
      <c r="T3204" s="73"/>
      <c r="U3204" s="73"/>
      <c r="V3204" s="73"/>
      <c r="W3204" s="73"/>
      <c r="GL3204" s="73"/>
      <c r="GM3204" s="73"/>
      <c r="GN3204" s="73"/>
      <c r="GO3204" s="73"/>
      <c r="GP3204" s="73"/>
      <c r="GQ3204" s="73"/>
      <c r="GR3204" s="73"/>
      <c r="GS3204" s="73"/>
      <c r="GT3204" s="73"/>
      <c r="GU3204" s="73"/>
      <c r="GV3204" s="73"/>
      <c r="GW3204" s="73"/>
      <c r="GX3204" s="73"/>
      <c r="GY3204" s="73"/>
      <c r="GZ3204" s="73"/>
      <c r="HA3204" s="73"/>
      <c r="HB3204" s="73"/>
      <c r="HC3204" s="73"/>
      <c r="HD3204" s="73"/>
      <c r="HE3204" s="73"/>
      <c r="HF3204" s="73"/>
      <c r="HG3204" s="73"/>
      <c r="HH3204" s="73"/>
      <c r="HI3204" s="73"/>
      <c r="HJ3204" s="73"/>
      <c r="HK3204" s="73"/>
      <c r="HL3204" s="73"/>
      <c r="HM3204" s="73"/>
      <c r="HN3204" s="73"/>
      <c r="HO3204" s="73"/>
      <c r="HP3204" s="73"/>
      <c r="HQ3204" s="73"/>
      <c r="HR3204" s="73"/>
      <c r="HS3204" s="73"/>
      <c r="HT3204" s="73"/>
      <c r="HU3204" s="73"/>
      <c r="HV3204" s="73"/>
      <c r="HW3204" s="73"/>
      <c r="HX3204" s="73"/>
      <c r="HY3204" s="73"/>
      <c r="HZ3204" s="73"/>
      <c r="IA3204" s="73"/>
      <c r="IB3204" s="73"/>
      <c r="IC3204" s="73"/>
      <c r="ID3204" s="73"/>
      <c r="IE3204" s="73"/>
      <c r="IF3204" s="73"/>
      <c r="IG3204" s="73"/>
      <c r="IH3204" s="73"/>
      <c r="II3204" s="73"/>
      <c r="IJ3204" s="73"/>
      <c r="IK3204" s="73"/>
      <c r="IL3204" s="73"/>
      <c r="IM3204" s="73"/>
      <c r="IN3204" s="73"/>
      <c r="IO3204" s="73"/>
      <c r="IP3204" s="73"/>
      <c r="IQ3204" s="73"/>
      <c r="IR3204" s="73"/>
      <c r="IS3204" s="73"/>
      <c r="IT3204" s="73"/>
      <c r="IU3204" s="73"/>
      <c r="IV3204" s="73"/>
      <c r="IW3204" s="73"/>
      <c r="IX3204" s="73"/>
      <c r="IY3204" s="73"/>
      <c r="IZ3204" s="73"/>
      <c r="JA3204" s="73"/>
      <c r="JB3204" s="73"/>
      <c r="JC3204" s="73"/>
    </row>
    <row r="3205" spans="2:263" s="72" customFormat="1">
      <c r="B3205" s="73"/>
      <c r="C3205" s="73"/>
      <c r="D3205" s="73"/>
      <c r="E3205" s="73"/>
      <c r="F3205" s="73"/>
      <c r="G3205" s="73"/>
      <c r="H3205" s="73"/>
      <c r="I3205" s="73"/>
      <c r="J3205" s="73"/>
      <c r="K3205" s="73"/>
      <c r="L3205" s="73"/>
      <c r="M3205" s="73"/>
      <c r="N3205" s="73"/>
      <c r="O3205" s="73"/>
      <c r="P3205" s="73"/>
      <c r="Q3205" s="73"/>
      <c r="R3205" s="73"/>
      <c r="S3205" s="73"/>
      <c r="T3205" s="73"/>
      <c r="U3205" s="73"/>
      <c r="V3205" s="73"/>
      <c r="W3205" s="73"/>
      <c r="GL3205" s="73"/>
      <c r="GM3205" s="73"/>
      <c r="GN3205" s="73"/>
      <c r="GO3205" s="73"/>
      <c r="GP3205" s="73"/>
      <c r="GQ3205" s="73"/>
      <c r="GR3205" s="73"/>
      <c r="GS3205" s="73"/>
      <c r="GT3205" s="73"/>
      <c r="GU3205" s="73"/>
      <c r="GV3205" s="73"/>
      <c r="GW3205" s="73"/>
      <c r="GX3205" s="73"/>
      <c r="GY3205" s="73"/>
      <c r="GZ3205" s="73"/>
      <c r="HA3205" s="73"/>
      <c r="HB3205" s="73"/>
      <c r="HC3205" s="73"/>
      <c r="HD3205" s="73"/>
      <c r="HE3205" s="73"/>
      <c r="HF3205" s="73"/>
      <c r="HG3205" s="73"/>
      <c r="HH3205" s="73"/>
      <c r="HI3205" s="73"/>
      <c r="HJ3205" s="73"/>
      <c r="HK3205" s="73"/>
      <c r="HL3205" s="73"/>
      <c r="HM3205" s="73"/>
      <c r="HN3205" s="73"/>
      <c r="HO3205" s="73"/>
      <c r="HP3205" s="73"/>
      <c r="HQ3205" s="73"/>
      <c r="HR3205" s="73"/>
      <c r="HS3205" s="73"/>
      <c r="HT3205" s="73"/>
      <c r="HU3205" s="73"/>
      <c r="HV3205" s="73"/>
      <c r="HW3205" s="73"/>
      <c r="HX3205" s="73"/>
      <c r="HY3205" s="73"/>
      <c r="HZ3205" s="73"/>
      <c r="IA3205" s="73"/>
      <c r="IB3205" s="73"/>
      <c r="IC3205" s="73"/>
      <c r="ID3205" s="73"/>
      <c r="IE3205" s="73"/>
      <c r="IF3205" s="73"/>
      <c r="IG3205" s="73"/>
      <c r="IH3205" s="73"/>
      <c r="II3205" s="73"/>
      <c r="IJ3205" s="73"/>
      <c r="IK3205" s="73"/>
      <c r="IL3205" s="73"/>
      <c r="IM3205" s="73"/>
      <c r="IN3205" s="73"/>
      <c r="IO3205" s="73"/>
      <c r="IP3205" s="73"/>
      <c r="IQ3205" s="73"/>
      <c r="IR3205" s="73"/>
      <c r="IS3205" s="73"/>
      <c r="IT3205" s="73"/>
      <c r="IU3205" s="73"/>
      <c r="IV3205" s="73"/>
      <c r="IW3205" s="73"/>
      <c r="IX3205" s="73"/>
      <c r="IY3205" s="73"/>
      <c r="IZ3205" s="73"/>
      <c r="JA3205" s="73"/>
      <c r="JB3205" s="73"/>
      <c r="JC3205" s="73"/>
    </row>
    <row r="3206" spans="2:263" s="72" customFormat="1">
      <c r="B3206" s="73"/>
      <c r="C3206" s="73"/>
      <c r="D3206" s="73"/>
      <c r="E3206" s="73"/>
      <c r="F3206" s="73"/>
      <c r="G3206" s="73"/>
      <c r="H3206" s="73"/>
      <c r="I3206" s="73"/>
      <c r="J3206" s="73"/>
      <c r="K3206" s="73"/>
      <c r="L3206" s="73"/>
      <c r="M3206" s="73"/>
      <c r="N3206" s="73"/>
      <c r="O3206" s="73"/>
      <c r="P3206" s="73"/>
      <c r="Q3206" s="73"/>
      <c r="R3206" s="73"/>
      <c r="S3206" s="73"/>
      <c r="T3206" s="73"/>
      <c r="U3206" s="73"/>
      <c r="V3206" s="73"/>
      <c r="W3206" s="73"/>
      <c r="GL3206" s="73"/>
      <c r="GM3206" s="73"/>
      <c r="GN3206" s="73"/>
      <c r="GO3206" s="73"/>
      <c r="GP3206" s="73"/>
      <c r="GQ3206" s="73"/>
      <c r="GR3206" s="73"/>
      <c r="GS3206" s="73"/>
      <c r="GT3206" s="73"/>
      <c r="GU3206" s="73"/>
      <c r="GV3206" s="73"/>
      <c r="GW3206" s="73"/>
      <c r="GX3206" s="73"/>
      <c r="GY3206" s="73"/>
      <c r="GZ3206" s="73"/>
      <c r="HA3206" s="73"/>
      <c r="HB3206" s="73"/>
      <c r="HC3206" s="73"/>
      <c r="HD3206" s="73"/>
      <c r="HE3206" s="73"/>
      <c r="HF3206" s="73"/>
      <c r="HG3206" s="73"/>
      <c r="HH3206" s="73"/>
      <c r="HI3206" s="73"/>
      <c r="HJ3206" s="73"/>
      <c r="HK3206" s="73"/>
      <c r="HL3206" s="73"/>
      <c r="HM3206" s="73"/>
      <c r="HN3206" s="73"/>
      <c r="HO3206" s="73"/>
      <c r="HP3206" s="73"/>
      <c r="HQ3206" s="73"/>
      <c r="HR3206" s="73"/>
      <c r="HS3206" s="73"/>
      <c r="HT3206" s="73"/>
      <c r="HU3206" s="73"/>
      <c r="HV3206" s="73"/>
      <c r="HW3206" s="73"/>
      <c r="HX3206" s="73"/>
      <c r="HY3206" s="73"/>
      <c r="HZ3206" s="73"/>
      <c r="IA3206" s="73"/>
      <c r="IB3206" s="73"/>
      <c r="IC3206" s="73"/>
      <c r="ID3206" s="73"/>
      <c r="IE3206" s="73"/>
      <c r="IF3206" s="73"/>
      <c r="IG3206" s="73"/>
      <c r="IH3206" s="73"/>
      <c r="II3206" s="73"/>
      <c r="IJ3206" s="73"/>
      <c r="IK3206" s="73"/>
      <c r="IL3206" s="73"/>
      <c r="IM3206" s="73"/>
      <c r="IN3206" s="73"/>
      <c r="IO3206" s="73"/>
      <c r="IP3206" s="73"/>
      <c r="IQ3206" s="73"/>
      <c r="IR3206" s="73"/>
      <c r="IS3206" s="73"/>
      <c r="IT3206" s="73"/>
      <c r="IU3206" s="73"/>
      <c r="IV3206" s="73"/>
      <c r="IW3206" s="73"/>
      <c r="IX3206" s="73"/>
      <c r="IY3206" s="73"/>
      <c r="IZ3206" s="73"/>
      <c r="JA3206" s="73"/>
      <c r="JB3206" s="73"/>
      <c r="JC3206" s="73"/>
    </row>
    <row r="3207" spans="2:263" s="72" customFormat="1">
      <c r="B3207" s="73"/>
      <c r="C3207" s="73"/>
      <c r="D3207" s="73"/>
      <c r="E3207" s="73"/>
      <c r="F3207" s="73"/>
      <c r="G3207" s="73"/>
      <c r="H3207" s="73"/>
      <c r="I3207" s="73"/>
      <c r="J3207" s="73"/>
      <c r="K3207" s="73"/>
      <c r="L3207" s="73"/>
      <c r="M3207" s="73"/>
      <c r="N3207" s="73"/>
      <c r="O3207" s="73"/>
      <c r="P3207" s="73"/>
      <c r="Q3207" s="73"/>
      <c r="R3207" s="73"/>
      <c r="S3207" s="73"/>
      <c r="T3207" s="73"/>
      <c r="U3207" s="73"/>
      <c r="V3207" s="73"/>
      <c r="W3207" s="73"/>
      <c r="GL3207" s="73"/>
      <c r="GM3207" s="73"/>
      <c r="GN3207" s="73"/>
      <c r="GO3207" s="73"/>
      <c r="GP3207" s="73"/>
      <c r="GQ3207" s="73"/>
      <c r="GR3207" s="73"/>
      <c r="GS3207" s="73"/>
      <c r="GT3207" s="73"/>
      <c r="GU3207" s="73"/>
      <c r="GV3207" s="73"/>
      <c r="GW3207" s="73"/>
      <c r="GX3207" s="73"/>
      <c r="GY3207" s="73"/>
      <c r="GZ3207" s="73"/>
      <c r="HA3207" s="73"/>
      <c r="HB3207" s="73"/>
      <c r="HC3207" s="73"/>
      <c r="HD3207" s="73"/>
      <c r="HE3207" s="73"/>
      <c r="HF3207" s="73"/>
      <c r="HG3207" s="73"/>
      <c r="HH3207" s="73"/>
      <c r="HI3207" s="73"/>
      <c r="HJ3207" s="73"/>
      <c r="HK3207" s="73"/>
      <c r="HL3207" s="73"/>
      <c r="HM3207" s="73"/>
      <c r="HN3207" s="73"/>
      <c r="HO3207" s="73"/>
      <c r="HP3207" s="73"/>
      <c r="HQ3207" s="73"/>
      <c r="HR3207" s="73"/>
      <c r="HS3207" s="73"/>
      <c r="HT3207" s="73"/>
      <c r="HU3207" s="73"/>
      <c r="HV3207" s="73"/>
      <c r="HW3207" s="73"/>
      <c r="HX3207" s="73"/>
      <c r="HY3207" s="73"/>
      <c r="HZ3207" s="73"/>
      <c r="IA3207" s="73"/>
      <c r="IB3207" s="73"/>
      <c r="IC3207" s="73"/>
      <c r="ID3207" s="73"/>
      <c r="IE3207" s="73"/>
      <c r="IF3207" s="73"/>
      <c r="IG3207" s="73"/>
      <c r="IH3207" s="73"/>
      <c r="II3207" s="73"/>
      <c r="IJ3207" s="73"/>
      <c r="IK3207" s="73"/>
      <c r="IL3207" s="73"/>
      <c r="IM3207" s="73"/>
      <c r="IN3207" s="73"/>
      <c r="IO3207" s="73"/>
      <c r="IP3207" s="73"/>
      <c r="IQ3207" s="73"/>
      <c r="IR3207" s="73"/>
      <c r="IS3207" s="73"/>
      <c r="IT3207" s="73"/>
      <c r="IU3207" s="73"/>
      <c r="IV3207" s="73"/>
      <c r="IW3207" s="73"/>
      <c r="IX3207" s="73"/>
      <c r="IY3207" s="73"/>
      <c r="IZ3207" s="73"/>
      <c r="JA3207" s="73"/>
      <c r="JB3207" s="73"/>
      <c r="JC3207" s="73"/>
    </row>
    <row r="3208" spans="2:263" s="72" customFormat="1">
      <c r="B3208" s="73"/>
      <c r="C3208" s="73"/>
      <c r="D3208" s="73"/>
      <c r="E3208" s="73"/>
      <c r="F3208" s="73"/>
      <c r="G3208" s="73"/>
      <c r="H3208" s="73"/>
      <c r="I3208" s="73"/>
      <c r="J3208" s="73"/>
      <c r="K3208" s="73"/>
      <c r="L3208" s="73"/>
      <c r="M3208" s="73"/>
      <c r="N3208" s="73"/>
      <c r="O3208" s="73"/>
      <c r="P3208" s="73"/>
      <c r="Q3208" s="73"/>
      <c r="R3208" s="73"/>
      <c r="S3208" s="73"/>
      <c r="T3208" s="73"/>
      <c r="U3208" s="73"/>
      <c r="V3208" s="73"/>
      <c r="W3208" s="73"/>
      <c r="GL3208" s="73"/>
      <c r="GM3208" s="73"/>
      <c r="GN3208" s="73"/>
      <c r="GO3208" s="73"/>
      <c r="GP3208" s="73"/>
      <c r="GQ3208" s="73"/>
      <c r="GR3208" s="73"/>
      <c r="GS3208" s="73"/>
      <c r="GT3208" s="73"/>
      <c r="GU3208" s="73"/>
      <c r="GV3208" s="73"/>
      <c r="GW3208" s="73"/>
      <c r="GX3208" s="73"/>
      <c r="GY3208" s="73"/>
      <c r="GZ3208" s="73"/>
      <c r="HA3208" s="73"/>
      <c r="HB3208" s="73"/>
      <c r="HC3208" s="73"/>
      <c r="HD3208" s="73"/>
      <c r="HE3208" s="73"/>
      <c r="HF3208" s="73"/>
      <c r="HG3208" s="73"/>
      <c r="HH3208" s="73"/>
      <c r="HI3208" s="73"/>
      <c r="HJ3208" s="73"/>
      <c r="HK3208" s="73"/>
      <c r="HL3208" s="73"/>
      <c r="HM3208" s="73"/>
      <c r="HN3208" s="73"/>
      <c r="HO3208" s="73"/>
      <c r="HP3208" s="73"/>
      <c r="HQ3208" s="73"/>
      <c r="HR3208" s="73"/>
      <c r="HS3208" s="73"/>
      <c r="HT3208" s="73"/>
      <c r="HU3208" s="73"/>
      <c r="HV3208" s="73"/>
      <c r="HW3208" s="73"/>
      <c r="HX3208" s="73"/>
      <c r="HY3208" s="73"/>
      <c r="HZ3208" s="73"/>
      <c r="IA3208" s="73"/>
      <c r="IB3208" s="73"/>
      <c r="IC3208" s="73"/>
      <c r="ID3208" s="73"/>
      <c r="IE3208" s="73"/>
      <c r="IF3208" s="73"/>
      <c r="IG3208" s="73"/>
      <c r="IH3208" s="73"/>
      <c r="II3208" s="73"/>
      <c r="IJ3208" s="73"/>
      <c r="IK3208" s="73"/>
      <c r="IL3208" s="73"/>
      <c r="IM3208" s="73"/>
      <c r="IN3208" s="73"/>
      <c r="IO3208" s="73"/>
      <c r="IP3208" s="73"/>
      <c r="IQ3208" s="73"/>
      <c r="IR3208" s="73"/>
      <c r="IS3208" s="73"/>
      <c r="IT3208" s="73"/>
      <c r="IU3208" s="73"/>
      <c r="IV3208" s="73"/>
      <c r="IW3208" s="73"/>
      <c r="IX3208" s="73"/>
      <c r="IY3208" s="73"/>
      <c r="IZ3208" s="73"/>
      <c r="JA3208" s="73"/>
      <c r="JB3208" s="73"/>
      <c r="JC3208" s="73"/>
    </row>
    <row r="3209" spans="2:263" s="72" customFormat="1">
      <c r="B3209" s="73"/>
      <c r="C3209" s="73"/>
      <c r="D3209" s="73"/>
      <c r="E3209" s="73"/>
      <c r="F3209" s="73"/>
      <c r="G3209" s="73"/>
      <c r="H3209" s="73"/>
      <c r="I3209" s="73"/>
      <c r="J3209" s="73"/>
      <c r="K3209" s="73"/>
      <c r="L3209" s="73"/>
      <c r="M3209" s="73"/>
      <c r="N3209" s="73"/>
      <c r="O3209" s="73"/>
      <c r="P3209" s="73"/>
      <c r="Q3209" s="73"/>
      <c r="R3209" s="73"/>
      <c r="S3209" s="73"/>
      <c r="T3209" s="73"/>
      <c r="U3209" s="73"/>
      <c r="V3209" s="73"/>
      <c r="W3209" s="73"/>
      <c r="GL3209" s="73"/>
      <c r="GM3209" s="73"/>
      <c r="GN3209" s="73"/>
      <c r="GO3209" s="73"/>
      <c r="GP3209" s="73"/>
      <c r="GQ3209" s="73"/>
      <c r="GR3209" s="73"/>
      <c r="GS3209" s="73"/>
      <c r="GT3209" s="73"/>
      <c r="GU3209" s="73"/>
      <c r="GV3209" s="73"/>
      <c r="GW3209" s="73"/>
      <c r="GX3209" s="73"/>
      <c r="GY3209" s="73"/>
      <c r="GZ3209" s="73"/>
      <c r="HA3209" s="73"/>
      <c r="HB3209" s="73"/>
      <c r="HC3209" s="73"/>
      <c r="HD3209" s="73"/>
      <c r="HE3209" s="73"/>
      <c r="HF3209" s="73"/>
      <c r="HG3209" s="73"/>
      <c r="HH3209" s="73"/>
      <c r="HI3209" s="73"/>
      <c r="HJ3209" s="73"/>
      <c r="HK3209" s="73"/>
      <c r="HL3209" s="73"/>
      <c r="HM3209" s="73"/>
      <c r="HN3209" s="73"/>
      <c r="HO3209" s="73"/>
      <c r="HP3209" s="73"/>
      <c r="HQ3209" s="73"/>
      <c r="HR3209" s="73"/>
      <c r="HS3209" s="73"/>
      <c r="HT3209" s="73"/>
      <c r="HU3209" s="73"/>
      <c r="HV3209" s="73"/>
      <c r="HW3209" s="73"/>
      <c r="HX3209" s="73"/>
      <c r="HY3209" s="73"/>
      <c r="HZ3209" s="73"/>
      <c r="IA3209" s="73"/>
      <c r="IB3209" s="73"/>
      <c r="IC3209" s="73"/>
      <c r="ID3209" s="73"/>
      <c r="IE3209" s="73"/>
      <c r="IF3209" s="73"/>
      <c r="IG3209" s="73"/>
      <c r="IH3209" s="73"/>
      <c r="II3209" s="73"/>
      <c r="IJ3209" s="73"/>
      <c r="IK3209" s="73"/>
      <c r="IL3209" s="73"/>
      <c r="IM3209" s="73"/>
      <c r="IN3209" s="73"/>
      <c r="IO3209" s="73"/>
      <c r="IP3209" s="73"/>
      <c r="IQ3209" s="73"/>
      <c r="IR3209" s="73"/>
      <c r="IS3209" s="73"/>
      <c r="IT3209" s="73"/>
      <c r="IU3209" s="73"/>
      <c r="IV3209" s="73"/>
      <c r="IW3209" s="73"/>
      <c r="IX3209" s="73"/>
      <c r="IY3209" s="73"/>
      <c r="IZ3209" s="73"/>
      <c r="JA3209" s="73"/>
      <c r="JB3209" s="73"/>
      <c r="JC3209" s="73"/>
    </row>
    <row r="3210" spans="2:263" s="72" customFormat="1">
      <c r="B3210" s="73"/>
      <c r="C3210" s="73"/>
      <c r="D3210" s="73"/>
      <c r="E3210" s="73"/>
      <c r="F3210" s="73"/>
      <c r="G3210" s="73"/>
      <c r="H3210" s="73"/>
      <c r="I3210" s="73"/>
      <c r="J3210" s="73"/>
      <c r="K3210" s="73"/>
      <c r="L3210" s="73"/>
      <c r="M3210" s="73"/>
      <c r="N3210" s="73"/>
      <c r="O3210" s="73"/>
      <c r="P3210" s="73"/>
      <c r="Q3210" s="73"/>
      <c r="R3210" s="73"/>
      <c r="S3210" s="73"/>
      <c r="T3210" s="73"/>
      <c r="U3210" s="73"/>
      <c r="V3210" s="73"/>
      <c r="W3210" s="73"/>
      <c r="GL3210" s="73"/>
      <c r="GM3210" s="73"/>
      <c r="GN3210" s="73"/>
      <c r="GO3210" s="73"/>
      <c r="GP3210" s="73"/>
      <c r="GQ3210" s="73"/>
      <c r="GR3210" s="73"/>
      <c r="GS3210" s="73"/>
      <c r="GT3210" s="73"/>
      <c r="GU3210" s="73"/>
      <c r="GV3210" s="73"/>
      <c r="GW3210" s="73"/>
      <c r="GX3210" s="73"/>
      <c r="GY3210" s="73"/>
      <c r="GZ3210" s="73"/>
      <c r="HA3210" s="73"/>
      <c r="HB3210" s="73"/>
      <c r="HC3210" s="73"/>
      <c r="HD3210" s="73"/>
      <c r="HE3210" s="73"/>
      <c r="HF3210" s="73"/>
      <c r="HG3210" s="73"/>
      <c r="HH3210" s="73"/>
      <c r="HI3210" s="73"/>
      <c r="HJ3210" s="73"/>
      <c r="HK3210" s="73"/>
      <c r="HL3210" s="73"/>
      <c r="HM3210" s="73"/>
      <c r="HN3210" s="73"/>
      <c r="HO3210" s="73"/>
      <c r="HP3210" s="73"/>
      <c r="HQ3210" s="73"/>
      <c r="HR3210" s="73"/>
      <c r="HS3210" s="73"/>
      <c r="HT3210" s="73"/>
      <c r="HU3210" s="73"/>
      <c r="HV3210" s="73"/>
      <c r="HW3210" s="73"/>
      <c r="HX3210" s="73"/>
      <c r="HY3210" s="73"/>
      <c r="HZ3210" s="73"/>
      <c r="IA3210" s="73"/>
      <c r="IB3210" s="73"/>
      <c r="IC3210" s="73"/>
      <c r="ID3210" s="73"/>
      <c r="IE3210" s="73"/>
      <c r="IF3210" s="73"/>
      <c r="IG3210" s="73"/>
      <c r="IH3210" s="73"/>
      <c r="II3210" s="73"/>
      <c r="IJ3210" s="73"/>
      <c r="IK3210" s="73"/>
      <c r="IL3210" s="73"/>
      <c r="IM3210" s="73"/>
      <c r="IN3210" s="73"/>
      <c r="IO3210" s="73"/>
      <c r="IP3210" s="73"/>
      <c r="IQ3210" s="73"/>
      <c r="IR3210" s="73"/>
      <c r="IS3210" s="73"/>
      <c r="IT3210" s="73"/>
      <c r="IU3210" s="73"/>
      <c r="IV3210" s="73"/>
      <c r="IW3210" s="73"/>
      <c r="IX3210" s="73"/>
      <c r="IY3210" s="73"/>
      <c r="IZ3210" s="73"/>
      <c r="JA3210" s="73"/>
      <c r="JB3210" s="73"/>
      <c r="JC3210" s="73"/>
    </row>
    <row r="3211" spans="2:263" s="72" customFormat="1">
      <c r="B3211" s="73"/>
      <c r="C3211" s="73"/>
      <c r="D3211" s="73"/>
      <c r="E3211" s="73"/>
      <c r="F3211" s="73"/>
      <c r="G3211" s="73"/>
      <c r="H3211" s="73"/>
      <c r="I3211" s="73"/>
      <c r="J3211" s="73"/>
      <c r="K3211" s="73"/>
      <c r="L3211" s="73"/>
      <c r="M3211" s="73"/>
      <c r="N3211" s="73"/>
      <c r="O3211" s="73"/>
      <c r="P3211" s="73"/>
      <c r="Q3211" s="73"/>
      <c r="R3211" s="73"/>
      <c r="S3211" s="73"/>
      <c r="T3211" s="73"/>
      <c r="U3211" s="73"/>
      <c r="V3211" s="73"/>
      <c r="W3211" s="73"/>
      <c r="GL3211" s="73"/>
      <c r="GM3211" s="73"/>
      <c r="GN3211" s="73"/>
      <c r="GO3211" s="73"/>
      <c r="GP3211" s="73"/>
      <c r="GQ3211" s="73"/>
      <c r="GR3211" s="73"/>
      <c r="GS3211" s="73"/>
      <c r="GT3211" s="73"/>
      <c r="GU3211" s="73"/>
      <c r="GV3211" s="73"/>
      <c r="GW3211" s="73"/>
      <c r="GX3211" s="73"/>
      <c r="GY3211" s="73"/>
      <c r="GZ3211" s="73"/>
      <c r="HA3211" s="73"/>
      <c r="HB3211" s="73"/>
      <c r="HC3211" s="73"/>
      <c r="HD3211" s="73"/>
      <c r="HE3211" s="73"/>
      <c r="HF3211" s="73"/>
      <c r="HG3211" s="73"/>
      <c r="HH3211" s="73"/>
      <c r="HI3211" s="73"/>
      <c r="HJ3211" s="73"/>
      <c r="HK3211" s="73"/>
      <c r="HL3211" s="73"/>
      <c r="HM3211" s="73"/>
      <c r="HN3211" s="73"/>
      <c r="HO3211" s="73"/>
      <c r="HP3211" s="73"/>
      <c r="HQ3211" s="73"/>
      <c r="HR3211" s="73"/>
      <c r="HS3211" s="73"/>
      <c r="HT3211" s="73"/>
      <c r="HU3211" s="73"/>
      <c r="HV3211" s="73"/>
      <c r="HW3211" s="73"/>
      <c r="HX3211" s="73"/>
      <c r="HY3211" s="73"/>
      <c r="HZ3211" s="73"/>
      <c r="IA3211" s="73"/>
      <c r="IB3211" s="73"/>
      <c r="IC3211" s="73"/>
      <c r="ID3211" s="73"/>
      <c r="IE3211" s="73"/>
      <c r="IF3211" s="73"/>
      <c r="IG3211" s="73"/>
      <c r="IH3211" s="73"/>
      <c r="II3211" s="73"/>
      <c r="IJ3211" s="73"/>
      <c r="IK3211" s="73"/>
      <c r="IL3211" s="73"/>
      <c r="IM3211" s="73"/>
      <c r="IN3211" s="73"/>
      <c r="IO3211" s="73"/>
      <c r="IP3211" s="73"/>
      <c r="IQ3211" s="73"/>
      <c r="IR3211" s="73"/>
      <c r="IS3211" s="73"/>
      <c r="IT3211" s="73"/>
      <c r="IU3211" s="73"/>
      <c r="IV3211" s="73"/>
      <c r="IW3211" s="73"/>
      <c r="IX3211" s="73"/>
      <c r="IY3211" s="73"/>
      <c r="IZ3211" s="73"/>
      <c r="JA3211" s="73"/>
      <c r="JB3211" s="73"/>
      <c r="JC3211" s="73"/>
    </row>
    <row r="3212" spans="2:263" s="72" customFormat="1">
      <c r="B3212" s="73"/>
      <c r="C3212" s="73"/>
      <c r="D3212" s="73"/>
      <c r="E3212" s="73"/>
      <c r="F3212" s="73"/>
      <c r="G3212" s="73"/>
      <c r="H3212" s="73"/>
      <c r="I3212" s="73"/>
      <c r="J3212" s="73"/>
      <c r="K3212" s="73"/>
      <c r="L3212" s="73"/>
      <c r="M3212" s="73"/>
      <c r="N3212" s="73"/>
      <c r="O3212" s="73"/>
      <c r="P3212" s="73"/>
      <c r="Q3212" s="73"/>
      <c r="R3212" s="73"/>
      <c r="S3212" s="73"/>
      <c r="T3212" s="73"/>
      <c r="U3212" s="73"/>
      <c r="V3212" s="73"/>
      <c r="W3212" s="73"/>
      <c r="GL3212" s="73"/>
      <c r="GM3212" s="73"/>
      <c r="GN3212" s="73"/>
      <c r="GO3212" s="73"/>
      <c r="GP3212" s="73"/>
      <c r="GQ3212" s="73"/>
      <c r="GR3212" s="73"/>
      <c r="GS3212" s="73"/>
      <c r="GT3212" s="73"/>
      <c r="GU3212" s="73"/>
      <c r="GV3212" s="73"/>
      <c r="GW3212" s="73"/>
      <c r="GX3212" s="73"/>
      <c r="GY3212" s="73"/>
      <c r="GZ3212" s="73"/>
      <c r="HA3212" s="73"/>
      <c r="HB3212" s="73"/>
      <c r="HC3212" s="73"/>
      <c r="HD3212" s="73"/>
      <c r="HE3212" s="73"/>
      <c r="HF3212" s="73"/>
      <c r="HG3212" s="73"/>
      <c r="HH3212" s="73"/>
      <c r="HI3212" s="73"/>
      <c r="HJ3212" s="73"/>
      <c r="HK3212" s="73"/>
      <c r="HL3212" s="73"/>
      <c r="HM3212" s="73"/>
      <c r="HN3212" s="73"/>
      <c r="HO3212" s="73"/>
      <c r="HP3212" s="73"/>
      <c r="HQ3212" s="73"/>
      <c r="HR3212" s="73"/>
      <c r="HS3212" s="73"/>
      <c r="HT3212" s="73"/>
      <c r="HU3212" s="73"/>
      <c r="HV3212" s="73"/>
      <c r="HW3212" s="73"/>
      <c r="HX3212" s="73"/>
      <c r="HY3212" s="73"/>
      <c r="HZ3212" s="73"/>
      <c r="IA3212" s="73"/>
      <c r="IB3212" s="73"/>
      <c r="IC3212" s="73"/>
      <c r="ID3212" s="73"/>
      <c r="IE3212" s="73"/>
      <c r="IF3212" s="73"/>
      <c r="IG3212" s="73"/>
      <c r="IH3212" s="73"/>
      <c r="II3212" s="73"/>
      <c r="IJ3212" s="73"/>
      <c r="IK3212" s="73"/>
      <c r="IL3212" s="73"/>
      <c r="IM3212" s="73"/>
      <c r="IN3212" s="73"/>
      <c r="IO3212" s="73"/>
      <c r="IP3212" s="73"/>
      <c r="IQ3212" s="73"/>
      <c r="IR3212" s="73"/>
      <c r="IS3212" s="73"/>
      <c r="IT3212" s="73"/>
      <c r="IU3212" s="73"/>
      <c r="IV3212" s="73"/>
      <c r="IW3212" s="73"/>
      <c r="IX3212" s="73"/>
      <c r="IY3212" s="73"/>
      <c r="IZ3212" s="73"/>
      <c r="JA3212" s="73"/>
      <c r="JB3212" s="73"/>
      <c r="JC3212" s="73"/>
    </row>
    <row r="3213" spans="2:263" s="72" customFormat="1">
      <c r="B3213" s="73"/>
      <c r="C3213" s="73"/>
      <c r="D3213" s="73"/>
      <c r="E3213" s="73"/>
      <c r="F3213" s="73"/>
      <c r="G3213" s="73"/>
      <c r="H3213" s="73"/>
      <c r="I3213" s="73"/>
      <c r="J3213" s="73"/>
      <c r="K3213" s="73"/>
      <c r="L3213" s="73"/>
      <c r="M3213" s="73"/>
      <c r="N3213" s="73"/>
      <c r="O3213" s="73"/>
      <c r="P3213" s="73"/>
      <c r="Q3213" s="73"/>
      <c r="R3213" s="73"/>
      <c r="S3213" s="73"/>
      <c r="T3213" s="73"/>
      <c r="U3213" s="73"/>
      <c r="V3213" s="73"/>
      <c r="W3213" s="73"/>
      <c r="GL3213" s="73"/>
      <c r="GM3213" s="73"/>
      <c r="GN3213" s="73"/>
      <c r="GO3213" s="73"/>
      <c r="GP3213" s="73"/>
      <c r="GQ3213" s="73"/>
      <c r="GR3213" s="73"/>
      <c r="GS3213" s="73"/>
      <c r="GT3213" s="73"/>
      <c r="GU3213" s="73"/>
      <c r="GV3213" s="73"/>
      <c r="GW3213" s="73"/>
      <c r="GX3213" s="73"/>
      <c r="GY3213" s="73"/>
      <c r="GZ3213" s="73"/>
      <c r="HA3213" s="73"/>
      <c r="HB3213" s="73"/>
      <c r="HC3213" s="73"/>
      <c r="HD3213" s="73"/>
      <c r="HE3213" s="73"/>
      <c r="HF3213" s="73"/>
      <c r="HG3213" s="73"/>
      <c r="HH3213" s="73"/>
      <c r="HI3213" s="73"/>
      <c r="HJ3213" s="73"/>
      <c r="HK3213" s="73"/>
      <c r="HL3213" s="73"/>
      <c r="HM3213" s="73"/>
      <c r="HN3213" s="73"/>
      <c r="HO3213" s="73"/>
      <c r="HP3213" s="73"/>
      <c r="HQ3213" s="73"/>
      <c r="HR3213" s="73"/>
      <c r="HS3213" s="73"/>
      <c r="HT3213" s="73"/>
      <c r="HU3213" s="73"/>
      <c r="HV3213" s="73"/>
      <c r="HW3213" s="73"/>
      <c r="HX3213" s="73"/>
      <c r="HY3213" s="73"/>
      <c r="HZ3213" s="73"/>
      <c r="IA3213" s="73"/>
      <c r="IB3213" s="73"/>
      <c r="IC3213" s="73"/>
      <c r="ID3213" s="73"/>
      <c r="IE3213" s="73"/>
      <c r="IF3213" s="73"/>
      <c r="IG3213" s="73"/>
      <c r="IH3213" s="73"/>
      <c r="II3213" s="73"/>
      <c r="IJ3213" s="73"/>
      <c r="IK3213" s="73"/>
      <c r="IL3213" s="73"/>
      <c r="IM3213" s="73"/>
      <c r="IN3213" s="73"/>
      <c r="IO3213" s="73"/>
      <c r="IP3213" s="73"/>
      <c r="IQ3213" s="73"/>
      <c r="IR3213" s="73"/>
      <c r="IS3213" s="73"/>
      <c r="IT3213" s="73"/>
      <c r="IU3213" s="73"/>
      <c r="IV3213" s="73"/>
      <c r="IW3213" s="73"/>
      <c r="IX3213" s="73"/>
      <c r="IY3213" s="73"/>
      <c r="IZ3213" s="73"/>
      <c r="JA3213" s="73"/>
      <c r="JB3213" s="73"/>
      <c r="JC3213" s="73"/>
    </row>
    <row r="3214" spans="2:263" s="72" customFormat="1">
      <c r="B3214" s="73"/>
      <c r="C3214" s="73"/>
      <c r="D3214" s="73"/>
      <c r="E3214" s="73"/>
      <c r="F3214" s="73"/>
      <c r="G3214" s="73"/>
      <c r="H3214" s="73"/>
      <c r="I3214" s="73"/>
      <c r="J3214" s="73"/>
      <c r="K3214" s="73"/>
      <c r="L3214" s="73"/>
      <c r="M3214" s="73"/>
      <c r="N3214" s="73"/>
      <c r="O3214" s="73"/>
      <c r="P3214" s="73"/>
      <c r="Q3214" s="73"/>
      <c r="R3214" s="73"/>
      <c r="S3214" s="73"/>
      <c r="T3214" s="73"/>
      <c r="U3214" s="73"/>
      <c r="V3214" s="73"/>
      <c r="W3214" s="73"/>
      <c r="GL3214" s="73"/>
      <c r="GM3214" s="73"/>
      <c r="GN3214" s="73"/>
      <c r="GO3214" s="73"/>
      <c r="GP3214" s="73"/>
      <c r="GQ3214" s="73"/>
      <c r="GR3214" s="73"/>
      <c r="GS3214" s="73"/>
      <c r="GT3214" s="73"/>
      <c r="GU3214" s="73"/>
      <c r="GV3214" s="73"/>
      <c r="GW3214" s="73"/>
      <c r="GX3214" s="73"/>
      <c r="GY3214" s="73"/>
      <c r="GZ3214" s="73"/>
      <c r="HA3214" s="73"/>
      <c r="HB3214" s="73"/>
      <c r="HC3214" s="73"/>
      <c r="HD3214" s="73"/>
      <c r="HE3214" s="73"/>
      <c r="HF3214" s="73"/>
      <c r="HG3214" s="73"/>
      <c r="HH3214" s="73"/>
      <c r="HI3214" s="73"/>
      <c r="HJ3214" s="73"/>
      <c r="HK3214" s="73"/>
      <c r="HL3214" s="73"/>
      <c r="HM3214" s="73"/>
      <c r="HN3214" s="73"/>
      <c r="HO3214" s="73"/>
      <c r="HP3214" s="73"/>
      <c r="HQ3214" s="73"/>
      <c r="HR3214" s="73"/>
      <c r="HS3214" s="73"/>
      <c r="HT3214" s="73"/>
      <c r="HU3214" s="73"/>
      <c r="HV3214" s="73"/>
      <c r="HW3214" s="73"/>
      <c r="HX3214" s="73"/>
      <c r="HY3214" s="73"/>
      <c r="HZ3214" s="73"/>
      <c r="IA3214" s="73"/>
      <c r="IB3214" s="73"/>
      <c r="IC3214" s="73"/>
      <c r="ID3214" s="73"/>
      <c r="IE3214" s="73"/>
      <c r="IF3214" s="73"/>
      <c r="IG3214" s="73"/>
      <c r="IH3214" s="73"/>
      <c r="II3214" s="73"/>
      <c r="IJ3214" s="73"/>
      <c r="IK3214" s="73"/>
      <c r="IL3214" s="73"/>
      <c r="IM3214" s="73"/>
      <c r="IN3214" s="73"/>
      <c r="IO3214" s="73"/>
      <c r="IP3214" s="73"/>
      <c r="IQ3214" s="73"/>
      <c r="IR3214" s="73"/>
      <c r="IS3214" s="73"/>
      <c r="IT3214" s="73"/>
      <c r="IU3214" s="73"/>
      <c r="IV3214" s="73"/>
      <c r="IW3214" s="73"/>
      <c r="IX3214" s="73"/>
      <c r="IY3214" s="73"/>
      <c r="IZ3214" s="73"/>
      <c r="JA3214" s="73"/>
      <c r="JB3214" s="73"/>
      <c r="JC3214" s="73"/>
    </row>
    <row r="3215" spans="2:263" s="72" customFormat="1">
      <c r="B3215" s="73"/>
      <c r="C3215" s="73"/>
      <c r="D3215" s="73"/>
      <c r="E3215" s="73"/>
      <c r="F3215" s="73"/>
      <c r="G3215" s="73"/>
      <c r="H3215" s="73"/>
      <c r="I3215" s="73"/>
      <c r="J3215" s="73"/>
      <c r="K3215" s="73"/>
      <c r="L3215" s="73"/>
      <c r="M3215" s="73"/>
      <c r="N3215" s="73"/>
      <c r="O3215" s="73"/>
      <c r="P3215" s="73"/>
      <c r="Q3215" s="73"/>
      <c r="R3215" s="73"/>
      <c r="S3215" s="73"/>
      <c r="T3215" s="73"/>
      <c r="U3215" s="73"/>
      <c r="V3215" s="73"/>
      <c r="W3215" s="73"/>
      <c r="GL3215" s="73"/>
      <c r="GM3215" s="73"/>
      <c r="GN3215" s="73"/>
      <c r="GO3215" s="73"/>
      <c r="GP3215" s="73"/>
      <c r="GQ3215" s="73"/>
      <c r="GR3215" s="73"/>
      <c r="GS3215" s="73"/>
      <c r="GT3215" s="73"/>
      <c r="GU3215" s="73"/>
      <c r="GV3215" s="73"/>
      <c r="GW3215" s="73"/>
      <c r="GX3215" s="73"/>
      <c r="GY3215" s="73"/>
      <c r="GZ3215" s="73"/>
      <c r="HA3215" s="73"/>
      <c r="HB3215" s="73"/>
      <c r="HC3215" s="73"/>
      <c r="HD3215" s="73"/>
      <c r="HE3215" s="73"/>
      <c r="HF3215" s="73"/>
      <c r="HG3215" s="73"/>
      <c r="HH3215" s="73"/>
      <c r="HI3215" s="73"/>
      <c r="HJ3215" s="73"/>
      <c r="HK3215" s="73"/>
      <c r="HL3215" s="73"/>
      <c r="HM3215" s="73"/>
      <c r="HN3215" s="73"/>
      <c r="HO3215" s="73"/>
      <c r="HP3215" s="73"/>
      <c r="HQ3215" s="73"/>
      <c r="HR3215" s="73"/>
      <c r="HS3215" s="73"/>
      <c r="HT3215" s="73"/>
      <c r="HU3215" s="73"/>
      <c r="HV3215" s="73"/>
      <c r="HW3215" s="73"/>
      <c r="HX3215" s="73"/>
      <c r="HY3215" s="73"/>
      <c r="HZ3215" s="73"/>
      <c r="IA3215" s="73"/>
      <c r="IB3215" s="73"/>
      <c r="IC3215" s="73"/>
      <c r="ID3215" s="73"/>
      <c r="IE3215" s="73"/>
      <c r="IF3215" s="73"/>
      <c r="IG3215" s="73"/>
      <c r="IH3215" s="73"/>
      <c r="II3215" s="73"/>
      <c r="IJ3215" s="73"/>
      <c r="IK3215" s="73"/>
      <c r="IL3215" s="73"/>
      <c r="IM3215" s="73"/>
      <c r="IN3215" s="73"/>
      <c r="IO3215" s="73"/>
      <c r="IP3215" s="73"/>
      <c r="IQ3215" s="73"/>
      <c r="IR3215" s="73"/>
      <c r="IS3215" s="73"/>
      <c r="IT3215" s="73"/>
      <c r="IU3215" s="73"/>
      <c r="IV3215" s="73"/>
      <c r="IW3215" s="73"/>
      <c r="IX3215" s="73"/>
      <c r="IY3215" s="73"/>
      <c r="IZ3215" s="73"/>
      <c r="JA3215" s="73"/>
      <c r="JB3215" s="73"/>
      <c r="JC3215" s="73"/>
    </row>
    <row r="3216" spans="2:263" s="72" customFormat="1">
      <c r="B3216" s="73"/>
      <c r="C3216" s="73"/>
      <c r="D3216" s="73"/>
      <c r="E3216" s="73"/>
      <c r="F3216" s="73"/>
      <c r="G3216" s="73"/>
      <c r="H3216" s="73"/>
      <c r="I3216" s="73"/>
      <c r="J3216" s="73"/>
      <c r="K3216" s="73"/>
      <c r="L3216" s="73"/>
      <c r="M3216" s="73"/>
      <c r="N3216" s="73"/>
      <c r="O3216" s="73"/>
      <c r="P3216" s="73"/>
      <c r="Q3216" s="73"/>
      <c r="R3216" s="73"/>
      <c r="S3216" s="73"/>
      <c r="T3216" s="73"/>
      <c r="U3216" s="73"/>
      <c r="V3216" s="73"/>
      <c r="W3216" s="73"/>
      <c r="GL3216" s="73"/>
      <c r="GM3216" s="73"/>
      <c r="GN3216" s="73"/>
      <c r="GO3216" s="73"/>
      <c r="GP3216" s="73"/>
      <c r="GQ3216" s="73"/>
      <c r="GR3216" s="73"/>
      <c r="GS3216" s="73"/>
      <c r="GT3216" s="73"/>
      <c r="GU3216" s="73"/>
      <c r="GV3216" s="73"/>
      <c r="GW3216" s="73"/>
      <c r="GX3216" s="73"/>
      <c r="GY3216" s="73"/>
      <c r="GZ3216" s="73"/>
      <c r="HA3216" s="73"/>
      <c r="HB3216" s="73"/>
      <c r="HC3216" s="73"/>
      <c r="HD3216" s="73"/>
      <c r="HE3216" s="73"/>
      <c r="HF3216" s="73"/>
      <c r="HG3216" s="73"/>
      <c r="HH3216" s="73"/>
      <c r="HI3216" s="73"/>
      <c r="HJ3216" s="73"/>
      <c r="HK3216" s="73"/>
      <c r="HL3216" s="73"/>
      <c r="HM3216" s="73"/>
      <c r="HN3216" s="73"/>
      <c r="HO3216" s="73"/>
      <c r="HP3216" s="73"/>
      <c r="HQ3216" s="73"/>
      <c r="HR3216" s="73"/>
      <c r="HS3216" s="73"/>
      <c r="HT3216" s="73"/>
      <c r="HU3216" s="73"/>
      <c r="HV3216" s="73"/>
      <c r="HW3216" s="73"/>
      <c r="HX3216" s="73"/>
      <c r="HY3216" s="73"/>
      <c r="HZ3216" s="73"/>
      <c r="IA3216" s="73"/>
      <c r="IB3216" s="73"/>
      <c r="IC3216" s="73"/>
      <c r="ID3216" s="73"/>
      <c r="IE3216" s="73"/>
      <c r="IF3216" s="73"/>
      <c r="IG3216" s="73"/>
      <c r="IH3216" s="73"/>
      <c r="II3216" s="73"/>
      <c r="IJ3216" s="73"/>
      <c r="IK3216" s="73"/>
      <c r="IL3216" s="73"/>
      <c r="IM3216" s="73"/>
      <c r="IN3216" s="73"/>
      <c r="IO3216" s="73"/>
      <c r="IP3216" s="73"/>
      <c r="IQ3216" s="73"/>
      <c r="IR3216" s="73"/>
      <c r="IS3216" s="73"/>
      <c r="IT3216" s="73"/>
      <c r="IU3216" s="73"/>
      <c r="IV3216" s="73"/>
      <c r="IW3216" s="73"/>
      <c r="IX3216" s="73"/>
      <c r="IY3216" s="73"/>
      <c r="IZ3216" s="73"/>
      <c r="JA3216" s="73"/>
      <c r="JB3216" s="73"/>
      <c r="JC3216" s="73"/>
    </row>
    <row r="3217" spans="2:263" s="72" customFormat="1">
      <c r="B3217" s="73"/>
      <c r="C3217" s="73"/>
      <c r="D3217" s="73"/>
      <c r="E3217" s="73"/>
      <c r="F3217" s="73"/>
      <c r="G3217" s="73"/>
      <c r="H3217" s="73"/>
      <c r="I3217" s="73"/>
      <c r="J3217" s="73"/>
      <c r="K3217" s="73"/>
      <c r="L3217" s="73"/>
      <c r="M3217" s="73"/>
      <c r="N3217" s="73"/>
      <c r="O3217" s="73"/>
      <c r="P3217" s="73"/>
      <c r="Q3217" s="73"/>
      <c r="R3217" s="73"/>
      <c r="S3217" s="73"/>
      <c r="T3217" s="73"/>
      <c r="U3217" s="73"/>
      <c r="V3217" s="73"/>
      <c r="W3217" s="73"/>
      <c r="GL3217" s="73"/>
      <c r="GM3217" s="73"/>
      <c r="GN3217" s="73"/>
      <c r="GO3217" s="73"/>
      <c r="GP3217" s="73"/>
      <c r="GQ3217" s="73"/>
      <c r="GR3217" s="73"/>
      <c r="GS3217" s="73"/>
      <c r="GT3217" s="73"/>
      <c r="GU3217" s="73"/>
      <c r="GV3217" s="73"/>
      <c r="GW3217" s="73"/>
      <c r="GX3217" s="73"/>
      <c r="GY3217" s="73"/>
      <c r="GZ3217" s="73"/>
      <c r="HA3217" s="73"/>
      <c r="HB3217" s="73"/>
      <c r="HC3217" s="73"/>
      <c r="HD3217" s="73"/>
      <c r="HE3217" s="73"/>
      <c r="HF3217" s="73"/>
      <c r="HG3217" s="73"/>
      <c r="HH3217" s="73"/>
      <c r="HI3217" s="73"/>
      <c r="HJ3217" s="73"/>
      <c r="HK3217" s="73"/>
      <c r="HL3217" s="73"/>
      <c r="HM3217" s="73"/>
      <c r="HN3217" s="73"/>
      <c r="HO3217" s="73"/>
      <c r="HP3217" s="73"/>
      <c r="HQ3217" s="73"/>
      <c r="HR3217" s="73"/>
      <c r="HS3217" s="73"/>
      <c r="HT3217" s="73"/>
      <c r="HU3217" s="73"/>
      <c r="HV3217" s="73"/>
      <c r="HW3217" s="73"/>
      <c r="HX3217" s="73"/>
      <c r="HY3217" s="73"/>
      <c r="HZ3217" s="73"/>
      <c r="IA3217" s="73"/>
      <c r="IB3217" s="73"/>
      <c r="IC3217" s="73"/>
      <c r="ID3217" s="73"/>
      <c r="IE3217" s="73"/>
      <c r="IF3217" s="73"/>
      <c r="IG3217" s="73"/>
      <c r="IH3217" s="73"/>
      <c r="II3217" s="73"/>
      <c r="IJ3217" s="73"/>
      <c r="IK3217" s="73"/>
      <c r="IL3217" s="73"/>
      <c r="IM3217" s="73"/>
      <c r="IN3217" s="73"/>
      <c r="IO3217" s="73"/>
      <c r="IP3217" s="73"/>
      <c r="IQ3217" s="73"/>
      <c r="IR3217" s="73"/>
      <c r="IS3217" s="73"/>
      <c r="IT3217" s="73"/>
      <c r="IU3217" s="73"/>
      <c r="IV3217" s="73"/>
      <c r="IW3217" s="73"/>
      <c r="IX3217" s="73"/>
      <c r="IY3217" s="73"/>
      <c r="IZ3217" s="73"/>
      <c r="JA3217" s="73"/>
      <c r="JB3217" s="73"/>
      <c r="JC3217" s="73"/>
    </row>
    <row r="3218" spans="2:263" s="72" customFormat="1">
      <c r="B3218" s="73"/>
      <c r="C3218" s="73"/>
      <c r="D3218" s="73"/>
      <c r="E3218" s="73"/>
      <c r="F3218" s="73"/>
      <c r="G3218" s="73"/>
      <c r="H3218" s="73"/>
      <c r="I3218" s="73"/>
      <c r="J3218" s="73"/>
      <c r="K3218" s="73"/>
      <c r="L3218" s="73"/>
      <c r="M3218" s="73"/>
      <c r="N3218" s="73"/>
      <c r="O3218" s="73"/>
      <c r="P3218" s="73"/>
      <c r="Q3218" s="73"/>
      <c r="R3218" s="73"/>
      <c r="S3218" s="73"/>
      <c r="T3218" s="73"/>
      <c r="U3218" s="73"/>
      <c r="V3218" s="73"/>
      <c r="W3218" s="73"/>
      <c r="GL3218" s="73"/>
      <c r="GM3218" s="73"/>
      <c r="GN3218" s="73"/>
      <c r="GO3218" s="73"/>
      <c r="GP3218" s="73"/>
      <c r="GQ3218" s="73"/>
      <c r="GR3218" s="73"/>
      <c r="GS3218" s="73"/>
      <c r="GT3218" s="73"/>
      <c r="GU3218" s="73"/>
      <c r="GV3218" s="73"/>
      <c r="GW3218" s="73"/>
      <c r="GX3218" s="73"/>
      <c r="GY3218" s="73"/>
      <c r="GZ3218" s="73"/>
      <c r="HA3218" s="73"/>
      <c r="HB3218" s="73"/>
      <c r="HC3218" s="73"/>
      <c r="HD3218" s="73"/>
      <c r="HE3218" s="73"/>
      <c r="HF3218" s="73"/>
      <c r="HG3218" s="73"/>
      <c r="HH3218" s="73"/>
      <c r="HI3218" s="73"/>
      <c r="HJ3218" s="73"/>
      <c r="HK3218" s="73"/>
      <c r="HL3218" s="73"/>
      <c r="HM3218" s="73"/>
      <c r="HN3218" s="73"/>
      <c r="HO3218" s="73"/>
      <c r="HP3218" s="73"/>
      <c r="HQ3218" s="73"/>
      <c r="HR3218" s="73"/>
      <c r="HS3218" s="73"/>
      <c r="HT3218" s="73"/>
      <c r="HU3218" s="73"/>
      <c r="HV3218" s="73"/>
      <c r="HW3218" s="73"/>
      <c r="HX3218" s="73"/>
      <c r="HY3218" s="73"/>
      <c r="HZ3218" s="73"/>
      <c r="IA3218" s="73"/>
      <c r="IB3218" s="73"/>
      <c r="IC3218" s="73"/>
      <c r="ID3218" s="73"/>
      <c r="IE3218" s="73"/>
      <c r="IF3218" s="73"/>
      <c r="IG3218" s="73"/>
      <c r="IH3218" s="73"/>
      <c r="II3218" s="73"/>
      <c r="IJ3218" s="73"/>
      <c r="IK3218" s="73"/>
      <c r="IL3218" s="73"/>
      <c r="IM3218" s="73"/>
      <c r="IN3218" s="73"/>
      <c r="IO3218" s="73"/>
      <c r="IP3218" s="73"/>
      <c r="IQ3218" s="73"/>
      <c r="IR3218" s="73"/>
      <c r="IS3218" s="73"/>
      <c r="IT3218" s="73"/>
      <c r="IU3218" s="73"/>
      <c r="IV3218" s="73"/>
      <c r="IW3218" s="73"/>
      <c r="IX3218" s="73"/>
      <c r="IY3218" s="73"/>
      <c r="IZ3218" s="73"/>
      <c r="JA3218" s="73"/>
      <c r="JB3218" s="73"/>
      <c r="JC3218" s="73"/>
    </row>
    <row r="3219" spans="2:263" s="72" customFormat="1">
      <c r="B3219" s="73"/>
      <c r="C3219" s="73"/>
      <c r="D3219" s="73"/>
      <c r="E3219" s="73"/>
      <c r="F3219" s="73"/>
      <c r="G3219" s="73"/>
      <c r="H3219" s="73"/>
      <c r="I3219" s="73"/>
      <c r="J3219" s="73"/>
      <c r="K3219" s="73"/>
      <c r="L3219" s="73"/>
      <c r="M3219" s="73"/>
      <c r="N3219" s="73"/>
      <c r="O3219" s="73"/>
      <c r="P3219" s="73"/>
      <c r="Q3219" s="73"/>
      <c r="R3219" s="73"/>
      <c r="S3219" s="73"/>
      <c r="T3219" s="73"/>
      <c r="U3219" s="73"/>
      <c r="V3219" s="73"/>
      <c r="W3219" s="73"/>
      <c r="GL3219" s="73"/>
      <c r="GM3219" s="73"/>
      <c r="GN3219" s="73"/>
      <c r="GO3219" s="73"/>
      <c r="GP3219" s="73"/>
      <c r="GQ3219" s="73"/>
      <c r="GR3219" s="73"/>
      <c r="GS3219" s="73"/>
      <c r="GT3219" s="73"/>
      <c r="GU3219" s="73"/>
      <c r="GV3219" s="73"/>
      <c r="GW3219" s="73"/>
      <c r="GX3219" s="73"/>
      <c r="GY3219" s="73"/>
      <c r="GZ3219" s="73"/>
      <c r="HA3219" s="73"/>
      <c r="HB3219" s="73"/>
      <c r="HC3219" s="73"/>
      <c r="HD3219" s="73"/>
      <c r="HE3219" s="73"/>
      <c r="HF3219" s="73"/>
      <c r="HG3219" s="73"/>
      <c r="HH3219" s="73"/>
      <c r="HI3219" s="73"/>
      <c r="HJ3219" s="73"/>
      <c r="HK3219" s="73"/>
      <c r="HL3219" s="73"/>
      <c r="HM3219" s="73"/>
      <c r="HN3219" s="73"/>
      <c r="HO3219" s="73"/>
      <c r="HP3219" s="73"/>
      <c r="HQ3219" s="73"/>
      <c r="HR3219" s="73"/>
      <c r="HS3219" s="73"/>
      <c r="HT3219" s="73"/>
      <c r="HU3219" s="73"/>
      <c r="HV3219" s="73"/>
      <c r="HW3219" s="73"/>
      <c r="HX3219" s="73"/>
      <c r="HY3219" s="73"/>
      <c r="HZ3219" s="73"/>
      <c r="IA3219" s="73"/>
      <c r="IB3219" s="73"/>
      <c r="IC3219" s="73"/>
      <c r="ID3219" s="73"/>
      <c r="IE3219" s="73"/>
      <c r="IF3219" s="73"/>
      <c r="IG3219" s="73"/>
      <c r="IH3219" s="73"/>
      <c r="II3219" s="73"/>
      <c r="IJ3219" s="73"/>
      <c r="IK3219" s="73"/>
      <c r="IL3219" s="73"/>
      <c r="IM3219" s="73"/>
      <c r="IN3219" s="73"/>
      <c r="IO3219" s="73"/>
      <c r="IP3219" s="73"/>
      <c r="IQ3219" s="73"/>
      <c r="IR3219" s="73"/>
      <c r="IS3219" s="73"/>
      <c r="IT3219" s="73"/>
      <c r="IU3219" s="73"/>
      <c r="IV3219" s="73"/>
      <c r="IW3219" s="73"/>
      <c r="IX3219" s="73"/>
      <c r="IY3219" s="73"/>
      <c r="IZ3219" s="73"/>
      <c r="JA3219" s="73"/>
      <c r="JB3219" s="73"/>
      <c r="JC3219" s="73"/>
    </row>
    <row r="3220" spans="2:263" s="72" customFormat="1">
      <c r="B3220" s="73"/>
      <c r="C3220" s="73"/>
      <c r="D3220" s="73"/>
      <c r="E3220" s="73"/>
      <c r="F3220" s="73"/>
      <c r="G3220" s="73"/>
      <c r="H3220" s="73"/>
      <c r="I3220" s="73"/>
      <c r="J3220" s="73"/>
      <c r="K3220" s="73"/>
      <c r="L3220" s="73"/>
      <c r="M3220" s="73"/>
      <c r="N3220" s="73"/>
      <c r="O3220" s="73"/>
      <c r="P3220" s="73"/>
      <c r="Q3220" s="73"/>
      <c r="R3220" s="73"/>
      <c r="S3220" s="73"/>
      <c r="T3220" s="73"/>
      <c r="U3220" s="73"/>
      <c r="V3220" s="73"/>
      <c r="W3220" s="73"/>
      <c r="GL3220" s="73"/>
      <c r="GM3220" s="73"/>
      <c r="GN3220" s="73"/>
      <c r="GO3220" s="73"/>
      <c r="GP3220" s="73"/>
      <c r="GQ3220" s="73"/>
      <c r="GR3220" s="73"/>
      <c r="GS3220" s="73"/>
      <c r="GT3220" s="73"/>
      <c r="GU3220" s="73"/>
      <c r="GV3220" s="73"/>
      <c r="GW3220" s="73"/>
      <c r="GX3220" s="73"/>
      <c r="GY3220" s="73"/>
      <c r="GZ3220" s="73"/>
      <c r="HA3220" s="73"/>
      <c r="HB3220" s="73"/>
      <c r="HC3220" s="73"/>
      <c r="HD3220" s="73"/>
      <c r="HE3220" s="73"/>
      <c r="HF3220" s="73"/>
      <c r="HG3220" s="73"/>
      <c r="HH3220" s="73"/>
      <c r="HI3220" s="73"/>
      <c r="HJ3220" s="73"/>
      <c r="HK3220" s="73"/>
      <c r="HL3220" s="73"/>
      <c r="HM3220" s="73"/>
      <c r="HN3220" s="73"/>
      <c r="HO3220" s="73"/>
      <c r="HP3220" s="73"/>
      <c r="HQ3220" s="73"/>
      <c r="HR3220" s="73"/>
      <c r="HS3220" s="73"/>
      <c r="HT3220" s="73"/>
      <c r="HU3220" s="73"/>
      <c r="HV3220" s="73"/>
      <c r="HW3220" s="73"/>
      <c r="HX3220" s="73"/>
      <c r="HY3220" s="73"/>
      <c r="HZ3220" s="73"/>
      <c r="IA3220" s="73"/>
      <c r="IB3220" s="73"/>
      <c r="IC3220" s="73"/>
      <c r="ID3220" s="73"/>
      <c r="IE3220" s="73"/>
      <c r="IF3220" s="73"/>
      <c r="IG3220" s="73"/>
      <c r="IH3220" s="73"/>
      <c r="II3220" s="73"/>
      <c r="IJ3220" s="73"/>
      <c r="IK3220" s="73"/>
      <c r="IL3220" s="73"/>
      <c r="IM3220" s="73"/>
      <c r="IN3220" s="73"/>
      <c r="IO3220" s="73"/>
      <c r="IP3220" s="73"/>
      <c r="IQ3220" s="73"/>
      <c r="IR3220" s="73"/>
      <c r="IS3220" s="73"/>
      <c r="IT3220" s="73"/>
      <c r="IU3220" s="73"/>
      <c r="IV3220" s="73"/>
      <c r="IW3220" s="73"/>
      <c r="IX3220" s="73"/>
      <c r="IY3220" s="73"/>
      <c r="IZ3220" s="73"/>
      <c r="JA3220" s="73"/>
      <c r="JB3220" s="73"/>
      <c r="JC3220" s="73"/>
    </row>
    <row r="3221" spans="2:263" s="72" customFormat="1">
      <c r="B3221" s="73"/>
      <c r="C3221" s="73"/>
      <c r="D3221" s="73"/>
      <c r="E3221" s="73"/>
      <c r="F3221" s="73"/>
      <c r="G3221" s="73"/>
      <c r="H3221" s="73"/>
      <c r="I3221" s="73"/>
      <c r="J3221" s="73"/>
      <c r="K3221" s="73"/>
      <c r="L3221" s="73"/>
      <c r="M3221" s="73"/>
      <c r="N3221" s="73"/>
      <c r="O3221" s="73"/>
      <c r="P3221" s="73"/>
      <c r="Q3221" s="73"/>
      <c r="R3221" s="73"/>
      <c r="S3221" s="73"/>
      <c r="T3221" s="73"/>
      <c r="U3221" s="73"/>
      <c r="V3221" s="73"/>
      <c r="W3221" s="73"/>
      <c r="GL3221" s="73"/>
      <c r="GM3221" s="73"/>
      <c r="GN3221" s="73"/>
      <c r="GO3221" s="73"/>
      <c r="GP3221" s="73"/>
      <c r="GQ3221" s="73"/>
      <c r="GR3221" s="73"/>
      <c r="GS3221" s="73"/>
      <c r="GT3221" s="73"/>
      <c r="GU3221" s="73"/>
      <c r="GV3221" s="73"/>
      <c r="GW3221" s="73"/>
      <c r="GX3221" s="73"/>
      <c r="GY3221" s="73"/>
      <c r="GZ3221" s="73"/>
      <c r="HA3221" s="73"/>
      <c r="HB3221" s="73"/>
      <c r="HC3221" s="73"/>
      <c r="HD3221" s="73"/>
      <c r="HE3221" s="73"/>
      <c r="HF3221" s="73"/>
      <c r="HG3221" s="73"/>
      <c r="HH3221" s="73"/>
      <c r="HI3221" s="73"/>
      <c r="HJ3221" s="73"/>
      <c r="HK3221" s="73"/>
      <c r="HL3221" s="73"/>
      <c r="HM3221" s="73"/>
      <c r="HN3221" s="73"/>
      <c r="HO3221" s="73"/>
      <c r="HP3221" s="73"/>
      <c r="HQ3221" s="73"/>
      <c r="HR3221" s="73"/>
      <c r="HS3221" s="73"/>
      <c r="HT3221" s="73"/>
      <c r="HU3221" s="73"/>
      <c r="HV3221" s="73"/>
      <c r="HW3221" s="73"/>
      <c r="HX3221" s="73"/>
      <c r="HY3221" s="73"/>
      <c r="HZ3221" s="73"/>
      <c r="IA3221" s="73"/>
      <c r="IB3221" s="73"/>
      <c r="IC3221" s="73"/>
      <c r="ID3221" s="73"/>
      <c r="IE3221" s="73"/>
      <c r="IF3221" s="73"/>
      <c r="IG3221" s="73"/>
      <c r="IH3221" s="73"/>
      <c r="II3221" s="73"/>
      <c r="IJ3221" s="73"/>
      <c r="IK3221" s="73"/>
      <c r="IL3221" s="73"/>
      <c r="IM3221" s="73"/>
      <c r="IN3221" s="73"/>
      <c r="IO3221" s="73"/>
      <c r="IP3221" s="73"/>
      <c r="IQ3221" s="73"/>
      <c r="IR3221" s="73"/>
      <c r="IS3221" s="73"/>
      <c r="IT3221" s="73"/>
      <c r="IU3221" s="73"/>
      <c r="IV3221" s="73"/>
      <c r="IW3221" s="73"/>
      <c r="IX3221" s="73"/>
      <c r="IY3221" s="73"/>
      <c r="IZ3221" s="73"/>
      <c r="JA3221" s="73"/>
      <c r="JB3221" s="73"/>
      <c r="JC3221" s="73"/>
    </row>
    <row r="3222" spans="2:263" s="72" customFormat="1">
      <c r="B3222" s="73"/>
      <c r="C3222" s="73"/>
      <c r="D3222" s="73"/>
      <c r="E3222" s="73"/>
      <c r="F3222" s="73"/>
      <c r="G3222" s="73"/>
      <c r="H3222" s="73"/>
      <c r="I3222" s="73"/>
      <c r="J3222" s="73"/>
      <c r="K3222" s="73"/>
      <c r="L3222" s="73"/>
      <c r="M3222" s="73"/>
      <c r="N3222" s="73"/>
      <c r="O3222" s="73"/>
      <c r="P3222" s="73"/>
      <c r="Q3222" s="73"/>
      <c r="R3222" s="73"/>
      <c r="S3222" s="73"/>
      <c r="T3222" s="73"/>
      <c r="U3222" s="73"/>
      <c r="V3222" s="73"/>
      <c r="W3222" s="73"/>
      <c r="GL3222" s="73"/>
      <c r="GM3222" s="73"/>
      <c r="GN3222" s="73"/>
      <c r="GO3222" s="73"/>
      <c r="GP3222" s="73"/>
      <c r="GQ3222" s="73"/>
      <c r="GR3222" s="73"/>
      <c r="GS3222" s="73"/>
      <c r="GT3222" s="73"/>
      <c r="GU3222" s="73"/>
      <c r="GV3222" s="73"/>
      <c r="GW3222" s="73"/>
      <c r="GX3222" s="73"/>
      <c r="GY3222" s="73"/>
      <c r="GZ3222" s="73"/>
      <c r="HA3222" s="73"/>
      <c r="HB3222" s="73"/>
      <c r="HC3222" s="73"/>
      <c r="HD3222" s="73"/>
      <c r="HE3222" s="73"/>
      <c r="HF3222" s="73"/>
      <c r="HG3222" s="73"/>
      <c r="HH3222" s="73"/>
      <c r="HI3222" s="73"/>
      <c r="HJ3222" s="73"/>
      <c r="HK3222" s="73"/>
      <c r="HL3222" s="73"/>
      <c r="HM3222" s="73"/>
      <c r="HN3222" s="73"/>
      <c r="HO3222" s="73"/>
      <c r="HP3222" s="73"/>
      <c r="HQ3222" s="73"/>
      <c r="HR3222" s="73"/>
      <c r="HS3222" s="73"/>
      <c r="HT3222" s="73"/>
      <c r="HU3222" s="73"/>
      <c r="HV3222" s="73"/>
      <c r="HW3222" s="73"/>
      <c r="HX3222" s="73"/>
      <c r="HY3222" s="73"/>
      <c r="HZ3222" s="73"/>
      <c r="IA3222" s="73"/>
      <c r="IB3222" s="73"/>
      <c r="IC3222" s="73"/>
      <c r="ID3222" s="73"/>
      <c r="IE3222" s="73"/>
      <c r="IF3222" s="73"/>
      <c r="IG3222" s="73"/>
      <c r="IH3222" s="73"/>
      <c r="II3222" s="73"/>
      <c r="IJ3222" s="73"/>
      <c r="IK3222" s="73"/>
      <c r="IL3222" s="73"/>
      <c r="IM3222" s="73"/>
      <c r="IN3222" s="73"/>
      <c r="IO3222" s="73"/>
      <c r="IP3222" s="73"/>
      <c r="IQ3222" s="73"/>
      <c r="IR3222" s="73"/>
      <c r="IS3222" s="73"/>
      <c r="IT3222" s="73"/>
      <c r="IU3222" s="73"/>
      <c r="IV3222" s="73"/>
      <c r="IW3222" s="73"/>
      <c r="IX3222" s="73"/>
      <c r="IY3222" s="73"/>
      <c r="IZ3222" s="73"/>
      <c r="JA3222" s="73"/>
      <c r="JB3222" s="73"/>
      <c r="JC3222" s="73"/>
    </row>
    <row r="3223" spans="2:263" s="72" customFormat="1">
      <c r="B3223" s="73"/>
      <c r="C3223" s="73"/>
      <c r="D3223" s="73"/>
      <c r="E3223" s="73"/>
      <c r="F3223" s="73"/>
      <c r="G3223" s="73"/>
      <c r="H3223" s="73"/>
      <c r="I3223" s="73"/>
      <c r="J3223" s="73"/>
      <c r="K3223" s="73"/>
      <c r="L3223" s="73"/>
      <c r="M3223" s="73"/>
      <c r="N3223" s="73"/>
      <c r="O3223" s="73"/>
      <c r="P3223" s="73"/>
      <c r="Q3223" s="73"/>
      <c r="R3223" s="73"/>
      <c r="S3223" s="73"/>
      <c r="T3223" s="73"/>
      <c r="U3223" s="73"/>
      <c r="V3223" s="73"/>
      <c r="W3223" s="73"/>
      <c r="GL3223" s="73"/>
      <c r="GM3223" s="73"/>
      <c r="GN3223" s="73"/>
      <c r="GO3223" s="73"/>
      <c r="GP3223" s="73"/>
      <c r="GQ3223" s="73"/>
      <c r="GR3223" s="73"/>
      <c r="GS3223" s="73"/>
      <c r="GT3223" s="73"/>
      <c r="GU3223" s="73"/>
      <c r="GV3223" s="73"/>
      <c r="GW3223" s="73"/>
      <c r="GX3223" s="73"/>
      <c r="GY3223" s="73"/>
      <c r="GZ3223" s="73"/>
      <c r="HA3223" s="73"/>
      <c r="HB3223" s="73"/>
      <c r="HC3223" s="73"/>
      <c r="HD3223" s="73"/>
      <c r="HE3223" s="73"/>
      <c r="HF3223" s="73"/>
      <c r="HG3223" s="73"/>
      <c r="HH3223" s="73"/>
      <c r="HI3223" s="73"/>
      <c r="HJ3223" s="73"/>
      <c r="HK3223" s="73"/>
      <c r="HL3223" s="73"/>
      <c r="HM3223" s="73"/>
      <c r="HN3223" s="73"/>
      <c r="HO3223" s="73"/>
      <c r="HP3223" s="73"/>
      <c r="HQ3223" s="73"/>
      <c r="HR3223" s="73"/>
      <c r="HS3223" s="73"/>
      <c r="HT3223" s="73"/>
      <c r="HU3223" s="73"/>
      <c r="HV3223" s="73"/>
      <c r="HW3223" s="73"/>
      <c r="HX3223" s="73"/>
      <c r="HY3223" s="73"/>
      <c r="HZ3223" s="73"/>
      <c r="IA3223" s="73"/>
      <c r="IB3223" s="73"/>
      <c r="IC3223" s="73"/>
      <c r="ID3223" s="73"/>
      <c r="IE3223" s="73"/>
      <c r="IF3223" s="73"/>
      <c r="IG3223" s="73"/>
      <c r="IH3223" s="73"/>
      <c r="II3223" s="73"/>
      <c r="IJ3223" s="73"/>
      <c r="IK3223" s="73"/>
      <c r="IL3223" s="73"/>
      <c r="IM3223" s="73"/>
      <c r="IN3223" s="73"/>
      <c r="IO3223" s="73"/>
      <c r="IP3223" s="73"/>
      <c r="IQ3223" s="73"/>
      <c r="IR3223" s="73"/>
      <c r="IS3223" s="73"/>
      <c r="IT3223" s="73"/>
      <c r="IU3223" s="73"/>
      <c r="IV3223" s="73"/>
      <c r="IW3223" s="73"/>
      <c r="IX3223" s="73"/>
      <c r="IY3223" s="73"/>
      <c r="IZ3223" s="73"/>
      <c r="JA3223" s="73"/>
      <c r="JB3223" s="73"/>
      <c r="JC3223" s="73"/>
    </row>
    <row r="3224" spans="2:263" s="72" customFormat="1">
      <c r="B3224" s="73"/>
      <c r="C3224" s="73"/>
      <c r="D3224" s="73"/>
      <c r="E3224" s="73"/>
      <c r="F3224" s="73"/>
      <c r="G3224" s="73"/>
      <c r="H3224" s="73"/>
      <c r="I3224" s="73"/>
      <c r="J3224" s="73"/>
      <c r="K3224" s="73"/>
      <c r="L3224" s="73"/>
      <c r="M3224" s="73"/>
      <c r="N3224" s="73"/>
      <c r="O3224" s="73"/>
      <c r="P3224" s="73"/>
      <c r="Q3224" s="73"/>
      <c r="R3224" s="73"/>
      <c r="S3224" s="73"/>
      <c r="T3224" s="73"/>
      <c r="U3224" s="73"/>
      <c r="V3224" s="73"/>
      <c r="W3224" s="73"/>
      <c r="GL3224" s="73"/>
      <c r="GM3224" s="73"/>
      <c r="GN3224" s="73"/>
      <c r="GO3224" s="73"/>
      <c r="GP3224" s="73"/>
      <c r="GQ3224" s="73"/>
      <c r="GR3224" s="73"/>
      <c r="GS3224" s="73"/>
      <c r="GT3224" s="73"/>
      <c r="GU3224" s="73"/>
      <c r="GV3224" s="73"/>
      <c r="GW3224" s="73"/>
      <c r="GX3224" s="73"/>
      <c r="GY3224" s="73"/>
      <c r="GZ3224" s="73"/>
      <c r="HA3224" s="73"/>
      <c r="HB3224" s="73"/>
      <c r="HC3224" s="73"/>
      <c r="HD3224" s="73"/>
      <c r="HE3224" s="73"/>
      <c r="HF3224" s="73"/>
      <c r="HG3224" s="73"/>
      <c r="HH3224" s="73"/>
      <c r="HI3224" s="73"/>
      <c r="HJ3224" s="73"/>
      <c r="HK3224" s="73"/>
      <c r="HL3224" s="73"/>
      <c r="HM3224" s="73"/>
      <c r="HN3224" s="73"/>
      <c r="HO3224" s="73"/>
      <c r="HP3224" s="73"/>
      <c r="HQ3224" s="73"/>
      <c r="HR3224" s="73"/>
      <c r="HS3224" s="73"/>
      <c r="HT3224" s="73"/>
      <c r="HU3224" s="73"/>
      <c r="HV3224" s="73"/>
      <c r="HW3224" s="73"/>
      <c r="HX3224" s="73"/>
      <c r="HY3224" s="73"/>
      <c r="HZ3224" s="73"/>
      <c r="IA3224" s="73"/>
      <c r="IB3224" s="73"/>
      <c r="IC3224" s="73"/>
      <c r="ID3224" s="73"/>
      <c r="IE3224" s="73"/>
      <c r="IF3224" s="73"/>
      <c r="IG3224" s="73"/>
      <c r="IH3224" s="73"/>
      <c r="II3224" s="73"/>
      <c r="IJ3224" s="73"/>
      <c r="IK3224" s="73"/>
      <c r="IL3224" s="73"/>
      <c r="IM3224" s="73"/>
      <c r="IN3224" s="73"/>
      <c r="IO3224" s="73"/>
      <c r="IP3224" s="73"/>
      <c r="IQ3224" s="73"/>
      <c r="IR3224" s="73"/>
      <c r="IS3224" s="73"/>
      <c r="IT3224" s="73"/>
      <c r="IU3224" s="73"/>
      <c r="IV3224" s="73"/>
      <c r="IW3224" s="73"/>
      <c r="IX3224" s="73"/>
      <c r="IY3224" s="73"/>
      <c r="IZ3224" s="73"/>
      <c r="JA3224" s="73"/>
      <c r="JB3224" s="73"/>
      <c r="JC3224" s="73"/>
    </row>
    <row r="3225" spans="2:263" s="72" customFormat="1">
      <c r="B3225" s="73"/>
      <c r="C3225" s="73"/>
      <c r="D3225" s="73"/>
      <c r="E3225" s="73"/>
      <c r="F3225" s="73"/>
      <c r="G3225" s="73"/>
      <c r="H3225" s="73"/>
      <c r="I3225" s="73"/>
      <c r="J3225" s="73"/>
      <c r="K3225" s="73"/>
      <c r="L3225" s="73"/>
      <c r="M3225" s="73"/>
      <c r="N3225" s="73"/>
      <c r="O3225" s="73"/>
      <c r="P3225" s="73"/>
      <c r="Q3225" s="73"/>
      <c r="R3225" s="73"/>
      <c r="S3225" s="73"/>
      <c r="T3225" s="73"/>
      <c r="U3225" s="73"/>
      <c r="V3225" s="73"/>
      <c r="W3225" s="73"/>
      <c r="GL3225" s="73"/>
      <c r="GM3225" s="73"/>
      <c r="GN3225" s="73"/>
      <c r="GO3225" s="73"/>
      <c r="GP3225" s="73"/>
      <c r="GQ3225" s="73"/>
      <c r="GR3225" s="73"/>
      <c r="GS3225" s="73"/>
      <c r="GT3225" s="73"/>
      <c r="GU3225" s="73"/>
      <c r="GV3225" s="73"/>
      <c r="GW3225" s="73"/>
      <c r="GX3225" s="73"/>
      <c r="GY3225" s="73"/>
      <c r="GZ3225" s="73"/>
      <c r="HA3225" s="73"/>
      <c r="HB3225" s="73"/>
      <c r="HC3225" s="73"/>
      <c r="HD3225" s="73"/>
      <c r="HE3225" s="73"/>
      <c r="HF3225" s="73"/>
      <c r="HG3225" s="73"/>
      <c r="HH3225" s="73"/>
      <c r="HI3225" s="73"/>
      <c r="HJ3225" s="73"/>
      <c r="HK3225" s="73"/>
      <c r="HL3225" s="73"/>
      <c r="HM3225" s="73"/>
      <c r="HN3225" s="73"/>
      <c r="HO3225" s="73"/>
      <c r="HP3225" s="73"/>
      <c r="HQ3225" s="73"/>
      <c r="HR3225" s="73"/>
      <c r="HS3225" s="73"/>
      <c r="HT3225" s="73"/>
      <c r="HU3225" s="73"/>
      <c r="HV3225" s="73"/>
      <c r="HW3225" s="73"/>
      <c r="HX3225" s="73"/>
      <c r="HY3225" s="73"/>
      <c r="HZ3225" s="73"/>
      <c r="IA3225" s="73"/>
      <c r="IB3225" s="73"/>
      <c r="IC3225" s="73"/>
      <c r="ID3225" s="73"/>
      <c r="IE3225" s="73"/>
      <c r="IF3225" s="73"/>
      <c r="IG3225" s="73"/>
      <c r="IH3225" s="73"/>
      <c r="II3225" s="73"/>
      <c r="IJ3225" s="73"/>
      <c r="IK3225" s="73"/>
      <c r="IL3225" s="73"/>
      <c r="IM3225" s="73"/>
      <c r="IN3225" s="73"/>
      <c r="IO3225" s="73"/>
      <c r="IP3225" s="73"/>
      <c r="IQ3225" s="73"/>
      <c r="IR3225" s="73"/>
      <c r="IS3225" s="73"/>
      <c r="IT3225" s="73"/>
      <c r="IU3225" s="73"/>
      <c r="IV3225" s="73"/>
      <c r="IW3225" s="73"/>
      <c r="IX3225" s="73"/>
      <c r="IY3225" s="73"/>
      <c r="IZ3225" s="73"/>
      <c r="JA3225" s="73"/>
      <c r="JB3225" s="73"/>
      <c r="JC3225" s="73"/>
    </row>
    <row r="3226" spans="2:263" s="72" customFormat="1">
      <c r="B3226" s="73"/>
      <c r="C3226" s="73"/>
      <c r="D3226" s="73"/>
      <c r="E3226" s="73"/>
      <c r="F3226" s="73"/>
      <c r="G3226" s="73"/>
      <c r="H3226" s="73"/>
      <c r="I3226" s="73"/>
      <c r="J3226" s="73"/>
      <c r="K3226" s="73"/>
      <c r="L3226" s="73"/>
      <c r="M3226" s="73"/>
      <c r="N3226" s="73"/>
      <c r="O3226" s="73"/>
      <c r="P3226" s="73"/>
      <c r="Q3226" s="73"/>
      <c r="R3226" s="73"/>
      <c r="S3226" s="73"/>
      <c r="T3226" s="73"/>
      <c r="U3226" s="73"/>
      <c r="V3226" s="73"/>
      <c r="W3226" s="73"/>
      <c r="GL3226" s="73"/>
      <c r="GM3226" s="73"/>
      <c r="GN3226" s="73"/>
      <c r="GO3226" s="73"/>
      <c r="GP3226" s="73"/>
      <c r="GQ3226" s="73"/>
      <c r="GR3226" s="73"/>
      <c r="GS3226" s="73"/>
      <c r="GT3226" s="73"/>
      <c r="GU3226" s="73"/>
      <c r="GV3226" s="73"/>
      <c r="GW3226" s="73"/>
      <c r="GX3226" s="73"/>
      <c r="GY3226" s="73"/>
      <c r="GZ3226" s="73"/>
      <c r="HA3226" s="73"/>
      <c r="HB3226" s="73"/>
      <c r="HC3226" s="73"/>
      <c r="HD3226" s="73"/>
      <c r="HE3226" s="73"/>
      <c r="HF3226" s="73"/>
      <c r="HG3226" s="73"/>
      <c r="HH3226" s="73"/>
      <c r="HI3226" s="73"/>
      <c r="HJ3226" s="73"/>
      <c r="HK3226" s="73"/>
      <c r="HL3226" s="73"/>
      <c r="HM3226" s="73"/>
      <c r="HN3226" s="73"/>
      <c r="HO3226" s="73"/>
      <c r="HP3226" s="73"/>
      <c r="HQ3226" s="73"/>
      <c r="HR3226" s="73"/>
      <c r="HS3226" s="73"/>
      <c r="HT3226" s="73"/>
      <c r="HU3226" s="73"/>
      <c r="HV3226" s="73"/>
      <c r="HW3226" s="73"/>
      <c r="HX3226" s="73"/>
      <c r="HY3226" s="73"/>
      <c r="HZ3226" s="73"/>
      <c r="IA3226" s="73"/>
      <c r="IB3226" s="73"/>
      <c r="IC3226" s="73"/>
      <c r="ID3226" s="73"/>
      <c r="IE3226" s="73"/>
      <c r="IF3226" s="73"/>
      <c r="IG3226" s="73"/>
      <c r="IH3226" s="73"/>
      <c r="II3226" s="73"/>
      <c r="IJ3226" s="73"/>
      <c r="IK3226" s="73"/>
      <c r="IL3226" s="73"/>
      <c r="IM3226" s="73"/>
      <c r="IN3226" s="73"/>
      <c r="IO3226" s="73"/>
      <c r="IP3226" s="73"/>
      <c r="IQ3226" s="73"/>
      <c r="IR3226" s="73"/>
      <c r="IS3226" s="73"/>
      <c r="IT3226" s="73"/>
      <c r="IU3226" s="73"/>
      <c r="IV3226" s="73"/>
      <c r="IW3226" s="73"/>
      <c r="IX3226" s="73"/>
      <c r="IY3226" s="73"/>
      <c r="IZ3226" s="73"/>
      <c r="JA3226" s="73"/>
      <c r="JB3226" s="73"/>
      <c r="JC3226" s="73"/>
    </row>
    <row r="3227" spans="2:263" s="72" customFormat="1">
      <c r="B3227" s="73"/>
      <c r="C3227" s="73"/>
      <c r="D3227" s="73"/>
      <c r="E3227" s="73"/>
      <c r="F3227" s="73"/>
      <c r="G3227" s="73"/>
      <c r="H3227" s="73"/>
      <c r="I3227" s="73"/>
      <c r="J3227" s="73"/>
      <c r="K3227" s="73"/>
      <c r="L3227" s="73"/>
      <c r="M3227" s="73"/>
      <c r="N3227" s="73"/>
      <c r="O3227" s="73"/>
      <c r="P3227" s="73"/>
      <c r="Q3227" s="73"/>
      <c r="R3227" s="73"/>
      <c r="S3227" s="73"/>
      <c r="T3227" s="73"/>
      <c r="U3227" s="73"/>
      <c r="V3227" s="73"/>
      <c r="W3227" s="73"/>
      <c r="GL3227" s="73"/>
      <c r="GM3227" s="73"/>
      <c r="GN3227" s="73"/>
      <c r="GO3227" s="73"/>
      <c r="GP3227" s="73"/>
      <c r="GQ3227" s="73"/>
      <c r="GR3227" s="73"/>
      <c r="GS3227" s="73"/>
      <c r="GT3227" s="73"/>
      <c r="GU3227" s="73"/>
      <c r="GV3227" s="73"/>
      <c r="GW3227" s="73"/>
      <c r="GX3227" s="73"/>
      <c r="GY3227" s="73"/>
      <c r="GZ3227" s="73"/>
      <c r="HA3227" s="73"/>
      <c r="HB3227" s="73"/>
      <c r="HC3227" s="73"/>
      <c r="HD3227" s="73"/>
      <c r="HE3227" s="73"/>
      <c r="HF3227" s="73"/>
      <c r="HG3227" s="73"/>
      <c r="HH3227" s="73"/>
      <c r="HI3227" s="73"/>
      <c r="HJ3227" s="73"/>
      <c r="HK3227" s="73"/>
      <c r="HL3227" s="73"/>
      <c r="HM3227" s="73"/>
      <c r="HN3227" s="73"/>
      <c r="HO3227" s="73"/>
      <c r="HP3227" s="73"/>
      <c r="HQ3227" s="73"/>
      <c r="HR3227" s="73"/>
      <c r="HS3227" s="73"/>
      <c r="HT3227" s="73"/>
      <c r="HU3227" s="73"/>
      <c r="HV3227" s="73"/>
      <c r="HW3227" s="73"/>
      <c r="HX3227" s="73"/>
      <c r="HY3227" s="73"/>
      <c r="HZ3227" s="73"/>
      <c r="IA3227" s="73"/>
      <c r="IB3227" s="73"/>
      <c r="IC3227" s="73"/>
      <c r="ID3227" s="73"/>
      <c r="IE3227" s="73"/>
      <c r="IF3227" s="73"/>
      <c r="IG3227" s="73"/>
      <c r="IH3227" s="73"/>
      <c r="II3227" s="73"/>
      <c r="IJ3227" s="73"/>
      <c r="IK3227" s="73"/>
      <c r="IL3227" s="73"/>
      <c r="IM3227" s="73"/>
      <c r="IN3227" s="73"/>
      <c r="IO3227" s="73"/>
      <c r="IP3227" s="73"/>
      <c r="IQ3227" s="73"/>
      <c r="IR3227" s="73"/>
      <c r="IS3227" s="73"/>
      <c r="IT3227" s="73"/>
      <c r="IU3227" s="73"/>
      <c r="IV3227" s="73"/>
      <c r="IW3227" s="73"/>
      <c r="IX3227" s="73"/>
      <c r="IY3227" s="73"/>
      <c r="IZ3227" s="73"/>
      <c r="JA3227" s="73"/>
      <c r="JB3227" s="73"/>
      <c r="JC3227" s="73"/>
    </row>
    <row r="3228" spans="2:263" s="72" customFormat="1">
      <c r="B3228" s="73"/>
      <c r="C3228" s="73"/>
      <c r="D3228" s="73"/>
      <c r="E3228" s="73"/>
      <c r="F3228" s="73"/>
      <c r="G3228" s="73"/>
      <c r="H3228" s="73"/>
      <c r="I3228" s="73"/>
      <c r="J3228" s="73"/>
      <c r="K3228" s="73"/>
      <c r="L3228" s="73"/>
      <c r="M3228" s="73"/>
      <c r="N3228" s="73"/>
      <c r="O3228" s="73"/>
      <c r="P3228" s="73"/>
      <c r="Q3228" s="73"/>
      <c r="R3228" s="73"/>
      <c r="S3228" s="73"/>
      <c r="T3228" s="73"/>
      <c r="U3228" s="73"/>
      <c r="V3228" s="73"/>
      <c r="W3228" s="73"/>
      <c r="GL3228" s="73"/>
      <c r="GM3228" s="73"/>
      <c r="GN3228" s="73"/>
      <c r="GO3228" s="73"/>
      <c r="GP3228" s="73"/>
      <c r="GQ3228" s="73"/>
      <c r="GR3228" s="73"/>
      <c r="GS3228" s="73"/>
      <c r="GT3228" s="73"/>
      <c r="GU3228" s="73"/>
      <c r="GV3228" s="73"/>
      <c r="GW3228" s="73"/>
      <c r="GX3228" s="73"/>
      <c r="GY3228" s="73"/>
      <c r="GZ3228" s="73"/>
      <c r="HA3228" s="73"/>
      <c r="HB3228" s="73"/>
      <c r="HC3228" s="73"/>
      <c r="HD3228" s="73"/>
      <c r="HE3228" s="73"/>
      <c r="HF3228" s="73"/>
      <c r="HG3228" s="73"/>
      <c r="HH3228" s="73"/>
      <c r="HI3228" s="73"/>
      <c r="HJ3228" s="73"/>
      <c r="HK3228" s="73"/>
      <c r="HL3228" s="73"/>
      <c r="HM3228" s="73"/>
      <c r="HN3228" s="73"/>
      <c r="HO3228" s="73"/>
      <c r="HP3228" s="73"/>
      <c r="HQ3228" s="73"/>
      <c r="HR3228" s="73"/>
      <c r="HS3228" s="73"/>
      <c r="HT3228" s="73"/>
      <c r="HU3228" s="73"/>
      <c r="HV3228" s="73"/>
      <c r="HW3228" s="73"/>
      <c r="HX3228" s="73"/>
      <c r="HY3228" s="73"/>
      <c r="HZ3228" s="73"/>
      <c r="IA3228" s="73"/>
      <c r="IB3228" s="73"/>
      <c r="IC3228" s="73"/>
      <c r="ID3228" s="73"/>
      <c r="IE3228" s="73"/>
      <c r="IF3228" s="73"/>
      <c r="IG3228" s="73"/>
      <c r="IH3228" s="73"/>
      <c r="II3228" s="73"/>
      <c r="IJ3228" s="73"/>
      <c r="IK3228" s="73"/>
      <c r="IL3228" s="73"/>
      <c r="IM3228" s="73"/>
      <c r="IN3228" s="73"/>
      <c r="IO3228" s="73"/>
      <c r="IP3228" s="73"/>
      <c r="IQ3228" s="73"/>
      <c r="IR3228" s="73"/>
      <c r="IS3228" s="73"/>
      <c r="IT3228" s="73"/>
      <c r="IU3228" s="73"/>
      <c r="IV3228" s="73"/>
      <c r="IW3228" s="73"/>
      <c r="IX3228" s="73"/>
      <c r="IY3228" s="73"/>
      <c r="IZ3228" s="73"/>
      <c r="JA3228" s="73"/>
      <c r="JB3228" s="73"/>
      <c r="JC3228" s="73"/>
    </row>
    <row r="3229" spans="2:263" s="72" customFormat="1">
      <c r="B3229" s="73"/>
      <c r="C3229" s="73"/>
      <c r="D3229" s="73"/>
      <c r="E3229" s="73"/>
      <c r="F3229" s="73"/>
      <c r="G3229" s="73"/>
      <c r="H3229" s="73"/>
      <c r="I3229" s="73"/>
      <c r="J3229" s="73"/>
      <c r="K3229" s="73"/>
      <c r="L3229" s="73"/>
      <c r="M3229" s="73"/>
      <c r="N3229" s="73"/>
      <c r="O3229" s="73"/>
      <c r="P3229" s="73"/>
      <c r="Q3229" s="73"/>
      <c r="R3229" s="73"/>
      <c r="S3229" s="73"/>
      <c r="T3229" s="73"/>
      <c r="U3229" s="73"/>
      <c r="V3229" s="73"/>
      <c r="W3229" s="73"/>
      <c r="GL3229" s="73"/>
      <c r="GM3229" s="73"/>
      <c r="GN3229" s="73"/>
      <c r="GO3229" s="73"/>
      <c r="GP3229" s="73"/>
      <c r="GQ3229" s="73"/>
      <c r="GR3229" s="73"/>
      <c r="GS3229" s="73"/>
      <c r="GT3229" s="73"/>
      <c r="GU3229" s="73"/>
      <c r="GV3229" s="73"/>
      <c r="GW3229" s="73"/>
      <c r="GX3229" s="73"/>
      <c r="GY3229" s="73"/>
      <c r="GZ3229" s="73"/>
      <c r="HA3229" s="73"/>
      <c r="HB3229" s="73"/>
      <c r="HC3229" s="73"/>
      <c r="HD3229" s="73"/>
      <c r="HE3229" s="73"/>
      <c r="HF3229" s="73"/>
      <c r="HG3229" s="73"/>
      <c r="HH3229" s="73"/>
      <c r="HI3229" s="73"/>
      <c r="HJ3229" s="73"/>
      <c r="HK3229" s="73"/>
      <c r="HL3229" s="73"/>
      <c r="HM3229" s="73"/>
      <c r="HN3229" s="73"/>
      <c r="HO3229" s="73"/>
      <c r="HP3229" s="73"/>
      <c r="HQ3229" s="73"/>
      <c r="HR3229" s="73"/>
      <c r="HS3229" s="73"/>
      <c r="HT3229" s="73"/>
      <c r="HU3229" s="73"/>
      <c r="HV3229" s="73"/>
      <c r="HW3229" s="73"/>
      <c r="HX3229" s="73"/>
      <c r="HY3229" s="73"/>
      <c r="HZ3229" s="73"/>
      <c r="IA3229" s="73"/>
      <c r="IB3229" s="73"/>
      <c r="IC3229" s="73"/>
      <c r="ID3229" s="73"/>
      <c r="IE3229" s="73"/>
      <c r="IF3229" s="73"/>
      <c r="IG3229" s="73"/>
      <c r="IH3229" s="73"/>
      <c r="II3229" s="73"/>
      <c r="IJ3229" s="73"/>
      <c r="IK3229" s="73"/>
      <c r="IL3229" s="73"/>
      <c r="IM3229" s="73"/>
      <c r="IN3229" s="73"/>
      <c r="IO3229" s="73"/>
      <c r="IP3229" s="73"/>
      <c r="IQ3229" s="73"/>
      <c r="IR3229" s="73"/>
      <c r="IS3229" s="73"/>
      <c r="IT3229" s="73"/>
      <c r="IU3229" s="73"/>
      <c r="IV3229" s="73"/>
      <c r="IW3229" s="73"/>
      <c r="IX3229" s="73"/>
      <c r="IY3229" s="73"/>
      <c r="IZ3229" s="73"/>
      <c r="JA3229" s="73"/>
      <c r="JB3229" s="73"/>
      <c r="JC3229" s="73"/>
    </row>
    <row r="3230" spans="2:263" s="72" customFormat="1">
      <c r="B3230" s="73"/>
      <c r="C3230" s="73"/>
      <c r="D3230" s="73"/>
      <c r="E3230" s="73"/>
      <c r="F3230" s="73"/>
      <c r="G3230" s="73"/>
      <c r="H3230" s="73"/>
      <c r="I3230" s="73"/>
      <c r="J3230" s="73"/>
      <c r="K3230" s="73"/>
      <c r="L3230" s="73"/>
      <c r="M3230" s="73"/>
      <c r="N3230" s="73"/>
      <c r="O3230" s="73"/>
      <c r="P3230" s="73"/>
      <c r="Q3230" s="73"/>
      <c r="R3230" s="73"/>
      <c r="S3230" s="73"/>
      <c r="T3230" s="73"/>
      <c r="U3230" s="73"/>
      <c r="V3230" s="73"/>
      <c r="W3230" s="73"/>
      <c r="GL3230" s="73"/>
      <c r="GM3230" s="73"/>
      <c r="GN3230" s="73"/>
      <c r="GO3230" s="73"/>
      <c r="GP3230" s="73"/>
      <c r="GQ3230" s="73"/>
      <c r="GR3230" s="73"/>
      <c r="GS3230" s="73"/>
      <c r="GT3230" s="73"/>
      <c r="GU3230" s="73"/>
      <c r="GV3230" s="73"/>
      <c r="GW3230" s="73"/>
      <c r="GX3230" s="73"/>
      <c r="GY3230" s="73"/>
      <c r="GZ3230" s="73"/>
      <c r="HA3230" s="73"/>
      <c r="HB3230" s="73"/>
      <c r="HC3230" s="73"/>
      <c r="HD3230" s="73"/>
      <c r="HE3230" s="73"/>
      <c r="HF3230" s="73"/>
      <c r="HG3230" s="73"/>
      <c r="HH3230" s="73"/>
      <c r="HI3230" s="73"/>
      <c r="HJ3230" s="73"/>
      <c r="HK3230" s="73"/>
      <c r="HL3230" s="73"/>
      <c r="HM3230" s="73"/>
      <c r="HN3230" s="73"/>
      <c r="HO3230" s="73"/>
      <c r="HP3230" s="73"/>
      <c r="HQ3230" s="73"/>
      <c r="HR3230" s="73"/>
      <c r="HS3230" s="73"/>
      <c r="HT3230" s="73"/>
      <c r="HU3230" s="73"/>
      <c r="HV3230" s="73"/>
      <c r="HW3230" s="73"/>
      <c r="HX3230" s="73"/>
      <c r="HY3230" s="73"/>
      <c r="HZ3230" s="73"/>
      <c r="IA3230" s="73"/>
      <c r="IB3230" s="73"/>
      <c r="IC3230" s="73"/>
      <c r="ID3230" s="73"/>
      <c r="IE3230" s="73"/>
      <c r="IF3230" s="73"/>
      <c r="IG3230" s="73"/>
      <c r="IH3230" s="73"/>
      <c r="II3230" s="73"/>
      <c r="IJ3230" s="73"/>
      <c r="IK3230" s="73"/>
      <c r="IL3230" s="73"/>
      <c r="IM3230" s="73"/>
      <c r="IN3230" s="73"/>
      <c r="IO3230" s="73"/>
      <c r="IP3230" s="73"/>
      <c r="IQ3230" s="73"/>
      <c r="IR3230" s="73"/>
      <c r="IS3230" s="73"/>
      <c r="IT3230" s="73"/>
      <c r="IU3230" s="73"/>
      <c r="IV3230" s="73"/>
      <c r="IW3230" s="73"/>
      <c r="IX3230" s="73"/>
      <c r="IY3230" s="73"/>
      <c r="IZ3230" s="73"/>
      <c r="JA3230" s="73"/>
      <c r="JB3230" s="73"/>
      <c r="JC3230" s="73"/>
    </row>
    <row r="3231" spans="2:263" s="72" customFormat="1">
      <c r="B3231" s="73"/>
      <c r="C3231" s="73"/>
      <c r="D3231" s="73"/>
      <c r="E3231" s="73"/>
      <c r="F3231" s="73"/>
      <c r="G3231" s="73"/>
      <c r="H3231" s="73"/>
      <c r="I3231" s="73"/>
      <c r="J3231" s="73"/>
      <c r="K3231" s="73"/>
      <c r="L3231" s="73"/>
      <c r="M3231" s="73"/>
      <c r="N3231" s="73"/>
      <c r="O3231" s="73"/>
      <c r="P3231" s="73"/>
      <c r="Q3231" s="73"/>
      <c r="R3231" s="73"/>
      <c r="S3231" s="73"/>
      <c r="T3231" s="73"/>
      <c r="U3231" s="73"/>
      <c r="V3231" s="73"/>
      <c r="W3231" s="73"/>
      <c r="GL3231" s="73"/>
      <c r="GM3231" s="73"/>
      <c r="GN3231" s="73"/>
      <c r="GO3231" s="73"/>
      <c r="GP3231" s="73"/>
      <c r="GQ3231" s="73"/>
      <c r="GR3231" s="73"/>
      <c r="GS3231" s="73"/>
      <c r="GT3231" s="73"/>
      <c r="GU3231" s="73"/>
      <c r="GV3231" s="73"/>
      <c r="GW3231" s="73"/>
      <c r="GX3231" s="73"/>
      <c r="GY3231" s="73"/>
      <c r="GZ3231" s="73"/>
      <c r="HA3231" s="73"/>
      <c r="HB3231" s="73"/>
      <c r="HC3231" s="73"/>
      <c r="HD3231" s="73"/>
      <c r="HE3231" s="73"/>
      <c r="HF3231" s="73"/>
      <c r="HG3231" s="73"/>
      <c r="HH3231" s="73"/>
      <c r="HI3231" s="73"/>
      <c r="HJ3231" s="73"/>
      <c r="HK3231" s="73"/>
      <c r="HL3231" s="73"/>
      <c r="HM3231" s="73"/>
      <c r="HN3231" s="73"/>
      <c r="HO3231" s="73"/>
      <c r="HP3231" s="73"/>
      <c r="HQ3231" s="73"/>
      <c r="HR3231" s="73"/>
      <c r="HS3231" s="73"/>
      <c r="HT3231" s="73"/>
      <c r="HU3231" s="73"/>
      <c r="HV3231" s="73"/>
      <c r="HW3231" s="73"/>
      <c r="HX3231" s="73"/>
      <c r="HY3231" s="73"/>
      <c r="HZ3231" s="73"/>
      <c r="IA3231" s="73"/>
      <c r="IB3231" s="73"/>
      <c r="IC3231" s="73"/>
      <c r="ID3231" s="73"/>
      <c r="IE3231" s="73"/>
      <c r="IF3231" s="73"/>
      <c r="IG3231" s="73"/>
      <c r="IH3231" s="73"/>
      <c r="II3231" s="73"/>
      <c r="IJ3231" s="73"/>
      <c r="IK3231" s="73"/>
      <c r="IL3231" s="73"/>
      <c r="IM3231" s="73"/>
      <c r="IN3231" s="73"/>
      <c r="IO3231" s="73"/>
      <c r="IP3231" s="73"/>
      <c r="IQ3231" s="73"/>
      <c r="IR3231" s="73"/>
      <c r="IS3231" s="73"/>
      <c r="IT3231" s="73"/>
      <c r="IU3231" s="73"/>
      <c r="IV3231" s="73"/>
      <c r="IW3231" s="73"/>
      <c r="IX3231" s="73"/>
      <c r="IY3231" s="73"/>
      <c r="IZ3231" s="73"/>
      <c r="JA3231" s="73"/>
      <c r="JB3231" s="73"/>
      <c r="JC3231" s="73"/>
    </row>
    <row r="3232" spans="2:263" s="72" customFormat="1">
      <c r="B3232" s="73"/>
      <c r="C3232" s="73"/>
      <c r="D3232" s="73"/>
      <c r="E3232" s="73"/>
      <c r="F3232" s="73"/>
      <c r="G3232" s="73"/>
      <c r="H3232" s="73"/>
      <c r="I3232" s="73"/>
      <c r="J3232" s="73"/>
      <c r="K3232" s="73"/>
      <c r="L3232" s="73"/>
      <c r="M3232" s="73"/>
      <c r="N3232" s="73"/>
      <c r="O3232" s="73"/>
      <c r="P3232" s="73"/>
      <c r="Q3232" s="73"/>
      <c r="R3232" s="73"/>
      <c r="S3232" s="73"/>
      <c r="T3232" s="73"/>
      <c r="U3232" s="73"/>
      <c r="V3232" s="73"/>
      <c r="W3232" s="73"/>
      <c r="GL3232" s="73"/>
      <c r="GM3232" s="73"/>
      <c r="GN3232" s="73"/>
      <c r="GO3232" s="73"/>
      <c r="GP3232" s="73"/>
      <c r="GQ3232" s="73"/>
      <c r="GR3232" s="73"/>
      <c r="GS3232" s="73"/>
      <c r="GT3232" s="73"/>
      <c r="GU3232" s="73"/>
      <c r="GV3232" s="73"/>
      <c r="GW3232" s="73"/>
      <c r="GX3232" s="73"/>
      <c r="GY3232" s="73"/>
      <c r="GZ3232" s="73"/>
      <c r="HA3232" s="73"/>
      <c r="HB3232" s="73"/>
      <c r="HC3232" s="73"/>
      <c r="HD3232" s="73"/>
      <c r="HE3232" s="73"/>
      <c r="HF3232" s="73"/>
      <c r="HG3232" s="73"/>
      <c r="HH3232" s="73"/>
      <c r="HI3232" s="73"/>
      <c r="HJ3232" s="73"/>
      <c r="HK3232" s="73"/>
      <c r="HL3232" s="73"/>
      <c r="HM3232" s="73"/>
      <c r="HN3232" s="73"/>
      <c r="HO3232" s="73"/>
      <c r="HP3232" s="73"/>
      <c r="HQ3232" s="73"/>
      <c r="HR3232" s="73"/>
      <c r="HS3232" s="73"/>
      <c r="HT3232" s="73"/>
      <c r="HU3232" s="73"/>
      <c r="HV3232" s="73"/>
      <c r="HW3232" s="73"/>
      <c r="HX3232" s="73"/>
      <c r="HY3232" s="73"/>
      <c r="HZ3232" s="73"/>
      <c r="IA3232" s="73"/>
      <c r="IB3232" s="73"/>
      <c r="IC3232" s="73"/>
      <c r="ID3232" s="73"/>
      <c r="IE3232" s="73"/>
      <c r="IF3232" s="73"/>
      <c r="IG3232" s="73"/>
      <c r="IH3232" s="73"/>
      <c r="II3232" s="73"/>
      <c r="IJ3232" s="73"/>
      <c r="IK3232" s="73"/>
      <c r="IL3232" s="73"/>
      <c r="IM3232" s="73"/>
      <c r="IN3232" s="73"/>
      <c r="IO3232" s="73"/>
      <c r="IP3232" s="73"/>
      <c r="IQ3232" s="73"/>
      <c r="IR3232" s="73"/>
      <c r="IS3232" s="73"/>
      <c r="IT3232" s="73"/>
      <c r="IU3232" s="73"/>
      <c r="IV3232" s="73"/>
      <c r="IW3232" s="73"/>
      <c r="IX3232" s="73"/>
      <c r="IY3232" s="73"/>
      <c r="IZ3232" s="73"/>
      <c r="JA3232" s="73"/>
      <c r="JB3232" s="73"/>
      <c r="JC3232" s="73"/>
    </row>
    <row r="3233" spans="2:263" s="72" customFormat="1">
      <c r="B3233" s="73"/>
      <c r="C3233" s="73"/>
      <c r="D3233" s="73"/>
      <c r="E3233" s="73"/>
      <c r="F3233" s="73"/>
      <c r="G3233" s="73"/>
      <c r="H3233" s="73"/>
      <c r="I3233" s="73"/>
      <c r="J3233" s="73"/>
      <c r="K3233" s="73"/>
      <c r="L3233" s="73"/>
      <c r="M3233" s="73"/>
      <c r="N3233" s="73"/>
      <c r="O3233" s="73"/>
      <c r="P3233" s="73"/>
      <c r="Q3233" s="73"/>
      <c r="R3233" s="73"/>
      <c r="S3233" s="73"/>
      <c r="T3233" s="73"/>
      <c r="U3233" s="73"/>
      <c r="V3233" s="73"/>
      <c r="W3233" s="73"/>
      <c r="GL3233" s="73"/>
      <c r="GM3233" s="73"/>
      <c r="GN3233" s="73"/>
      <c r="GO3233" s="73"/>
      <c r="GP3233" s="73"/>
      <c r="GQ3233" s="73"/>
      <c r="GR3233" s="73"/>
      <c r="GS3233" s="73"/>
      <c r="GT3233" s="73"/>
      <c r="GU3233" s="73"/>
      <c r="GV3233" s="73"/>
      <c r="GW3233" s="73"/>
      <c r="GX3233" s="73"/>
      <c r="GY3233" s="73"/>
      <c r="GZ3233" s="73"/>
      <c r="HA3233" s="73"/>
      <c r="HB3233" s="73"/>
      <c r="HC3233" s="73"/>
      <c r="HD3233" s="73"/>
      <c r="HE3233" s="73"/>
      <c r="HF3233" s="73"/>
      <c r="HG3233" s="73"/>
      <c r="HH3233" s="73"/>
      <c r="HI3233" s="73"/>
      <c r="HJ3233" s="73"/>
      <c r="HK3233" s="73"/>
      <c r="HL3233" s="73"/>
      <c r="HM3233" s="73"/>
      <c r="HN3233" s="73"/>
      <c r="HO3233" s="73"/>
      <c r="HP3233" s="73"/>
      <c r="HQ3233" s="73"/>
      <c r="HR3233" s="73"/>
      <c r="HS3233" s="73"/>
      <c r="HT3233" s="73"/>
      <c r="HU3233" s="73"/>
      <c r="HV3233" s="73"/>
      <c r="HW3233" s="73"/>
      <c r="HX3233" s="73"/>
      <c r="HY3233" s="73"/>
      <c r="HZ3233" s="73"/>
      <c r="IA3233" s="73"/>
      <c r="IB3233" s="73"/>
      <c r="IC3233" s="73"/>
      <c r="ID3233" s="73"/>
      <c r="IE3233" s="73"/>
      <c r="IF3233" s="73"/>
      <c r="IG3233" s="73"/>
      <c r="IH3233" s="73"/>
      <c r="II3233" s="73"/>
      <c r="IJ3233" s="73"/>
      <c r="IK3233" s="73"/>
      <c r="IL3233" s="73"/>
      <c r="IM3233" s="73"/>
      <c r="IN3233" s="73"/>
      <c r="IO3233" s="73"/>
      <c r="IP3233" s="73"/>
      <c r="IQ3233" s="73"/>
      <c r="IR3233" s="73"/>
      <c r="IS3233" s="73"/>
      <c r="IT3233" s="73"/>
      <c r="IU3233" s="73"/>
      <c r="IV3233" s="73"/>
      <c r="IW3233" s="73"/>
      <c r="IX3233" s="73"/>
      <c r="IY3233" s="73"/>
      <c r="IZ3233" s="73"/>
      <c r="JA3233" s="73"/>
      <c r="JB3233" s="73"/>
      <c r="JC3233" s="73"/>
    </row>
    <row r="3234" spans="2:263" s="72" customFormat="1">
      <c r="B3234" s="73"/>
      <c r="C3234" s="73"/>
      <c r="D3234" s="73"/>
      <c r="E3234" s="73"/>
      <c r="F3234" s="73"/>
      <c r="G3234" s="73"/>
      <c r="H3234" s="73"/>
      <c r="I3234" s="73"/>
      <c r="J3234" s="73"/>
      <c r="K3234" s="73"/>
      <c r="L3234" s="73"/>
      <c r="M3234" s="73"/>
      <c r="N3234" s="73"/>
      <c r="O3234" s="73"/>
      <c r="P3234" s="73"/>
      <c r="Q3234" s="73"/>
      <c r="R3234" s="73"/>
      <c r="S3234" s="73"/>
      <c r="T3234" s="73"/>
      <c r="U3234" s="73"/>
      <c r="V3234" s="73"/>
      <c r="W3234" s="73"/>
      <c r="GL3234" s="73"/>
      <c r="GM3234" s="73"/>
      <c r="GN3234" s="73"/>
      <c r="GO3234" s="73"/>
      <c r="GP3234" s="73"/>
      <c r="GQ3234" s="73"/>
      <c r="GR3234" s="73"/>
      <c r="GS3234" s="73"/>
      <c r="GT3234" s="73"/>
      <c r="GU3234" s="73"/>
      <c r="GV3234" s="73"/>
      <c r="GW3234" s="73"/>
      <c r="GX3234" s="73"/>
      <c r="GY3234" s="73"/>
      <c r="GZ3234" s="73"/>
      <c r="HA3234" s="73"/>
      <c r="HB3234" s="73"/>
      <c r="HC3234" s="73"/>
      <c r="HD3234" s="73"/>
      <c r="HE3234" s="73"/>
      <c r="HF3234" s="73"/>
      <c r="HG3234" s="73"/>
      <c r="HH3234" s="73"/>
      <c r="HI3234" s="73"/>
      <c r="HJ3234" s="73"/>
      <c r="HK3234" s="73"/>
      <c r="HL3234" s="73"/>
      <c r="HM3234" s="73"/>
      <c r="HN3234" s="73"/>
      <c r="HO3234" s="73"/>
      <c r="HP3234" s="73"/>
      <c r="HQ3234" s="73"/>
      <c r="HR3234" s="73"/>
      <c r="HS3234" s="73"/>
      <c r="HT3234" s="73"/>
      <c r="HU3234" s="73"/>
      <c r="HV3234" s="73"/>
      <c r="HW3234" s="73"/>
      <c r="HX3234" s="73"/>
      <c r="HY3234" s="73"/>
      <c r="HZ3234" s="73"/>
      <c r="IA3234" s="73"/>
      <c r="IB3234" s="73"/>
      <c r="IC3234" s="73"/>
      <c r="ID3234" s="73"/>
      <c r="IE3234" s="73"/>
      <c r="IF3234" s="73"/>
      <c r="IG3234" s="73"/>
      <c r="IH3234" s="73"/>
      <c r="II3234" s="73"/>
      <c r="IJ3234" s="73"/>
      <c r="IK3234" s="73"/>
      <c r="IL3234" s="73"/>
      <c r="IM3234" s="73"/>
      <c r="IN3234" s="73"/>
      <c r="IO3234" s="73"/>
      <c r="IP3234" s="73"/>
      <c r="IQ3234" s="73"/>
      <c r="IR3234" s="73"/>
      <c r="IS3234" s="73"/>
      <c r="IT3234" s="73"/>
      <c r="IU3234" s="73"/>
      <c r="IV3234" s="73"/>
      <c r="IW3234" s="73"/>
      <c r="IX3234" s="73"/>
      <c r="IY3234" s="73"/>
      <c r="IZ3234" s="73"/>
      <c r="JA3234" s="73"/>
      <c r="JB3234" s="73"/>
      <c r="JC3234" s="73"/>
    </row>
    <row r="3235" spans="2:263" s="72" customFormat="1">
      <c r="B3235" s="73"/>
      <c r="C3235" s="73"/>
      <c r="D3235" s="73"/>
      <c r="E3235" s="73"/>
      <c r="F3235" s="73"/>
      <c r="G3235" s="73"/>
      <c r="H3235" s="73"/>
      <c r="I3235" s="73"/>
      <c r="J3235" s="73"/>
      <c r="K3235" s="73"/>
      <c r="L3235" s="73"/>
      <c r="M3235" s="73"/>
      <c r="N3235" s="73"/>
      <c r="O3235" s="73"/>
      <c r="P3235" s="73"/>
      <c r="Q3235" s="73"/>
      <c r="R3235" s="73"/>
      <c r="S3235" s="73"/>
      <c r="T3235" s="73"/>
      <c r="U3235" s="73"/>
      <c r="V3235" s="73"/>
      <c r="W3235" s="73"/>
      <c r="GL3235" s="73"/>
      <c r="GM3235" s="73"/>
      <c r="GN3235" s="73"/>
      <c r="GO3235" s="73"/>
      <c r="GP3235" s="73"/>
      <c r="GQ3235" s="73"/>
      <c r="GR3235" s="73"/>
      <c r="GS3235" s="73"/>
      <c r="GT3235" s="73"/>
      <c r="GU3235" s="73"/>
      <c r="GV3235" s="73"/>
      <c r="GW3235" s="73"/>
      <c r="GX3235" s="73"/>
      <c r="GY3235" s="73"/>
      <c r="GZ3235" s="73"/>
      <c r="HA3235" s="73"/>
      <c r="HB3235" s="73"/>
      <c r="HC3235" s="73"/>
      <c r="HD3235" s="73"/>
      <c r="HE3235" s="73"/>
      <c r="HF3235" s="73"/>
      <c r="HG3235" s="73"/>
      <c r="HH3235" s="73"/>
      <c r="HI3235" s="73"/>
      <c r="HJ3235" s="73"/>
      <c r="HK3235" s="73"/>
      <c r="HL3235" s="73"/>
      <c r="HM3235" s="73"/>
      <c r="HN3235" s="73"/>
      <c r="HO3235" s="73"/>
      <c r="HP3235" s="73"/>
      <c r="HQ3235" s="73"/>
      <c r="HR3235" s="73"/>
      <c r="HS3235" s="73"/>
      <c r="HT3235" s="73"/>
      <c r="HU3235" s="73"/>
      <c r="HV3235" s="73"/>
      <c r="HW3235" s="73"/>
      <c r="HX3235" s="73"/>
      <c r="HY3235" s="73"/>
      <c r="HZ3235" s="73"/>
      <c r="IA3235" s="73"/>
      <c r="IB3235" s="73"/>
      <c r="IC3235" s="73"/>
      <c r="ID3235" s="73"/>
      <c r="IE3235" s="73"/>
      <c r="IF3235" s="73"/>
      <c r="IG3235" s="73"/>
      <c r="IH3235" s="73"/>
      <c r="II3235" s="73"/>
      <c r="IJ3235" s="73"/>
      <c r="IK3235" s="73"/>
      <c r="IL3235" s="73"/>
      <c r="IM3235" s="73"/>
      <c r="IN3235" s="73"/>
      <c r="IO3235" s="73"/>
      <c r="IP3235" s="73"/>
      <c r="IQ3235" s="73"/>
      <c r="IR3235" s="73"/>
      <c r="IS3235" s="73"/>
      <c r="IT3235" s="73"/>
      <c r="IU3235" s="73"/>
      <c r="IV3235" s="73"/>
      <c r="IW3235" s="73"/>
      <c r="IX3235" s="73"/>
      <c r="IY3235" s="73"/>
      <c r="IZ3235" s="73"/>
      <c r="JA3235" s="73"/>
      <c r="JB3235" s="73"/>
      <c r="JC3235" s="73"/>
    </row>
    <row r="3236" spans="2:263" s="72" customFormat="1">
      <c r="B3236" s="73"/>
      <c r="C3236" s="73"/>
      <c r="D3236" s="73"/>
      <c r="E3236" s="73"/>
      <c r="F3236" s="73"/>
      <c r="G3236" s="73"/>
      <c r="H3236" s="73"/>
      <c r="I3236" s="73"/>
      <c r="J3236" s="73"/>
      <c r="K3236" s="73"/>
      <c r="L3236" s="73"/>
      <c r="M3236" s="73"/>
      <c r="N3236" s="73"/>
      <c r="O3236" s="73"/>
      <c r="P3236" s="73"/>
      <c r="Q3236" s="73"/>
      <c r="R3236" s="73"/>
      <c r="S3236" s="73"/>
      <c r="T3236" s="73"/>
      <c r="U3236" s="73"/>
      <c r="V3236" s="73"/>
      <c r="W3236" s="73"/>
      <c r="GL3236" s="73"/>
      <c r="GM3236" s="73"/>
      <c r="GN3236" s="73"/>
      <c r="GO3236" s="73"/>
      <c r="GP3236" s="73"/>
      <c r="GQ3236" s="73"/>
      <c r="GR3236" s="73"/>
      <c r="GS3236" s="73"/>
      <c r="GT3236" s="73"/>
      <c r="GU3236" s="73"/>
      <c r="GV3236" s="73"/>
      <c r="GW3236" s="73"/>
      <c r="GX3236" s="73"/>
      <c r="GY3236" s="73"/>
      <c r="GZ3236" s="73"/>
      <c r="HA3236" s="73"/>
      <c r="HB3236" s="73"/>
      <c r="HC3236" s="73"/>
      <c r="HD3236" s="73"/>
      <c r="HE3236" s="73"/>
      <c r="HF3236" s="73"/>
      <c r="HG3236" s="73"/>
      <c r="HH3236" s="73"/>
      <c r="HI3236" s="73"/>
      <c r="HJ3236" s="73"/>
      <c r="HK3236" s="73"/>
      <c r="HL3236" s="73"/>
      <c r="HM3236" s="73"/>
      <c r="HN3236" s="73"/>
      <c r="HO3236" s="73"/>
      <c r="HP3236" s="73"/>
      <c r="HQ3236" s="73"/>
      <c r="HR3236" s="73"/>
      <c r="HS3236" s="73"/>
      <c r="HT3236" s="73"/>
      <c r="HU3236" s="73"/>
      <c r="HV3236" s="73"/>
      <c r="HW3236" s="73"/>
      <c r="HX3236" s="73"/>
      <c r="HY3236" s="73"/>
      <c r="HZ3236" s="73"/>
      <c r="IA3236" s="73"/>
      <c r="IB3236" s="73"/>
      <c r="IC3236" s="73"/>
      <c r="ID3236" s="73"/>
      <c r="IE3236" s="73"/>
      <c r="IF3236" s="73"/>
      <c r="IG3236" s="73"/>
      <c r="IH3236" s="73"/>
      <c r="II3236" s="73"/>
      <c r="IJ3236" s="73"/>
      <c r="IK3236" s="73"/>
      <c r="IL3236" s="73"/>
      <c r="IM3236" s="73"/>
      <c r="IN3236" s="73"/>
      <c r="IO3236" s="73"/>
      <c r="IP3236" s="73"/>
      <c r="IQ3236" s="73"/>
      <c r="IR3236" s="73"/>
      <c r="IS3236" s="73"/>
      <c r="IT3236" s="73"/>
      <c r="IU3236" s="73"/>
      <c r="IV3236" s="73"/>
      <c r="IW3236" s="73"/>
      <c r="IX3236" s="73"/>
      <c r="IY3236" s="73"/>
      <c r="IZ3236" s="73"/>
      <c r="JA3236" s="73"/>
      <c r="JB3236" s="73"/>
      <c r="JC3236" s="73"/>
    </row>
    <row r="3237" spans="2:263" s="72" customFormat="1">
      <c r="B3237" s="73"/>
      <c r="C3237" s="73"/>
      <c r="D3237" s="73"/>
      <c r="E3237" s="73"/>
      <c r="F3237" s="73"/>
      <c r="G3237" s="73"/>
      <c r="H3237" s="73"/>
      <c r="I3237" s="73"/>
      <c r="J3237" s="73"/>
      <c r="K3237" s="73"/>
      <c r="L3237" s="73"/>
      <c r="M3237" s="73"/>
      <c r="N3237" s="73"/>
      <c r="O3237" s="73"/>
      <c r="P3237" s="73"/>
      <c r="Q3237" s="73"/>
      <c r="R3237" s="73"/>
      <c r="S3237" s="73"/>
      <c r="T3237" s="73"/>
      <c r="U3237" s="73"/>
      <c r="V3237" s="73"/>
      <c r="W3237" s="73"/>
      <c r="GL3237" s="73"/>
      <c r="GM3237" s="73"/>
      <c r="GN3237" s="73"/>
      <c r="GO3237" s="73"/>
      <c r="GP3237" s="73"/>
      <c r="GQ3237" s="73"/>
      <c r="GR3237" s="73"/>
      <c r="GS3237" s="73"/>
      <c r="GT3237" s="73"/>
      <c r="GU3237" s="73"/>
      <c r="GV3237" s="73"/>
      <c r="GW3237" s="73"/>
      <c r="GX3237" s="73"/>
      <c r="GY3237" s="73"/>
      <c r="GZ3237" s="73"/>
      <c r="HA3237" s="73"/>
      <c r="HB3237" s="73"/>
      <c r="HC3237" s="73"/>
      <c r="HD3237" s="73"/>
      <c r="HE3237" s="73"/>
      <c r="HF3237" s="73"/>
      <c r="HG3237" s="73"/>
      <c r="HH3237" s="73"/>
      <c r="HI3237" s="73"/>
      <c r="HJ3237" s="73"/>
      <c r="HK3237" s="73"/>
      <c r="HL3237" s="73"/>
      <c r="HM3237" s="73"/>
      <c r="HN3237" s="73"/>
      <c r="HO3237" s="73"/>
      <c r="HP3237" s="73"/>
      <c r="HQ3237" s="73"/>
      <c r="HR3237" s="73"/>
      <c r="HS3237" s="73"/>
      <c r="HT3237" s="73"/>
      <c r="HU3237" s="73"/>
      <c r="HV3237" s="73"/>
      <c r="HW3237" s="73"/>
      <c r="HX3237" s="73"/>
      <c r="HY3237" s="73"/>
      <c r="HZ3237" s="73"/>
      <c r="IA3237" s="73"/>
      <c r="IB3237" s="73"/>
      <c r="IC3237" s="73"/>
      <c r="ID3237" s="73"/>
      <c r="IE3237" s="73"/>
      <c r="IF3237" s="73"/>
      <c r="IG3237" s="73"/>
      <c r="IH3237" s="73"/>
      <c r="II3237" s="73"/>
      <c r="IJ3237" s="73"/>
      <c r="IK3237" s="73"/>
      <c r="IL3237" s="73"/>
      <c r="IM3237" s="73"/>
      <c r="IN3237" s="73"/>
      <c r="IO3237" s="73"/>
      <c r="IP3237" s="73"/>
      <c r="IQ3237" s="73"/>
      <c r="IR3237" s="73"/>
      <c r="IS3237" s="73"/>
      <c r="IT3237" s="73"/>
      <c r="IU3237" s="73"/>
      <c r="IV3237" s="73"/>
      <c r="IW3237" s="73"/>
      <c r="IX3237" s="73"/>
      <c r="IY3237" s="73"/>
      <c r="IZ3237" s="73"/>
      <c r="JA3237" s="73"/>
      <c r="JB3237" s="73"/>
      <c r="JC3237" s="73"/>
    </row>
    <row r="3238" spans="2:263" s="72" customFormat="1">
      <c r="B3238" s="73"/>
      <c r="C3238" s="73"/>
      <c r="D3238" s="73"/>
      <c r="E3238" s="73"/>
      <c r="F3238" s="73"/>
      <c r="G3238" s="73"/>
      <c r="H3238" s="73"/>
      <c r="I3238" s="73"/>
      <c r="J3238" s="73"/>
      <c r="K3238" s="73"/>
      <c r="L3238" s="73"/>
      <c r="M3238" s="73"/>
      <c r="N3238" s="73"/>
      <c r="O3238" s="73"/>
      <c r="P3238" s="73"/>
      <c r="Q3238" s="73"/>
      <c r="R3238" s="73"/>
      <c r="S3238" s="73"/>
      <c r="T3238" s="73"/>
      <c r="U3238" s="73"/>
      <c r="V3238" s="73"/>
      <c r="W3238" s="73"/>
      <c r="GL3238" s="73"/>
      <c r="GM3238" s="73"/>
      <c r="GN3238" s="73"/>
      <c r="GO3238" s="73"/>
      <c r="GP3238" s="73"/>
      <c r="GQ3238" s="73"/>
      <c r="GR3238" s="73"/>
      <c r="GS3238" s="73"/>
      <c r="GT3238" s="73"/>
      <c r="GU3238" s="73"/>
      <c r="GV3238" s="73"/>
      <c r="GW3238" s="73"/>
      <c r="GX3238" s="73"/>
      <c r="GY3238" s="73"/>
      <c r="GZ3238" s="73"/>
      <c r="HA3238" s="73"/>
      <c r="HB3238" s="73"/>
      <c r="HC3238" s="73"/>
      <c r="HD3238" s="73"/>
      <c r="HE3238" s="73"/>
      <c r="HF3238" s="73"/>
      <c r="HG3238" s="73"/>
      <c r="HH3238" s="73"/>
      <c r="HI3238" s="73"/>
      <c r="HJ3238" s="73"/>
      <c r="HK3238" s="73"/>
      <c r="HL3238" s="73"/>
      <c r="HM3238" s="73"/>
      <c r="HN3238" s="73"/>
      <c r="HO3238" s="73"/>
      <c r="HP3238" s="73"/>
      <c r="HQ3238" s="73"/>
      <c r="HR3238" s="73"/>
      <c r="HS3238" s="73"/>
      <c r="HT3238" s="73"/>
      <c r="HU3238" s="73"/>
      <c r="HV3238" s="73"/>
      <c r="HW3238" s="73"/>
      <c r="HX3238" s="73"/>
      <c r="HY3238" s="73"/>
      <c r="HZ3238" s="73"/>
      <c r="IA3238" s="73"/>
      <c r="IB3238" s="73"/>
      <c r="IC3238" s="73"/>
      <c r="ID3238" s="73"/>
      <c r="IE3238" s="73"/>
      <c r="IF3238" s="73"/>
      <c r="IG3238" s="73"/>
      <c r="IH3238" s="73"/>
      <c r="II3238" s="73"/>
      <c r="IJ3238" s="73"/>
      <c r="IK3238" s="73"/>
      <c r="IL3238" s="73"/>
      <c r="IM3238" s="73"/>
      <c r="IN3238" s="73"/>
      <c r="IO3238" s="73"/>
      <c r="IP3238" s="73"/>
      <c r="IQ3238" s="73"/>
      <c r="IR3238" s="73"/>
      <c r="IS3238" s="73"/>
      <c r="IT3238" s="73"/>
      <c r="IU3238" s="73"/>
      <c r="IV3238" s="73"/>
      <c r="IW3238" s="73"/>
      <c r="IX3238" s="73"/>
      <c r="IY3238" s="73"/>
      <c r="IZ3238" s="73"/>
      <c r="JA3238" s="73"/>
      <c r="JB3238" s="73"/>
      <c r="JC3238" s="73"/>
    </row>
    <row r="3239" spans="2:263" s="72" customFormat="1">
      <c r="B3239" s="73"/>
      <c r="C3239" s="73"/>
      <c r="D3239" s="73"/>
      <c r="E3239" s="73"/>
      <c r="F3239" s="73"/>
      <c r="G3239" s="73"/>
      <c r="H3239" s="73"/>
      <c r="I3239" s="73"/>
      <c r="J3239" s="73"/>
      <c r="K3239" s="73"/>
      <c r="L3239" s="73"/>
      <c r="M3239" s="73"/>
      <c r="N3239" s="73"/>
      <c r="O3239" s="73"/>
      <c r="P3239" s="73"/>
      <c r="Q3239" s="73"/>
      <c r="R3239" s="73"/>
      <c r="S3239" s="73"/>
      <c r="T3239" s="73"/>
      <c r="U3239" s="73"/>
      <c r="V3239" s="73"/>
      <c r="W3239" s="73"/>
      <c r="GL3239" s="73"/>
      <c r="GM3239" s="73"/>
      <c r="GN3239" s="73"/>
      <c r="GO3239" s="73"/>
      <c r="GP3239" s="73"/>
      <c r="GQ3239" s="73"/>
      <c r="GR3239" s="73"/>
      <c r="GS3239" s="73"/>
      <c r="GT3239" s="73"/>
      <c r="GU3239" s="73"/>
      <c r="GV3239" s="73"/>
      <c r="GW3239" s="73"/>
      <c r="GX3239" s="73"/>
      <c r="GY3239" s="73"/>
      <c r="GZ3239" s="73"/>
      <c r="HA3239" s="73"/>
      <c r="HB3239" s="73"/>
      <c r="HC3239" s="73"/>
      <c r="HD3239" s="73"/>
      <c r="HE3239" s="73"/>
      <c r="HF3239" s="73"/>
      <c r="HG3239" s="73"/>
      <c r="HH3239" s="73"/>
      <c r="HI3239" s="73"/>
      <c r="HJ3239" s="73"/>
      <c r="HK3239" s="73"/>
      <c r="HL3239" s="73"/>
      <c r="HM3239" s="73"/>
      <c r="HN3239" s="73"/>
      <c r="HO3239" s="73"/>
      <c r="HP3239" s="73"/>
      <c r="HQ3239" s="73"/>
      <c r="HR3239" s="73"/>
      <c r="HS3239" s="73"/>
      <c r="HT3239" s="73"/>
      <c r="HU3239" s="73"/>
      <c r="HV3239" s="73"/>
      <c r="HW3239" s="73"/>
      <c r="HX3239" s="73"/>
      <c r="HY3239" s="73"/>
      <c r="HZ3239" s="73"/>
      <c r="IA3239" s="73"/>
      <c r="IB3239" s="73"/>
      <c r="IC3239" s="73"/>
      <c r="ID3239" s="73"/>
      <c r="IE3239" s="73"/>
      <c r="IF3239" s="73"/>
      <c r="IG3239" s="73"/>
      <c r="IH3239" s="73"/>
      <c r="II3239" s="73"/>
      <c r="IJ3239" s="73"/>
      <c r="IK3239" s="73"/>
      <c r="IL3239" s="73"/>
      <c r="IM3239" s="73"/>
      <c r="IN3239" s="73"/>
      <c r="IO3239" s="73"/>
      <c r="IP3239" s="73"/>
      <c r="IQ3239" s="73"/>
      <c r="IR3239" s="73"/>
      <c r="IS3239" s="73"/>
      <c r="IT3239" s="73"/>
      <c r="IU3239" s="73"/>
      <c r="IV3239" s="73"/>
      <c r="IW3239" s="73"/>
      <c r="IX3239" s="73"/>
      <c r="IY3239" s="73"/>
      <c r="IZ3239" s="73"/>
      <c r="JA3239" s="73"/>
      <c r="JB3239" s="73"/>
      <c r="JC3239" s="73"/>
    </row>
    <row r="3240" spans="2:263" s="72" customFormat="1">
      <c r="B3240" s="73"/>
      <c r="C3240" s="73"/>
      <c r="D3240" s="73"/>
      <c r="E3240" s="73"/>
      <c r="F3240" s="73"/>
      <c r="G3240" s="73"/>
      <c r="H3240" s="73"/>
      <c r="I3240" s="73"/>
      <c r="J3240" s="73"/>
      <c r="K3240" s="73"/>
      <c r="L3240" s="73"/>
      <c r="M3240" s="73"/>
      <c r="N3240" s="73"/>
      <c r="O3240" s="73"/>
      <c r="P3240" s="73"/>
      <c r="Q3240" s="73"/>
      <c r="R3240" s="73"/>
      <c r="S3240" s="73"/>
      <c r="T3240" s="73"/>
      <c r="U3240" s="73"/>
      <c r="V3240" s="73"/>
      <c r="W3240" s="73"/>
      <c r="GL3240" s="73"/>
      <c r="GM3240" s="73"/>
      <c r="GN3240" s="73"/>
      <c r="GO3240" s="73"/>
      <c r="GP3240" s="73"/>
      <c r="GQ3240" s="73"/>
      <c r="GR3240" s="73"/>
      <c r="GS3240" s="73"/>
      <c r="GT3240" s="73"/>
      <c r="GU3240" s="73"/>
      <c r="GV3240" s="73"/>
      <c r="GW3240" s="73"/>
      <c r="GX3240" s="73"/>
      <c r="GY3240" s="73"/>
      <c r="GZ3240" s="73"/>
      <c r="HA3240" s="73"/>
      <c r="HB3240" s="73"/>
      <c r="HC3240" s="73"/>
      <c r="HD3240" s="73"/>
      <c r="HE3240" s="73"/>
      <c r="HF3240" s="73"/>
      <c r="HG3240" s="73"/>
      <c r="HH3240" s="73"/>
      <c r="HI3240" s="73"/>
      <c r="HJ3240" s="73"/>
      <c r="HK3240" s="73"/>
      <c r="HL3240" s="73"/>
      <c r="HM3240" s="73"/>
      <c r="HN3240" s="73"/>
      <c r="HO3240" s="73"/>
      <c r="HP3240" s="73"/>
      <c r="HQ3240" s="73"/>
      <c r="HR3240" s="73"/>
      <c r="HS3240" s="73"/>
      <c r="HT3240" s="73"/>
      <c r="HU3240" s="73"/>
      <c r="HV3240" s="73"/>
      <c r="HW3240" s="73"/>
      <c r="HX3240" s="73"/>
      <c r="HY3240" s="73"/>
      <c r="HZ3240" s="73"/>
      <c r="IA3240" s="73"/>
      <c r="IB3240" s="73"/>
      <c r="IC3240" s="73"/>
      <c r="ID3240" s="73"/>
      <c r="IE3240" s="73"/>
      <c r="IF3240" s="73"/>
      <c r="IG3240" s="73"/>
      <c r="IH3240" s="73"/>
      <c r="II3240" s="73"/>
      <c r="IJ3240" s="73"/>
      <c r="IK3240" s="73"/>
      <c r="IL3240" s="73"/>
      <c r="IM3240" s="73"/>
      <c r="IN3240" s="73"/>
      <c r="IO3240" s="73"/>
      <c r="IP3240" s="73"/>
      <c r="IQ3240" s="73"/>
      <c r="IR3240" s="73"/>
      <c r="IS3240" s="73"/>
      <c r="IT3240" s="73"/>
      <c r="IU3240" s="73"/>
      <c r="IV3240" s="73"/>
      <c r="IW3240" s="73"/>
      <c r="IX3240" s="73"/>
      <c r="IY3240" s="73"/>
      <c r="IZ3240" s="73"/>
      <c r="JA3240" s="73"/>
      <c r="JB3240" s="73"/>
      <c r="JC3240" s="73"/>
    </row>
    <row r="3241" spans="2:263" s="72" customFormat="1">
      <c r="B3241" s="73"/>
      <c r="C3241" s="73"/>
      <c r="D3241" s="73"/>
      <c r="E3241" s="73"/>
      <c r="F3241" s="73"/>
      <c r="G3241" s="73"/>
      <c r="H3241" s="73"/>
      <c r="I3241" s="73"/>
      <c r="J3241" s="73"/>
      <c r="K3241" s="73"/>
      <c r="L3241" s="73"/>
      <c r="M3241" s="73"/>
      <c r="N3241" s="73"/>
      <c r="O3241" s="73"/>
      <c r="P3241" s="73"/>
      <c r="Q3241" s="73"/>
      <c r="R3241" s="73"/>
      <c r="S3241" s="73"/>
      <c r="T3241" s="73"/>
      <c r="U3241" s="73"/>
      <c r="V3241" s="73"/>
      <c r="W3241" s="73"/>
      <c r="GL3241" s="73"/>
      <c r="GM3241" s="73"/>
      <c r="GN3241" s="73"/>
      <c r="GO3241" s="73"/>
      <c r="GP3241" s="73"/>
      <c r="GQ3241" s="73"/>
      <c r="GR3241" s="73"/>
      <c r="GS3241" s="73"/>
      <c r="GT3241" s="73"/>
      <c r="GU3241" s="73"/>
      <c r="GV3241" s="73"/>
      <c r="GW3241" s="73"/>
      <c r="GX3241" s="73"/>
      <c r="GY3241" s="73"/>
      <c r="GZ3241" s="73"/>
      <c r="HA3241" s="73"/>
      <c r="HB3241" s="73"/>
      <c r="HC3241" s="73"/>
      <c r="HD3241" s="73"/>
      <c r="HE3241" s="73"/>
      <c r="HF3241" s="73"/>
      <c r="HG3241" s="73"/>
      <c r="HH3241" s="73"/>
      <c r="HI3241" s="73"/>
      <c r="HJ3241" s="73"/>
      <c r="HK3241" s="73"/>
      <c r="HL3241" s="73"/>
      <c r="HM3241" s="73"/>
      <c r="HN3241" s="73"/>
      <c r="HO3241" s="73"/>
      <c r="HP3241" s="73"/>
      <c r="HQ3241" s="73"/>
      <c r="HR3241" s="73"/>
      <c r="HS3241" s="73"/>
      <c r="HT3241" s="73"/>
      <c r="HU3241" s="73"/>
      <c r="HV3241" s="73"/>
      <c r="HW3241" s="73"/>
      <c r="HX3241" s="73"/>
      <c r="HY3241" s="73"/>
      <c r="HZ3241" s="73"/>
      <c r="IA3241" s="73"/>
      <c r="IB3241" s="73"/>
      <c r="IC3241" s="73"/>
      <c r="ID3241" s="73"/>
      <c r="IE3241" s="73"/>
      <c r="IF3241" s="73"/>
      <c r="IG3241" s="73"/>
      <c r="IH3241" s="73"/>
      <c r="II3241" s="73"/>
      <c r="IJ3241" s="73"/>
      <c r="IK3241" s="73"/>
      <c r="IL3241" s="73"/>
      <c r="IM3241" s="73"/>
      <c r="IN3241" s="73"/>
      <c r="IO3241" s="73"/>
      <c r="IP3241" s="73"/>
      <c r="IQ3241" s="73"/>
      <c r="IR3241" s="73"/>
      <c r="IS3241" s="73"/>
      <c r="IT3241" s="73"/>
      <c r="IU3241" s="73"/>
      <c r="IV3241" s="73"/>
      <c r="IW3241" s="73"/>
      <c r="IX3241" s="73"/>
      <c r="IY3241" s="73"/>
      <c r="IZ3241" s="73"/>
      <c r="JA3241" s="73"/>
      <c r="JB3241" s="73"/>
      <c r="JC3241" s="73"/>
    </row>
    <row r="3242" spans="2:263" s="72" customFormat="1">
      <c r="B3242" s="73"/>
      <c r="C3242" s="73"/>
      <c r="D3242" s="73"/>
      <c r="E3242" s="73"/>
      <c r="F3242" s="73"/>
      <c r="G3242" s="73"/>
      <c r="H3242" s="73"/>
      <c r="I3242" s="73"/>
      <c r="J3242" s="73"/>
      <c r="K3242" s="73"/>
      <c r="L3242" s="73"/>
      <c r="M3242" s="73"/>
      <c r="N3242" s="73"/>
      <c r="O3242" s="73"/>
      <c r="P3242" s="73"/>
      <c r="Q3242" s="73"/>
      <c r="R3242" s="73"/>
      <c r="S3242" s="73"/>
      <c r="T3242" s="73"/>
      <c r="U3242" s="73"/>
      <c r="V3242" s="73"/>
      <c r="W3242" s="73"/>
      <c r="GL3242" s="73"/>
      <c r="GM3242" s="73"/>
      <c r="GN3242" s="73"/>
      <c r="GO3242" s="73"/>
      <c r="GP3242" s="73"/>
      <c r="GQ3242" s="73"/>
      <c r="GR3242" s="73"/>
      <c r="GS3242" s="73"/>
      <c r="GT3242" s="73"/>
      <c r="GU3242" s="73"/>
      <c r="GV3242" s="73"/>
      <c r="GW3242" s="73"/>
      <c r="GX3242" s="73"/>
      <c r="GY3242" s="73"/>
      <c r="GZ3242" s="73"/>
      <c r="HA3242" s="73"/>
      <c r="HB3242" s="73"/>
      <c r="HC3242" s="73"/>
      <c r="HD3242" s="73"/>
      <c r="HE3242" s="73"/>
      <c r="HF3242" s="73"/>
      <c r="HG3242" s="73"/>
      <c r="HH3242" s="73"/>
      <c r="HI3242" s="73"/>
      <c r="HJ3242" s="73"/>
      <c r="HK3242" s="73"/>
      <c r="HL3242" s="73"/>
      <c r="HM3242" s="73"/>
      <c r="HN3242" s="73"/>
      <c r="HO3242" s="73"/>
      <c r="HP3242" s="73"/>
      <c r="HQ3242" s="73"/>
      <c r="HR3242" s="73"/>
      <c r="HS3242" s="73"/>
      <c r="HT3242" s="73"/>
      <c r="HU3242" s="73"/>
      <c r="HV3242" s="73"/>
      <c r="HW3242" s="73"/>
      <c r="HX3242" s="73"/>
      <c r="HY3242" s="73"/>
      <c r="HZ3242" s="73"/>
      <c r="IA3242" s="73"/>
      <c r="IB3242" s="73"/>
      <c r="IC3242" s="73"/>
      <c r="ID3242" s="73"/>
      <c r="IE3242" s="73"/>
      <c r="IF3242" s="73"/>
      <c r="IG3242" s="73"/>
      <c r="IH3242" s="73"/>
      <c r="II3242" s="73"/>
      <c r="IJ3242" s="73"/>
      <c r="IK3242" s="73"/>
      <c r="IL3242" s="73"/>
      <c r="IM3242" s="73"/>
      <c r="IN3242" s="73"/>
      <c r="IO3242" s="73"/>
      <c r="IP3242" s="73"/>
      <c r="IQ3242" s="73"/>
      <c r="IR3242" s="73"/>
      <c r="IS3242" s="73"/>
      <c r="IT3242" s="73"/>
      <c r="IU3242" s="73"/>
      <c r="IV3242" s="73"/>
      <c r="IW3242" s="73"/>
      <c r="IX3242" s="73"/>
      <c r="IY3242" s="73"/>
      <c r="IZ3242" s="73"/>
      <c r="JA3242" s="73"/>
      <c r="JB3242" s="73"/>
      <c r="JC3242" s="73"/>
    </row>
    <row r="3243" spans="2:263" s="72" customFormat="1">
      <c r="B3243" s="73"/>
      <c r="C3243" s="73"/>
      <c r="D3243" s="73"/>
      <c r="E3243" s="73"/>
      <c r="F3243" s="73"/>
      <c r="G3243" s="73"/>
      <c r="H3243" s="73"/>
      <c r="I3243" s="73"/>
      <c r="J3243" s="73"/>
      <c r="K3243" s="73"/>
      <c r="L3243" s="73"/>
      <c r="M3243" s="73"/>
      <c r="N3243" s="73"/>
      <c r="O3243" s="73"/>
      <c r="P3243" s="73"/>
      <c r="Q3243" s="73"/>
      <c r="R3243" s="73"/>
      <c r="S3243" s="73"/>
      <c r="T3243" s="73"/>
      <c r="U3243" s="73"/>
      <c r="V3243" s="73"/>
      <c r="W3243" s="73"/>
      <c r="GL3243" s="73"/>
      <c r="GM3243" s="73"/>
      <c r="GN3243" s="73"/>
      <c r="GO3243" s="73"/>
      <c r="GP3243" s="73"/>
      <c r="GQ3243" s="73"/>
      <c r="GR3243" s="73"/>
      <c r="GS3243" s="73"/>
      <c r="GT3243" s="73"/>
      <c r="GU3243" s="73"/>
      <c r="GV3243" s="73"/>
      <c r="GW3243" s="73"/>
      <c r="GX3243" s="73"/>
      <c r="GY3243" s="73"/>
      <c r="GZ3243" s="73"/>
      <c r="HA3243" s="73"/>
      <c r="HB3243" s="73"/>
      <c r="HC3243" s="73"/>
      <c r="HD3243" s="73"/>
      <c r="HE3243" s="73"/>
      <c r="HF3243" s="73"/>
      <c r="HG3243" s="73"/>
      <c r="HH3243" s="73"/>
      <c r="HI3243" s="73"/>
      <c r="HJ3243" s="73"/>
      <c r="HK3243" s="73"/>
      <c r="HL3243" s="73"/>
      <c r="HM3243" s="73"/>
      <c r="HN3243" s="73"/>
      <c r="HO3243" s="73"/>
      <c r="HP3243" s="73"/>
      <c r="HQ3243" s="73"/>
      <c r="HR3243" s="73"/>
      <c r="HS3243" s="73"/>
      <c r="HT3243" s="73"/>
      <c r="HU3243" s="73"/>
      <c r="HV3243" s="73"/>
      <c r="HW3243" s="73"/>
      <c r="HX3243" s="73"/>
      <c r="HY3243" s="73"/>
      <c r="HZ3243" s="73"/>
      <c r="IA3243" s="73"/>
      <c r="IB3243" s="73"/>
      <c r="IC3243" s="73"/>
      <c r="ID3243" s="73"/>
      <c r="IE3243" s="73"/>
      <c r="IF3243" s="73"/>
      <c r="IG3243" s="73"/>
      <c r="IH3243" s="73"/>
      <c r="II3243" s="73"/>
      <c r="IJ3243" s="73"/>
      <c r="IK3243" s="73"/>
      <c r="IL3243" s="73"/>
      <c r="IM3243" s="73"/>
      <c r="IN3243" s="73"/>
      <c r="IO3243" s="73"/>
      <c r="IP3243" s="73"/>
      <c r="IQ3243" s="73"/>
      <c r="IR3243" s="73"/>
      <c r="IS3243" s="73"/>
      <c r="IT3243" s="73"/>
      <c r="IU3243" s="73"/>
      <c r="IV3243" s="73"/>
      <c r="IW3243" s="73"/>
      <c r="IX3243" s="73"/>
      <c r="IY3243" s="73"/>
      <c r="IZ3243" s="73"/>
      <c r="JA3243" s="73"/>
      <c r="JB3243" s="73"/>
      <c r="JC3243" s="73"/>
    </row>
    <row r="3244" spans="2:263" s="72" customFormat="1">
      <c r="B3244" s="73"/>
      <c r="C3244" s="73"/>
      <c r="D3244" s="73"/>
      <c r="E3244" s="73"/>
      <c r="F3244" s="73"/>
      <c r="G3244" s="73"/>
      <c r="H3244" s="73"/>
      <c r="I3244" s="73"/>
      <c r="J3244" s="73"/>
      <c r="K3244" s="73"/>
      <c r="L3244" s="73"/>
      <c r="M3244" s="73"/>
      <c r="N3244" s="73"/>
      <c r="O3244" s="73"/>
      <c r="P3244" s="73"/>
      <c r="Q3244" s="73"/>
      <c r="R3244" s="73"/>
      <c r="S3244" s="73"/>
      <c r="T3244" s="73"/>
      <c r="U3244" s="73"/>
      <c r="V3244" s="73"/>
      <c r="W3244" s="73"/>
      <c r="GL3244" s="73"/>
      <c r="GM3244" s="73"/>
      <c r="GN3244" s="73"/>
      <c r="GO3244" s="73"/>
      <c r="GP3244" s="73"/>
      <c r="GQ3244" s="73"/>
      <c r="GR3244" s="73"/>
      <c r="GS3244" s="73"/>
      <c r="GT3244" s="73"/>
      <c r="GU3244" s="73"/>
      <c r="GV3244" s="73"/>
      <c r="GW3244" s="73"/>
      <c r="GX3244" s="73"/>
      <c r="GY3244" s="73"/>
      <c r="GZ3244" s="73"/>
      <c r="HA3244" s="73"/>
      <c r="HB3244" s="73"/>
      <c r="HC3244" s="73"/>
      <c r="HD3244" s="73"/>
      <c r="HE3244" s="73"/>
      <c r="HF3244" s="73"/>
      <c r="HG3244" s="73"/>
      <c r="HH3244" s="73"/>
      <c r="HI3244" s="73"/>
      <c r="HJ3244" s="73"/>
      <c r="HK3244" s="73"/>
      <c r="HL3244" s="73"/>
      <c r="HM3244" s="73"/>
      <c r="HN3244" s="73"/>
      <c r="HO3244" s="73"/>
      <c r="HP3244" s="73"/>
      <c r="HQ3244" s="73"/>
      <c r="HR3244" s="73"/>
      <c r="HS3244" s="73"/>
      <c r="HT3244" s="73"/>
      <c r="HU3244" s="73"/>
      <c r="HV3244" s="73"/>
      <c r="HW3244" s="73"/>
      <c r="HX3244" s="73"/>
      <c r="HY3244" s="73"/>
      <c r="HZ3244" s="73"/>
      <c r="IA3244" s="73"/>
      <c r="IB3244" s="73"/>
      <c r="IC3244" s="73"/>
      <c r="ID3244" s="73"/>
      <c r="IE3244" s="73"/>
      <c r="IF3244" s="73"/>
      <c r="IG3244" s="73"/>
      <c r="IH3244" s="73"/>
      <c r="II3244" s="73"/>
      <c r="IJ3244" s="73"/>
      <c r="IK3244" s="73"/>
      <c r="IL3244" s="73"/>
      <c r="IM3244" s="73"/>
      <c r="IN3244" s="73"/>
      <c r="IO3244" s="73"/>
      <c r="IP3244" s="73"/>
      <c r="IQ3244" s="73"/>
      <c r="IR3244" s="73"/>
      <c r="IS3244" s="73"/>
      <c r="IT3244" s="73"/>
      <c r="IU3244" s="73"/>
      <c r="IV3244" s="73"/>
      <c r="IW3244" s="73"/>
      <c r="IX3244" s="73"/>
      <c r="IY3244" s="73"/>
      <c r="IZ3244" s="73"/>
      <c r="JA3244" s="73"/>
      <c r="JB3244" s="73"/>
      <c r="JC3244" s="73"/>
    </row>
    <row r="3245" spans="2:263" s="72" customFormat="1">
      <c r="B3245" s="73"/>
      <c r="C3245" s="73"/>
      <c r="D3245" s="73"/>
      <c r="E3245" s="73"/>
      <c r="F3245" s="73"/>
      <c r="G3245" s="73"/>
      <c r="H3245" s="73"/>
      <c r="I3245" s="73"/>
      <c r="J3245" s="73"/>
      <c r="K3245" s="73"/>
      <c r="L3245" s="73"/>
      <c r="M3245" s="73"/>
      <c r="N3245" s="73"/>
      <c r="O3245" s="73"/>
      <c r="P3245" s="73"/>
      <c r="Q3245" s="73"/>
      <c r="R3245" s="73"/>
      <c r="S3245" s="73"/>
      <c r="T3245" s="73"/>
      <c r="U3245" s="73"/>
      <c r="V3245" s="73"/>
      <c r="W3245" s="73"/>
      <c r="GL3245" s="73"/>
      <c r="GM3245" s="73"/>
      <c r="GN3245" s="73"/>
      <c r="GO3245" s="73"/>
      <c r="GP3245" s="73"/>
      <c r="GQ3245" s="73"/>
      <c r="GR3245" s="73"/>
      <c r="GS3245" s="73"/>
      <c r="GT3245" s="73"/>
      <c r="GU3245" s="73"/>
      <c r="GV3245" s="73"/>
      <c r="GW3245" s="73"/>
      <c r="GX3245" s="73"/>
      <c r="GY3245" s="73"/>
      <c r="GZ3245" s="73"/>
      <c r="HA3245" s="73"/>
      <c r="HB3245" s="73"/>
      <c r="HC3245" s="73"/>
      <c r="HD3245" s="73"/>
      <c r="HE3245" s="73"/>
      <c r="HF3245" s="73"/>
      <c r="HG3245" s="73"/>
      <c r="HH3245" s="73"/>
      <c r="HI3245" s="73"/>
      <c r="HJ3245" s="73"/>
      <c r="HK3245" s="73"/>
      <c r="HL3245" s="73"/>
      <c r="HM3245" s="73"/>
      <c r="HN3245" s="73"/>
      <c r="HO3245" s="73"/>
      <c r="HP3245" s="73"/>
      <c r="HQ3245" s="73"/>
      <c r="HR3245" s="73"/>
      <c r="HS3245" s="73"/>
      <c r="HT3245" s="73"/>
      <c r="HU3245" s="73"/>
      <c r="HV3245" s="73"/>
      <c r="HW3245" s="73"/>
      <c r="HX3245" s="73"/>
      <c r="HY3245" s="73"/>
      <c r="HZ3245" s="73"/>
      <c r="IA3245" s="73"/>
      <c r="IB3245" s="73"/>
      <c r="IC3245" s="73"/>
      <c r="ID3245" s="73"/>
      <c r="IE3245" s="73"/>
      <c r="IF3245" s="73"/>
      <c r="IG3245" s="73"/>
      <c r="IH3245" s="73"/>
      <c r="II3245" s="73"/>
      <c r="IJ3245" s="73"/>
      <c r="IK3245" s="73"/>
      <c r="IL3245" s="73"/>
      <c r="IM3245" s="73"/>
      <c r="IN3245" s="73"/>
      <c r="IO3245" s="73"/>
      <c r="IP3245" s="73"/>
      <c r="IQ3245" s="73"/>
      <c r="IR3245" s="73"/>
      <c r="IS3245" s="73"/>
      <c r="IT3245" s="73"/>
      <c r="IU3245" s="73"/>
      <c r="IV3245" s="73"/>
      <c r="IW3245" s="73"/>
      <c r="IX3245" s="73"/>
      <c r="IY3245" s="73"/>
      <c r="IZ3245" s="73"/>
      <c r="JA3245" s="73"/>
      <c r="JB3245" s="73"/>
      <c r="JC3245" s="73"/>
    </row>
    <row r="3246" spans="2:263" s="72" customFormat="1">
      <c r="B3246" s="73"/>
      <c r="C3246" s="73"/>
      <c r="D3246" s="73"/>
      <c r="E3246" s="73"/>
      <c r="F3246" s="73"/>
      <c r="G3246" s="73"/>
      <c r="H3246" s="73"/>
      <c r="I3246" s="73"/>
      <c r="J3246" s="73"/>
      <c r="K3246" s="73"/>
      <c r="L3246" s="73"/>
      <c r="M3246" s="73"/>
      <c r="N3246" s="73"/>
      <c r="O3246" s="73"/>
      <c r="P3246" s="73"/>
      <c r="Q3246" s="73"/>
      <c r="R3246" s="73"/>
      <c r="S3246" s="73"/>
      <c r="T3246" s="73"/>
      <c r="U3246" s="73"/>
      <c r="V3246" s="73"/>
      <c r="W3246" s="73"/>
      <c r="GL3246" s="73"/>
      <c r="GM3246" s="73"/>
      <c r="GN3246" s="73"/>
      <c r="GO3246" s="73"/>
      <c r="GP3246" s="73"/>
      <c r="GQ3246" s="73"/>
      <c r="GR3246" s="73"/>
      <c r="GS3246" s="73"/>
      <c r="GT3246" s="73"/>
      <c r="GU3246" s="73"/>
      <c r="GV3246" s="73"/>
      <c r="GW3246" s="73"/>
      <c r="GX3246" s="73"/>
      <c r="GY3246" s="73"/>
      <c r="GZ3246" s="73"/>
      <c r="HA3246" s="73"/>
      <c r="HB3246" s="73"/>
      <c r="HC3246" s="73"/>
      <c r="HD3246" s="73"/>
      <c r="HE3246" s="73"/>
      <c r="HF3246" s="73"/>
      <c r="HG3246" s="73"/>
      <c r="HH3246" s="73"/>
      <c r="HI3246" s="73"/>
      <c r="HJ3246" s="73"/>
      <c r="HK3246" s="73"/>
      <c r="HL3246" s="73"/>
      <c r="HM3246" s="73"/>
      <c r="HN3246" s="73"/>
      <c r="HO3246" s="73"/>
      <c r="HP3246" s="73"/>
      <c r="HQ3246" s="73"/>
      <c r="HR3246" s="73"/>
      <c r="HS3246" s="73"/>
      <c r="HT3246" s="73"/>
      <c r="HU3246" s="73"/>
      <c r="HV3246" s="73"/>
      <c r="HW3246" s="73"/>
      <c r="HX3246" s="73"/>
      <c r="HY3246" s="73"/>
      <c r="HZ3246" s="73"/>
      <c r="IA3246" s="73"/>
      <c r="IB3246" s="73"/>
      <c r="IC3246" s="73"/>
      <c r="ID3246" s="73"/>
      <c r="IE3246" s="73"/>
      <c r="IF3246" s="73"/>
      <c r="IG3246" s="73"/>
      <c r="IH3246" s="73"/>
      <c r="II3246" s="73"/>
      <c r="IJ3246" s="73"/>
      <c r="IK3246" s="73"/>
      <c r="IL3246" s="73"/>
      <c r="IM3246" s="73"/>
      <c r="IN3246" s="73"/>
      <c r="IO3246" s="73"/>
      <c r="IP3246" s="73"/>
      <c r="IQ3246" s="73"/>
      <c r="IR3246" s="73"/>
      <c r="IS3246" s="73"/>
      <c r="IT3246" s="73"/>
      <c r="IU3246" s="73"/>
      <c r="IV3246" s="73"/>
      <c r="IW3246" s="73"/>
      <c r="IX3246" s="73"/>
      <c r="IY3246" s="73"/>
      <c r="IZ3246" s="73"/>
      <c r="JA3246" s="73"/>
      <c r="JB3246" s="73"/>
      <c r="JC3246" s="73"/>
    </row>
    <row r="3247" spans="2:263" s="72" customFormat="1">
      <c r="B3247" s="73"/>
      <c r="C3247" s="73"/>
      <c r="D3247" s="73"/>
      <c r="E3247" s="73"/>
      <c r="F3247" s="73"/>
      <c r="G3247" s="73"/>
      <c r="H3247" s="73"/>
      <c r="I3247" s="73"/>
      <c r="J3247" s="73"/>
      <c r="K3247" s="73"/>
      <c r="L3247" s="73"/>
      <c r="M3247" s="73"/>
      <c r="N3247" s="73"/>
      <c r="O3247" s="73"/>
      <c r="P3247" s="73"/>
      <c r="Q3247" s="73"/>
      <c r="R3247" s="73"/>
      <c r="S3247" s="73"/>
      <c r="T3247" s="73"/>
      <c r="U3247" s="73"/>
      <c r="V3247" s="73"/>
      <c r="W3247" s="73"/>
      <c r="GL3247" s="73"/>
      <c r="GM3247" s="73"/>
      <c r="GN3247" s="73"/>
      <c r="GO3247" s="73"/>
      <c r="GP3247" s="73"/>
      <c r="GQ3247" s="73"/>
      <c r="GR3247" s="73"/>
      <c r="GS3247" s="73"/>
      <c r="GT3247" s="73"/>
      <c r="GU3247" s="73"/>
      <c r="GV3247" s="73"/>
      <c r="GW3247" s="73"/>
      <c r="GX3247" s="73"/>
      <c r="GY3247" s="73"/>
      <c r="GZ3247" s="73"/>
      <c r="HA3247" s="73"/>
      <c r="HB3247" s="73"/>
      <c r="HC3247" s="73"/>
      <c r="HD3247" s="73"/>
      <c r="HE3247" s="73"/>
      <c r="HF3247" s="73"/>
      <c r="HG3247" s="73"/>
      <c r="HH3247" s="73"/>
      <c r="HI3247" s="73"/>
      <c r="HJ3247" s="73"/>
      <c r="HK3247" s="73"/>
      <c r="HL3247" s="73"/>
      <c r="HM3247" s="73"/>
      <c r="HN3247" s="73"/>
      <c r="HO3247" s="73"/>
      <c r="HP3247" s="73"/>
      <c r="HQ3247" s="73"/>
      <c r="HR3247" s="73"/>
      <c r="HS3247" s="73"/>
      <c r="HT3247" s="73"/>
      <c r="HU3247" s="73"/>
      <c r="HV3247" s="73"/>
      <c r="HW3247" s="73"/>
      <c r="HX3247" s="73"/>
      <c r="HY3247" s="73"/>
      <c r="HZ3247" s="73"/>
      <c r="IA3247" s="73"/>
      <c r="IB3247" s="73"/>
      <c r="IC3247" s="73"/>
      <c r="ID3247" s="73"/>
      <c r="IE3247" s="73"/>
      <c r="IF3247" s="73"/>
      <c r="IG3247" s="73"/>
      <c r="IH3247" s="73"/>
      <c r="II3247" s="73"/>
      <c r="IJ3247" s="73"/>
      <c r="IK3247" s="73"/>
      <c r="IL3247" s="73"/>
      <c r="IM3247" s="73"/>
      <c r="IN3247" s="73"/>
      <c r="IO3247" s="73"/>
      <c r="IP3247" s="73"/>
      <c r="IQ3247" s="73"/>
      <c r="IR3247" s="73"/>
      <c r="IS3247" s="73"/>
      <c r="IT3247" s="73"/>
      <c r="IU3247" s="73"/>
      <c r="IV3247" s="73"/>
      <c r="IW3247" s="73"/>
      <c r="IX3247" s="73"/>
      <c r="IY3247" s="73"/>
      <c r="IZ3247" s="73"/>
      <c r="JA3247" s="73"/>
      <c r="JB3247" s="73"/>
      <c r="JC3247" s="73"/>
    </row>
    <row r="3248" spans="2:263" s="72" customFormat="1">
      <c r="B3248" s="73"/>
      <c r="C3248" s="73"/>
      <c r="D3248" s="73"/>
      <c r="E3248" s="73"/>
      <c r="F3248" s="73"/>
      <c r="G3248" s="73"/>
      <c r="H3248" s="73"/>
      <c r="I3248" s="73"/>
      <c r="J3248" s="73"/>
      <c r="K3248" s="73"/>
      <c r="L3248" s="73"/>
      <c r="M3248" s="73"/>
      <c r="N3248" s="73"/>
      <c r="O3248" s="73"/>
      <c r="P3248" s="73"/>
      <c r="Q3248" s="73"/>
      <c r="R3248" s="73"/>
      <c r="S3248" s="73"/>
      <c r="T3248" s="73"/>
      <c r="U3248" s="73"/>
      <c r="V3248" s="73"/>
      <c r="W3248" s="73"/>
      <c r="GL3248" s="73"/>
      <c r="GM3248" s="73"/>
      <c r="GN3248" s="73"/>
      <c r="GO3248" s="73"/>
      <c r="GP3248" s="73"/>
      <c r="GQ3248" s="73"/>
      <c r="GR3248" s="73"/>
      <c r="GS3248" s="73"/>
      <c r="GT3248" s="73"/>
      <c r="GU3248" s="73"/>
      <c r="GV3248" s="73"/>
      <c r="GW3248" s="73"/>
      <c r="GX3248" s="73"/>
      <c r="GY3248" s="73"/>
      <c r="GZ3248" s="73"/>
      <c r="HA3248" s="73"/>
      <c r="HB3248" s="73"/>
      <c r="HC3248" s="73"/>
      <c r="HD3248" s="73"/>
      <c r="HE3248" s="73"/>
      <c r="HF3248" s="73"/>
      <c r="HG3248" s="73"/>
      <c r="HH3248" s="73"/>
      <c r="HI3248" s="73"/>
      <c r="HJ3248" s="73"/>
      <c r="HK3248" s="73"/>
      <c r="HL3248" s="73"/>
      <c r="HM3248" s="73"/>
      <c r="HN3248" s="73"/>
      <c r="HO3248" s="73"/>
      <c r="HP3248" s="73"/>
      <c r="HQ3248" s="73"/>
      <c r="HR3248" s="73"/>
      <c r="HS3248" s="73"/>
      <c r="HT3248" s="73"/>
      <c r="HU3248" s="73"/>
      <c r="HV3248" s="73"/>
      <c r="HW3248" s="73"/>
      <c r="HX3248" s="73"/>
      <c r="HY3248" s="73"/>
      <c r="HZ3248" s="73"/>
      <c r="IA3248" s="73"/>
      <c r="IB3248" s="73"/>
      <c r="IC3248" s="73"/>
      <c r="ID3248" s="73"/>
      <c r="IE3248" s="73"/>
      <c r="IF3248" s="73"/>
      <c r="IG3248" s="73"/>
      <c r="IH3248" s="73"/>
      <c r="II3248" s="73"/>
      <c r="IJ3248" s="73"/>
      <c r="IK3248" s="73"/>
      <c r="IL3248" s="73"/>
      <c r="IM3248" s="73"/>
      <c r="IN3248" s="73"/>
      <c r="IO3248" s="73"/>
      <c r="IP3248" s="73"/>
      <c r="IQ3248" s="73"/>
      <c r="IR3248" s="73"/>
      <c r="IS3248" s="73"/>
      <c r="IT3248" s="73"/>
      <c r="IU3248" s="73"/>
      <c r="IV3248" s="73"/>
      <c r="IW3248" s="73"/>
      <c r="IX3248" s="73"/>
      <c r="IY3248" s="73"/>
      <c r="IZ3248" s="73"/>
      <c r="JA3248" s="73"/>
      <c r="JB3248" s="73"/>
      <c r="JC3248" s="73"/>
    </row>
    <row r="3249" spans="2:263" s="72" customFormat="1">
      <c r="B3249" s="73"/>
      <c r="C3249" s="73"/>
      <c r="D3249" s="73"/>
      <c r="E3249" s="73"/>
      <c r="F3249" s="73"/>
      <c r="G3249" s="73"/>
      <c r="H3249" s="73"/>
      <c r="I3249" s="73"/>
      <c r="J3249" s="73"/>
      <c r="K3249" s="73"/>
      <c r="L3249" s="73"/>
      <c r="M3249" s="73"/>
      <c r="N3249" s="73"/>
      <c r="O3249" s="73"/>
      <c r="P3249" s="73"/>
      <c r="Q3249" s="73"/>
      <c r="R3249" s="73"/>
      <c r="S3249" s="73"/>
      <c r="T3249" s="73"/>
      <c r="U3249" s="73"/>
      <c r="V3249" s="73"/>
      <c r="W3249" s="73"/>
      <c r="GL3249" s="73"/>
      <c r="GM3249" s="73"/>
      <c r="GN3249" s="73"/>
      <c r="GO3249" s="73"/>
      <c r="GP3249" s="73"/>
      <c r="GQ3249" s="73"/>
      <c r="GR3249" s="73"/>
      <c r="GS3249" s="73"/>
      <c r="GT3249" s="73"/>
      <c r="GU3249" s="73"/>
      <c r="GV3249" s="73"/>
      <c r="GW3249" s="73"/>
      <c r="GX3249" s="73"/>
      <c r="GY3249" s="73"/>
      <c r="GZ3249" s="73"/>
      <c r="HA3249" s="73"/>
      <c r="HB3249" s="73"/>
      <c r="HC3249" s="73"/>
      <c r="HD3249" s="73"/>
      <c r="HE3249" s="73"/>
      <c r="HF3249" s="73"/>
      <c r="HG3249" s="73"/>
      <c r="HH3249" s="73"/>
      <c r="HI3249" s="73"/>
      <c r="HJ3249" s="73"/>
      <c r="HK3249" s="73"/>
      <c r="HL3249" s="73"/>
      <c r="HM3249" s="73"/>
      <c r="HN3249" s="73"/>
      <c r="HO3249" s="73"/>
      <c r="HP3249" s="73"/>
      <c r="HQ3249" s="73"/>
      <c r="HR3249" s="73"/>
      <c r="HS3249" s="73"/>
      <c r="HT3249" s="73"/>
      <c r="HU3249" s="73"/>
      <c r="HV3249" s="73"/>
      <c r="HW3249" s="73"/>
      <c r="HX3249" s="73"/>
      <c r="HY3249" s="73"/>
      <c r="HZ3249" s="73"/>
      <c r="IA3249" s="73"/>
      <c r="IB3249" s="73"/>
      <c r="IC3249" s="73"/>
      <c r="ID3249" s="73"/>
      <c r="IE3249" s="73"/>
      <c r="IF3249" s="73"/>
      <c r="IG3249" s="73"/>
      <c r="IH3249" s="73"/>
      <c r="II3249" s="73"/>
      <c r="IJ3249" s="73"/>
      <c r="IK3249" s="73"/>
      <c r="IL3249" s="73"/>
      <c r="IM3249" s="73"/>
      <c r="IN3249" s="73"/>
      <c r="IO3249" s="73"/>
      <c r="IP3249" s="73"/>
      <c r="IQ3249" s="73"/>
      <c r="IR3249" s="73"/>
      <c r="IS3249" s="73"/>
      <c r="IT3249" s="73"/>
      <c r="IU3249" s="73"/>
      <c r="IV3249" s="73"/>
      <c r="IW3249" s="73"/>
      <c r="IX3249" s="73"/>
      <c r="IY3249" s="73"/>
      <c r="IZ3249" s="73"/>
      <c r="JA3249" s="73"/>
      <c r="JB3249" s="73"/>
      <c r="JC3249" s="73"/>
    </row>
    <row r="3250" spans="2:263" s="72" customFormat="1">
      <c r="B3250" s="73"/>
      <c r="C3250" s="73"/>
      <c r="D3250" s="73"/>
      <c r="E3250" s="73"/>
      <c r="F3250" s="73"/>
      <c r="G3250" s="73"/>
      <c r="H3250" s="73"/>
      <c r="I3250" s="73"/>
      <c r="J3250" s="73"/>
      <c r="K3250" s="73"/>
      <c r="L3250" s="73"/>
      <c r="M3250" s="73"/>
      <c r="N3250" s="73"/>
      <c r="O3250" s="73"/>
      <c r="P3250" s="73"/>
      <c r="Q3250" s="73"/>
      <c r="R3250" s="73"/>
      <c r="S3250" s="73"/>
      <c r="T3250" s="73"/>
      <c r="U3250" s="73"/>
      <c r="V3250" s="73"/>
      <c r="W3250" s="73"/>
      <c r="GL3250" s="73"/>
      <c r="GM3250" s="73"/>
      <c r="GN3250" s="73"/>
      <c r="GO3250" s="73"/>
      <c r="GP3250" s="73"/>
      <c r="GQ3250" s="73"/>
      <c r="GR3250" s="73"/>
      <c r="GS3250" s="73"/>
      <c r="GT3250" s="73"/>
      <c r="GU3250" s="73"/>
      <c r="GV3250" s="73"/>
      <c r="GW3250" s="73"/>
      <c r="GX3250" s="73"/>
      <c r="GY3250" s="73"/>
      <c r="GZ3250" s="73"/>
      <c r="HA3250" s="73"/>
      <c r="HB3250" s="73"/>
      <c r="HC3250" s="73"/>
      <c r="HD3250" s="73"/>
      <c r="HE3250" s="73"/>
      <c r="HF3250" s="73"/>
      <c r="HG3250" s="73"/>
      <c r="HH3250" s="73"/>
      <c r="HI3250" s="73"/>
      <c r="HJ3250" s="73"/>
      <c r="HK3250" s="73"/>
      <c r="HL3250" s="73"/>
      <c r="HM3250" s="73"/>
      <c r="HN3250" s="73"/>
      <c r="HO3250" s="73"/>
      <c r="HP3250" s="73"/>
      <c r="HQ3250" s="73"/>
      <c r="HR3250" s="73"/>
      <c r="HS3250" s="73"/>
      <c r="HT3250" s="73"/>
      <c r="HU3250" s="73"/>
      <c r="HV3250" s="73"/>
      <c r="HW3250" s="73"/>
      <c r="HX3250" s="73"/>
      <c r="HY3250" s="73"/>
      <c r="HZ3250" s="73"/>
      <c r="IA3250" s="73"/>
      <c r="IB3250" s="73"/>
      <c r="IC3250" s="73"/>
      <c r="ID3250" s="73"/>
      <c r="IE3250" s="73"/>
      <c r="IF3250" s="73"/>
      <c r="IG3250" s="73"/>
      <c r="IH3250" s="73"/>
      <c r="II3250" s="73"/>
      <c r="IJ3250" s="73"/>
      <c r="IK3250" s="73"/>
      <c r="IL3250" s="73"/>
      <c r="IM3250" s="73"/>
      <c r="IN3250" s="73"/>
      <c r="IO3250" s="73"/>
      <c r="IP3250" s="73"/>
      <c r="IQ3250" s="73"/>
      <c r="IR3250" s="73"/>
      <c r="IS3250" s="73"/>
      <c r="IT3250" s="73"/>
      <c r="IU3250" s="73"/>
      <c r="IV3250" s="73"/>
      <c r="IW3250" s="73"/>
      <c r="IX3250" s="73"/>
      <c r="IY3250" s="73"/>
      <c r="IZ3250" s="73"/>
      <c r="JA3250" s="73"/>
      <c r="JB3250" s="73"/>
      <c r="JC3250" s="73"/>
    </row>
    <row r="3251" spans="2:263" s="72" customFormat="1">
      <c r="B3251" s="73"/>
      <c r="C3251" s="73"/>
      <c r="D3251" s="73"/>
      <c r="E3251" s="73"/>
      <c r="F3251" s="73"/>
      <c r="G3251" s="73"/>
      <c r="H3251" s="73"/>
      <c r="I3251" s="73"/>
      <c r="J3251" s="73"/>
      <c r="K3251" s="73"/>
      <c r="L3251" s="73"/>
      <c r="M3251" s="73"/>
      <c r="N3251" s="73"/>
      <c r="O3251" s="73"/>
      <c r="P3251" s="73"/>
      <c r="Q3251" s="73"/>
      <c r="R3251" s="73"/>
      <c r="S3251" s="73"/>
      <c r="T3251" s="73"/>
      <c r="U3251" s="73"/>
      <c r="V3251" s="73"/>
      <c r="W3251" s="73"/>
      <c r="GL3251" s="73"/>
      <c r="GM3251" s="73"/>
      <c r="GN3251" s="73"/>
      <c r="GO3251" s="73"/>
      <c r="GP3251" s="73"/>
      <c r="GQ3251" s="73"/>
      <c r="GR3251" s="73"/>
      <c r="GS3251" s="73"/>
      <c r="GT3251" s="73"/>
      <c r="GU3251" s="73"/>
      <c r="GV3251" s="73"/>
      <c r="GW3251" s="73"/>
      <c r="GX3251" s="73"/>
      <c r="GY3251" s="73"/>
      <c r="GZ3251" s="73"/>
      <c r="HA3251" s="73"/>
      <c r="HB3251" s="73"/>
      <c r="HC3251" s="73"/>
      <c r="HD3251" s="73"/>
      <c r="HE3251" s="73"/>
      <c r="HF3251" s="73"/>
      <c r="HG3251" s="73"/>
      <c r="HH3251" s="73"/>
      <c r="HI3251" s="73"/>
      <c r="HJ3251" s="73"/>
      <c r="HK3251" s="73"/>
      <c r="HL3251" s="73"/>
      <c r="HM3251" s="73"/>
      <c r="HN3251" s="73"/>
      <c r="HO3251" s="73"/>
      <c r="HP3251" s="73"/>
      <c r="HQ3251" s="73"/>
      <c r="HR3251" s="73"/>
      <c r="HS3251" s="73"/>
      <c r="HT3251" s="73"/>
      <c r="HU3251" s="73"/>
      <c r="HV3251" s="73"/>
      <c r="HW3251" s="73"/>
      <c r="HX3251" s="73"/>
      <c r="HY3251" s="73"/>
      <c r="HZ3251" s="73"/>
      <c r="IA3251" s="73"/>
      <c r="IB3251" s="73"/>
      <c r="IC3251" s="73"/>
      <c r="ID3251" s="73"/>
      <c r="IE3251" s="73"/>
      <c r="IF3251" s="73"/>
      <c r="IG3251" s="73"/>
      <c r="IH3251" s="73"/>
      <c r="II3251" s="73"/>
      <c r="IJ3251" s="73"/>
      <c r="IK3251" s="73"/>
      <c r="IL3251" s="73"/>
      <c r="IM3251" s="73"/>
      <c r="IN3251" s="73"/>
      <c r="IO3251" s="73"/>
      <c r="IP3251" s="73"/>
      <c r="IQ3251" s="73"/>
      <c r="IR3251" s="73"/>
      <c r="IS3251" s="73"/>
      <c r="IT3251" s="73"/>
      <c r="IU3251" s="73"/>
      <c r="IV3251" s="73"/>
      <c r="IW3251" s="73"/>
      <c r="IX3251" s="73"/>
      <c r="IY3251" s="73"/>
      <c r="IZ3251" s="73"/>
      <c r="JA3251" s="73"/>
      <c r="JB3251" s="73"/>
      <c r="JC3251" s="73"/>
    </row>
    <row r="3252" spans="2:263" s="72" customFormat="1">
      <c r="B3252" s="73"/>
      <c r="C3252" s="73"/>
      <c r="D3252" s="73"/>
      <c r="E3252" s="73"/>
      <c r="F3252" s="73"/>
      <c r="G3252" s="73"/>
      <c r="H3252" s="73"/>
      <c r="I3252" s="73"/>
      <c r="J3252" s="73"/>
      <c r="K3252" s="73"/>
      <c r="L3252" s="73"/>
      <c r="M3252" s="73"/>
      <c r="N3252" s="73"/>
      <c r="O3252" s="73"/>
      <c r="P3252" s="73"/>
      <c r="Q3252" s="73"/>
      <c r="R3252" s="73"/>
      <c r="S3252" s="73"/>
      <c r="T3252" s="73"/>
      <c r="U3252" s="73"/>
      <c r="V3252" s="73"/>
      <c r="W3252" s="73"/>
      <c r="GL3252" s="73"/>
      <c r="GM3252" s="73"/>
      <c r="GN3252" s="73"/>
      <c r="GO3252" s="73"/>
      <c r="GP3252" s="73"/>
      <c r="GQ3252" s="73"/>
      <c r="GR3252" s="73"/>
      <c r="GS3252" s="73"/>
      <c r="GT3252" s="73"/>
      <c r="GU3252" s="73"/>
      <c r="GV3252" s="73"/>
      <c r="GW3252" s="73"/>
      <c r="GX3252" s="73"/>
      <c r="GY3252" s="73"/>
      <c r="GZ3252" s="73"/>
      <c r="HA3252" s="73"/>
      <c r="HB3252" s="73"/>
      <c r="HC3252" s="73"/>
      <c r="HD3252" s="73"/>
      <c r="HE3252" s="73"/>
      <c r="HF3252" s="73"/>
      <c r="HG3252" s="73"/>
      <c r="HH3252" s="73"/>
      <c r="HI3252" s="73"/>
      <c r="HJ3252" s="73"/>
      <c r="HK3252" s="73"/>
      <c r="HL3252" s="73"/>
      <c r="HM3252" s="73"/>
      <c r="HN3252" s="73"/>
      <c r="HO3252" s="73"/>
      <c r="HP3252" s="73"/>
      <c r="HQ3252" s="73"/>
      <c r="HR3252" s="73"/>
      <c r="HS3252" s="73"/>
      <c r="HT3252" s="73"/>
      <c r="HU3252" s="73"/>
      <c r="HV3252" s="73"/>
      <c r="HW3252" s="73"/>
      <c r="HX3252" s="73"/>
      <c r="HY3252" s="73"/>
      <c r="HZ3252" s="73"/>
      <c r="IA3252" s="73"/>
      <c r="IB3252" s="73"/>
      <c r="IC3252" s="73"/>
      <c r="ID3252" s="73"/>
      <c r="IE3252" s="73"/>
      <c r="IF3252" s="73"/>
      <c r="IG3252" s="73"/>
      <c r="IH3252" s="73"/>
      <c r="II3252" s="73"/>
      <c r="IJ3252" s="73"/>
      <c r="IK3252" s="73"/>
      <c r="IL3252" s="73"/>
      <c r="IM3252" s="73"/>
      <c r="IN3252" s="73"/>
      <c r="IO3252" s="73"/>
      <c r="IP3252" s="73"/>
      <c r="IQ3252" s="73"/>
      <c r="IR3252" s="73"/>
      <c r="IS3252" s="73"/>
      <c r="IT3252" s="73"/>
      <c r="IU3252" s="73"/>
      <c r="IV3252" s="73"/>
      <c r="IW3252" s="73"/>
      <c r="IX3252" s="73"/>
      <c r="IY3252" s="73"/>
      <c r="IZ3252" s="73"/>
      <c r="JA3252" s="73"/>
      <c r="JB3252" s="73"/>
      <c r="JC3252" s="73"/>
    </row>
    <row r="3253" spans="2:263" s="72" customFormat="1">
      <c r="B3253" s="73"/>
      <c r="C3253" s="73"/>
      <c r="D3253" s="73"/>
      <c r="E3253" s="73"/>
      <c r="F3253" s="73"/>
      <c r="G3253" s="73"/>
      <c r="H3253" s="73"/>
      <c r="I3253" s="73"/>
      <c r="J3253" s="73"/>
      <c r="K3253" s="73"/>
      <c r="L3253" s="73"/>
      <c r="M3253" s="73"/>
      <c r="N3253" s="73"/>
      <c r="O3253" s="73"/>
      <c r="P3253" s="73"/>
      <c r="Q3253" s="73"/>
      <c r="R3253" s="73"/>
      <c r="S3253" s="73"/>
      <c r="T3253" s="73"/>
      <c r="U3253" s="73"/>
      <c r="V3253" s="73"/>
      <c r="W3253" s="73"/>
      <c r="GL3253" s="73"/>
      <c r="GM3253" s="73"/>
      <c r="GN3253" s="73"/>
      <c r="GO3253" s="73"/>
      <c r="GP3253" s="73"/>
      <c r="GQ3253" s="73"/>
      <c r="GR3253" s="73"/>
      <c r="GS3253" s="73"/>
      <c r="GT3253" s="73"/>
      <c r="GU3253" s="73"/>
      <c r="GV3253" s="73"/>
      <c r="GW3253" s="73"/>
      <c r="GX3253" s="73"/>
      <c r="GY3253" s="73"/>
      <c r="GZ3253" s="73"/>
      <c r="HA3253" s="73"/>
      <c r="HB3253" s="73"/>
      <c r="HC3253" s="73"/>
      <c r="HD3253" s="73"/>
      <c r="HE3253" s="73"/>
      <c r="HF3253" s="73"/>
      <c r="HG3253" s="73"/>
      <c r="HH3253" s="73"/>
      <c r="HI3253" s="73"/>
      <c r="HJ3253" s="73"/>
      <c r="HK3253" s="73"/>
      <c r="HL3253" s="73"/>
      <c r="HM3253" s="73"/>
      <c r="HN3253" s="73"/>
      <c r="HO3253" s="73"/>
      <c r="HP3253" s="73"/>
      <c r="HQ3253" s="73"/>
      <c r="HR3253" s="73"/>
      <c r="HS3253" s="73"/>
      <c r="HT3253" s="73"/>
      <c r="HU3253" s="73"/>
      <c r="HV3253" s="73"/>
      <c r="HW3253" s="73"/>
      <c r="HX3253" s="73"/>
      <c r="HY3253" s="73"/>
      <c r="HZ3253" s="73"/>
      <c r="IA3253" s="73"/>
      <c r="IB3253" s="73"/>
      <c r="IC3253" s="73"/>
      <c r="ID3253" s="73"/>
      <c r="IE3253" s="73"/>
      <c r="IF3253" s="73"/>
      <c r="IG3253" s="73"/>
      <c r="IH3253" s="73"/>
      <c r="II3253" s="73"/>
      <c r="IJ3253" s="73"/>
      <c r="IK3253" s="73"/>
      <c r="IL3253" s="73"/>
      <c r="IM3253" s="73"/>
      <c r="IN3253" s="73"/>
      <c r="IO3253" s="73"/>
      <c r="IP3253" s="73"/>
      <c r="IQ3253" s="73"/>
      <c r="IR3253" s="73"/>
      <c r="IS3253" s="73"/>
      <c r="IT3253" s="73"/>
      <c r="IU3253" s="73"/>
      <c r="IV3253" s="73"/>
      <c r="IW3253" s="73"/>
      <c r="IX3253" s="73"/>
      <c r="IY3253" s="73"/>
      <c r="IZ3253" s="73"/>
      <c r="JA3253" s="73"/>
      <c r="JB3253" s="73"/>
      <c r="JC3253" s="73"/>
    </row>
    <row r="3254" spans="2:263" s="72" customFormat="1">
      <c r="B3254" s="73"/>
      <c r="C3254" s="73"/>
      <c r="D3254" s="73"/>
      <c r="E3254" s="73"/>
      <c r="F3254" s="73"/>
      <c r="G3254" s="73"/>
      <c r="H3254" s="73"/>
      <c r="I3254" s="73"/>
      <c r="J3254" s="73"/>
      <c r="K3254" s="73"/>
      <c r="L3254" s="73"/>
      <c r="M3254" s="73"/>
      <c r="N3254" s="73"/>
      <c r="O3254" s="73"/>
      <c r="P3254" s="73"/>
      <c r="Q3254" s="73"/>
      <c r="R3254" s="73"/>
      <c r="S3254" s="73"/>
      <c r="T3254" s="73"/>
      <c r="U3254" s="73"/>
      <c r="V3254" s="73"/>
      <c r="W3254" s="73"/>
      <c r="GL3254" s="73"/>
      <c r="GM3254" s="73"/>
      <c r="GN3254" s="73"/>
      <c r="GO3254" s="73"/>
      <c r="GP3254" s="73"/>
      <c r="GQ3254" s="73"/>
      <c r="GR3254" s="73"/>
      <c r="GS3254" s="73"/>
      <c r="GT3254" s="73"/>
      <c r="GU3254" s="73"/>
      <c r="GV3254" s="73"/>
      <c r="GW3254" s="73"/>
      <c r="GX3254" s="73"/>
      <c r="GY3254" s="73"/>
      <c r="GZ3254" s="73"/>
      <c r="HA3254" s="73"/>
      <c r="HB3254" s="73"/>
      <c r="HC3254" s="73"/>
      <c r="HD3254" s="73"/>
      <c r="HE3254" s="73"/>
      <c r="HF3254" s="73"/>
      <c r="HG3254" s="73"/>
      <c r="HH3254" s="73"/>
      <c r="HI3254" s="73"/>
      <c r="HJ3254" s="73"/>
      <c r="HK3254" s="73"/>
      <c r="HL3254" s="73"/>
      <c r="HM3254" s="73"/>
      <c r="HN3254" s="73"/>
      <c r="HO3254" s="73"/>
      <c r="HP3254" s="73"/>
      <c r="HQ3254" s="73"/>
      <c r="HR3254" s="73"/>
      <c r="HS3254" s="73"/>
      <c r="HT3254" s="73"/>
      <c r="HU3254" s="73"/>
      <c r="HV3254" s="73"/>
      <c r="HW3254" s="73"/>
      <c r="HX3254" s="73"/>
      <c r="HY3254" s="73"/>
      <c r="HZ3254" s="73"/>
      <c r="IA3254" s="73"/>
      <c r="IB3254" s="73"/>
      <c r="IC3254" s="73"/>
      <c r="ID3254" s="73"/>
      <c r="IE3254" s="73"/>
      <c r="IF3254" s="73"/>
      <c r="IG3254" s="73"/>
      <c r="IH3254" s="73"/>
      <c r="II3254" s="73"/>
      <c r="IJ3254" s="73"/>
      <c r="IK3254" s="73"/>
      <c r="IL3254" s="73"/>
      <c r="IM3254" s="73"/>
      <c r="IN3254" s="73"/>
      <c r="IO3254" s="73"/>
      <c r="IP3254" s="73"/>
      <c r="IQ3254" s="73"/>
      <c r="IR3254" s="73"/>
      <c r="IS3254" s="73"/>
      <c r="IT3254" s="73"/>
      <c r="IU3254" s="73"/>
      <c r="IV3254" s="73"/>
      <c r="IW3254" s="73"/>
      <c r="IX3254" s="73"/>
      <c r="IY3254" s="73"/>
      <c r="IZ3254" s="73"/>
      <c r="JA3254" s="73"/>
      <c r="JB3254" s="73"/>
      <c r="JC3254" s="73"/>
    </row>
    <row r="3255" spans="2:263" s="72" customFormat="1">
      <c r="B3255" s="73"/>
      <c r="C3255" s="73"/>
      <c r="D3255" s="73"/>
      <c r="E3255" s="73"/>
      <c r="F3255" s="73"/>
      <c r="G3255" s="73"/>
      <c r="H3255" s="73"/>
      <c r="I3255" s="73"/>
      <c r="J3255" s="73"/>
      <c r="K3255" s="73"/>
      <c r="L3255" s="73"/>
      <c r="M3255" s="73"/>
      <c r="N3255" s="73"/>
      <c r="O3255" s="73"/>
      <c r="P3255" s="73"/>
      <c r="Q3255" s="73"/>
      <c r="R3255" s="73"/>
      <c r="S3255" s="73"/>
      <c r="T3255" s="73"/>
      <c r="U3255" s="73"/>
      <c r="V3255" s="73"/>
      <c r="W3255" s="73"/>
      <c r="GL3255" s="73"/>
      <c r="GM3255" s="73"/>
      <c r="GN3255" s="73"/>
      <c r="GO3255" s="73"/>
      <c r="GP3255" s="73"/>
      <c r="GQ3255" s="73"/>
      <c r="GR3255" s="73"/>
      <c r="GS3255" s="73"/>
      <c r="GT3255" s="73"/>
      <c r="GU3255" s="73"/>
      <c r="GV3255" s="73"/>
      <c r="GW3255" s="73"/>
      <c r="GX3255" s="73"/>
      <c r="GY3255" s="73"/>
      <c r="GZ3255" s="73"/>
      <c r="HA3255" s="73"/>
      <c r="HB3255" s="73"/>
      <c r="HC3255" s="73"/>
      <c r="HD3255" s="73"/>
      <c r="HE3255" s="73"/>
      <c r="HF3255" s="73"/>
      <c r="HG3255" s="73"/>
      <c r="HH3255" s="73"/>
      <c r="HI3255" s="73"/>
      <c r="HJ3255" s="73"/>
      <c r="HK3255" s="73"/>
      <c r="HL3255" s="73"/>
      <c r="HM3255" s="73"/>
      <c r="HN3255" s="73"/>
      <c r="HO3255" s="73"/>
      <c r="HP3255" s="73"/>
      <c r="HQ3255" s="73"/>
      <c r="HR3255" s="73"/>
      <c r="HS3255" s="73"/>
      <c r="HT3255" s="73"/>
      <c r="HU3255" s="73"/>
      <c r="HV3255" s="73"/>
      <c r="HW3255" s="73"/>
      <c r="HX3255" s="73"/>
      <c r="HY3255" s="73"/>
      <c r="HZ3255" s="73"/>
      <c r="IA3255" s="73"/>
      <c r="IB3255" s="73"/>
      <c r="IC3255" s="73"/>
      <c r="ID3255" s="73"/>
      <c r="IE3255" s="73"/>
      <c r="IF3255" s="73"/>
      <c r="IG3255" s="73"/>
      <c r="IH3255" s="73"/>
      <c r="II3255" s="73"/>
      <c r="IJ3255" s="73"/>
      <c r="IK3255" s="73"/>
      <c r="IL3255" s="73"/>
      <c r="IM3255" s="73"/>
      <c r="IN3255" s="73"/>
      <c r="IO3255" s="73"/>
      <c r="IP3255" s="73"/>
      <c r="IQ3255" s="73"/>
      <c r="IR3255" s="73"/>
      <c r="IS3255" s="73"/>
      <c r="IT3255" s="73"/>
      <c r="IU3255" s="73"/>
      <c r="IV3255" s="73"/>
      <c r="IW3255" s="73"/>
      <c r="IX3255" s="73"/>
      <c r="IY3255" s="73"/>
      <c r="IZ3255" s="73"/>
      <c r="JA3255" s="73"/>
      <c r="JB3255" s="73"/>
      <c r="JC3255" s="73"/>
    </row>
    <row r="3256" spans="2:263" s="72" customFormat="1">
      <c r="B3256" s="73"/>
      <c r="C3256" s="73"/>
      <c r="D3256" s="73"/>
      <c r="E3256" s="73"/>
      <c r="F3256" s="73"/>
      <c r="G3256" s="73"/>
      <c r="H3256" s="73"/>
      <c r="I3256" s="73"/>
      <c r="J3256" s="73"/>
      <c r="K3256" s="73"/>
      <c r="L3256" s="73"/>
      <c r="M3256" s="73"/>
      <c r="N3256" s="73"/>
      <c r="O3256" s="73"/>
      <c r="P3256" s="73"/>
      <c r="Q3256" s="73"/>
      <c r="R3256" s="73"/>
      <c r="S3256" s="73"/>
      <c r="T3256" s="73"/>
      <c r="U3256" s="73"/>
      <c r="V3256" s="73"/>
      <c r="W3256" s="73"/>
      <c r="GL3256" s="73"/>
      <c r="GM3256" s="73"/>
      <c r="GN3256" s="73"/>
      <c r="GO3256" s="73"/>
      <c r="GP3256" s="73"/>
      <c r="GQ3256" s="73"/>
      <c r="GR3256" s="73"/>
      <c r="GS3256" s="73"/>
      <c r="GT3256" s="73"/>
      <c r="GU3256" s="73"/>
      <c r="GV3256" s="73"/>
      <c r="GW3256" s="73"/>
      <c r="GX3256" s="73"/>
      <c r="GY3256" s="73"/>
      <c r="GZ3256" s="73"/>
      <c r="HA3256" s="73"/>
      <c r="HB3256" s="73"/>
      <c r="HC3256" s="73"/>
      <c r="HD3256" s="73"/>
      <c r="HE3256" s="73"/>
      <c r="HF3256" s="73"/>
      <c r="HG3256" s="73"/>
      <c r="HH3256" s="73"/>
      <c r="HI3256" s="73"/>
      <c r="HJ3256" s="73"/>
      <c r="HK3256" s="73"/>
      <c r="HL3256" s="73"/>
      <c r="HM3256" s="73"/>
      <c r="HN3256" s="73"/>
      <c r="HO3256" s="73"/>
      <c r="HP3256" s="73"/>
      <c r="HQ3256" s="73"/>
      <c r="HR3256" s="73"/>
      <c r="HS3256" s="73"/>
      <c r="HT3256" s="73"/>
      <c r="HU3256" s="73"/>
      <c r="HV3256" s="73"/>
      <c r="HW3256" s="73"/>
      <c r="HX3256" s="73"/>
      <c r="HY3256" s="73"/>
      <c r="HZ3256" s="73"/>
      <c r="IA3256" s="73"/>
      <c r="IB3256" s="73"/>
      <c r="IC3256" s="73"/>
      <c r="ID3256" s="73"/>
      <c r="IE3256" s="73"/>
      <c r="IF3256" s="73"/>
      <c r="IG3256" s="73"/>
      <c r="IH3256" s="73"/>
      <c r="II3256" s="73"/>
      <c r="IJ3256" s="73"/>
      <c r="IK3256" s="73"/>
      <c r="IL3256" s="73"/>
      <c r="IM3256" s="73"/>
      <c r="IN3256" s="73"/>
      <c r="IO3256" s="73"/>
      <c r="IP3256" s="73"/>
      <c r="IQ3256" s="73"/>
      <c r="IR3256" s="73"/>
      <c r="IS3256" s="73"/>
      <c r="IT3256" s="73"/>
      <c r="IU3256" s="73"/>
      <c r="IV3256" s="73"/>
      <c r="IW3256" s="73"/>
      <c r="IX3256" s="73"/>
      <c r="IY3256" s="73"/>
      <c r="IZ3256" s="73"/>
      <c r="JA3256" s="73"/>
      <c r="JB3256" s="73"/>
      <c r="JC3256" s="73"/>
    </row>
    <row r="3257" spans="2:263" s="72" customFormat="1">
      <c r="B3257" s="73"/>
      <c r="C3257" s="73"/>
      <c r="D3257" s="73"/>
      <c r="E3257" s="73"/>
      <c r="F3257" s="73"/>
      <c r="G3257" s="73"/>
      <c r="H3257" s="73"/>
      <c r="I3257" s="73"/>
      <c r="J3257" s="73"/>
      <c r="K3257" s="73"/>
      <c r="L3257" s="73"/>
      <c r="M3257" s="73"/>
      <c r="N3257" s="73"/>
      <c r="O3257" s="73"/>
      <c r="P3257" s="73"/>
      <c r="Q3257" s="73"/>
      <c r="R3257" s="73"/>
      <c r="S3257" s="73"/>
      <c r="T3257" s="73"/>
      <c r="U3257" s="73"/>
      <c r="V3257" s="73"/>
      <c r="W3257" s="73"/>
      <c r="GL3257" s="73"/>
      <c r="GM3257" s="73"/>
      <c r="GN3257" s="73"/>
      <c r="GO3257" s="73"/>
      <c r="GP3257" s="73"/>
      <c r="GQ3257" s="73"/>
      <c r="GR3257" s="73"/>
      <c r="GS3257" s="73"/>
      <c r="GT3257" s="73"/>
      <c r="GU3257" s="73"/>
      <c r="GV3257" s="73"/>
      <c r="GW3257" s="73"/>
      <c r="GX3257" s="73"/>
      <c r="GY3257" s="73"/>
      <c r="GZ3257" s="73"/>
      <c r="HA3257" s="73"/>
      <c r="HB3257" s="73"/>
      <c r="HC3257" s="73"/>
      <c r="HD3257" s="73"/>
      <c r="HE3257" s="73"/>
      <c r="HF3257" s="73"/>
      <c r="HG3257" s="73"/>
      <c r="HH3257" s="73"/>
      <c r="HI3257" s="73"/>
      <c r="HJ3257" s="73"/>
      <c r="HK3257" s="73"/>
      <c r="HL3257" s="73"/>
      <c r="HM3257" s="73"/>
      <c r="HN3257" s="73"/>
      <c r="HO3257" s="73"/>
      <c r="HP3257" s="73"/>
      <c r="HQ3257" s="73"/>
      <c r="HR3257" s="73"/>
      <c r="HS3257" s="73"/>
      <c r="HT3257" s="73"/>
      <c r="HU3257" s="73"/>
      <c r="HV3257" s="73"/>
      <c r="HW3257" s="73"/>
      <c r="HX3257" s="73"/>
      <c r="HY3257" s="73"/>
      <c r="HZ3257" s="73"/>
      <c r="IA3257" s="73"/>
      <c r="IB3257" s="73"/>
      <c r="IC3257" s="73"/>
      <c r="ID3257" s="73"/>
      <c r="IE3257" s="73"/>
      <c r="IF3257" s="73"/>
      <c r="IG3257" s="73"/>
      <c r="IH3257" s="73"/>
      <c r="II3257" s="73"/>
      <c r="IJ3257" s="73"/>
      <c r="IK3257" s="73"/>
      <c r="IL3257" s="73"/>
      <c r="IM3257" s="73"/>
      <c r="IN3257" s="73"/>
      <c r="IO3257" s="73"/>
      <c r="IP3257" s="73"/>
      <c r="IQ3257" s="73"/>
      <c r="IR3257" s="73"/>
      <c r="IS3257" s="73"/>
      <c r="IT3257" s="73"/>
      <c r="IU3257" s="73"/>
      <c r="IV3257" s="73"/>
      <c r="IW3257" s="73"/>
      <c r="IX3257" s="73"/>
      <c r="IY3257" s="73"/>
      <c r="IZ3257" s="73"/>
      <c r="JA3257" s="73"/>
      <c r="JB3257" s="73"/>
      <c r="JC3257" s="73"/>
    </row>
    <row r="3258" spans="2:263" s="72" customFormat="1">
      <c r="B3258" s="73"/>
      <c r="C3258" s="73"/>
      <c r="D3258" s="73"/>
      <c r="E3258" s="73"/>
      <c r="F3258" s="73"/>
      <c r="G3258" s="73"/>
      <c r="H3258" s="73"/>
      <c r="I3258" s="73"/>
      <c r="J3258" s="73"/>
      <c r="K3258" s="73"/>
      <c r="L3258" s="73"/>
      <c r="M3258" s="73"/>
      <c r="N3258" s="73"/>
      <c r="O3258" s="73"/>
      <c r="P3258" s="73"/>
      <c r="Q3258" s="73"/>
      <c r="R3258" s="73"/>
      <c r="S3258" s="73"/>
      <c r="T3258" s="73"/>
      <c r="U3258" s="73"/>
      <c r="V3258" s="73"/>
      <c r="W3258" s="73"/>
      <c r="GL3258" s="73"/>
      <c r="GM3258" s="73"/>
      <c r="GN3258" s="73"/>
      <c r="GO3258" s="73"/>
      <c r="GP3258" s="73"/>
      <c r="GQ3258" s="73"/>
      <c r="GR3258" s="73"/>
      <c r="GS3258" s="73"/>
      <c r="GT3258" s="73"/>
      <c r="GU3258" s="73"/>
      <c r="GV3258" s="73"/>
      <c r="GW3258" s="73"/>
      <c r="GX3258" s="73"/>
      <c r="GY3258" s="73"/>
      <c r="GZ3258" s="73"/>
      <c r="HA3258" s="73"/>
      <c r="HB3258" s="73"/>
      <c r="HC3258" s="73"/>
      <c r="HD3258" s="73"/>
      <c r="HE3258" s="73"/>
      <c r="HF3258" s="73"/>
      <c r="HG3258" s="73"/>
      <c r="HH3258" s="73"/>
      <c r="HI3258" s="73"/>
      <c r="HJ3258" s="73"/>
      <c r="HK3258" s="73"/>
      <c r="HL3258" s="73"/>
      <c r="HM3258" s="73"/>
      <c r="HN3258" s="73"/>
      <c r="HO3258" s="73"/>
      <c r="HP3258" s="73"/>
      <c r="HQ3258" s="73"/>
      <c r="HR3258" s="73"/>
      <c r="HS3258" s="73"/>
      <c r="HT3258" s="73"/>
      <c r="HU3258" s="73"/>
      <c r="HV3258" s="73"/>
      <c r="HW3258" s="73"/>
      <c r="HX3258" s="73"/>
      <c r="HY3258" s="73"/>
      <c r="HZ3258" s="73"/>
      <c r="IA3258" s="73"/>
      <c r="IB3258" s="73"/>
      <c r="IC3258" s="73"/>
      <c r="ID3258" s="73"/>
      <c r="IE3258" s="73"/>
      <c r="IF3258" s="73"/>
      <c r="IG3258" s="73"/>
      <c r="IH3258" s="73"/>
      <c r="II3258" s="73"/>
      <c r="IJ3258" s="73"/>
      <c r="IK3258" s="73"/>
      <c r="IL3258" s="73"/>
      <c r="IM3258" s="73"/>
      <c r="IN3258" s="73"/>
      <c r="IO3258" s="73"/>
      <c r="IP3258" s="73"/>
      <c r="IQ3258" s="73"/>
      <c r="IR3258" s="73"/>
      <c r="IS3258" s="73"/>
      <c r="IT3258" s="73"/>
      <c r="IU3258" s="73"/>
      <c r="IV3258" s="73"/>
      <c r="IW3258" s="73"/>
      <c r="IX3258" s="73"/>
      <c r="IY3258" s="73"/>
      <c r="IZ3258" s="73"/>
      <c r="JA3258" s="73"/>
      <c r="JB3258" s="73"/>
      <c r="JC3258" s="73"/>
    </row>
    <row r="3259" spans="2:263" s="72" customFormat="1">
      <c r="B3259" s="73"/>
      <c r="C3259" s="73"/>
      <c r="D3259" s="73"/>
      <c r="E3259" s="73"/>
      <c r="F3259" s="73"/>
      <c r="G3259" s="73"/>
      <c r="H3259" s="73"/>
      <c r="I3259" s="73"/>
      <c r="J3259" s="73"/>
      <c r="K3259" s="73"/>
      <c r="L3259" s="73"/>
      <c r="M3259" s="73"/>
      <c r="N3259" s="73"/>
      <c r="O3259" s="73"/>
      <c r="P3259" s="73"/>
      <c r="Q3259" s="73"/>
      <c r="R3259" s="73"/>
      <c r="S3259" s="73"/>
      <c r="T3259" s="73"/>
      <c r="U3259" s="73"/>
      <c r="V3259" s="73"/>
      <c r="W3259" s="73"/>
      <c r="GL3259" s="73"/>
      <c r="GM3259" s="73"/>
      <c r="GN3259" s="73"/>
      <c r="GO3259" s="73"/>
      <c r="GP3259" s="73"/>
      <c r="GQ3259" s="73"/>
      <c r="GR3259" s="73"/>
      <c r="GS3259" s="73"/>
      <c r="GT3259" s="73"/>
      <c r="GU3259" s="73"/>
      <c r="GV3259" s="73"/>
      <c r="GW3259" s="73"/>
      <c r="GX3259" s="73"/>
      <c r="GY3259" s="73"/>
      <c r="GZ3259" s="73"/>
      <c r="HA3259" s="73"/>
      <c r="HB3259" s="73"/>
      <c r="HC3259" s="73"/>
      <c r="HD3259" s="73"/>
      <c r="HE3259" s="73"/>
      <c r="HF3259" s="73"/>
      <c r="HG3259" s="73"/>
      <c r="HH3259" s="73"/>
      <c r="HI3259" s="73"/>
      <c r="HJ3259" s="73"/>
      <c r="HK3259" s="73"/>
      <c r="HL3259" s="73"/>
      <c r="HM3259" s="73"/>
      <c r="HN3259" s="73"/>
      <c r="HO3259" s="73"/>
      <c r="HP3259" s="73"/>
      <c r="HQ3259" s="73"/>
      <c r="HR3259" s="73"/>
      <c r="HS3259" s="73"/>
      <c r="HT3259" s="73"/>
      <c r="HU3259" s="73"/>
      <c r="HV3259" s="73"/>
      <c r="HW3259" s="73"/>
      <c r="HX3259" s="73"/>
      <c r="HY3259" s="73"/>
      <c r="HZ3259" s="73"/>
      <c r="IA3259" s="73"/>
      <c r="IB3259" s="73"/>
      <c r="IC3259" s="73"/>
      <c r="ID3259" s="73"/>
      <c r="IE3259" s="73"/>
      <c r="IF3259" s="73"/>
      <c r="IG3259" s="73"/>
      <c r="IH3259" s="73"/>
      <c r="II3259" s="73"/>
      <c r="IJ3259" s="73"/>
      <c r="IK3259" s="73"/>
      <c r="IL3259" s="73"/>
      <c r="IM3259" s="73"/>
      <c r="IN3259" s="73"/>
      <c r="IO3259" s="73"/>
      <c r="IP3259" s="73"/>
      <c r="IQ3259" s="73"/>
      <c r="IR3259" s="73"/>
      <c r="IS3259" s="73"/>
      <c r="IT3259" s="73"/>
      <c r="IU3259" s="73"/>
      <c r="IV3259" s="73"/>
      <c r="IW3259" s="73"/>
      <c r="IX3259" s="73"/>
      <c r="IY3259" s="73"/>
      <c r="IZ3259" s="73"/>
      <c r="JA3259" s="73"/>
      <c r="JB3259" s="73"/>
      <c r="JC3259" s="73"/>
    </row>
    <row r="3260" spans="2:263" s="72" customFormat="1">
      <c r="B3260" s="73"/>
      <c r="C3260" s="73"/>
      <c r="D3260" s="73"/>
      <c r="E3260" s="73"/>
      <c r="F3260" s="73"/>
      <c r="G3260" s="73"/>
      <c r="H3260" s="73"/>
      <c r="I3260" s="73"/>
      <c r="J3260" s="73"/>
      <c r="K3260" s="73"/>
      <c r="L3260" s="73"/>
      <c r="M3260" s="73"/>
      <c r="N3260" s="73"/>
      <c r="O3260" s="73"/>
      <c r="P3260" s="73"/>
      <c r="Q3260" s="73"/>
      <c r="R3260" s="73"/>
      <c r="S3260" s="73"/>
      <c r="T3260" s="73"/>
      <c r="U3260" s="73"/>
      <c r="V3260" s="73"/>
      <c r="W3260" s="73"/>
      <c r="GL3260" s="73"/>
      <c r="GM3260" s="73"/>
      <c r="GN3260" s="73"/>
      <c r="GO3260" s="73"/>
      <c r="GP3260" s="73"/>
      <c r="GQ3260" s="73"/>
      <c r="GR3260" s="73"/>
      <c r="GS3260" s="73"/>
      <c r="GT3260" s="73"/>
      <c r="GU3260" s="73"/>
      <c r="GV3260" s="73"/>
      <c r="GW3260" s="73"/>
      <c r="GX3260" s="73"/>
      <c r="GY3260" s="73"/>
      <c r="GZ3260" s="73"/>
      <c r="HA3260" s="73"/>
      <c r="HB3260" s="73"/>
      <c r="HC3260" s="73"/>
      <c r="HD3260" s="73"/>
      <c r="HE3260" s="73"/>
      <c r="HF3260" s="73"/>
      <c r="HG3260" s="73"/>
      <c r="HH3260" s="73"/>
      <c r="HI3260" s="73"/>
      <c r="HJ3260" s="73"/>
      <c r="HK3260" s="73"/>
      <c r="HL3260" s="73"/>
      <c r="HM3260" s="73"/>
      <c r="HN3260" s="73"/>
      <c r="HO3260" s="73"/>
      <c r="HP3260" s="73"/>
      <c r="HQ3260" s="73"/>
      <c r="HR3260" s="73"/>
      <c r="HS3260" s="73"/>
      <c r="HT3260" s="73"/>
      <c r="HU3260" s="73"/>
      <c r="HV3260" s="73"/>
      <c r="HW3260" s="73"/>
      <c r="HX3260" s="73"/>
      <c r="HY3260" s="73"/>
      <c r="HZ3260" s="73"/>
      <c r="IA3260" s="73"/>
      <c r="IB3260" s="73"/>
      <c r="IC3260" s="73"/>
      <c r="ID3260" s="73"/>
      <c r="IE3260" s="73"/>
      <c r="IF3260" s="73"/>
      <c r="IG3260" s="73"/>
      <c r="IH3260" s="73"/>
      <c r="II3260" s="73"/>
      <c r="IJ3260" s="73"/>
      <c r="IK3260" s="73"/>
      <c r="IL3260" s="73"/>
      <c r="IM3260" s="73"/>
      <c r="IN3260" s="73"/>
      <c r="IO3260" s="73"/>
      <c r="IP3260" s="73"/>
      <c r="IQ3260" s="73"/>
      <c r="IR3260" s="73"/>
      <c r="IS3260" s="73"/>
      <c r="IT3260" s="73"/>
      <c r="IU3260" s="73"/>
      <c r="IV3260" s="73"/>
      <c r="IW3260" s="73"/>
      <c r="IX3260" s="73"/>
      <c r="IY3260" s="73"/>
      <c r="IZ3260" s="73"/>
      <c r="JA3260" s="73"/>
      <c r="JB3260" s="73"/>
      <c r="JC3260" s="73"/>
    </row>
    <row r="3261" spans="2:263" s="72" customFormat="1">
      <c r="B3261" s="73"/>
      <c r="C3261" s="73"/>
      <c r="D3261" s="73"/>
      <c r="E3261" s="73"/>
      <c r="F3261" s="73"/>
      <c r="G3261" s="73"/>
      <c r="H3261" s="73"/>
      <c r="I3261" s="73"/>
      <c r="J3261" s="73"/>
      <c r="K3261" s="73"/>
      <c r="L3261" s="73"/>
      <c r="M3261" s="73"/>
      <c r="N3261" s="73"/>
      <c r="O3261" s="73"/>
      <c r="P3261" s="73"/>
      <c r="Q3261" s="73"/>
      <c r="R3261" s="73"/>
      <c r="S3261" s="73"/>
      <c r="T3261" s="73"/>
      <c r="U3261" s="73"/>
      <c r="V3261" s="73"/>
      <c r="W3261" s="73"/>
      <c r="GL3261" s="73"/>
      <c r="GM3261" s="73"/>
      <c r="GN3261" s="73"/>
      <c r="GO3261" s="73"/>
      <c r="GP3261" s="73"/>
      <c r="GQ3261" s="73"/>
      <c r="GR3261" s="73"/>
      <c r="GS3261" s="73"/>
      <c r="GT3261" s="73"/>
      <c r="GU3261" s="73"/>
      <c r="GV3261" s="73"/>
      <c r="GW3261" s="73"/>
      <c r="GX3261" s="73"/>
      <c r="GY3261" s="73"/>
      <c r="GZ3261" s="73"/>
      <c r="HA3261" s="73"/>
      <c r="HB3261" s="73"/>
      <c r="HC3261" s="73"/>
      <c r="HD3261" s="73"/>
      <c r="HE3261" s="73"/>
      <c r="HF3261" s="73"/>
      <c r="HG3261" s="73"/>
      <c r="HH3261" s="73"/>
      <c r="HI3261" s="73"/>
      <c r="HJ3261" s="73"/>
      <c r="HK3261" s="73"/>
      <c r="HL3261" s="73"/>
      <c r="HM3261" s="73"/>
      <c r="HN3261" s="73"/>
      <c r="HO3261" s="73"/>
      <c r="HP3261" s="73"/>
      <c r="HQ3261" s="73"/>
      <c r="HR3261" s="73"/>
      <c r="HS3261" s="73"/>
      <c r="HT3261" s="73"/>
      <c r="HU3261" s="73"/>
      <c r="HV3261" s="73"/>
      <c r="HW3261" s="73"/>
      <c r="HX3261" s="73"/>
      <c r="HY3261" s="73"/>
      <c r="HZ3261" s="73"/>
      <c r="IA3261" s="73"/>
      <c r="IB3261" s="73"/>
      <c r="IC3261" s="73"/>
      <c r="ID3261" s="73"/>
      <c r="IE3261" s="73"/>
      <c r="IF3261" s="73"/>
      <c r="IG3261" s="73"/>
      <c r="IH3261" s="73"/>
      <c r="II3261" s="73"/>
      <c r="IJ3261" s="73"/>
      <c r="IK3261" s="73"/>
      <c r="IL3261" s="73"/>
      <c r="IM3261" s="73"/>
      <c r="IN3261" s="73"/>
      <c r="IO3261" s="73"/>
      <c r="IP3261" s="73"/>
      <c r="IQ3261" s="73"/>
      <c r="IR3261" s="73"/>
      <c r="IS3261" s="73"/>
      <c r="IT3261" s="73"/>
      <c r="IU3261" s="73"/>
      <c r="IV3261" s="73"/>
      <c r="IW3261" s="73"/>
      <c r="IX3261" s="73"/>
      <c r="IY3261" s="73"/>
      <c r="IZ3261" s="73"/>
      <c r="JA3261" s="73"/>
      <c r="JB3261" s="73"/>
      <c r="JC3261" s="73"/>
    </row>
    <row r="3262" spans="2:263" s="72" customFormat="1">
      <c r="B3262" s="73"/>
      <c r="C3262" s="73"/>
      <c r="D3262" s="73"/>
      <c r="E3262" s="73"/>
      <c r="F3262" s="73"/>
      <c r="G3262" s="73"/>
      <c r="H3262" s="73"/>
      <c r="I3262" s="73"/>
      <c r="J3262" s="73"/>
      <c r="K3262" s="73"/>
      <c r="L3262" s="73"/>
      <c r="M3262" s="73"/>
      <c r="N3262" s="73"/>
      <c r="O3262" s="73"/>
      <c r="P3262" s="73"/>
      <c r="Q3262" s="73"/>
      <c r="R3262" s="73"/>
      <c r="S3262" s="73"/>
      <c r="T3262" s="73"/>
      <c r="U3262" s="73"/>
      <c r="V3262" s="73"/>
      <c r="W3262" s="73"/>
      <c r="GL3262" s="73"/>
      <c r="GM3262" s="73"/>
      <c r="GN3262" s="73"/>
      <c r="GO3262" s="73"/>
      <c r="GP3262" s="73"/>
      <c r="GQ3262" s="73"/>
      <c r="GR3262" s="73"/>
      <c r="GS3262" s="73"/>
      <c r="GT3262" s="73"/>
      <c r="GU3262" s="73"/>
      <c r="GV3262" s="73"/>
      <c r="GW3262" s="73"/>
      <c r="GX3262" s="73"/>
      <c r="GY3262" s="73"/>
      <c r="GZ3262" s="73"/>
      <c r="HA3262" s="73"/>
      <c r="HB3262" s="73"/>
      <c r="HC3262" s="73"/>
      <c r="HD3262" s="73"/>
      <c r="HE3262" s="73"/>
      <c r="HF3262" s="73"/>
      <c r="HG3262" s="73"/>
      <c r="HH3262" s="73"/>
      <c r="HI3262" s="73"/>
      <c r="HJ3262" s="73"/>
      <c r="HK3262" s="73"/>
      <c r="HL3262" s="73"/>
      <c r="HM3262" s="73"/>
      <c r="HN3262" s="73"/>
      <c r="HO3262" s="73"/>
      <c r="HP3262" s="73"/>
      <c r="HQ3262" s="73"/>
      <c r="HR3262" s="73"/>
      <c r="HS3262" s="73"/>
      <c r="HT3262" s="73"/>
      <c r="HU3262" s="73"/>
      <c r="HV3262" s="73"/>
      <c r="HW3262" s="73"/>
      <c r="HX3262" s="73"/>
      <c r="HY3262" s="73"/>
      <c r="HZ3262" s="73"/>
      <c r="IA3262" s="73"/>
      <c r="IB3262" s="73"/>
      <c r="IC3262" s="73"/>
      <c r="ID3262" s="73"/>
      <c r="IE3262" s="73"/>
      <c r="IF3262" s="73"/>
      <c r="IG3262" s="73"/>
      <c r="IH3262" s="73"/>
      <c r="II3262" s="73"/>
      <c r="IJ3262" s="73"/>
      <c r="IK3262" s="73"/>
      <c r="IL3262" s="73"/>
      <c r="IM3262" s="73"/>
      <c r="IN3262" s="73"/>
      <c r="IO3262" s="73"/>
      <c r="IP3262" s="73"/>
      <c r="IQ3262" s="73"/>
      <c r="IR3262" s="73"/>
      <c r="IS3262" s="73"/>
      <c r="IT3262" s="73"/>
      <c r="IU3262" s="73"/>
      <c r="IV3262" s="73"/>
      <c r="IW3262" s="73"/>
      <c r="IX3262" s="73"/>
      <c r="IY3262" s="73"/>
      <c r="IZ3262" s="73"/>
      <c r="JA3262" s="73"/>
      <c r="JB3262" s="73"/>
      <c r="JC3262" s="73"/>
    </row>
    <row r="3263" spans="2:263" s="72" customFormat="1">
      <c r="B3263" s="73"/>
      <c r="C3263" s="73"/>
      <c r="D3263" s="73"/>
      <c r="E3263" s="73"/>
      <c r="F3263" s="73"/>
      <c r="G3263" s="73"/>
      <c r="H3263" s="73"/>
      <c r="I3263" s="73"/>
      <c r="J3263" s="73"/>
      <c r="K3263" s="73"/>
      <c r="L3263" s="73"/>
      <c r="M3263" s="73"/>
      <c r="N3263" s="73"/>
      <c r="O3263" s="73"/>
      <c r="P3263" s="73"/>
      <c r="Q3263" s="73"/>
      <c r="R3263" s="73"/>
      <c r="S3263" s="73"/>
      <c r="T3263" s="73"/>
      <c r="U3263" s="73"/>
      <c r="V3263" s="73"/>
      <c r="W3263" s="73"/>
      <c r="GL3263" s="73"/>
      <c r="GM3263" s="73"/>
      <c r="GN3263" s="73"/>
      <c r="GO3263" s="73"/>
      <c r="GP3263" s="73"/>
      <c r="GQ3263" s="73"/>
      <c r="GR3263" s="73"/>
      <c r="GS3263" s="73"/>
      <c r="GT3263" s="73"/>
      <c r="GU3263" s="73"/>
      <c r="GV3263" s="73"/>
      <c r="GW3263" s="73"/>
      <c r="GX3263" s="73"/>
      <c r="GY3263" s="73"/>
      <c r="GZ3263" s="73"/>
      <c r="HA3263" s="73"/>
      <c r="HB3263" s="73"/>
      <c r="HC3263" s="73"/>
      <c r="HD3263" s="73"/>
      <c r="HE3263" s="73"/>
      <c r="HF3263" s="73"/>
      <c r="HG3263" s="73"/>
      <c r="HH3263" s="73"/>
      <c r="HI3263" s="73"/>
      <c r="HJ3263" s="73"/>
      <c r="HK3263" s="73"/>
      <c r="HL3263" s="73"/>
      <c r="HM3263" s="73"/>
      <c r="HN3263" s="73"/>
      <c r="HO3263" s="73"/>
      <c r="HP3263" s="73"/>
      <c r="HQ3263" s="73"/>
      <c r="HR3263" s="73"/>
      <c r="HS3263" s="73"/>
      <c r="HT3263" s="73"/>
      <c r="HU3263" s="73"/>
      <c r="HV3263" s="73"/>
      <c r="HW3263" s="73"/>
      <c r="HX3263" s="73"/>
      <c r="HY3263" s="73"/>
      <c r="HZ3263" s="73"/>
      <c r="IA3263" s="73"/>
      <c r="IB3263" s="73"/>
      <c r="IC3263" s="73"/>
      <c r="ID3263" s="73"/>
      <c r="IE3263" s="73"/>
      <c r="IF3263" s="73"/>
      <c r="IG3263" s="73"/>
      <c r="IH3263" s="73"/>
      <c r="II3263" s="73"/>
      <c r="IJ3263" s="73"/>
      <c r="IK3263" s="73"/>
      <c r="IL3263" s="73"/>
      <c r="IM3263" s="73"/>
      <c r="IN3263" s="73"/>
      <c r="IO3263" s="73"/>
      <c r="IP3263" s="73"/>
      <c r="IQ3263" s="73"/>
      <c r="IR3263" s="73"/>
      <c r="IS3263" s="73"/>
      <c r="IT3263" s="73"/>
      <c r="IU3263" s="73"/>
      <c r="IV3263" s="73"/>
      <c r="IW3263" s="73"/>
      <c r="IX3263" s="73"/>
      <c r="IY3263" s="73"/>
      <c r="IZ3263" s="73"/>
      <c r="JA3263" s="73"/>
      <c r="JB3263" s="73"/>
      <c r="JC3263" s="73"/>
    </row>
    <row r="3264" spans="2:263" s="72" customFormat="1">
      <c r="B3264" s="73"/>
      <c r="C3264" s="73"/>
      <c r="D3264" s="73"/>
      <c r="E3264" s="73"/>
      <c r="F3264" s="73"/>
      <c r="G3264" s="73"/>
      <c r="H3264" s="73"/>
      <c r="I3264" s="73"/>
      <c r="J3264" s="73"/>
      <c r="K3264" s="73"/>
      <c r="L3264" s="73"/>
      <c r="M3264" s="73"/>
      <c r="N3264" s="73"/>
      <c r="O3264" s="73"/>
      <c r="P3264" s="73"/>
      <c r="Q3264" s="73"/>
      <c r="R3264" s="73"/>
      <c r="S3264" s="73"/>
      <c r="T3264" s="73"/>
      <c r="U3264" s="73"/>
      <c r="V3264" s="73"/>
      <c r="W3264" s="73"/>
      <c r="GL3264" s="73"/>
      <c r="GM3264" s="73"/>
      <c r="GN3264" s="73"/>
      <c r="GO3264" s="73"/>
      <c r="GP3264" s="73"/>
      <c r="GQ3264" s="73"/>
      <c r="GR3264" s="73"/>
      <c r="GS3264" s="73"/>
      <c r="GT3264" s="73"/>
      <c r="GU3264" s="73"/>
      <c r="GV3264" s="73"/>
      <c r="GW3264" s="73"/>
      <c r="GX3264" s="73"/>
      <c r="GY3264" s="73"/>
      <c r="GZ3264" s="73"/>
      <c r="HA3264" s="73"/>
      <c r="HB3264" s="73"/>
      <c r="HC3264" s="73"/>
      <c r="HD3264" s="73"/>
      <c r="HE3264" s="73"/>
      <c r="HF3264" s="73"/>
      <c r="HG3264" s="73"/>
      <c r="HH3264" s="73"/>
      <c r="HI3264" s="73"/>
      <c r="HJ3264" s="73"/>
      <c r="HK3264" s="73"/>
      <c r="HL3264" s="73"/>
      <c r="HM3264" s="73"/>
      <c r="HN3264" s="73"/>
      <c r="HO3264" s="73"/>
      <c r="HP3264" s="73"/>
      <c r="HQ3264" s="73"/>
      <c r="HR3264" s="73"/>
      <c r="HS3264" s="73"/>
      <c r="HT3264" s="73"/>
      <c r="HU3264" s="73"/>
      <c r="HV3264" s="73"/>
      <c r="HW3264" s="73"/>
      <c r="HX3264" s="73"/>
      <c r="HY3264" s="73"/>
      <c r="HZ3264" s="73"/>
      <c r="IA3264" s="73"/>
      <c r="IB3264" s="73"/>
      <c r="IC3264" s="73"/>
      <c r="ID3264" s="73"/>
      <c r="IE3264" s="73"/>
      <c r="IF3264" s="73"/>
      <c r="IG3264" s="73"/>
      <c r="IH3264" s="73"/>
      <c r="II3264" s="73"/>
      <c r="IJ3264" s="73"/>
      <c r="IK3264" s="73"/>
      <c r="IL3264" s="73"/>
      <c r="IM3264" s="73"/>
      <c r="IN3264" s="73"/>
      <c r="IO3264" s="73"/>
      <c r="IP3264" s="73"/>
      <c r="IQ3264" s="73"/>
      <c r="IR3264" s="73"/>
      <c r="IS3264" s="73"/>
      <c r="IT3264" s="73"/>
      <c r="IU3264" s="73"/>
      <c r="IV3264" s="73"/>
      <c r="IW3264" s="73"/>
      <c r="IX3264" s="73"/>
      <c r="IY3264" s="73"/>
      <c r="IZ3264" s="73"/>
      <c r="JA3264" s="73"/>
      <c r="JB3264" s="73"/>
      <c r="JC3264" s="73"/>
    </row>
    <row r="3265" spans="2:263" s="72" customFormat="1">
      <c r="B3265" s="73"/>
      <c r="C3265" s="73"/>
      <c r="D3265" s="73"/>
      <c r="E3265" s="73"/>
      <c r="F3265" s="73"/>
      <c r="G3265" s="73"/>
      <c r="H3265" s="73"/>
      <c r="I3265" s="73"/>
      <c r="J3265" s="73"/>
      <c r="K3265" s="73"/>
      <c r="L3265" s="73"/>
      <c r="M3265" s="73"/>
      <c r="N3265" s="73"/>
      <c r="O3265" s="73"/>
      <c r="P3265" s="73"/>
      <c r="Q3265" s="73"/>
      <c r="R3265" s="73"/>
      <c r="S3265" s="73"/>
      <c r="T3265" s="73"/>
      <c r="U3265" s="73"/>
      <c r="V3265" s="73"/>
      <c r="W3265" s="73"/>
      <c r="GL3265" s="73"/>
      <c r="GM3265" s="73"/>
      <c r="GN3265" s="73"/>
      <c r="GO3265" s="73"/>
      <c r="GP3265" s="73"/>
      <c r="GQ3265" s="73"/>
      <c r="GR3265" s="73"/>
      <c r="GS3265" s="73"/>
      <c r="GT3265" s="73"/>
      <c r="GU3265" s="73"/>
      <c r="GV3265" s="73"/>
      <c r="GW3265" s="73"/>
      <c r="GX3265" s="73"/>
      <c r="GY3265" s="73"/>
      <c r="GZ3265" s="73"/>
      <c r="HA3265" s="73"/>
      <c r="HB3265" s="73"/>
      <c r="HC3265" s="73"/>
      <c r="HD3265" s="73"/>
      <c r="HE3265" s="73"/>
      <c r="HF3265" s="73"/>
      <c r="HG3265" s="73"/>
      <c r="HH3265" s="73"/>
      <c r="HI3265" s="73"/>
      <c r="HJ3265" s="73"/>
      <c r="HK3265" s="73"/>
      <c r="HL3265" s="73"/>
      <c r="HM3265" s="73"/>
      <c r="HN3265" s="73"/>
      <c r="HO3265" s="73"/>
      <c r="HP3265" s="73"/>
      <c r="HQ3265" s="73"/>
      <c r="HR3265" s="73"/>
      <c r="HS3265" s="73"/>
      <c r="HT3265" s="73"/>
      <c r="HU3265" s="73"/>
      <c r="HV3265" s="73"/>
      <c r="HW3265" s="73"/>
      <c r="HX3265" s="73"/>
      <c r="HY3265" s="73"/>
      <c r="HZ3265" s="73"/>
      <c r="IA3265" s="73"/>
      <c r="IB3265" s="73"/>
      <c r="IC3265" s="73"/>
      <c r="ID3265" s="73"/>
      <c r="IE3265" s="73"/>
      <c r="IF3265" s="73"/>
      <c r="IG3265" s="73"/>
      <c r="IH3265" s="73"/>
      <c r="II3265" s="73"/>
      <c r="IJ3265" s="73"/>
      <c r="IK3265" s="73"/>
      <c r="IL3265" s="73"/>
      <c r="IM3265" s="73"/>
      <c r="IN3265" s="73"/>
      <c r="IO3265" s="73"/>
      <c r="IP3265" s="73"/>
      <c r="IQ3265" s="73"/>
      <c r="IR3265" s="73"/>
      <c r="IS3265" s="73"/>
      <c r="IT3265" s="73"/>
      <c r="IU3265" s="73"/>
      <c r="IV3265" s="73"/>
      <c r="IW3265" s="73"/>
      <c r="IX3265" s="73"/>
      <c r="IY3265" s="73"/>
      <c r="IZ3265" s="73"/>
      <c r="JA3265" s="73"/>
      <c r="JB3265" s="73"/>
      <c r="JC3265" s="73"/>
    </row>
    <row r="3266" spans="2:263" s="72" customFormat="1">
      <c r="B3266" s="73"/>
      <c r="C3266" s="73"/>
      <c r="D3266" s="73"/>
      <c r="E3266" s="73"/>
      <c r="F3266" s="73"/>
      <c r="G3266" s="73"/>
      <c r="H3266" s="73"/>
      <c r="I3266" s="73"/>
      <c r="J3266" s="73"/>
      <c r="K3266" s="73"/>
      <c r="L3266" s="73"/>
      <c r="M3266" s="73"/>
      <c r="N3266" s="73"/>
      <c r="O3266" s="73"/>
      <c r="P3266" s="73"/>
      <c r="Q3266" s="73"/>
      <c r="R3266" s="73"/>
      <c r="S3266" s="73"/>
      <c r="T3266" s="73"/>
      <c r="U3266" s="73"/>
      <c r="V3266" s="73"/>
      <c r="W3266" s="73"/>
      <c r="GL3266" s="73"/>
      <c r="GM3266" s="73"/>
      <c r="GN3266" s="73"/>
      <c r="GO3266" s="73"/>
      <c r="GP3266" s="73"/>
      <c r="GQ3266" s="73"/>
      <c r="GR3266" s="73"/>
      <c r="GS3266" s="73"/>
      <c r="GT3266" s="73"/>
      <c r="GU3266" s="73"/>
      <c r="GV3266" s="73"/>
      <c r="GW3266" s="73"/>
      <c r="GX3266" s="73"/>
      <c r="GY3266" s="73"/>
      <c r="GZ3266" s="73"/>
      <c r="HA3266" s="73"/>
      <c r="HB3266" s="73"/>
      <c r="HC3266" s="73"/>
      <c r="HD3266" s="73"/>
      <c r="HE3266" s="73"/>
      <c r="HF3266" s="73"/>
      <c r="HG3266" s="73"/>
      <c r="HH3266" s="73"/>
      <c r="HI3266" s="73"/>
      <c r="HJ3266" s="73"/>
      <c r="HK3266" s="73"/>
      <c r="HL3266" s="73"/>
      <c r="HM3266" s="73"/>
      <c r="HN3266" s="73"/>
      <c r="HO3266" s="73"/>
      <c r="HP3266" s="73"/>
      <c r="HQ3266" s="73"/>
      <c r="HR3266" s="73"/>
      <c r="HS3266" s="73"/>
      <c r="HT3266" s="73"/>
      <c r="HU3266" s="73"/>
      <c r="HV3266" s="73"/>
      <c r="HW3266" s="73"/>
      <c r="HX3266" s="73"/>
      <c r="HY3266" s="73"/>
      <c r="HZ3266" s="73"/>
      <c r="IA3266" s="73"/>
      <c r="IB3266" s="73"/>
      <c r="IC3266" s="73"/>
      <c r="ID3266" s="73"/>
      <c r="IE3266" s="73"/>
      <c r="IF3266" s="73"/>
      <c r="IG3266" s="73"/>
      <c r="IH3266" s="73"/>
      <c r="II3266" s="73"/>
      <c r="IJ3266" s="73"/>
      <c r="IK3266" s="73"/>
      <c r="IL3266" s="73"/>
      <c r="IM3266" s="73"/>
      <c r="IN3266" s="73"/>
      <c r="IO3266" s="73"/>
      <c r="IP3266" s="73"/>
      <c r="IQ3266" s="73"/>
      <c r="IR3266" s="73"/>
      <c r="IS3266" s="73"/>
      <c r="IT3266" s="73"/>
      <c r="IU3266" s="73"/>
      <c r="IV3266" s="73"/>
      <c r="IW3266" s="73"/>
      <c r="IX3266" s="73"/>
      <c r="IY3266" s="73"/>
      <c r="IZ3266" s="73"/>
      <c r="JA3266" s="73"/>
      <c r="JB3266" s="73"/>
      <c r="JC3266" s="73"/>
    </row>
    <row r="3267" spans="2:263" s="72" customFormat="1">
      <c r="B3267" s="73"/>
      <c r="C3267" s="73"/>
      <c r="D3267" s="73"/>
      <c r="E3267" s="73"/>
      <c r="F3267" s="73"/>
      <c r="G3267" s="73"/>
      <c r="H3267" s="73"/>
      <c r="I3267" s="73"/>
      <c r="J3267" s="73"/>
      <c r="K3267" s="73"/>
      <c r="L3267" s="73"/>
      <c r="M3267" s="73"/>
      <c r="N3267" s="73"/>
      <c r="O3267" s="73"/>
      <c r="P3267" s="73"/>
      <c r="Q3267" s="73"/>
      <c r="R3267" s="73"/>
      <c r="S3267" s="73"/>
      <c r="T3267" s="73"/>
      <c r="U3267" s="73"/>
      <c r="V3267" s="73"/>
      <c r="W3267" s="73"/>
      <c r="GL3267" s="73"/>
      <c r="GM3267" s="73"/>
      <c r="GN3267" s="73"/>
      <c r="GO3267" s="73"/>
      <c r="GP3267" s="73"/>
      <c r="GQ3267" s="73"/>
      <c r="GR3267" s="73"/>
      <c r="GS3267" s="73"/>
      <c r="GT3267" s="73"/>
      <c r="GU3267" s="73"/>
      <c r="GV3267" s="73"/>
      <c r="GW3267" s="73"/>
      <c r="GX3267" s="73"/>
      <c r="GY3267" s="73"/>
      <c r="GZ3267" s="73"/>
      <c r="HA3267" s="73"/>
      <c r="HB3267" s="73"/>
      <c r="HC3267" s="73"/>
      <c r="HD3267" s="73"/>
      <c r="HE3267" s="73"/>
      <c r="HF3267" s="73"/>
      <c r="HG3267" s="73"/>
      <c r="HH3267" s="73"/>
      <c r="HI3267" s="73"/>
      <c r="HJ3267" s="73"/>
      <c r="HK3267" s="73"/>
      <c r="HL3267" s="73"/>
      <c r="HM3267" s="73"/>
      <c r="HN3267" s="73"/>
      <c r="HO3267" s="73"/>
      <c r="HP3267" s="73"/>
      <c r="HQ3267" s="73"/>
      <c r="HR3267" s="73"/>
      <c r="HS3267" s="73"/>
      <c r="HT3267" s="73"/>
      <c r="HU3267" s="73"/>
      <c r="HV3267" s="73"/>
      <c r="HW3267" s="73"/>
      <c r="HX3267" s="73"/>
      <c r="HY3267" s="73"/>
      <c r="HZ3267" s="73"/>
      <c r="IA3267" s="73"/>
      <c r="IB3267" s="73"/>
      <c r="IC3267" s="73"/>
      <c r="ID3267" s="73"/>
      <c r="IE3267" s="73"/>
      <c r="IF3267" s="73"/>
      <c r="IG3267" s="73"/>
      <c r="IH3267" s="73"/>
      <c r="II3267" s="73"/>
      <c r="IJ3267" s="73"/>
      <c r="IK3267" s="73"/>
      <c r="IL3267" s="73"/>
      <c r="IM3267" s="73"/>
      <c r="IN3267" s="73"/>
      <c r="IO3267" s="73"/>
      <c r="IP3267" s="73"/>
      <c r="IQ3267" s="73"/>
      <c r="IR3267" s="73"/>
      <c r="IS3267" s="73"/>
      <c r="IT3267" s="73"/>
      <c r="IU3267" s="73"/>
      <c r="IV3267" s="73"/>
      <c r="IW3267" s="73"/>
      <c r="IX3267" s="73"/>
      <c r="IY3267" s="73"/>
      <c r="IZ3267" s="73"/>
      <c r="JA3267" s="73"/>
      <c r="JB3267" s="73"/>
      <c r="JC3267" s="73"/>
    </row>
    <row r="3268" spans="2:263" s="72" customFormat="1">
      <c r="B3268" s="73"/>
      <c r="C3268" s="73"/>
      <c r="D3268" s="73"/>
      <c r="E3268" s="73"/>
      <c r="F3268" s="73"/>
      <c r="G3268" s="73"/>
      <c r="H3268" s="73"/>
      <c r="I3268" s="73"/>
      <c r="J3268" s="73"/>
      <c r="K3268" s="73"/>
      <c r="L3268" s="73"/>
      <c r="M3268" s="73"/>
      <c r="N3268" s="73"/>
      <c r="O3268" s="73"/>
      <c r="P3268" s="73"/>
      <c r="Q3268" s="73"/>
      <c r="R3268" s="73"/>
      <c r="S3268" s="73"/>
      <c r="T3268" s="73"/>
      <c r="U3268" s="73"/>
      <c r="V3268" s="73"/>
      <c r="W3268" s="73"/>
      <c r="GL3268" s="73"/>
      <c r="GM3268" s="73"/>
      <c r="GN3268" s="73"/>
      <c r="GO3268" s="73"/>
      <c r="GP3268" s="73"/>
      <c r="GQ3268" s="73"/>
      <c r="GR3268" s="73"/>
      <c r="GS3268" s="73"/>
      <c r="GT3268" s="73"/>
      <c r="GU3268" s="73"/>
      <c r="GV3268" s="73"/>
      <c r="GW3268" s="73"/>
      <c r="GX3268" s="73"/>
      <c r="GY3268" s="73"/>
      <c r="GZ3268" s="73"/>
      <c r="HA3268" s="73"/>
      <c r="HB3268" s="73"/>
      <c r="HC3268" s="73"/>
      <c r="HD3268" s="73"/>
      <c r="HE3268" s="73"/>
      <c r="HF3268" s="73"/>
      <c r="HG3268" s="73"/>
      <c r="HH3268" s="73"/>
      <c r="HI3268" s="73"/>
      <c r="HJ3268" s="73"/>
      <c r="HK3268" s="73"/>
      <c r="HL3268" s="73"/>
      <c r="HM3268" s="73"/>
      <c r="HN3268" s="73"/>
      <c r="HO3268" s="73"/>
      <c r="HP3268" s="73"/>
      <c r="HQ3268" s="73"/>
      <c r="HR3268" s="73"/>
      <c r="HS3268" s="73"/>
      <c r="HT3268" s="73"/>
      <c r="HU3268" s="73"/>
      <c r="HV3268" s="73"/>
      <c r="HW3268" s="73"/>
      <c r="HX3268" s="73"/>
      <c r="HY3268" s="73"/>
      <c r="HZ3268" s="73"/>
      <c r="IA3268" s="73"/>
      <c r="IB3268" s="73"/>
      <c r="IC3268" s="73"/>
      <c r="ID3268" s="73"/>
      <c r="IE3268" s="73"/>
      <c r="IF3268" s="73"/>
      <c r="IG3268" s="73"/>
      <c r="IH3268" s="73"/>
      <c r="II3268" s="73"/>
      <c r="IJ3268" s="73"/>
      <c r="IK3268" s="73"/>
      <c r="IL3268" s="73"/>
      <c r="IM3268" s="73"/>
      <c r="IN3268" s="73"/>
      <c r="IO3268" s="73"/>
      <c r="IP3268" s="73"/>
      <c r="IQ3268" s="73"/>
      <c r="IR3268" s="73"/>
      <c r="IS3268" s="73"/>
      <c r="IT3268" s="73"/>
      <c r="IU3268" s="73"/>
      <c r="IV3268" s="73"/>
      <c r="IW3268" s="73"/>
      <c r="IX3268" s="73"/>
      <c r="IY3268" s="73"/>
      <c r="IZ3268" s="73"/>
      <c r="JA3268" s="73"/>
      <c r="JB3268" s="73"/>
      <c r="JC3268" s="73"/>
    </row>
    <row r="3269" spans="2:263" s="72" customFormat="1">
      <c r="B3269" s="73"/>
      <c r="C3269" s="73"/>
      <c r="D3269" s="73"/>
      <c r="E3269" s="73"/>
      <c r="F3269" s="73"/>
      <c r="G3269" s="73"/>
      <c r="H3269" s="73"/>
      <c r="I3269" s="73"/>
      <c r="J3269" s="73"/>
      <c r="K3269" s="73"/>
      <c r="L3269" s="73"/>
      <c r="M3269" s="73"/>
      <c r="N3269" s="73"/>
      <c r="O3269" s="73"/>
      <c r="P3269" s="73"/>
      <c r="Q3269" s="73"/>
      <c r="R3269" s="73"/>
      <c r="S3269" s="73"/>
      <c r="T3269" s="73"/>
      <c r="U3269" s="73"/>
      <c r="V3269" s="73"/>
      <c r="W3269" s="73"/>
      <c r="GL3269" s="73"/>
      <c r="GM3269" s="73"/>
      <c r="GN3269" s="73"/>
      <c r="GO3269" s="73"/>
      <c r="GP3269" s="73"/>
      <c r="GQ3269" s="73"/>
      <c r="GR3269" s="73"/>
      <c r="GS3269" s="73"/>
      <c r="GT3269" s="73"/>
      <c r="GU3269" s="73"/>
      <c r="GV3269" s="73"/>
      <c r="GW3269" s="73"/>
      <c r="GX3269" s="73"/>
      <c r="GY3269" s="73"/>
      <c r="GZ3269" s="73"/>
      <c r="HA3269" s="73"/>
      <c r="HB3269" s="73"/>
      <c r="HC3269" s="73"/>
      <c r="HD3269" s="73"/>
      <c r="HE3269" s="73"/>
      <c r="HF3269" s="73"/>
      <c r="HG3269" s="73"/>
      <c r="HH3269" s="73"/>
      <c r="HI3269" s="73"/>
      <c r="HJ3269" s="73"/>
      <c r="HK3269" s="73"/>
      <c r="HL3269" s="73"/>
      <c r="HM3269" s="73"/>
      <c r="HN3269" s="73"/>
      <c r="HO3269" s="73"/>
      <c r="HP3269" s="73"/>
      <c r="HQ3269" s="73"/>
      <c r="HR3269" s="73"/>
      <c r="HS3269" s="73"/>
      <c r="HT3269" s="73"/>
      <c r="HU3269" s="73"/>
      <c r="HV3269" s="73"/>
      <c r="HW3269" s="73"/>
      <c r="HX3269" s="73"/>
      <c r="HY3269" s="73"/>
      <c r="HZ3269" s="73"/>
      <c r="IA3269" s="73"/>
      <c r="IB3269" s="73"/>
      <c r="IC3269" s="73"/>
      <c r="ID3269" s="73"/>
      <c r="IE3269" s="73"/>
      <c r="IF3269" s="73"/>
      <c r="IG3269" s="73"/>
      <c r="IH3269" s="73"/>
      <c r="II3269" s="73"/>
      <c r="IJ3269" s="73"/>
      <c r="IK3269" s="73"/>
      <c r="IL3269" s="73"/>
      <c r="IM3269" s="73"/>
      <c r="IN3269" s="73"/>
      <c r="IO3269" s="73"/>
      <c r="IP3269" s="73"/>
      <c r="IQ3269" s="73"/>
      <c r="IR3269" s="73"/>
      <c r="IS3269" s="73"/>
      <c r="IT3269" s="73"/>
      <c r="IU3269" s="73"/>
      <c r="IV3269" s="73"/>
      <c r="IW3269" s="73"/>
      <c r="IX3269" s="73"/>
      <c r="IY3269" s="73"/>
      <c r="IZ3269" s="73"/>
      <c r="JA3269" s="73"/>
      <c r="JB3269" s="73"/>
      <c r="JC3269" s="73"/>
    </row>
    <row r="3270" spans="2:263" s="72" customFormat="1">
      <c r="B3270" s="73"/>
      <c r="C3270" s="73"/>
      <c r="D3270" s="73"/>
      <c r="E3270" s="73"/>
      <c r="F3270" s="73"/>
      <c r="G3270" s="73"/>
      <c r="H3270" s="73"/>
      <c r="I3270" s="73"/>
      <c r="J3270" s="73"/>
      <c r="K3270" s="73"/>
      <c r="L3270" s="73"/>
      <c r="M3270" s="73"/>
      <c r="N3270" s="73"/>
      <c r="O3270" s="73"/>
      <c r="P3270" s="73"/>
      <c r="Q3270" s="73"/>
      <c r="R3270" s="73"/>
      <c r="S3270" s="73"/>
      <c r="T3270" s="73"/>
      <c r="U3270" s="73"/>
      <c r="V3270" s="73"/>
      <c r="W3270" s="73"/>
      <c r="GL3270" s="73"/>
      <c r="GM3270" s="73"/>
      <c r="GN3270" s="73"/>
      <c r="GO3270" s="73"/>
      <c r="GP3270" s="73"/>
      <c r="GQ3270" s="73"/>
      <c r="GR3270" s="73"/>
      <c r="GS3270" s="73"/>
      <c r="GT3270" s="73"/>
      <c r="GU3270" s="73"/>
      <c r="GV3270" s="73"/>
      <c r="GW3270" s="73"/>
      <c r="GX3270" s="73"/>
      <c r="GY3270" s="73"/>
      <c r="GZ3270" s="73"/>
      <c r="HA3270" s="73"/>
      <c r="HB3270" s="73"/>
      <c r="HC3270" s="73"/>
      <c r="HD3270" s="73"/>
      <c r="HE3270" s="73"/>
      <c r="HF3270" s="73"/>
      <c r="HG3270" s="73"/>
      <c r="HH3270" s="73"/>
      <c r="HI3270" s="73"/>
      <c r="HJ3270" s="73"/>
      <c r="HK3270" s="73"/>
      <c r="HL3270" s="73"/>
      <c r="HM3270" s="73"/>
      <c r="HN3270" s="73"/>
      <c r="HO3270" s="73"/>
      <c r="HP3270" s="73"/>
      <c r="HQ3270" s="73"/>
      <c r="HR3270" s="73"/>
      <c r="HS3270" s="73"/>
      <c r="HT3270" s="73"/>
      <c r="HU3270" s="73"/>
      <c r="HV3270" s="73"/>
      <c r="HW3270" s="73"/>
      <c r="HX3270" s="73"/>
      <c r="HY3270" s="73"/>
      <c r="HZ3270" s="73"/>
      <c r="IA3270" s="73"/>
      <c r="IB3270" s="73"/>
      <c r="IC3270" s="73"/>
      <c r="ID3270" s="73"/>
      <c r="IE3270" s="73"/>
      <c r="IF3270" s="73"/>
      <c r="IG3270" s="73"/>
      <c r="IH3270" s="73"/>
      <c r="II3270" s="73"/>
      <c r="IJ3270" s="73"/>
      <c r="IK3270" s="73"/>
      <c r="IL3270" s="73"/>
      <c r="IM3270" s="73"/>
      <c r="IN3270" s="73"/>
      <c r="IO3270" s="73"/>
      <c r="IP3270" s="73"/>
      <c r="IQ3270" s="73"/>
      <c r="IR3270" s="73"/>
      <c r="IS3270" s="73"/>
      <c r="IT3270" s="73"/>
      <c r="IU3270" s="73"/>
      <c r="IV3270" s="73"/>
      <c r="IW3270" s="73"/>
      <c r="IX3270" s="73"/>
      <c r="IY3270" s="73"/>
      <c r="IZ3270" s="73"/>
      <c r="JA3270" s="73"/>
      <c r="JB3270" s="73"/>
      <c r="JC3270" s="73"/>
    </row>
    <row r="3271" spans="2:263" s="72" customFormat="1">
      <c r="B3271" s="73"/>
      <c r="C3271" s="73"/>
      <c r="D3271" s="73"/>
      <c r="E3271" s="73"/>
      <c r="F3271" s="73"/>
      <c r="G3271" s="73"/>
      <c r="H3271" s="73"/>
      <c r="I3271" s="73"/>
      <c r="J3271" s="73"/>
      <c r="K3271" s="73"/>
      <c r="L3271" s="73"/>
      <c r="M3271" s="73"/>
      <c r="N3271" s="73"/>
      <c r="O3271" s="73"/>
      <c r="P3271" s="73"/>
      <c r="Q3271" s="73"/>
      <c r="R3271" s="73"/>
      <c r="S3271" s="73"/>
      <c r="T3271" s="73"/>
      <c r="U3271" s="73"/>
      <c r="V3271" s="73"/>
      <c r="W3271" s="73"/>
      <c r="GL3271" s="73"/>
      <c r="GM3271" s="73"/>
      <c r="GN3271" s="73"/>
      <c r="GO3271" s="73"/>
      <c r="GP3271" s="73"/>
      <c r="GQ3271" s="73"/>
      <c r="GR3271" s="73"/>
      <c r="GS3271" s="73"/>
      <c r="GT3271" s="73"/>
      <c r="GU3271" s="73"/>
      <c r="GV3271" s="73"/>
      <c r="GW3271" s="73"/>
      <c r="GX3271" s="73"/>
      <c r="GY3271" s="73"/>
      <c r="GZ3271" s="73"/>
      <c r="HA3271" s="73"/>
      <c r="HB3271" s="73"/>
      <c r="HC3271" s="73"/>
      <c r="HD3271" s="73"/>
      <c r="HE3271" s="73"/>
      <c r="HF3271" s="73"/>
      <c r="HG3271" s="73"/>
      <c r="HH3271" s="73"/>
      <c r="HI3271" s="73"/>
      <c r="HJ3271" s="73"/>
      <c r="HK3271" s="73"/>
      <c r="HL3271" s="73"/>
      <c r="HM3271" s="73"/>
      <c r="HN3271" s="73"/>
      <c r="HO3271" s="73"/>
      <c r="HP3271" s="73"/>
      <c r="HQ3271" s="73"/>
      <c r="HR3271" s="73"/>
      <c r="HS3271" s="73"/>
      <c r="HT3271" s="73"/>
      <c r="HU3271" s="73"/>
      <c r="HV3271" s="73"/>
      <c r="HW3271" s="73"/>
      <c r="HX3271" s="73"/>
      <c r="HY3271" s="73"/>
      <c r="HZ3271" s="73"/>
      <c r="IA3271" s="73"/>
      <c r="IB3271" s="73"/>
      <c r="IC3271" s="73"/>
      <c r="ID3271" s="73"/>
      <c r="IE3271" s="73"/>
      <c r="IF3271" s="73"/>
      <c r="IG3271" s="73"/>
      <c r="IH3271" s="73"/>
      <c r="II3271" s="73"/>
      <c r="IJ3271" s="73"/>
      <c r="IK3271" s="73"/>
      <c r="IL3271" s="73"/>
      <c r="IM3271" s="73"/>
      <c r="IN3271" s="73"/>
      <c r="IO3271" s="73"/>
      <c r="IP3271" s="73"/>
      <c r="IQ3271" s="73"/>
      <c r="IR3271" s="73"/>
      <c r="IS3271" s="73"/>
      <c r="IT3271" s="73"/>
      <c r="IU3271" s="73"/>
      <c r="IV3271" s="73"/>
      <c r="IW3271" s="73"/>
      <c r="IX3271" s="73"/>
      <c r="IY3271" s="73"/>
      <c r="IZ3271" s="73"/>
      <c r="JA3271" s="73"/>
      <c r="JB3271" s="73"/>
      <c r="JC3271" s="73"/>
    </row>
    <row r="3272" spans="2:263" s="72" customFormat="1">
      <c r="B3272" s="73"/>
      <c r="C3272" s="73"/>
      <c r="D3272" s="73"/>
      <c r="E3272" s="73"/>
      <c r="F3272" s="73"/>
      <c r="G3272" s="73"/>
      <c r="H3272" s="73"/>
      <c r="I3272" s="73"/>
      <c r="J3272" s="73"/>
      <c r="K3272" s="73"/>
      <c r="L3272" s="73"/>
      <c r="M3272" s="73"/>
      <c r="N3272" s="73"/>
      <c r="O3272" s="73"/>
      <c r="P3272" s="73"/>
      <c r="Q3272" s="73"/>
      <c r="R3272" s="73"/>
      <c r="S3272" s="73"/>
      <c r="T3272" s="73"/>
      <c r="U3272" s="73"/>
      <c r="V3272" s="73"/>
      <c r="W3272" s="73"/>
      <c r="GL3272" s="73"/>
      <c r="GM3272" s="73"/>
      <c r="GN3272" s="73"/>
      <c r="GO3272" s="73"/>
      <c r="GP3272" s="73"/>
      <c r="GQ3272" s="73"/>
      <c r="GR3272" s="73"/>
      <c r="GS3272" s="73"/>
      <c r="GT3272" s="73"/>
      <c r="GU3272" s="73"/>
      <c r="GV3272" s="73"/>
      <c r="GW3272" s="73"/>
      <c r="GX3272" s="73"/>
      <c r="GY3272" s="73"/>
      <c r="GZ3272" s="73"/>
      <c r="HA3272" s="73"/>
      <c r="HB3272" s="73"/>
      <c r="HC3272" s="73"/>
      <c r="HD3272" s="73"/>
      <c r="HE3272" s="73"/>
      <c r="HF3272" s="73"/>
      <c r="HG3272" s="73"/>
      <c r="HH3272" s="73"/>
      <c r="HI3272" s="73"/>
      <c r="HJ3272" s="73"/>
      <c r="HK3272" s="73"/>
      <c r="HL3272" s="73"/>
      <c r="HM3272" s="73"/>
      <c r="HN3272" s="73"/>
      <c r="HO3272" s="73"/>
      <c r="HP3272" s="73"/>
      <c r="HQ3272" s="73"/>
      <c r="HR3272" s="73"/>
      <c r="HS3272" s="73"/>
      <c r="HT3272" s="73"/>
      <c r="HU3272" s="73"/>
      <c r="HV3272" s="73"/>
      <c r="HW3272" s="73"/>
      <c r="HX3272" s="73"/>
      <c r="HY3272" s="73"/>
      <c r="HZ3272" s="73"/>
      <c r="IA3272" s="73"/>
      <c r="IB3272" s="73"/>
      <c r="IC3272" s="73"/>
      <c r="ID3272" s="73"/>
      <c r="IE3272" s="73"/>
      <c r="IF3272" s="73"/>
      <c r="IG3272" s="73"/>
      <c r="IH3272" s="73"/>
      <c r="II3272" s="73"/>
      <c r="IJ3272" s="73"/>
      <c r="IK3272" s="73"/>
      <c r="IL3272" s="73"/>
      <c r="IM3272" s="73"/>
      <c r="IN3272" s="73"/>
      <c r="IO3272" s="73"/>
      <c r="IP3272" s="73"/>
      <c r="IQ3272" s="73"/>
      <c r="IR3272" s="73"/>
      <c r="IS3272" s="73"/>
      <c r="IT3272" s="73"/>
      <c r="IU3272" s="73"/>
      <c r="IV3272" s="73"/>
      <c r="IW3272" s="73"/>
      <c r="IX3272" s="73"/>
      <c r="IY3272" s="73"/>
      <c r="IZ3272" s="73"/>
      <c r="JA3272" s="73"/>
      <c r="JB3272" s="73"/>
      <c r="JC3272" s="73"/>
    </row>
    <row r="3273" spans="2:263" s="72" customFormat="1">
      <c r="B3273" s="73"/>
      <c r="C3273" s="73"/>
      <c r="D3273" s="73"/>
      <c r="E3273" s="73"/>
      <c r="F3273" s="73"/>
      <c r="G3273" s="73"/>
      <c r="H3273" s="73"/>
      <c r="I3273" s="73"/>
      <c r="J3273" s="73"/>
      <c r="K3273" s="73"/>
      <c r="L3273" s="73"/>
      <c r="M3273" s="73"/>
      <c r="N3273" s="73"/>
      <c r="O3273" s="73"/>
      <c r="P3273" s="73"/>
      <c r="Q3273" s="73"/>
      <c r="R3273" s="73"/>
      <c r="S3273" s="73"/>
      <c r="T3273" s="73"/>
      <c r="U3273" s="73"/>
      <c r="V3273" s="73"/>
      <c r="W3273" s="73"/>
      <c r="GL3273" s="73"/>
      <c r="GM3273" s="73"/>
      <c r="GN3273" s="73"/>
      <c r="GO3273" s="73"/>
      <c r="GP3273" s="73"/>
      <c r="GQ3273" s="73"/>
      <c r="GR3273" s="73"/>
      <c r="GS3273" s="73"/>
      <c r="GT3273" s="73"/>
      <c r="GU3273" s="73"/>
      <c r="GV3273" s="73"/>
      <c r="GW3273" s="73"/>
      <c r="GX3273" s="73"/>
      <c r="GY3273" s="73"/>
      <c r="GZ3273" s="73"/>
      <c r="HA3273" s="73"/>
      <c r="HB3273" s="73"/>
      <c r="HC3273" s="73"/>
      <c r="HD3273" s="73"/>
      <c r="HE3273" s="73"/>
      <c r="HF3273" s="73"/>
      <c r="HG3273" s="73"/>
      <c r="HH3273" s="73"/>
      <c r="HI3273" s="73"/>
      <c r="HJ3273" s="73"/>
      <c r="HK3273" s="73"/>
      <c r="HL3273" s="73"/>
      <c r="HM3273" s="73"/>
      <c r="HN3273" s="73"/>
      <c r="HO3273" s="73"/>
      <c r="HP3273" s="73"/>
      <c r="HQ3273" s="73"/>
      <c r="HR3273" s="73"/>
      <c r="HS3273" s="73"/>
      <c r="HT3273" s="73"/>
      <c r="HU3273" s="73"/>
      <c r="HV3273" s="73"/>
      <c r="HW3273" s="73"/>
      <c r="HX3273" s="73"/>
      <c r="HY3273" s="73"/>
      <c r="HZ3273" s="73"/>
      <c r="IA3273" s="73"/>
      <c r="IB3273" s="73"/>
      <c r="IC3273" s="73"/>
      <c r="ID3273" s="73"/>
      <c r="IE3273" s="73"/>
      <c r="IF3273" s="73"/>
      <c r="IG3273" s="73"/>
      <c r="IH3273" s="73"/>
      <c r="II3273" s="73"/>
      <c r="IJ3273" s="73"/>
      <c r="IK3273" s="73"/>
      <c r="IL3273" s="73"/>
      <c r="IM3273" s="73"/>
      <c r="IN3273" s="73"/>
      <c r="IO3273" s="73"/>
      <c r="IP3273" s="73"/>
      <c r="IQ3273" s="73"/>
      <c r="IR3273" s="73"/>
      <c r="IS3273" s="73"/>
      <c r="IT3273" s="73"/>
      <c r="IU3273" s="73"/>
      <c r="IV3273" s="73"/>
      <c r="IW3273" s="73"/>
      <c r="IX3273" s="73"/>
      <c r="IY3273" s="73"/>
      <c r="IZ3273" s="73"/>
      <c r="JA3273" s="73"/>
      <c r="JB3273" s="73"/>
      <c r="JC3273" s="73"/>
    </row>
    <row r="3274" spans="2:263" s="72" customFormat="1">
      <c r="B3274" s="73"/>
      <c r="C3274" s="73"/>
      <c r="D3274" s="73"/>
      <c r="E3274" s="73"/>
      <c r="F3274" s="73"/>
      <c r="G3274" s="73"/>
      <c r="H3274" s="73"/>
      <c r="I3274" s="73"/>
      <c r="J3274" s="73"/>
      <c r="K3274" s="73"/>
      <c r="L3274" s="73"/>
      <c r="M3274" s="73"/>
      <c r="N3274" s="73"/>
      <c r="O3274" s="73"/>
      <c r="P3274" s="73"/>
      <c r="Q3274" s="73"/>
      <c r="R3274" s="73"/>
      <c r="S3274" s="73"/>
      <c r="T3274" s="73"/>
      <c r="U3274" s="73"/>
      <c r="V3274" s="73"/>
      <c r="W3274" s="73"/>
      <c r="GL3274" s="73"/>
      <c r="GM3274" s="73"/>
      <c r="GN3274" s="73"/>
      <c r="GO3274" s="73"/>
      <c r="GP3274" s="73"/>
      <c r="GQ3274" s="73"/>
      <c r="GR3274" s="73"/>
      <c r="GS3274" s="73"/>
      <c r="GT3274" s="73"/>
      <c r="GU3274" s="73"/>
      <c r="GV3274" s="73"/>
      <c r="GW3274" s="73"/>
      <c r="GX3274" s="73"/>
      <c r="GY3274" s="73"/>
      <c r="GZ3274" s="73"/>
      <c r="HA3274" s="73"/>
      <c r="HB3274" s="73"/>
      <c r="HC3274" s="73"/>
      <c r="HD3274" s="73"/>
      <c r="HE3274" s="73"/>
      <c r="HF3274" s="73"/>
      <c r="HG3274" s="73"/>
      <c r="HH3274" s="73"/>
      <c r="HI3274" s="73"/>
      <c r="HJ3274" s="73"/>
      <c r="HK3274" s="73"/>
      <c r="HL3274" s="73"/>
      <c r="HM3274" s="73"/>
      <c r="HN3274" s="73"/>
      <c r="HO3274" s="73"/>
      <c r="HP3274" s="73"/>
      <c r="HQ3274" s="73"/>
      <c r="HR3274" s="73"/>
      <c r="HS3274" s="73"/>
      <c r="HT3274" s="73"/>
      <c r="HU3274" s="73"/>
      <c r="HV3274" s="73"/>
      <c r="HW3274" s="73"/>
      <c r="HX3274" s="73"/>
      <c r="HY3274" s="73"/>
      <c r="HZ3274" s="73"/>
      <c r="IA3274" s="73"/>
      <c r="IB3274" s="73"/>
      <c r="IC3274" s="73"/>
      <c r="ID3274" s="73"/>
      <c r="IE3274" s="73"/>
      <c r="IF3274" s="73"/>
      <c r="IG3274" s="73"/>
      <c r="IH3274" s="73"/>
      <c r="II3274" s="73"/>
      <c r="IJ3274" s="73"/>
      <c r="IK3274" s="73"/>
      <c r="IL3274" s="73"/>
      <c r="IM3274" s="73"/>
      <c r="IN3274" s="73"/>
      <c r="IO3274" s="73"/>
      <c r="IP3274" s="73"/>
      <c r="IQ3274" s="73"/>
      <c r="IR3274" s="73"/>
      <c r="IS3274" s="73"/>
      <c r="IT3274" s="73"/>
      <c r="IU3274" s="73"/>
      <c r="IV3274" s="73"/>
      <c r="IW3274" s="73"/>
      <c r="IX3274" s="73"/>
      <c r="IY3274" s="73"/>
      <c r="IZ3274" s="73"/>
      <c r="JA3274" s="73"/>
      <c r="JB3274" s="73"/>
      <c r="JC3274" s="73"/>
    </row>
    <row r="3275" spans="2:263" s="72" customFormat="1">
      <c r="B3275" s="73"/>
      <c r="C3275" s="73"/>
      <c r="D3275" s="73"/>
      <c r="E3275" s="73"/>
      <c r="F3275" s="73"/>
      <c r="G3275" s="73"/>
      <c r="H3275" s="73"/>
      <c r="I3275" s="73"/>
      <c r="J3275" s="73"/>
      <c r="K3275" s="73"/>
      <c r="L3275" s="73"/>
      <c r="M3275" s="73"/>
      <c r="N3275" s="73"/>
      <c r="O3275" s="73"/>
      <c r="P3275" s="73"/>
      <c r="Q3275" s="73"/>
      <c r="R3275" s="73"/>
      <c r="S3275" s="73"/>
      <c r="T3275" s="73"/>
      <c r="U3275" s="73"/>
      <c r="V3275" s="73"/>
      <c r="W3275" s="73"/>
      <c r="GL3275" s="73"/>
      <c r="GM3275" s="73"/>
      <c r="GN3275" s="73"/>
      <c r="GO3275" s="73"/>
      <c r="GP3275" s="73"/>
      <c r="GQ3275" s="73"/>
      <c r="GR3275" s="73"/>
      <c r="GS3275" s="73"/>
      <c r="GT3275" s="73"/>
      <c r="GU3275" s="73"/>
      <c r="GV3275" s="73"/>
      <c r="GW3275" s="73"/>
      <c r="GX3275" s="73"/>
      <c r="GY3275" s="73"/>
      <c r="GZ3275" s="73"/>
      <c r="HA3275" s="73"/>
      <c r="HB3275" s="73"/>
      <c r="HC3275" s="73"/>
      <c r="HD3275" s="73"/>
      <c r="HE3275" s="73"/>
      <c r="HF3275" s="73"/>
      <c r="HG3275" s="73"/>
      <c r="HH3275" s="73"/>
      <c r="HI3275" s="73"/>
      <c r="HJ3275" s="73"/>
      <c r="HK3275" s="73"/>
      <c r="HL3275" s="73"/>
      <c r="HM3275" s="73"/>
      <c r="HN3275" s="73"/>
      <c r="HO3275" s="73"/>
      <c r="HP3275" s="73"/>
      <c r="HQ3275" s="73"/>
      <c r="HR3275" s="73"/>
      <c r="HS3275" s="73"/>
      <c r="HT3275" s="73"/>
      <c r="HU3275" s="73"/>
      <c r="HV3275" s="73"/>
      <c r="HW3275" s="73"/>
      <c r="HX3275" s="73"/>
      <c r="HY3275" s="73"/>
      <c r="HZ3275" s="73"/>
      <c r="IA3275" s="73"/>
      <c r="IB3275" s="73"/>
      <c r="IC3275" s="73"/>
      <c r="ID3275" s="73"/>
      <c r="IE3275" s="73"/>
      <c r="IF3275" s="73"/>
      <c r="IG3275" s="73"/>
      <c r="IH3275" s="73"/>
      <c r="II3275" s="73"/>
      <c r="IJ3275" s="73"/>
      <c r="IK3275" s="73"/>
      <c r="IL3275" s="73"/>
      <c r="IM3275" s="73"/>
      <c r="IN3275" s="73"/>
      <c r="IO3275" s="73"/>
      <c r="IP3275" s="73"/>
      <c r="IQ3275" s="73"/>
      <c r="IR3275" s="73"/>
      <c r="IS3275" s="73"/>
      <c r="IT3275" s="73"/>
      <c r="IU3275" s="73"/>
      <c r="IV3275" s="73"/>
      <c r="IW3275" s="73"/>
      <c r="IX3275" s="73"/>
      <c r="IY3275" s="73"/>
      <c r="IZ3275" s="73"/>
      <c r="JA3275" s="73"/>
      <c r="JB3275" s="73"/>
      <c r="JC3275" s="73"/>
    </row>
    <row r="3276" spans="2:263" s="72" customFormat="1">
      <c r="B3276" s="73"/>
      <c r="C3276" s="73"/>
      <c r="D3276" s="73"/>
      <c r="E3276" s="73"/>
      <c r="F3276" s="73"/>
      <c r="G3276" s="73"/>
      <c r="H3276" s="73"/>
      <c r="I3276" s="73"/>
      <c r="J3276" s="73"/>
      <c r="K3276" s="73"/>
      <c r="L3276" s="73"/>
      <c r="M3276" s="73"/>
      <c r="N3276" s="73"/>
      <c r="O3276" s="73"/>
      <c r="P3276" s="73"/>
      <c r="Q3276" s="73"/>
      <c r="R3276" s="73"/>
      <c r="S3276" s="73"/>
      <c r="T3276" s="73"/>
      <c r="U3276" s="73"/>
      <c r="V3276" s="73"/>
      <c r="W3276" s="73"/>
      <c r="GL3276" s="73"/>
      <c r="GM3276" s="73"/>
      <c r="GN3276" s="73"/>
      <c r="GO3276" s="73"/>
      <c r="GP3276" s="73"/>
      <c r="GQ3276" s="73"/>
      <c r="GR3276" s="73"/>
      <c r="GS3276" s="73"/>
      <c r="GT3276" s="73"/>
      <c r="GU3276" s="73"/>
      <c r="GV3276" s="73"/>
      <c r="GW3276" s="73"/>
      <c r="GX3276" s="73"/>
      <c r="GY3276" s="73"/>
      <c r="GZ3276" s="73"/>
      <c r="HA3276" s="73"/>
      <c r="HB3276" s="73"/>
      <c r="HC3276" s="73"/>
      <c r="HD3276" s="73"/>
      <c r="HE3276" s="73"/>
      <c r="HF3276" s="73"/>
      <c r="HG3276" s="73"/>
      <c r="HH3276" s="73"/>
      <c r="HI3276" s="73"/>
      <c r="HJ3276" s="73"/>
      <c r="HK3276" s="73"/>
      <c r="HL3276" s="73"/>
      <c r="HM3276" s="73"/>
      <c r="HN3276" s="73"/>
      <c r="HO3276" s="73"/>
      <c r="HP3276" s="73"/>
      <c r="HQ3276" s="73"/>
      <c r="HR3276" s="73"/>
      <c r="HS3276" s="73"/>
      <c r="HT3276" s="73"/>
      <c r="HU3276" s="73"/>
      <c r="HV3276" s="73"/>
      <c r="HW3276" s="73"/>
      <c r="HX3276" s="73"/>
      <c r="HY3276" s="73"/>
      <c r="HZ3276" s="73"/>
      <c r="IA3276" s="73"/>
      <c r="IB3276" s="73"/>
      <c r="IC3276" s="73"/>
      <c r="ID3276" s="73"/>
      <c r="IE3276" s="73"/>
      <c r="IF3276" s="73"/>
      <c r="IG3276" s="73"/>
      <c r="IH3276" s="73"/>
      <c r="II3276" s="73"/>
      <c r="IJ3276" s="73"/>
      <c r="IK3276" s="73"/>
      <c r="IL3276" s="73"/>
      <c r="IM3276" s="73"/>
      <c r="IN3276" s="73"/>
      <c r="IO3276" s="73"/>
      <c r="IP3276" s="73"/>
      <c r="IQ3276" s="73"/>
      <c r="IR3276" s="73"/>
      <c r="IS3276" s="73"/>
      <c r="IT3276" s="73"/>
      <c r="IU3276" s="73"/>
      <c r="IV3276" s="73"/>
      <c r="IW3276" s="73"/>
      <c r="IX3276" s="73"/>
      <c r="IY3276" s="73"/>
      <c r="IZ3276" s="73"/>
      <c r="JA3276" s="73"/>
      <c r="JB3276" s="73"/>
      <c r="JC3276" s="73"/>
    </row>
    <row r="3277" spans="2:263" s="72" customFormat="1">
      <c r="B3277" s="73"/>
      <c r="C3277" s="73"/>
      <c r="D3277" s="73"/>
      <c r="E3277" s="73"/>
      <c r="F3277" s="73"/>
      <c r="G3277" s="73"/>
      <c r="H3277" s="73"/>
      <c r="I3277" s="73"/>
      <c r="J3277" s="73"/>
      <c r="K3277" s="73"/>
      <c r="L3277" s="73"/>
      <c r="M3277" s="73"/>
      <c r="N3277" s="73"/>
      <c r="O3277" s="73"/>
      <c r="P3277" s="73"/>
      <c r="Q3277" s="73"/>
      <c r="R3277" s="73"/>
      <c r="S3277" s="73"/>
      <c r="T3277" s="73"/>
      <c r="U3277" s="73"/>
      <c r="V3277" s="73"/>
      <c r="W3277" s="73"/>
      <c r="GL3277" s="73"/>
      <c r="GM3277" s="73"/>
      <c r="GN3277" s="73"/>
      <c r="GO3277" s="73"/>
      <c r="GP3277" s="73"/>
      <c r="GQ3277" s="73"/>
      <c r="GR3277" s="73"/>
      <c r="GS3277" s="73"/>
      <c r="GT3277" s="73"/>
      <c r="GU3277" s="73"/>
      <c r="GV3277" s="73"/>
      <c r="GW3277" s="73"/>
      <c r="GX3277" s="73"/>
      <c r="GY3277" s="73"/>
      <c r="GZ3277" s="73"/>
      <c r="HA3277" s="73"/>
      <c r="HB3277" s="73"/>
      <c r="HC3277" s="73"/>
      <c r="HD3277" s="73"/>
      <c r="HE3277" s="73"/>
      <c r="HF3277" s="73"/>
      <c r="HG3277" s="73"/>
      <c r="HH3277" s="73"/>
      <c r="HI3277" s="73"/>
      <c r="HJ3277" s="73"/>
      <c r="HK3277" s="73"/>
      <c r="HL3277" s="73"/>
      <c r="HM3277" s="73"/>
      <c r="HN3277" s="73"/>
      <c r="HO3277" s="73"/>
      <c r="HP3277" s="73"/>
      <c r="HQ3277" s="73"/>
      <c r="HR3277" s="73"/>
      <c r="HS3277" s="73"/>
      <c r="HT3277" s="73"/>
      <c r="HU3277" s="73"/>
      <c r="HV3277" s="73"/>
      <c r="HW3277" s="73"/>
      <c r="HX3277" s="73"/>
      <c r="HY3277" s="73"/>
      <c r="HZ3277" s="73"/>
      <c r="IA3277" s="73"/>
      <c r="IB3277" s="73"/>
      <c r="IC3277" s="73"/>
      <c r="ID3277" s="73"/>
      <c r="IE3277" s="73"/>
      <c r="IF3277" s="73"/>
      <c r="IG3277" s="73"/>
      <c r="IH3277" s="73"/>
      <c r="II3277" s="73"/>
      <c r="IJ3277" s="73"/>
      <c r="IK3277" s="73"/>
      <c r="IL3277" s="73"/>
      <c r="IM3277" s="73"/>
      <c r="IN3277" s="73"/>
      <c r="IO3277" s="73"/>
      <c r="IP3277" s="73"/>
      <c r="IQ3277" s="73"/>
      <c r="IR3277" s="73"/>
      <c r="IS3277" s="73"/>
      <c r="IT3277" s="73"/>
      <c r="IU3277" s="73"/>
      <c r="IV3277" s="73"/>
      <c r="IW3277" s="73"/>
      <c r="IX3277" s="73"/>
      <c r="IY3277" s="73"/>
      <c r="IZ3277" s="73"/>
      <c r="JA3277" s="73"/>
      <c r="JB3277" s="73"/>
      <c r="JC3277" s="73"/>
    </row>
    <row r="3278" spans="2:263" s="72" customFormat="1">
      <c r="B3278" s="73"/>
      <c r="C3278" s="73"/>
      <c r="D3278" s="73"/>
      <c r="E3278" s="73"/>
      <c r="F3278" s="73"/>
      <c r="G3278" s="73"/>
      <c r="H3278" s="73"/>
      <c r="I3278" s="73"/>
      <c r="J3278" s="73"/>
      <c r="K3278" s="73"/>
      <c r="L3278" s="73"/>
      <c r="M3278" s="73"/>
      <c r="N3278" s="73"/>
      <c r="O3278" s="73"/>
      <c r="P3278" s="73"/>
      <c r="Q3278" s="73"/>
      <c r="R3278" s="73"/>
      <c r="S3278" s="73"/>
      <c r="T3278" s="73"/>
      <c r="U3278" s="73"/>
      <c r="V3278" s="73"/>
      <c r="W3278" s="73"/>
      <c r="GL3278" s="73"/>
      <c r="GM3278" s="73"/>
      <c r="GN3278" s="73"/>
      <c r="GO3278" s="73"/>
      <c r="GP3278" s="73"/>
      <c r="GQ3278" s="73"/>
      <c r="GR3278" s="73"/>
      <c r="GS3278" s="73"/>
      <c r="GT3278" s="73"/>
      <c r="GU3278" s="73"/>
      <c r="GV3278" s="73"/>
      <c r="GW3278" s="73"/>
      <c r="GX3278" s="73"/>
      <c r="GY3278" s="73"/>
      <c r="GZ3278" s="73"/>
      <c r="HA3278" s="73"/>
      <c r="HB3278" s="73"/>
      <c r="HC3278" s="73"/>
      <c r="HD3278" s="73"/>
      <c r="HE3278" s="73"/>
      <c r="HF3278" s="73"/>
      <c r="HG3278" s="73"/>
      <c r="HH3278" s="73"/>
      <c r="HI3278" s="73"/>
      <c r="HJ3278" s="73"/>
      <c r="HK3278" s="73"/>
      <c r="HL3278" s="73"/>
      <c r="HM3278" s="73"/>
      <c r="HN3278" s="73"/>
      <c r="HO3278" s="73"/>
      <c r="HP3278" s="73"/>
      <c r="HQ3278" s="73"/>
      <c r="HR3278" s="73"/>
      <c r="HS3278" s="73"/>
      <c r="HT3278" s="73"/>
      <c r="HU3278" s="73"/>
      <c r="HV3278" s="73"/>
      <c r="HW3278" s="73"/>
      <c r="HX3278" s="73"/>
      <c r="HY3278" s="73"/>
      <c r="HZ3278" s="73"/>
      <c r="IA3278" s="73"/>
      <c r="IB3278" s="73"/>
      <c r="IC3278" s="73"/>
      <c r="ID3278" s="73"/>
      <c r="IE3278" s="73"/>
      <c r="IF3278" s="73"/>
      <c r="IG3278" s="73"/>
      <c r="IH3278" s="73"/>
      <c r="II3278" s="73"/>
      <c r="IJ3278" s="73"/>
      <c r="IK3278" s="73"/>
      <c r="IL3278" s="73"/>
      <c r="IM3278" s="73"/>
      <c r="IN3278" s="73"/>
      <c r="IO3278" s="73"/>
      <c r="IP3278" s="73"/>
      <c r="IQ3278" s="73"/>
      <c r="IR3278" s="73"/>
      <c r="IS3278" s="73"/>
      <c r="IT3278" s="73"/>
      <c r="IU3278" s="73"/>
      <c r="IV3278" s="73"/>
      <c r="IW3278" s="73"/>
      <c r="IX3278" s="73"/>
      <c r="IY3278" s="73"/>
      <c r="IZ3278" s="73"/>
      <c r="JA3278" s="73"/>
      <c r="JB3278" s="73"/>
      <c r="JC3278" s="73"/>
    </row>
    <row r="3279" spans="2:263" s="72" customFormat="1">
      <c r="B3279" s="73"/>
      <c r="C3279" s="73"/>
      <c r="D3279" s="73"/>
      <c r="E3279" s="73"/>
      <c r="F3279" s="73"/>
      <c r="G3279" s="73"/>
      <c r="H3279" s="73"/>
      <c r="I3279" s="73"/>
      <c r="J3279" s="73"/>
      <c r="K3279" s="73"/>
      <c r="L3279" s="73"/>
      <c r="M3279" s="73"/>
      <c r="N3279" s="73"/>
      <c r="O3279" s="73"/>
      <c r="P3279" s="73"/>
      <c r="Q3279" s="73"/>
      <c r="R3279" s="73"/>
      <c r="S3279" s="73"/>
      <c r="T3279" s="73"/>
      <c r="U3279" s="73"/>
      <c r="V3279" s="73"/>
      <c r="W3279" s="73"/>
      <c r="GL3279" s="73"/>
      <c r="GM3279" s="73"/>
      <c r="GN3279" s="73"/>
      <c r="GO3279" s="73"/>
      <c r="GP3279" s="73"/>
      <c r="GQ3279" s="73"/>
      <c r="GR3279" s="73"/>
      <c r="GS3279" s="73"/>
      <c r="GT3279" s="73"/>
      <c r="GU3279" s="73"/>
      <c r="GV3279" s="73"/>
      <c r="GW3279" s="73"/>
      <c r="GX3279" s="73"/>
      <c r="GY3279" s="73"/>
      <c r="GZ3279" s="73"/>
      <c r="HA3279" s="73"/>
      <c r="HB3279" s="73"/>
      <c r="HC3279" s="73"/>
      <c r="HD3279" s="73"/>
      <c r="HE3279" s="73"/>
      <c r="HF3279" s="73"/>
      <c r="HG3279" s="73"/>
      <c r="HH3279" s="73"/>
      <c r="HI3279" s="73"/>
      <c r="HJ3279" s="73"/>
      <c r="HK3279" s="73"/>
      <c r="HL3279" s="73"/>
      <c r="HM3279" s="73"/>
      <c r="HN3279" s="73"/>
      <c r="HO3279" s="73"/>
      <c r="HP3279" s="73"/>
      <c r="HQ3279" s="73"/>
      <c r="HR3279" s="73"/>
      <c r="HS3279" s="73"/>
      <c r="HT3279" s="73"/>
      <c r="HU3279" s="73"/>
      <c r="HV3279" s="73"/>
      <c r="HW3279" s="73"/>
      <c r="HX3279" s="73"/>
      <c r="HY3279" s="73"/>
      <c r="HZ3279" s="73"/>
      <c r="IA3279" s="73"/>
      <c r="IB3279" s="73"/>
      <c r="IC3279" s="73"/>
      <c r="ID3279" s="73"/>
      <c r="IE3279" s="73"/>
      <c r="IF3279" s="73"/>
      <c r="IG3279" s="73"/>
      <c r="IH3279" s="73"/>
      <c r="II3279" s="73"/>
      <c r="IJ3279" s="73"/>
      <c r="IK3279" s="73"/>
      <c r="IL3279" s="73"/>
      <c r="IM3279" s="73"/>
      <c r="IN3279" s="73"/>
      <c r="IO3279" s="73"/>
      <c r="IP3279" s="73"/>
      <c r="IQ3279" s="73"/>
      <c r="IR3279" s="73"/>
      <c r="IS3279" s="73"/>
      <c r="IT3279" s="73"/>
      <c r="IU3279" s="73"/>
      <c r="IV3279" s="73"/>
      <c r="IW3279" s="73"/>
      <c r="IX3279" s="73"/>
      <c r="IY3279" s="73"/>
      <c r="IZ3279" s="73"/>
      <c r="JA3279" s="73"/>
      <c r="JB3279" s="73"/>
      <c r="JC3279" s="73"/>
    </row>
    <row r="3280" spans="2:263" s="72" customFormat="1">
      <c r="B3280" s="73"/>
      <c r="C3280" s="73"/>
      <c r="D3280" s="73"/>
      <c r="E3280" s="73"/>
      <c r="F3280" s="73"/>
      <c r="G3280" s="73"/>
      <c r="H3280" s="73"/>
      <c r="I3280" s="73"/>
      <c r="J3280" s="73"/>
      <c r="K3280" s="73"/>
      <c r="L3280" s="73"/>
      <c r="M3280" s="73"/>
      <c r="N3280" s="73"/>
      <c r="O3280" s="73"/>
      <c r="P3280" s="73"/>
      <c r="Q3280" s="73"/>
      <c r="R3280" s="73"/>
      <c r="S3280" s="73"/>
      <c r="T3280" s="73"/>
      <c r="U3280" s="73"/>
      <c r="V3280" s="73"/>
      <c r="W3280" s="73"/>
      <c r="GL3280" s="73"/>
      <c r="GM3280" s="73"/>
      <c r="GN3280" s="73"/>
      <c r="GO3280" s="73"/>
      <c r="GP3280" s="73"/>
      <c r="GQ3280" s="73"/>
      <c r="GR3280" s="73"/>
      <c r="GS3280" s="73"/>
      <c r="GT3280" s="73"/>
      <c r="GU3280" s="73"/>
      <c r="GV3280" s="73"/>
      <c r="GW3280" s="73"/>
      <c r="GX3280" s="73"/>
      <c r="GY3280" s="73"/>
      <c r="GZ3280" s="73"/>
      <c r="HA3280" s="73"/>
      <c r="HB3280" s="73"/>
      <c r="HC3280" s="73"/>
      <c r="HD3280" s="73"/>
      <c r="HE3280" s="73"/>
      <c r="HF3280" s="73"/>
      <c r="HG3280" s="73"/>
      <c r="HH3280" s="73"/>
      <c r="HI3280" s="73"/>
      <c r="HJ3280" s="73"/>
      <c r="HK3280" s="73"/>
      <c r="HL3280" s="73"/>
      <c r="HM3280" s="73"/>
      <c r="HN3280" s="73"/>
      <c r="HO3280" s="73"/>
      <c r="HP3280" s="73"/>
      <c r="HQ3280" s="73"/>
      <c r="HR3280" s="73"/>
      <c r="HS3280" s="73"/>
      <c r="HT3280" s="73"/>
      <c r="HU3280" s="73"/>
      <c r="HV3280" s="73"/>
      <c r="HW3280" s="73"/>
      <c r="HX3280" s="73"/>
      <c r="HY3280" s="73"/>
      <c r="HZ3280" s="73"/>
      <c r="IA3280" s="73"/>
      <c r="IB3280" s="73"/>
      <c r="IC3280" s="73"/>
      <c r="ID3280" s="73"/>
      <c r="IE3280" s="73"/>
      <c r="IF3280" s="73"/>
      <c r="IG3280" s="73"/>
      <c r="IH3280" s="73"/>
      <c r="II3280" s="73"/>
      <c r="IJ3280" s="73"/>
      <c r="IK3280" s="73"/>
      <c r="IL3280" s="73"/>
      <c r="IM3280" s="73"/>
      <c r="IN3280" s="73"/>
      <c r="IO3280" s="73"/>
      <c r="IP3280" s="73"/>
      <c r="IQ3280" s="73"/>
      <c r="IR3280" s="73"/>
      <c r="IS3280" s="73"/>
      <c r="IT3280" s="73"/>
      <c r="IU3280" s="73"/>
      <c r="IV3280" s="73"/>
      <c r="IW3280" s="73"/>
      <c r="IX3280" s="73"/>
      <c r="IY3280" s="73"/>
      <c r="IZ3280" s="73"/>
      <c r="JA3280" s="73"/>
      <c r="JB3280" s="73"/>
      <c r="JC3280" s="73"/>
    </row>
    <row r="3281" spans="2:263" s="72" customFormat="1">
      <c r="B3281" s="73"/>
      <c r="C3281" s="73"/>
      <c r="D3281" s="73"/>
      <c r="E3281" s="73"/>
      <c r="F3281" s="73"/>
      <c r="G3281" s="73"/>
      <c r="H3281" s="73"/>
      <c r="I3281" s="73"/>
      <c r="J3281" s="73"/>
      <c r="K3281" s="73"/>
      <c r="L3281" s="73"/>
      <c r="M3281" s="73"/>
      <c r="N3281" s="73"/>
      <c r="O3281" s="73"/>
      <c r="P3281" s="73"/>
      <c r="Q3281" s="73"/>
      <c r="R3281" s="73"/>
      <c r="S3281" s="73"/>
      <c r="T3281" s="73"/>
      <c r="U3281" s="73"/>
      <c r="V3281" s="73"/>
      <c r="W3281" s="73"/>
      <c r="GL3281" s="73"/>
      <c r="GM3281" s="73"/>
      <c r="GN3281" s="73"/>
      <c r="GO3281" s="73"/>
      <c r="GP3281" s="73"/>
      <c r="GQ3281" s="73"/>
      <c r="GR3281" s="73"/>
      <c r="GS3281" s="73"/>
      <c r="GT3281" s="73"/>
      <c r="GU3281" s="73"/>
      <c r="GV3281" s="73"/>
      <c r="GW3281" s="73"/>
      <c r="GX3281" s="73"/>
      <c r="GY3281" s="73"/>
      <c r="GZ3281" s="73"/>
      <c r="HA3281" s="73"/>
      <c r="HB3281" s="73"/>
      <c r="HC3281" s="73"/>
      <c r="HD3281" s="73"/>
      <c r="HE3281" s="73"/>
      <c r="HF3281" s="73"/>
      <c r="HG3281" s="73"/>
      <c r="HH3281" s="73"/>
      <c r="HI3281" s="73"/>
      <c r="HJ3281" s="73"/>
      <c r="HK3281" s="73"/>
      <c r="HL3281" s="73"/>
      <c r="HM3281" s="73"/>
      <c r="HN3281" s="73"/>
      <c r="HO3281" s="73"/>
      <c r="HP3281" s="73"/>
      <c r="HQ3281" s="73"/>
      <c r="HR3281" s="73"/>
      <c r="HS3281" s="73"/>
      <c r="HT3281" s="73"/>
      <c r="HU3281" s="73"/>
      <c r="HV3281" s="73"/>
      <c r="HW3281" s="73"/>
      <c r="HX3281" s="73"/>
      <c r="HY3281" s="73"/>
      <c r="HZ3281" s="73"/>
      <c r="IA3281" s="73"/>
      <c r="IB3281" s="73"/>
      <c r="IC3281" s="73"/>
      <c r="ID3281" s="73"/>
      <c r="IE3281" s="73"/>
      <c r="IF3281" s="73"/>
      <c r="IG3281" s="73"/>
      <c r="IH3281" s="73"/>
      <c r="II3281" s="73"/>
      <c r="IJ3281" s="73"/>
      <c r="IK3281" s="73"/>
      <c r="IL3281" s="73"/>
      <c r="IM3281" s="73"/>
      <c r="IN3281" s="73"/>
      <c r="IO3281" s="73"/>
      <c r="IP3281" s="73"/>
      <c r="IQ3281" s="73"/>
      <c r="IR3281" s="73"/>
      <c r="IS3281" s="73"/>
      <c r="IT3281" s="73"/>
      <c r="IU3281" s="73"/>
      <c r="IV3281" s="73"/>
      <c r="IW3281" s="73"/>
      <c r="IX3281" s="73"/>
      <c r="IY3281" s="73"/>
      <c r="IZ3281" s="73"/>
      <c r="JA3281" s="73"/>
      <c r="JB3281" s="73"/>
      <c r="JC3281" s="73"/>
    </row>
    <row r="3282" spans="2:263" s="72" customFormat="1">
      <c r="B3282" s="73"/>
      <c r="C3282" s="73"/>
      <c r="D3282" s="73"/>
      <c r="E3282" s="73"/>
      <c r="F3282" s="73"/>
      <c r="G3282" s="73"/>
      <c r="H3282" s="73"/>
      <c r="I3282" s="73"/>
      <c r="J3282" s="73"/>
      <c r="K3282" s="73"/>
      <c r="L3282" s="73"/>
      <c r="M3282" s="73"/>
      <c r="N3282" s="73"/>
      <c r="O3282" s="73"/>
      <c r="P3282" s="73"/>
      <c r="Q3282" s="73"/>
      <c r="R3282" s="73"/>
      <c r="S3282" s="73"/>
      <c r="T3282" s="73"/>
      <c r="U3282" s="73"/>
      <c r="V3282" s="73"/>
      <c r="W3282" s="73"/>
      <c r="GL3282" s="73"/>
      <c r="GM3282" s="73"/>
      <c r="GN3282" s="73"/>
      <c r="GO3282" s="73"/>
      <c r="GP3282" s="73"/>
      <c r="GQ3282" s="73"/>
      <c r="GR3282" s="73"/>
      <c r="GS3282" s="73"/>
      <c r="GT3282" s="73"/>
      <c r="GU3282" s="73"/>
      <c r="GV3282" s="73"/>
      <c r="GW3282" s="73"/>
      <c r="GX3282" s="73"/>
      <c r="GY3282" s="73"/>
      <c r="GZ3282" s="73"/>
      <c r="HA3282" s="73"/>
      <c r="HB3282" s="73"/>
      <c r="HC3282" s="73"/>
      <c r="HD3282" s="73"/>
      <c r="HE3282" s="73"/>
      <c r="HF3282" s="73"/>
      <c r="HG3282" s="73"/>
      <c r="HH3282" s="73"/>
      <c r="HI3282" s="73"/>
      <c r="HJ3282" s="73"/>
      <c r="HK3282" s="73"/>
      <c r="HL3282" s="73"/>
      <c r="HM3282" s="73"/>
      <c r="HN3282" s="73"/>
      <c r="HO3282" s="73"/>
      <c r="HP3282" s="73"/>
      <c r="HQ3282" s="73"/>
      <c r="HR3282" s="73"/>
      <c r="HS3282" s="73"/>
      <c r="HT3282" s="73"/>
      <c r="HU3282" s="73"/>
      <c r="HV3282" s="73"/>
      <c r="HW3282" s="73"/>
      <c r="HX3282" s="73"/>
      <c r="HY3282" s="73"/>
      <c r="HZ3282" s="73"/>
      <c r="IA3282" s="73"/>
      <c r="IB3282" s="73"/>
      <c r="IC3282" s="73"/>
      <c r="ID3282" s="73"/>
      <c r="IE3282" s="73"/>
      <c r="IF3282" s="73"/>
      <c r="IG3282" s="73"/>
      <c r="IH3282" s="73"/>
      <c r="II3282" s="73"/>
      <c r="IJ3282" s="73"/>
      <c r="IK3282" s="73"/>
      <c r="IL3282" s="73"/>
      <c r="IM3282" s="73"/>
      <c r="IN3282" s="73"/>
      <c r="IO3282" s="73"/>
      <c r="IP3282" s="73"/>
      <c r="IQ3282" s="73"/>
      <c r="IR3282" s="73"/>
      <c r="IS3282" s="73"/>
      <c r="IT3282" s="73"/>
      <c r="IU3282" s="73"/>
      <c r="IV3282" s="73"/>
      <c r="IW3282" s="73"/>
      <c r="IX3282" s="73"/>
      <c r="IY3282" s="73"/>
      <c r="IZ3282" s="73"/>
      <c r="JA3282" s="73"/>
      <c r="JB3282" s="73"/>
      <c r="JC3282" s="73"/>
    </row>
    <row r="3283" spans="2:263" s="72" customFormat="1">
      <c r="B3283" s="73"/>
      <c r="C3283" s="73"/>
      <c r="D3283" s="73"/>
      <c r="E3283" s="73"/>
      <c r="F3283" s="73"/>
      <c r="G3283" s="73"/>
      <c r="H3283" s="73"/>
      <c r="I3283" s="73"/>
      <c r="J3283" s="73"/>
      <c r="K3283" s="73"/>
      <c r="L3283" s="73"/>
      <c r="M3283" s="73"/>
      <c r="N3283" s="73"/>
      <c r="O3283" s="73"/>
      <c r="P3283" s="73"/>
      <c r="Q3283" s="73"/>
      <c r="R3283" s="73"/>
      <c r="S3283" s="73"/>
      <c r="T3283" s="73"/>
      <c r="U3283" s="73"/>
      <c r="V3283" s="73"/>
      <c r="W3283" s="73"/>
      <c r="GL3283" s="73"/>
      <c r="GM3283" s="73"/>
      <c r="GN3283" s="73"/>
      <c r="GO3283" s="73"/>
      <c r="GP3283" s="73"/>
      <c r="GQ3283" s="73"/>
      <c r="GR3283" s="73"/>
      <c r="GS3283" s="73"/>
      <c r="GT3283" s="73"/>
      <c r="GU3283" s="73"/>
      <c r="GV3283" s="73"/>
      <c r="GW3283" s="73"/>
      <c r="GX3283" s="73"/>
      <c r="GY3283" s="73"/>
      <c r="GZ3283" s="73"/>
      <c r="HA3283" s="73"/>
      <c r="HB3283" s="73"/>
      <c r="HC3283" s="73"/>
      <c r="HD3283" s="73"/>
      <c r="HE3283" s="73"/>
      <c r="HF3283" s="73"/>
      <c r="HG3283" s="73"/>
      <c r="HH3283" s="73"/>
      <c r="HI3283" s="73"/>
      <c r="HJ3283" s="73"/>
      <c r="HK3283" s="73"/>
      <c r="HL3283" s="73"/>
      <c r="HM3283" s="73"/>
      <c r="HN3283" s="73"/>
      <c r="HO3283" s="73"/>
      <c r="HP3283" s="73"/>
      <c r="HQ3283" s="73"/>
      <c r="HR3283" s="73"/>
      <c r="HS3283" s="73"/>
      <c r="HT3283" s="73"/>
      <c r="HU3283" s="73"/>
      <c r="HV3283" s="73"/>
      <c r="HW3283" s="73"/>
      <c r="HX3283" s="73"/>
      <c r="HY3283" s="73"/>
      <c r="HZ3283" s="73"/>
      <c r="IA3283" s="73"/>
      <c r="IB3283" s="73"/>
      <c r="IC3283" s="73"/>
      <c r="ID3283" s="73"/>
      <c r="IE3283" s="73"/>
      <c r="IF3283" s="73"/>
      <c r="IG3283" s="73"/>
      <c r="IH3283" s="73"/>
      <c r="II3283" s="73"/>
      <c r="IJ3283" s="73"/>
      <c r="IK3283" s="73"/>
      <c r="IL3283" s="73"/>
      <c r="IM3283" s="73"/>
      <c r="IN3283" s="73"/>
      <c r="IO3283" s="73"/>
      <c r="IP3283" s="73"/>
      <c r="IQ3283" s="73"/>
      <c r="IR3283" s="73"/>
      <c r="IS3283" s="73"/>
      <c r="IT3283" s="73"/>
      <c r="IU3283" s="73"/>
      <c r="IV3283" s="73"/>
      <c r="IW3283" s="73"/>
      <c r="IX3283" s="73"/>
      <c r="IY3283" s="73"/>
      <c r="IZ3283" s="73"/>
      <c r="JA3283" s="73"/>
      <c r="JB3283" s="73"/>
      <c r="JC3283" s="73"/>
    </row>
    <row r="3284" spans="2:263" s="72" customFormat="1">
      <c r="B3284" s="73"/>
      <c r="C3284" s="73"/>
      <c r="D3284" s="73"/>
      <c r="E3284" s="73"/>
      <c r="F3284" s="73"/>
      <c r="G3284" s="73"/>
      <c r="H3284" s="73"/>
      <c r="I3284" s="73"/>
      <c r="J3284" s="73"/>
      <c r="K3284" s="73"/>
      <c r="L3284" s="73"/>
      <c r="M3284" s="73"/>
      <c r="N3284" s="73"/>
      <c r="O3284" s="73"/>
      <c r="P3284" s="73"/>
      <c r="Q3284" s="73"/>
      <c r="R3284" s="73"/>
      <c r="S3284" s="73"/>
      <c r="T3284" s="73"/>
      <c r="U3284" s="73"/>
      <c r="V3284" s="73"/>
      <c r="W3284" s="73"/>
      <c r="GL3284" s="73"/>
      <c r="GM3284" s="73"/>
      <c r="GN3284" s="73"/>
      <c r="GO3284" s="73"/>
      <c r="GP3284" s="73"/>
      <c r="GQ3284" s="73"/>
      <c r="GR3284" s="73"/>
      <c r="GS3284" s="73"/>
      <c r="GT3284" s="73"/>
      <c r="GU3284" s="73"/>
      <c r="GV3284" s="73"/>
      <c r="GW3284" s="73"/>
      <c r="GX3284" s="73"/>
      <c r="GY3284" s="73"/>
      <c r="GZ3284" s="73"/>
      <c r="HA3284" s="73"/>
      <c r="HB3284" s="73"/>
      <c r="HC3284" s="73"/>
      <c r="HD3284" s="73"/>
      <c r="HE3284" s="73"/>
      <c r="HF3284" s="73"/>
      <c r="HG3284" s="73"/>
      <c r="HH3284" s="73"/>
      <c r="HI3284" s="73"/>
      <c r="HJ3284" s="73"/>
      <c r="HK3284" s="73"/>
      <c r="HL3284" s="73"/>
      <c r="HM3284" s="73"/>
      <c r="HN3284" s="73"/>
      <c r="HO3284" s="73"/>
      <c r="HP3284" s="73"/>
      <c r="HQ3284" s="73"/>
      <c r="HR3284" s="73"/>
      <c r="HS3284" s="73"/>
      <c r="HT3284" s="73"/>
      <c r="HU3284" s="73"/>
      <c r="HV3284" s="73"/>
      <c r="HW3284" s="73"/>
      <c r="HX3284" s="73"/>
      <c r="HY3284" s="73"/>
      <c r="HZ3284" s="73"/>
      <c r="IA3284" s="73"/>
      <c r="IB3284" s="73"/>
      <c r="IC3284" s="73"/>
      <c r="ID3284" s="73"/>
      <c r="IE3284" s="73"/>
      <c r="IF3284" s="73"/>
      <c r="IG3284" s="73"/>
      <c r="IH3284" s="73"/>
      <c r="II3284" s="73"/>
      <c r="IJ3284" s="73"/>
      <c r="IK3284" s="73"/>
      <c r="IL3284" s="73"/>
      <c r="IM3284" s="73"/>
      <c r="IN3284" s="73"/>
      <c r="IO3284" s="73"/>
      <c r="IP3284" s="73"/>
      <c r="IQ3284" s="73"/>
      <c r="IR3284" s="73"/>
      <c r="IS3284" s="73"/>
      <c r="IT3284" s="73"/>
      <c r="IU3284" s="73"/>
      <c r="IV3284" s="73"/>
      <c r="IW3284" s="73"/>
      <c r="IX3284" s="73"/>
      <c r="IY3284" s="73"/>
      <c r="IZ3284" s="73"/>
      <c r="JA3284" s="73"/>
      <c r="JB3284" s="73"/>
      <c r="JC3284" s="73"/>
    </row>
    <row r="3285" spans="2:263" s="72" customFormat="1">
      <c r="B3285" s="73"/>
      <c r="C3285" s="73"/>
      <c r="D3285" s="73"/>
      <c r="E3285" s="73"/>
      <c r="F3285" s="73"/>
      <c r="G3285" s="73"/>
      <c r="H3285" s="73"/>
      <c r="I3285" s="73"/>
      <c r="J3285" s="73"/>
      <c r="K3285" s="73"/>
      <c r="L3285" s="73"/>
      <c r="M3285" s="73"/>
      <c r="N3285" s="73"/>
      <c r="O3285" s="73"/>
      <c r="P3285" s="73"/>
      <c r="Q3285" s="73"/>
      <c r="R3285" s="73"/>
      <c r="S3285" s="73"/>
      <c r="T3285" s="73"/>
      <c r="U3285" s="73"/>
      <c r="V3285" s="73"/>
      <c r="W3285" s="73"/>
      <c r="GL3285" s="73"/>
      <c r="GM3285" s="73"/>
      <c r="GN3285" s="73"/>
      <c r="GO3285" s="73"/>
      <c r="GP3285" s="73"/>
      <c r="GQ3285" s="73"/>
      <c r="GR3285" s="73"/>
      <c r="GS3285" s="73"/>
      <c r="GT3285" s="73"/>
      <c r="GU3285" s="73"/>
      <c r="GV3285" s="73"/>
      <c r="GW3285" s="73"/>
      <c r="GX3285" s="73"/>
      <c r="GY3285" s="73"/>
      <c r="GZ3285" s="73"/>
      <c r="HA3285" s="73"/>
      <c r="HB3285" s="73"/>
      <c r="HC3285" s="73"/>
      <c r="HD3285" s="73"/>
      <c r="HE3285" s="73"/>
      <c r="HF3285" s="73"/>
      <c r="HG3285" s="73"/>
      <c r="HH3285" s="73"/>
      <c r="HI3285" s="73"/>
      <c r="HJ3285" s="73"/>
      <c r="HK3285" s="73"/>
      <c r="HL3285" s="73"/>
      <c r="HM3285" s="73"/>
      <c r="HN3285" s="73"/>
      <c r="HO3285" s="73"/>
      <c r="HP3285" s="73"/>
      <c r="HQ3285" s="73"/>
      <c r="HR3285" s="73"/>
      <c r="HS3285" s="73"/>
      <c r="HT3285" s="73"/>
      <c r="HU3285" s="73"/>
      <c r="HV3285" s="73"/>
      <c r="HW3285" s="73"/>
      <c r="HX3285" s="73"/>
      <c r="HY3285" s="73"/>
      <c r="HZ3285" s="73"/>
      <c r="IA3285" s="73"/>
      <c r="IB3285" s="73"/>
      <c r="IC3285" s="73"/>
      <c r="ID3285" s="73"/>
      <c r="IE3285" s="73"/>
      <c r="IF3285" s="73"/>
      <c r="IG3285" s="73"/>
      <c r="IH3285" s="73"/>
      <c r="II3285" s="73"/>
      <c r="IJ3285" s="73"/>
      <c r="IK3285" s="73"/>
      <c r="IL3285" s="73"/>
      <c r="IM3285" s="73"/>
      <c r="IN3285" s="73"/>
      <c r="IO3285" s="73"/>
      <c r="IP3285" s="73"/>
      <c r="IQ3285" s="73"/>
      <c r="IR3285" s="73"/>
      <c r="IS3285" s="73"/>
      <c r="IT3285" s="73"/>
      <c r="IU3285" s="73"/>
      <c r="IV3285" s="73"/>
      <c r="IW3285" s="73"/>
      <c r="IX3285" s="73"/>
      <c r="IY3285" s="73"/>
      <c r="IZ3285" s="73"/>
      <c r="JA3285" s="73"/>
      <c r="JB3285" s="73"/>
      <c r="JC3285" s="73"/>
    </row>
    <row r="3286" spans="2:263" s="72" customFormat="1">
      <c r="B3286" s="73"/>
      <c r="C3286" s="73"/>
      <c r="D3286" s="73"/>
      <c r="E3286" s="73"/>
      <c r="F3286" s="73"/>
      <c r="G3286" s="73"/>
      <c r="H3286" s="73"/>
      <c r="I3286" s="73"/>
      <c r="J3286" s="73"/>
      <c r="K3286" s="73"/>
      <c r="L3286" s="73"/>
      <c r="M3286" s="73"/>
      <c r="N3286" s="73"/>
      <c r="O3286" s="73"/>
      <c r="P3286" s="73"/>
      <c r="Q3286" s="73"/>
      <c r="R3286" s="73"/>
      <c r="S3286" s="73"/>
      <c r="T3286" s="73"/>
      <c r="U3286" s="73"/>
      <c r="V3286" s="73"/>
      <c r="W3286" s="73"/>
      <c r="GL3286" s="73"/>
      <c r="GM3286" s="73"/>
      <c r="GN3286" s="73"/>
      <c r="GO3286" s="73"/>
      <c r="GP3286" s="73"/>
      <c r="GQ3286" s="73"/>
      <c r="GR3286" s="73"/>
      <c r="GS3286" s="73"/>
      <c r="GT3286" s="73"/>
      <c r="GU3286" s="73"/>
      <c r="GV3286" s="73"/>
      <c r="GW3286" s="73"/>
      <c r="GX3286" s="73"/>
      <c r="GY3286" s="73"/>
      <c r="GZ3286" s="73"/>
      <c r="HA3286" s="73"/>
      <c r="HB3286" s="73"/>
      <c r="HC3286" s="73"/>
      <c r="HD3286" s="73"/>
      <c r="HE3286" s="73"/>
      <c r="HF3286" s="73"/>
      <c r="HG3286" s="73"/>
      <c r="HH3286" s="73"/>
      <c r="HI3286" s="73"/>
      <c r="HJ3286" s="73"/>
      <c r="HK3286" s="73"/>
      <c r="HL3286" s="73"/>
      <c r="HM3286" s="73"/>
      <c r="HN3286" s="73"/>
      <c r="HO3286" s="73"/>
      <c r="HP3286" s="73"/>
      <c r="HQ3286" s="73"/>
      <c r="HR3286" s="73"/>
      <c r="HS3286" s="73"/>
      <c r="HT3286" s="73"/>
      <c r="HU3286" s="73"/>
      <c r="HV3286" s="73"/>
      <c r="HW3286" s="73"/>
      <c r="HX3286" s="73"/>
      <c r="HY3286" s="73"/>
      <c r="HZ3286" s="73"/>
      <c r="IA3286" s="73"/>
      <c r="IB3286" s="73"/>
      <c r="IC3286" s="73"/>
      <c r="ID3286" s="73"/>
      <c r="IE3286" s="73"/>
      <c r="IF3286" s="73"/>
      <c r="IG3286" s="73"/>
      <c r="IH3286" s="73"/>
      <c r="II3286" s="73"/>
      <c r="IJ3286" s="73"/>
      <c r="IK3286" s="73"/>
      <c r="IL3286" s="73"/>
      <c r="IM3286" s="73"/>
      <c r="IN3286" s="73"/>
      <c r="IO3286" s="73"/>
      <c r="IP3286" s="73"/>
      <c r="IQ3286" s="73"/>
      <c r="IR3286" s="73"/>
      <c r="IS3286" s="73"/>
      <c r="IT3286" s="73"/>
      <c r="IU3286" s="73"/>
      <c r="IV3286" s="73"/>
      <c r="IW3286" s="73"/>
      <c r="IX3286" s="73"/>
      <c r="IY3286" s="73"/>
      <c r="IZ3286" s="73"/>
      <c r="JA3286" s="73"/>
      <c r="JB3286" s="73"/>
      <c r="JC3286" s="73"/>
    </row>
    <row r="3287" spans="2:263" s="72" customFormat="1">
      <c r="B3287" s="73"/>
      <c r="C3287" s="73"/>
      <c r="D3287" s="73"/>
      <c r="E3287" s="73"/>
      <c r="F3287" s="73"/>
      <c r="G3287" s="73"/>
      <c r="H3287" s="73"/>
      <c r="I3287" s="73"/>
      <c r="J3287" s="73"/>
      <c r="K3287" s="73"/>
      <c r="L3287" s="73"/>
      <c r="M3287" s="73"/>
      <c r="N3287" s="73"/>
      <c r="O3287" s="73"/>
      <c r="P3287" s="73"/>
      <c r="Q3287" s="73"/>
      <c r="R3287" s="73"/>
      <c r="S3287" s="73"/>
      <c r="T3287" s="73"/>
      <c r="U3287" s="73"/>
      <c r="V3287" s="73"/>
      <c r="W3287" s="73"/>
      <c r="GL3287" s="73"/>
      <c r="GM3287" s="73"/>
      <c r="GN3287" s="73"/>
      <c r="GO3287" s="73"/>
      <c r="GP3287" s="73"/>
      <c r="GQ3287" s="73"/>
      <c r="GR3287" s="73"/>
      <c r="GS3287" s="73"/>
      <c r="GT3287" s="73"/>
      <c r="GU3287" s="73"/>
      <c r="GV3287" s="73"/>
      <c r="GW3287" s="73"/>
      <c r="GX3287" s="73"/>
      <c r="GY3287" s="73"/>
      <c r="GZ3287" s="73"/>
      <c r="HA3287" s="73"/>
      <c r="HB3287" s="73"/>
      <c r="HC3287" s="73"/>
      <c r="HD3287" s="73"/>
      <c r="HE3287" s="73"/>
      <c r="HF3287" s="73"/>
      <c r="HG3287" s="73"/>
      <c r="HH3287" s="73"/>
      <c r="HI3287" s="73"/>
      <c r="HJ3287" s="73"/>
      <c r="HK3287" s="73"/>
      <c r="HL3287" s="73"/>
      <c r="HM3287" s="73"/>
      <c r="HN3287" s="73"/>
      <c r="HO3287" s="73"/>
      <c r="HP3287" s="73"/>
      <c r="HQ3287" s="73"/>
      <c r="HR3287" s="73"/>
      <c r="HS3287" s="73"/>
      <c r="HT3287" s="73"/>
      <c r="HU3287" s="73"/>
      <c r="HV3287" s="73"/>
      <c r="HW3287" s="73"/>
      <c r="HX3287" s="73"/>
      <c r="HY3287" s="73"/>
      <c r="HZ3287" s="73"/>
      <c r="IA3287" s="73"/>
      <c r="IB3287" s="73"/>
      <c r="IC3287" s="73"/>
      <c r="ID3287" s="73"/>
      <c r="IE3287" s="73"/>
      <c r="IF3287" s="73"/>
      <c r="IG3287" s="73"/>
      <c r="IH3287" s="73"/>
      <c r="II3287" s="73"/>
      <c r="IJ3287" s="73"/>
      <c r="IK3287" s="73"/>
      <c r="IL3287" s="73"/>
      <c r="IM3287" s="73"/>
      <c r="IN3287" s="73"/>
      <c r="IO3287" s="73"/>
      <c r="IP3287" s="73"/>
      <c r="IQ3287" s="73"/>
      <c r="IR3287" s="73"/>
      <c r="IS3287" s="73"/>
      <c r="IT3287" s="73"/>
      <c r="IU3287" s="73"/>
      <c r="IV3287" s="73"/>
      <c r="IW3287" s="73"/>
      <c r="IX3287" s="73"/>
      <c r="IY3287" s="73"/>
      <c r="IZ3287" s="73"/>
      <c r="JA3287" s="73"/>
      <c r="JB3287" s="73"/>
      <c r="JC3287" s="73"/>
    </row>
    <row r="3288" spans="2:263" s="72" customFormat="1">
      <c r="B3288" s="73"/>
      <c r="C3288" s="73"/>
      <c r="D3288" s="73"/>
      <c r="E3288" s="73"/>
      <c r="F3288" s="73"/>
      <c r="G3288" s="73"/>
      <c r="H3288" s="73"/>
      <c r="I3288" s="73"/>
      <c r="J3288" s="73"/>
      <c r="K3288" s="73"/>
      <c r="L3288" s="73"/>
      <c r="M3288" s="73"/>
      <c r="N3288" s="73"/>
      <c r="O3288" s="73"/>
      <c r="P3288" s="73"/>
      <c r="Q3288" s="73"/>
      <c r="R3288" s="73"/>
      <c r="S3288" s="73"/>
      <c r="T3288" s="73"/>
      <c r="U3288" s="73"/>
      <c r="V3288" s="73"/>
      <c r="W3288" s="73"/>
      <c r="GL3288" s="73"/>
      <c r="GM3288" s="73"/>
      <c r="GN3288" s="73"/>
      <c r="GO3288" s="73"/>
      <c r="GP3288" s="73"/>
      <c r="GQ3288" s="73"/>
      <c r="GR3288" s="73"/>
      <c r="GS3288" s="73"/>
      <c r="GT3288" s="73"/>
      <c r="GU3288" s="73"/>
      <c r="GV3288" s="73"/>
      <c r="GW3288" s="73"/>
      <c r="GX3288" s="73"/>
      <c r="GY3288" s="73"/>
      <c r="GZ3288" s="73"/>
      <c r="HA3288" s="73"/>
      <c r="HB3288" s="73"/>
      <c r="HC3288" s="73"/>
      <c r="HD3288" s="73"/>
      <c r="HE3288" s="73"/>
      <c r="HF3288" s="73"/>
      <c r="HG3288" s="73"/>
      <c r="HH3288" s="73"/>
      <c r="HI3288" s="73"/>
      <c r="HJ3288" s="73"/>
      <c r="HK3288" s="73"/>
      <c r="HL3288" s="73"/>
      <c r="HM3288" s="73"/>
      <c r="HN3288" s="73"/>
      <c r="HO3288" s="73"/>
      <c r="HP3288" s="73"/>
      <c r="HQ3288" s="73"/>
      <c r="HR3288" s="73"/>
      <c r="HS3288" s="73"/>
      <c r="HT3288" s="73"/>
      <c r="HU3288" s="73"/>
      <c r="HV3288" s="73"/>
      <c r="HW3288" s="73"/>
      <c r="HX3288" s="73"/>
      <c r="HY3288" s="73"/>
      <c r="HZ3288" s="73"/>
      <c r="IA3288" s="73"/>
      <c r="IB3288" s="73"/>
      <c r="IC3288" s="73"/>
      <c r="ID3288" s="73"/>
      <c r="IE3288" s="73"/>
      <c r="IF3288" s="73"/>
      <c r="IG3288" s="73"/>
      <c r="IH3288" s="73"/>
      <c r="II3288" s="73"/>
      <c r="IJ3288" s="73"/>
      <c r="IK3288" s="73"/>
      <c r="IL3288" s="73"/>
      <c r="IM3288" s="73"/>
      <c r="IN3288" s="73"/>
      <c r="IO3288" s="73"/>
      <c r="IP3288" s="73"/>
      <c r="IQ3288" s="73"/>
      <c r="IR3288" s="73"/>
      <c r="IS3288" s="73"/>
      <c r="IT3288" s="73"/>
      <c r="IU3288" s="73"/>
      <c r="IV3288" s="73"/>
      <c r="IW3288" s="73"/>
      <c r="IX3288" s="73"/>
      <c r="IY3288" s="73"/>
      <c r="IZ3288" s="73"/>
      <c r="JA3288" s="73"/>
      <c r="JB3288" s="73"/>
      <c r="JC3288" s="73"/>
    </row>
    <row r="3289" spans="2:263" s="72" customFormat="1">
      <c r="B3289" s="73"/>
      <c r="C3289" s="73"/>
      <c r="D3289" s="73"/>
      <c r="E3289" s="73"/>
      <c r="F3289" s="73"/>
      <c r="G3289" s="73"/>
      <c r="H3289" s="73"/>
      <c r="I3289" s="73"/>
      <c r="J3289" s="73"/>
      <c r="K3289" s="73"/>
      <c r="L3289" s="73"/>
      <c r="M3289" s="73"/>
      <c r="N3289" s="73"/>
      <c r="O3289" s="73"/>
      <c r="P3289" s="73"/>
      <c r="Q3289" s="73"/>
      <c r="R3289" s="73"/>
      <c r="S3289" s="73"/>
      <c r="T3289" s="73"/>
      <c r="U3289" s="73"/>
      <c r="V3289" s="73"/>
      <c r="W3289" s="73"/>
      <c r="GL3289" s="73"/>
      <c r="GM3289" s="73"/>
      <c r="GN3289" s="73"/>
      <c r="GO3289" s="73"/>
      <c r="GP3289" s="73"/>
      <c r="GQ3289" s="73"/>
      <c r="GR3289" s="73"/>
      <c r="GS3289" s="73"/>
      <c r="GT3289" s="73"/>
      <c r="GU3289" s="73"/>
      <c r="GV3289" s="73"/>
      <c r="GW3289" s="73"/>
      <c r="GX3289" s="73"/>
      <c r="GY3289" s="73"/>
      <c r="GZ3289" s="73"/>
      <c r="HA3289" s="73"/>
      <c r="HB3289" s="73"/>
      <c r="HC3289" s="73"/>
      <c r="HD3289" s="73"/>
      <c r="HE3289" s="73"/>
      <c r="HF3289" s="73"/>
      <c r="HG3289" s="73"/>
      <c r="HH3289" s="73"/>
      <c r="HI3289" s="73"/>
      <c r="HJ3289" s="73"/>
      <c r="HK3289" s="73"/>
      <c r="HL3289" s="73"/>
      <c r="HM3289" s="73"/>
      <c r="HN3289" s="73"/>
      <c r="HO3289" s="73"/>
      <c r="HP3289" s="73"/>
      <c r="HQ3289" s="73"/>
      <c r="HR3289" s="73"/>
      <c r="HS3289" s="73"/>
      <c r="HT3289" s="73"/>
      <c r="HU3289" s="73"/>
      <c r="HV3289" s="73"/>
      <c r="HW3289" s="73"/>
      <c r="HX3289" s="73"/>
      <c r="HY3289" s="73"/>
      <c r="HZ3289" s="73"/>
      <c r="IA3289" s="73"/>
      <c r="IB3289" s="73"/>
      <c r="IC3289" s="73"/>
      <c r="ID3289" s="73"/>
      <c r="IE3289" s="73"/>
      <c r="IF3289" s="73"/>
      <c r="IG3289" s="73"/>
      <c r="IH3289" s="73"/>
      <c r="II3289" s="73"/>
      <c r="IJ3289" s="73"/>
      <c r="IK3289" s="73"/>
      <c r="IL3289" s="73"/>
      <c r="IM3289" s="73"/>
      <c r="IN3289" s="73"/>
      <c r="IO3289" s="73"/>
      <c r="IP3289" s="73"/>
      <c r="IQ3289" s="73"/>
      <c r="IR3289" s="73"/>
      <c r="IS3289" s="73"/>
      <c r="IT3289" s="73"/>
      <c r="IU3289" s="73"/>
      <c r="IV3289" s="73"/>
      <c r="IW3289" s="73"/>
      <c r="IX3289" s="73"/>
      <c r="IY3289" s="73"/>
      <c r="IZ3289" s="73"/>
      <c r="JA3289" s="73"/>
      <c r="JB3289" s="73"/>
      <c r="JC3289" s="73"/>
    </row>
    <row r="3290" spans="2:263" s="72" customFormat="1">
      <c r="B3290" s="73"/>
      <c r="C3290" s="73"/>
      <c r="D3290" s="73"/>
      <c r="E3290" s="73"/>
      <c r="F3290" s="73"/>
      <c r="G3290" s="73"/>
      <c r="H3290" s="73"/>
      <c r="I3290" s="73"/>
      <c r="J3290" s="73"/>
      <c r="K3290" s="73"/>
      <c r="L3290" s="73"/>
      <c r="M3290" s="73"/>
      <c r="N3290" s="73"/>
      <c r="O3290" s="73"/>
      <c r="P3290" s="73"/>
      <c r="Q3290" s="73"/>
      <c r="R3290" s="73"/>
      <c r="S3290" s="73"/>
      <c r="T3290" s="73"/>
      <c r="U3290" s="73"/>
      <c r="V3290" s="73"/>
      <c r="W3290" s="73"/>
      <c r="GL3290" s="73"/>
      <c r="GM3290" s="73"/>
      <c r="GN3290" s="73"/>
      <c r="GO3290" s="73"/>
      <c r="GP3290" s="73"/>
      <c r="GQ3290" s="73"/>
      <c r="GR3290" s="73"/>
      <c r="GS3290" s="73"/>
      <c r="GT3290" s="73"/>
      <c r="GU3290" s="73"/>
      <c r="GV3290" s="73"/>
      <c r="GW3290" s="73"/>
      <c r="GX3290" s="73"/>
      <c r="GY3290" s="73"/>
      <c r="GZ3290" s="73"/>
      <c r="HA3290" s="73"/>
      <c r="HB3290" s="73"/>
      <c r="HC3290" s="73"/>
      <c r="HD3290" s="73"/>
      <c r="HE3290" s="73"/>
      <c r="HF3290" s="73"/>
      <c r="HG3290" s="73"/>
      <c r="HH3290" s="73"/>
      <c r="HI3290" s="73"/>
      <c r="HJ3290" s="73"/>
      <c r="HK3290" s="73"/>
      <c r="HL3290" s="73"/>
      <c r="HM3290" s="73"/>
      <c r="HN3290" s="73"/>
      <c r="HO3290" s="73"/>
      <c r="HP3290" s="73"/>
      <c r="HQ3290" s="73"/>
      <c r="HR3290" s="73"/>
      <c r="HS3290" s="73"/>
      <c r="HT3290" s="73"/>
      <c r="HU3290" s="73"/>
      <c r="HV3290" s="73"/>
      <c r="HW3290" s="73"/>
      <c r="HX3290" s="73"/>
      <c r="HY3290" s="73"/>
      <c r="HZ3290" s="73"/>
      <c r="IA3290" s="73"/>
      <c r="IB3290" s="73"/>
      <c r="IC3290" s="73"/>
      <c r="ID3290" s="73"/>
      <c r="IE3290" s="73"/>
      <c r="IF3290" s="73"/>
      <c r="IG3290" s="73"/>
      <c r="IH3290" s="73"/>
      <c r="II3290" s="73"/>
      <c r="IJ3290" s="73"/>
      <c r="IK3290" s="73"/>
      <c r="IL3290" s="73"/>
      <c r="IM3290" s="73"/>
      <c r="IN3290" s="73"/>
      <c r="IO3290" s="73"/>
      <c r="IP3290" s="73"/>
      <c r="IQ3290" s="73"/>
      <c r="IR3290" s="73"/>
      <c r="IS3290" s="73"/>
      <c r="IT3290" s="73"/>
      <c r="IU3290" s="73"/>
      <c r="IV3290" s="73"/>
      <c r="IW3290" s="73"/>
      <c r="IX3290" s="73"/>
      <c r="IY3290" s="73"/>
      <c r="IZ3290" s="73"/>
      <c r="JA3290" s="73"/>
      <c r="JB3290" s="73"/>
      <c r="JC3290" s="73"/>
    </row>
    <row r="3291" spans="2:263" s="72" customFormat="1">
      <c r="B3291" s="73"/>
      <c r="C3291" s="73"/>
      <c r="D3291" s="73"/>
      <c r="E3291" s="73"/>
      <c r="F3291" s="73"/>
      <c r="G3291" s="73"/>
      <c r="H3291" s="73"/>
      <c r="I3291" s="73"/>
      <c r="J3291" s="73"/>
      <c r="K3291" s="73"/>
      <c r="L3291" s="73"/>
      <c r="M3291" s="73"/>
      <c r="N3291" s="73"/>
      <c r="O3291" s="73"/>
      <c r="P3291" s="73"/>
      <c r="Q3291" s="73"/>
      <c r="R3291" s="73"/>
      <c r="S3291" s="73"/>
      <c r="T3291" s="73"/>
      <c r="U3291" s="73"/>
      <c r="V3291" s="73"/>
      <c r="W3291" s="73"/>
      <c r="GL3291" s="73"/>
      <c r="GM3291" s="73"/>
      <c r="GN3291" s="73"/>
      <c r="GO3291" s="73"/>
      <c r="GP3291" s="73"/>
      <c r="GQ3291" s="73"/>
      <c r="GR3291" s="73"/>
      <c r="GS3291" s="73"/>
      <c r="GT3291" s="73"/>
      <c r="GU3291" s="73"/>
      <c r="GV3291" s="73"/>
      <c r="GW3291" s="73"/>
      <c r="GX3291" s="73"/>
      <c r="GY3291" s="73"/>
      <c r="GZ3291" s="73"/>
      <c r="HA3291" s="73"/>
      <c r="HB3291" s="73"/>
      <c r="HC3291" s="73"/>
      <c r="HD3291" s="73"/>
      <c r="HE3291" s="73"/>
      <c r="HF3291" s="73"/>
      <c r="HG3291" s="73"/>
      <c r="HH3291" s="73"/>
      <c r="HI3291" s="73"/>
      <c r="HJ3291" s="73"/>
      <c r="HK3291" s="73"/>
      <c r="HL3291" s="73"/>
      <c r="HM3291" s="73"/>
      <c r="HN3291" s="73"/>
      <c r="HO3291" s="73"/>
      <c r="HP3291" s="73"/>
      <c r="HQ3291" s="73"/>
      <c r="HR3291" s="73"/>
      <c r="HS3291" s="73"/>
      <c r="HT3291" s="73"/>
      <c r="HU3291" s="73"/>
      <c r="HV3291" s="73"/>
      <c r="HW3291" s="73"/>
      <c r="HX3291" s="73"/>
      <c r="HY3291" s="73"/>
      <c r="HZ3291" s="73"/>
      <c r="IA3291" s="73"/>
      <c r="IB3291" s="73"/>
      <c r="IC3291" s="73"/>
      <c r="ID3291" s="73"/>
      <c r="IE3291" s="73"/>
      <c r="IF3291" s="73"/>
      <c r="IG3291" s="73"/>
      <c r="IH3291" s="73"/>
      <c r="II3291" s="73"/>
      <c r="IJ3291" s="73"/>
      <c r="IK3291" s="73"/>
      <c r="IL3291" s="73"/>
      <c r="IM3291" s="73"/>
      <c r="IN3291" s="73"/>
      <c r="IO3291" s="73"/>
      <c r="IP3291" s="73"/>
      <c r="IQ3291" s="73"/>
      <c r="IR3291" s="73"/>
      <c r="IS3291" s="73"/>
      <c r="IT3291" s="73"/>
      <c r="IU3291" s="73"/>
      <c r="IV3291" s="73"/>
      <c r="IW3291" s="73"/>
      <c r="IX3291" s="73"/>
      <c r="IY3291" s="73"/>
      <c r="IZ3291" s="73"/>
      <c r="JA3291" s="73"/>
      <c r="JB3291" s="73"/>
      <c r="JC3291" s="73"/>
    </row>
    <row r="3292" spans="2:263" s="72" customFormat="1">
      <c r="B3292" s="73"/>
      <c r="C3292" s="73"/>
      <c r="D3292" s="73"/>
      <c r="E3292" s="73"/>
      <c r="F3292" s="73"/>
      <c r="G3292" s="73"/>
      <c r="H3292" s="73"/>
      <c r="I3292" s="73"/>
      <c r="J3292" s="73"/>
      <c r="K3292" s="73"/>
      <c r="L3292" s="73"/>
      <c r="M3292" s="73"/>
      <c r="N3292" s="73"/>
      <c r="O3292" s="73"/>
      <c r="P3292" s="73"/>
      <c r="Q3292" s="73"/>
      <c r="R3292" s="73"/>
      <c r="S3292" s="73"/>
      <c r="T3292" s="73"/>
      <c r="U3292" s="73"/>
      <c r="V3292" s="73"/>
      <c r="W3292" s="73"/>
      <c r="GL3292" s="73"/>
      <c r="GM3292" s="73"/>
      <c r="GN3292" s="73"/>
      <c r="GO3292" s="73"/>
      <c r="GP3292" s="73"/>
      <c r="GQ3292" s="73"/>
      <c r="GR3292" s="73"/>
      <c r="GS3292" s="73"/>
      <c r="GT3292" s="73"/>
      <c r="GU3292" s="73"/>
      <c r="GV3292" s="73"/>
      <c r="GW3292" s="73"/>
      <c r="GX3292" s="73"/>
      <c r="GY3292" s="73"/>
      <c r="GZ3292" s="73"/>
      <c r="HA3292" s="73"/>
      <c r="HB3292" s="73"/>
      <c r="HC3292" s="73"/>
      <c r="HD3292" s="73"/>
      <c r="HE3292" s="73"/>
      <c r="HF3292" s="73"/>
      <c r="HG3292" s="73"/>
      <c r="HH3292" s="73"/>
      <c r="HI3292" s="73"/>
      <c r="HJ3292" s="73"/>
      <c r="HK3292" s="73"/>
      <c r="HL3292" s="73"/>
      <c r="HM3292" s="73"/>
      <c r="HN3292" s="73"/>
      <c r="HO3292" s="73"/>
      <c r="HP3292" s="73"/>
      <c r="HQ3292" s="73"/>
      <c r="HR3292" s="73"/>
      <c r="HS3292" s="73"/>
      <c r="HT3292" s="73"/>
      <c r="HU3292" s="73"/>
      <c r="HV3292" s="73"/>
      <c r="HW3292" s="73"/>
      <c r="HX3292" s="73"/>
      <c r="HY3292" s="73"/>
      <c r="HZ3292" s="73"/>
      <c r="IA3292" s="73"/>
      <c r="IB3292" s="73"/>
      <c r="IC3292" s="73"/>
      <c r="ID3292" s="73"/>
      <c r="IE3292" s="73"/>
      <c r="IF3292" s="73"/>
      <c r="IG3292" s="73"/>
      <c r="IH3292" s="73"/>
      <c r="II3292" s="73"/>
      <c r="IJ3292" s="73"/>
      <c r="IK3292" s="73"/>
      <c r="IL3292" s="73"/>
      <c r="IM3292" s="73"/>
      <c r="IN3292" s="73"/>
      <c r="IO3292" s="73"/>
      <c r="IP3292" s="73"/>
      <c r="IQ3292" s="73"/>
      <c r="IR3292" s="73"/>
      <c r="IS3292" s="73"/>
      <c r="IT3292" s="73"/>
      <c r="IU3292" s="73"/>
      <c r="IV3292" s="73"/>
      <c r="IW3292" s="73"/>
      <c r="IX3292" s="73"/>
      <c r="IY3292" s="73"/>
      <c r="IZ3292" s="73"/>
      <c r="JA3292" s="73"/>
      <c r="JB3292" s="73"/>
      <c r="JC3292" s="73"/>
    </row>
    <row r="3293" spans="2:263" s="72" customFormat="1">
      <c r="B3293" s="73"/>
      <c r="C3293" s="73"/>
      <c r="D3293" s="73"/>
      <c r="E3293" s="73"/>
      <c r="F3293" s="73"/>
      <c r="G3293" s="73"/>
      <c r="H3293" s="73"/>
      <c r="I3293" s="73"/>
      <c r="J3293" s="73"/>
      <c r="K3293" s="73"/>
      <c r="L3293" s="73"/>
      <c r="M3293" s="73"/>
      <c r="N3293" s="73"/>
      <c r="O3293" s="73"/>
      <c r="P3293" s="73"/>
      <c r="Q3293" s="73"/>
      <c r="R3293" s="73"/>
      <c r="S3293" s="73"/>
      <c r="T3293" s="73"/>
      <c r="U3293" s="73"/>
      <c r="V3293" s="73"/>
      <c r="W3293" s="73"/>
      <c r="GL3293" s="73"/>
      <c r="GM3293" s="73"/>
      <c r="GN3293" s="73"/>
      <c r="GO3293" s="73"/>
      <c r="GP3293" s="73"/>
      <c r="GQ3293" s="73"/>
      <c r="GR3293" s="73"/>
      <c r="GS3293" s="73"/>
      <c r="GT3293" s="73"/>
      <c r="GU3293" s="73"/>
      <c r="GV3293" s="73"/>
      <c r="GW3293" s="73"/>
      <c r="GX3293" s="73"/>
      <c r="GY3293" s="73"/>
      <c r="GZ3293" s="73"/>
      <c r="HA3293" s="73"/>
      <c r="HB3293" s="73"/>
      <c r="HC3293" s="73"/>
      <c r="HD3293" s="73"/>
      <c r="HE3293" s="73"/>
      <c r="HF3293" s="73"/>
      <c r="HG3293" s="73"/>
      <c r="HH3293" s="73"/>
      <c r="HI3293" s="73"/>
      <c r="HJ3293" s="73"/>
      <c r="HK3293" s="73"/>
      <c r="HL3293" s="73"/>
      <c r="HM3293" s="73"/>
      <c r="HN3293" s="73"/>
      <c r="HO3293" s="73"/>
      <c r="HP3293" s="73"/>
      <c r="HQ3293" s="73"/>
      <c r="HR3293" s="73"/>
      <c r="HS3293" s="73"/>
      <c r="HT3293" s="73"/>
      <c r="HU3293" s="73"/>
      <c r="HV3293" s="73"/>
      <c r="HW3293" s="73"/>
      <c r="HX3293" s="73"/>
      <c r="HY3293" s="73"/>
      <c r="HZ3293" s="73"/>
      <c r="IA3293" s="73"/>
      <c r="IB3293" s="73"/>
      <c r="IC3293" s="73"/>
      <c r="ID3293" s="73"/>
      <c r="IE3293" s="73"/>
      <c r="IF3293" s="73"/>
      <c r="IG3293" s="73"/>
      <c r="IH3293" s="73"/>
      <c r="II3293" s="73"/>
      <c r="IJ3293" s="73"/>
      <c r="IK3293" s="73"/>
      <c r="IL3293" s="73"/>
      <c r="IM3293" s="73"/>
      <c r="IN3293" s="73"/>
      <c r="IO3293" s="73"/>
      <c r="IP3293" s="73"/>
      <c r="IQ3293" s="73"/>
      <c r="IR3293" s="73"/>
      <c r="IS3293" s="73"/>
      <c r="IT3293" s="73"/>
      <c r="IU3293" s="73"/>
      <c r="IV3293" s="73"/>
      <c r="IW3293" s="73"/>
      <c r="IX3293" s="73"/>
      <c r="IY3293" s="73"/>
      <c r="IZ3293" s="73"/>
      <c r="JA3293" s="73"/>
      <c r="JB3293" s="73"/>
      <c r="JC3293" s="73"/>
    </row>
    <row r="3294" spans="2:263" s="72" customFormat="1">
      <c r="B3294" s="73"/>
      <c r="C3294" s="73"/>
      <c r="D3294" s="73"/>
      <c r="E3294" s="73"/>
      <c r="F3294" s="73"/>
      <c r="G3294" s="73"/>
      <c r="H3294" s="73"/>
      <c r="I3294" s="73"/>
      <c r="J3294" s="73"/>
      <c r="K3294" s="73"/>
      <c r="L3294" s="73"/>
      <c r="M3294" s="73"/>
      <c r="N3294" s="73"/>
      <c r="O3294" s="73"/>
      <c r="P3294" s="73"/>
      <c r="Q3294" s="73"/>
      <c r="R3294" s="73"/>
      <c r="S3294" s="73"/>
      <c r="T3294" s="73"/>
      <c r="U3294" s="73"/>
      <c r="V3294" s="73"/>
      <c r="W3294" s="73"/>
      <c r="GL3294" s="73"/>
      <c r="GM3294" s="73"/>
      <c r="GN3294" s="73"/>
      <c r="GO3294" s="73"/>
      <c r="GP3294" s="73"/>
      <c r="GQ3294" s="73"/>
      <c r="GR3294" s="73"/>
      <c r="GS3294" s="73"/>
      <c r="GT3294" s="73"/>
      <c r="GU3294" s="73"/>
      <c r="GV3294" s="73"/>
      <c r="GW3294" s="73"/>
      <c r="GX3294" s="73"/>
      <c r="GY3294" s="73"/>
      <c r="GZ3294" s="73"/>
      <c r="HA3294" s="73"/>
      <c r="HB3294" s="73"/>
      <c r="HC3294" s="73"/>
      <c r="HD3294" s="73"/>
      <c r="HE3294" s="73"/>
      <c r="HF3294" s="73"/>
      <c r="HG3294" s="73"/>
      <c r="HH3294" s="73"/>
      <c r="HI3294" s="73"/>
      <c r="HJ3294" s="73"/>
      <c r="HK3294" s="73"/>
      <c r="HL3294" s="73"/>
      <c r="HM3294" s="73"/>
      <c r="HN3294" s="73"/>
      <c r="HO3294" s="73"/>
      <c r="HP3294" s="73"/>
      <c r="HQ3294" s="73"/>
      <c r="HR3294" s="73"/>
      <c r="HS3294" s="73"/>
      <c r="HT3294" s="73"/>
      <c r="HU3294" s="73"/>
      <c r="HV3294" s="73"/>
      <c r="HW3294" s="73"/>
      <c r="HX3294" s="73"/>
      <c r="HY3294" s="73"/>
      <c r="HZ3294" s="73"/>
      <c r="IA3294" s="73"/>
      <c r="IB3294" s="73"/>
      <c r="IC3294" s="73"/>
      <c r="ID3294" s="73"/>
      <c r="IE3294" s="73"/>
      <c r="IF3294" s="73"/>
      <c r="IG3294" s="73"/>
      <c r="IH3294" s="73"/>
      <c r="II3294" s="73"/>
      <c r="IJ3294" s="73"/>
      <c r="IK3294" s="73"/>
      <c r="IL3294" s="73"/>
      <c r="IM3294" s="73"/>
      <c r="IN3294" s="73"/>
      <c r="IO3294" s="73"/>
      <c r="IP3294" s="73"/>
      <c r="IQ3294" s="73"/>
      <c r="IR3294" s="73"/>
      <c r="IS3294" s="73"/>
      <c r="IT3294" s="73"/>
      <c r="IU3294" s="73"/>
      <c r="IV3294" s="73"/>
      <c r="IW3294" s="73"/>
      <c r="IX3294" s="73"/>
      <c r="IY3294" s="73"/>
      <c r="IZ3294" s="73"/>
      <c r="JA3294" s="73"/>
      <c r="JB3294" s="73"/>
      <c r="JC3294" s="73"/>
    </row>
    <row r="3295" spans="2:263" s="72" customFormat="1">
      <c r="B3295" s="73"/>
      <c r="C3295" s="73"/>
      <c r="D3295" s="73"/>
      <c r="E3295" s="73"/>
      <c r="F3295" s="73"/>
      <c r="G3295" s="73"/>
      <c r="H3295" s="73"/>
      <c r="I3295" s="73"/>
      <c r="J3295" s="73"/>
      <c r="K3295" s="73"/>
      <c r="L3295" s="73"/>
      <c r="M3295" s="73"/>
      <c r="N3295" s="73"/>
      <c r="O3295" s="73"/>
      <c r="P3295" s="73"/>
      <c r="Q3295" s="73"/>
      <c r="R3295" s="73"/>
      <c r="S3295" s="73"/>
      <c r="T3295" s="73"/>
      <c r="U3295" s="73"/>
      <c r="V3295" s="73"/>
      <c r="W3295" s="73"/>
      <c r="GL3295" s="73"/>
      <c r="GM3295" s="73"/>
      <c r="GN3295" s="73"/>
      <c r="GO3295" s="73"/>
      <c r="GP3295" s="73"/>
      <c r="GQ3295" s="73"/>
      <c r="GR3295" s="73"/>
      <c r="GS3295" s="73"/>
      <c r="GT3295" s="73"/>
      <c r="GU3295" s="73"/>
      <c r="GV3295" s="73"/>
      <c r="GW3295" s="73"/>
      <c r="GX3295" s="73"/>
      <c r="GY3295" s="73"/>
      <c r="GZ3295" s="73"/>
      <c r="HA3295" s="73"/>
      <c r="HB3295" s="73"/>
      <c r="HC3295" s="73"/>
      <c r="HD3295" s="73"/>
      <c r="HE3295" s="73"/>
      <c r="HF3295" s="73"/>
      <c r="HG3295" s="73"/>
      <c r="HH3295" s="73"/>
      <c r="HI3295" s="73"/>
      <c r="HJ3295" s="73"/>
      <c r="HK3295" s="73"/>
      <c r="HL3295" s="73"/>
      <c r="HM3295" s="73"/>
      <c r="HN3295" s="73"/>
      <c r="HO3295" s="73"/>
      <c r="HP3295" s="73"/>
      <c r="HQ3295" s="73"/>
      <c r="HR3295" s="73"/>
      <c r="HS3295" s="73"/>
      <c r="HT3295" s="73"/>
      <c r="HU3295" s="73"/>
      <c r="HV3295" s="73"/>
      <c r="HW3295" s="73"/>
      <c r="HX3295" s="73"/>
      <c r="HY3295" s="73"/>
      <c r="HZ3295" s="73"/>
      <c r="IA3295" s="73"/>
      <c r="IB3295" s="73"/>
      <c r="IC3295" s="73"/>
      <c r="ID3295" s="73"/>
      <c r="IE3295" s="73"/>
      <c r="IF3295" s="73"/>
      <c r="IG3295" s="73"/>
      <c r="IH3295" s="73"/>
      <c r="II3295" s="73"/>
      <c r="IJ3295" s="73"/>
      <c r="IK3295" s="73"/>
      <c r="IL3295" s="73"/>
      <c r="IM3295" s="73"/>
      <c r="IN3295" s="73"/>
      <c r="IO3295" s="73"/>
      <c r="IP3295" s="73"/>
      <c r="IQ3295" s="73"/>
      <c r="IR3295" s="73"/>
      <c r="IS3295" s="73"/>
      <c r="IT3295" s="73"/>
      <c r="IU3295" s="73"/>
      <c r="IV3295" s="73"/>
      <c r="IW3295" s="73"/>
      <c r="IX3295" s="73"/>
      <c r="IY3295" s="73"/>
      <c r="IZ3295" s="73"/>
      <c r="JA3295" s="73"/>
      <c r="JB3295" s="73"/>
      <c r="JC3295" s="73"/>
    </row>
    <row r="3296" spans="2:263" s="72" customFormat="1">
      <c r="B3296" s="73"/>
      <c r="C3296" s="73"/>
      <c r="D3296" s="73"/>
      <c r="E3296" s="73"/>
      <c r="F3296" s="73"/>
      <c r="G3296" s="73"/>
      <c r="H3296" s="73"/>
      <c r="I3296" s="73"/>
      <c r="J3296" s="73"/>
      <c r="K3296" s="73"/>
      <c r="L3296" s="73"/>
      <c r="M3296" s="73"/>
      <c r="N3296" s="73"/>
      <c r="O3296" s="73"/>
      <c r="P3296" s="73"/>
      <c r="Q3296" s="73"/>
      <c r="R3296" s="73"/>
      <c r="S3296" s="73"/>
      <c r="T3296" s="73"/>
      <c r="U3296" s="73"/>
      <c r="V3296" s="73"/>
      <c r="W3296" s="73"/>
      <c r="GL3296" s="73"/>
      <c r="GM3296" s="73"/>
      <c r="GN3296" s="73"/>
      <c r="GO3296" s="73"/>
      <c r="GP3296" s="73"/>
      <c r="GQ3296" s="73"/>
      <c r="GR3296" s="73"/>
      <c r="GS3296" s="73"/>
      <c r="GT3296" s="73"/>
      <c r="GU3296" s="73"/>
      <c r="GV3296" s="73"/>
      <c r="GW3296" s="73"/>
      <c r="GX3296" s="73"/>
      <c r="GY3296" s="73"/>
      <c r="GZ3296" s="73"/>
      <c r="HA3296" s="73"/>
      <c r="HB3296" s="73"/>
      <c r="HC3296" s="73"/>
      <c r="HD3296" s="73"/>
      <c r="HE3296" s="73"/>
      <c r="HF3296" s="73"/>
      <c r="HG3296" s="73"/>
      <c r="HH3296" s="73"/>
      <c r="HI3296" s="73"/>
      <c r="HJ3296" s="73"/>
      <c r="HK3296" s="73"/>
      <c r="HL3296" s="73"/>
      <c r="HM3296" s="73"/>
      <c r="HN3296" s="73"/>
      <c r="HO3296" s="73"/>
      <c r="HP3296" s="73"/>
      <c r="HQ3296" s="73"/>
      <c r="HR3296" s="73"/>
      <c r="HS3296" s="73"/>
      <c r="HT3296" s="73"/>
      <c r="HU3296" s="73"/>
      <c r="HV3296" s="73"/>
      <c r="HW3296" s="73"/>
      <c r="HX3296" s="73"/>
      <c r="HY3296" s="73"/>
      <c r="HZ3296" s="73"/>
      <c r="IA3296" s="73"/>
      <c r="IB3296" s="73"/>
      <c r="IC3296" s="73"/>
      <c r="ID3296" s="73"/>
      <c r="IE3296" s="73"/>
      <c r="IF3296" s="73"/>
      <c r="IG3296" s="73"/>
      <c r="IH3296" s="73"/>
      <c r="II3296" s="73"/>
      <c r="IJ3296" s="73"/>
      <c r="IK3296" s="73"/>
      <c r="IL3296" s="73"/>
      <c r="IM3296" s="73"/>
      <c r="IN3296" s="73"/>
      <c r="IO3296" s="73"/>
      <c r="IP3296" s="73"/>
      <c r="IQ3296" s="73"/>
      <c r="IR3296" s="73"/>
      <c r="IS3296" s="73"/>
      <c r="IT3296" s="73"/>
      <c r="IU3296" s="73"/>
      <c r="IV3296" s="73"/>
      <c r="IW3296" s="73"/>
      <c r="IX3296" s="73"/>
      <c r="IY3296" s="73"/>
      <c r="IZ3296" s="73"/>
      <c r="JA3296" s="73"/>
      <c r="JB3296" s="73"/>
      <c r="JC3296" s="73"/>
    </row>
    <row r="3297" spans="2:263" s="72" customFormat="1">
      <c r="B3297" s="73"/>
      <c r="C3297" s="73"/>
      <c r="D3297" s="73"/>
      <c r="E3297" s="73"/>
      <c r="F3297" s="73"/>
      <c r="G3297" s="73"/>
      <c r="H3297" s="73"/>
      <c r="I3297" s="73"/>
      <c r="J3297" s="73"/>
      <c r="K3297" s="73"/>
      <c r="L3297" s="73"/>
      <c r="M3297" s="73"/>
      <c r="N3297" s="73"/>
      <c r="O3297" s="73"/>
      <c r="P3297" s="73"/>
      <c r="Q3297" s="73"/>
      <c r="R3297" s="73"/>
      <c r="S3297" s="73"/>
      <c r="T3297" s="73"/>
      <c r="U3297" s="73"/>
      <c r="V3297" s="73"/>
      <c r="W3297" s="73"/>
      <c r="GL3297" s="73"/>
      <c r="GM3297" s="73"/>
      <c r="GN3297" s="73"/>
      <c r="GO3297" s="73"/>
      <c r="GP3297" s="73"/>
      <c r="GQ3297" s="73"/>
      <c r="GR3297" s="73"/>
      <c r="GS3297" s="73"/>
      <c r="GT3297" s="73"/>
      <c r="GU3297" s="73"/>
      <c r="GV3297" s="73"/>
      <c r="GW3297" s="73"/>
      <c r="GX3297" s="73"/>
      <c r="GY3297" s="73"/>
      <c r="GZ3297" s="73"/>
      <c r="HA3297" s="73"/>
      <c r="HB3297" s="73"/>
      <c r="HC3297" s="73"/>
      <c r="HD3297" s="73"/>
      <c r="HE3297" s="73"/>
      <c r="HF3297" s="73"/>
      <c r="HG3297" s="73"/>
      <c r="HH3297" s="73"/>
      <c r="HI3297" s="73"/>
      <c r="HJ3297" s="73"/>
      <c r="HK3297" s="73"/>
      <c r="HL3297" s="73"/>
      <c r="HM3297" s="73"/>
      <c r="HN3297" s="73"/>
      <c r="HO3297" s="73"/>
      <c r="HP3297" s="73"/>
      <c r="HQ3297" s="73"/>
      <c r="HR3297" s="73"/>
      <c r="HS3297" s="73"/>
      <c r="HT3297" s="73"/>
      <c r="HU3297" s="73"/>
      <c r="HV3297" s="73"/>
      <c r="HW3297" s="73"/>
      <c r="HX3297" s="73"/>
      <c r="HY3297" s="73"/>
      <c r="HZ3297" s="73"/>
      <c r="IA3297" s="73"/>
      <c r="IB3297" s="73"/>
      <c r="IC3297" s="73"/>
      <c r="ID3297" s="73"/>
      <c r="IE3297" s="73"/>
      <c r="IF3297" s="73"/>
      <c r="IG3297" s="73"/>
      <c r="IH3297" s="73"/>
      <c r="II3297" s="73"/>
      <c r="IJ3297" s="73"/>
      <c r="IK3297" s="73"/>
      <c r="IL3297" s="73"/>
      <c r="IM3297" s="73"/>
      <c r="IN3297" s="73"/>
      <c r="IO3297" s="73"/>
      <c r="IP3297" s="73"/>
      <c r="IQ3297" s="73"/>
      <c r="IR3297" s="73"/>
      <c r="IS3297" s="73"/>
      <c r="IT3297" s="73"/>
      <c r="IU3297" s="73"/>
      <c r="IV3297" s="73"/>
      <c r="IW3297" s="73"/>
      <c r="IX3297" s="73"/>
      <c r="IY3297" s="73"/>
      <c r="IZ3297" s="73"/>
      <c r="JA3297" s="73"/>
      <c r="JB3297" s="73"/>
      <c r="JC3297" s="73"/>
    </row>
    <row r="3298" spans="2:263" s="72" customFormat="1">
      <c r="B3298" s="73"/>
      <c r="C3298" s="73"/>
      <c r="D3298" s="73"/>
      <c r="E3298" s="73"/>
      <c r="F3298" s="73"/>
      <c r="G3298" s="73"/>
      <c r="H3298" s="73"/>
      <c r="I3298" s="73"/>
      <c r="J3298" s="73"/>
      <c r="K3298" s="73"/>
      <c r="L3298" s="73"/>
      <c r="M3298" s="73"/>
      <c r="N3298" s="73"/>
      <c r="O3298" s="73"/>
      <c r="P3298" s="73"/>
      <c r="Q3298" s="73"/>
      <c r="R3298" s="73"/>
      <c r="S3298" s="73"/>
      <c r="T3298" s="73"/>
      <c r="U3298" s="73"/>
      <c r="V3298" s="73"/>
      <c r="W3298" s="73"/>
      <c r="GL3298" s="73"/>
      <c r="GM3298" s="73"/>
      <c r="GN3298" s="73"/>
      <c r="GO3298" s="73"/>
      <c r="GP3298" s="73"/>
      <c r="GQ3298" s="73"/>
      <c r="GR3298" s="73"/>
      <c r="GS3298" s="73"/>
      <c r="GT3298" s="73"/>
      <c r="GU3298" s="73"/>
      <c r="GV3298" s="73"/>
      <c r="GW3298" s="73"/>
      <c r="GX3298" s="73"/>
      <c r="GY3298" s="73"/>
      <c r="GZ3298" s="73"/>
      <c r="HA3298" s="73"/>
      <c r="HB3298" s="73"/>
      <c r="HC3298" s="73"/>
      <c r="HD3298" s="73"/>
      <c r="HE3298" s="73"/>
      <c r="HF3298" s="73"/>
      <c r="HG3298" s="73"/>
      <c r="HH3298" s="73"/>
      <c r="HI3298" s="73"/>
      <c r="HJ3298" s="73"/>
      <c r="HK3298" s="73"/>
      <c r="HL3298" s="73"/>
      <c r="HM3298" s="73"/>
      <c r="HN3298" s="73"/>
      <c r="HO3298" s="73"/>
      <c r="HP3298" s="73"/>
      <c r="HQ3298" s="73"/>
      <c r="HR3298" s="73"/>
      <c r="HS3298" s="73"/>
      <c r="HT3298" s="73"/>
      <c r="HU3298" s="73"/>
      <c r="HV3298" s="73"/>
      <c r="HW3298" s="73"/>
      <c r="HX3298" s="73"/>
      <c r="HY3298" s="73"/>
      <c r="HZ3298" s="73"/>
      <c r="IA3298" s="73"/>
      <c r="IB3298" s="73"/>
      <c r="IC3298" s="73"/>
      <c r="ID3298" s="73"/>
      <c r="IE3298" s="73"/>
      <c r="IF3298" s="73"/>
      <c r="IG3298" s="73"/>
      <c r="IH3298" s="73"/>
      <c r="II3298" s="73"/>
      <c r="IJ3298" s="73"/>
      <c r="IK3298" s="73"/>
      <c r="IL3298" s="73"/>
      <c r="IM3298" s="73"/>
      <c r="IN3298" s="73"/>
      <c r="IO3298" s="73"/>
      <c r="IP3298" s="73"/>
      <c r="IQ3298" s="73"/>
      <c r="IR3298" s="73"/>
      <c r="IS3298" s="73"/>
      <c r="IT3298" s="73"/>
      <c r="IU3298" s="73"/>
      <c r="IV3298" s="73"/>
      <c r="IW3298" s="73"/>
      <c r="IX3298" s="73"/>
      <c r="IY3298" s="73"/>
      <c r="IZ3298" s="73"/>
      <c r="JA3298" s="73"/>
      <c r="JB3298" s="73"/>
      <c r="JC3298" s="73"/>
    </row>
    <row r="3299" spans="2:263" s="72" customFormat="1">
      <c r="B3299" s="73"/>
      <c r="C3299" s="73"/>
      <c r="D3299" s="73"/>
      <c r="E3299" s="73"/>
      <c r="F3299" s="73"/>
      <c r="G3299" s="73"/>
      <c r="H3299" s="73"/>
      <c r="I3299" s="73"/>
      <c r="J3299" s="73"/>
      <c r="K3299" s="73"/>
      <c r="L3299" s="73"/>
      <c r="M3299" s="73"/>
      <c r="N3299" s="73"/>
      <c r="O3299" s="73"/>
      <c r="P3299" s="73"/>
      <c r="Q3299" s="73"/>
      <c r="R3299" s="73"/>
      <c r="S3299" s="73"/>
      <c r="T3299" s="73"/>
      <c r="U3299" s="73"/>
      <c r="V3299" s="73"/>
      <c r="W3299" s="73"/>
      <c r="GL3299" s="73"/>
      <c r="GM3299" s="73"/>
      <c r="GN3299" s="73"/>
      <c r="GO3299" s="73"/>
      <c r="GP3299" s="73"/>
      <c r="GQ3299" s="73"/>
      <c r="GR3299" s="73"/>
      <c r="GS3299" s="73"/>
      <c r="GT3299" s="73"/>
      <c r="GU3299" s="73"/>
      <c r="GV3299" s="73"/>
      <c r="GW3299" s="73"/>
      <c r="GX3299" s="73"/>
      <c r="GY3299" s="73"/>
      <c r="GZ3299" s="73"/>
      <c r="HA3299" s="73"/>
      <c r="HB3299" s="73"/>
      <c r="HC3299" s="73"/>
      <c r="HD3299" s="73"/>
      <c r="HE3299" s="73"/>
      <c r="HF3299" s="73"/>
      <c r="HG3299" s="73"/>
      <c r="HH3299" s="73"/>
      <c r="HI3299" s="73"/>
      <c r="HJ3299" s="73"/>
      <c r="HK3299" s="73"/>
      <c r="HL3299" s="73"/>
      <c r="HM3299" s="73"/>
      <c r="HN3299" s="73"/>
      <c r="HO3299" s="73"/>
      <c r="HP3299" s="73"/>
      <c r="HQ3299" s="73"/>
      <c r="HR3299" s="73"/>
      <c r="HS3299" s="73"/>
      <c r="HT3299" s="73"/>
      <c r="HU3299" s="73"/>
      <c r="HV3299" s="73"/>
      <c r="HW3299" s="73"/>
      <c r="HX3299" s="73"/>
      <c r="HY3299" s="73"/>
      <c r="HZ3299" s="73"/>
      <c r="IA3299" s="73"/>
      <c r="IB3299" s="73"/>
      <c r="IC3299" s="73"/>
      <c r="ID3299" s="73"/>
      <c r="IE3299" s="73"/>
      <c r="IF3299" s="73"/>
      <c r="IG3299" s="73"/>
      <c r="IH3299" s="73"/>
      <c r="II3299" s="73"/>
      <c r="IJ3299" s="73"/>
      <c r="IK3299" s="73"/>
      <c r="IL3299" s="73"/>
      <c r="IM3299" s="73"/>
      <c r="IN3299" s="73"/>
      <c r="IO3299" s="73"/>
      <c r="IP3299" s="73"/>
      <c r="IQ3299" s="73"/>
      <c r="IR3299" s="73"/>
      <c r="IS3299" s="73"/>
      <c r="IT3299" s="73"/>
      <c r="IU3299" s="73"/>
      <c r="IV3299" s="73"/>
      <c r="IW3299" s="73"/>
      <c r="IX3299" s="73"/>
      <c r="IY3299" s="73"/>
      <c r="IZ3299" s="73"/>
      <c r="JA3299" s="73"/>
      <c r="JB3299" s="73"/>
      <c r="JC3299" s="73"/>
    </row>
    <row r="3300" spans="2:263" s="72" customFormat="1">
      <c r="B3300" s="73"/>
      <c r="C3300" s="73"/>
      <c r="D3300" s="73"/>
      <c r="E3300" s="73"/>
      <c r="F3300" s="73"/>
      <c r="G3300" s="73"/>
      <c r="H3300" s="73"/>
      <c r="I3300" s="73"/>
      <c r="J3300" s="73"/>
      <c r="K3300" s="73"/>
      <c r="L3300" s="73"/>
      <c r="M3300" s="73"/>
      <c r="N3300" s="73"/>
      <c r="O3300" s="73"/>
      <c r="P3300" s="73"/>
      <c r="Q3300" s="73"/>
      <c r="R3300" s="73"/>
      <c r="S3300" s="73"/>
      <c r="T3300" s="73"/>
      <c r="U3300" s="73"/>
      <c r="V3300" s="73"/>
      <c r="W3300" s="73"/>
      <c r="GL3300" s="73"/>
      <c r="GM3300" s="73"/>
      <c r="GN3300" s="73"/>
      <c r="GO3300" s="73"/>
      <c r="GP3300" s="73"/>
      <c r="GQ3300" s="73"/>
      <c r="GR3300" s="73"/>
      <c r="GS3300" s="73"/>
      <c r="GT3300" s="73"/>
      <c r="GU3300" s="73"/>
      <c r="GV3300" s="73"/>
      <c r="GW3300" s="73"/>
      <c r="GX3300" s="73"/>
      <c r="GY3300" s="73"/>
      <c r="GZ3300" s="73"/>
      <c r="HA3300" s="73"/>
      <c r="HB3300" s="73"/>
      <c r="HC3300" s="73"/>
      <c r="HD3300" s="73"/>
      <c r="HE3300" s="73"/>
      <c r="HF3300" s="73"/>
      <c r="HG3300" s="73"/>
      <c r="HH3300" s="73"/>
      <c r="HI3300" s="73"/>
      <c r="HJ3300" s="73"/>
      <c r="HK3300" s="73"/>
      <c r="HL3300" s="73"/>
      <c r="HM3300" s="73"/>
      <c r="HN3300" s="73"/>
      <c r="HO3300" s="73"/>
      <c r="HP3300" s="73"/>
      <c r="HQ3300" s="73"/>
      <c r="HR3300" s="73"/>
      <c r="HS3300" s="73"/>
      <c r="HT3300" s="73"/>
      <c r="HU3300" s="73"/>
      <c r="HV3300" s="73"/>
      <c r="HW3300" s="73"/>
      <c r="HX3300" s="73"/>
      <c r="HY3300" s="73"/>
      <c r="HZ3300" s="73"/>
      <c r="IA3300" s="73"/>
      <c r="IB3300" s="73"/>
      <c r="IC3300" s="73"/>
      <c r="ID3300" s="73"/>
      <c r="IE3300" s="73"/>
      <c r="IF3300" s="73"/>
      <c r="IG3300" s="73"/>
      <c r="IH3300" s="73"/>
      <c r="II3300" s="73"/>
      <c r="IJ3300" s="73"/>
      <c r="IK3300" s="73"/>
      <c r="IL3300" s="73"/>
      <c r="IM3300" s="73"/>
      <c r="IN3300" s="73"/>
      <c r="IO3300" s="73"/>
      <c r="IP3300" s="73"/>
      <c r="IQ3300" s="73"/>
      <c r="IR3300" s="73"/>
      <c r="IS3300" s="73"/>
      <c r="IT3300" s="73"/>
      <c r="IU3300" s="73"/>
      <c r="IV3300" s="73"/>
      <c r="IW3300" s="73"/>
      <c r="IX3300" s="73"/>
      <c r="IY3300" s="73"/>
      <c r="IZ3300" s="73"/>
      <c r="JA3300" s="73"/>
      <c r="JB3300" s="73"/>
      <c r="JC3300" s="73"/>
    </row>
    <row r="3301" spans="2:263" s="72" customFormat="1">
      <c r="B3301" s="73"/>
      <c r="C3301" s="73"/>
      <c r="D3301" s="73"/>
      <c r="E3301" s="73"/>
      <c r="F3301" s="73"/>
      <c r="G3301" s="73"/>
      <c r="H3301" s="73"/>
      <c r="I3301" s="73"/>
      <c r="J3301" s="73"/>
      <c r="K3301" s="73"/>
      <c r="L3301" s="73"/>
      <c r="M3301" s="73"/>
      <c r="N3301" s="73"/>
      <c r="O3301" s="73"/>
      <c r="P3301" s="73"/>
      <c r="Q3301" s="73"/>
      <c r="R3301" s="73"/>
      <c r="S3301" s="73"/>
      <c r="T3301" s="73"/>
      <c r="U3301" s="73"/>
      <c r="V3301" s="73"/>
      <c r="W3301" s="73"/>
      <c r="GL3301" s="73"/>
      <c r="GM3301" s="73"/>
      <c r="GN3301" s="73"/>
      <c r="GO3301" s="73"/>
      <c r="GP3301" s="73"/>
      <c r="GQ3301" s="73"/>
      <c r="GR3301" s="73"/>
      <c r="GS3301" s="73"/>
      <c r="GT3301" s="73"/>
      <c r="GU3301" s="73"/>
      <c r="GV3301" s="73"/>
      <c r="GW3301" s="73"/>
      <c r="GX3301" s="73"/>
      <c r="GY3301" s="73"/>
      <c r="GZ3301" s="73"/>
      <c r="HA3301" s="73"/>
      <c r="HB3301" s="73"/>
      <c r="HC3301" s="73"/>
      <c r="HD3301" s="73"/>
      <c r="HE3301" s="73"/>
      <c r="HF3301" s="73"/>
      <c r="HG3301" s="73"/>
      <c r="HH3301" s="73"/>
      <c r="HI3301" s="73"/>
      <c r="HJ3301" s="73"/>
      <c r="HK3301" s="73"/>
      <c r="HL3301" s="73"/>
      <c r="HM3301" s="73"/>
      <c r="HN3301" s="73"/>
      <c r="HO3301" s="73"/>
      <c r="HP3301" s="73"/>
      <c r="HQ3301" s="73"/>
      <c r="HR3301" s="73"/>
      <c r="HS3301" s="73"/>
      <c r="HT3301" s="73"/>
      <c r="HU3301" s="73"/>
      <c r="HV3301" s="73"/>
      <c r="HW3301" s="73"/>
      <c r="HX3301" s="73"/>
      <c r="HY3301" s="73"/>
      <c r="HZ3301" s="73"/>
      <c r="IA3301" s="73"/>
      <c r="IB3301" s="73"/>
      <c r="IC3301" s="73"/>
      <c r="ID3301" s="73"/>
      <c r="IE3301" s="73"/>
      <c r="IF3301" s="73"/>
      <c r="IG3301" s="73"/>
      <c r="IH3301" s="73"/>
      <c r="II3301" s="73"/>
      <c r="IJ3301" s="73"/>
      <c r="IK3301" s="73"/>
      <c r="IL3301" s="73"/>
      <c r="IM3301" s="73"/>
      <c r="IN3301" s="73"/>
      <c r="IO3301" s="73"/>
      <c r="IP3301" s="73"/>
      <c r="IQ3301" s="73"/>
      <c r="IR3301" s="73"/>
      <c r="IS3301" s="73"/>
      <c r="IT3301" s="73"/>
      <c r="IU3301" s="73"/>
      <c r="IV3301" s="73"/>
      <c r="IW3301" s="73"/>
      <c r="IX3301" s="73"/>
      <c r="IY3301" s="73"/>
      <c r="IZ3301" s="73"/>
      <c r="JA3301" s="73"/>
      <c r="JB3301" s="73"/>
      <c r="JC3301" s="73"/>
    </row>
    <row r="3302" spans="2:263" s="72" customFormat="1">
      <c r="B3302" s="73"/>
      <c r="C3302" s="73"/>
      <c r="D3302" s="73"/>
      <c r="E3302" s="73"/>
      <c r="F3302" s="73"/>
      <c r="G3302" s="73"/>
      <c r="H3302" s="73"/>
      <c r="I3302" s="73"/>
      <c r="J3302" s="73"/>
      <c r="K3302" s="73"/>
      <c r="L3302" s="73"/>
      <c r="M3302" s="73"/>
      <c r="N3302" s="73"/>
      <c r="O3302" s="73"/>
      <c r="P3302" s="73"/>
      <c r="Q3302" s="73"/>
      <c r="R3302" s="73"/>
      <c r="S3302" s="73"/>
      <c r="T3302" s="73"/>
      <c r="U3302" s="73"/>
      <c r="V3302" s="73"/>
      <c r="W3302" s="73"/>
      <c r="GL3302" s="73"/>
      <c r="GM3302" s="73"/>
      <c r="GN3302" s="73"/>
      <c r="GO3302" s="73"/>
      <c r="GP3302" s="73"/>
      <c r="GQ3302" s="73"/>
      <c r="GR3302" s="73"/>
      <c r="GS3302" s="73"/>
      <c r="GT3302" s="73"/>
      <c r="GU3302" s="73"/>
      <c r="GV3302" s="73"/>
      <c r="GW3302" s="73"/>
      <c r="GX3302" s="73"/>
      <c r="GY3302" s="73"/>
      <c r="GZ3302" s="73"/>
      <c r="HA3302" s="73"/>
      <c r="HB3302" s="73"/>
      <c r="HC3302" s="73"/>
      <c r="HD3302" s="73"/>
      <c r="HE3302" s="73"/>
      <c r="HF3302" s="73"/>
      <c r="HG3302" s="73"/>
      <c r="HH3302" s="73"/>
      <c r="HI3302" s="73"/>
      <c r="HJ3302" s="73"/>
      <c r="HK3302" s="73"/>
      <c r="HL3302" s="73"/>
      <c r="HM3302" s="73"/>
      <c r="HN3302" s="73"/>
      <c r="HO3302" s="73"/>
      <c r="HP3302" s="73"/>
      <c r="HQ3302" s="73"/>
      <c r="HR3302" s="73"/>
      <c r="HS3302" s="73"/>
      <c r="HT3302" s="73"/>
      <c r="HU3302" s="73"/>
      <c r="HV3302" s="73"/>
      <c r="HW3302" s="73"/>
      <c r="HX3302" s="73"/>
      <c r="HY3302" s="73"/>
      <c r="HZ3302" s="73"/>
      <c r="IA3302" s="73"/>
      <c r="IB3302" s="73"/>
      <c r="IC3302" s="73"/>
      <c r="ID3302" s="73"/>
      <c r="IE3302" s="73"/>
      <c r="IF3302" s="73"/>
      <c r="IG3302" s="73"/>
      <c r="IH3302" s="73"/>
      <c r="II3302" s="73"/>
      <c r="IJ3302" s="73"/>
      <c r="IK3302" s="73"/>
      <c r="IL3302" s="73"/>
      <c r="IM3302" s="73"/>
      <c r="IN3302" s="73"/>
      <c r="IO3302" s="73"/>
      <c r="IP3302" s="73"/>
      <c r="IQ3302" s="73"/>
      <c r="IR3302" s="73"/>
      <c r="IS3302" s="73"/>
      <c r="IT3302" s="73"/>
      <c r="IU3302" s="73"/>
      <c r="IV3302" s="73"/>
      <c r="IW3302" s="73"/>
      <c r="IX3302" s="73"/>
      <c r="IY3302" s="73"/>
      <c r="IZ3302" s="73"/>
      <c r="JA3302" s="73"/>
      <c r="JB3302" s="73"/>
      <c r="JC3302" s="73"/>
    </row>
    <row r="3303" spans="2:263" s="72" customFormat="1">
      <c r="B3303" s="73"/>
      <c r="C3303" s="73"/>
      <c r="D3303" s="73"/>
      <c r="E3303" s="73"/>
      <c r="F3303" s="73"/>
      <c r="G3303" s="73"/>
      <c r="H3303" s="73"/>
      <c r="I3303" s="73"/>
      <c r="J3303" s="73"/>
      <c r="K3303" s="73"/>
      <c r="L3303" s="73"/>
      <c r="M3303" s="73"/>
      <c r="N3303" s="73"/>
      <c r="O3303" s="73"/>
      <c r="P3303" s="73"/>
      <c r="Q3303" s="73"/>
      <c r="R3303" s="73"/>
      <c r="S3303" s="73"/>
      <c r="T3303" s="73"/>
      <c r="U3303" s="73"/>
      <c r="V3303" s="73"/>
      <c r="W3303" s="73"/>
      <c r="GL3303" s="73"/>
      <c r="GM3303" s="73"/>
      <c r="GN3303" s="73"/>
      <c r="GO3303" s="73"/>
      <c r="GP3303" s="73"/>
      <c r="GQ3303" s="73"/>
      <c r="GR3303" s="73"/>
      <c r="GS3303" s="73"/>
      <c r="GT3303" s="73"/>
      <c r="GU3303" s="73"/>
      <c r="GV3303" s="73"/>
      <c r="GW3303" s="73"/>
      <c r="GX3303" s="73"/>
      <c r="GY3303" s="73"/>
      <c r="GZ3303" s="73"/>
      <c r="HA3303" s="73"/>
      <c r="HB3303" s="73"/>
      <c r="HC3303" s="73"/>
      <c r="HD3303" s="73"/>
      <c r="HE3303" s="73"/>
      <c r="HF3303" s="73"/>
      <c r="HG3303" s="73"/>
      <c r="HH3303" s="73"/>
      <c r="HI3303" s="73"/>
      <c r="HJ3303" s="73"/>
      <c r="HK3303" s="73"/>
      <c r="HL3303" s="73"/>
      <c r="HM3303" s="73"/>
      <c r="HN3303" s="73"/>
      <c r="HO3303" s="73"/>
      <c r="HP3303" s="73"/>
      <c r="HQ3303" s="73"/>
      <c r="HR3303" s="73"/>
      <c r="HS3303" s="73"/>
      <c r="HT3303" s="73"/>
      <c r="HU3303" s="73"/>
      <c r="HV3303" s="73"/>
      <c r="HW3303" s="73"/>
      <c r="HX3303" s="73"/>
      <c r="HY3303" s="73"/>
      <c r="HZ3303" s="73"/>
      <c r="IA3303" s="73"/>
      <c r="IB3303" s="73"/>
      <c r="IC3303" s="73"/>
      <c r="ID3303" s="73"/>
      <c r="IE3303" s="73"/>
      <c r="IF3303" s="73"/>
      <c r="IG3303" s="73"/>
      <c r="IH3303" s="73"/>
      <c r="II3303" s="73"/>
      <c r="IJ3303" s="73"/>
      <c r="IK3303" s="73"/>
      <c r="IL3303" s="73"/>
      <c r="IM3303" s="73"/>
      <c r="IN3303" s="73"/>
      <c r="IO3303" s="73"/>
      <c r="IP3303" s="73"/>
      <c r="IQ3303" s="73"/>
      <c r="IR3303" s="73"/>
      <c r="IS3303" s="73"/>
      <c r="IT3303" s="73"/>
      <c r="IU3303" s="73"/>
      <c r="IV3303" s="73"/>
      <c r="IW3303" s="73"/>
      <c r="IX3303" s="73"/>
      <c r="IY3303" s="73"/>
      <c r="IZ3303" s="73"/>
      <c r="JA3303" s="73"/>
      <c r="JB3303" s="73"/>
      <c r="JC3303" s="73"/>
    </row>
    <row r="3304" spans="2:263" s="72" customFormat="1">
      <c r="B3304" s="73"/>
      <c r="C3304" s="73"/>
      <c r="D3304" s="73"/>
      <c r="E3304" s="73"/>
      <c r="F3304" s="73"/>
      <c r="G3304" s="73"/>
      <c r="H3304" s="73"/>
      <c r="I3304" s="73"/>
      <c r="J3304" s="73"/>
      <c r="K3304" s="73"/>
      <c r="L3304" s="73"/>
      <c r="M3304" s="73"/>
      <c r="N3304" s="73"/>
      <c r="O3304" s="73"/>
      <c r="P3304" s="73"/>
      <c r="Q3304" s="73"/>
      <c r="R3304" s="73"/>
      <c r="S3304" s="73"/>
      <c r="T3304" s="73"/>
      <c r="U3304" s="73"/>
      <c r="V3304" s="73"/>
      <c r="W3304" s="73"/>
      <c r="GL3304" s="73"/>
      <c r="GM3304" s="73"/>
      <c r="GN3304" s="73"/>
      <c r="GO3304" s="73"/>
      <c r="GP3304" s="73"/>
      <c r="GQ3304" s="73"/>
      <c r="GR3304" s="73"/>
      <c r="GS3304" s="73"/>
      <c r="GT3304" s="73"/>
      <c r="GU3304" s="73"/>
      <c r="GV3304" s="73"/>
      <c r="GW3304" s="73"/>
      <c r="GX3304" s="73"/>
      <c r="GY3304" s="73"/>
      <c r="GZ3304" s="73"/>
      <c r="HA3304" s="73"/>
      <c r="HB3304" s="73"/>
      <c r="HC3304" s="73"/>
      <c r="HD3304" s="73"/>
      <c r="HE3304" s="73"/>
      <c r="HF3304" s="73"/>
      <c r="HG3304" s="73"/>
      <c r="HH3304" s="73"/>
      <c r="HI3304" s="73"/>
      <c r="HJ3304" s="73"/>
      <c r="HK3304" s="73"/>
      <c r="HL3304" s="73"/>
      <c r="HM3304" s="73"/>
      <c r="HN3304" s="73"/>
      <c r="HO3304" s="73"/>
      <c r="HP3304" s="73"/>
      <c r="HQ3304" s="73"/>
      <c r="HR3304" s="73"/>
      <c r="HS3304" s="73"/>
      <c r="HT3304" s="73"/>
      <c r="HU3304" s="73"/>
      <c r="HV3304" s="73"/>
      <c r="HW3304" s="73"/>
      <c r="HX3304" s="73"/>
      <c r="HY3304" s="73"/>
      <c r="HZ3304" s="73"/>
      <c r="IA3304" s="73"/>
      <c r="IB3304" s="73"/>
      <c r="IC3304" s="73"/>
      <c r="ID3304" s="73"/>
      <c r="IE3304" s="73"/>
      <c r="IF3304" s="73"/>
      <c r="IG3304" s="73"/>
      <c r="IH3304" s="73"/>
      <c r="II3304" s="73"/>
      <c r="IJ3304" s="73"/>
      <c r="IK3304" s="73"/>
      <c r="IL3304" s="73"/>
      <c r="IM3304" s="73"/>
      <c r="IN3304" s="73"/>
      <c r="IO3304" s="73"/>
      <c r="IP3304" s="73"/>
      <c r="IQ3304" s="73"/>
      <c r="IR3304" s="73"/>
      <c r="IS3304" s="73"/>
      <c r="IT3304" s="73"/>
      <c r="IU3304" s="73"/>
      <c r="IV3304" s="73"/>
      <c r="IW3304" s="73"/>
      <c r="IX3304" s="73"/>
      <c r="IY3304" s="73"/>
      <c r="IZ3304" s="73"/>
      <c r="JA3304" s="73"/>
      <c r="JB3304" s="73"/>
      <c r="JC3304" s="73"/>
    </row>
    <row r="3305" spans="2:263" s="72" customFormat="1">
      <c r="B3305" s="73"/>
      <c r="C3305" s="73"/>
      <c r="D3305" s="73"/>
      <c r="E3305" s="73"/>
      <c r="F3305" s="73"/>
      <c r="G3305" s="73"/>
      <c r="H3305" s="73"/>
      <c r="I3305" s="73"/>
      <c r="J3305" s="73"/>
      <c r="K3305" s="73"/>
      <c r="L3305" s="73"/>
      <c r="M3305" s="73"/>
      <c r="N3305" s="73"/>
      <c r="O3305" s="73"/>
      <c r="P3305" s="73"/>
      <c r="Q3305" s="73"/>
      <c r="R3305" s="73"/>
      <c r="S3305" s="73"/>
      <c r="T3305" s="73"/>
      <c r="U3305" s="73"/>
      <c r="V3305" s="73"/>
      <c r="W3305" s="73"/>
      <c r="GL3305" s="73"/>
      <c r="GM3305" s="73"/>
      <c r="GN3305" s="73"/>
      <c r="GO3305" s="73"/>
      <c r="GP3305" s="73"/>
      <c r="GQ3305" s="73"/>
      <c r="GR3305" s="73"/>
      <c r="GS3305" s="73"/>
      <c r="GT3305" s="73"/>
      <c r="GU3305" s="73"/>
      <c r="GV3305" s="73"/>
      <c r="GW3305" s="73"/>
      <c r="GX3305" s="73"/>
      <c r="GY3305" s="73"/>
      <c r="GZ3305" s="73"/>
      <c r="HA3305" s="73"/>
      <c r="HB3305" s="73"/>
      <c r="HC3305" s="73"/>
      <c r="HD3305" s="73"/>
      <c r="HE3305" s="73"/>
      <c r="HF3305" s="73"/>
      <c r="HG3305" s="73"/>
      <c r="HH3305" s="73"/>
      <c r="HI3305" s="73"/>
      <c r="HJ3305" s="73"/>
      <c r="HK3305" s="73"/>
      <c r="HL3305" s="73"/>
      <c r="HM3305" s="73"/>
      <c r="HN3305" s="73"/>
      <c r="HO3305" s="73"/>
      <c r="HP3305" s="73"/>
      <c r="HQ3305" s="73"/>
      <c r="HR3305" s="73"/>
      <c r="HS3305" s="73"/>
      <c r="HT3305" s="73"/>
      <c r="HU3305" s="73"/>
      <c r="HV3305" s="73"/>
      <c r="HW3305" s="73"/>
      <c r="HX3305" s="73"/>
      <c r="HY3305" s="73"/>
      <c r="HZ3305" s="73"/>
      <c r="IA3305" s="73"/>
      <c r="IB3305" s="73"/>
      <c r="IC3305" s="73"/>
      <c r="ID3305" s="73"/>
      <c r="IE3305" s="73"/>
      <c r="IF3305" s="73"/>
      <c r="IG3305" s="73"/>
      <c r="IH3305" s="73"/>
      <c r="II3305" s="73"/>
      <c r="IJ3305" s="73"/>
      <c r="IK3305" s="73"/>
      <c r="IL3305" s="73"/>
      <c r="IM3305" s="73"/>
      <c r="IN3305" s="73"/>
      <c r="IO3305" s="73"/>
      <c r="IP3305" s="73"/>
      <c r="IQ3305" s="73"/>
      <c r="IR3305" s="73"/>
      <c r="IS3305" s="73"/>
      <c r="IT3305" s="73"/>
      <c r="IU3305" s="73"/>
      <c r="IV3305" s="73"/>
      <c r="IW3305" s="73"/>
      <c r="IX3305" s="73"/>
      <c r="IY3305" s="73"/>
      <c r="IZ3305" s="73"/>
      <c r="JA3305" s="73"/>
      <c r="JB3305" s="73"/>
      <c r="JC3305" s="73"/>
    </row>
    <row r="3306" spans="2:263" s="72" customFormat="1">
      <c r="B3306" s="73"/>
      <c r="C3306" s="73"/>
      <c r="D3306" s="73"/>
      <c r="E3306" s="73"/>
      <c r="F3306" s="73"/>
      <c r="G3306" s="73"/>
      <c r="H3306" s="73"/>
      <c r="I3306" s="73"/>
      <c r="J3306" s="73"/>
      <c r="K3306" s="73"/>
      <c r="L3306" s="73"/>
      <c r="M3306" s="73"/>
      <c r="N3306" s="73"/>
      <c r="O3306" s="73"/>
      <c r="P3306" s="73"/>
      <c r="Q3306" s="73"/>
      <c r="R3306" s="73"/>
      <c r="S3306" s="73"/>
      <c r="T3306" s="73"/>
      <c r="U3306" s="73"/>
      <c r="V3306" s="73"/>
      <c r="W3306" s="73"/>
      <c r="GL3306" s="73"/>
      <c r="GM3306" s="73"/>
      <c r="GN3306" s="73"/>
      <c r="GO3306" s="73"/>
      <c r="GP3306" s="73"/>
      <c r="GQ3306" s="73"/>
      <c r="GR3306" s="73"/>
      <c r="GS3306" s="73"/>
      <c r="GT3306" s="73"/>
      <c r="GU3306" s="73"/>
      <c r="GV3306" s="73"/>
      <c r="GW3306" s="73"/>
      <c r="GX3306" s="73"/>
      <c r="GY3306" s="73"/>
      <c r="GZ3306" s="73"/>
      <c r="HA3306" s="73"/>
      <c r="HB3306" s="73"/>
      <c r="HC3306" s="73"/>
      <c r="HD3306" s="73"/>
      <c r="HE3306" s="73"/>
      <c r="HF3306" s="73"/>
      <c r="HG3306" s="73"/>
      <c r="HH3306" s="73"/>
      <c r="HI3306" s="73"/>
      <c r="HJ3306" s="73"/>
      <c r="HK3306" s="73"/>
      <c r="HL3306" s="73"/>
      <c r="HM3306" s="73"/>
      <c r="HN3306" s="73"/>
      <c r="HO3306" s="73"/>
      <c r="HP3306" s="73"/>
      <c r="HQ3306" s="73"/>
      <c r="HR3306" s="73"/>
      <c r="HS3306" s="73"/>
      <c r="HT3306" s="73"/>
      <c r="HU3306" s="73"/>
      <c r="HV3306" s="73"/>
      <c r="HW3306" s="73"/>
      <c r="HX3306" s="73"/>
      <c r="HY3306" s="73"/>
      <c r="HZ3306" s="73"/>
      <c r="IA3306" s="73"/>
      <c r="IB3306" s="73"/>
      <c r="IC3306" s="73"/>
      <c r="ID3306" s="73"/>
      <c r="IE3306" s="73"/>
      <c r="IF3306" s="73"/>
      <c r="IG3306" s="73"/>
      <c r="IH3306" s="73"/>
      <c r="II3306" s="73"/>
      <c r="IJ3306" s="73"/>
      <c r="IK3306" s="73"/>
      <c r="IL3306" s="73"/>
      <c r="IM3306" s="73"/>
      <c r="IN3306" s="73"/>
      <c r="IO3306" s="73"/>
      <c r="IP3306" s="73"/>
      <c r="IQ3306" s="73"/>
      <c r="IR3306" s="73"/>
      <c r="IS3306" s="73"/>
      <c r="IT3306" s="73"/>
      <c r="IU3306" s="73"/>
      <c r="IV3306" s="73"/>
      <c r="IW3306" s="73"/>
      <c r="IX3306" s="73"/>
      <c r="IY3306" s="73"/>
      <c r="IZ3306" s="73"/>
      <c r="JA3306" s="73"/>
      <c r="JB3306" s="73"/>
      <c r="JC3306" s="73"/>
    </row>
    <row r="3307" spans="2:263" s="72" customFormat="1">
      <c r="B3307" s="73"/>
      <c r="C3307" s="73"/>
      <c r="D3307" s="73"/>
      <c r="E3307" s="73"/>
      <c r="F3307" s="73"/>
      <c r="G3307" s="73"/>
      <c r="H3307" s="73"/>
      <c r="I3307" s="73"/>
      <c r="J3307" s="73"/>
      <c r="K3307" s="73"/>
      <c r="L3307" s="73"/>
      <c r="M3307" s="73"/>
      <c r="N3307" s="73"/>
      <c r="O3307" s="73"/>
      <c r="P3307" s="73"/>
      <c r="Q3307" s="73"/>
      <c r="R3307" s="73"/>
      <c r="S3307" s="73"/>
      <c r="T3307" s="73"/>
      <c r="U3307" s="73"/>
      <c r="V3307" s="73"/>
      <c r="W3307" s="73"/>
      <c r="GL3307" s="73"/>
      <c r="GM3307" s="73"/>
      <c r="GN3307" s="73"/>
      <c r="GO3307" s="73"/>
      <c r="GP3307" s="73"/>
      <c r="GQ3307" s="73"/>
      <c r="GR3307" s="73"/>
      <c r="GS3307" s="73"/>
      <c r="GT3307" s="73"/>
      <c r="GU3307" s="73"/>
      <c r="GV3307" s="73"/>
      <c r="GW3307" s="73"/>
      <c r="GX3307" s="73"/>
      <c r="GY3307" s="73"/>
      <c r="GZ3307" s="73"/>
      <c r="HA3307" s="73"/>
      <c r="HB3307" s="73"/>
      <c r="HC3307" s="73"/>
      <c r="HD3307" s="73"/>
      <c r="HE3307" s="73"/>
      <c r="HF3307" s="73"/>
      <c r="HG3307" s="73"/>
      <c r="HH3307" s="73"/>
      <c r="HI3307" s="73"/>
      <c r="HJ3307" s="73"/>
      <c r="HK3307" s="73"/>
      <c r="HL3307" s="73"/>
      <c r="HM3307" s="73"/>
      <c r="HN3307" s="73"/>
      <c r="HO3307" s="73"/>
      <c r="HP3307" s="73"/>
      <c r="HQ3307" s="73"/>
      <c r="HR3307" s="73"/>
      <c r="HS3307" s="73"/>
      <c r="HT3307" s="73"/>
      <c r="HU3307" s="73"/>
      <c r="HV3307" s="73"/>
      <c r="HW3307" s="73"/>
      <c r="HX3307" s="73"/>
      <c r="HY3307" s="73"/>
      <c r="HZ3307" s="73"/>
      <c r="IA3307" s="73"/>
      <c r="IB3307" s="73"/>
      <c r="IC3307" s="73"/>
      <c r="ID3307" s="73"/>
      <c r="IE3307" s="73"/>
      <c r="IF3307" s="73"/>
      <c r="IG3307" s="73"/>
      <c r="IH3307" s="73"/>
      <c r="II3307" s="73"/>
      <c r="IJ3307" s="73"/>
      <c r="IK3307" s="73"/>
      <c r="IL3307" s="73"/>
      <c r="IM3307" s="73"/>
      <c r="IN3307" s="73"/>
      <c r="IO3307" s="73"/>
      <c r="IP3307" s="73"/>
      <c r="IQ3307" s="73"/>
      <c r="IR3307" s="73"/>
      <c r="IS3307" s="73"/>
      <c r="IT3307" s="73"/>
      <c r="IU3307" s="73"/>
      <c r="IV3307" s="73"/>
      <c r="IW3307" s="73"/>
      <c r="IX3307" s="73"/>
      <c r="IY3307" s="73"/>
      <c r="IZ3307" s="73"/>
      <c r="JA3307" s="73"/>
      <c r="JB3307" s="73"/>
      <c r="JC3307" s="73"/>
    </row>
    <row r="3308" spans="2:263" s="72" customFormat="1">
      <c r="B3308" s="73"/>
      <c r="C3308" s="73"/>
      <c r="D3308" s="73"/>
      <c r="E3308" s="73"/>
      <c r="F3308" s="73"/>
      <c r="G3308" s="73"/>
      <c r="H3308" s="73"/>
      <c r="I3308" s="73"/>
      <c r="J3308" s="73"/>
      <c r="K3308" s="73"/>
      <c r="L3308" s="73"/>
      <c r="M3308" s="73"/>
      <c r="N3308" s="73"/>
      <c r="O3308" s="73"/>
      <c r="P3308" s="73"/>
      <c r="Q3308" s="73"/>
      <c r="R3308" s="73"/>
      <c r="S3308" s="73"/>
      <c r="T3308" s="73"/>
      <c r="U3308" s="73"/>
      <c r="V3308" s="73"/>
      <c r="W3308" s="73"/>
      <c r="GL3308" s="73"/>
      <c r="GM3308" s="73"/>
      <c r="GN3308" s="73"/>
      <c r="GO3308" s="73"/>
      <c r="GP3308" s="73"/>
      <c r="GQ3308" s="73"/>
      <c r="GR3308" s="73"/>
      <c r="GS3308" s="73"/>
      <c r="GT3308" s="73"/>
      <c r="GU3308" s="73"/>
      <c r="GV3308" s="73"/>
      <c r="GW3308" s="73"/>
      <c r="GX3308" s="73"/>
      <c r="GY3308" s="73"/>
      <c r="GZ3308" s="73"/>
      <c r="HA3308" s="73"/>
      <c r="HB3308" s="73"/>
      <c r="HC3308" s="73"/>
      <c r="HD3308" s="73"/>
      <c r="HE3308" s="73"/>
      <c r="HF3308" s="73"/>
      <c r="HG3308" s="73"/>
      <c r="HH3308" s="73"/>
      <c r="HI3308" s="73"/>
      <c r="HJ3308" s="73"/>
      <c r="HK3308" s="73"/>
      <c r="HL3308" s="73"/>
      <c r="HM3308" s="73"/>
      <c r="HN3308" s="73"/>
      <c r="HO3308" s="73"/>
      <c r="HP3308" s="73"/>
      <c r="HQ3308" s="73"/>
      <c r="HR3308" s="73"/>
      <c r="HS3308" s="73"/>
      <c r="HT3308" s="73"/>
      <c r="HU3308" s="73"/>
      <c r="HV3308" s="73"/>
      <c r="HW3308" s="73"/>
      <c r="HX3308" s="73"/>
      <c r="HY3308" s="73"/>
      <c r="HZ3308" s="73"/>
      <c r="IA3308" s="73"/>
      <c r="IB3308" s="73"/>
      <c r="IC3308" s="73"/>
      <c r="ID3308" s="73"/>
      <c r="IE3308" s="73"/>
      <c r="IF3308" s="73"/>
      <c r="IG3308" s="73"/>
      <c r="IH3308" s="73"/>
      <c r="II3308" s="73"/>
      <c r="IJ3308" s="73"/>
      <c r="IK3308" s="73"/>
      <c r="IL3308" s="73"/>
      <c r="IM3308" s="73"/>
      <c r="IN3308" s="73"/>
      <c r="IO3308" s="73"/>
      <c r="IP3308" s="73"/>
      <c r="IQ3308" s="73"/>
      <c r="IR3308" s="73"/>
      <c r="IS3308" s="73"/>
      <c r="IT3308" s="73"/>
      <c r="IU3308" s="73"/>
      <c r="IV3308" s="73"/>
      <c r="IW3308" s="73"/>
      <c r="IX3308" s="73"/>
      <c r="IY3308" s="73"/>
      <c r="IZ3308" s="73"/>
      <c r="JA3308" s="73"/>
      <c r="JB3308" s="73"/>
      <c r="JC3308" s="73"/>
    </row>
    <row r="3309" spans="2:263" s="72" customFormat="1">
      <c r="B3309" s="73"/>
      <c r="C3309" s="73"/>
      <c r="D3309" s="73"/>
      <c r="E3309" s="73"/>
      <c r="F3309" s="73"/>
      <c r="G3309" s="73"/>
      <c r="H3309" s="73"/>
      <c r="I3309" s="73"/>
      <c r="J3309" s="73"/>
      <c r="K3309" s="73"/>
      <c r="L3309" s="73"/>
      <c r="M3309" s="73"/>
      <c r="N3309" s="73"/>
      <c r="O3309" s="73"/>
      <c r="P3309" s="73"/>
      <c r="Q3309" s="73"/>
      <c r="R3309" s="73"/>
      <c r="S3309" s="73"/>
      <c r="T3309" s="73"/>
      <c r="U3309" s="73"/>
      <c r="V3309" s="73"/>
      <c r="W3309" s="73"/>
      <c r="GL3309" s="73"/>
      <c r="GM3309" s="73"/>
      <c r="GN3309" s="73"/>
      <c r="GO3309" s="73"/>
      <c r="GP3309" s="73"/>
      <c r="GQ3309" s="73"/>
      <c r="GR3309" s="73"/>
      <c r="GS3309" s="73"/>
      <c r="GT3309" s="73"/>
      <c r="GU3309" s="73"/>
      <c r="GV3309" s="73"/>
      <c r="GW3309" s="73"/>
      <c r="GX3309" s="73"/>
      <c r="GY3309" s="73"/>
      <c r="GZ3309" s="73"/>
      <c r="HA3309" s="73"/>
      <c r="HB3309" s="73"/>
      <c r="HC3309" s="73"/>
      <c r="HD3309" s="73"/>
      <c r="HE3309" s="73"/>
      <c r="HF3309" s="73"/>
      <c r="HG3309" s="73"/>
      <c r="HH3309" s="73"/>
      <c r="HI3309" s="73"/>
      <c r="HJ3309" s="73"/>
      <c r="HK3309" s="73"/>
      <c r="HL3309" s="73"/>
      <c r="HM3309" s="73"/>
      <c r="HN3309" s="73"/>
      <c r="HO3309" s="73"/>
      <c r="HP3309" s="73"/>
      <c r="HQ3309" s="73"/>
      <c r="HR3309" s="73"/>
      <c r="HS3309" s="73"/>
      <c r="HT3309" s="73"/>
      <c r="HU3309" s="73"/>
      <c r="HV3309" s="73"/>
      <c r="HW3309" s="73"/>
      <c r="HX3309" s="73"/>
      <c r="HY3309" s="73"/>
      <c r="HZ3309" s="73"/>
      <c r="IA3309" s="73"/>
      <c r="IB3309" s="73"/>
      <c r="IC3309" s="73"/>
      <c r="ID3309" s="73"/>
      <c r="IE3309" s="73"/>
      <c r="IF3309" s="73"/>
      <c r="IG3309" s="73"/>
      <c r="IH3309" s="73"/>
      <c r="II3309" s="73"/>
      <c r="IJ3309" s="73"/>
      <c r="IK3309" s="73"/>
      <c r="IL3309" s="73"/>
      <c r="IM3309" s="73"/>
      <c r="IN3309" s="73"/>
      <c r="IO3309" s="73"/>
      <c r="IP3309" s="73"/>
      <c r="IQ3309" s="73"/>
      <c r="IR3309" s="73"/>
      <c r="IS3309" s="73"/>
      <c r="IT3309" s="73"/>
      <c r="IU3309" s="73"/>
      <c r="IV3309" s="73"/>
      <c r="IW3309" s="73"/>
      <c r="IX3309" s="73"/>
      <c r="IY3309" s="73"/>
      <c r="IZ3309" s="73"/>
      <c r="JA3309" s="73"/>
      <c r="JB3309" s="73"/>
      <c r="JC3309" s="73"/>
    </row>
    <row r="3310" spans="2:263" s="72" customFormat="1">
      <c r="B3310" s="73"/>
      <c r="C3310" s="73"/>
      <c r="D3310" s="73"/>
      <c r="E3310" s="73"/>
      <c r="F3310" s="73"/>
      <c r="G3310" s="73"/>
      <c r="H3310" s="73"/>
      <c r="I3310" s="73"/>
      <c r="J3310" s="73"/>
      <c r="K3310" s="73"/>
      <c r="L3310" s="73"/>
      <c r="M3310" s="73"/>
      <c r="N3310" s="73"/>
      <c r="O3310" s="73"/>
      <c r="P3310" s="73"/>
      <c r="Q3310" s="73"/>
      <c r="R3310" s="73"/>
      <c r="S3310" s="73"/>
      <c r="T3310" s="73"/>
      <c r="U3310" s="73"/>
      <c r="V3310" s="73"/>
      <c r="W3310" s="73"/>
      <c r="GL3310" s="73"/>
      <c r="GM3310" s="73"/>
      <c r="GN3310" s="73"/>
      <c r="GO3310" s="73"/>
      <c r="GP3310" s="73"/>
      <c r="GQ3310" s="73"/>
      <c r="GR3310" s="73"/>
      <c r="GS3310" s="73"/>
      <c r="GT3310" s="73"/>
      <c r="GU3310" s="73"/>
      <c r="GV3310" s="73"/>
      <c r="GW3310" s="73"/>
      <c r="GX3310" s="73"/>
      <c r="GY3310" s="73"/>
      <c r="GZ3310" s="73"/>
      <c r="HA3310" s="73"/>
      <c r="HB3310" s="73"/>
      <c r="HC3310" s="73"/>
      <c r="HD3310" s="73"/>
      <c r="HE3310" s="73"/>
      <c r="HF3310" s="73"/>
      <c r="HG3310" s="73"/>
      <c r="HH3310" s="73"/>
      <c r="HI3310" s="73"/>
      <c r="HJ3310" s="73"/>
      <c r="HK3310" s="73"/>
      <c r="HL3310" s="73"/>
      <c r="HM3310" s="73"/>
      <c r="HN3310" s="73"/>
      <c r="HO3310" s="73"/>
      <c r="HP3310" s="73"/>
      <c r="HQ3310" s="73"/>
      <c r="HR3310" s="73"/>
      <c r="HS3310" s="73"/>
      <c r="HT3310" s="73"/>
      <c r="HU3310" s="73"/>
      <c r="HV3310" s="73"/>
      <c r="HW3310" s="73"/>
      <c r="HX3310" s="73"/>
      <c r="HY3310" s="73"/>
      <c r="HZ3310" s="73"/>
      <c r="IA3310" s="73"/>
      <c r="IB3310" s="73"/>
      <c r="IC3310" s="73"/>
      <c r="ID3310" s="73"/>
      <c r="IE3310" s="73"/>
      <c r="IF3310" s="73"/>
      <c r="IG3310" s="73"/>
      <c r="IH3310" s="73"/>
      <c r="II3310" s="73"/>
      <c r="IJ3310" s="73"/>
      <c r="IK3310" s="73"/>
      <c r="IL3310" s="73"/>
      <c r="IM3310" s="73"/>
      <c r="IN3310" s="73"/>
      <c r="IO3310" s="73"/>
      <c r="IP3310" s="73"/>
      <c r="IQ3310" s="73"/>
      <c r="IR3310" s="73"/>
      <c r="IS3310" s="73"/>
      <c r="IT3310" s="73"/>
      <c r="IU3310" s="73"/>
      <c r="IV3310" s="73"/>
      <c r="IW3310" s="73"/>
      <c r="IX3310" s="73"/>
      <c r="IY3310" s="73"/>
      <c r="IZ3310" s="73"/>
      <c r="JA3310" s="73"/>
      <c r="JB3310" s="73"/>
      <c r="JC3310" s="73"/>
    </row>
    <row r="3311" spans="2:263" s="72" customFormat="1">
      <c r="B3311" s="73"/>
      <c r="C3311" s="73"/>
      <c r="D3311" s="73"/>
      <c r="E3311" s="73"/>
      <c r="F3311" s="73"/>
      <c r="G3311" s="73"/>
      <c r="H3311" s="73"/>
      <c r="I3311" s="73"/>
      <c r="J3311" s="73"/>
      <c r="K3311" s="73"/>
      <c r="L3311" s="73"/>
      <c r="M3311" s="73"/>
      <c r="N3311" s="73"/>
      <c r="O3311" s="73"/>
      <c r="P3311" s="73"/>
      <c r="Q3311" s="73"/>
      <c r="R3311" s="73"/>
      <c r="S3311" s="73"/>
      <c r="T3311" s="73"/>
      <c r="U3311" s="73"/>
      <c r="V3311" s="73"/>
      <c r="W3311" s="73"/>
      <c r="GL3311" s="73"/>
      <c r="GM3311" s="73"/>
      <c r="GN3311" s="73"/>
      <c r="GO3311" s="73"/>
      <c r="GP3311" s="73"/>
      <c r="GQ3311" s="73"/>
      <c r="GR3311" s="73"/>
      <c r="GS3311" s="73"/>
      <c r="GT3311" s="73"/>
      <c r="GU3311" s="73"/>
      <c r="GV3311" s="73"/>
      <c r="GW3311" s="73"/>
      <c r="GX3311" s="73"/>
      <c r="GY3311" s="73"/>
      <c r="GZ3311" s="73"/>
      <c r="HA3311" s="73"/>
      <c r="HB3311" s="73"/>
      <c r="HC3311" s="73"/>
      <c r="HD3311" s="73"/>
      <c r="HE3311" s="73"/>
      <c r="HF3311" s="73"/>
      <c r="HG3311" s="73"/>
      <c r="HH3311" s="73"/>
      <c r="HI3311" s="73"/>
      <c r="HJ3311" s="73"/>
      <c r="HK3311" s="73"/>
      <c r="HL3311" s="73"/>
      <c r="HM3311" s="73"/>
      <c r="HN3311" s="73"/>
      <c r="HO3311" s="73"/>
      <c r="HP3311" s="73"/>
      <c r="HQ3311" s="73"/>
      <c r="HR3311" s="73"/>
      <c r="HS3311" s="73"/>
      <c r="HT3311" s="73"/>
      <c r="HU3311" s="73"/>
      <c r="HV3311" s="73"/>
      <c r="HW3311" s="73"/>
      <c r="HX3311" s="73"/>
      <c r="HY3311" s="73"/>
      <c r="HZ3311" s="73"/>
      <c r="IA3311" s="73"/>
      <c r="IB3311" s="73"/>
      <c r="IC3311" s="73"/>
      <c r="ID3311" s="73"/>
      <c r="IE3311" s="73"/>
      <c r="IF3311" s="73"/>
      <c r="IG3311" s="73"/>
      <c r="IH3311" s="73"/>
      <c r="II3311" s="73"/>
      <c r="IJ3311" s="73"/>
      <c r="IK3311" s="73"/>
      <c r="IL3311" s="73"/>
      <c r="IM3311" s="73"/>
      <c r="IN3311" s="73"/>
      <c r="IO3311" s="73"/>
      <c r="IP3311" s="73"/>
      <c r="IQ3311" s="73"/>
      <c r="IR3311" s="73"/>
      <c r="IS3311" s="73"/>
      <c r="IT3311" s="73"/>
      <c r="IU3311" s="73"/>
      <c r="IV3311" s="73"/>
      <c r="IW3311" s="73"/>
      <c r="IX3311" s="73"/>
      <c r="IY3311" s="73"/>
      <c r="IZ3311" s="73"/>
      <c r="JA3311" s="73"/>
      <c r="JB3311" s="73"/>
      <c r="JC3311" s="73"/>
    </row>
    <row r="3312" spans="2:263" s="72" customFormat="1">
      <c r="B3312" s="73"/>
      <c r="C3312" s="73"/>
      <c r="D3312" s="73"/>
      <c r="E3312" s="73"/>
      <c r="F3312" s="73"/>
      <c r="G3312" s="73"/>
      <c r="H3312" s="73"/>
      <c r="I3312" s="73"/>
      <c r="J3312" s="73"/>
      <c r="K3312" s="73"/>
      <c r="L3312" s="73"/>
      <c r="M3312" s="73"/>
      <c r="N3312" s="73"/>
      <c r="O3312" s="73"/>
      <c r="P3312" s="73"/>
      <c r="Q3312" s="73"/>
      <c r="R3312" s="73"/>
      <c r="S3312" s="73"/>
      <c r="T3312" s="73"/>
      <c r="U3312" s="73"/>
      <c r="V3312" s="73"/>
      <c r="W3312" s="73"/>
      <c r="GL3312" s="73"/>
      <c r="GM3312" s="73"/>
      <c r="GN3312" s="73"/>
      <c r="GO3312" s="73"/>
      <c r="GP3312" s="73"/>
      <c r="GQ3312" s="73"/>
      <c r="GR3312" s="73"/>
      <c r="GS3312" s="73"/>
      <c r="GT3312" s="73"/>
      <c r="GU3312" s="73"/>
      <c r="GV3312" s="73"/>
      <c r="GW3312" s="73"/>
      <c r="GX3312" s="73"/>
      <c r="GY3312" s="73"/>
      <c r="GZ3312" s="73"/>
      <c r="HA3312" s="73"/>
      <c r="HB3312" s="73"/>
      <c r="HC3312" s="73"/>
      <c r="HD3312" s="73"/>
      <c r="HE3312" s="73"/>
      <c r="HF3312" s="73"/>
      <c r="HG3312" s="73"/>
      <c r="HH3312" s="73"/>
      <c r="HI3312" s="73"/>
      <c r="HJ3312" s="73"/>
      <c r="HK3312" s="73"/>
      <c r="HL3312" s="73"/>
      <c r="HM3312" s="73"/>
      <c r="HN3312" s="73"/>
      <c r="HO3312" s="73"/>
      <c r="HP3312" s="73"/>
      <c r="HQ3312" s="73"/>
      <c r="HR3312" s="73"/>
      <c r="HS3312" s="73"/>
      <c r="HT3312" s="73"/>
      <c r="HU3312" s="73"/>
      <c r="HV3312" s="73"/>
      <c r="HW3312" s="73"/>
      <c r="HX3312" s="73"/>
      <c r="HY3312" s="73"/>
      <c r="HZ3312" s="73"/>
      <c r="IA3312" s="73"/>
      <c r="IB3312" s="73"/>
      <c r="IC3312" s="73"/>
      <c r="ID3312" s="73"/>
      <c r="IE3312" s="73"/>
      <c r="IF3312" s="73"/>
      <c r="IG3312" s="73"/>
      <c r="IH3312" s="73"/>
      <c r="II3312" s="73"/>
      <c r="IJ3312" s="73"/>
      <c r="IK3312" s="73"/>
      <c r="IL3312" s="73"/>
      <c r="IM3312" s="73"/>
      <c r="IN3312" s="73"/>
      <c r="IO3312" s="73"/>
      <c r="IP3312" s="73"/>
      <c r="IQ3312" s="73"/>
      <c r="IR3312" s="73"/>
      <c r="IS3312" s="73"/>
      <c r="IT3312" s="73"/>
      <c r="IU3312" s="73"/>
      <c r="IV3312" s="73"/>
      <c r="IW3312" s="73"/>
      <c r="IX3312" s="73"/>
      <c r="IY3312" s="73"/>
      <c r="IZ3312" s="73"/>
      <c r="JA3312" s="73"/>
      <c r="JB3312" s="73"/>
      <c r="JC3312" s="73"/>
    </row>
    <row r="3313" spans="2:263" s="72" customFormat="1">
      <c r="B3313" s="73"/>
      <c r="C3313" s="73"/>
      <c r="D3313" s="73"/>
      <c r="E3313" s="73"/>
      <c r="F3313" s="73"/>
      <c r="G3313" s="73"/>
      <c r="H3313" s="73"/>
      <c r="I3313" s="73"/>
      <c r="J3313" s="73"/>
      <c r="K3313" s="73"/>
      <c r="L3313" s="73"/>
      <c r="M3313" s="73"/>
      <c r="N3313" s="73"/>
      <c r="O3313" s="73"/>
      <c r="P3313" s="73"/>
      <c r="Q3313" s="73"/>
      <c r="R3313" s="73"/>
      <c r="S3313" s="73"/>
      <c r="T3313" s="73"/>
      <c r="U3313" s="73"/>
      <c r="V3313" s="73"/>
      <c r="W3313" s="73"/>
      <c r="GL3313" s="73"/>
      <c r="GM3313" s="73"/>
      <c r="GN3313" s="73"/>
      <c r="GO3313" s="73"/>
      <c r="GP3313" s="73"/>
      <c r="GQ3313" s="73"/>
      <c r="GR3313" s="73"/>
      <c r="GS3313" s="73"/>
      <c r="GT3313" s="73"/>
      <c r="GU3313" s="73"/>
      <c r="GV3313" s="73"/>
      <c r="GW3313" s="73"/>
      <c r="GX3313" s="73"/>
      <c r="GY3313" s="73"/>
      <c r="GZ3313" s="73"/>
      <c r="HA3313" s="73"/>
      <c r="HB3313" s="73"/>
      <c r="HC3313" s="73"/>
      <c r="HD3313" s="73"/>
      <c r="HE3313" s="73"/>
      <c r="HF3313" s="73"/>
      <c r="HG3313" s="73"/>
      <c r="HH3313" s="73"/>
      <c r="HI3313" s="73"/>
      <c r="HJ3313" s="73"/>
      <c r="HK3313" s="73"/>
      <c r="HL3313" s="73"/>
      <c r="HM3313" s="73"/>
      <c r="HN3313" s="73"/>
      <c r="HO3313" s="73"/>
      <c r="HP3313" s="73"/>
      <c r="HQ3313" s="73"/>
      <c r="HR3313" s="73"/>
      <c r="HS3313" s="73"/>
      <c r="HT3313" s="73"/>
      <c r="HU3313" s="73"/>
      <c r="HV3313" s="73"/>
      <c r="HW3313" s="73"/>
      <c r="HX3313" s="73"/>
      <c r="HY3313" s="73"/>
      <c r="HZ3313" s="73"/>
      <c r="IA3313" s="73"/>
      <c r="IB3313" s="73"/>
      <c r="IC3313" s="73"/>
      <c r="ID3313" s="73"/>
      <c r="IE3313" s="73"/>
      <c r="IF3313" s="73"/>
      <c r="IG3313" s="73"/>
      <c r="IH3313" s="73"/>
      <c r="II3313" s="73"/>
      <c r="IJ3313" s="73"/>
      <c r="IK3313" s="73"/>
      <c r="IL3313" s="73"/>
      <c r="IM3313" s="73"/>
      <c r="IN3313" s="73"/>
      <c r="IO3313" s="73"/>
      <c r="IP3313" s="73"/>
      <c r="IQ3313" s="73"/>
      <c r="IR3313" s="73"/>
      <c r="IS3313" s="73"/>
      <c r="IT3313" s="73"/>
      <c r="IU3313" s="73"/>
      <c r="IV3313" s="73"/>
      <c r="IW3313" s="73"/>
      <c r="IX3313" s="73"/>
      <c r="IY3313" s="73"/>
      <c r="IZ3313" s="73"/>
      <c r="JA3313" s="73"/>
      <c r="JB3313" s="73"/>
      <c r="JC3313" s="73"/>
    </row>
    <row r="3314" spans="2:263" s="72" customFormat="1">
      <c r="B3314" s="73"/>
      <c r="C3314" s="73"/>
      <c r="D3314" s="73"/>
      <c r="E3314" s="73"/>
      <c r="F3314" s="73"/>
      <c r="G3314" s="73"/>
      <c r="H3314" s="73"/>
      <c r="I3314" s="73"/>
      <c r="J3314" s="73"/>
      <c r="K3314" s="73"/>
      <c r="L3314" s="73"/>
      <c r="M3314" s="73"/>
      <c r="N3314" s="73"/>
      <c r="O3314" s="73"/>
      <c r="P3314" s="73"/>
      <c r="Q3314" s="73"/>
      <c r="R3314" s="73"/>
      <c r="S3314" s="73"/>
      <c r="T3314" s="73"/>
      <c r="U3314" s="73"/>
      <c r="V3314" s="73"/>
      <c r="W3314" s="73"/>
      <c r="GL3314" s="73"/>
      <c r="GM3314" s="73"/>
      <c r="GN3314" s="73"/>
      <c r="GO3314" s="73"/>
      <c r="GP3314" s="73"/>
      <c r="GQ3314" s="73"/>
      <c r="GR3314" s="73"/>
      <c r="GS3314" s="73"/>
      <c r="GT3314" s="73"/>
      <c r="GU3314" s="73"/>
      <c r="GV3314" s="73"/>
      <c r="GW3314" s="73"/>
      <c r="GX3314" s="73"/>
      <c r="GY3314" s="73"/>
      <c r="GZ3314" s="73"/>
      <c r="HA3314" s="73"/>
      <c r="HB3314" s="73"/>
      <c r="HC3314" s="73"/>
      <c r="HD3314" s="73"/>
      <c r="HE3314" s="73"/>
      <c r="HF3314" s="73"/>
      <c r="HG3314" s="73"/>
      <c r="HH3314" s="73"/>
      <c r="HI3314" s="73"/>
      <c r="HJ3314" s="73"/>
      <c r="HK3314" s="73"/>
      <c r="HL3314" s="73"/>
      <c r="HM3314" s="73"/>
      <c r="HN3314" s="73"/>
      <c r="HO3314" s="73"/>
      <c r="HP3314" s="73"/>
      <c r="HQ3314" s="73"/>
      <c r="HR3314" s="73"/>
      <c r="HS3314" s="73"/>
      <c r="HT3314" s="73"/>
      <c r="HU3314" s="73"/>
      <c r="HV3314" s="73"/>
      <c r="HW3314" s="73"/>
      <c r="HX3314" s="73"/>
      <c r="HY3314" s="73"/>
      <c r="HZ3314" s="73"/>
      <c r="IA3314" s="73"/>
      <c r="IB3314" s="73"/>
      <c r="IC3314" s="73"/>
      <c r="ID3314" s="73"/>
      <c r="IE3314" s="73"/>
      <c r="IF3314" s="73"/>
      <c r="IG3314" s="73"/>
      <c r="IH3314" s="73"/>
      <c r="II3314" s="73"/>
      <c r="IJ3314" s="73"/>
      <c r="IK3314" s="73"/>
      <c r="IL3314" s="73"/>
      <c r="IM3314" s="73"/>
      <c r="IN3314" s="73"/>
      <c r="IO3314" s="73"/>
      <c r="IP3314" s="73"/>
      <c r="IQ3314" s="73"/>
      <c r="IR3314" s="73"/>
      <c r="IS3314" s="73"/>
      <c r="IT3314" s="73"/>
      <c r="IU3314" s="73"/>
      <c r="IV3314" s="73"/>
      <c r="IW3314" s="73"/>
      <c r="IX3314" s="73"/>
      <c r="IY3314" s="73"/>
      <c r="IZ3314" s="73"/>
      <c r="JA3314" s="73"/>
      <c r="JB3314" s="73"/>
      <c r="JC3314" s="73"/>
    </row>
    <row r="3315" spans="2:263" s="72" customFormat="1">
      <c r="B3315" s="73"/>
      <c r="C3315" s="73"/>
      <c r="D3315" s="73"/>
      <c r="E3315" s="73"/>
      <c r="F3315" s="73"/>
      <c r="G3315" s="73"/>
      <c r="H3315" s="73"/>
      <c r="I3315" s="73"/>
      <c r="J3315" s="73"/>
      <c r="K3315" s="73"/>
      <c r="L3315" s="73"/>
      <c r="M3315" s="73"/>
      <c r="N3315" s="73"/>
      <c r="O3315" s="73"/>
      <c r="P3315" s="73"/>
      <c r="Q3315" s="73"/>
      <c r="R3315" s="73"/>
      <c r="S3315" s="73"/>
      <c r="T3315" s="73"/>
      <c r="U3315" s="73"/>
      <c r="V3315" s="73"/>
      <c r="W3315" s="73"/>
      <c r="GL3315" s="73"/>
      <c r="GM3315" s="73"/>
      <c r="GN3315" s="73"/>
      <c r="GO3315" s="73"/>
      <c r="GP3315" s="73"/>
      <c r="GQ3315" s="73"/>
      <c r="GR3315" s="73"/>
      <c r="GS3315" s="73"/>
      <c r="GT3315" s="73"/>
      <c r="GU3315" s="73"/>
      <c r="GV3315" s="73"/>
      <c r="GW3315" s="73"/>
      <c r="GX3315" s="73"/>
      <c r="GY3315" s="73"/>
      <c r="GZ3315" s="73"/>
      <c r="HA3315" s="73"/>
      <c r="HB3315" s="73"/>
      <c r="HC3315" s="73"/>
      <c r="HD3315" s="73"/>
      <c r="HE3315" s="73"/>
      <c r="HF3315" s="73"/>
      <c r="HG3315" s="73"/>
      <c r="HH3315" s="73"/>
      <c r="HI3315" s="73"/>
      <c r="HJ3315" s="73"/>
      <c r="HK3315" s="73"/>
      <c r="HL3315" s="73"/>
      <c r="HM3315" s="73"/>
      <c r="HN3315" s="73"/>
      <c r="HO3315" s="73"/>
      <c r="HP3315" s="73"/>
      <c r="HQ3315" s="73"/>
      <c r="HR3315" s="73"/>
      <c r="HS3315" s="73"/>
      <c r="HT3315" s="73"/>
      <c r="HU3315" s="73"/>
      <c r="HV3315" s="73"/>
      <c r="HW3315" s="73"/>
      <c r="HX3315" s="73"/>
      <c r="HY3315" s="73"/>
      <c r="HZ3315" s="73"/>
      <c r="IA3315" s="73"/>
      <c r="IB3315" s="73"/>
      <c r="IC3315" s="73"/>
      <c r="ID3315" s="73"/>
      <c r="IE3315" s="73"/>
      <c r="IF3315" s="73"/>
      <c r="IG3315" s="73"/>
      <c r="IH3315" s="73"/>
      <c r="II3315" s="73"/>
      <c r="IJ3315" s="73"/>
      <c r="IK3315" s="73"/>
      <c r="IL3315" s="73"/>
      <c r="IM3315" s="73"/>
      <c r="IN3315" s="73"/>
      <c r="IO3315" s="73"/>
      <c r="IP3315" s="73"/>
      <c r="IQ3315" s="73"/>
      <c r="IR3315" s="73"/>
      <c r="IS3315" s="73"/>
      <c r="IT3315" s="73"/>
      <c r="IU3315" s="73"/>
      <c r="IV3315" s="73"/>
      <c r="IW3315" s="73"/>
      <c r="IX3315" s="73"/>
      <c r="IY3315" s="73"/>
      <c r="IZ3315" s="73"/>
      <c r="JA3315" s="73"/>
      <c r="JB3315" s="73"/>
      <c r="JC3315" s="73"/>
    </row>
    <row r="3316" spans="2:263" s="72" customFormat="1">
      <c r="B3316" s="73"/>
      <c r="C3316" s="73"/>
      <c r="D3316" s="73"/>
      <c r="E3316" s="73"/>
      <c r="F3316" s="73"/>
      <c r="G3316" s="73"/>
      <c r="H3316" s="73"/>
      <c r="I3316" s="73"/>
      <c r="J3316" s="73"/>
      <c r="K3316" s="73"/>
      <c r="L3316" s="73"/>
      <c r="M3316" s="73"/>
      <c r="N3316" s="73"/>
      <c r="O3316" s="73"/>
      <c r="P3316" s="73"/>
      <c r="Q3316" s="73"/>
      <c r="R3316" s="73"/>
      <c r="S3316" s="73"/>
      <c r="T3316" s="73"/>
      <c r="U3316" s="73"/>
      <c r="V3316" s="73"/>
      <c r="W3316" s="73"/>
      <c r="GL3316" s="73"/>
      <c r="GM3316" s="73"/>
      <c r="GN3316" s="73"/>
      <c r="GO3316" s="73"/>
      <c r="GP3316" s="73"/>
      <c r="GQ3316" s="73"/>
      <c r="GR3316" s="73"/>
      <c r="GS3316" s="73"/>
      <c r="GT3316" s="73"/>
      <c r="GU3316" s="73"/>
      <c r="GV3316" s="73"/>
      <c r="GW3316" s="73"/>
      <c r="GX3316" s="73"/>
      <c r="GY3316" s="73"/>
      <c r="GZ3316" s="73"/>
      <c r="HA3316" s="73"/>
      <c r="HB3316" s="73"/>
      <c r="HC3316" s="73"/>
      <c r="HD3316" s="73"/>
      <c r="HE3316" s="73"/>
      <c r="HF3316" s="73"/>
      <c r="HG3316" s="73"/>
      <c r="HH3316" s="73"/>
      <c r="HI3316" s="73"/>
      <c r="HJ3316" s="73"/>
      <c r="HK3316" s="73"/>
      <c r="HL3316" s="73"/>
      <c r="HM3316" s="73"/>
      <c r="HN3316" s="73"/>
      <c r="HO3316" s="73"/>
      <c r="HP3316" s="73"/>
      <c r="HQ3316" s="73"/>
      <c r="HR3316" s="73"/>
      <c r="HS3316" s="73"/>
      <c r="HT3316" s="73"/>
      <c r="HU3316" s="73"/>
      <c r="HV3316" s="73"/>
      <c r="HW3316" s="73"/>
      <c r="HX3316" s="73"/>
      <c r="HY3316" s="73"/>
      <c r="HZ3316" s="73"/>
      <c r="IA3316" s="73"/>
      <c r="IB3316" s="73"/>
      <c r="IC3316" s="73"/>
      <c r="ID3316" s="73"/>
      <c r="IE3316" s="73"/>
      <c r="IF3316" s="73"/>
      <c r="IG3316" s="73"/>
      <c r="IH3316" s="73"/>
      <c r="II3316" s="73"/>
      <c r="IJ3316" s="73"/>
      <c r="IK3316" s="73"/>
      <c r="IL3316" s="73"/>
      <c r="IM3316" s="73"/>
      <c r="IN3316" s="73"/>
      <c r="IO3316" s="73"/>
      <c r="IP3316" s="73"/>
      <c r="IQ3316" s="73"/>
      <c r="IR3316" s="73"/>
      <c r="IS3316" s="73"/>
      <c r="IT3316" s="73"/>
      <c r="IU3316" s="73"/>
      <c r="IV3316" s="73"/>
      <c r="IW3316" s="73"/>
      <c r="IX3316" s="73"/>
      <c r="IY3316" s="73"/>
      <c r="IZ3316" s="73"/>
      <c r="JA3316" s="73"/>
      <c r="JB3316" s="73"/>
      <c r="JC3316" s="73"/>
    </row>
    <row r="3317" spans="2:263" s="72" customFormat="1">
      <c r="B3317" s="73"/>
      <c r="C3317" s="73"/>
      <c r="D3317" s="73"/>
      <c r="E3317" s="73"/>
      <c r="F3317" s="73"/>
      <c r="G3317" s="73"/>
      <c r="H3317" s="73"/>
      <c r="I3317" s="73"/>
      <c r="J3317" s="73"/>
      <c r="K3317" s="73"/>
      <c r="L3317" s="73"/>
      <c r="M3317" s="73"/>
      <c r="N3317" s="73"/>
      <c r="O3317" s="73"/>
      <c r="P3317" s="73"/>
      <c r="Q3317" s="73"/>
      <c r="R3317" s="73"/>
      <c r="S3317" s="73"/>
      <c r="T3317" s="73"/>
      <c r="U3317" s="73"/>
      <c r="V3317" s="73"/>
      <c r="W3317" s="73"/>
      <c r="GL3317" s="73"/>
      <c r="GM3317" s="73"/>
      <c r="GN3317" s="73"/>
      <c r="GO3317" s="73"/>
      <c r="GP3317" s="73"/>
      <c r="GQ3317" s="73"/>
      <c r="GR3317" s="73"/>
      <c r="GS3317" s="73"/>
      <c r="GT3317" s="73"/>
      <c r="GU3317" s="73"/>
      <c r="GV3317" s="73"/>
      <c r="GW3317" s="73"/>
      <c r="GX3317" s="73"/>
      <c r="GY3317" s="73"/>
      <c r="GZ3317" s="73"/>
      <c r="HA3317" s="73"/>
      <c r="HB3317" s="73"/>
      <c r="HC3317" s="73"/>
      <c r="HD3317" s="73"/>
      <c r="HE3317" s="73"/>
      <c r="HF3317" s="73"/>
      <c r="HG3317" s="73"/>
      <c r="HH3317" s="73"/>
      <c r="HI3317" s="73"/>
      <c r="HJ3317" s="73"/>
      <c r="HK3317" s="73"/>
      <c r="HL3317" s="73"/>
      <c r="HM3317" s="73"/>
      <c r="HN3317" s="73"/>
      <c r="HO3317" s="73"/>
      <c r="HP3317" s="73"/>
      <c r="HQ3317" s="73"/>
      <c r="HR3317" s="73"/>
      <c r="HS3317" s="73"/>
      <c r="HT3317" s="73"/>
      <c r="HU3317" s="73"/>
      <c r="HV3317" s="73"/>
      <c r="HW3317" s="73"/>
      <c r="HX3317" s="73"/>
      <c r="HY3317" s="73"/>
      <c r="HZ3317" s="73"/>
      <c r="IA3317" s="73"/>
      <c r="IB3317" s="73"/>
      <c r="IC3317" s="73"/>
      <c r="ID3317" s="73"/>
      <c r="IE3317" s="73"/>
      <c r="IF3317" s="73"/>
      <c r="IG3317" s="73"/>
      <c r="IH3317" s="73"/>
      <c r="II3317" s="73"/>
      <c r="IJ3317" s="73"/>
      <c r="IK3317" s="73"/>
      <c r="IL3317" s="73"/>
      <c r="IM3317" s="73"/>
      <c r="IN3317" s="73"/>
      <c r="IO3317" s="73"/>
      <c r="IP3317" s="73"/>
      <c r="IQ3317" s="73"/>
      <c r="IR3317" s="73"/>
      <c r="IS3317" s="73"/>
      <c r="IT3317" s="73"/>
      <c r="IU3317" s="73"/>
      <c r="IV3317" s="73"/>
      <c r="IW3317" s="73"/>
      <c r="IX3317" s="73"/>
      <c r="IY3317" s="73"/>
      <c r="IZ3317" s="73"/>
      <c r="JA3317" s="73"/>
      <c r="JB3317" s="73"/>
      <c r="JC3317" s="73"/>
    </row>
    <row r="3318" spans="2:263" s="72" customFormat="1">
      <c r="B3318" s="73"/>
      <c r="C3318" s="73"/>
      <c r="D3318" s="73"/>
      <c r="E3318" s="73"/>
      <c r="F3318" s="73"/>
      <c r="G3318" s="73"/>
      <c r="H3318" s="73"/>
      <c r="I3318" s="73"/>
      <c r="J3318" s="73"/>
      <c r="K3318" s="73"/>
      <c r="L3318" s="73"/>
      <c r="M3318" s="73"/>
      <c r="N3318" s="73"/>
      <c r="O3318" s="73"/>
      <c r="P3318" s="73"/>
      <c r="Q3318" s="73"/>
      <c r="R3318" s="73"/>
      <c r="S3318" s="73"/>
      <c r="T3318" s="73"/>
      <c r="U3318" s="73"/>
      <c r="V3318" s="73"/>
      <c r="W3318" s="73"/>
      <c r="GL3318" s="73"/>
      <c r="GM3318" s="73"/>
      <c r="GN3318" s="73"/>
      <c r="GO3318" s="73"/>
      <c r="GP3318" s="73"/>
      <c r="GQ3318" s="73"/>
      <c r="GR3318" s="73"/>
      <c r="GS3318" s="73"/>
      <c r="GT3318" s="73"/>
      <c r="GU3318" s="73"/>
      <c r="GV3318" s="73"/>
      <c r="GW3318" s="73"/>
      <c r="GX3318" s="73"/>
      <c r="GY3318" s="73"/>
      <c r="GZ3318" s="73"/>
      <c r="HA3318" s="73"/>
      <c r="HB3318" s="73"/>
      <c r="HC3318" s="73"/>
      <c r="HD3318" s="73"/>
      <c r="HE3318" s="73"/>
      <c r="HF3318" s="73"/>
      <c r="HG3318" s="73"/>
      <c r="HH3318" s="73"/>
      <c r="HI3318" s="73"/>
      <c r="HJ3318" s="73"/>
      <c r="HK3318" s="73"/>
      <c r="HL3318" s="73"/>
      <c r="HM3318" s="73"/>
      <c r="HN3318" s="73"/>
      <c r="HO3318" s="73"/>
      <c r="HP3318" s="73"/>
      <c r="HQ3318" s="73"/>
      <c r="HR3318" s="73"/>
      <c r="HS3318" s="73"/>
      <c r="HT3318" s="73"/>
      <c r="HU3318" s="73"/>
      <c r="HV3318" s="73"/>
      <c r="HW3318" s="73"/>
      <c r="HX3318" s="73"/>
      <c r="HY3318" s="73"/>
      <c r="HZ3318" s="73"/>
      <c r="IA3318" s="73"/>
      <c r="IB3318" s="73"/>
      <c r="IC3318" s="73"/>
      <c r="ID3318" s="73"/>
      <c r="IE3318" s="73"/>
      <c r="IF3318" s="73"/>
      <c r="IG3318" s="73"/>
      <c r="IH3318" s="73"/>
      <c r="II3318" s="73"/>
      <c r="IJ3318" s="73"/>
      <c r="IK3318" s="73"/>
      <c r="IL3318" s="73"/>
      <c r="IM3318" s="73"/>
      <c r="IN3318" s="73"/>
      <c r="IO3318" s="73"/>
      <c r="IP3318" s="73"/>
      <c r="IQ3318" s="73"/>
      <c r="IR3318" s="73"/>
      <c r="IS3318" s="73"/>
      <c r="IT3318" s="73"/>
      <c r="IU3318" s="73"/>
      <c r="IV3318" s="73"/>
      <c r="IW3318" s="73"/>
      <c r="IX3318" s="73"/>
      <c r="IY3318" s="73"/>
      <c r="IZ3318" s="73"/>
      <c r="JA3318" s="73"/>
      <c r="JB3318" s="73"/>
      <c r="JC3318" s="73"/>
    </row>
    <row r="3319" spans="2:263" s="72" customFormat="1">
      <c r="B3319" s="73"/>
      <c r="C3319" s="73"/>
      <c r="D3319" s="73"/>
      <c r="E3319" s="73"/>
      <c r="F3319" s="73"/>
      <c r="G3319" s="73"/>
      <c r="H3319" s="73"/>
      <c r="I3319" s="73"/>
      <c r="J3319" s="73"/>
      <c r="K3319" s="73"/>
      <c r="L3319" s="73"/>
      <c r="M3319" s="73"/>
      <c r="N3319" s="73"/>
      <c r="O3319" s="73"/>
      <c r="P3319" s="73"/>
      <c r="Q3319" s="73"/>
      <c r="R3319" s="73"/>
      <c r="S3319" s="73"/>
      <c r="T3319" s="73"/>
      <c r="U3319" s="73"/>
      <c r="V3319" s="73"/>
      <c r="W3319" s="73"/>
      <c r="GL3319" s="73"/>
      <c r="GM3319" s="73"/>
      <c r="GN3319" s="73"/>
      <c r="GO3319" s="73"/>
      <c r="GP3319" s="73"/>
      <c r="GQ3319" s="73"/>
      <c r="GR3319" s="73"/>
      <c r="GS3319" s="73"/>
      <c r="GT3319" s="73"/>
      <c r="GU3319" s="73"/>
      <c r="GV3319" s="73"/>
      <c r="GW3319" s="73"/>
      <c r="GX3319" s="73"/>
      <c r="GY3319" s="73"/>
      <c r="GZ3319" s="73"/>
      <c r="HA3319" s="73"/>
      <c r="HB3319" s="73"/>
      <c r="HC3319" s="73"/>
      <c r="HD3319" s="73"/>
      <c r="HE3319" s="73"/>
      <c r="HF3319" s="73"/>
      <c r="HG3319" s="73"/>
      <c r="HH3319" s="73"/>
      <c r="HI3319" s="73"/>
      <c r="HJ3319" s="73"/>
      <c r="HK3319" s="73"/>
      <c r="HL3319" s="73"/>
      <c r="HM3319" s="73"/>
      <c r="HN3319" s="73"/>
      <c r="HO3319" s="73"/>
      <c r="HP3319" s="73"/>
      <c r="HQ3319" s="73"/>
      <c r="HR3319" s="73"/>
      <c r="HS3319" s="73"/>
      <c r="HT3319" s="73"/>
      <c r="HU3319" s="73"/>
      <c r="HV3319" s="73"/>
      <c r="HW3319" s="73"/>
      <c r="HX3319" s="73"/>
      <c r="HY3319" s="73"/>
      <c r="HZ3319" s="73"/>
      <c r="IA3319" s="73"/>
      <c r="IB3319" s="73"/>
      <c r="IC3319" s="73"/>
      <c r="ID3319" s="73"/>
      <c r="IE3319" s="73"/>
      <c r="IF3319" s="73"/>
      <c r="IG3319" s="73"/>
      <c r="IH3319" s="73"/>
      <c r="II3319" s="73"/>
      <c r="IJ3319" s="73"/>
      <c r="IK3319" s="73"/>
      <c r="IL3319" s="73"/>
      <c r="IM3319" s="73"/>
      <c r="IN3319" s="73"/>
      <c r="IO3319" s="73"/>
      <c r="IP3319" s="73"/>
      <c r="IQ3319" s="73"/>
      <c r="IR3319" s="73"/>
      <c r="IS3319" s="73"/>
      <c r="IT3319" s="73"/>
      <c r="IU3319" s="73"/>
      <c r="IV3319" s="73"/>
      <c r="IW3319" s="73"/>
      <c r="IX3319" s="73"/>
      <c r="IY3319" s="73"/>
      <c r="IZ3319" s="73"/>
      <c r="JA3319" s="73"/>
      <c r="JB3319" s="73"/>
      <c r="JC3319" s="73"/>
    </row>
    <row r="3320" spans="2:263" s="72" customFormat="1">
      <c r="B3320" s="73"/>
      <c r="C3320" s="73"/>
      <c r="D3320" s="73"/>
      <c r="E3320" s="73"/>
      <c r="F3320" s="73"/>
      <c r="G3320" s="73"/>
      <c r="H3320" s="73"/>
      <c r="I3320" s="73"/>
      <c r="J3320" s="73"/>
      <c r="K3320" s="73"/>
      <c r="L3320" s="73"/>
      <c r="M3320" s="73"/>
      <c r="N3320" s="73"/>
      <c r="O3320" s="73"/>
      <c r="P3320" s="73"/>
      <c r="Q3320" s="73"/>
      <c r="R3320" s="73"/>
      <c r="S3320" s="73"/>
      <c r="T3320" s="73"/>
      <c r="U3320" s="73"/>
      <c r="V3320" s="73"/>
      <c r="W3320" s="73"/>
      <c r="GL3320" s="73"/>
      <c r="GM3320" s="73"/>
      <c r="GN3320" s="73"/>
      <c r="GO3320" s="73"/>
      <c r="GP3320" s="73"/>
      <c r="GQ3320" s="73"/>
      <c r="GR3320" s="73"/>
      <c r="GS3320" s="73"/>
      <c r="GT3320" s="73"/>
      <c r="GU3320" s="73"/>
      <c r="GV3320" s="73"/>
      <c r="GW3320" s="73"/>
      <c r="GX3320" s="73"/>
      <c r="GY3320" s="73"/>
      <c r="GZ3320" s="73"/>
      <c r="HA3320" s="73"/>
      <c r="HB3320" s="73"/>
      <c r="HC3320" s="73"/>
      <c r="HD3320" s="73"/>
      <c r="HE3320" s="73"/>
      <c r="HF3320" s="73"/>
      <c r="HG3320" s="73"/>
      <c r="HH3320" s="73"/>
      <c r="HI3320" s="73"/>
      <c r="HJ3320" s="73"/>
      <c r="HK3320" s="73"/>
      <c r="HL3320" s="73"/>
      <c r="HM3320" s="73"/>
      <c r="HN3320" s="73"/>
      <c r="HO3320" s="73"/>
      <c r="HP3320" s="73"/>
      <c r="HQ3320" s="73"/>
      <c r="HR3320" s="73"/>
      <c r="HS3320" s="73"/>
      <c r="HT3320" s="73"/>
      <c r="HU3320" s="73"/>
      <c r="HV3320" s="73"/>
      <c r="HW3320" s="73"/>
      <c r="HX3320" s="73"/>
      <c r="HY3320" s="73"/>
      <c r="HZ3320" s="73"/>
      <c r="IA3320" s="73"/>
      <c r="IB3320" s="73"/>
      <c r="IC3320" s="73"/>
      <c r="ID3320" s="73"/>
      <c r="IE3320" s="73"/>
      <c r="IF3320" s="73"/>
      <c r="IG3320" s="73"/>
      <c r="IH3320" s="73"/>
      <c r="II3320" s="73"/>
      <c r="IJ3320" s="73"/>
      <c r="IK3320" s="73"/>
      <c r="IL3320" s="73"/>
      <c r="IM3320" s="73"/>
      <c r="IN3320" s="73"/>
      <c r="IO3320" s="73"/>
      <c r="IP3320" s="73"/>
      <c r="IQ3320" s="73"/>
      <c r="IR3320" s="73"/>
      <c r="IS3320" s="73"/>
      <c r="IT3320" s="73"/>
      <c r="IU3320" s="73"/>
      <c r="IV3320" s="73"/>
      <c r="IW3320" s="73"/>
      <c r="IX3320" s="73"/>
      <c r="IY3320" s="73"/>
      <c r="IZ3320" s="73"/>
      <c r="JA3320" s="73"/>
      <c r="JB3320" s="73"/>
      <c r="JC3320" s="73"/>
    </row>
    <row r="3321" spans="2:263" s="72" customFormat="1">
      <c r="B3321" s="73"/>
      <c r="C3321" s="73"/>
      <c r="D3321" s="73"/>
      <c r="E3321" s="73"/>
      <c r="F3321" s="73"/>
      <c r="G3321" s="73"/>
      <c r="H3321" s="73"/>
      <c r="I3321" s="73"/>
      <c r="J3321" s="73"/>
      <c r="K3321" s="73"/>
      <c r="L3321" s="73"/>
      <c r="M3321" s="73"/>
      <c r="N3321" s="73"/>
      <c r="O3321" s="73"/>
      <c r="P3321" s="73"/>
      <c r="Q3321" s="73"/>
      <c r="R3321" s="73"/>
      <c r="S3321" s="73"/>
      <c r="T3321" s="73"/>
      <c r="U3321" s="73"/>
      <c r="V3321" s="73"/>
      <c r="W3321" s="73"/>
      <c r="GL3321" s="73"/>
      <c r="GM3321" s="73"/>
      <c r="GN3321" s="73"/>
      <c r="GO3321" s="73"/>
      <c r="GP3321" s="73"/>
      <c r="GQ3321" s="73"/>
      <c r="GR3321" s="73"/>
      <c r="GS3321" s="73"/>
      <c r="GT3321" s="73"/>
      <c r="GU3321" s="73"/>
      <c r="GV3321" s="73"/>
      <c r="GW3321" s="73"/>
      <c r="GX3321" s="73"/>
      <c r="GY3321" s="73"/>
      <c r="GZ3321" s="73"/>
      <c r="HA3321" s="73"/>
      <c r="HB3321" s="73"/>
      <c r="HC3321" s="73"/>
      <c r="HD3321" s="73"/>
      <c r="HE3321" s="73"/>
      <c r="HF3321" s="73"/>
      <c r="HG3321" s="73"/>
      <c r="HH3321" s="73"/>
      <c r="HI3321" s="73"/>
      <c r="HJ3321" s="73"/>
      <c r="HK3321" s="73"/>
      <c r="HL3321" s="73"/>
      <c r="HM3321" s="73"/>
      <c r="HN3321" s="73"/>
      <c r="HO3321" s="73"/>
      <c r="HP3321" s="73"/>
      <c r="HQ3321" s="73"/>
      <c r="HR3321" s="73"/>
      <c r="HS3321" s="73"/>
      <c r="HT3321" s="73"/>
      <c r="HU3321" s="73"/>
      <c r="HV3321" s="73"/>
      <c r="HW3321" s="73"/>
      <c r="HX3321" s="73"/>
      <c r="HY3321" s="73"/>
      <c r="HZ3321" s="73"/>
      <c r="IA3321" s="73"/>
      <c r="IB3321" s="73"/>
      <c r="IC3321" s="73"/>
      <c r="ID3321" s="73"/>
      <c r="IE3321" s="73"/>
      <c r="IF3321" s="73"/>
      <c r="IG3321" s="73"/>
      <c r="IH3321" s="73"/>
      <c r="II3321" s="73"/>
      <c r="IJ3321" s="73"/>
      <c r="IK3321" s="73"/>
      <c r="IL3321" s="73"/>
      <c r="IM3321" s="73"/>
      <c r="IN3321" s="73"/>
      <c r="IO3321" s="73"/>
      <c r="IP3321" s="73"/>
      <c r="IQ3321" s="73"/>
      <c r="IR3321" s="73"/>
      <c r="IS3321" s="73"/>
      <c r="IT3321" s="73"/>
      <c r="IU3321" s="73"/>
      <c r="IV3321" s="73"/>
      <c r="IW3321" s="73"/>
      <c r="IX3321" s="73"/>
      <c r="IY3321" s="73"/>
      <c r="IZ3321" s="73"/>
      <c r="JA3321" s="73"/>
      <c r="JB3321" s="73"/>
      <c r="JC3321" s="73"/>
    </row>
    <row r="3322" spans="2:263" s="72" customFormat="1">
      <c r="B3322" s="73"/>
      <c r="C3322" s="73"/>
      <c r="D3322" s="73"/>
      <c r="E3322" s="73"/>
      <c r="F3322" s="73"/>
      <c r="G3322" s="73"/>
      <c r="H3322" s="73"/>
      <c r="I3322" s="73"/>
      <c r="J3322" s="73"/>
      <c r="K3322" s="73"/>
      <c r="L3322" s="73"/>
      <c r="M3322" s="73"/>
      <c r="N3322" s="73"/>
      <c r="O3322" s="73"/>
      <c r="P3322" s="73"/>
      <c r="Q3322" s="73"/>
      <c r="R3322" s="73"/>
      <c r="S3322" s="73"/>
      <c r="T3322" s="73"/>
      <c r="U3322" s="73"/>
      <c r="V3322" s="73"/>
      <c r="W3322" s="73"/>
      <c r="GL3322" s="73"/>
      <c r="GM3322" s="73"/>
      <c r="GN3322" s="73"/>
      <c r="GO3322" s="73"/>
      <c r="GP3322" s="73"/>
      <c r="GQ3322" s="73"/>
      <c r="GR3322" s="73"/>
      <c r="GS3322" s="73"/>
      <c r="GT3322" s="73"/>
      <c r="GU3322" s="73"/>
      <c r="GV3322" s="73"/>
      <c r="GW3322" s="73"/>
      <c r="GX3322" s="73"/>
      <c r="GY3322" s="73"/>
      <c r="GZ3322" s="73"/>
      <c r="HA3322" s="73"/>
      <c r="HB3322" s="73"/>
      <c r="HC3322" s="73"/>
      <c r="HD3322" s="73"/>
      <c r="HE3322" s="73"/>
      <c r="HF3322" s="73"/>
      <c r="HG3322" s="73"/>
      <c r="HH3322" s="73"/>
      <c r="HI3322" s="73"/>
      <c r="HJ3322" s="73"/>
      <c r="HK3322" s="73"/>
      <c r="HL3322" s="73"/>
      <c r="HM3322" s="73"/>
      <c r="HN3322" s="73"/>
      <c r="HO3322" s="73"/>
      <c r="HP3322" s="73"/>
      <c r="HQ3322" s="73"/>
      <c r="HR3322" s="73"/>
      <c r="HS3322" s="73"/>
      <c r="HT3322" s="73"/>
      <c r="HU3322" s="73"/>
      <c r="HV3322" s="73"/>
      <c r="HW3322" s="73"/>
      <c r="HX3322" s="73"/>
      <c r="HY3322" s="73"/>
      <c r="HZ3322" s="73"/>
      <c r="IA3322" s="73"/>
      <c r="IB3322" s="73"/>
      <c r="IC3322" s="73"/>
      <c r="ID3322" s="73"/>
      <c r="IE3322" s="73"/>
      <c r="IF3322" s="73"/>
      <c r="IG3322" s="73"/>
      <c r="IH3322" s="73"/>
      <c r="II3322" s="73"/>
      <c r="IJ3322" s="73"/>
      <c r="IK3322" s="73"/>
      <c r="IL3322" s="73"/>
      <c r="IM3322" s="73"/>
      <c r="IN3322" s="73"/>
      <c r="IO3322" s="73"/>
      <c r="IP3322" s="73"/>
      <c r="IQ3322" s="73"/>
      <c r="IR3322" s="73"/>
      <c r="IS3322" s="73"/>
      <c r="IT3322" s="73"/>
      <c r="IU3322" s="73"/>
      <c r="IV3322" s="73"/>
      <c r="IW3322" s="73"/>
      <c r="IX3322" s="73"/>
      <c r="IY3322" s="73"/>
      <c r="IZ3322" s="73"/>
      <c r="JA3322" s="73"/>
      <c r="JB3322" s="73"/>
      <c r="JC3322" s="73"/>
    </row>
    <row r="3323" spans="2:263" s="72" customFormat="1">
      <c r="B3323" s="73"/>
      <c r="C3323" s="73"/>
      <c r="D3323" s="73"/>
      <c r="E3323" s="73"/>
      <c r="F3323" s="73"/>
      <c r="G3323" s="73"/>
      <c r="H3323" s="73"/>
      <c r="I3323" s="73"/>
      <c r="J3323" s="73"/>
      <c r="K3323" s="73"/>
      <c r="L3323" s="73"/>
      <c r="M3323" s="73"/>
      <c r="N3323" s="73"/>
      <c r="O3323" s="73"/>
      <c r="P3323" s="73"/>
      <c r="Q3323" s="73"/>
      <c r="R3323" s="73"/>
      <c r="S3323" s="73"/>
      <c r="T3323" s="73"/>
      <c r="U3323" s="73"/>
      <c r="V3323" s="73"/>
      <c r="W3323" s="73"/>
      <c r="GL3323" s="73"/>
      <c r="GM3323" s="73"/>
      <c r="GN3323" s="73"/>
      <c r="GO3323" s="73"/>
      <c r="GP3323" s="73"/>
      <c r="GQ3323" s="73"/>
      <c r="GR3323" s="73"/>
      <c r="GS3323" s="73"/>
      <c r="GT3323" s="73"/>
      <c r="GU3323" s="73"/>
      <c r="GV3323" s="73"/>
      <c r="GW3323" s="73"/>
      <c r="GX3323" s="73"/>
      <c r="GY3323" s="73"/>
      <c r="GZ3323" s="73"/>
      <c r="HA3323" s="73"/>
      <c r="HB3323" s="73"/>
      <c r="HC3323" s="73"/>
      <c r="HD3323" s="73"/>
      <c r="HE3323" s="73"/>
      <c r="HF3323" s="73"/>
      <c r="HG3323" s="73"/>
      <c r="HH3323" s="73"/>
      <c r="HI3323" s="73"/>
      <c r="HJ3323" s="73"/>
      <c r="HK3323" s="73"/>
      <c r="HL3323" s="73"/>
      <c r="HM3323" s="73"/>
      <c r="HN3323" s="73"/>
      <c r="HO3323" s="73"/>
      <c r="HP3323" s="73"/>
      <c r="HQ3323" s="73"/>
      <c r="HR3323" s="73"/>
      <c r="HS3323" s="73"/>
      <c r="HT3323" s="73"/>
      <c r="HU3323" s="73"/>
      <c r="HV3323" s="73"/>
      <c r="HW3323" s="73"/>
      <c r="HX3323" s="73"/>
      <c r="HY3323" s="73"/>
      <c r="HZ3323" s="73"/>
      <c r="IA3323" s="73"/>
      <c r="IB3323" s="73"/>
      <c r="IC3323" s="73"/>
      <c r="ID3323" s="73"/>
      <c r="IE3323" s="73"/>
      <c r="IF3323" s="73"/>
      <c r="IG3323" s="73"/>
      <c r="IH3323" s="73"/>
      <c r="II3323" s="73"/>
      <c r="IJ3323" s="73"/>
      <c r="IK3323" s="73"/>
      <c r="IL3323" s="73"/>
      <c r="IM3323" s="73"/>
      <c r="IN3323" s="73"/>
      <c r="IO3323" s="73"/>
      <c r="IP3323" s="73"/>
      <c r="IQ3323" s="73"/>
      <c r="IR3323" s="73"/>
      <c r="IS3323" s="73"/>
      <c r="IT3323" s="73"/>
      <c r="IU3323" s="73"/>
      <c r="IV3323" s="73"/>
      <c r="IW3323" s="73"/>
      <c r="IX3323" s="73"/>
      <c r="IY3323" s="73"/>
      <c r="IZ3323" s="73"/>
      <c r="JA3323" s="73"/>
      <c r="JB3323" s="73"/>
      <c r="JC3323" s="73"/>
    </row>
    <row r="3324" spans="2:263" s="72" customFormat="1">
      <c r="B3324" s="73"/>
      <c r="C3324" s="73"/>
      <c r="D3324" s="73"/>
      <c r="E3324" s="73"/>
      <c r="F3324" s="73"/>
      <c r="G3324" s="73"/>
      <c r="H3324" s="73"/>
      <c r="I3324" s="73"/>
      <c r="J3324" s="73"/>
      <c r="K3324" s="73"/>
      <c r="L3324" s="73"/>
      <c r="M3324" s="73"/>
      <c r="N3324" s="73"/>
      <c r="O3324" s="73"/>
      <c r="P3324" s="73"/>
      <c r="Q3324" s="73"/>
      <c r="R3324" s="73"/>
      <c r="S3324" s="73"/>
      <c r="T3324" s="73"/>
      <c r="U3324" s="73"/>
      <c r="V3324" s="73"/>
      <c r="W3324" s="73"/>
      <c r="GL3324" s="73"/>
      <c r="GM3324" s="73"/>
      <c r="GN3324" s="73"/>
      <c r="GO3324" s="73"/>
      <c r="GP3324" s="73"/>
      <c r="GQ3324" s="73"/>
      <c r="GR3324" s="73"/>
      <c r="GS3324" s="73"/>
      <c r="GT3324" s="73"/>
      <c r="GU3324" s="73"/>
      <c r="GV3324" s="73"/>
      <c r="GW3324" s="73"/>
      <c r="GX3324" s="73"/>
      <c r="GY3324" s="73"/>
      <c r="GZ3324" s="73"/>
      <c r="HA3324" s="73"/>
      <c r="HB3324" s="73"/>
      <c r="HC3324" s="73"/>
      <c r="HD3324" s="73"/>
      <c r="HE3324" s="73"/>
      <c r="HF3324" s="73"/>
      <c r="HG3324" s="73"/>
      <c r="HH3324" s="73"/>
      <c r="HI3324" s="73"/>
      <c r="HJ3324" s="73"/>
      <c r="HK3324" s="73"/>
      <c r="HL3324" s="73"/>
      <c r="HM3324" s="73"/>
      <c r="HN3324" s="73"/>
      <c r="HO3324" s="73"/>
      <c r="HP3324" s="73"/>
      <c r="HQ3324" s="73"/>
      <c r="HR3324" s="73"/>
      <c r="HS3324" s="73"/>
      <c r="HT3324" s="73"/>
      <c r="HU3324" s="73"/>
      <c r="HV3324" s="73"/>
      <c r="HW3324" s="73"/>
      <c r="HX3324" s="73"/>
      <c r="HY3324" s="73"/>
      <c r="HZ3324" s="73"/>
      <c r="IA3324" s="73"/>
      <c r="IB3324" s="73"/>
      <c r="IC3324" s="73"/>
      <c r="ID3324" s="73"/>
      <c r="IE3324" s="73"/>
      <c r="IF3324" s="73"/>
      <c r="IG3324" s="73"/>
      <c r="IH3324" s="73"/>
      <c r="II3324" s="73"/>
      <c r="IJ3324" s="73"/>
      <c r="IK3324" s="73"/>
      <c r="IL3324" s="73"/>
      <c r="IM3324" s="73"/>
      <c r="IN3324" s="73"/>
      <c r="IO3324" s="73"/>
      <c r="IP3324" s="73"/>
      <c r="IQ3324" s="73"/>
      <c r="IR3324" s="73"/>
      <c r="IS3324" s="73"/>
      <c r="IT3324" s="73"/>
      <c r="IU3324" s="73"/>
      <c r="IV3324" s="73"/>
      <c r="IW3324" s="73"/>
      <c r="IX3324" s="73"/>
      <c r="IY3324" s="73"/>
      <c r="IZ3324" s="73"/>
      <c r="JA3324" s="73"/>
      <c r="JB3324" s="73"/>
      <c r="JC3324" s="73"/>
    </row>
    <row r="3325" spans="2:263" s="72" customFormat="1">
      <c r="B3325" s="73"/>
      <c r="C3325" s="73"/>
      <c r="D3325" s="73"/>
      <c r="E3325" s="73"/>
      <c r="F3325" s="73"/>
      <c r="G3325" s="73"/>
      <c r="H3325" s="73"/>
      <c r="I3325" s="73"/>
      <c r="J3325" s="73"/>
      <c r="K3325" s="73"/>
      <c r="L3325" s="73"/>
      <c r="M3325" s="73"/>
      <c r="N3325" s="73"/>
      <c r="O3325" s="73"/>
      <c r="P3325" s="73"/>
      <c r="Q3325" s="73"/>
      <c r="R3325" s="73"/>
      <c r="S3325" s="73"/>
      <c r="T3325" s="73"/>
      <c r="U3325" s="73"/>
      <c r="V3325" s="73"/>
      <c r="W3325" s="73"/>
      <c r="GL3325" s="73"/>
      <c r="GM3325" s="73"/>
      <c r="GN3325" s="73"/>
      <c r="GO3325" s="73"/>
      <c r="GP3325" s="73"/>
      <c r="GQ3325" s="73"/>
      <c r="GR3325" s="73"/>
      <c r="GS3325" s="73"/>
      <c r="GT3325" s="73"/>
      <c r="GU3325" s="73"/>
      <c r="GV3325" s="73"/>
      <c r="GW3325" s="73"/>
      <c r="GX3325" s="73"/>
      <c r="GY3325" s="73"/>
      <c r="GZ3325" s="73"/>
      <c r="HA3325" s="73"/>
      <c r="HB3325" s="73"/>
      <c r="HC3325" s="73"/>
      <c r="HD3325" s="73"/>
      <c r="HE3325" s="73"/>
      <c r="HF3325" s="73"/>
      <c r="HG3325" s="73"/>
      <c r="HH3325" s="73"/>
      <c r="HI3325" s="73"/>
      <c r="HJ3325" s="73"/>
      <c r="HK3325" s="73"/>
      <c r="HL3325" s="73"/>
      <c r="HM3325" s="73"/>
      <c r="HN3325" s="73"/>
      <c r="HO3325" s="73"/>
      <c r="HP3325" s="73"/>
      <c r="HQ3325" s="73"/>
      <c r="HR3325" s="73"/>
      <c r="HS3325" s="73"/>
      <c r="HT3325" s="73"/>
      <c r="HU3325" s="73"/>
      <c r="HV3325" s="73"/>
      <c r="HW3325" s="73"/>
      <c r="HX3325" s="73"/>
      <c r="HY3325" s="73"/>
      <c r="HZ3325" s="73"/>
      <c r="IA3325" s="73"/>
      <c r="IB3325" s="73"/>
      <c r="IC3325" s="73"/>
      <c r="ID3325" s="73"/>
      <c r="IE3325" s="73"/>
      <c r="IF3325" s="73"/>
      <c r="IG3325" s="73"/>
      <c r="IH3325" s="73"/>
      <c r="II3325" s="73"/>
      <c r="IJ3325" s="73"/>
      <c r="IK3325" s="73"/>
      <c r="IL3325" s="73"/>
      <c r="IM3325" s="73"/>
      <c r="IN3325" s="73"/>
      <c r="IO3325" s="73"/>
      <c r="IP3325" s="73"/>
      <c r="IQ3325" s="73"/>
      <c r="IR3325" s="73"/>
      <c r="IS3325" s="73"/>
      <c r="IT3325" s="73"/>
      <c r="IU3325" s="73"/>
      <c r="IV3325" s="73"/>
      <c r="IW3325" s="73"/>
      <c r="IX3325" s="73"/>
      <c r="IY3325" s="73"/>
      <c r="IZ3325" s="73"/>
      <c r="JA3325" s="73"/>
      <c r="JB3325" s="73"/>
      <c r="JC3325" s="73"/>
    </row>
    <row r="3326" spans="2:263" s="72" customFormat="1">
      <c r="B3326" s="73"/>
      <c r="C3326" s="73"/>
      <c r="D3326" s="73"/>
      <c r="E3326" s="73"/>
      <c r="F3326" s="73"/>
      <c r="G3326" s="73"/>
      <c r="H3326" s="73"/>
      <c r="I3326" s="73"/>
      <c r="J3326" s="73"/>
      <c r="K3326" s="73"/>
      <c r="L3326" s="73"/>
      <c r="M3326" s="73"/>
      <c r="N3326" s="73"/>
      <c r="O3326" s="73"/>
      <c r="P3326" s="73"/>
      <c r="Q3326" s="73"/>
      <c r="R3326" s="73"/>
      <c r="S3326" s="73"/>
      <c r="T3326" s="73"/>
      <c r="U3326" s="73"/>
      <c r="V3326" s="73"/>
      <c r="W3326" s="73"/>
      <c r="GL3326" s="73"/>
      <c r="GM3326" s="73"/>
      <c r="GN3326" s="73"/>
      <c r="GO3326" s="73"/>
      <c r="GP3326" s="73"/>
      <c r="GQ3326" s="73"/>
      <c r="GR3326" s="73"/>
      <c r="GS3326" s="73"/>
      <c r="GT3326" s="73"/>
      <c r="GU3326" s="73"/>
      <c r="GV3326" s="73"/>
      <c r="GW3326" s="73"/>
      <c r="GX3326" s="73"/>
      <c r="GY3326" s="73"/>
      <c r="GZ3326" s="73"/>
      <c r="HA3326" s="73"/>
      <c r="HB3326" s="73"/>
      <c r="HC3326" s="73"/>
      <c r="HD3326" s="73"/>
      <c r="HE3326" s="73"/>
      <c r="HF3326" s="73"/>
      <c r="HG3326" s="73"/>
      <c r="HH3326" s="73"/>
      <c r="HI3326" s="73"/>
      <c r="HJ3326" s="73"/>
      <c r="HK3326" s="73"/>
      <c r="HL3326" s="73"/>
      <c r="HM3326" s="73"/>
      <c r="HN3326" s="73"/>
      <c r="HO3326" s="73"/>
      <c r="HP3326" s="73"/>
      <c r="HQ3326" s="73"/>
      <c r="HR3326" s="73"/>
      <c r="HS3326" s="73"/>
      <c r="HT3326" s="73"/>
      <c r="HU3326" s="73"/>
      <c r="HV3326" s="73"/>
      <c r="HW3326" s="73"/>
      <c r="HX3326" s="73"/>
      <c r="HY3326" s="73"/>
      <c r="HZ3326" s="73"/>
      <c r="IA3326" s="73"/>
      <c r="IB3326" s="73"/>
      <c r="IC3326" s="73"/>
      <c r="ID3326" s="73"/>
      <c r="IE3326" s="73"/>
      <c r="IF3326" s="73"/>
      <c r="IG3326" s="73"/>
      <c r="IH3326" s="73"/>
      <c r="II3326" s="73"/>
      <c r="IJ3326" s="73"/>
      <c r="IK3326" s="73"/>
      <c r="IL3326" s="73"/>
      <c r="IM3326" s="73"/>
      <c r="IN3326" s="73"/>
      <c r="IO3326" s="73"/>
      <c r="IP3326" s="73"/>
      <c r="IQ3326" s="73"/>
      <c r="IR3326" s="73"/>
      <c r="IS3326" s="73"/>
      <c r="IT3326" s="73"/>
      <c r="IU3326" s="73"/>
      <c r="IV3326" s="73"/>
      <c r="IW3326" s="73"/>
      <c r="IX3326" s="73"/>
      <c r="IY3326" s="73"/>
      <c r="IZ3326" s="73"/>
      <c r="JA3326" s="73"/>
      <c r="JB3326" s="73"/>
      <c r="JC3326" s="73"/>
    </row>
    <row r="3327" spans="2:263" s="72" customFormat="1">
      <c r="B3327" s="73"/>
      <c r="C3327" s="73"/>
      <c r="D3327" s="73"/>
      <c r="E3327" s="73"/>
      <c r="F3327" s="73"/>
      <c r="G3327" s="73"/>
      <c r="H3327" s="73"/>
      <c r="I3327" s="73"/>
      <c r="J3327" s="73"/>
      <c r="K3327" s="73"/>
      <c r="L3327" s="73"/>
      <c r="M3327" s="73"/>
      <c r="N3327" s="73"/>
      <c r="O3327" s="73"/>
      <c r="P3327" s="73"/>
      <c r="Q3327" s="73"/>
      <c r="R3327" s="73"/>
      <c r="S3327" s="73"/>
      <c r="T3327" s="73"/>
      <c r="U3327" s="73"/>
      <c r="V3327" s="73"/>
      <c r="W3327" s="73"/>
      <c r="GL3327" s="73"/>
      <c r="GM3327" s="73"/>
      <c r="GN3327" s="73"/>
      <c r="GO3327" s="73"/>
      <c r="GP3327" s="73"/>
      <c r="GQ3327" s="73"/>
      <c r="GR3327" s="73"/>
      <c r="GS3327" s="73"/>
      <c r="GT3327" s="73"/>
      <c r="GU3327" s="73"/>
      <c r="GV3327" s="73"/>
      <c r="GW3327" s="73"/>
      <c r="GX3327" s="73"/>
      <c r="GY3327" s="73"/>
      <c r="GZ3327" s="73"/>
      <c r="HA3327" s="73"/>
      <c r="HB3327" s="73"/>
      <c r="HC3327" s="73"/>
      <c r="HD3327" s="73"/>
      <c r="HE3327" s="73"/>
      <c r="HF3327" s="73"/>
      <c r="HG3327" s="73"/>
      <c r="HH3327" s="73"/>
      <c r="HI3327" s="73"/>
      <c r="HJ3327" s="73"/>
      <c r="HK3327" s="73"/>
      <c r="HL3327" s="73"/>
      <c r="HM3327" s="73"/>
      <c r="HN3327" s="73"/>
      <c r="HO3327" s="73"/>
      <c r="HP3327" s="73"/>
      <c r="HQ3327" s="73"/>
      <c r="HR3327" s="73"/>
      <c r="HS3327" s="73"/>
      <c r="HT3327" s="73"/>
      <c r="HU3327" s="73"/>
      <c r="HV3327" s="73"/>
      <c r="HW3327" s="73"/>
      <c r="HX3327" s="73"/>
      <c r="HY3327" s="73"/>
      <c r="HZ3327" s="73"/>
      <c r="IA3327" s="73"/>
      <c r="IB3327" s="73"/>
      <c r="IC3327" s="73"/>
      <c r="ID3327" s="73"/>
      <c r="IE3327" s="73"/>
      <c r="IF3327" s="73"/>
      <c r="IG3327" s="73"/>
      <c r="IH3327" s="73"/>
      <c r="II3327" s="73"/>
      <c r="IJ3327" s="73"/>
      <c r="IK3327" s="73"/>
      <c r="IL3327" s="73"/>
      <c r="IM3327" s="73"/>
      <c r="IN3327" s="73"/>
      <c r="IO3327" s="73"/>
      <c r="IP3327" s="73"/>
      <c r="IQ3327" s="73"/>
      <c r="IR3327" s="73"/>
      <c r="IS3327" s="73"/>
      <c r="IT3327" s="73"/>
      <c r="IU3327" s="73"/>
      <c r="IV3327" s="73"/>
      <c r="IW3327" s="73"/>
      <c r="IX3327" s="73"/>
      <c r="IY3327" s="73"/>
      <c r="IZ3327" s="73"/>
      <c r="JA3327" s="73"/>
      <c r="JB3327" s="73"/>
      <c r="JC3327" s="73"/>
    </row>
    <row r="3328" spans="2:263" s="72" customFormat="1">
      <c r="B3328" s="73"/>
      <c r="C3328" s="73"/>
      <c r="D3328" s="73"/>
      <c r="E3328" s="73"/>
      <c r="F3328" s="73"/>
      <c r="G3328" s="73"/>
      <c r="H3328" s="73"/>
      <c r="I3328" s="73"/>
      <c r="J3328" s="73"/>
      <c r="K3328" s="73"/>
      <c r="L3328" s="73"/>
      <c r="M3328" s="73"/>
      <c r="N3328" s="73"/>
      <c r="O3328" s="73"/>
      <c r="P3328" s="73"/>
      <c r="Q3328" s="73"/>
      <c r="R3328" s="73"/>
      <c r="S3328" s="73"/>
      <c r="T3328" s="73"/>
      <c r="U3328" s="73"/>
      <c r="V3328" s="73"/>
      <c r="W3328" s="73"/>
      <c r="GL3328" s="73"/>
      <c r="GM3328" s="73"/>
      <c r="GN3328" s="73"/>
      <c r="GO3328" s="73"/>
      <c r="GP3328" s="73"/>
      <c r="GQ3328" s="73"/>
      <c r="GR3328" s="73"/>
      <c r="GS3328" s="73"/>
      <c r="GT3328" s="73"/>
      <c r="GU3328" s="73"/>
      <c r="GV3328" s="73"/>
      <c r="GW3328" s="73"/>
      <c r="GX3328" s="73"/>
      <c r="GY3328" s="73"/>
      <c r="GZ3328" s="73"/>
      <c r="HA3328" s="73"/>
      <c r="HB3328" s="73"/>
      <c r="HC3328" s="73"/>
      <c r="HD3328" s="73"/>
      <c r="HE3328" s="73"/>
      <c r="HF3328" s="73"/>
      <c r="HG3328" s="73"/>
      <c r="HH3328" s="73"/>
      <c r="HI3328" s="73"/>
      <c r="HJ3328" s="73"/>
      <c r="HK3328" s="73"/>
      <c r="HL3328" s="73"/>
      <c r="HM3328" s="73"/>
      <c r="HN3328" s="73"/>
      <c r="HO3328" s="73"/>
      <c r="HP3328" s="73"/>
      <c r="HQ3328" s="73"/>
      <c r="HR3328" s="73"/>
      <c r="HS3328" s="73"/>
      <c r="HT3328" s="73"/>
      <c r="HU3328" s="73"/>
      <c r="HV3328" s="73"/>
      <c r="HW3328" s="73"/>
      <c r="HX3328" s="73"/>
      <c r="HY3328" s="73"/>
      <c r="HZ3328" s="73"/>
      <c r="IA3328" s="73"/>
      <c r="IB3328" s="73"/>
      <c r="IC3328" s="73"/>
      <c r="ID3328" s="73"/>
      <c r="IE3328" s="73"/>
      <c r="IF3328" s="73"/>
      <c r="IG3328" s="73"/>
      <c r="IH3328" s="73"/>
      <c r="II3328" s="73"/>
      <c r="IJ3328" s="73"/>
      <c r="IK3328" s="73"/>
      <c r="IL3328" s="73"/>
      <c r="IM3328" s="73"/>
      <c r="IN3328" s="73"/>
      <c r="IO3328" s="73"/>
      <c r="IP3328" s="73"/>
      <c r="IQ3328" s="73"/>
      <c r="IR3328" s="73"/>
      <c r="IS3328" s="73"/>
      <c r="IT3328" s="73"/>
      <c r="IU3328" s="73"/>
      <c r="IV3328" s="73"/>
      <c r="IW3328" s="73"/>
      <c r="IX3328" s="73"/>
      <c r="IY3328" s="73"/>
      <c r="IZ3328" s="73"/>
      <c r="JA3328" s="73"/>
      <c r="JB3328" s="73"/>
      <c r="JC3328" s="73"/>
    </row>
    <row r="3329" spans="2:263" s="72" customFormat="1">
      <c r="B3329" s="73"/>
      <c r="C3329" s="73"/>
      <c r="D3329" s="73"/>
      <c r="E3329" s="73"/>
      <c r="F3329" s="73"/>
      <c r="G3329" s="73"/>
      <c r="H3329" s="73"/>
      <c r="I3329" s="73"/>
      <c r="J3329" s="73"/>
      <c r="K3329" s="73"/>
      <c r="L3329" s="73"/>
      <c r="M3329" s="73"/>
      <c r="N3329" s="73"/>
      <c r="O3329" s="73"/>
      <c r="P3329" s="73"/>
      <c r="Q3329" s="73"/>
      <c r="R3329" s="73"/>
      <c r="S3329" s="73"/>
      <c r="T3329" s="73"/>
      <c r="U3329" s="73"/>
      <c r="V3329" s="73"/>
      <c r="W3329" s="73"/>
      <c r="GL3329" s="73"/>
      <c r="GM3329" s="73"/>
      <c r="GN3329" s="73"/>
      <c r="GO3329" s="73"/>
      <c r="GP3329" s="73"/>
      <c r="GQ3329" s="73"/>
      <c r="GR3329" s="73"/>
      <c r="GS3329" s="73"/>
      <c r="GT3329" s="73"/>
      <c r="GU3329" s="73"/>
      <c r="GV3329" s="73"/>
      <c r="GW3329" s="73"/>
      <c r="GX3329" s="73"/>
      <c r="GY3329" s="73"/>
      <c r="GZ3329" s="73"/>
      <c r="HA3329" s="73"/>
      <c r="HB3329" s="73"/>
      <c r="HC3329" s="73"/>
      <c r="HD3329" s="73"/>
      <c r="HE3329" s="73"/>
      <c r="HF3329" s="73"/>
      <c r="HG3329" s="73"/>
      <c r="HH3329" s="73"/>
      <c r="HI3329" s="73"/>
      <c r="HJ3329" s="73"/>
      <c r="HK3329" s="73"/>
      <c r="HL3329" s="73"/>
      <c r="HM3329" s="73"/>
      <c r="HN3329" s="73"/>
      <c r="HO3329" s="73"/>
      <c r="HP3329" s="73"/>
      <c r="HQ3329" s="73"/>
      <c r="HR3329" s="73"/>
      <c r="HS3329" s="73"/>
      <c r="HT3329" s="73"/>
      <c r="HU3329" s="73"/>
      <c r="HV3329" s="73"/>
      <c r="HW3329" s="73"/>
      <c r="HX3329" s="73"/>
      <c r="HY3329" s="73"/>
      <c r="HZ3329" s="73"/>
      <c r="IA3329" s="73"/>
      <c r="IB3329" s="73"/>
      <c r="IC3329" s="73"/>
      <c r="ID3329" s="73"/>
      <c r="IE3329" s="73"/>
      <c r="IF3329" s="73"/>
      <c r="IG3329" s="73"/>
      <c r="IH3329" s="73"/>
      <c r="II3329" s="73"/>
      <c r="IJ3329" s="73"/>
      <c r="IK3329" s="73"/>
      <c r="IL3329" s="73"/>
      <c r="IM3329" s="73"/>
      <c r="IN3329" s="73"/>
      <c r="IO3329" s="73"/>
      <c r="IP3329" s="73"/>
      <c r="IQ3329" s="73"/>
      <c r="IR3329" s="73"/>
      <c r="IS3329" s="73"/>
      <c r="IT3329" s="73"/>
      <c r="IU3329" s="73"/>
      <c r="IV3329" s="73"/>
      <c r="IW3329" s="73"/>
      <c r="IX3329" s="73"/>
      <c r="IY3329" s="73"/>
      <c r="IZ3329" s="73"/>
      <c r="JA3329" s="73"/>
      <c r="JB3329" s="73"/>
      <c r="JC3329" s="73"/>
    </row>
    <row r="3330" spans="2:263" s="72" customFormat="1">
      <c r="B3330" s="73"/>
      <c r="C3330" s="73"/>
      <c r="D3330" s="73"/>
      <c r="E3330" s="73"/>
      <c r="F3330" s="73"/>
      <c r="G3330" s="73"/>
      <c r="H3330" s="73"/>
      <c r="I3330" s="73"/>
      <c r="J3330" s="73"/>
      <c r="K3330" s="73"/>
      <c r="L3330" s="73"/>
      <c r="M3330" s="73"/>
      <c r="N3330" s="73"/>
      <c r="O3330" s="73"/>
      <c r="P3330" s="73"/>
      <c r="Q3330" s="73"/>
      <c r="R3330" s="73"/>
      <c r="S3330" s="73"/>
      <c r="T3330" s="73"/>
      <c r="U3330" s="73"/>
      <c r="V3330" s="73"/>
      <c r="W3330" s="73"/>
      <c r="GL3330" s="73"/>
      <c r="GM3330" s="73"/>
      <c r="GN3330" s="73"/>
      <c r="GO3330" s="73"/>
      <c r="GP3330" s="73"/>
      <c r="GQ3330" s="73"/>
      <c r="GR3330" s="73"/>
      <c r="GS3330" s="73"/>
      <c r="GT3330" s="73"/>
      <c r="GU3330" s="73"/>
      <c r="GV3330" s="73"/>
      <c r="GW3330" s="73"/>
      <c r="GX3330" s="73"/>
      <c r="GY3330" s="73"/>
      <c r="GZ3330" s="73"/>
      <c r="HA3330" s="73"/>
      <c r="HB3330" s="73"/>
      <c r="HC3330" s="73"/>
      <c r="HD3330" s="73"/>
      <c r="HE3330" s="73"/>
      <c r="HF3330" s="73"/>
      <c r="HG3330" s="73"/>
      <c r="HH3330" s="73"/>
      <c r="HI3330" s="73"/>
      <c r="HJ3330" s="73"/>
      <c r="HK3330" s="73"/>
      <c r="HL3330" s="73"/>
      <c r="HM3330" s="73"/>
      <c r="HN3330" s="73"/>
      <c r="HO3330" s="73"/>
      <c r="HP3330" s="73"/>
      <c r="HQ3330" s="73"/>
      <c r="HR3330" s="73"/>
      <c r="HS3330" s="73"/>
      <c r="HT3330" s="73"/>
      <c r="HU3330" s="73"/>
      <c r="HV3330" s="73"/>
      <c r="HW3330" s="73"/>
      <c r="HX3330" s="73"/>
      <c r="HY3330" s="73"/>
      <c r="HZ3330" s="73"/>
      <c r="IA3330" s="73"/>
      <c r="IB3330" s="73"/>
      <c r="IC3330" s="73"/>
      <c r="ID3330" s="73"/>
      <c r="IE3330" s="73"/>
      <c r="IF3330" s="73"/>
      <c r="IG3330" s="73"/>
      <c r="IH3330" s="73"/>
      <c r="II3330" s="73"/>
      <c r="IJ3330" s="73"/>
      <c r="IK3330" s="73"/>
      <c r="IL3330" s="73"/>
      <c r="IM3330" s="73"/>
      <c r="IN3330" s="73"/>
      <c r="IO3330" s="73"/>
      <c r="IP3330" s="73"/>
      <c r="IQ3330" s="73"/>
      <c r="IR3330" s="73"/>
      <c r="IS3330" s="73"/>
      <c r="IT3330" s="73"/>
      <c r="IU3330" s="73"/>
      <c r="IV3330" s="73"/>
      <c r="IW3330" s="73"/>
      <c r="IX3330" s="73"/>
      <c r="IY3330" s="73"/>
      <c r="IZ3330" s="73"/>
      <c r="JA3330" s="73"/>
      <c r="JB3330" s="73"/>
      <c r="JC3330" s="73"/>
    </row>
    <row r="3331" spans="2:263" s="72" customFormat="1">
      <c r="B3331" s="73"/>
      <c r="C3331" s="73"/>
      <c r="D3331" s="73"/>
      <c r="E3331" s="73"/>
      <c r="F3331" s="73"/>
      <c r="G3331" s="73"/>
      <c r="H3331" s="73"/>
      <c r="I3331" s="73"/>
      <c r="J3331" s="73"/>
      <c r="K3331" s="73"/>
      <c r="L3331" s="73"/>
      <c r="M3331" s="73"/>
      <c r="N3331" s="73"/>
      <c r="O3331" s="73"/>
      <c r="P3331" s="73"/>
      <c r="Q3331" s="73"/>
      <c r="R3331" s="73"/>
      <c r="S3331" s="73"/>
      <c r="T3331" s="73"/>
      <c r="U3331" s="73"/>
      <c r="V3331" s="73"/>
      <c r="W3331" s="73"/>
      <c r="GL3331" s="73"/>
      <c r="GM3331" s="73"/>
      <c r="GN3331" s="73"/>
      <c r="GO3331" s="73"/>
      <c r="GP3331" s="73"/>
      <c r="GQ3331" s="73"/>
      <c r="GR3331" s="73"/>
      <c r="GS3331" s="73"/>
      <c r="GT3331" s="73"/>
      <c r="GU3331" s="73"/>
      <c r="GV3331" s="73"/>
      <c r="GW3331" s="73"/>
      <c r="GX3331" s="73"/>
      <c r="GY3331" s="73"/>
      <c r="GZ3331" s="73"/>
      <c r="HA3331" s="73"/>
      <c r="HB3331" s="73"/>
      <c r="HC3331" s="73"/>
      <c r="HD3331" s="73"/>
      <c r="HE3331" s="73"/>
      <c r="HF3331" s="73"/>
      <c r="HG3331" s="73"/>
      <c r="HH3331" s="73"/>
      <c r="HI3331" s="73"/>
      <c r="HJ3331" s="73"/>
      <c r="HK3331" s="73"/>
      <c r="HL3331" s="73"/>
      <c r="HM3331" s="73"/>
      <c r="HN3331" s="73"/>
      <c r="HO3331" s="73"/>
      <c r="HP3331" s="73"/>
      <c r="HQ3331" s="73"/>
      <c r="HR3331" s="73"/>
      <c r="HS3331" s="73"/>
      <c r="HT3331" s="73"/>
      <c r="HU3331" s="73"/>
      <c r="HV3331" s="73"/>
      <c r="HW3331" s="73"/>
      <c r="HX3331" s="73"/>
      <c r="HY3331" s="73"/>
      <c r="HZ3331" s="73"/>
      <c r="IA3331" s="73"/>
      <c r="IB3331" s="73"/>
      <c r="IC3331" s="73"/>
      <c r="ID3331" s="73"/>
      <c r="IE3331" s="73"/>
      <c r="IF3331" s="73"/>
      <c r="IG3331" s="73"/>
      <c r="IH3331" s="73"/>
      <c r="II3331" s="73"/>
      <c r="IJ3331" s="73"/>
      <c r="IK3331" s="73"/>
      <c r="IL3331" s="73"/>
      <c r="IM3331" s="73"/>
      <c r="IN3331" s="73"/>
      <c r="IO3331" s="73"/>
      <c r="IP3331" s="73"/>
      <c r="IQ3331" s="73"/>
      <c r="IR3331" s="73"/>
      <c r="IS3331" s="73"/>
      <c r="IT3331" s="73"/>
      <c r="IU3331" s="73"/>
      <c r="IV3331" s="73"/>
      <c r="IW3331" s="73"/>
      <c r="IX3331" s="73"/>
      <c r="IY3331" s="73"/>
      <c r="IZ3331" s="73"/>
      <c r="JA3331" s="73"/>
      <c r="JB3331" s="73"/>
      <c r="JC3331" s="73"/>
    </row>
    <row r="3332" spans="2:263" s="72" customFormat="1">
      <c r="B3332" s="73"/>
      <c r="C3332" s="73"/>
      <c r="D3332" s="73"/>
      <c r="E3332" s="73"/>
      <c r="F3332" s="73"/>
      <c r="G3332" s="73"/>
      <c r="H3332" s="73"/>
      <c r="I3332" s="73"/>
      <c r="J3332" s="73"/>
      <c r="K3332" s="73"/>
      <c r="L3332" s="73"/>
      <c r="M3332" s="73"/>
      <c r="N3332" s="73"/>
      <c r="O3332" s="73"/>
      <c r="P3332" s="73"/>
      <c r="Q3332" s="73"/>
      <c r="R3332" s="73"/>
      <c r="S3332" s="73"/>
      <c r="T3332" s="73"/>
      <c r="U3332" s="73"/>
      <c r="V3332" s="73"/>
      <c r="W3332" s="73"/>
      <c r="GL3332" s="73"/>
      <c r="GM3332" s="73"/>
      <c r="GN3332" s="73"/>
      <c r="GO3332" s="73"/>
      <c r="GP3332" s="73"/>
      <c r="GQ3332" s="73"/>
      <c r="GR3332" s="73"/>
      <c r="GS3332" s="73"/>
      <c r="GT3332" s="73"/>
      <c r="GU3332" s="73"/>
      <c r="GV3332" s="73"/>
      <c r="GW3332" s="73"/>
      <c r="GX3332" s="73"/>
      <c r="GY3332" s="73"/>
      <c r="GZ3332" s="73"/>
      <c r="HA3332" s="73"/>
      <c r="HB3332" s="73"/>
      <c r="HC3332" s="73"/>
      <c r="HD3332" s="73"/>
      <c r="HE3332" s="73"/>
      <c r="HF3332" s="73"/>
      <c r="HG3332" s="73"/>
      <c r="HH3332" s="73"/>
      <c r="HI3332" s="73"/>
      <c r="HJ3332" s="73"/>
      <c r="HK3332" s="73"/>
      <c r="HL3332" s="73"/>
      <c r="HM3332" s="73"/>
      <c r="HN3332" s="73"/>
      <c r="HO3332" s="73"/>
      <c r="HP3332" s="73"/>
      <c r="HQ3332" s="73"/>
      <c r="HR3332" s="73"/>
      <c r="HS3332" s="73"/>
      <c r="HT3332" s="73"/>
      <c r="HU3332" s="73"/>
      <c r="HV3332" s="73"/>
      <c r="HW3332" s="73"/>
      <c r="HX3332" s="73"/>
      <c r="HY3332" s="73"/>
      <c r="HZ3332" s="73"/>
      <c r="IA3332" s="73"/>
      <c r="IB3332" s="73"/>
      <c r="IC3332" s="73"/>
      <c r="ID3332" s="73"/>
      <c r="IE3332" s="73"/>
      <c r="IF3332" s="73"/>
      <c r="IG3332" s="73"/>
      <c r="IH3332" s="73"/>
      <c r="II3332" s="73"/>
      <c r="IJ3332" s="73"/>
      <c r="IK3332" s="73"/>
      <c r="IL3332" s="73"/>
      <c r="IM3332" s="73"/>
      <c r="IN3332" s="73"/>
      <c r="IO3332" s="73"/>
      <c r="IP3332" s="73"/>
      <c r="IQ3332" s="73"/>
      <c r="IR3332" s="73"/>
      <c r="IS3332" s="73"/>
      <c r="IT3332" s="73"/>
      <c r="IU3332" s="73"/>
      <c r="IV3332" s="73"/>
      <c r="IW3332" s="73"/>
      <c r="IX3332" s="73"/>
      <c r="IY3332" s="73"/>
      <c r="IZ3332" s="73"/>
      <c r="JA3332" s="73"/>
      <c r="JB3332" s="73"/>
      <c r="JC3332" s="73"/>
    </row>
    <row r="3333" spans="2:263" s="72" customFormat="1">
      <c r="B3333" s="73"/>
      <c r="C3333" s="73"/>
      <c r="D3333" s="73"/>
      <c r="E3333" s="73"/>
      <c r="F3333" s="73"/>
      <c r="G3333" s="73"/>
      <c r="H3333" s="73"/>
      <c r="I3333" s="73"/>
      <c r="J3333" s="73"/>
      <c r="K3333" s="73"/>
      <c r="L3333" s="73"/>
      <c r="M3333" s="73"/>
      <c r="N3333" s="73"/>
      <c r="O3333" s="73"/>
      <c r="P3333" s="73"/>
      <c r="Q3333" s="73"/>
      <c r="R3333" s="73"/>
      <c r="S3333" s="73"/>
      <c r="T3333" s="73"/>
      <c r="U3333" s="73"/>
      <c r="V3333" s="73"/>
      <c r="W3333" s="73"/>
      <c r="GL3333" s="73"/>
      <c r="GM3333" s="73"/>
      <c r="GN3333" s="73"/>
      <c r="GO3333" s="73"/>
      <c r="GP3333" s="73"/>
      <c r="GQ3333" s="73"/>
      <c r="GR3333" s="73"/>
      <c r="GS3333" s="73"/>
      <c r="GT3333" s="73"/>
      <c r="GU3333" s="73"/>
      <c r="GV3333" s="73"/>
      <c r="GW3333" s="73"/>
      <c r="GX3333" s="73"/>
      <c r="GY3333" s="73"/>
      <c r="GZ3333" s="73"/>
      <c r="HA3333" s="73"/>
      <c r="HB3333" s="73"/>
      <c r="HC3333" s="73"/>
      <c r="HD3333" s="73"/>
      <c r="HE3333" s="73"/>
      <c r="HF3333" s="73"/>
      <c r="HG3333" s="73"/>
      <c r="HH3333" s="73"/>
      <c r="HI3333" s="73"/>
      <c r="HJ3333" s="73"/>
      <c r="HK3333" s="73"/>
      <c r="HL3333" s="73"/>
      <c r="HM3333" s="73"/>
      <c r="HN3333" s="73"/>
      <c r="HO3333" s="73"/>
      <c r="HP3333" s="73"/>
      <c r="HQ3333" s="73"/>
      <c r="HR3333" s="73"/>
      <c r="HS3333" s="73"/>
      <c r="HT3333" s="73"/>
      <c r="HU3333" s="73"/>
      <c r="HV3333" s="73"/>
      <c r="HW3333" s="73"/>
      <c r="HX3333" s="73"/>
      <c r="HY3333" s="73"/>
      <c r="HZ3333" s="73"/>
      <c r="IA3333" s="73"/>
      <c r="IB3333" s="73"/>
      <c r="IC3333" s="73"/>
      <c r="ID3333" s="73"/>
      <c r="IE3333" s="73"/>
      <c r="IF3333" s="73"/>
      <c r="IG3333" s="73"/>
      <c r="IH3333" s="73"/>
      <c r="II3333" s="73"/>
      <c r="IJ3333" s="73"/>
      <c r="IK3333" s="73"/>
      <c r="IL3333" s="73"/>
      <c r="IM3333" s="73"/>
      <c r="IN3333" s="73"/>
      <c r="IO3333" s="73"/>
      <c r="IP3333" s="73"/>
      <c r="IQ3333" s="73"/>
      <c r="IR3333" s="73"/>
      <c r="IS3333" s="73"/>
      <c r="IT3333" s="73"/>
      <c r="IU3333" s="73"/>
      <c r="IV3333" s="73"/>
      <c r="IW3333" s="73"/>
      <c r="IX3333" s="73"/>
      <c r="IY3333" s="73"/>
      <c r="IZ3333" s="73"/>
      <c r="JA3333" s="73"/>
      <c r="JB3333" s="73"/>
      <c r="JC3333" s="73"/>
    </row>
    <row r="3334" spans="2:263" s="72" customFormat="1">
      <c r="B3334" s="73"/>
      <c r="C3334" s="73"/>
      <c r="D3334" s="73"/>
      <c r="E3334" s="73"/>
      <c r="F3334" s="73"/>
      <c r="G3334" s="73"/>
      <c r="H3334" s="73"/>
      <c r="I3334" s="73"/>
      <c r="J3334" s="73"/>
      <c r="K3334" s="73"/>
      <c r="L3334" s="73"/>
      <c r="M3334" s="73"/>
      <c r="N3334" s="73"/>
      <c r="O3334" s="73"/>
      <c r="P3334" s="73"/>
      <c r="Q3334" s="73"/>
      <c r="R3334" s="73"/>
      <c r="S3334" s="73"/>
      <c r="T3334" s="73"/>
      <c r="U3334" s="73"/>
      <c r="V3334" s="73"/>
      <c r="W3334" s="73"/>
      <c r="GL3334" s="73"/>
      <c r="GM3334" s="73"/>
      <c r="GN3334" s="73"/>
      <c r="GO3334" s="73"/>
      <c r="GP3334" s="73"/>
      <c r="GQ3334" s="73"/>
      <c r="GR3334" s="73"/>
      <c r="GS3334" s="73"/>
      <c r="GT3334" s="73"/>
      <c r="GU3334" s="73"/>
      <c r="GV3334" s="73"/>
      <c r="GW3334" s="73"/>
      <c r="GX3334" s="73"/>
      <c r="GY3334" s="73"/>
      <c r="GZ3334" s="73"/>
      <c r="HA3334" s="73"/>
      <c r="HB3334" s="73"/>
      <c r="HC3334" s="73"/>
      <c r="HD3334" s="73"/>
      <c r="HE3334" s="73"/>
      <c r="HF3334" s="73"/>
      <c r="HG3334" s="73"/>
      <c r="HH3334" s="73"/>
      <c r="HI3334" s="73"/>
      <c r="HJ3334" s="73"/>
      <c r="HK3334" s="73"/>
      <c r="HL3334" s="73"/>
      <c r="HM3334" s="73"/>
      <c r="HN3334" s="73"/>
      <c r="HO3334" s="73"/>
      <c r="HP3334" s="73"/>
      <c r="HQ3334" s="73"/>
      <c r="HR3334" s="73"/>
      <c r="HS3334" s="73"/>
      <c r="HT3334" s="73"/>
      <c r="HU3334" s="73"/>
      <c r="HV3334" s="73"/>
      <c r="HW3334" s="73"/>
      <c r="HX3334" s="73"/>
      <c r="HY3334" s="73"/>
      <c r="HZ3334" s="73"/>
      <c r="IA3334" s="73"/>
      <c r="IB3334" s="73"/>
      <c r="IC3334" s="73"/>
      <c r="ID3334" s="73"/>
      <c r="IE3334" s="73"/>
      <c r="IF3334" s="73"/>
      <c r="IG3334" s="73"/>
      <c r="IH3334" s="73"/>
      <c r="II3334" s="73"/>
      <c r="IJ3334" s="73"/>
      <c r="IK3334" s="73"/>
      <c r="IL3334" s="73"/>
      <c r="IM3334" s="73"/>
      <c r="IN3334" s="73"/>
      <c r="IO3334" s="73"/>
      <c r="IP3334" s="73"/>
      <c r="IQ3334" s="73"/>
      <c r="IR3334" s="73"/>
      <c r="IS3334" s="73"/>
      <c r="IT3334" s="73"/>
      <c r="IU3334" s="73"/>
      <c r="IV3334" s="73"/>
      <c r="IW3334" s="73"/>
      <c r="IX3334" s="73"/>
      <c r="IY3334" s="73"/>
      <c r="IZ3334" s="73"/>
      <c r="JA3334" s="73"/>
      <c r="JB3334" s="73"/>
      <c r="JC3334" s="73"/>
    </row>
    <row r="3335" spans="2:263" s="72" customFormat="1">
      <c r="B3335" s="73"/>
      <c r="C3335" s="73"/>
      <c r="D3335" s="73"/>
      <c r="E3335" s="73"/>
      <c r="F3335" s="73"/>
      <c r="G3335" s="73"/>
      <c r="H3335" s="73"/>
      <c r="I3335" s="73"/>
      <c r="J3335" s="73"/>
      <c r="K3335" s="73"/>
      <c r="L3335" s="73"/>
      <c r="M3335" s="73"/>
      <c r="N3335" s="73"/>
      <c r="O3335" s="73"/>
      <c r="P3335" s="73"/>
      <c r="Q3335" s="73"/>
      <c r="R3335" s="73"/>
      <c r="S3335" s="73"/>
      <c r="T3335" s="73"/>
      <c r="U3335" s="73"/>
      <c r="V3335" s="73"/>
      <c r="W3335" s="73"/>
      <c r="GL3335" s="73"/>
      <c r="GM3335" s="73"/>
      <c r="GN3335" s="73"/>
      <c r="GO3335" s="73"/>
      <c r="GP3335" s="73"/>
      <c r="GQ3335" s="73"/>
      <c r="GR3335" s="73"/>
      <c r="GS3335" s="73"/>
      <c r="GT3335" s="73"/>
      <c r="GU3335" s="73"/>
      <c r="GV3335" s="73"/>
      <c r="GW3335" s="73"/>
      <c r="GX3335" s="73"/>
      <c r="GY3335" s="73"/>
      <c r="GZ3335" s="73"/>
      <c r="HA3335" s="73"/>
      <c r="HB3335" s="73"/>
      <c r="HC3335" s="73"/>
      <c r="HD3335" s="73"/>
      <c r="HE3335" s="73"/>
      <c r="HF3335" s="73"/>
      <c r="HG3335" s="73"/>
      <c r="HH3335" s="73"/>
      <c r="HI3335" s="73"/>
      <c r="HJ3335" s="73"/>
      <c r="HK3335" s="73"/>
      <c r="HL3335" s="73"/>
      <c r="HM3335" s="73"/>
      <c r="HN3335" s="73"/>
      <c r="HO3335" s="73"/>
      <c r="HP3335" s="73"/>
      <c r="HQ3335" s="73"/>
      <c r="HR3335" s="73"/>
      <c r="HS3335" s="73"/>
      <c r="HT3335" s="73"/>
      <c r="HU3335" s="73"/>
      <c r="HV3335" s="73"/>
      <c r="HW3335" s="73"/>
      <c r="HX3335" s="73"/>
      <c r="HY3335" s="73"/>
      <c r="HZ3335" s="73"/>
      <c r="IA3335" s="73"/>
      <c r="IB3335" s="73"/>
      <c r="IC3335" s="73"/>
      <c r="ID3335" s="73"/>
      <c r="IE3335" s="73"/>
      <c r="IF3335" s="73"/>
      <c r="IG3335" s="73"/>
      <c r="IH3335" s="73"/>
      <c r="II3335" s="73"/>
      <c r="IJ3335" s="73"/>
      <c r="IK3335" s="73"/>
      <c r="IL3335" s="73"/>
      <c r="IM3335" s="73"/>
      <c r="IN3335" s="73"/>
      <c r="IO3335" s="73"/>
      <c r="IP3335" s="73"/>
      <c r="IQ3335" s="73"/>
      <c r="IR3335" s="73"/>
      <c r="IS3335" s="73"/>
      <c r="IT3335" s="73"/>
      <c r="IU3335" s="73"/>
      <c r="IV3335" s="73"/>
      <c r="IW3335" s="73"/>
      <c r="IX3335" s="73"/>
      <c r="IY3335" s="73"/>
      <c r="IZ3335" s="73"/>
      <c r="JA3335" s="73"/>
      <c r="JB3335" s="73"/>
      <c r="JC3335" s="73"/>
    </row>
    <row r="3336" spans="2:263" s="72" customFormat="1">
      <c r="B3336" s="73"/>
      <c r="C3336" s="73"/>
      <c r="D3336" s="73"/>
      <c r="E3336" s="73"/>
      <c r="F3336" s="73"/>
      <c r="G3336" s="73"/>
      <c r="H3336" s="73"/>
      <c r="I3336" s="73"/>
      <c r="J3336" s="73"/>
      <c r="K3336" s="73"/>
      <c r="L3336" s="73"/>
      <c r="M3336" s="73"/>
      <c r="N3336" s="73"/>
      <c r="O3336" s="73"/>
      <c r="P3336" s="73"/>
      <c r="Q3336" s="73"/>
      <c r="R3336" s="73"/>
      <c r="S3336" s="73"/>
      <c r="T3336" s="73"/>
      <c r="U3336" s="73"/>
      <c r="V3336" s="73"/>
      <c r="W3336" s="73"/>
      <c r="GL3336" s="73"/>
      <c r="GM3336" s="73"/>
      <c r="GN3336" s="73"/>
      <c r="GO3336" s="73"/>
      <c r="GP3336" s="73"/>
      <c r="GQ3336" s="73"/>
      <c r="GR3336" s="73"/>
      <c r="GS3336" s="73"/>
      <c r="GT3336" s="73"/>
      <c r="GU3336" s="73"/>
      <c r="GV3336" s="73"/>
      <c r="GW3336" s="73"/>
      <c r="GX3336" s="73"/>
      <c r="GY3336" s="73"/>
      <c r="GZ3336" s="73"/>
      <c r="HA3336" s="73"/>
      <c r="HB3336" s="73"/>
      <c r="HC3336" s="73"/>
      <c r="HD3336" s="73"/>
      <c r="HE3336" s="73"/>
      <c r="HF3336" s="73"/>
      <c r="HG3336" s="73"/>
      <c r="HH3336" s="73"/>
      <c r="HI3336" s="73"/>
      <c r="HJ3336" s="73"/>
      <c r="HK3336" s="73"/>
      <c r="HL3336" s="73"/>
      <c r="HM3336" s="73"/>
      <c r="HN3336" s="73"/>
      <c r="HO3336" s="73"/>
      <c r="HP3336" s="73"/>
      <c r="HQ3336" s="73"/>
      <c r="HR3336" s="73"/>
      <c r="HS3336" s="73"/>
      <c r="HT3336" s="73"/>
      <c r="HU3336" s="73"/>
      <c r="HV3336" s="73"/>
      <c r="HW3336" s="73"/>
      <c r="HX3336" s="73"/>
      <c r="HY3336" s="73"/>
      <c r="HZ3336" s="73"/>
      <c r="IA3336" s="73"/>
      <c r="IB3336" s="73"/>
      <c r="IC3336" s="73"/>
      <c r="ID3336" s="73"/>
      <c r="IE3336" s="73"/>
      <c r="IF3336" s="73"/>
      <c r="IG3336" s="73"/>
      <c r="IH3336" s="73"/>
      <c r="II3336" s="73"/>
      <c r="IJ3336" s="73"/>
      <c r="IK3336" s="73"/>
      <c r="IL3336" s="73"/>
      <c r="IM3336" s="73"/>
      <c r="IN3336" s="73"/>
      <c r="IO3336" s="73"/>
      <c r="IP3336" s="73"/>
      <c r="IQ3336" s="73"/>
      <c r="IR3336" s="73"/>
      <c r="IS3336" s="73"/>
      <c r="IT3336" s="73"/>
      <c r="IU3336" s="73"/>
      <c r="IV3336" s="73"/>
      <c r="IW3336" s="73"/>
      <c r="IX3336" s="73"/>
      <c r="IY3336" s="73"/>
      <c r="IZ3336" s="73"/>
      <c r="JA3336" s="73"/>
      <c r="JB3336" s="73"/>
      <c r="JC3336" s="73"/>
    </row>
    <row r="3337" spans="2:263" s="72" customFormat="1">
      <c r="B3337" s="73"/>
      <c r="C3337" s="73"/>
      <c r="D3337" s="73"/>
      <c r="E3337" s="73"/>
      <c r="F3337" s="73"/>
      <c r="G3337" s="73"/>
      <c r="H3337" s="73"/>
      <c r="I3337" s="73"/>
      <c r="J3337" s="73"/>
      <c r="K3337" s="73"/>
      <c r="L3337" s="73"/>
      <c r="M3337" s="73"/>
      <c r="N3337" s="73"/>
      <c r="O3337" s="73"/>
      <c r="P3337" s="73"/>
      <c r="Q3337" s="73"/>
      <c r="R3337" s="73"/>
      <c r="S3337" s="73"/>
      <c r="T3337" s="73"/>
      <c r="U3337" s="73"/>
      <c r="V3337" s="73"/>
      <c r="W3337" s="73"/>
      <c r="GL3337" s="73"/>
      <c r="GM3337" s="73"/>
      <c r="GN3337" s="73"/>
      <c r="GO3337" s="73"/>
      <c r="GP3337" s="73"/>
      <c r="GQ3337" s="73"/>
      <c r="GR3337" s="73"/>
      <c r="GS3337" s="73"/>
      <c r="GT3337" s="73"/>
      <c r="GU3337" s="73"/>
      <c r="GV3337" s="73"/>
      <c r="GW3337" s="73"/>
      <c r="GX3337" s="73"/>
      <c r="GY3337" s="73"/>
      <c r="GZ3337" s="73"/>
      <c r="HA3337" s="73"/>
      <c r="HB3337" s="73"/>
      <c r="HC3337" s="73"/>
      <c r="HD3337" s="73"/>
      <c r="HE3337" s="73"/>
      <c r="HF3337" s="73"/>
      <c r="HG3337" s="73"/>
      <c r="HH3337" s="73"/>
      <c r="HI3337" s="73"/>
      <c r="HJ3337" s="73"/>
      <c r="HK3337" s="73"/>
      <c r="HL3337" s="73"/>
      <c r="HM3337" s="73"/>
      <c r="HN3337" s="73"/>
      <c r="HO3337" s="73"/>
      <c r="HP3337" s="73"/>
      <c r="HQ3337" s="73"/>
      <c r="HR3337" s="73"/>
      <c r="HS3337" s="73"/>
      <c r="HT3337" s="73"/>
      <c r="HU3337" s="73"/>
      <c r="HV3337" s="73"/>
      <c r="HW3337" s="73"/>
      <c r="HX3337" s="73"/>
      <c r="HY3337" s="73"/>
      <c r="HZ3337" s="73"/>
      <c r="IA3337" s="73"/>
      <c r="IB3337" s="73"/>
      <c r="IC3337" s="73"/>
      <c r="ID3337" s="73"/>
      <c r="IE3337" s="73"/>
      <c r="IF3337" s="73"/>
      <c r="IG3337" s="73"/>
      <c r="IH3337" s="73"/>
      <c r="II3337" s="73"/>
      <c r="IJ3337" s="73"/>
      <c r="IK3337" s="73"/>
      <c r="IL3337" s="73"/>
      <c r="IM3337" s="73"/>
      <c r="IN3337" s="73"/>
      <c r="IO3337" s="73"/>
      <c r="IP3337" s="73"/>
      <c r="IQ3337" s="73"/>
      <c r="IR3337" s="73"/>
      <c r="IS3337" s="73"/>
      <c r="IT3337" s="73"/>
      <c r="IU3337" s="73"/>
      <c r="IV3337" s="73"/>
      <c r="IW3337" s="73"/>
      <c r="IX3337" s="73"/>
      <c r="IY3337" s="73"/>
      <c r="IZ3337" s="73"/>
      <c r="JA3337" s="73"/>
      <c r="JB3337" s="73"/>
      <c r="JC3337" s="73"/>
    </row>
    <row r="3338" spans="2:263" s="72" customFormat="1">
      <c r="B3338" s="73"/>
      <c r="C3338" s="73"/>
      <c r="D3338" s="73"/>
      <c r="E3338" s="73"/>
      <c r="F3338" s="73"/>
      <c r="G3338" s="73"/>
      <c r="H3338" s="73"/>
      <c r="I3338" s="73"/>
      <c r="J3338" s="73"/>
      <c r="K3338" s="73"/>
      <c r="L3338" s="73"/>
      <c r="M3338" s="73"/>
      <c r="N3338" s="73"/>
      <c r="O3338" s="73"/>
      <c r="P3338" s="73"/>
      <c r="Q3338" s="73"/>
      <c r="R3338" s="73"/>
      <c r="S3338" s="73"/>
      <c r="T3338" s="73"/>
      <c r="U3338" s="73"/>
      <c r="V3338" s="73"/>
      <c r="W3338" s="73"/>
      <c r="GL3338" s="73"/>
      <c r="GM3338" s="73"/>
      <c r="GN3338" s="73"/>
      <c r="GO3338" s="73"/>
      <c r="GP3338" s="73"/>
      <c r="GQ3338" s="73"/>
      <c r="GR3338" s="73"/>
      <c r="GS3338" s="73"/>
      <c r="GT3338" s="73"/>
      <c r="GU3338" s="73"/>
      <c r="GV3338" s="73"/>
      <c r="GW3338" s="73"/>
      <c r="GX3338" s="73"/>
      <c r="GY3338" s="73"/>
      <c r="GZ3338" s="73"/>
      <c r="HA3338" s="73"/>
      <c r="HB3338" s="73"/>
      <c r="HC3338" s="73"/>
      <c r="HD3338" s="73"/>
      <c r="HE3338" s="73"/>
      <c r="HF3338" s="73"/>
      <c r="HG3338" s="73"/>
      <c r="HH3338" s="73"/>
      <c r="HI3338" s="73"/>
      <c r="HJ3338" s="73"/>
      <c r="HK3338" s="73"/>
      <c r="HL3338" s="73"/>
      <c r="HM3338" s="73"/>
      <c r="HN3338" s="73"/>
      <c r="HO3338" s="73"/>
      <c r="HP3338" s="73"/>
      <c r="HQ3338" s="73"/>
      <c r="HR3338" s="73"/>
      <c r="HS3338" s="73"/>
      <c r="HT3338" s="73"/>
      <c r="HU3338" s="73"/>
      <c r="HV3338" s="73"/>
      <c r="HW3338" s="73"/>
      <c r="HX3338" s="73"/>
      <c r="HY3338" s="73"/>
      <c r="HZ3338" s="73"/>
      <c r="IA3338" s="73"/>
      <c r="IB3338" s="73"/>
      <c r="IC3338" s="73"/>
      <c r="ID3338" s="73"/>
      <c r="IE3338" s="73"/>
      <c r="IF3338" s="73"/>
      <c r="IG3338" s="73"/>
      <c r="IH3338" s="73"/>
      <c r="II3338" s="73"/>
      <c r="IJ3338" s="73"/>
      <c r="IK3338" s="73"/>
      <c r="IL3338" s="73"/>
      <c r="IM3338" s="73"/>
      <c r="IN3338" s="73"/>
      <c r="IO3338" s="73"/>
      <c r="IP3338" s="73"/>
      <c r="IQ3338" s="73"/>
      <c r="IR3338" s="73"/>
      <c r="IS3338" s="73"/>
      <c r="IT3338" s="73"/>
      <c r="IU3338" s="73"/>
      <c r="IV3338" s="73"/>
      <c r="IW3338" s="73"/>
      <c r="IX3338" s="73"/>
      <c r="IY3338" s="73"/>
      <c r="IZ3338" s="73"/>
      <c r="JA3338" s="73"/>
      <c r="JB3338" s="73"/>
      <c r="JC3338" s="73"/>
    </row>
    <row r="3339" spans="2:263" s="72" customFormat="1">
      <c r="B3339" s="73"/>
      <c r="C3339" s="73"/>
      <c r="D3339" s="73"/>
      <c r="E3339" s="73"/>
      <c r="F3339" s="73"/>
      <c r="G3339" s="73"/>
      <c r="H3339" s="73"/>
      <c r="I3339" s="73"/>
      <c r="J3339" s="73"/>
      <c r="K3339" s="73"/>
      <c r="L3339" s="73"/>
      <c r="M3339" s="73"/>
      <c r="N3339" s="73"/>
      <c r="O3339" s="73"/>
      <c r="P3339" s="73"/>
      <c r="Q3339" s="73"/>
      <c r="R3339" s="73"/>
      <c r="S3339" s="73"/>
      <c r="T3339" s="73"/>
      <c r="U3339" s="73"/>
      <c r="V3339" s="73"/>
      <c r="W3339" s="73"/>
      <c r="GL3339" s="73"/>
      <c r="GM3339" s="73"/>
      <c r="GN3339" s="73"/>
      <c r="GO3339" s="73"/>
      <c r="GP3339" s="73"/>
      <c r="GQ3339" s="73"/>
      <c r="GR3339" s="73"/>
      <c r="GS3339" s="73"/>
      <c r="GT3339" s="73"/>
      <c r="GU3339" s="73"/>
      <c r="GV3339" s="73"/>
      <c r="GW3339" s="73"/>
      <c r="GX3339" s="73"/>
      <c r="GY3339" s="73"/>
      <c r="GZ3339" s="73"/>
      <c r="HA3339" s="73"/>
      <c r="HB3339" s="73"/>
      <c r="HC3339" s="73"/>
      <c r="HD3339" s="73"/>
      <c r="HE3339" s="73"/>
      <c r="HF3339" s="73"/>
      <c r="HG3339" s="73"/>
      <c r="HH3339" s="73"/>
      <c r="HI3339" s="73"/>
      <c r="HJ3339" s="73"/>
      <c r="HK3339" s="73"/>
      <c r="HL3339" s="73"/>
      <c r="HM3339" s="73"/>
      <c r="HN3339" s="73"/>
      <c r="HO3339" s="73"/>
      <c r="HP3339" s="73"/>
      <c r="HQ3339" s="73"/>
      <c r="HR3339" s="73"/>
      <c r="HS3339" s="73"/>
      <c r="HT3339" s="73"/>
      <c r="HU3339" s="73"/>
      <c r="HV3339" s="73"/>
      <c r="HW3339" s="73"/>
      <c r="HX3339" s="73"/>
      <c r="HY3339" s="73"/>
      <c r="HZ3339" s="73"/>
      <c r="IA3339" s="73"/>
      <c r="IB3339" s="73"/>
      <c r="IC3339" s="73"/>
      <c r="ID3339" s="73"/>
      <c r="IE3339" s="73"/>
      <c r="IF3339" s="73"/>
      <c r="IG3339" s="73"/>
      <c r="IH3339" s="73"/>
      <c r="II3339" s="73"/>
      <c r="IJ3339" s="73"/>
      <c r="IK3339" s="73"/>
      <c r="IL3339" s="73"/>
      <c r="IM3339" s="73"/>
      <c r="IN3339" s="73"/>
      <c r="IO3339" s="73"/>
      <c r="IP3339" s="73"/>
      <c r="IQ3339" s="73"/>
      <c r="IR3339" s="73"/>
      <c r="IS3339" s="73"/>
      <c r="IT3339" s="73"/>
      <c r="IU3339" s="73"/>
      <c r="IV3339" s="73"/>
      <c r="IW3339" s="73"/>
      <c r="IX3339" s="73"/>
      <c r="IY3339" s="73"/>
      <c r="IZ3339" s="73"/>
      <c r="JA3339" s="73"/>
      <c r="JB3339" s="73"/>
      <c r="JC3339" s="73"/>
    </row>
    <row r="3340" spans="2:263" s="72" customFormat="1">
      <c r="B3340" s="73"/>
      <c r="C3340" s="73"/>
      <c r="D3340" s="73"/>
      <c r="E3340" s="73"/>
      <c r="F3340" s="73"/>
      <c r="G3340" s="73"/>
      <c r="H3340" s="73"/>
      <c r="I3340" s="73"/>
      <c r="J3340" s="73"/>
      <c r="K3340" s="73"/>
      <c r="L3340" s="73"/>
      <c r="M3340" s="73"/>
      <c r="N3340" s="73"/>
      <c r="O3340" s="73"/>
      <c r="P3340" s="73"/>
      <c r="Q3340" s="73"/>
      <c r="R3340" s="73"/>
      <c r="S3340" s="73"/>
      <c r="T3340" s="73"/>
      <c r="U3340" s="73"/>
      <c r="V3340" s="73"/>
      <c r="W3340" s="73"/>
      <c r="GL3340" s="73"/>
      <c r="GM3340" s="73"/>
      <c r="GN3340" s="73"/>
      <c r="GO3340" s="73"/>
      <c r="GP3340" s="73"/>
      <c r="GQ3340" s="73"/>
      <c r="GR3340" s="73"/>
      <c r="GS3340" s="73"/>
      <c r="GT3340" s="73"/>
      <c r="GU3340" s="73"/>
      <c r="GV3340" s="73"/>
      <c r="GW3340" s="73"/>
      <c r="GX3340" s="73"/>
      <c r="GY3340" s="73"/>
      <c r="GZ3340" s="73"/>
      <c r="HA3340" s="73"/>
      <c r="HB3340" s="73"/>
      <c r="HC3340" s="73"/>
      <c r="HD3340" s="73"/>
      <c r="HE3340" s="73"/>
      <c r="HF3340" s="73"/>
      <c r="HG3340" s="73"/>
      <c r="HH3340" s="73"/>
      <c r="HI3340" s="73"/>
      <c r="HJ3340" s="73"/>
      <c r="HK3340" s="73"/>
      <c r="HL3340" s="73"/>
      <c r="HM3340" s="73"/>
      <c r="HN3340" s="73"/>
      <c r="HO3340" s="73"/>
      <c r="HP3340" s="73"/>
      <c r="HQ3340" s="73"/>
      <c r="HR3340" s="73"/>
      <c r="HS3340" s="73"/>
      <c r="HT3340" s="73"/>
      <c r="HU3340" s="73"/>
      <c r="HV3340" s="73"/>
      <c r="HW3340" s="73"/>
      <c r="HX3340" s="73"/>
      <c r="HY3340" s="73"/>
      <c r="HZ3340" s="73"/>
      <c r="IA3340" s="73"/>
      <c r="IB3340" s="73"/>
      <c r="IC3340" s="73"/>
      <c r="ID3340" s="73"/>
      <c r="IE3340" s="73"/>
      <c r="IF3340" s="73"/>
      <c r="IG3340" s="73"/>
      <c r="IH3340" s="73"/>
      <c r="II3340" s="73"/>
      <c r="IJ3340" s="73"/>
      <c r="IK3340" s="73"/>
      <c r="IL3340" s="73"/>
      <c r="IM3340" s="73"/>
      <c r="IN3340" s="73"/>
      <c r="IO3340" s="73"/>
      <c r="IP3340" s="73"/>
      <c r="IQ3340" s="73"/>
      <c r="IR3340" s="73"/>
      <c r="IS3340" s="73"/>
      <c r="IT3340" s="73"/>
      <c r="IU3340" s="73"/>
      <c r="IV3340" s="73"/>
      <c r="IW3340" s="73"/>
      <c r="IX3340" s="73"/>
      <c r="IY3340" s="73"/>
      <c r="IZ3340" s="73"/>
      <c r="JA3340" s="73"/>
      <c r="JB3340" s="73"/>
      <c r="JC3340" s="73"/>
    </row>
    <row r="3341" spans="2:263" s="72" customFormat="1">
      <c r="B3341" s="73"/>
      <c r="C3341" s="73"/>
      <c r="D3341" s="73"/>
      <c r="E3341" s="73"/>
      <c r="F3341" s="73"/>
      <c r="G3341" s="73"/>
      <c r="H3341" s="73"/>
      <c r="I3341" s="73"/>
      <c r="J3341" s="73"/>
      <c r="K3341" s="73"/>
      <c r="L3341" s="73"/>
      <c r="M3341" s="73"/>
      <c r="N3341" s="73"/>
      <c r="O3341" s="73"/>
      <c r="P3341" s="73"/>
      <c r="Q3341" s="73"/>
      <c r="R3341" s="73"/>
      <c r="S3341" s="73"/>
      <c r="T3341" s="73"/>
      <c r="U3341" s="73"/>
      <c r="V3341" s="73"/>
      <c r="W3341" s="73"/>
      <c r="GL3341" s="73"/>
      <c r="GM3341" s="73"/>
      <c r="GN3341" s="73"/>
      <c r="GO3341" s="73"/>
      <c r="GP3341" s="73"/>
      <c r="GQ3341" s="73"/>
      <c r="GR3341" s="73"/>
      <c r="GS3341" s="73"/>
      <c r="GT3341" s="73"/>
      <c r="GU3341" s="73"/>
      <c r="GV3341" s="73"/>
      <c r="GW3341" s="73"/>
      <c r="GX3341" s="73"/>
      <c r="GY3341" s="73"/>
      <c r="GZ3341" s="73"/>
      <c r="HA3341" s="73"/>
      <c r="HB3341" s="73"/>
      <c r="HC3341" s="73"/>
      <c r="HD3341" s="73"/>
      <c r="HE3341" s="73"/>
      <c r="HF3341" s="73"/>
      <c r="HG3341" s="73"/>
      <c r="HH3341" s="73"/>
      <c r="HI3341" s="73"/>
      <c r="HJ3341" s="73"/>
      <c r="HK3341" s="73"/>
      <c r="HL3341" s="73"/>
      <c r="HM3341" s="73"/>
      <c r="HN3341" s="73"/>
      <c r="HO3341" s="73"/>
      <c r="HP3341" s="73"/>
      <c r="HQ3341" s="73"/>
      <c r="HR3341" s="73"/>
      <c r="HS3341" s="73"/>
      <c r="HT3341" s="73"/>
      <c r="HU3341" s="73"/>
      <c r="HV3341" s="73"/>
      <c r="HW3341" s="73"/>
      <c r="HX3341" s="73"/>
      <c r="HY3341" s="73"/>
      <c r="HZ3341" s="73"/>
      <c r="IA3341" s="73"/>
      <c r="IB3341" s="73"/>
      <c r="IC3341" s="73"/>
      <c r="ID3341" s="73"/>
      <c r="IE3341" s="73"/>
      <c r="IF3341" s="73"/>
      <c r="IG3341" s="73"/>
      <c r="IH3341" s="73"/>
      <c r="II3341" s="73"/>
      <c r="IJ3341" s="73"/>
      <c r="IK3341" s="73"/>
      <c r="IL3341" s="73"/>
      <c r="IM3341" s="73"/>
      <c r="IN3341" s="73"/>
      <c r="IO3341" s="73"/>
      <c r="IP3341" s="73"/>
      <c r="IQ3341" s="73"/>
      <c r="IR3341" s="73"/>
      <c r="IS3341" s="73"/>
      <c r="IT3341" s="73"/>
      <c r="IU3341" s="73"/>
      <c r="IV3341" s="73"/>
      <c r="IW3341" s="73"/>
      <c r="IX3341" s="73"/>
      <c r="IY3341" s="73"/>
      <c r="IZ3341" s="73"/>
      <c r="JA3341" s="73"/>
      <c r="JB3341" s="73"/>
      <c r="JC3341" s="73"/>
    </row>
    <row r="3342" spans="2:263" s="72" customFormat="1">
      <c r="B3342" s="73"/>
      <c r="C3342" s="73"/>
      <c r="D3342" s="73"/>
      <c r="E3342" s="73"/>
      <c r="F3342" s="73"/>
      <c r="G3342" s="73"/>
      <c r="H3342" s="73"/>
      <c r="I3342" s="73"/>
      <c r="J3342" s="73"/>
      <c r="K3342" s="73"/>
      <c r="L3342" s="73"/>
      <c r="M3342" s="73"/>
      <c r="N3342" s="73"/>
      <c r="O3342" s="73"/>
      <c r="P3342" s="73"/>
      <c r="Q3342" s="73"/>
      <c r="R3342" s="73"/>
      <c r="S3342" s="73"/>
      <c r="T3342" s="73"/>
      <c r="U3342" s="73"/>
      <c r="V3342" s="73"/>
      <c r="W3342" s="73"/>
      <c r="GL3342" s="73"/>
      <c r="GM3342" s="73"/>
      <c r="GN3342" s="73"/>
      <c r="GO3342" s="73"/>
      <c r="GP3342" s="73"/>
      <c r="GQ3342" s="73"/>
      <c r="GR3342" s="73"/>
      <c r="GS3342" s="73"/>
      <c r="GT3342" s="73"/>
      <c r="GU3342" s="73"/>
      <c r="GV3342" s="73"/>
      <c r="GW3342" s="73"/>
      <c r="GX3342" s="73"/>
      <c r="GY3342" s="73"/>
      <c r="GZ3342" s="73"/>
      <c r="HA3342" s="73"/>
      <c r="HB3342" s="73"/>
      <c r="HC3342" s="73"/>
      <c r="HD3342" s="73"/>
      <c r="HE3342" s="73"/>
      <c r="HF3342" s="73"/>
      <c r="HG3342" s="73"/>
      <c r="HH3342" s="73"/>
      <c r="HI3342" s="73"/>
      <c r="HJ3342" s="73"/>
      <c r="HK3342" s="73"/>
      <c r="HL3342" s="73"/>
      <c r="HM3342" s="73"/>
      <c r="HN3342" s="73"/>
      <c r="HO3342" s="73"/>
      <c r="HP3342" s="73"/>
      <c r="HQ3342" s="73"/>
      <c r="HR3342" s="73"/>
      <c r="HS3342" s="73"/>
      <c r="HT3342" s="73"/>
      <c r="HU3342" s="73"/>
      <c r="HV3342" s="73"/>
      <c r="HW3342" s="73"/>
      <c r="HX3342" s="73"/>
      <c r="HY3342" s="73"/>
      <c r="HZ3342" s="73"/>
      <c r="IA3342" s="73"/>
      <c r="IB3342" s="73"/>
      <c r="IC3342" s="73"/>
      <c r="ID3342" s="73"/>
      <c r="IE3342" s="73"/>
      <c r="IF3342" s="73"/>
      <c r="IG3342" s="73"/>
      <c r="IH3342" s="73"/>
      <c r="II3342" s="73"/>
      <c r="IJ3342" s="73"/>
      <c r="IK3342" s="73"/>
      <c r="IL3342" s="73"/>
      <c r="IM3342" s="73"/>
      <c r="IN3342" s="73"/>
      <c r="IO3342" s="73"/>
      <c r="IP3342" s="73"/>
      <c r="IQ3342" s="73"/>
      <c r="IR3342" s="73"/>
      <c r="IS3342" s="73"/>
      <c r="IT3342" s="73"/>
      <c r="IU3342" s="73"/>
      <c r="IV3342" s="73"/>
      <c r="IW3342" s="73"/>
      <c r="IX3342" s="73"/>
      <c r="IY3342" s="73"/>
      <c r="IZ3342" s="73"/>
      <c r="JA3342" s="73"/>
      <c r="JB3342" s="73"/>
      <c r="JC3342" s="73"/>
    </row>
    <row r="3343" spans="2:263" s="72" customFormat="1">
      <c r="B3343" s="73"/>
      <c r="C3343" s="73"/>
      <c r="D3343" s="73"/>
      <c r="E3343" s="73"/>
      <c r="F3343" s="73"/>
      <c r="G3343" s="73"/>
      <c r="H3343" s="73"/>
      <c r="I3343" s="73"/>
      <c r="J3343" s="73"/>
      <c r="K3343" s="73"/>
      <c r="L3343" s="73"/>
      <c r="M3343" s="73"/>
      <c r="N3343" s="73"/>
      <c r="O3343" s="73"/>
      <c r="P3343" s="73"/>
      <c r="Q3343" s="73"/>
      <c r="R3343" s="73"/>
      <c r="S3343" s="73"/>
      <c r="T3343" s="73"/>
      <c r="U3343" s="73"/>
      <c r="V3343" s="73"/>
      <c r="W3343" s="73"/>
      <c r="GL3343" s="73"/>
      <c r="GM3343" s="73"/>
      <c r="GN3343" s="73"/>
      <c r="GO3343" s="73"/>
      <c r="GP3343" s="73"/>
      <c r="GQ3343" s="73"/>
      <c r="GR3343" s="73"/>
      <c r="GS3343" s="73"/>
      <c r="GT3343" s="73"/>
      <c r="GU3343" s="73"/>
      <c r="GV3343" s="73"/>
      <c r="GW3343" s="73"/>
      <c r="GX3343" s="73"/>
      <c r="GY3343" s="73"/>
      <c r="GZ3343" s="73"/>
      <c r="HA3343" s="73"/>
      <c r="HB3343" s="73"/>
      <c r="HC3343" s="73"/>
      <c r="HD3343" s="73"/>
      <c r="HE3343" s="73"/>
      <c r="HF3343" s="73"/>
      <c r="HG3343" s="73"/>
      <c r="HH3343" s="73"/>
      <c r="HI3343" s="73"/>
      <c r="HJ3343" s="73"/>
      <c r="HK3343" s="73"/>
      <c r="HL3343" s="73"/>
      <c r="HM3343" s="73"/>
      <c r="HN3343" s="73"/>
      <c r="HO3343" s="73"/>
      <c r="HP3343" s="73"/>
      <c r="HQ3343" s="73"/>
      <c r="HR3343" s="73"/>
      <c r="HS3343" s="73"/>
      <c r="HT3343" s="73"/>
      <c r="HU3343" s="73"/>
      <c r="HV3343" s="73"/>
      <c r="HW3343" s="73"/>
      <c r="HX3343" s="73"/>
      <c r="HY3343" s="73"/>
      <c r="HZ3343" s="73"/>
      <c r="IA3343" s="73"/>
      <c r="IB3343" s="73"/>
      <c r="IC3343" s="73"/>
      <c r="ID3343" s="73"/>
      <c r="IE3343" s="73"/>
      <c r="IF3343" s="73"/>
      <c r="IG3343" s="73"/>
      <c r="IH3343" s="73"/>
      <c r="II3343" s="73"/>
      <c r="IJ3343" s="73"/>
      <c r="IK3343" s="73"/>
      <c r="IL3343" s="73"/>
      <c r="IM3343" s="73"/>
      <c r="IN3343" s="73"/>
      <c r="IO3343" s="73"/>
      <c r="IP3343" s="73"/>
      <c r="IQ3343" s="73"/>
      <c r="IR3343" s="73"/>
      <c r="IS3343" s="73"/>
      <c r="IT3343" s="73"/>
      <c r="IU3343" s="73"/>
      <c r="IV3343" s="73"/>
      <c r="IW3343" s="73"/>
      <c r="IX3343" s="73"/>
      <c r="IY3343" s="73"/>
      <c r="IZ3343" s="73"/>
      <c r="JA3343" s="73"/>
      <c r="JB3343" s="73"/>
      <c r="JC3343" s="73"/>
    </row>
    <row r="3344" spans="2:263" s="72" customFormat="1">
      <c r="B3344" s="73"/>
      <c r="C3344" s="73"/>
      <c r="D3344" s="73"/>
      <c r="E3344" s="73"/>
      <c r="F3344" s="73"/>
      <c r="G3344" s="73"/>
      <c r="H3344" s="73"/>
      <c r="I3344" s="73"/>
      <c r="J3344" s="73"/>
      <c r="K3344" s="73"/>
      <c r="L3344" s="73"/>
      <c r="M3344" s="73"/>
      <c r="N3344" s="73"/>
      <c r="O3344" s="73"/>
      <c r="P3344" s="73"/>
      <c r="Q3344" s="73"/>
      <c r="R3344" s="73"/>
      <c r="S3344" s="73"/>
      <c r="T3344" s="73"/>
      <c r="U3344" s="73"/>
      <c r="V3344" s="73"/>
      <c r="W3344" s="73"/>
      <c r="GL3344" s="73"/>
      <c r="GM3344" s="73"/>
      <c r="GN3344" s="73"/>
      <c r="GO3344" s="73"/>
      <c r="GP3344" s="73"/>
      <c r="GQ3344" s="73"/>
      <c r="GR3344" s="73"/>
      <c r="GS3344" s="73"/>
      <c r="GT3344" s="73"/>
      <c r="GU3344" s="73"/>
      <c r="GV3344" s="73"/>
      <c r="GW3344" s="73"/>
      <c r="GX3344" s="73"/>
      <c r="GY3344" s="73"/>
      <c r="GZ3344" s="73"/>
      <c r="HA3344" s="73"/>
      <c r="HB3344" s="73"/>
      <c r="HC3344" s="73"/>
      <c r="HD3344" s="73"/>
      <c r="HE3344" s="73"/>
      <c r="HF3344" s="73"/>
      <c r="HG3344" s="73"/>
      <c r="HH3344" s="73"/>
      <c r="HI3344" s="73"/>
      <c r="HJ3344" s="73"/>
      <c r="HK3344" s="73"/>
      <c r="HL3344" s="73"/>
      <c r="HM3344" s="73"/>
      <c r="HN3344" s="73"/>
      <c r="HO3344" s="73"/>
      <c r="HP3344" s="73"/>
      <c r="HQ3344" s="73"/>
      <c r="HR3344" s="73"/>
      <c r="HS3344" s="73"/>
      <c r="HT3344" s="73"/>
      <c r="HU3344" s="73"/>
      <c r="HV3344" s="73"/>
      <c r="HW3344" s="73"/>
      <c r="HX3344" s="73"/>
      <c r="HY3344" s="73"/>
      <c r="HZ3344" s="73"/>
      <c r="IA3344" s="73"/>
      <c r="IB3344" s="73"/>
      <c r="IC3344" s="73"/>
      <c r="ID3344" s="73"/>
      <c r="IE3344" s="73"/>
      <c r="IF3344" s="73"/>
      <c r="IG3344" s="73"/>
      <c r="IH3344" s="73"/>
      <c r="II3344" s="73"/>
      <c r="IJ3344" s="73"/>
      <c r="IK3344" s="73"/>
      <c r="IL3344" s="73"/>
      <c r="IM3344" s="73"/>
      <c r="IN3344" s="73"/>
      <c r="IO3344" s="73"/>
      <c r="IP3344" s="73"/>
      <c r="IQ3344" s="73"/>
      <c r="IR3344" s="73"/>
      <c r="IS3344" s="73"/>
      <c r="IT3344" s="73"/>
      <c r="IU3344" s="73"/>
      <c r="IV3344" s="73"/>
      <c r="IW3344" s="73"/>
      <c r="IX3344" s="73"/>
      <c r="IY3344" s="73"/>
      <c r="IZ3344" s="73"/>
      <c r="JA3344" s="73"/>
      <c r="JB3344" s="73"/>
      <c r="JC3344" s="73"/>
    </row>
    <row r="3345" spans="2:263" s="72" customFormat="1">
      <c r="B3345" s="73"/>
      <c r="C3345" s="73"/>
      <c r="D3345" s="73"/>
      <c r="E3345" s="73"/>
      <c r="F3345" s="73"/>
      <c r="G3345" s="73"/>
      <c r="H3345" s="73"/>
      <c r="I3345" s="73"/>
      <c r="J3345" s="73"/>
      <c r="K3345" s="73"/>
      <c r="L3345" s="73"/>
      <c r="M3345" s="73"/>
      <c r="N3345" s="73"/>
      <c r="O3345" s="73"/>
      <c r="P3345" s="73"/>
      <c r="Q3345" s="73"/>
      <c r="R3345" s="73"/>
      <c r="S3345" s="73"/>
      <c r="T3345" s="73"/>
      <c r="U3345" s="73"/>
      <c r="V3345" s="73"/>
      <c r="W3345" s="73"/>
      <c r="GL3345" s="73"/>
      <c r="GM3345" s="73"/>
      <c r="GN3345" s="73"/>
      <c r="GO3345" s="73"/>
      <c r="GP3345" s="73"/>
      <c r="GQ3345" s="73"/>
      <c r="GR3345" s="73"/>
      <c r="GS3345" s="73"/>
      <c r="GT3345" s="73"/>
      <c r="GU3345" s="73"/>
      <c r="GV3345" s="73"/>
      <c r="GW3345" s="73"/>
      <c r="GX3345" s="73"/>
      <c r="GY3345" s="73"/>
      <c r="GZ3345" s="73"/>
      <c r="HA3345" s="73"/>
      <c r="HB3345" s="73"/>
      <c r="HC3345" s="73"/>
      <c r="HD3345" s="73"/>
      <c r="HE3345" s="73"/>
      <c r="HF3345" s="73"/>
      <c r="HG3345" s="73"/>
      <c r="HH3345" s="73"/>
      <c r="HI3345" s="73"/>
      <c r="HJ3345" s="73"/>
      <c r="HK3345" s="73"/>
      <c r="HL3345" s="73"/>
      <c r="HM3345" s="73"/>
      <c r="HN3345" s="73"/>
      <c r="HO3345" s="73"/>
      <c r="HP3345" s="73"/>
      <c r="HQ3345" s="73"/>
      <c r="HR3345" s="73"/>
      <c r="HS3345" s="73"/>
      <c r="HT3345" s="73"/>
      <c r="HU3345" s="73"/>
      <c r="HV3345" s="73"/>
      <c r="HW3345" s="73"/>
      <c r="HX3345" s="73"/>
      <c r="HY3345" s="73"/>
      <c r="HZ3345" s="73"/>
      <c r="IA3345" s="73"/>
      <c r="IB3345" s="73"/>
      <c r="IC3345" s="73"/>
      <c r="ID3345" s="73"/>
      <c r="IE3345" s="73"/>
      <c r="IF3345" s="73"/>
      <c r="IG3345" s="73"/>
      <c r="IH3345" s="73"/>
      <c r="II3345" s="73"/>
      <c r="IJ3345" s="73"/>
      <c r="IK3345" s="73"/>
      <c r="IL3345" s="73"/>
      <c r="IM3345" s="73"/>
      <c r="IN3345" s="73"/>
      <c r="IO3345" s="73"/>
      <c r="IP3345" s="73"/>
      <c r="IQ3345" s="73"/>
      <c r="IR3345" s="73"/>
      <c r="IS3345" s="73"/>
      <c r="IT3345" s="73"/>
      <c r="IU3345" s="73"/>
      <c r="IV3345" s="73"/>
      <c r="IW3345" s="73"/>
      <c r="IX3345" s="73"/>
      <c r="IY3345" s="73"/>
      <c r="IZ3345" s="73"/>
      <c r="JA3345" s="73"/>
      <c r="JB3345" s="73"/>
      <c r="JC3345" s="73"/>
    </row>
    <row r="3346" spans="2:263" s="72" customFormat="1">
      <c r="B3346" s="73"/>
      <c r="C3346" s="73"/>
      <c r="D3346" s="73"/>
      <c r="E3346" s="73"/>
      <c r="F3346" s="73"/>
      <c r="G3346" s="73"/>
      <c r="H3346" s="73"/>
      <c r="I3346" s="73"/>
      <c r="J3346" s="73"/>
      <c r="K3346" s="73"/>
      <c r="L3346" s="73"/>
      <c r="M3346" s="73"/>
      <c r="N3346" s="73"/>
      <c r="O3346" s="73"/>
      <c r="P3346" s="73"/>
      <c r="Q3346" s="73"/>
      <c r="R3346" s="73"/>
      <c r="S3346" s="73"/>
      <c r="T3346" s="73"/>
      <c r="U3346" s="73"/>
      <c r="V3346" s="73"/>
      <c r="W3346" s="73"/>
      <c r="GL3346" s="73"/>
      <c r="GM3346" s="73"/>
      <c r="GN3346" s="73"/>
      <c r="GO3346" s="73"/>
      <c r="GP3346" s="73"/>
      <c r="GQ3346" s="73"/>
      <c r="GR3346" s="73"/>
      <c r="GS3346" s="73"/>
      <c r="GT3346" s="73"/>
      <c r="GU3346" s="73"/>
      <c r="GV3346" s="73"/>
      <c r="GW3346" s="73"/>
      <c r="GX3346" s="73"/>
      <c r="GY3346" s="73"/>
      <c r="GZ3346" s="73"/>
      <c r="HA3346" s="73"/>
      <c r="HB3346" s="73"/>
      <c r="HC3346" s="73"/>
      <c r="HD3346" s="73"/>
      <c r="HE3346" s="73"/>
      <c r="HF3346" s="73"/>
      <c r="HG3346" s="73"/>
      <c r="HH3346" s="73"/>
      <c r="HI3346" s="73"/>
      <c r="HJ3346" s="73"/>
      <c r="HK3346" s="73"/>
      <c r="HL3346" s="73"/>
      <c r="HM3346" s="73"/>
      <c r="HN3346" s="73"/>
      <c r="HO3346" s="73"/>
      <c r="HP3346" s="73"/>
      <c r="HQ3346" s="73"/>
      <c r="HR3346" s="73"/>
      <c r="HS3346" s="73"/>
      <c r="HT3346" s="73"/>
      <c r="HU3346" s="73"/>
      <c r="HV3346" s="73"/>
      <c r="HW3346" s="73"/>
      <c r="HX3346" s="73"/>
      <c r="HY3346" s="73"/>
      <c r="HZ3346" s="73"/>
      <c r="IA3346" s="73"/>
      <c r="IB3346" s="73"/>
      <c r="IC3346" s="73"/>
      <c r="ID3346" s="73"/>
      <c r="IE3346" s="73"/>
      <c r="IF3346" s="73"/>
      <c r="IG3346" s="73"/>
      <c r="IH3346" s="73"/>
      <c r="II3346" s="73"/>
      <c r="IJ3346" s="73"/>
      <c r="IK3346" s="73"/>
      <c r="IL3346" s="73"/>
      <c r="IM3346" s="73"/>
      <c r="IN3346" s="73"/>
      <c r="IO3346" s="73"/>
      <c r="IP3346" s="73"/>
      <c r="IQ3346" s="73"/>
      <c r="IR3346" s="73"/>
      <c r="IS3346" s="73"/>
      <c r="IT3346" s="73"/>
      <c r="IU3346" s="73"/>
      <c r="IV3346" s="73"/>
      <c r="IW3346" s="73"/>
      <c r="IX3346" s="73"/>
      <c r="IY3346" s="73"/>
      <c r="IZ3346" s="73"/>
      <c r="JA3346" s="73"/>
      <c r="JB3346" s="73"/>
      <c r="JC3346" s="73"/>
    </row>
    <row r="3347" spans="2:263" s="72" customFormat="1">
      <c r="B3347" s="73"/>
      <c r="C3347" s="73"/>
      <c r="D3347" s="73"/>
      <c r="E3347" s="73"/>
      <c r="F3347" s="73"/>
      <c r="G3347" s="73"/>
      <c r="H3347" s="73"/>
      <c r="I3347" s="73"/>
      <c r="J3347" s="73"/>
      <c r="K3347" s="73"/>
      <c r="L3347" s="73"/>
      <c r="M3347" s="73"/>
      <c r="N3347" s="73"/>
      <c r="O3347" s="73"/>
      <c r="P3347" s="73"/>
      <c r="Q3347" s="73"/>
      <c r="R3347" s="73"/>
      <c r="S3347" s="73"/>
      <c r="T3347" s="73"/>
      <c r="U3347" s="73"/>
      <c r="V3347" s="73"/>
      <c r="W3347" s="73"/>
      <c r="GL3347" s="73"/>
      <c r="GM3347" s="73"/>
      <c r="GN3347" s="73"/>
      <c r="GO3347" s="73"/>
      <c r="GP3347" s="73"/>
      <c r="GQ3347" s="73"/>
      <c r="GR3347" s="73"/>
      <c r="GS3347" s="73"/>
      <c r="GT3347" s="73"/>
      <c r="GU3347" s="73"/>
      <c r="GV3347" s="73"/>
      <c r="GW3347" s="73"/>
      <c r="GX3347" s="73"/>
      <c r="GY3347" s="73"/>
      <c r="GZ3347" s="73"/>
      <c r="HA3347" s="73"/>
      <c r="HB3347" s="73"/>
      <c r="HC3347" s="73"/>
      <c r="HD3347" s="73"/>
      <c r="HE3347" s="73"/>
      <c r="HF3347" s="73"/>
      <c r="HG3347" s="73"/>
      <c r="HH3347" s="73"/>
      <c r="HI3347" s="73"/>
      <c r="HJ3347" s="73"/>
      <c r="HK3347" s="73"/>
      <c r="HL3347" s="73"/>
      <c r="HM3347" s="73"/>
      <c r="HN3347" s="73"/>
      <c r="HO3347" s="73"/>
      <c r="HP3347" s="73"/>
      <c r="HQ3347" s="73"/>
      <c r="HR3347" s="73"/>
      <c r="HS3347" s="73"/>
      <c r="HT3347" s="73"/>
      <c r="HU3347" s="73"/>
      <c r="HV3347" s="73"/>
      <c r="HW3347" s="73"/>
      <c r="HX3347" s="73"/>
      <c r="HY3347" s="73"/>
      <c r="HZ3347" s="73"/>
      <c r="IA3347" s="73"/>
      <c r="IB3347" s="73"/>
      <c r="IC3347" s="73"/>
      <c r="ID3347" s="73"/>
      <c r="IE3347" s="73"/>
      <c r="IF3347" s="73"/>
      <c r="IG3347" s="73"/>
      <c r="IH3347" s="73"/>
      <c r="II3347" s="73"/>
      <c r="IJ3347" s="73"/>
      <c r="IK3347" s="73"/>
      <c r="IL3347" s="73"/>
      <c r="IM3347" s="73"/>
      <c r="IN3347" s="73"/>
      <c r="IO3347" s="73"/>
      <c r="IP3347" s="73"/>
      <c r="IQ3347" s="73"/>
      <c r="IR3347" s="73"/>
      <c r="IS3347" s="73"/>
      <c r="IT3347" s="73"/>
      <c r="IU3347" s="73"/>
      <c r="IV3347" s="73"/>
      <c r="IW3347" s="73"/>
      <c r="IX3347" s="73"/>
      <c r="IY3347" s="73"/>
      <c r="IZ3347" s="73"/>
      <c r="JA3347" s="73"/>
      <c r="JB3347" s="73"/>
      <c r="JC3347" s="73"/>
    </row>
    <row r="3348" spans="2:263" s="72" customFormat="1">
      <c r="B3348" s="73"/>
      <c r="C3348" s="73"/>
      <c r="D3348" s="73"/>
      <c r="E3348" s="73"/>
      <c r="F3348" s="73"/>
      <c r="G3348" s="73"/>
      <c r="H3348" s="73"/>
      <c r="I3348" s="73"/>
      <c r="J3348" s="73"/>
      <c r="K3348" s="73"/>
      <c r="L3348" s="73"/>
      <c r="M3348" s="73"/>
      <c r="N3348" s="73"/>
      <c r="O3348" s="73"/>
      <c r="P3348" s="73"/>
      <c r="Q3348" s="73"/>
      <c r="R3348" s="73"/>
      <c r="S3348" s="73"/>
      <c r="T3348" s="73"/>
      <c r="U3348" s="73"/>
      <c r="V3348" s="73"/>
      <c r="W3348" s="73"/>
      <c r="GL3348" s="73"/>
      <c r="GM3348" s="73"/>
      <c r="GN3348" s="73"/>
      <c r="GO3348" s="73"/>
      <c r="GP3348" s="73"/>
      <c r="GQ3348" s="73"/>
      <c r="GR3348" s="73"/>
      <c r="GS3348" s="73"/>
      <c r="GT3348" s="73"/>
      <c r="GU3348" s="73"/>
      <c r="GV3348" s="73"/>
      <c r="GW3348" s="73"/>
      <c r="GX3348" s="73"/>
      <c r="GY3348" s="73"/>
      <c r="GZ3348" s="73"/>
      <c r="HA3348" s="73"/>
      <c r="HB3348" s="73"/>
      <c r="HC3348" s="73"/>
      <c r="HD3348" s="73"/>
      <c r="HE3348" s="73"/>
      <c r="HF3348" s="73"/>
      <c r="HG3348" s="73"/>
      <c r="HH3348" s="73"/>
      <c r="HI3348" s="73"/>
      <c r="HJ3348" s="73"/>
      <c r="HK3348" s="73"/>
      <c r="HL3348" s="73"/>
      <c r="HM3348" s="73"/>
      <c r="HN3348" s="73"/>
      <c r="HO3348" s="73"/>
      <c r="HP3348" s="73"/>
      <c r="HQ3348" s="73"/>
      <c r="HR3348" s="73"/>
      <c r="HS3348" s="73"/>
      <c r="HT3348" s="73"/>
      <c r="HU3348" s="73"/>
      <c r="HV3348" s="73"/>
      <c r="HW3348" s="73"/>
      <c r="HX3348" s="73"/>
      <c r="HY3348" s="73"/>
      <c r="HZ3348" s="73"/>
      <c r="IA3348" s="73"/>
      <c r="IB3348" s="73"/>
      <c r="IC3348" s="73"/>
      <c r="ID3348" s="73"/>
      <c r="IE3348" s="73"/>
      <c r="IF3348" s="73"/>
      <c r="IG3348" s="73"/>
      <c r="IH3348" s="73"/>
      <c r="II3348" s="73"/>
      <c r="IJ3348" s="73"/>
      <c r="IK3348" s="73"/>
      <c r="IL3348" s="73"/>
      <c r="IM3348" s="73"/>
      <c r="IN3348" s="73"/>
      <c r="IO3348" s="73"/>
      <c r="IP3348" s="73"/>
      <c r="IQ3348" s="73"/>
      <c r="IR3348" s="73"/>
      <c r="IS3348" s="73"/>
      <c r="IT3348" s="73"/>
      <c r="IU3348" s="73"/>
      <c r="IV3348" s="73"/>
      <c r="IW3348" s="73"/>
      <c r="IX3348" s="73"/>
      <c r="IY3348" s="73"/>
      <c r="IZ3348" s="73"/>
      <c r="JA3348" s="73"/>
      <c r="JB3348" s="73"/>
      <c r="JC3348" s="73"/>
    </row>
    <row r="3349" spans="2:263" s="72" customFormat="1">
      <c r="B3349" s="73"/>
      <c r="C3349" s="73"/>
      <c r="D3349" s="73"/>
      <c r="E3349" s="73"/>
      <c r="F3349" s="73"/>
      <c r="G3349" s="73"/>
      <c r="H3349" s="73"/>
      <c r="I3349" s="73"/>
      <c r="J3349" s="73"/>
      <c r="K3349" s="73"/>
      <c r="L3349" s="73"/>
      <c r="M3349" s="73"/>
      <c r="N3349" s="73"/>
      <c r="O3349" s="73"/>
      <c r="P3349" s="73"/>
      <c r="Q3349" s="73"/>
      <c r="R3349" s="73"/>
      <c r="S3349" s="73"/>
      <c r="T3349" s="73"/>
      <c r="U3349" s="73"/>
      <c r="V3349" s="73"/>
      <c r="W3349" s="73"/>
      <c r="GL3349" s="73"/>
      <c r="GM3349" s="73"/>
      <c r="GN3349" s="73"/>
      <c r="GO3349" s="73"/>
      <c r="GP3349" s="73"/>
      <c r="GQ3349" s="73"/>
      <c r="GR3349" s="73"/>
      <c r="GS3349" s="73"/>
      <c r="GT3349" s="73"/>
      <c r="GU3349" s="73"/>
      <c r="GV3349" s="73"/>
      <c r="GW3349" s="73"/>
      <c r="GX3349" s="73"/>
      <c r="GY3349" s="73"/>
      <c r="GZ3349" s="73"/>
      <c r="HA3349" s="73"/>
      <c r="HB3349" s="73"/>
      <c r="HC3349" s="73"/>
      <c r="HD3349" s="73"/>
      <c r="HE3349" s="73"/>
      <c r="HF3349" s="73"/>
      <c r="HG3349" s="73"/>
      <c r="HH3349" s="73"/>
      <c r="HI3349" s="73"/>
      <c r="HJ3349" s="73"/>
      <c r="HK3349" s="73"/>
      <c r="HL3349" s="73"/>
      <c r="HM3349" s="73"/>
      <c r="HN3349" s="73"/>
      <c r="HO3349" s="73"/>
      <c r="HP3349" s="73"/>
      <c r="HQ3349" s="73"/>
      <c r="HR3349" s="73"/>
      <c r="HS3349" s="73"/>
      <c r="HT3349" s="73"/>
      <c r="HU3349" s="73"/>
      <c r="HV3349" s="73"/>
      <c r="HW3349" s="73"/>
      <c r="HX3349" s="73"/>
      <c r="HY3349" s="73"/>
      <c r="HZ3349" s="73"/>
      <c r="IA3349" s="73"/>
      <c r="IB3349" s="73"/>
      <c r="IC3349" s="73"/>
      <c r="ID3349" s="73"/>
      <c r="IE3349" s="73"/>
      <c r="IF3349" s="73"/>
      <c r="IG3349" s="73"/>
      <c r="IH3349" s="73"/>
      <c r="II3349" s="73"/>
      <c r="IJ3349" s="73"/>
      <c r="IK3349" s="73"/>
      <c r="IL3349" s="73"/>
      <c r="IM3349" s="73"/>
      <c r="IN3349" s="73"/>
      <c r="IO3349" s="73"/>
      <c r="IP3349" s="73"/>
      <c r="IQ3349" s="73"/>
      <c r="IR3349" s="73"/>
      <c r="IS3349" s="73"/>
      <c r="IT3349" s="73"/>
      <c r="IU3349" s="73"/>
      <c r="IV3349" s="73"/>
      <c r="IW3349" s="73"/>
      <c r="IX3349" s="73"/>
      <c r="IY3349" s="73"/>
      <c r="IZ3349" s="73"/>
      <c r="JA3349" s="73"/>
      <c r="JB3349" s="73"/>
      <c r="JC3349" s="73"/>
    </row>
    <row r="3350" spans="2:263" s="72" customFormat="1">
      <c r="B3350" s="73"/>
      <c r="C3350" s="73"/>
      <c r="D3350" s="73"/>
      <c r="E3350" s="73"/>
      <c r="F3350" s="73"/>
      <c r="G3350" s="73"/>
      <c r="H3350" s="73"/>
      <c r="I3350" s="73"/>
      <c r="J3350" s="73"/>
      <c r="K3350" s="73"/>
      <c r="L3350" s="73"/>
      <c r="M3350" s="73"/>
      <c r="N3350" s="73"/>
      <c r="O3350" s="73"/>
      <c r="P3350" s="73"/>
      <c r="Q3350" s="73"/>
      <c r="R3350" s="73"/>
      <c r="S3350" s="73"/>
      <c r="T3350" s="73"/>
      <c r="U3350" s="73"/>
      <c r="V3350" s="73"/>
      <c r="W3350" s="73"/>
      <c r="GL3350" s="73"/>
      <c r="GM3350" s="73"/>
      <c r="GN3350" s="73"/>
      <c r="GO3350" s="73"/>
      <c r="GP3350" s="73"/>
      <c r="GQ3350" s="73"/>
      <c r="GR3350" s="73"/>
      <c r="GS3350" s="73"/>
      <c r="GT3350" s="73"/>
      <c r="GU3350" s="73"/>
      <c r="GV3350" s="73"/>
      <c r="GW3350" s="73"/>
      <c r="GX3350" s="73"/>
      <c r="GY3350" s="73"/>
      <c r="GZ3350" s="73"/>
      <c r="HA3350" s="73"/>
      <c r="HB3350" s="73"/>
      <c r="HC3350" s="73"/>
      <c r="HD3350" s="73"/>
      <c r="HE3350" s="73"/>
      <c r="HF3350" s="73"/>
      <c r="HG3350" s="73"/>
      <c r="HH3350" s="73"/>
      <c r="HI3350" s="73"/>
      <c r="HJ3350" s="73"/>
      <c r="HK3350" s="73"/>
      <c r="HL3350" s="73"/>
      <c r="HM3350" s="73"/>
      <c r="HN3350" s="73"/>
      <c r="HO3350" s="73"/>
      <c r="HP3350" s="73"/>
      <c r="HQ3350" s="73"/>
      <c r="HR3350" s="73"/>
      <c r="HS3350" s="73"/>
      <c r="HT3350" s="73"/>
      <c r="HU3350" s="73"/>
      <c r="HV3350" s="73"/>
      <c r="HW3350" s="73"/>
      <c r="HX3350" s="73"/>
      <c r="HY3350" s="73"/>
      <c r="HZ3350" s="73"/>
      <c r="IA3350" s="73"/>
      <c r="IB3350" s="73"/>
      <c r="IC3350" s="73"/>
      <c r="ID3350" s="73"/>
      <c r="IE3350" s="73"/>
      <c r="IF3350" s="73"/>
      <c r="IG3350" s="73"/>
      <c r="IH3350" s="73"/>
      <c r="II3350" s="73"/>
      <c r="IJ3350" s="73"/>
      <c r="IK3350" s="73"/>
      <c r="IL3350" s="73"/>
      <c r="IM3350" s="73"/>
      <c r="IN3350" s="73"/>
      <c r="IO3350" s="73"/>
      <c r="IP3350" s="73"/>
      <c r="IQ3350" s="73"/>
      <c r="IR3350" s="73"/>
      <c r="IS3350" s="73"/>
      <c r="IT3350" s="73"/>
      <c r="IU3350" s="73"/>
      <c r="IV3350" s="73"/>
      <c r="IW3350" s="73"/>
      <c r="IX3350" s="73"/>
      <c r="IY3350" s="73"/>
      <c r="IZ3350" s="73"/>
      <c r="JA3350" s="73"/>
      <c r="JB3350" s="73"/>
      <c r="JC3350" s="73"/>
    </row>
    <row r="3351" spans="2:263" s="72" customFormat="1">
      <c r="B3351" s="73"/>
      <c r="C3351" s="73"/>
      <c r="D3351" s="73"/>
      <c r="E3351" s="73"/>
      <c r="F3351" s="73"/>
      <c r="G3351" s="73"/>
      <c r="H3351" s="73"/>
      <c r="I3351" s="73"/>
      <c r="J3351" s="73"/>
      <c r="K3351" s="73"/>
      <c r="L3351" s="73"/>
      <c r="M3351" s="73"/>
      <c r="N3351" s="73"/>
      <c r="O3351" s="73"/>
      <c r="P3351" s="73"/>
      <c r="Q3351" s="73"/>
      <c r="R3351" s="73"/>
      <c r="S3351" s="73"/>
      <c r="T3351" s="73"/>
      <c r="U3351" s="73"/>
      <c r="V3351" s="73"/>
      <c r="W3351" s="73"/>
      <c r="GL3351" s="73"/>
      <c r="GM3351" s="73"/>
      <c r="GN3351" s="73"/>
      <c r="GO3351" s="73"/>
      <c r="GP3351" s="73"/>
      <c r="GQ3351" s="73"/>
      <c r="GR3351" s="73"/>
      <c r="GS3351" s="73"/>
      <c r="GT3351" s="73"/>
      <c r="GU3351" s="73"/>
      <c r="GV3351" s="73"/>
      <c r="GW3351" s="73"/>
      <c r="GX3351" s="73"/>
      <c r="GY3351" s="73"/>
      <c r="GZ3351" s="73"/>
      <c r="HA3351" s="73"/>
      <c r="HB3351" s="73"/>
      <c r="HC3351" s="73"/>
      <c r="HD3351" s="73"/>
      <c r="HE3351" s="73"/>
      <c r="HF3351" s="73"/>
      <c r="HG3351" s="73"/>
      <c r="HH3351" s="73"/>
      <c r="HI3351" s="73"/>
      <c r="HJ3351" s="73"/>
      <c r="HK3351" s="73"/>
      <c r="HL3351" s="73"/>
      <c r="HM3351" s="73"/>
      <c r="HN3351" s="73"/>
      <c r="HO3351" s="73"/>
      <c r="HP3351" s="73"/>
      <c r="HQ3351" s="73"/>
      <c r="HR3351" s="73"/>
      <c r="HS3351" s="73"/>
      <c r="HT3351" s="73"/>
      <c r="HU3351" s="73"/>
      <c r="HV3351" s="73"/>
      <c r="HW3351" s="73"/>
      <c r="HX3351" s="73"/>
      <c r="HY3351" s="73"/>
      <c r="HZ3351" s="73"/>
      <c r="IA3351" s="73"/>
      <c r="IB3351" s="73"/>
      <c r="IC3351" s="73"/>
      <c r="ID3351" s="73"/>
      <c r="IE3351" s="73"/>
      <c r="IF3351" s="73"/>
      <c r="IG3351" s="73"/>
      <c r="IH3351" s="73"/>
      <c r="II3351" s="73"/>
      <c r="IJ3351" s="73"/>
      <c r="IK3351" s="73"/>
      <c r="IL3351" s="73"/>
      <c r="IM3351" s="73"/>
      <c r="IN3351" s="73"/>
      <c r="IO3351" s="73"/>
      <c r="IP3351" s="73"/>
      <c r="IQ3351" s="73"/>
      <c r="IR3351" s="73"/>
      <c r="IS3351" s="73"/>
      <c r="IT3351" s="73"/>
      <c r="IU3351" s="73"/>
      <c r="IV3351" s="73"/>
      <c r="IW3351" s="73"/>
      <c r="IX3351" s="73"/>
      <c r="IY3351" s="73"/>
      <c r="IZ3351" s="73"/>
      <c r="JA3351" s="73"/>
      <c r="JB3351" s="73"/>
      <c r="JC3351" s="73"/>
    </row>
    <row r="3352" spans="2:263" s="72" customFormat="1">
      <c r="B3352" s="73"/>
      <c r="C3352" s="73"/>
      <c r="D3352" s="73"/>
      <c r="E3352" s="73"/>
      <c r="F3352" s="73"/>
      <c r="G3352" s="73"/>
      <c r="H3352" s="73"/>
      <c r="I3352" s="73"/>
      <c r="J3352" s="73"/>
      <c r="K3352" s="73"/>
      <c r="L3352" s="73"/>
      <c r="M3352" s="73"/>
      <c r="N3352" s="73"/>
      <c r="O3352" s="73"/>
      <c r="P3352" s="73"/>
      <c r="Q3352" s="73"/>
      <c r="R3352" s="73"/>
      <c r="S3352" s="73"/>
      <c r="T3352" s="73"/>
      <c r="U3352" s="73"/>
      <c r="V3352" s="73"/>
      <c r="W3352" s="73"/>
      <c r="GL3352" s="73"/>
      <c r="GM3352" s="73"/>
      <c r="GN3352" s="73"/>
      <c r="GO3352" s="73"/>
      <c r="GP3352" s="73"/>
      <c r="GQ3352" s="73"/>
      <c r="GR3352" s="73"/>
      <c r="GS3352" s="73"/>
      <c r="GT3352" s="73"/>
      <c r="GU3352" s="73"/>
      <c r="GV3352" s="73"/>
      <c r="GW3352" s="73"/>
      <c r="GX3352" s="73"/>
      <c r="GY3352" s="73"/>
      <c r="GZ3352" s="73"/>
      <c r="HA3352" s="73"/>
      <c r="HB3352" s="73"/>
      <c r="HC3352" s="73"/>
      <c r="HD3352" s="73"/>
      <c r="HE3352" s="73"/>
      <c r="HF3352" s="73"/>
      <c r="HG3352" s="73"/>
      <c r="HH3352" s="73"/>
      <c r="HI3352" s="73"/>
      <c r="HJ3352" s="73"/>
      <c r="HK3352" s="73"/>
      <c r="HL3352" s="73"/>
      <c r="HM3352" s="73"/>
      <c r="HN3352" s="73"/>
      <c r="HO3352" s="73"/>
      <c r="HP3352" s="73"/>
      <c r="HQ3352" s="73"/>
      <c r="HR3352" s="73"/>
      <c r="HS3352" s="73"/>
      <c r="HT3352" s="73"/>
      <c r="HU3352" s="73"/>
      <c r="HV3352" s="73"/>
      <c r="HW3352" s="73"/>
      <c r="HX3352" s="73"/>
      <c r="HY3352" s="73"/>
      <c r="HZ3352" s="73"/>
      <c r="IA3352" s="73"/>
      <c r="IB3352" s="73"/>
      <c r="IC3352" s="73"/>
      <c r="ID3352" s="73"/>
      <c r="IE3352" s="73"/>
      <c r="IF3352" s="73"/>
      <c r="IG3352" s="73"/>
      <c r="IH3352" s="73"/>
      <c r="II3352" s="73"/>
      <c r="IJ3352" s="73"/>
      <c r="IK3352" s="73"/>
      <c r="IL3352" s="73"/>
      <c r="IM3352" s="73"/>
      <c r="IN3352" s="73"/>
      <c r="IO3352" s="73"/>
      <c r="IP3352" s="73"/>
      <c r="IQ3352" s="73"/>
      <c r="IR3352" s="73"/>
      <c r="IS3352" s="73"/>
      <c r="IT3352" s="73"/>
      <c r="IU3352" s="73"/>
      <c r="IV3352" s="73"/>
      <c r="IW3352" s="73"/>
      <c r="IX3352" s="73"/>
      <c r="IY3352" s="73"/>
      <c r="IZ3352" s="73"/>
      <c r="JA3352" s="73"/>
      <c r="JB3352" s="73"/>
      <c r="JC3352" s="73"/>
    </row>
    <row r="3353" spans="2:263" s="72" customFormat="1">
      <c r="B3353" s="73"/>
      <c r="C3353" s="73"/>
      <c r="D3353" s="73"/>
      <c r="E3353" s="73"/>
      <c r="F3353" s="73"/>
      <c r="G3353" s="73"/>
      <c r="H3353" s="73"/>
      <c r="I3353" s="73"/>
      <c r="J3353" s="73"/>
      <c r="K3353" s="73"/>
      <c r="L3353" s="73"/>
      <c r="M3353" s="73"/>
      <c r="N3353" s="73"/>
      <c r="O3353" s="73"/>
      <c r="P3353" s="73"/>
      <c r="Q3353" s="73"/>
      <c r="R3353" s="73"/>
      <c r="S3353" s="73"/>
      <c r="T3353" s="73"/>
      <c r="U3353" s="73"/>
      <c r="V3353" s="73"/>
      <c r="W3353" s="73"/>
      <c r="GL3353" s="73"/>
      <c r="GM3353" s="73"/>
      <c r="GN3353" s="73"/>
      <c r="GO3353" s="73"/>
      <c r="GP3353" s="73"/>
      <c r="GQ3353" s="73"/>
      <c r="GR3353" s="73"/>
      <c r="GS3353" s="73"/>
      <c r="GT3353" s="73"/>
      <c r="GU3353" s="73"/>
      <c r="GV3353" s="73"/>
      <c r="GW3353" s="73"/>
      <c r="GX3353" s="73"/>
      <c r="GY3353" s="73"/>
      <c r="GZ3353" s="73"/>
      <c r="HA3353" s="73"/>
      <c r="HB3353" s="73"/>
      <c r="HC3353" s="73"/>
      <c r="HD3353" s="73"/>
      <c r="HE3353" s="73"/>
      <c r="HF3353" s="73"/>
      <c r="HG3353" s="73"/>
      <c r="HH3353" s="73"/>
      <c r="HI3353" s="73"/>
      <c r="HJ3353" s="73"/>
      <c r="HK3353" s="73"/>
      <c r="HL3353" s="73"/>
      <c r="HM3353" s="73"/>
      <c r="HN3353" s="73"/>
      <c r="HO3353" s="73"/>
      <c r="HP3353" s="73"/>
      <c r="HQ3353" s="73"/>
      <c r="HR3353" s="73"/>
      <c r="HS3353" s="73"/>
      <c r="HT3353" s="73"/>
      <c r="HU3353" s="73"/>
      <c r="HV3353" s="73"/>
      <c r="HW3353" s="73"/>
      <c r="HX3353" s="73"/>
      <c r="HY3353" s="73"/>
      <c r="HZ3353" s="73"/>
      <c r="IA3353" s="73"/>
      <c r="IB3353" s="73"/>
      <c r="IC3353" s="73"/>
      <c r="ID3353" s="73"/>
      <c r="IE3353" s="73"/>
      <c r="IF3353" s="73"/>
      <c r="IG3353" s="73"/>
      <c r="IH3353" s="73"/>
      <c r="II3353" s="73"/>
      <c r="IJ3353" s="73"/>
      <c r="IK3353" s="73"/>
      <c r="IL3353" s="73"/>
      <c r="IM3353" s="73"/>
      <c r="IN3353" s="73"/>
      <c r="IO3353" s="73"/>
      <c r="IP3353" s="73"/>
      <c r="IQ3353" s="73"/>
      <c r="IR3353" s="73"/>
      <c r="IS3353" s="73"/>
      <c r="IT3353" s="73"/>
      <c r="IU3353" s="73"/>
      <c r="IV3353" s="73"/>
      <c r="IW3353" s="73"/>
      <c r="IX3353" s="73"/>
      <c r="IY3353" s="73"/>
      <c r="IZ3353" s="73"/>
      <c r="JA3353" s="73"/>
      <c r="JB3353" s="73"/>
      <c r="JC3353" s="73"/>
    </row>
    <row r="3354" spans="2:263" s="72" customFormat="1">
      <c r="B3354" s="73"/>
      <c r="C3354" s="73"/>
      <c r="D3354" s="73"/>
      <c r="E3354" s="73"/>
      <c r="F3354" s="73"/>
      <c r="G3354" s="73"/>
      <c r="H3354" s="73"/>
      <c r="I3354" s="73"/>
      <c r="J3354" s="73"/>
      <c r="K3354" s="73"/>
      <c r="L3354" s="73"/>
      <c r="M3354" s="73"/>
      <c r="N3354" s="73"/>
      <c r="O3354" s="73"/>
      <c r="P3354" s="73"/>
      <c r="Q3354" s="73"/>
      <c r="R3354" s="73"/>
      <c r="S3354" s="73"/>
      <c r="T3354" s="73"/>
      <c r="U3354" s="73"/>
      <c r="V3354" s="73"/>
      <c r="W3354" s="73"/>
      <c r="GL3354" s="73"/>
      <c r="GM3354" s="73"/>
      <c r="GN3354" s="73"/>
      <c r="GO3354" s="73"/>
      <c r="GP3354" s="73"/>
      <c r="GQ3354" s="73"/>
      <c r="GR3354" s="73"/>
      <c r="GS3354" s="73"/>
      <c r="GT3354" s="73"/>
      <c r="GU3354" s="73"/>
      <c r="GV3354" s="73"/>
      <c r="GW3354" s="73"/>
      <c r="GX3354" s="73"/>
      <c r="GY3354" s="73"/>
      <c r="GZ3354" s="73"/>
      <c r="HA3354" s="73"/>
      <c r="HB3354" s="73"/>
      <c r="HC3354" s="73"/>
      <c r="HD3354" s="73"/>
      <c r="HE3354" s="73"/>
      <c r="HF3354" s="73"/>
      <c r="HG3354" s="73"/>
      <c r="HH3354" s="73"/>
      <c r="HI3354" s="73"/>
      <c r="HJ3354" s="73"/>
      <c r="HK3354" s="73"/>
      <c r="HL3354" s="73"/>
      <c r="HM3354" s="73"/>
      <c r="HN3354" s="73"/>
      <c r="HO3354" s="73"/>
      <c r="HP3354" s="73"/>
      <c r="HQ3354" s="73"/>
      <c r="HR3354" s="73"/>
      <c r="HS3354" s="73"/>
      <c r="HT3354" s="73"/>
      <c r="HU3354" s="73"/>
      <c r="HV3354" s="73"/>
      <c r="HW3354" s="73"/>
      <c r="HX3354" s="73"/>
      <c r="HY3354" s="73"/>
      <c r="HZ3354" s="73"/>
      <c r="IA3354" s="73"/>
      <c r="IB3354" s="73"/>
      <c r="IC3354" s="73"/>
      <c r="ID3354" s="73"/>
      <c r="IE3354" s="73"/>
      <c r="IF3354" s="73"/>
      <c r="IG3354" s="73"/>
      <c r="IH3354" s="73"/>
      <c r="II3354" s="73"/>
      <c r="IJ3354" s="73"/>
      <c r="IK3354" s="73"/>
      <c r="IL3354" s="73"/>
      <c r="IM3354" s="73"/>
      <c r="IN3354" s="73"/>
      <c r="IO3354" s="73"/>
      <c r="IP3354" s="73"/>
      <c r="IQ3354" s="73"/>
      <c r="IR3354" s="73"/>
      <c r="IS3354" s="73"/>
      <c r="IT3354" s="73"/>
      <c r="IU3354" s="73"/>
      <c r="IV3354" s="73"/>
      <c r="IW3354" s="73"/>
      <c r="IX3354" s="73"/>
      <c r="IY3354" s="73"/>
      <c r="IZ3354" s="73"/>
      <c r="JA3354" s="73"/>
      <c r="JB3354" s="73"/>
      <c r="JC3354" s="73"/>
    </row>
    <row r="3355" spans="2:263" s="72" customFormat="1">
      <c r="B3355" s="73"/>
      <c r="C3355" s="73"/>
      <c r="D3355" s="73"/>
      <c r="E3355" s="73"/>
      <c r="F3355" s="73"/>
      <c r="G3355" s="73"/>
      <c r="H3355" s="73"/>
      <c r="I3355" s="73"/>
      <c r="J3355" s="73"/>
      <c r="K3355" s="73"/>
      <c r="L3355" s="73"/>
      <c r="M3355" s="73"/>
      <c r="N3355" s="73"/>
      <c r="O3355" s="73"/>
      <c r="P3355" s="73"/>
      <c r="Q3355" s="73"/>
      <c r="R3355" s="73"/>
      <c r="S3355" s="73"/>
      <c r="T3355" s="73"/>
      <c r="U3355" s="73"/>
      <c r="V3355" s="73"/>
      <c r="W3355" s="73"/>
      <c r="GL3355" s="73"/>
      <c r="GM3355" s="73"/>
      <c r="GN3355" s="73"/>
      <c r="GO3355" s="73"/>
      <c r="GP3355" s="73"/>
      <c r="GQ3355" s="73"/>
      <c r="GR3355" s="73"/>
      <c r="GS3355" s="73"/>
      <c r="GT3355" s="73"/>
      <c r="GU3355" s="73"/>
      <c r="GV3355" s="73"/>
      <c r="GW3355" s="73"/>
      <c r="GX3355" s="73"/>
      <c r="GY3355" s="73"/>
      <c r="GZ3355" s="73"/>
      <c r="HA3355" s="73"/>
      <c r="HB3355" s="73"/>
      <c r="HC3355" s="73"/>
      <c r="HD3355" s="73"/>
      <c r="HE3355" s="73"/>
      <c r="HF3355" s="73"/>
      <c r="HG3355" s="73"/>
      <c r="HH3355" s="73"/>
      <c r="HI3355" s="73"/>
      <c r="HJ3355" s="73"/>
      <c r="HK3355" s="73"/>
      <c r="HL3355" s="73"/>
      <c r="HM3355" s="73"/>
      <c r="HN3355" s="73"/>
      <c r="HO3355" s="73"/>
      <c r="HP3355" s="73"/>
      <c r="HQ3355" s="73"/>
      <c r="HR3355" s="73"/>
      <c r="HS3355" s="73"/>
      <c r="HT3355" s="73"/>
      <c r="HU3355" s="73"/>
      <c r="HV3355" s="73"/>
      <c r="HW3355" s="73"/>
      <c r="HX3355" s="73"/>
      <c r="HY3355" s="73"/>
      <c r="HZ3355" s="73"/>
      <c r="IA3355" s="73"/>
      <c r="IB3355" s="73"/>
      <c r="IC3355" s="73"/>
      <c r="ID3355" s="73"/>
      <c r="IE3355" s="73"/>
      <c r="IF3355" s="73"/>
      <c r="IG3355" s="73"/>
      <c r="IH3355" s="73"/>
      <c r="II3355" s="73"/>
      <c r="IJ3355" s="73"/>
      <c r="IK3355" s="73"/>
      <c r="IL3355" s="73"/>
      <c r="IM3355" s="73"/>
      <c r="IN3355" s="73"/>
      <c r="IO3355" s="73"/>
      <c r="IP3355" s="73"/>
      <c r="IQ3355" s="73"/>
      <c r="IR3355" s="73"/>
      <c r="IS3355" s="73"/>
      <c r="IT3355" s="73"/>
      <c r="IU3355" s="73"/>
      <c r="IV3355" s="73"/>
      <c r="IW3355" s="73"/>
      <c r="IX3355" s="73"/>
      <c r="IY3355" s="73"/>
      <c r="IZ3355" s="73"/>
      <c r="JA3355" s="73"/>
      <c r="JB3355" s="73"/>
      <c r="JC3355" s="73"/>
    </row>
    <row r="3356" spans="2:263" s="72" customFormat="1">
      <c r="B3356" s="73"/>
      <c r="C3356" s="73"/>
      <c r="D3356" s="73"/>
      <c r="E3356" s="73"/>
      <c r="F3356" s="73"/>
      <c r="G3356" s="73"/>
      <c r="H3356" s="73"/>
      <c r="I3356" s="73"/>
      <c r="J3356" s="73"/>
      <c r="K3356" s="73"/>
      <c r="L3356" s="73"/>
      <c r="M3356" s="73"/>
      <c r="N3356" s="73"/>
      <c r="O3356" s="73"/>
      <c r="P3356" s="73"/>
      <c r="Q3356" s="73"/>
      <c r="R3356" s="73"/>
      <c r="S3356" s="73"/>
      <c r="T3356" s="73"/>
      <c r="U3356" s="73"/>
      <c r="V3356" s="73"/>
      <c r="W3356" s="73"/>
      <c r="GL3356" s="73"/>
      <c r="GM3356" s="73"/>
      <c r="GN3356" s="73"/>
      <c r="GO3356" s="73"/>
      <c r="GP3356" s="73"/>
      <c r="GQ3356" s="73"/>
      <c r="GR3356" s="73"/>
      <c r="GS3356" s="73"/>
      <c r="GT3356" s="73"/>
      <c r="GU3356" s="73"/>
      <c r="GV3356" s="73"/>
      <c r="GW3356" s="73"/>
      <c r="GX3356" s="73"/>
      <c r="GY3356" s="73"/>
      <c r="GZ3356" s="73"/>
      <c r="HA3356" s="73"/>
      <c r="HB3356" s="73"/>
      <c r="HC3356" s="73"/>
      <c r="HD3356" s="73"/>
      <c r="HE3356" s="73"/>
      <c r="HF3356" s="73"/>
      <c r="HG3356" s="73"/>
      <c r="HH3356" s="73"/>
      <c r="HI3356" s="73"/>
      <c r="HJ3356" s="73"/>
      <c r="HK3356" s="73"/>
      <c r="HL3356" s="73"/>
      <c r="HM3356" s="73"/>
      <c r="HN3356" s="73"/>
      <c r="HO3356" s="73"/>
      <c r="HP3356" s="73"/>
      <c r="HQ3356" s="73"/>
      <c r="HR3356" s="73"/>
      <c r="HS3356" s="73"/>
      <c r="HT3356" s="73"/>
      <c r="HU3356" s="73"/>
      <c r="HV3356" s="73"/>
      <c r="HW3356" s="73"/>
      <c r="HX3356" s="73"/>
      <c r="HY3356" s="73"/>
      <c r="HZ3356" s="73"/>
      <c r="IA3356" s="73"/>
      <c r="IB3356" s="73"/>
      <c r="IC3356" s="73"/>
      <c r="ID3356" s="73"/>
      <c r="IE3356" s="73"/>
      <c r="IF3356" s="73"/>
      <c r="IG3356" s="73"/>
      <c r="IH3356" s="73"/>
      <c r="II3356" s="73"/>
      <c r="IJ3356" s="73"/>
      <c r="IK3356" s="73"/>
      <c r="IL3356" s="73"/>
      <c r="IM3356" s="73"/>
      <c r="IN3356" s="73"/>
      <c r="IO3356" s="73"/>
      <c r="IP3356" s="73"/>
      <c r="IQ3356" s="73"/>
      <c r="IR3356" s="73"/>
      <c r="IS3356" s="73"/>
      <c r="IT3356" s="73"/>
      <c r="IU3356" s="73"/>
      <c r="IV3356" s="73"/>
      <c r="IW3356" s="73"/>
      <c r="IX3356" s="73"/>
      <c r="IY3356" s="73"/>
      <c r="IZ3356" s="73"/>
      <c r="JA3356" s="73"/>
      <c r="JB3356" s="73"/>
      <c r="JC3356" s="73"/>
    </row>
    <row r="3357" spans="2:263" s="72" customFormat="1">
      <c r="B3357" s="73"/>
      <c r="C3357" s="73"/>
      <c r="D3357" s="73"/>
      <c r="E3357" s="73"/>
      <c r="F3357" s="73"/>
      <c r="G3357" s="73"/>
      <c r="H3357" s="73"/>
      <c r="I3357" s="73"/>
      <c r="J3357" s="73"/>
      <c r="K3357" s="73"/>
      <c r="L3357" s="73"/>
      <c r="M3357" s="73"/>
      <c r="N3357" s="73"/>
      <c r="O3357" s="73"/>
      <c r="P3357" s="73"/>
      <c r="Q3357" s="73"/>
      <c r="R3357" s="73"/>
      <c r="S3357" s="73"/>
      <c r="T3357" s="73"/>
      <c r="U3357" s="73"/>
      <c r="V3357" s="73"/>
      <c r="W3357" s="73"/>
      <c r="GL3357" s="73"/>
      <c r="GM3357" s="73"/>
      <c r="GN3357" s="73"/>
      <c r="GO3357" s="73"/>
      <c r="GP3357" s="73"/>
      <c r="GQ3357" s="73"/>
      <c r="GR3357" s="73"/>
      <c r="GS3357" s="73"/>
      <c r="GT3357" s="73"/>
      <c r="GU3357" s="73"/>
      <c r="GV3357" s="73"/>
      <c r="GW3357" s="73"/>
      <c r="GX3357" s="73"/>
      <c r="GY3357" s="73"/>
      <c r="GZ3357" s="73"/>
      <c r="HA3357" s="73"/>
      <c r="HB3357" s="73"/>
      <c r="HC3357" s="73"/>
      <c r="HD3357" s="73"/>
      <c r="HE3357" s="73"/>
      <c r="HF3357" s="73"/>
      <c r="HG3357" s="73"/>
      <c r="HH3357" s="73"/>
      <c r="HI3357" s="73"/>
      <c r="HJ3357" s="73"/>
      <c r="HK3357" s="73"/>
      <c r="HL3357" s="73"/>
      <c r="HM3357" s="73"/>
      <c r="HN3357" s="73"/>
      <c r="HO3357" s="73"/>
      <c r="HP3357" s="73"/>
      <c r="HQ3357" s="73"/>
      <c r="HR3357" s="73"/>
      <c r="HS3357" s="73"/>
      <c r="HT3357" s="73"/>
      <c r="HU3357" s="73"/>
      <c r="HV3357" s="73"/>
      <c r="HW3357" s="73"/>
      <c r="HX3357" s="73"/>
      <c r="HY3357" s="73"/>
      <c r="HZ3357" s="73"/>
      <c r="IA3357" s="73"/>
      <c r="IB3357" s="73"/>
      <c r="IC3357" s="73"/>
      <c r="ID3357" s="73"/>
      <c r="IE3357" s="73"/>
      <c r="IF3357" s="73"/>
      <c r="IG3357" s="73"/>
      <c r="IH3357" s="73"/>
      <c r="II3357" s="73"/>
      <c r="IJ3357" s="73"/>
      <c r="IK3357" s="73"/>
      <c r="IL3357" s="73"/>
      <c r="IM3357" s="73"/>
      <c r="IN3357" s="73"/>
      <c r="IO3357" s="73"/>
      <c r="IP3357" s="73"/>
      <c r="IQ3357" s="73"/>
      <c r="IR3357" s="73"/>
      <c r="IS3357" s="73"/>
      <c r="IT3357" s="73"/>
      <c r="IU3357" s="73"/>
      <c r="IV3357" s="73"/>
      <c r="IW3357" s="73"/>
      <c r="IX3357" s="73"/>
      <c r="IY3357" s="73"/>
      <c r="IZ3357" s="73"/>
      <c r="JA3357" s="73"/>
      <c r="JB3357" s="73"/>
      <c r="JC3357" s="73"/>
    </row>
    <row r="3358" spans="2:263" s="72" customFormat="1">
      <c r="B3358" s="73"/>
      <c r="C3358" s="73"/>
      <c r="D3358" s="73"/>
      <c r="E3358" s="73"/>
      <c r="F3358" s="73"/>
      <c r="G3358" s="73"/>
      <c r="H3358" s="73"/>
      <c r="I3358" s="73"/>
      <c r="J3358" s="73"/>
      <c r="K3358" s="73"/>
      <c r="L3358" s="73"/>
      <c r="M3358" s="73"/>
      <c r="N3358" s="73"/>
      <c r="O3358" s="73"/>
      <c r="P3358" s="73"/>
      <c r="Q3358" s="73"/>
      <c r="R3358" s="73"/>
      <c r="S3358" s="73"/>
      <c r="T3358" s="73"/>
      <c r="U3358" s="73"/>
      <c r="V3358" s="73"/>
      <c r="W3358" s="73"/>
      <c r="GL3358" s="73"/>
      <c r="GM3358" s="73"/>
      <c r="GN3358" s="73"/>
      <c r="GO3358" s="73"/>
      <c r="GP3358" s="73"/>
      <c r="GQ3358" s="73"/>
      <c r="GR3358" s="73"/>
      <c r="GS3358" s="73"/>
      <c r="GT3358" s="73"/>
      <c r="GU3358" s="73"/>
      <c r="GV3358" s="73"/>
      <c r="GW3358" s="73"/>
      <c r="GX3358" s="73"/>
      <c r="GY3358" s="73"/>
      <c r="GZ3358" s="73"/>
      <c r="HA3358" s="73"/>
      <c r="HB3358" s="73"/>
      <c r="HC3358" s="73"/>
      <c r="HD3358" s="73"/>
      <c r="HE3358" s="73"/>
      <c r="HF3358" s="73"/>
      <c r="HG3358" s="73"/>
      <c r="HH3358" s="73"/>
      <c r="HI3358" s="73"/>
      <c r="HJ3358" s="73"/>
      <c r="HK3358" s="73"/>
      <c r="HL3358" s="73"/>
      <c r="HM3358" s="73"/>
      <c r="HN3358" s="73"/>
      <c r="HO3358" s="73"/>
      <c r="HP3358" s="73"/>
      <c r="HQ3358" s="73"/>
      <c r="HR3358" s="73"/>
      <c r="HS3358" s="73"/>
      <c r="HT3358" s="73"/>
      <c r="HU3358" s="73"/>
      <c r="HV3358" s="73"/>
      <c r="HW3358" s="73"/>
      <c r="HX3358" s="73"/>
      <c r="HY3358" s="73"/>
      <c r="HZ3358" s="73"/>
      <c r="IA3358" s="73"/>
      <c r="IB3358" s="73"/>
      <c r="IC3358" s="73"/>
      <c r="ID3358" s="73"/>
      <c r="IE3358" s="73"/>
      <c r="IF3358" s="73"/>
      <c r="IG3358" s="73"/>
      <c r="IH3358" s="73"/>
      <c r="II3358" s="73"/>
      <c r="IJ3358" s="73"/>
      <c r="IK3358" s="73"/>
      <c r="IL3358" s="73"/>
      <c r="IM3358" s="73"/>
      <c r="IN3358" s="73"/>
      <c r="IO3358" s="73"/>
      <c r="IP3358" s="73"/>
      <c r="IQ3358" s="73"/>
      <c r="IR3358" s="73"/>
      <c r="IS3358" s="73"/>
      <c r="IT3358" s="73"/>
      <c r="IU3358" s="73"/>
      <c r="IV3358" s="73"/>
      <c r="IW3358" s="73"/>
      <c r="IX3358" s="73"/>
      <c r="IY3358" s="73"/>
      <c r="IZ3358" s="73"/>
      <c r="JA3358" s="73"/>
      <c r="JB3358" s="73"/>
      <c r="JC3358" s="73"/>
    </row>
    <row r="3359" spans="2:263" s="72" customFormat="1">
      <c r="B3359" s="73"/>
      <c r="C3359" s="73"/>
      <c r="D3359" s="73"/>
      <c r="E3359" s="73"/>
      <c r="F3359" s="73"/>
      <c r="G3359" s="73"/>
      <c r="H3359" s="73"/>
      <c r="I3359" s="73"/>
      <c r="J3359" s="73"/>
      <c r="K3359" s="73"/>
      <c r="L3359" s="73"/>
      <c r="M3359" s="73"/>
      <c r="N3359" s="73"/>
      <c r="O3359" s="73"/>
      <c r="P3359" s="73"/>
      <c r="Q3359" s="73"/>
      <c r="R3359" s="73"/>
      <c r="S3359" s="73"/>
      <c r="T3359" s="73"/>
      <c r="U3359" s="73"/>
      <c r="V3359" s="73"/>
      <c r="W3359" s="73"/>
      <c r="GL3359" s="73"/>
      <c r="GM3359" s="73"/>
      <c r="GN3359" s="73"/>
      <c r="GO3359" s="73"/>
      <c r="GP3359" s="73"/>
      <c r="GQ3359" s="73"/>
      <c r="GR3359" s="73"/>
      <c r="GS3359" s="73"/>
      <c r="GT3359" s="73"/>
      <c r="GU3359" s="73"/>
      <c r="GV3359" s="73"/>
      <c r="GW3359" s="73"/>
      <c r="GX3359" s="73"/>
      <c r="GY3359" s="73"/>
      <c r="GZ3359" s="73"/>
      <c r="HA3359" s="73"/>
      <c r="HB3359" s="73"/>
      <c r="HC3359" s="73"/>
      <c r="HD3359" s="73"/>
      <c r="HE3359" s="73"/>
      <c r="HF3359" s="73"/>
      <c r="HG3359" s="73"/>
      <c r="HH3359" s="73"/>
      <c r="HI3359" s="73"/>
      <c r="HJ3359" s="73"/>
      <c r="HK3359" s="73"/>
      <c r="HL3359" s="73"/>
      <c r="HM3359" s="73"/>
      <c r="HN3359" s="73"/>
      <c r="HO3359" s="73"/>
      <c r="HP3359" s="73"/>
      <c r="HQ3359" s="73"/>
      <c r="HR3359" s="73"/>
      <c r="HS3359" s="73"/>
      <c r="HT3359" s="73"/>
      <c r="HU3359" s="73"/>
      <c r="HV3359" s="73"/>
      <c r="HW3359" s="73"/>
      <c r="HX3359" s="73"/>
      <c r="HY3359" s="73"/>
      <c r="HZ3359" s="73"/>
      <c r="IA3359" s="73"/>
      <c r="IB3359" s="73"/>
      <c r="IC3359" s="73"/>
      <c r="ID3359" s="73"/>
      <c r="IE3359" s="73"/>
      <c r="IF3359" s="73"/>
      <c r="IG3359" s="73"/>
      <c r="IH3359" s="73"/>
      <c r="II3359" s="73"/>
      <c r="IJ3359" s="73"/>
      <c r="IK3359" s="73"/>
      <c r="IL3359" s="73"/>
      <c r="IM3359" s="73"/>
      <c r="IN3359" s="73"/>
      <c r="IO3359" s="73"/>
      <c r="IP3359" s="73"/>
      <c r="IQ3359" s="73"/>
      <c r="IR3359" s="73"/>
      <c r="IS3359" s="73"/>
      <c r="IT3359" s="73"/>
      <c r="IU3359" s="73"/>
      <c r="IV3359" s="73"/>
      <c r="IW3359" s="73"/>
      <c r="IX3359" s="73"/>
      <c r="IY3359" s="73"/>
      <c r="IZ3359" s="73"/>
      <c r="JA3359" s="73"/>
      <c r="JB3359" s="73"/>
      <c r="JC3359" s="73"/>
    </row>
    <row r="3360" spans="2:263" s="72" customFormat="1">
      <c r="B3360" s="73"/>
      <c r="C3360" s="73"/>
      <c r="D3360" s="73"/>
      <c r="E3360" s="73"/>
      <c r="F3360" s="73"/>
      <c r="G3360" s="73"/>
      <c r="H3360" s="73"/>
      <c r="I3360" s="73"/>
      <c r="J3360" s="73"/>
      <c r="K3360" s="73"/>
      <c r="L3360" s="73"/>
      <c r="M3360" s="73"/>
      <c r="N3360" s="73"/>
      <c r="O3360" s="73"/>
      <c r="P3360" s="73"/>
      <c r="Q3360" s="73"/>
      <c r="R3360" s="73"/>
      <c r="S3360" s="73"/>
      <c r="T3360" s="73"/>
      <c r="U3360" s="73"/>
      <c r="V3360" s="73"/>
      <c r="W3360" s="73"/>
      <c r="GL3360" s="73"/>
      <c r="GM3360" s="73"/>
      <c r="GN3360" s="73"/>
      <c r="GO3360" s="73"/>
      <c r="GP3360" s="73"/>
      <c r="GQ3360" s="73"/>
      <c r="GR3360" s="73"/>
      <c r="GS3360" s="73"/>
      <c r="GT3360" s="73"/>
      <c r="GU3360" s="73"/>
      <c r="GV3360" s="73"/>
      <c r="GW3360" s="73"/>
      <c r="GX3360" s="73"/>
      <c r="GY3360" s="73"/>
      <c r="GZ3360" s="73"/>
      <c r="HA3360" s="73"/>
      <c r="HB3360" s="73"/>
      <c r="HC3360" s="73"/>
      <c r="HD3360" s="73"/>
      <c r="HE3360" s="73"/>
      <c r="HF3360" s="73"/>
      <c r="HG3360" s="73"/>
      <c r="HH3360" s="73"/>
      <c r="HI3360" s="73"/>
      <c r="HJ3360" s="73"/>
      <c r="HK3360" s="73"/>
      <c r="HL3360" s="73"/>
      <c r="HM3360" s="73"/>
      <c r="HN3360" s="73"/>
      <c r="HO3360" s="73"/>
      <c r="HP3360" s="73"/>
      <c r="HQ3360" s="73"/>
      <c r="HR3360" s="73"/>
      <c r="HS3360" s="73"/>
      <c r="HT3360" s="73"/>
      <c r="HU3360" s="73"/>
      <c r="HV3360" s="73"/>
      <c r="HW3360" s="73"/>
      <c r="HX3360" s="73"/>
      <c r="HY3360" s="73"/>
      <c r="HZ3360" s="73"/>
      <c r="IA3360" s="73"/>
      <c r="IB3360" s="73"/>
      <c r="IC3360" s="73"/>
      <c r="ID3360" s="73"/>
      <c r="IE3360" s="73"/>
      <c r="IF3360" s="73"/>
      <c r="IG3360" s="73"/>
      <c r="IH3360" s="73"/>
      <c r="II3360" s="73"/>
      <c r="IJ3360" s="73"/>
      <c r="IK3360" s="73"/>
      <c r="IL3360" s="73"/>
      <c r="IM3360" s="73"/>
      <c r="IN3360" s="73"/>
      <c r="IO3360" s="73"/>
      <c r="IP3360" s="73"/>
      <c r="IQ3360" s="73"/>
      <c r="IR3360" s="73"/>
      <c r="IS3360" s="73"/>
      <c r="IT3360" s="73"/>
      <c r="IU3360" s="73"/>
      <c r="IV3360" s="73"/>
      <c r="IW3360" s="73"/>
      <c r="IX3360" s="73"/>
      <c r="IY3360" s="73"/>
      <c r="IZ3360" s="73"/>
      <c r="JA3360" s="73"/>
      <c r="JB3360" s="73"/>
      <c r="JC3360" s="73"/>
    </row>
    <row r="3361" spans="2:263" s="72" customFormat="1">
      <c r="B3361" s="73"/>
      <c r="C3361" s="73"/>
      <c r="D3361" s="73"/>
      <c r="E3361" s="73"/>
      <c r="F3361" s="73"/>
      <c r="G3361" s="73"/>
      <c r="H3361" s="73"/>
      <c r="I3361" s="73"/>
      <c r="J3361" s="73"/>
      <c r="K3361" s="73"/>
      <c r="L3361" s="73"/>
      <c r="M3361" s="73"/>
      <c r="N3361" s="73"/>
      <c r="O3361" s="73"/>
      <c r="P3361" s="73"/>
      <c r="Q3361" s="73"/>
      <c r="R3361" s="73"/>
      <c r="S3361" s="73"/>
      <c r="T3361" s="73"/>
      <c r="U3361" s="73"/>
      <c r="V3361" s="73"/>
      <c r="W3361" s="73"/>
      <c r="GL3361" s="73"/>
      <c r="GM3361" s="73"/>
      <c r="GN3361" s="73"/>
      <c r="GO3361" s="73"/>
      <c r="GP3361" s="73"/>
      <c r="GQ3361" s="73"/>
      <c r="GR3361" s="73"/>
      <c r="GS3361" s="73"/>
      <c r="GT3361" s="73"/>
      <c r="GU3361" s="73"/>
      <c r="GV3361" s="73"/>
      <c r="GW3361" s="73"/>
      <c r="GX3361" s="73"/>
      <c r="GY3361" s="73"/>
      <c r="GZ3361" s="73"/>
      <c r="HA3361" s="73"/>
      <c r="HB3361" s="73"/>
      <c r="HC3361" s="73"/>
      <c r="HD3361" s="73"/>
      <c r="HE3361" s="73"/>
      <c r="HF3361" s="73"/>
      <c r="HG3361" s="73"/>
      <c r="HH3361" s="73"/>
      <c r="HI3361" s="73"/>
      <c r="HJ3361" s="73"/>
      <c r="HK3361" s="73"/>
      <c r="HL3361" s="73"/>
      <c r="HM3361" s="73"/>
      <c r="HN3361" s="73"/>
      <c r="HO3361" s="73"/>
      <c r="HP3361" s="73"/>
      <c r="HQ3361" s="73"/>
      <c r="HR3361" s="73"/>
      <c r="HS3361" s="73"/>
      <c r="HT3361" s="73"/>
      <c r="HU3361" s="73"/>
      <c r="HV3361" s="73"/>
      <c r="HW3361" s="73"/>
      <c r="HX3361" s="73"/>
      <c r="HY3361" s="73"/>
      <c r="HZ3361" s="73"/>
      <c r="IA3361" s="73"/>
      <c r="IB3361" s="73"/>
      <c r="IC3361" s="73"/>
      <c r="ID3361" s="73"/>
      <c r="IE3361" s="73"/>
      <c r="IF3361" s="73"/>
      <c r="IG3361" s="73"/>
      <c r="IH3361" s="73"/>
      <c r="II3361" s="73"/>
      <c r="IJ3361" s="73"/>
      <c r="IK3361" s="73"/>
      <c r="IL3361" s="73"/>
      <c r="IM3361" s="73"/>
      <c r="IN3361" s="73"/>
      <c r="IO3361" s="73"/>
      <c r="IP3361" s="73"/>
      <c r="IQ3361" s="73"/>
      <c r="IR3361" s="73"/>
      <c r="IS3361" s="73"/>
      <c r="IT3361" s="73"/>
      <c r="IU3361" s="73"/>
      <c r="IV3361" s="73"/>
      <c r="IW3361" s="73"/>
      <c r="IX3361" s="73"/>
      <c r="IY3361" s="73"/>
      <c r="IZ3361" s="73"/>
      <c r="JA3361" s="73"/>
      <c r="JB3361" s="73"/>
      <c r="JC3361" s="73"/>
    </row>
    <row r="3362" spans="2:263" s="72" customFormat="1">
      <c r="B3362" s="73"/>
      <c r="C3362" s="73"/>
      <c r="D3362" s="73"/>
      <c r="E3362" s="73"/>
      <c r="F3362" s="73"/>
      <c r="G3362" s="73"/>
      <c r="H3362" s="73"/>
      <c r="I3362" s="73"/>
      <c r="J3362" s="73"/>
      <c r="K3362" s="73"/>
      <c r="L3362" s="73"/>
      <c r="M3362" s="73"/>
      <c r="N3362" s="73"/>
      <c r="O3362" s="73"/>
      <c r="P3362" s="73"/>
      <c r="Q3362" s="73"/>
      <c r="R3362" s="73"/>
      <c r="S3362" s="73"/>
      <c r="T3362" s="73"/>
      <c r="U3362" s="73"/>
      <c r="V3362" s="73"/>
      <c r="W3362" s="73"/>
      <c r="GL3362" s="73"/>
      <c r="GM3362" s="73"/>
      <c r="GN3362" s="73"/>
      <c r="GO3362" s="73"/>
      <c r="GP3362" s="73"/>
      <c r="GQ3362" s="73"/>
      <c r="GR3362" s="73"/>
      <c r="GS3362" s="73"/>
      <c r="GT3362" s="73"/>
      <c r="GU3362" s="73"/>
      <c r="GV3362" s="73"/>
      <c r="GW3362" s="73"/>
      <c r="GX3362" s="73"/>
      <c r="GY3362" s="73"/>
      <c r="GZ3362" s="73"/>
      <c r="HA3362" s="73"/>
      <c r="HB3362" s="73"/>
      <c r="HC3362" s="73"/>
      <c r="HD3362" s="73"/>
      <c r="HE3362" s="73"/>
      <c r="HF3362" s="73"/>
      <c r="HG3362" s="73"/>
      <c r="HH3362" s="73"/>
      <c r="HI3362" s="73"/>
      <c r="HJ3362" s="73"/>
      <c r="HK3362" s="73"/>
      <c r="HL3362" s="73"/>
      <c r="HM3362" s="73"/>
      <c r="HN3362" s="73"/>
      <c r="HO3362" s="73"/>
      <c r="HP3362" s="73"/>
      <c r="HQ3362" s="73"/>
      <c r="HR3362" s="73"/>
      <c r="HS3362" s="73"/>
      <c r="HT3362" s="73"/>
      <c r="HU3362" s="73"/>
      <c r="HV3362" s="73"/>
      <c r="HW3362" s="73"/>
      <c r="HX3362" s="73"/>
      <c r="HY3362" s="73"/>
      <c r="HZ3362" s="73"/>
      <c r="IA3362" s="73"/>
      <c r="IB3362" s="73"/>
      <c r="IC3362" s="73"/>
      <c r="ID3362" s="73"/>
      <c r="IE3362" s="73"/>
      <c r="IF3362" s="73"/>
      <c r="IG3362" s="73"/>
      <c r="IH3362" s="73"/>
      <c r="II3362" s="73"/>
      <c r="IJ3362" s="73"/>
      <c r="IK3362" s="73"/>
      <c r="IL3362" s="73"/>
      <c r="IM3362" s="73"/>
      <c r="IN3362" s="73"/>
      <c r="IO3362" s="73"/>
      <c r="IP3362" s="73"/>
      <c r="IQ3362" s="73"/>
      <c r="IR3362" s="73"/>
      <c r="IS3362" s="73"/>
      <c r="IT3362" s="73"/>
      <c r="IU3362" s="73"/>
      <c r="IV3362" s="73"/>
      <c r="IW3362" s="73"/>
      <c r="IX3362" s="73"/>
      <c r="IY3362" s="73"/>
      <c r="IZ3362" s="73"/>
      <c r="JA3362" s="73"/>
      <c r="JB3362" s="73"/>
      <c r="JC3362" s="73"/>
    </row>
    <row r="3363" spans="2:263" s="72" customFormat="1">
      <c r="B3363" s="73"/>
      <c r="C3363" s="73"/>
      <c r="D3363" s="73"/>
      <c r="E3363" s="73"/>
      <c r="F3363" s="73"/>
      <c r="G3363" s="73"/>
      <c r="H3363" s="73"/>
      <c r="I3363" s="73"/>
      <c r="J3363" s="73"/>
      <c r="K3363" s="73"/>
      <c r="L3363" s="73"/>
      <c r="M3363" s="73"/>
      <c r="N3363" s="73"/>
      <c r="O3363" s="73"/>
      <c r="P3363" s="73"/>
      <c r="Q3363" s="73"/>
      <c r="R3363" s="73"/>
      <c r="S3363" s="73"/>
      <c r="T3363" s="73"/>
      <c r="U3363" s="73"/>
      <c r="V3363" s="73"/>
      <c r="W3363" s="73"/>
      <c r="GL3363" s="73"/>
      <c r="GM3363" s="73"/>
      <c r="GN3363" s="73"/>
      <c r="GO3363" s="73"/>
      <c r="GP3363" s="73"/>
      <c r="GQ3363" s="73"/>
      <c r="GR3363" s="73"/>
      <c r="GS3363" s="73"/>
      <c r="GT3363" s="73"/>
      <c r="GU3363" s="73"/>
      <c r="GV3363" s="73"/>
      <c r="GW3363" s="73"/>
      <c r="GX3363" s="73"/>
      <c r="GY3363" s="73"/>
      <c r="GZ3363" s="73"/>
      <c r="HA3363" s="73"/>
      <c r="HB3363" s="73"/>
      <c r="HC3363" s="73"/>
      <c r="HD3363" s="73"/>
      <c r="HE3363" s="73"/>
      <c r="HF3363" s="73"/>
      <c r="HG3363" s="73"/>
      <c r="HH3363" s="73"/>
      <c r="HI3363" s="73"/>
      <c r="HJ3363" s="73"/>
      <c r="HK3363" s="73"/>
      <c r="HL3363" s="73"/>
      <c r="HM3363" s="73"/>
      <c r="HN3363" s="73"/>
      <c r="HO3363" s="73"/>
      <c r="HP3363" s="73"/>
      <c r="HQ3363" s="73"/>
      <c r="HR3363" s="73"/>
      <c r="HS3363" s="73"/>
      <c r="HT3363" s="73"/>
      <c r="HU3363" s="73"/>
      <c r="HV3363" s="73"/>
      <c r="HW3363" s="73"/>
      <c r="HX3363" s="73"/>
      <c r="HY3363" s="73"/>
      <c r="HZ3363" s="73"/>
      <c r="IA3363" s="73"/>
      <c r="IB3363" s="73"/>
      <c r="IC3363" s="73"/>
      <c r="ID3363" s="73"/>
      <c r="IE3363" s="73"/>
      <c r="IF3363" s="73"/>
      <c r="IG3363" s="73"/>
      <c r="IH3363" s="73"/>
      <c r="II3363" s="73"/>
      <c r="IJ3363" s="73"/>
      <c r="IK3363" s="73"/>
      <c r="IL3363" s="73"/>
      <c r="IM3363" s="73"/>
      <c r="IN3363" s="73"/>
      <c r="IO3363" s="73"/>
      <c r="IP3363" s="73"/>
      <c r="IQ3363" s="73"/>
      <c r="IR3363" s="73"/>
      <c r="IS3363" s="73"/>
      <c r="IT3363" s="73"/>
      <c r="IU3363" s="73"/>
      <c r="IV3363" s="73"/>
      <c r="IW3363" s="73"/>
      <c r="IX3363" s="73"/>
      <c r="IY3363" s="73"/>
      <c r="IZ3363" s="73"/>
      <c r="JA3363" s="73"/>
      <c r="JB3363" s="73"/>
      <c r="JC3363" s="73"/>
    </row>
    <row r="3364" spans="2:263" s="72" customFormat="1">
      <c r="B3364" s="73"/>
      <c r="C3364" s="73"/>
      <c r="D3364" s="73"/>
      <c r="E3364" s="73"/>
      <c r="F3364" s="73"/>
      <c r="G3364" s="73"/>
      <c r="H3364" s="73"/>
      <c r="I3364" s="73"/>
      <c r="J3364" s="73"/>
      <c r="K3364" s="73"/>
      <c r="L3364" s="73"/>
      <c r="M3364" s="73"/>
      <c r="N3364" s="73"/>
      <c r="O3364" s="73"/>
      <c r="P3364" s="73"/>
      <c r="Q3364" s="73"/>
      <c r="R3364" s="73"/>
      <c r="S3364" s="73"/>
      <c r="T3364" s="73"/>
      <c r="U3364" s="73"/>
      <c r="V3364" s="73"/>
      <c r="W3364" s="73"/>
      <c r="GL3364" s="73"/>
      <c r="GM3364" s="73"/>
      <c r="GN3364" s="73"/>
      <c r="GO3364" s="73"/>
      <c r="GP3364" s="73"/>
      <c r="GQ3364" s="73"/>
      <c r="GR3364" s="73"/>
      <c r="GS3364" s="73"/>
      <c r="GT3364" s="73"/>
      <c r="GU3364" s="73"/>
      <c r="GV3364" s="73"/>
      <c r="GW3364" s="73"/>
      <c r="GX3364" s="73"/>
      <c r="GY3364" s="73"/>
      <c r="GZ3364" s="73"/>
      <c r="HA3364" s="73"/>
      <c r="HB3364" s="73"/>
      <c r="HC3364" s="73"/>
      <c r="HD3364" s="73"/>
      <c r="HE3364" s="73"/>
      <c r="HF3364" s="73"/>
      <c r="HG3364" s="73"/>
      <c r="HH3364" s="73"/>
      <c r="HI3364" s="73"/>
      <c r="HJ3364" s="73"/>
      <c r="HK3364" s="73"/>
      <c r="HL3364" s="73"/>
      <c r="HM3364" s="73"/>
      <c r="HN3364" s="73"/>
      <c r="HO3364" s="73"/>
      <c r="HP3364" s="73"/>
      <c r="HQ3364" s="73"/>
      <c r="HR3364" s="73"/>
      <c r="HS3364" s="73"/>
      <c r="HT3364" s="73"/>
      <c r="HU3364" s="73"/>
      <c r="HV3364" s="73"/>
      <c r="HW3364" s="73"/>
      <c r="HX3364" s="73"/>
      <c r="HY3364" s="73"/>
      <c r="HZ3364" s="73"/>
      <c r="IA3364" s="73"/>
      <c r="IB3364" s="73"/>
      <c r="IC3364" s="73"/>
      <c r="ID3364" s="73"/>
      <c r="IE3364" s="73"/>
      <c r="IF3364" s="73"/>
      <c r="IG3364" s="73"/>
      <c r="IH3364" s="73"/>
      <c r="II3364" s="73"/>
      <c r="IJ3364" s="73"/>
      <c r="IK3364" s="73"/>
      <c r="IL3364" s="73"/>
      <c r="IM3364" s="73"/>
      <c r="IN3364" s="73"/>
      <c r="IO3364" s="73"/>
      <c r="IP3364" s="73"/>
      <c r="IQ3364" s="73"/>
      <c r="IR3364" s="73"/>
      <c r="IS3364" s="73"/>
      <c r="IT3364" s="73"/>
      <c r="IU3364" s="73"/>
      <c r="IV3364" s="73"/>
      <c r="IW3364" s="73"/>
      <c r="IX3364" s="73"/>
      <c r="IY3364" s="73"/>
      <c r="IZ3364" s="73"/>
      <c r="JA3364" s="73"/>
      <c r="JB3364" s="73"/>
      <c r="JC3364" s="73"/>
    </row>
    <row r="3365" spans="2:263" s="72" customFormat="1">
      <c r="B3365" s="73"/>
      <c r="C3365" s="73"/>
      <c r="D3365" s="73"/>
      <c r="E3365" s="73"/>
      <c r="F3365" s="73"/>
      <c r="G3365" s="73"/>
      <c r="H3365" s="73"/>
      <c r="I3365" s="73"/>
      <c r="J3365" s="73"/>
      <c r="K3365" s="73"/>
      <c r="L3365" s="73"/>
      <c r="M3365" s="73"/>
      <c r="N3365" s="73"/>
      <c r="O3365" s="73"/>
      <c r="P3365" s="73"/>
      <c r="Q3365" s="73"/>
      <c r="R3365" s="73"/>
      <c r="S3365" s="73"/>
      <c r="T3365" s="73"/>
      <c r="U3365" s="73"/>
      <c r="V3365" s="73"/>
      <c r="W3365" s="73"/>
      <c r="GL3365" s="73"/>
      <c r="GM3365" s="73"/>
      <c r="GN3365" s="73"/>
      <c r="GO3365" s="73"/>
      <c r="GP3365" s="73"/>
      <c r="GQ3365" s="73"/>
      <c r="GR3365" s="73"/>
      <c r="GS3365" s="73"/>
      <c r="GT3365" s="73"/>
      <c r="GU3365" s="73"/>
      <c r="GV3365" s="73"/>
      <c r="GW3365" s="73"/>
      <c r="GX3365" s="73"/>
      <c r="GY3365" s="73"/>
      <c r="GZ3365" s="73"/>
      <c r="HA3365" s="73"/>
      <c r="HB3365" s="73"/>
      <c r="HC3365" s="73"/>
      <c r="HD3365" s="73"/>
      <c r="HE3365" s="73"/>
      <c r="HF3365" s="73"/>
      <c r="HG3365" s="73"/>
      <c r="HH3365" s="73"/>
      <c r="HI3365" s="73"/>
      <c r="HJ3365" s="73"/>
      <c r="HK3365" s="73"/>
      <c r="HL3365" s="73"/>
      <c r="HM3365" s="73"/>
      <c r="HN3365" s="73"/>
      <c r="HO3365" s="73"/>
      <c r="HP3365" s="73"/>
      <c r="HQ3365" s="73"/>
      <c r="HR3365" s="73"/>
      <c r="HS3365" s="73"/>
      <c r="HT3365" s="73"/>
      <c r="HU3365" s="73"/>
      <c r="HV3365" s="73"/>
      <c r="HW3365" s="73"/>
      <c r="HX3365" s="73"/>
      <c r="HY3365" s="73"/>
      <c r="HZ3365" s="73"/>
      <c r="IA3365" s="73"/>
      <c r="IB3365" s="73"/>
      <c r="IC3365" s="73"/>
      <c r="ID3365" s="73"/>
      <c r="IE3365" s="73"/>
      <c r="IF3365" s="73"/>
      <c r="IG3365" s="73"/>
      <c r="IH3365" s="73"/>
      <c r="II3365" s="73"/>
      <c r="IJ3365" s="73"/>
      <c r="IK3365" s="73"/>
      <c r="IL3365" s="73"/>
      <c r="IM3365" s="73"/>
      <c r="IN3365" s="73"/>
      <c r="IO3365" s="73"/>
      <c r="IP3365" s="73"/>
      <c r="IQ3365" s="73"/>
      <c r="IR3365" s="73"/>
      <c r="IS3365" s="73"/>
      <c r="IT3365" s="73"/>
      <c r="IU3365" s="73"/>
      <c r="IV3365" s="73"/>
      <c r="IW3365" s="73"/>
      <c r="IX3365" s="73"/>
      <c r="IY3365" s="73"/>
      <c r="IZ3365" s="73"/>
      <c r="JA3365" s="73"/>
      <c r="JB3365" s="73"/>
      <c r="JC3365" s="73"/>
    </row>
    <row r="3366" spans="2:263" s="72" customFormat="1">
      <c r="B3366" s="73"/>
      <c r="C3366" s="73"/>
      <c r="D3366" s="73"/>
      <c r="E3366" s="73"/>
      <c r="F3366" s="73"/>
      <c r="G3366" s="73"/>
      <c r="H3366" s="73"/>
      <c r="I3366" s="73"/>
      <c r="J3366" s="73"/>
      <c r="K3366" s="73"/>
      <c r="L3366" s="73"/>
      <c r="M3366" s="73"/>
      <c r="N3366" s="73"/>
      <c r="O3366" s="73"/>
      <c r="P3366" s="73"/>
      <c r="Q3366" s="73"/>
      <c r="R3366" s="73"/>
      <c r="S3366" s="73"/>
      <c r="T3366" s="73"/>
      <c r="U3366" s="73"/>
      <c r="V3366" s="73"/>
      <c r="W3366" s="73"/>
      <c r="GL3366" s="73"/>
      <c r="GM3366" s="73"/>
      <c r="GN3366" s="73"/>
      <c r="GO3366" s="73"/>
      <c r="GP3366" s="73"/>
      <c r="GQ3366" s="73"/>
      <c r="GR3366" s="73"/>
      <c r="GS3366" s="73"/>
      <c r="GT3366" s="73"/>
      <c r="GU3366" s="73"/>
      <c r="GV3366" s="73"/>
      <c r="GW3366" s="73"/>
      <c r="GX3366" s="73"/>
      <c r="GY3366" s="73"/>
      <c r="GZ3366" s="73"/>
      <c r="HA3366" s="73"/>
      <c r="HB3366" s="73"/>
      <c r="HC3366" s="73"/>
      <c r="HD3366" s="73"/>
      <c r="HE3366" s="73"/>
      <c r="HF3366" s="73"/>
      <c r="HG3366" s="73"/>
      <c r="HH3366" s="73"/>
      <c r="HI3366" s="73"/>
      <c r="HJ3366" s="73"/>
      <c r="HK3366" s="73"/>
      <c r="HL3366" s="73"/>
      <c r="HM3366" s="73"/>
      <c r="HN3366" s="73"/>
      <c r="HO3366" s="73"/>
      <c r="HP3366" s="73"/>
      <c r="HQ3366" s="73"/>
      <c r="HR3366" s="73"/>
      <c r="HS3366" s="73"/>
      <c r="HT3366" s="73"/>
      <c r="HU3366" s="73"/>
      <c r="HV3366" s="73"/>
      <c r="HW3366" s="73"/>
      <c r="HX3366" s="73"/>
      <c r="HY3366" s="73"/>
      <c r="HZ3366" s="73"/>
      <c r="IA3366" s="73"/>
      <c r="IB3366" s="73"/>
      <c r="IC3366" s="73"/>
      <c r="ID3366" s="73"/>
      <c r="IE3366" s="73"/>
      <c r="IF3366" s="73"/>
      <c r="IG3366" s="73"/>
      <c r="IH3366" s="73"/>
      <c r="II3366" s="73"/>
      <c r="IJ3366" s="73"/>
      <c r="IK3366" s="73"/>
      <c r="IL3366" s="73"/>
      <c r="IM3366" s="73"/>
      <c r="IN3366" s="73"/>
      <c r="IO3366" s="73"/>
      <c r="IP3366" s="73"/>
      <c r="IQ3366" s="73"/>
      <c r="IR3366" s="73"/>
      <c r="IS3366" s="73"/>
      <c r="IT3366" s="73"/>
      <c r="IU3366" s="73"/>
      <c r="IV3366" s="73"/>
      <c r="IW3366" s="73"/>
      <c r="IX3366" s="73"/>
      <c r="IY3366" s="73"/>
      <c r="IZ3366" s="73"/>
      <c r="JA3366" s="73"/>
      <c r="JB3366" s="73"/>
      <c r="JC3366" s="73"/>
    </row>
    <row r="3367" spans="2:263" s="72" customFormat="1">
      <c r="B3367" s="73"/>
      <c r="C3367" s="73"/>
      <c r="D3367" s="73"/>
      <c r="E3367" s="73"/>
      <c r="F3367" s="73"/>
      <c r="G3367" s="73"/>
      <c r="H3367" s="73"/>
      <c r="I3367" s="73"/>
      <c r="J3367" s="73"/>
      <c r="K3367" s="73"/>
      <c r="L3367" s="73"/>
      <c r="M3367" s="73"/>
      <c r="N3367" s="73"/>
      <c r="O3367" s="73"/>
      <c r="P3367" s="73"/>
      <c r="Q3367" s="73"/>
      <c r="R3367" s="73"/>
      <c r="S3367" s="73"/>
      <c r="T3367" s="73"/>
      <c r="U3367" s="73"/>
      <c r="V3367" s="73"/>
      <c r="W3367" s="73"/>
      <c r="GL3367" s="73"/>
      <c r="GM3367" s="73"/>
      <c r="GN3367" s="73"/>
      <c r="GO3367" s="73"/>
      <c r="GP3367" s="73"/>
      <c r="GQ3367" s="73"/>
      <c r="GR3367" s="73"/>
      <c r="GS3367" s="73"/>
      <c r="GT3367" s="73"/>
      <c r="GU3367" s="73"/>
      <c r="GV3367" s="73"/>
      <c r="GW3367" s="73"/>
      <c r="GX3367" s="73"/>
      <c r="GY3367" s="73"/>
      <c r="GZ3367" s="73"/>
      <c r="HA3367" s="73"/>
      <c r="HB3367" s="73"/>
      <c r="HC3367" s="73"/>
      <c r="HD3367" s="73"/>
      <c r="HE3367" s="73"/>
      <c r="HF3367" s="73"/>
      <c r="HG3367" s="73"/>
      <c r="HH3367" s="73"/>
      <c r="HI3367" s="73"/>
      <c r="HJ3367" s="73"/>
      <c r="HK3367" s="73"/>
      <c r="HL3367" s="73"/>
      <c r="HM3367" s="73"/>
      <c r="HN3367" s="73"/>
      <c r="HO3367" s="73"/>
      <c r="HP3367" s="73"/>
      <c r="HQ3367" s="73"/>
      <c r="HR3367" s="73"/>
      <c r="HS3367" s="73"/>
      <c r="HT3367" s="73"/>
      <c r="HU3367" s="73"/>
      <c r="HV3367" s="73"/>
      <c r="HW3367" s="73"/>
      <c r="HX3367" s="73"/>
      <c r="HY3367" s="73"/>
      <c r="HZ3367" s="73"/>
      <c r="IA3367" s="73"/>
      <c r="IB3367" s="73"/>
      <c r="IC3367" s="73"/>
      <c r="ID3367" s="73"/>
      <c r="IE3367" s="73"/>
      <c r="IF3367" s="73"/>
      <c r="IG3367" s="73"/>
      <c r="IH3367" s="73"/>
      <c r="II3367" s="73"/>
      <c r="IJ3367" s="73"/>
      <c r="IK3367" s="73"/>
      <c r="IL3367" s="73"/>
      <c r="IM3367" s="73"/>
      <c r="IN3367" s="73"/>
      <c r="IO3367" s="73"/>
      <c r="IP3367" s="73"/>
      <c r="IQ3367" s="73"/>
      <c r="IR3367" s="73"/>
      <c r="IS3367" s="73"/>
      <c r="IT3367" s="73"/>
      <c r="IU3367" s="73"/>
      <c r="IV3367" s="73"/>
      <c r="IW3367" s="73"/>
      <c r="IX3367" s="73"/>
      <c r="IY3367" s="73"/>
      <c r="IZ3367" s="73"/>
      <c r="JA3367" s="73"/>
      <c r="JB3367" s="73"/>
      <c r="JC3367" s="73"/>
    </row>
    <row r="3368" spans="2:263" s="72" customFormat="1">
      <c r="B3368" s="73"/>
      <c r="C3368" s="73"/>
      <c r="D3368" s="73"/>
      <c r="E3368" s="73"/>
      <c r="F3368" s="73"/>
      <c r="G3368" s="73"/>
      <c r="H3368" s="73"/>
      <c r="I3368" s="73"/>
      <c r="J3368" s="73"/>
      <c r="K3368" s="73"/>
      <c r="L3368" s="73"/>
      <c r="M3368" s="73"/>
      <c r="N3368" s="73"/>
      <c r="O3368" s="73"/>
      <c r="P3368" s="73"/>
      <c r="Q3368" s="73"/>
      <c r="R3368" s="73"/>
      <c r="S3368" s="73"/>
      <c r="T3368" s="73"/>
      <c r="U3368" s="73"/>
      <c r="V3368" s="73"/>
      <c r="W3368" s="73"/>
      <c r="GL3368" s="73"/>
      <c r="GM3368" s="73"/>
      <c r="GN3368" s="73"/>
      <c r="GO3368" s="73"/>
      <c r="GP3368" s="73"/>
      <c r="GQ3368" s="73"/>
      <c r="GR3368" s="73"/>
      <c r="GS3368" s="73"/>
      <c r="GT3368" s="73"/>
      <c r="GU3368" s="73"/>
      <c r="GV3368" s="73"/>
      <c r="GW3368" s="73"/>
      <c r="GX3368" s="73"/>
      <c r="GY3368" s="73"/>
      <c r="GZ3368" s="73"/>
      <c r="HA3368" s="73"/>
      <c r="HB3368" s="73"/>
      <c r="HC3368" s="73"/>
      <c r="HD3368" s="73"/>
      <c r="HE3368" s="73"/>
      <c r="HF3368" s="73"/>
      <c r="HG3368" s="73"/>
      <c r="HH3368" s="73"/>
      <c r="HI3368" s="73"/>
      <c r="HJ3368" s="73"/>
      <c r="HK3368" s="73"/>
      <c r="HL3368" s="73"/>
      <c r="HM3368" s="73"/>
      <c r="HN3368" s="73"/>
      <c r="HO3368" s="73"/>
      <c r="HP3368" s="73"/>
      <c r="HQ3368" s="73"/>
      <c r="HR3368" s="73"/>
      <c r="HS3368" s="73"/>
      <c r="HT3368" s="73"/>
      <c r="HU3368" s="73"/>
      <c r="HV3368" s="73"/>
      <c r="HW3368" s="73"/>
      <c r="HX3368" s="73"/>
      <c r="HY3368" s="73"/>
      <c r="HZ3368" s="73"/>
      <c r="IA3368" s="73"/>
      <c r="IB3368" s="73"/>
      <c r="IC3368" s="73"/>
      <c r="ID3368" s="73"/>
      <c r="IE3368" s="73"/>
      <c r="IF3368" s="73"/>
      <c r="IG3368" s="73"/>
      <c r="IH3368" s="73"/>
      <c r="II3368" s="73"/>
      <c r="IJ3368" s="73"/>
      <c r="IK3368" s="73"/>
      <c r="IL3368" s="73"/>
      <c r="IM3368" s="73"/>
      <c r="IN3368" s="73"/>
      <c r="IO3368" s="73"/>
      <c r="IP3368" s="73"/>
      <c r="IQ3368" s="73"/>
      <c r="IR3368" s="73"/>
      <c r="IS3368" s="73"/>
      <c r="IT3368" s="73"/>
      <c r="IU3368" s="73"/>
      <c r="IV3368" s="73"/>
      <c r="IW3368" s="73"/>
      <c r="IX3368" s="73"/>
      <c r="IY3368" s="73"/>
      <c r="IZ3368" s="73"/>
      <c r="JA3368" s="73"/>
      <c r="JB3368" s="73"/>
      <c r="JC3368" s="73"/>
    </row>
    <row r="3369" spans="2:263" s="72" customFormat="1">
      <c r="B3369" s="73"/>
      <c r="C3369" s="73"/>
      <c r="D3369" s="73"/>
      <c r="E3369" s="73"/>
      <c r="F3369" s="73"/>
      <c r="G3369" s="73"/>
      <c r="H3369" s="73"/>
      <c r="I3369" s="73"/>
      <c r="J3369" s="73"/>
      <c r="K3369" s="73"/>
      <c r="L3369" s="73"/>
      <c r="M3369" s="73"/>
      <c r="N3369" s="73"/>
      <c r="O3369" s="73"/>
      <c r="P3369" s="73"/>
      <c r="Q3369" s="73"/>
      <c r="R3369" s="73"/>
      <c r="S3369" s="73"/>
      <c r="T3369" s="73"/>
      <c r="U3369" s="73"/>
      <c r="V3369" s="73"/>
      <c r="W3369" s="73"/>
      <c r="GL3369" s="73"/>
      <c r="GM3369" s="73"/>
      <c r="GN3369" s="73"/>
      <c r="GO3369" s="73"/>
      <c r="GP3369" s="73"/>
      <c r="GQ3369" s="73"/>
      <c r="GR3369" s="73"/>
      <c r="GS3369" s="73"/>
      <c r="GT3369" s="73"/>
      <c r="GU3369" s="73"/>
      <c r="GV3369" s="73"/>
      <c r="GW3369" s="73"/>
      <c r="GX3369" s="73"/>
      <c r="GY3369" s="73"/>
      <c r="GZ3369" s="73"/>
      <c r="HA3369" s="73"/>
      <c r="HB3369" s="73"/>
      <c r="HC3369" s="73"/>
      <c r="HD3369" s="73"/>
      <c r="HE3369" s="73"/>
      <c r="HF3369" s="73"/>
      <c r="HG3369" s="73"/>
      <c r="HH3369" s="73"/>
      <c r="HI3369" s="73"/>
      <c r="HJ3369" s="73"/>
      <c r="HK3369" s="73"/>
      <c r="HL3369" s="73"/>
      <c r="HM3369" s="73"/>
      <c r="HN3369" s="73"/>
      <c r="HO3369" s="73"/>
      <c r="HP3369" s="73"/>
      <c r="HQ3369" s="73"/>
      <c r="HR3369" s="73"/>
      <c r="HS3369" s="73"/>
      <c r="HT3369" s="73"/>
      <c r="HU3369" s="73"/>
      <c r="HV3369" s="73"/>
      <c r="HW3369" s="73"/>
      <c r="HX3369" s="73"/>
      <c r="HY3369" s="73"/>
      <c r="HZ3369" s="73"/>
      <c r="IA3369" s="73"/>
      <c r="IB3369" s="73"/>
      <c r="IC3369" s="73"/>
      <c r="ID3369" s="73"/>
      <c r="IE3369" s="73"/>
      <c r="IF3369" s="73"/>
      <c r="IG3369" s="73"/>
      <c r="IH3369" s="73"/>
      <c r="II3369" s="73"/>
      <c r="IJ3369" s="73"/>
      <c r="IK3369" s="73"/>
      <c r="IL3369" s="73"/>
      <c r="IM3369" s="73"/>
      <c r="IN3369" s="73"/>
      <c r="IO3369" s="73"/>
      <c r="IP3369" s="73"/>
      <c r="IQ3369" s="73"/>
      <c r="IR3369" s="73"/>
      <c r="IS3369" s="73"/>
      <c r="IT3369" s="73"/>
      <c r="IU3369" s="73"/>
      <c r="IV3369" s="73"/>
      <c r="IW3369" s="73"/>
      <c r="IX3369" s="73"/>
      <c r="IY3369" s="73"/>
      <c r="IZ3369" s="73"/>
      <c r="JA3369" s="73"/>
      <c r="JB3369" s="73"/>
      <c r="JC3369" s="73"/>
    </row>
    <row r="3370" spans="2:263" s="72" customFormat="1">
      <c r="B3370" s="73"/>
      <c r="C3370" s="73"/>
      <c r="D3370" s="73"/>
      <c r="E3370" s="73"/>
      <c r="F3370" s="73"/>
      <c r="G3370" s="73"/>
      <c r="H3370" s="73"/>
      <c r="I3370" s="73"/>
      <c r="J3370" s="73"/>
      <c r="K3370" s="73"/>
      <c r="L3370" s="73"/>
      <c r="M3370" s="73"/>
      <c r="N3370" s="73"/>
      <c r="O3370" s="73"/>
      <c r="P3370" s="73"/>
      <c r="Q3370" s="73"/>
      <c r="R3370" s="73"/>
      <c r="S3370" s="73"/>
      <c r="T3370" s="73"/>
      <c r="U3370" s="73"/>
      <c r="V3370" s="73"/>
      <c r="W3370" s="73"/>
      <c r="GL3370" s="73"/>
      <c r="GM3370" s="73"/>
      <c r="GN3370" s="73"/>
      <c r="GO3370" s="73"/>
      <c r="GP3370" s="73"/>
      <c r="GQ3370" s="73"/>
      <c r="GR3370" s="73"/>
      <c r="GS3370" s="73"/>
      <c r="GT3370" s="73"/>
      <c r="GU3370" s="73"/>
      <c r="GV3370" s="73"/>
      <c r="GW3370" s="73"/>
      <c r="GX3370" s="73"/>
      <c r="GY3370" s="73"/>
      <c r="GZ3370" s="73"/>
      <c r="HA3370" s="73"/>
      <c r="HB3370" s="73"/>
      <c r="HC3370" s="73"/>
      <c r="HD3370" s="73"/>
      <c r="HE3370" s="73"/>
      <c r="HF3370" s="73"/>
      <c r="HG3370" s="73"/>
      <c r="HH3370" s="73"/>
      <c r="HI3370" s="73"/>
      <c r="HJ3370" s="73"/>
      <c r="HK3370" s="73"/>
      <c r="HL3370" s="73"/>
      <c r="HM3370" s="73"/>
      <c r="HN3370" s="73"/>
      <c r="HO3370" s="73"/>
      <c r="HP3370" s="73"/>
      <c r="HQ3370" s="73"/>
      <c r="HR3370" s="73"/>
      <c r="HS3370" s="73"/>
      <c r="HT3370" s="73"/>
      <c r="HU3370" s="73"/>
      <c r="HV3370" s="73"/>
      <c r="HW3370" s="73"/>
      <c r="HX3370" s="73"/>
      <c r="HY3370" s="73"/>
      <c r="HZ3370" s="73"/>
      <c r="IA3370" s="73"/>
      <c r="IB3370" s="73"/>
      <c r="IC3370" s="73"/>
      <c r="ID3370" s="73"/>
      <c r="IE3370" s="73"/>
      <c r="IF3370" s="73"/>
      <c r="IG3370" s="73"/>
      <c r="IH3370" s="73"/>
      <c r="II3370" s="73"/>
      <c r="IJ3370" s="73"/>
      <c r="IK3370" s="73"/>
      <c r="IL3370" s="73"/>
      <c r="IM3370" s="73"/>
      <c r="IN3370" s="73"/>
      <c r="IO3370" s="73"/>
      <c r="IP3370" s="73"/>
      <c r="IQ3370" s="73"/>
      <c r="IR3370" s="73"/>
      <c r="IS3370" s="73"/>
      <c r="IT3370" s="73"/>
      <c r="IU3370" s="73"/>
      <c r="IV3370" s="73"/>
      <c r="IW3370" s="73"/>
      <c r="IX3370" s="73"/>
      <c r="IY3370" s="73"/>
      <c r="IZ3370" s="73"/>
      <c r="JA3370" s="73"/>
      <c r="JB3370" s="73"/>
      <c r="JC3370" s="73"/>
    </row>
    <row r="3371" spans="2:263" s="72" customFormat="1">
      <c r="B3371" s="73"/>
      <c r="C3371" s="73"/>
      <c r="D3371" s="73"/>
      <c r="E3371" s="73"/>
      <c r="F3371" s="73"/>
      <c r="G3371" s="73"/>
      <c r="H3371" s="73"/>
      <c r="I3371" s="73"/>
      <c r="J3371" s="73"/>
      <c r="K3371" s="73"/>
      <c r="L3371" s="73"/>
      <c r="M3371" s="73"/>
      <c r="N3371" s="73"/>
      <c r="O3371" s="73"/>
      <c r="P3371" s="73"/>
      <c r="Q3371" s="73"/>
      <c r="R3371" s="73"/>
      <c r="S3371" s="73"/>
      <c r="T3371" s="73"/>
      <c r="U3371" s="73"/>
      <c r="V3371" s="73"/>
      <c r="W3371" s="73"/>
      <c r="GL3371" s="73"/>
      <c r="GM3371" s="73"/>
      <c r="GN3371" s="73"/>
      <c r="GO3371" s="73"/>
      <c r="GP3371" s="73"/>
      <c r="GQ3371" s="73"/>
      <c r="GR3371" s="73"/>
      <c r="GS3371" s="73"/>
      <c r="GT3371" s="73"/>
      <c r="GU3371" s="73"/>
      <c r="GV3371" s="73"/>
      <c r="GW3371" s="73"/>
      <c r="GX3371" s="73"/>
      <c r="GY3371" s="73"/>
      <c r="GZ3371" s="73"/>
      <c r="HA3371" s="73"/>
      <c r="HB3371" s="73"/>
      <c r="HC3371" s="73"/>
      <c r="HD3371" s="73"/>
      <c r="HE3371" s="73"/>
      <c r="HF3371" s="73"/>
      <c r="HG3371" s="73"/>
      <c r="HH3371" s="73"/>
      <c r="HI3371" s="73"/>
      <c r="HJ3371" s="73"/>
      <c r="HK3371" s="73"/>
      <c r="HL3371" s="73"/>
      <c r="HM3371" s="73"/>
      <c r="HN3371" s="73"/>
      <c r="HO3371" s="73"/>
      <c r="HP3371" s="73"/>
      <c r="HQ3371" s="73"/>
      <c r="HR3371" s="73"/>
      <c r="HS3371" s="73"/>
      <c r="HT3371" s="73"/>
      <c r="HU3371" s="73"/>
      <c r="HV3371" s="73"/>
      <c r="HW3371" s="73"/>
      <c r="HX3371" s="73"/>
      <c r="HY3371" s="73"/>
      <c r="HZ3371" s="73"/>
      <c r="IA3371" s="73"/>
      <c r="IB3371" s="73"/>
      <c r="IC3371" s="73"/>
      <c r="ID3371" s="73"/>
      <c r="IE3371" s="73"/>
      <c r="IF3371" s="73"/>
      <c r="IG3371" s="73"/>
      <c r="IH3371" s="73"/>
      <c r="II3371" s="73"/>
      <c r="IJ3371" s="73"/>
      <c r="IK3371" s="73"/>
      <c r="IL3371" s="73"/>
      <c r="IM3371" s="73"/>
      <c r="IN3371" s="73"/>
      <c r="IO3371" s="73"/>
      <c r="IP3371" s="73"/>
      <c r="IQ3371" s="73"/>
      <c r="IR3371" s="73"/>
      <c r="IS3371" s="73"/>
      <c r="IT3371" s="73"/>
      <c r="IU3371" s="73"/>
      <c r="IV3371" s="73"/>
      <c r="IW3371" s="73"/>
      <c r="IX3371" s="73"/>
      <c r="IY3371" s="73"/>
      <c r="IZ3371" s="73"/>
      <c r="JA3371" s="73"/>
      <c r="JB3371" s="73"/>
      <c r="JC3371" s="73"/>
    </row>
    <row r="3372" spans="2:263" s="72" customFormat="1">
      <c r="B3372" s="73"/>
      <c r="C3372" s="73"/>
      <c r="D3372" s="73"/>
      <c r="E3372" s="73"/>
      <c r="F3372" s="73"/>
      <c r="G3372" s="73"/>
      <c r="H3372" s="73"/>
      <c r="I3372" s="73"/>
      <c r="J3372" s="73"/>
      <c r="K3372" s="73"/>
      <c r="L3372" s="73"/>
      <c r="M3372" s="73"/>
      <c r="N3372" s="73"/>
      <c r="O3372" s="73"/>
      <c r="P3372" s="73"/>
      <c r="Q3372" s="73"/>
      <c r="R3372" s="73"/>
      <c r="S3372" s="73"/>
      <c r="T3372" s="73"/>
      <c r="U3372" s="73"/>
      <c r="V3372" s="73"/>
      <c r="W3372" s="73"/>
      <c r="GL3372" s="73"/>
      <c r="GM3372" s="73"/>
      <c r="GN3372" s="73"/>
      <c r="GO3372" s="73"/>
      <c r="GP3372" s="73"/>
      <c r="GQ3372" s="73"/>
      <c r="GR3372" s="73"/>
      <c r="GS3372" s="73"/>
      <c r="GT3372" s="73"/>
      <c r="GU3372" s="73"/>
      <c r="GV3372" s="73"/>
      <c r="GW3372" s="73"/>
      <c r="GX3372" s="73"/>
      <c r="GY3372" s="73"/>
      <c r="GZ3372" s="73"/>
      <c r="HA3372" s="73"/>
      <c r="HB3372" s="73"/>
      <c r="HC3372" s="73"/>
      <c r="HD3372" s="73"/>
      <c r="HE3372" s="73"/>
      <c r="HF3372" s="73"/>
      <c r="HG3372" s="73"/>
      <c r="HH3372" s="73"/>
      <c r="HI3372" s="73"/>
      <c r="HJ3372" s="73"/>
      <c r="HK3372" s="73"/>
      <c r="HL3372" s="73"/>
      <c r="HM3372" s="73"/>
      <c r="HN3372" s="73"/>
      <c r="HO3372" s="73"/>
      <c r="HP3372" s="73"/>
      <c r="HQ3372" s="73"/>
      <c r="HR3372" s="73"/>
      <c r="HS3372" s="73"/>
      <c r="HT3372" s="73"/>
      <c r="HU3372" s="73"/>
      <c r="HV3372" s="73"/>
      <c r="HW3372" s="73"/>
      <c r="HX3372" s="73"/>
      <c r="HY3372" s="73"/>
      <c r="HZ3372" s="73"/>
      <c r="IA3372" s="73"/>
      <c r="IB3372" s="73"/>
      <c r="IC3372" s="73"/>
      <c r="ID3372" s="73"/>
      <c r="IE3372" s="73"/>
      <c r="IF3372" s="73"/>
      <c r="IG3372" s="73"/>
      <c r="IH3372" s="73"/>
      <c r="II3372" s="73"/>
      <c r="IJ3372" s="73"/>
      <c r="IK3372" s="73"/>
      <c r="IL3372" s="73"/>
      <c r="IM3372" s="73"/>
      <c r="IN3372" s="73"/>
      <c r="IO3372" s="73"/>
      <c r="IP3372" s="73"/>
      <c r="IQ3372" s="73"/>
      <c r="IR3372" s="73"/>
      <c r="IS3372" s="73"/>
      <c r="IT3372" s="73"/>
      <c r="IU3372" s="73"/>
      <c r="IV3372" s="73"/>
      <c r="IW3372" s="73"/>
      <c r="IX3372" s="73"/>
      <c r="IY3372" s="73"/>
      <c r="IZ3372" s="73"/>
      <c r="JA3372" s="73"/>
      <c r="JB3372" s="73"/>
      <c r="JC3372" s="73"/>
    </row>
    <row r="3373" spans="2:263" s="72" customFormat="1">
      <c r="B3373" s="73"/>
      <c r="C3373" s="73"/>
      <c r="D3373" s="73"/>
      <c r="E3373" s="73"/>
      <c r="F3373" s="73"/>
      <c r="G3373" s="73"/>
      <c r="H3373" s="73"/>
      <c r="I3373" s="73"/>
      <c r="J3373" s="73"/>
      <c r="K3373" s="73"/>
      <c r="L3373" s="73"/>
      <c r="M3373" s="73"/>
      <c r="N3373" s="73"/>
      <c r="O3373" s="73"/>
      <c r="P3373" s="73"/>
      <c r="Q3373" s="73"/>
      <c r="R3373" s="73"/>
      <c r="S3373" s="73"/>
      <c r="T3373" s="73"/>
      <c r="U3373" s="73"/>
      <c r="V3373" s="73"/>
      <c r="W3373" s="73"/>
      <c r="GL3373" s="73"/>
      <c r="GM3373" s="73"/>
      <c r="GN3373" s="73"/>
      <c r="GO3373" s="73"/>
      <c r="GP3373" s="73"/>
      <c r="GQ3373" s="73"/>
      <c r="GR3373" s="73"/>
      <c r="GS3373" s="73"/>
      <c r="GT3373" s="73"/>
      <c r="GU3373" s="73"/>
      <c r="GV3373" s="73"/>
      <c r="GW3373" s="73"/>
      <c r="GX3373" s="73"/>
      <c r="GY3373" s="73"/>
      <c r="GZ3373" s="73"/>
      <c r="HA3373" s="73"/>
      <c r="HB3373" s="73"/>
      <c r="HC3373" s="73"/>
      <c r="HD3373" s="73"/>
      <c r="HE3373" s="73"/>
      <c r="HF3373" s="73"/>
      <c r="HG3373" s="73"/>
      <c r="HH3373" s="73"/>
      <c r="HI3373" s="73"/>
      <c r="HJ3373" s="73"/>
      <c r="HK3373" s="73"/>
      <c r="HL3373" s="73"/>
      <c r="HM3373" s="73"/>
      <c r="HN3373" s="73"/>
      <c r="HO3373" s="73"/>
      <c r="HP3373" s="73"/>
      <c r="HQ3373" s="73"/>
      <c r="HR3373" s="73"/>
      <c r="HS3373" s="73"/>
      <c r="HT3373" s="73"/>
      <c r="HU3373" s="73"/>
      <c r="HV3373" s="73"/>
      <c r="HW3373" s="73"/>
      <c r="HX3373" s="73"/>
      <c r="HY3373" s="73"/>
      <c r="HZ3373" s="73"/>
      <c r="IA3373" s="73"/>
      <c r="IB3373" s="73"/>
      <c r="IC3373" s="73"/>
      <c r="ID3373" s="73"/>
      <c r="IE3373" s="73"/>
      <c r="IF3373" s="73"/>
      <c r="IG3373" s="73"/>
      <c r="IH3373" s="73"/>
      <c r="II3373" s="73"/>
      <c r="IJ3373" s="73"/>
      <c r="IK3373" s="73"/>
      <c r="IL3373" s="73"/>
      <c r="IM3373" s="73"/>
      <c r="IN3373" s="73"/>
      <c r="IO3373" s="73"/>
      <c r="IP3373" s="73"/>
      <c r="IQ3373" s="73"/>
      <c r="IR3373" s="73"/>
      <c r="IS3373" s="73"/>
      <c r="IT3373" s="73"/>
      <c r="IU3373" s="73"/>
      <c r="IV3373" s="73"/>
      <c r="IW3373" s="73"/>
      <c r="IX3373" s="73"/>
      <c r="IY3373" s="73"/>
      <c r="IZ3373" s="73"/>
      <c r="JA3373" s="73"/>
      <c r="JB3373" s="73"/>
      <c r="JC3373" s="73"/>
    </row>
    <row r="3374" spans="2:263" s="72" customFormat="1">
      <c r="B3374" s="73"/>
      <c r="C3374" s="73"/>
      <c r="D3374" s="73"/>
      <c r="E3374" s="73"/>
      <c r="F3374" s="73"/>
      <c r="G3374" s="73"/>
      <c r="H3374" s="73"/>
      <c r="I3374" s="73"/>
      <c r="J3374" s="73"/>
      <c r="K3374" s="73"/>
      <c r="L3374" s="73"/>
      <c r="M3374" s="73"/>
      <c r="N3374" s="73"/>
      <c r="O3374" s="73"/>
      <c r="P3374" s="73"/>
      <c r="Q3374" s="73"/>
      <c r="R3374" s="73"/>
      <c r="S3374" s="73"/>
      <c r="T3374" s="73"/>
      <c r="U3374" s="73"/>
      <c r="V3374" s="73"/>
      <c r="W3374" s="73"/>
      <c r="GL3374" s="73"/>
      <c r="GM3374" s="73"/>
      <c r="GN3374" s="73"/>
      <c r="GO3374" s="73"/>
      <c r="GP3374" s="73"/>
      <c r="GQ3374" s="73"/>
      <c r="GR3374" s="73"/>
      <c r="GS3374" s="73"/>
      <c r="GT3374" s="73"/>
      <c r="GU3374" s="73"/>
      <c r="GV3374" s="73"/>
      <c r="GW3374" s="73"/>
      <c r="GX3374" s="73"/>
      <c r="GY3374" s="73"/>
      <c r="GZ3374" s="73"/>
      <c r="HA3374" s="73"/>
      <c r="HB3374" s="73"/>
      <c r="HC3374" s="73"/>
      <c r="HD3374" s="73"/>
      <c r="HE3374" s="73"/>
      <c r="HF3374" s="73"/>
      <c r="HG3374" s="73"/>
      <c r="HH3374" s="73"/>
      <c r="HI3374" s="73"/>
      <c r="HJ3374" s="73"/>
      <c r="HK3374" s="73"/>
      <c r="HL3374" s="73"/>
      <c r="HM3374" s="73"/>
      <c r="HN3374" s="73"/>
      <c r="HO3374" s="73"/>
      <c r="HP3374" s="73"/>
      <c r="HQ3374" s="73"/>
      <c r="HR3374" s="73"/>
      <c r="HS3374" s="73"/>
      <c r="HT3374" s="73"/>
      <c r="HU3374" s="73"/>
      <c r="HV3374" s="73"/>
      <c r="HW3374" s="73"/>
      <c r="HX3374" s="73"/>
      <c r="HY3374" s="73"/>
      <c r="HZ3374" s="73"/>
      <c r="IA3374" s="73"/>
      <c r="IB3374" s="73"/>
      <c r="IC3374" s="73"/>
      <c r="ID3374" s="73"/>
      <c r="IE3374" s="73"/>
      <c r="IF3374" s="73"/>
      <c r="IG3374" s="73"/>
      <c r="IH3374" s="73"/>
      <c r="II3374" s="73"/>
      <c r="IJ3374" s="73"/>
      <c r="IK3374" s="73"/>
      <c r="IL3374" s="73"/>
      <c r="IM3374" s="73"/>
      <c r="IN3374" s="73"/>
      <c r="IO3374" s="73"/>
      <c r="IP3374" s="73"/>
      <c r="IQ3374" s="73"/>
      <c r="IR3374" s="73"/>
      <c r="IS3374" s="73"/>
      <c r="IT3374" s="73"/>
      <c r="IU3374" s="73"/>
      <c r="IV3374" s="73"/>
      <c r="IW3374" s="73"/>
      <c r="IX3374" s="73"/>
      <c r="IY3374" s="73"/>
      <c r="IZ3374" s="73"/>
      <c r="JA3374" s="73"/>
      <c r="JB3374" s="73"/>
      <c r="JC3374" s="73"/>
    </row>
    <row r="3375" spans="2:263" s="72" customFormat="1">
      <c r="B3375" s="73"/>
      <c r="C3375" s="73"/>
      <c r="D3375" s="73"/>
      <c r="E3375" s="73"/>
      <c r="F3375" s="73"/>
      <c r="G3375" s="73"/>
      <c r="H3375" s="73"/>
      <c r="I3375" s="73"/>
      <c r="J3375" s="73"/>
      <c r="K3375" s="73"/>
      <c r="L3375" s="73"/>
      <c r="M3375" s="73"/>
      <c r="N3375" s="73"/>
      <c r="O3375" s="73"/>
      <c r="P3375" s="73"/>
      <c r="Q3375" s="73"/>
      <c r="R3375" s="73"/>
      <c r="S3375" s="73"/>
      <c r="T3375" s="73"/>
      <c r="U3375" s="73"/>
      <c r="V3375" s="73"/>
      <c r="W3375" s="73"/>
      <c r="GL3375" s="73"/>
      <c r="GM3375" s="73"/>
      <c r="GN3375" s="73"/>
      <c r="GO3375" s="73"/>
      <c r="GP3375" s="73"/>
      <c r="GQ3375" s="73"/>
      <c r="GR3375" s="73"/>
      <c r="GS3375" s="73"/>
      <c r="GT3375" s="73"/>
      <c r="GU3375" s="73"/>
      <c r="GV3375" s="73"/>
      <c r="GW3375" s="73"/>
      <c r="GX3375" s="73"/>
      <c r="GY3375" s="73"/>
      <c r="GZ3375" s="73"/>
      <c r="HA3375" s="73"/>
      <c r="HB3375" s="73"/>
      <c r="HC3375" s="73"/>
      <c r="HD3375" s="73"/>
      <c r="HE3375" s="73"/>
      <c r="HF3375" s="73"/>
      <c r="HG3375" s="73"/>
      <c r="HH3375" s="73"/>
      <c r="HI3375" s="73"/>
      <c r="HJ3375" s="73"/>
      <c r="HK3375" s="73"/>
      <c r="HL3375" s="73"/>
      <c r="HM3375" s="73"/>
      <c r="HN3375" s="73"/>
      <c r="HO3375" s="73"/>
      <c r="HP3375" s="73"/>
      <c r="HQ3375" s="73"/>
      <c r="HR3375" s="73"/>
      <c r="HS3375" s="73"/>
      <c r="HT3375" s="73"/>
      <c r="HU3375" s="73"/>
      <c r="HV3375" s="73"/>
      <c r="HW3375" s="73"/>
      <c r="HX3375" s="73"/>
      <c r="HY3375" s="73"/>
      <c r="HZ3375" s="73"/>
      <c r="IA3375" s="73"/>
      <c r="IB3375" s="73"/>
      <c r="IC3375" s="73"/>
      <c r="ID3375" s="73"/>
      <c r="IE3375" s="73"/>
      <c r="IF3375" s="73"/>
      <c r="IG3375" s="73"/>
      <c r="IH3375" s="73"/>
      <c r="II3375" s="73"/>
      <c r="IJ3375" s="73"/>
      <c r="IK3375" s="73"/>
      <c r="IL3375" s="73"/>
      <c r="IM3375" s="73"/>
      <c r="IN3375" s="73"/>
      <c r="IO3375" s="73"/>
      <c r="IP3375" s="73"/>
      <c r="IQ3375" s="73"/>
      <c r="IR3375" s="73"/>
      <c r="IS3375" s="73"/>
      <c r="IT3375" s="73"/>
      <c r="IU3375" s="73"/>
      <c r="IV3375" s="73"/>
      <c r="IW3375" s="73"/>
      <c r="IX3375" s="73"/>
      <c r="IY3375" s="73"/>
      <c r="IZ3375" s="73"/>
      <c r="JA3375" s="73"/>
      <c r="JB3375" s="73"/>
      <c r="JC3375" s="73"/>
    </row>
    <row r="3376" spans="2:263" s="72" customFormat="1">
      <c r="B3376" s="73"/>
      <c r="C3376" s="73"/>
      <c r="D3376" s="73"/>
      <c r="E3376" s="73"/>
      <c r="F3376" s="73"/>
      <c r="G3376" s="73"/>
      <c r="H3376" s="73"/>
      <c r="I3376" s="73"/>
      <c r="J3376" s="73"/>
      <c r="K3376" s="73"/>
      <c r="L3376" s="73"/>
      <c r="M3376" s="73"/>
      <c r="N3376" s="73"/>
      <c r="O3376" s="73"/>
      <c r="P3376" s="73"/>
      <c r="Q3376" s="73"/>
      <c r="R3376" s="73"/>
      <c r="S3376" s="73"/>
      <c r="T3376" s="73"/>
      <c r="U3376" s="73"/>
      <c r="V3376" s="73"/>
      <c r="W3376" s="73"/>
      <c r="GL3376" s="73"/>
      <c r="GM3376" s="73"/>
      <c r="GN3376" s="73"/>
      <c r="GO3376" s="73"/>
      <c r="GP3376" s="73"/>
      <c r="GQ3376" s="73"/>
      <c r="GR3376" s="73"/>
      <c r="GS3376" s="73"/>
      <c r="GT3376" s="73"/>
      <c r="GU3376" s="73"/>
      <c r="GV3376" s="73"/>
      <c r="GW3376" s="73"/>
      <c r="GX3376" s="73"/>
      <c r="GY3376" s="73"/>
      <c r="GZ3376" s="73"/>
      <c r="HA3376" s="73"/>
      <c r="HB3376" s="73"/>
      <c r="HC3376" s="73"/>
      <c r="HD3376" s="73"/>
      <c r="HE3376" s="73"/>
      <c r="HF3376" s="73"/>
      <c r="HG3376" s="73"/>
      <c r="HH3376" s="73"/>
      <c r="HI3376" s="73"/>
      <c r="HJ3376" s="73"/>
      <c r="HK3376" s="73"/>
      <c r="HL3376" s="73"/>
      <c r="HM3376" s="73"/>
      <c r="HN3376" s="73"/>
      <c r="HO3376" s="73"/>
      <c r="HP3376" s="73"/>
      <c r="HQ3376" s="73"/>
      <c r="HR3376" s="73"/>
      <c r="HS3376" s="73"/>
      <c r="HT3376" s="73"/>
      <c r="HU3376" s="73"/>
      <c r="HV3376" s="73"/>
      <c r="HW3376" s="73"/>
      <c r="HX3376" s="73"/>
      <c r="HY3376" s="73"/>
      <c r="HZ3376" s="73"/>
      <c r="IA3376" s="73"/>
      <c r="IB3376" s="73"/>
      <c r="IC3376" s="73"/>
      <c r="ID3376" s="73"/>
      <c r="IE3376" s="73"/>
      <c r="IF3376" s="73"/>
      <c r="IG3376" s="73"/>
      <c r="IH3376" s="73"/>
      <c r="II3376" s="73"/>
      <c r="IJ3376" s="73"/>
      <c r="IK3376" s="73"/>
      <c r="IL3376" s="73"/>
      <c r="IM3376" s="73"/>
      <c r="IN3376" s="73"/>
      <c r="IO3376" s="73"/>
      <c r="IP3376" s="73"/>
      <c r="IQ3376" s="73"/>
      <c r="IR3376" s="73"/>
      <c r="IS3376" s="73"/>
      <c r="IT3376" s="73"/>
      <c r="IU3376" s="73"/>
      <c r="IV3376" s="73"/>
      <c r="IW3376" s="73"/>
      <c r="IX3376" s="73"/>
      <c r="IY3376" s="73"/>
      <c r="IZ3376" s="73"/>
      <c r="JA3376" s="73"/>
      <c r="JB3376" s="73"/>
      <c r="JC3376" s="73"/>
    </row>
    <row r="3377" spans="2:263" s="72" customFormat="1">
      <c r="B3377" s="73"/>
      <c r="C3377" s="73"/>
      <c r="D3377" s="73"/>
      <c r="E3377" s="73"/>
      <c r="F3377" s="73"/>
      <c r="G3377" s="73"/>
      <c r="H3377" s="73"/>
      <c r="I3377" s="73"/>
      <c r="J3377" s="73"/>
      <c r="K3377" s="73"/>
      <c r="L3377" s="73"/>
      <c r="M3377" s="73"/>
      <c r="N3377" s="73"/>
      <c r="O3377" s="73"/>
      <c r="P3377" s="73"/>
      <c r="Q3377" s="73"/>
      <c r="R3377" s="73"/>
      <c r="S3377" s="73"/>
      <c r="T3377" s="73"/>
      <c r="U3377" s="73"/>
      <c r="V3377" s="73"/>
      <c r="W3377" s="73"/>
      <c r="GL3377" s="73"/>
      <c r="GM3377" s="73"/>
      <c r="GN3377" s="73"/>
      <c r="GO3377" s="73"/>
      <c r="GP3377" s="73"/>
      <c r="GQ3377" s="73"/>
      <c r="GR3377" s="73"/>
      <c r="GS3377" s="73"/>
      <c r="GT3377" s="73"/>
      <c r="GU3377" s="73"/>
      <c r="GV3377" s="73"/>
      <c r="GW3377" s="73"/>
      <c r="GX3377" s="73"/>
      <c r="GY3377" s="73"/>
      <c r="GZ3377" s="73"/>
      <c r="HA3377" s="73"/>
      <c r="HB3377" s="73"/>
      <c r="HC3377" s="73"/>
      <c r="HD3377" s="73"/>
      <c r="HE3377" s="73"/>
      <c r="HF3377" s="73"/>
      <c r="HG3377" s="73"/>
      <c r="HH3377" s="73"/>
      <c r="HI3377" s="73"/>
      <c r="HJ3377" s="73"/>
      <c r="HK3377" s="73"/>
      <c r="HL3377" s="73"/>
      <c r="HM3377" s="73"/>
      <c r="HN3377" s="73"/>
      <c r="HO3377" s="73"/>
      <c r="HP3377" s="73"/>
      <c r="HQ3377" s="73"/>
      <c r="HR3377" s="73"/>
      <c r="HS3377" s="73"/>
      <c r="HT3377" s="73"/>
      <c r="HU3377" s="73"/>
      <c r="HV3377" s="73"/>
      <c r="HW3377" s="73"/>
      <c r="HX3377" s="73"/>
      <c r="HY3377" s="73"/>
      <c r="HZ3377" s="73"/>
      <c r="IA3377" s="73"/>
      <c r="IB3377" s="73"/>
      <c r="IC3377" s="73"/>
      <c r="ID3377" s="73"/>
      <c r="IE3377" s="73"/>
      <c r="IF3377" s="73"/>
      <c r="IG3377" s="73"/>
      <c r="IH3377" s="73"/>
      <c r="II3377" s="73"/>
      <c r="IJ3377" s="73"/>
      <c r="IK3377" s="73"/>
      <c r="IL3377" s="73"/>
      <c r="IM3377" s="73"/>
      <c r="IN3377" s="73"/>
      <c r="IO3377" s="73"/>
      <c r="IP3377" s="73"/>
      <c r="IQ3377" s="73"/>
      <c r="IR3377" s="73"/>
      <c r="IS3377" s="73"/>
      <c r="IT3377" s="73"/>
      <c r="IU3377" s="73"/>
      <c r="IV3377" s="73"/>
      <c r="IW3377" s="73"/>
      <c r="IX3377" s="73"/>
      <c r="IY3377" s="73"/>
      <c r="IZ3377" s="73"/>
      <c r="JA3377" s="73"/>
      <c r="JB3377" s="73"/>
      <c r="JC3377" s="73"/>
    </row>
    <row r="3378" spans="2:263" s="72" customFormat="1">
      <c r="B3378" s="73"/>
      <c r="C3378" s="73"/>
      <c r="D3378" s="73"/>
      <c r="E3378" s="73"/>
      <c r="F3378" s="73"/>
      <c r="G3378" s="73"/>
      <c r="H3378" s="73"/>
      <c r="I3378" s="73"/>
      <c r="J3378" s="73"/>
      <c r="K3378" s="73"/>
      <c r="L3378" s="73"/>
      <c r="M3378" s="73"/>
      <c r="N3378" s="73"/>
      <c r="O3378" s="73"/>
      <c r="P3378" s="73"/>
      <c r="Q3378" s="73"/>
      <c r="R3378" s="73"/>
      <c r="S3378" s="73"/>
      <c r="T3378" s="73"/>
      <c r="U3378" s="73"/>
      <c r="V3378" s="73"/>
      <c r="W3378" s="73"/>
      <c r="GL3378" s="73"/>
      <c r="GM3378" s="73"/>
      <c r="GN3378" s="73"/>
      <c r="GO3378" s="73"/>
      <c r="GP3378" s="73"/>
      <c r="GQ3378" s="73"/>
      <c r="GR3378" s="73"/>
      <c r="GS3378" s="73"/>
      <c r="GT3378" s="73"/>
      <c r="GU3378" s="73"/>
      <c r="GV3378" s="73"/>
      <c r="GW3378" s="73"/>
      <c r="GX3378" s="73"/>
      <c r="GY3378" s="73"/>
      <c r="GZ3378" s="73"/>
      <c r="HA3378" s="73"/>
      <c r="HB3378" s="73"/>
      <c r="HC3378" s="73"/>
      <c r="HD3378" s="73"/>
      <c r="HE3378" s="73"/>
      <c r="HF3378" s="73"/>
      <c r="HG3378" s="73"/>
      <c r="HH3378" s="73"/>
      <c r="HI3378" s="73"/>
      <c r="HJ3378" s="73"/>
      <c r="HK3378" s="73"/>
      <c r="HL3378" s="73"/>
      <c r="HM3378" s="73"/>
      <c r="HN3378" s="73"/>
      <c r="HO3378" s="73"/>
      <c r="HP3378" s="73"/>
      <c r="HQ3378" s="73"/>
      <c r="HR3378" s="73"/>
      <c r="HS3378" s="73"/>
      <c r="HT3378" s="73"/>
      <c r="HU3378" s="73"/>
      <c r="HV3378" s="73"/>
      <c r="HW3378" s="73"/>
      <c r="HX3378" s="73"/>
      <c r="HY3378" s="73"/>
      <c r="HZ3378" s="73"/>
      <c r="IA3378" s="73"/>
      <c r="IB3378" s="73"/>
      <c r="IC3378" s="73"/>
      <c r="ID3378" s="73"/>
      <c r="IE3378" s="73"/>
      <c r="IF3378" s="73"/>
      <c r="IG3378" s="73"/>
      <c r="IH3378" s="73"/>
      <c r="II3378" s="73"/>
      <c r="IJ3378" s="73"/>
      <c r="IK3378" s="73"/>
      <c r="IL3378" s="73"/>
      <c r="IM3378" s="73"/>
      <c r="IN3378" s="73"/>
      <c r="IO3378" s="73"/>
      <c r="IP3378" s="73"/>
      <c r="IQ3378" s="73"/>
      <c r="IR3378" s="73"/>
      <c r="IS3378" s="73"/>
      <c r="IT3378" s="73"/>
      <c r="IU3378" s="73"/>
      <c r="IV3378" s="73"/>
      <c r="IW3378" s="73"/>
      <c r="IX3378" s="73"/>
      <c r="IY3378" s="73"/>
      <c r="IZ3378" s="73"/>
      <c r="JA3378" s="73"/>
      <c r="JB3378" s="73"/>
      <c r="JC3378" s="73"/>
    </row>
    <row r="3379" spans="2:263" s="72" customFormat="1">
      <c r="B3379" s="73"/>
      <c r="C3379" s="73"/>
      <c r="D3379" s="73"/>
      <c r="E3379" s="73"/>
      <c r="F3379" s="73"/>
      <c r="G3379" s="73"/>
      <c r="H3379" s="73"/>
      <c r="I3379" s="73"/>
      <c r="J3379" s="73"/>
      <c r="K3379" s="73"/>
      <c r="L3379" s="73"/>
      <c r="M3379" s="73"/>
      <c r="N3379" s="73"/>
      <c r="O3379" s="73"/>
      <c r="P3379" s="73"/>
      <c r="Q3379" s="73"/>
      <c r="R3379" s="73"/>
      <c r="S3379" s="73"/>
      <c r="T3379" s="73"/>
      <c r="U3379" s="73"/>
      <c r="V3379" s="73"/>
      <c r="W3379" s="73"/>
      <c r="GL3379" s="73"/>
      <c r="GM3379" s="73"/>
      <c r="GN3379" s="73"/>
      <c r="GO3379" s="73"/>
      <c r="GP3379" s="73"/>
      <c r="GQ3379" s="73"/>
      <c r="GR3379" s="73"/>
      <c r="GS3379" s="73"/>
      <c r="GT3379" s="73"/>
      <c r="GU3379" s="73"/>
      <c r="GV3379" s="73"/>
      <c r="GW3379" s="73"/>
      <c r="GX3379" s="73"/>
      <c r="GY3379" s="73"/>
      <c r="GZ3379" s="73"/>
      <c r="HA3379" s="73"/>
      <c r="HB3379" s="73"/>
      <c r="HC3379" s="73"/>
      <c r="HD3379" s="73"/>
      <c r="HE3379" s="73"/>
      <c r="HF3379" s="73"/>
      <c r="HG3379" s="73"/>
      <c r="HH3379" s="73"/>
      <c r="HI3379" s="73"/>
      <c r="HJ3379" s="73"/>
      <c r="HK3379" s="73"/>
      <c r="HL3379" s="73"/>
      <c r="HM3379" s="73"/>
      <c r="HN3379" s="73"/>
      <c r="HO3379" s="73"/>
      <c r="HP3379" s="73"/>
      <c r="HQ3379" s="73"/>
      <c r="HR3379" s="73"/>
      <c r="HS3379" s="73"/>
      <c r="HT3379" s="73"/>
      <c r="HU3379" s="73"/>
      <c r="HV3379" s="73"/>
      <c r="HW3379" s="73"/>
      <c r="HX3379" s="73"/>
      <c r="HY3379" s="73"/>
      <c r="HZ3379" s="73"/>
      <c r="IA3379" s="73"/>
      <c r="IB3379" s="73"/>
      <c r="IC3379" s="73"/>
      <c r="ID3379" s="73"/>
      <c r="IE3379" s="73"/>
      <c r="IF3379" s="73"/>
      <c r="IG3379" s="73"/>
      <c r="IH3379" s="73"/>
      <c r="II3379" s="73"/>
      <c r="IJ3379" s="73"/>
      <c r="IK3379" s="73"/>
      <c r="IL3379" s="73"/>
      <c r="IM3379" s="73"/>
      <c r="IN3379" s="73"/>
      <c r="IO3379" s="73"/>
      <c r="IP3379" s="73"/>
      <c r="IQ3379" s="73"/>
      <c r="IR3379" s="73"/>
      <c r="IS3379" s="73"/>
      <c r="IT3379" s="73"/>
      <c r="IU3379" s="73"/>
      <c r="IV3379" s="73"/>
      <c r="IW3379" s="73"/>
      <c r="IX3379" s="73"/>
      <c r="IY3379" s="73"/>
      <c r="IZ3379" s="73"/>
      <c r="JA3379" s="73"/>
      <c r="JB3379" s="73"/>
      <c r="JC3379" s="73"/>
    </row>
    <row r="3380" spans="2:263" s="72" customFormat="1">
      <c r="B3380" s="73"/>
      <c r="C3380" s="73"/>
      <c r="D3380" s="73"/>
      <c r="E3380" s="73"/>
      <c r="F3380" s="73"/>
      <c r="G3380" s="73"/>
      <c r="H3380" s="73"/>
      <c r="I3380" s="73"/>
      <c r="J3380" s="73"/>
      <c r="K3380" s="73"/>
      <c r="L3380" s="73"/>
      <c r="M3380" s="73"/>
      <c r="N3380" s="73"/>
      <c r="O3380" s="73"/>
      <c r="P3380" s="73"/>
      <c r="Q3380" s="73"/>
      <c r="R3380" s="73"/>
      <c r="S3380" s="73"/>
      <c r="T3380" s="73"/>
      <c r="U3380" s="73"/>
      <c r="V3380" s="73"/>
      <c r="W3380" s="73"/>
      <c r="GL3380" s="73"/>
      <c r="GM3380" s="73"/>
      <c r="GN3380" s="73"/>
      <c r="GO3380" s="73"/>
      <c r="GP3380" s="73"/>
      <c r="GQ3380" s="73"/>
      <c r="GR3380" s="73"/>
      <c r="GS3380" s="73"/>
      <c r="GT3380" s="73"/>
      <c r="GU3380" s="73"/>
      <c r="GV3380" s="73"/>
      <c r="GW3380" s="73"/>
      <c r="GX3380" s="73"/>
      <c r="GY3380" s="73"/>
      <c r="GZ3380" s="73"/>
      <c r="HA3380" s="73"/>
      <c r="HB3380" s="73"/>
      <c r="HC3380" s="73"/>
      <c r="HD3380" s="73"/>
      <c r="HE3380" s="73"/>
      <c r="HF3380" s="73"/>
      <c r="HG3380" s="73"/>
      <c r="HH3380" s="73"/>
      <c r="HI3380" s="73"/>
      <c r="HJ3380" s="73"/>
      <c r="HK3380" s="73"/>
      <c r="HL3380" s="73"/>
      <c r="HM3380" s="73"/>
      <c r="HN3380" s="73"/>
      <c r="HO3380" s="73"/>
      <c r="HP3380" s="73"/>
      <c r="HQ3380" s="73"/>
      <c r="HR3380" s="73"/>
      <c r="HS3380" s="73"/>
      <c r="HT3380" s="73"/>
      <c r="HU3380" s="73"/>
      <c r="HV3380" s="73"/>
      <c r="HW3380" s="73"/>
      <c r="HX3380" s="73"/>
      <c r="HY3380" s="73"/>
      <c r="HZ3380" s="73"/>
      <c r="IA3380" s="73"/>
      <c r="IB3380" s="73"/>
      <c r="IC3380" s="73"/>
      <c r="ID3380" s="73"/>
      <c r="IE3380" s="73"/>
      <c r="IF3380" s="73"/>
      <c r="IG3380" s="73"/>
      <c r="IH3380" s="73"/>
      <c r="II3380" s="73"/>
      <c r="IJ3380" s="73"/>
      <c r="IK3380" s="73"/>
      <c r="IL3380" s="73"/>
      <c r="IM3380" s="73"/>
      <c r="IN3380" s="73"/>
      <c r="IO3380" s="73"/>
      <c r="IP3380" s="73"/>
      <c r="IQ3380" s="73"/>
      <c r="IR3380" s="73"/>
      <c r="IS3380" s="73"/>
      <c r="IT3380" s="73"/>
      <c r="IU3380" s="73"/>
      <c r="IV3380" s="73"/>
      <c r="IW3380" s="73"/>
      <c r="IX3380" s="73"/>
      <c r="IY3380" s="73"/>
      <c r="IZ3380" s="73"/>
      <c r="JA3380" s="73"/>
      <c r="JB3380" s="73"/>
      <c r="JC3380" s="73"/>
    </row>
    <row r="3381" spans="2:263" s="72" customFormat="1">
      <c r="B3381" s="73"/>
      <c r="C3381" s="73"/>
      <c r="D3381" s="73"/>
      <c r="E3381" s="73"/>
      <c r="F3381" s="73"/>
      <c r="G3381" s="73"/>
      <c r="H3381" s="73"/>
      <c r="I3381" s="73"/>
      <c r="J3381" s="73"/>
      <c r="K3381" s="73"/>
      <c r="L3381" s="73"/>
      <c r="M3381" s="73"/>
      <c r="N3381" s="73"/>
      <c r="O3381" s="73"/>
      <c r="P3381" s="73"/>
      <c r="Q3381" s="73"/>
      <c r="R3381" s="73"/>
      <c r="S3381" s="73"/>
      <c r="T3381" s="73"/>
      <c r="U3381" s="73"/>
      <c r="V3381" s="73"/>
      <c r="W3381" s="73"/>
      <c r="GL3381" s="73"/>
      <c r="GM3381" s="73"/>
      <c r="GN3381" s="73"/>
      <c r="GO3381" s="73"/>
      <c r="GP3381" s="73"/>
      <c r="GQ3381" s="73"/>
      <c r="GR3381" s="73"/>
      <c r="GS3381" s="73"/>
      <c r="GT3381" s="73"/>
      <c r="GU3381" s="73"/>
      <c r="GV3381" s="73"/>
      <c r="GW3381" s="73"/>
      <c r="GX3381" s="73"/>
      <c r="GY3381" s="73"/>
      <c r="GZ3381" s="73"/>
      <c r="HA3381" s="73"/>
      <c r="HB3381" s="73"/>
      <c r="HC3381" s="73"/>
      <c r="HD3381" s="73"/>
      <c r="HE3381" s="73"/>
      <c r="HF3381" s="73"/>
      <c r="HG3381" s="73"/>
      <c r="HH3381" s="73"/>
      <c r="HI3381" s="73"/>
      <c r="HJ3381" s="73"/>
      <c r="HK3381" s="73"/>
      <c r="HL3381" s="73"/>
      <c r="HM3381" s="73"/>
      <c r="HN3381" s="73"/>
      <c r="HO3381" s="73"/>
      <c r="HP3381" s="73"/>
      <c r="HQ3381" s="73"/>
      <c r="HR3381" s="73"/>
      <c r="HS3381" s="73"/>
      <c r="HT3381" s="73"/>
      <c r="HU3381" s="73"/>
      <c r="HV3381" s="73"/>
      <c r="HW3381" s="73"/>
      <c r="HX3381" s="73"/>
      <c r="HY3381" s="73"/>
      <c r="HZ3381" s="73"/>
      <c r="IA3381" s="73"/>
      <c r="IB3381" s="73"/>
      <c r="IC3381" s="73"/>
      <c r="ID3381" s="73"/>
      <c r="IE3381" s="73"/>
      <c r="IF3381" s="73"/>
      <c r="IG3381" s="73"/>
      <c r="IH3381" s="73"/>
      <c r="II3381" s="73"/>
      <c r="IJ3381" s="73"/>
      <c r="IK3381" s="73"/>
      <c r="IL3381" s="73"/>
      <c r="IM3381" s="73"/>
      <c r="IN3381" s="73"/>
      <c r="IO3381" s="73"/>
      <c r="IP3381" s="73"/>
      <c r="IQ3381" s="73"/>
      <c r="IR3381" s="73"/>
      <c r="IS3381" s="73"/>
      <c r="IT3381" s="73"/>
      <c r="IU3381" s="73"/>
      <c r="IV3381" s="73"/>
      <c r="IW3381" s="73"/>
      <c r="IX3381" s="73"/>
      <c r="IY3381" s="73"/>
      <c r="IZ3381" s="73"/>
      <c r="JA3381" s="73"/>
      <c r="JB3381" s="73"/>
      <c r="JC3381" s="73"/>
    </row>
    <row r="3382" spans="2:263" s="72" customFormat="1">
      <c r="B3382" s="73"/>
      <c r="C3382" s="73"/>
      <c r="D3382" s="73"/>
      <c r="E3382" s="73"/>
      <c r="F3382" s="73"/>
      <c r="G3382" s="73"/>
      <c r="H3382" s="73"/>
      <c r="I3382" s="73"/>
      <c r="J3382" s="73"/>
      <c r="K3382" s="73"/>
      <c r="L3382" s="73"/>
      <c r="M3382" s="73"/>
      <c r="N3382" s="73"/>
      <c r="O3382" s="73"/>
      <c r="P3382" s="73"/>
      <c r="Q3382" s="73"/>
      <c r="R3382" s="73"/>
      <c r="S3382" s="73"/>
      <c r="T3382" s="73"/>
      <c r="U3382" s="73"/>
      <c r="V3382" s="73"/>
      <c r="W3382" s="73"/>
      <c r="GL3382" s="73"/>
      <c r="GM3382" s="73"/>
      <c r="GN3382" s="73"/>
      <c r="GO3382" s="73"/>
      <c r="GP3382" s="73"/>
      <c r="GQ3382" s="73"/>
      <c r="GR3382" s="73"/>
      <c r="GS3382" s="73"/>
      <c r="GT3382" s="73"/>
      <c r="GU3382" s="73"/>
      <c r="GV3382" s="73"/>
      <c r="GW3382" s="73"/>
      <c r="GX3382" s="73"/>
      <c r="GY3382" s="73"/>
      <c r="GZ3382" s="73"/>
      <c r="HA3382" s="73"/>
      <c r="HB3382" s="73"/>
      <c r="HC3382" s="73"/>
      <c r="HD3382" s="73"/>
      <c r="HE3382" s="73"/>
      <c r="HF3382" s="73"/>
      <c r="HG3382" s="73"/>
      <c r="HH3382" s="73"/>
      <c r="HI3382" s="73"/>
      <c r="HJ3382" s="73"/>
      <c r="HK3382" s="73"/>
      <c r="HL3382" s="73"/>
      <c r="HM3382" s="73"/>
      <c r="HN3382" s="73"/>
      <c r="HO3382" s="73"/>
      <c r="HP3382" s="73"/>
      <c r="HQ3382" s="73"/>
      <c r="HR3382" s="73"/>
      <c r="HS3382" s="73"/>
      <c r="HT3382" s="73"/>
      <c r="HU3382" s="73"/>
      <c r="HV3382" s="73"/>
      <c r="HW3382" s="73"/>
      <c r="HX3382" s="73"/>
      <c r="HY3382" s="73"/>
      <c r="HZ3382" s="73"/>
      <c r="IA3382" s="73"/>
      <c r="IB3382" s="73"/>
      <c r="IC3382" s="73"/>
      <c r="ID3382" s="73"/>
      <c r="IE3382" s="73"/>
      <c r="IF3382" s="73"/>
      <c r="IG3382" s="73"/>
      <c r="IH3382" s="73"/>
      <c r="II3382" s="73"/>
      <c r="IJ3382" s="73"/>
      <c r="IK3382" s="73"/>
      <c r="IL3382" s="73"/>
      <c r="IM3382" s="73"/>
      <c r="IN3382" s="73"/>
      <c r="IO3382" s="73"/>
      <c r="IP3382" s="73"/>
      <c r="IQ3382" s="73"/>
      <c r="IR3382" s="73"/>
      <c r="IS3382" s="73"/>
      <c r="IT3382" s="73"/>
      <c r="IU3382" s="73"/>
      <c r="IV3382" s="73"/>
      <c r="IW3382" s="73"/>
      <c r="IX3382" s="73"/>
      <c r="IY3382" s="73"/>
      <c r="IZ3382" s="73"/>
      <c r="JA3382" s="73"/>
      <c r="JB3382" s="73"/>
      <c r="JC3382" s="73"/>
    </row>
    <row r="3383" spans="2:263" s="72" customFormat="1">
      <c r="B3383" s="73"/>
      <c r="C3383" s="73"/>
      <c r="D3383" s="73"/>
      <c r="E3383" s="73"/>
      <c r="F3383" s="73"/>
      <c r="G3383" s="73"/>
      <c r="H3383" s="73"/>
      <c r="I3383" s="73"/>
      <c r="J3383" s="73"/>
      <c r="K3383" s="73"/>
      <c r="L3383" s="73"/>
      <c r="M3383" s="73"/>
      <c r="N3383" s="73"/>
      <c r="O3383" s="73"/>
      <c r="P3383" s="73"/>
      <c r="Q3383" s="73"/>
      <c r="R3383" s="73"/>
      <c r="S3383" s="73"/>
      <c r="T3383" s="73"/>
      <c r="U3383" s="73"/>
      <c r="V3383" s="73"/>
      <c r="W3383" s="73"/>
      <c r="GL3383" s="73"/>
      <c r="GM3383" s="73"/>
      <c r="GN3383" s="73"/>
      <c r="GO3383" s="73"/>
      <c r="GP3383" s="73"/>
      <c r="GQ3383" s="73"/>
      <c r="GR3383" s="73"/>
      <c r="GS3383" s="73"/>
      <c r="GT3383" s="73"/>
      <c r="GU3383" s="73"/>
      <c r="GV3383" s="73"/>
      <c r="GW3383" s="73"/>
      <c r="GX3383" s="73"/>
      <c r="GY3383" s="73"/>
      <c r="GZ3383" s="73"/>
      <c r="HA3383" s="73"/>
      <c r="HB3383" s="73"/>
      <c r="HC3383" s="73"/>
      <c r="HD3383" s="73"/>
      <c r="HE3383" s="73"/>
      <c r="HF3383" s="73"/>
      <c r="HG3383" s="73"/>
      <c r="HH3383" s="73"/>
      <c r="HI3383" s="73"/>
      <c r="HJ3383" s="73"/>
      <c r="HK3383" s="73"/>
      <c r="HL3383" s="73"/>
      <c r="HM3383" s="73"/>
      <c r="HN3383" s="73"/>
      <c r="HO3383" s="73"/>
      <c r="HP3383" s="73"/>
      <c r="HQ3383" s="73"/>
      <c r="HR3383" s="73"/>
      <c r="HS3383" s="73"/>
      <c r="HT3383" s="73"/>
      <c r="HU3383" s="73"/>
      <c r="HV3383" s="73"/>
      <c r="HW3383" s="73"/>
      <c r="HX3383" s="73"/>
      <c r="HY3383" s="73"/>
      <c r="HZ3383" s="73"/>
      <c r="IA3383" s="73"/>
      <c r="IB3383" s="73"/>
      <c r="IC3383" s="73"/>
      <c r="ID3383" s="73"/>
      <c r="IE3383" s="73"/>
      <c r="IF3383" s="73"/>
      <c r="IG3383" s="73"/>
      <c r="IH3383" s="73"/>
      <c r="II3383" s="73"/>
      <c r="IJ3383" s="73"/>
      <c r="IK3383" s="73"/>
      <c r="IL3383" s="73"/>
      <c r="IM3383" s="73"/>
      <c r="IN3383" s="73"/>
      <c r="IO3383" s="73"/>
      <c r="IP3383" s="73"/>
      <c r="IQ3383" s="73"/>
      <c r="IR3383" s="73"/>
      <c r="IS3383" s="73"/>
      <c r="IT3383" s="73"/>
      <c r="IU3383" s="73"/>
      <c r="IV3383" s="73"/>
      <c r="IW3383" s="73"/>
      <c r="IX3383" s="73"/>
      <c r="IY3383" s="73"/>
      <c r="IZ3383" s="73"/>
      <c r="JA3383" s="73"/>
      <c r="JB3383" s="73"/>
      <c r="JC3383" s="73"/>
    </row>
    <row r="3384" spans="2:263" s="72" customFormat="1">
      <c r="B3384" s="73"/>
      <c r="C3384" s="73"/>
      <c r="D3384" s="73"/>
      <c r="E3384" s="73"/>
      <c r="F3384" s="73"/>
      <c r="G3384" s="73"/>
      <c r="H3384" s="73"/>
      <c r="I3384" s="73"/>
      <c r="J3384" s="73"/>
      <c r="K3384" s="73"/>
      <c r="L3384" s="73"/>
      <c r="M3384" s="73"/>
      <c r="N3384" s="73"/>
      <c r="O3384" s="73"/>
      <c r="P3384" s="73"/>
      <c r="Q3384" s="73"/>
      <c r="R3384" s="73"/>
      <c r="S3384" s="73"/>
      <c r="T3384" s="73"/>
      <c r="U3384" s="73"/>
      <c r="V3384" s="73"/>
      <c r="W3384" s="73"/>
      <c r="GL3384" s="73"/>
      <c r="GM3384" s="73"/>
      <c r="GN3384" s="73"/>
      <c r="GO3384" s="73"/>
      <c r="GP3384" s="73"/>
      <c r="GQ3384" s="73"/>
      <c r="GR3384" s="73"/>
      <c r="GS3384" s="73"/>
      <c r="GT3384" s="73"/>
      <c r="GU3384" s="73"/>
      <c r="GV3384" s="73"/>
      <c r="GW3384" s="73"/>
      <c r="GX3384" s="73"/>
      <c r="GY3384" s="73"/>
      <c r="GZ3384" s="73"/>
      <c r="HA3384" s="73"/>
      <c r="HB3384" s="73"/>
      <c r="HC3384" s="73"/>
      <c r="HD3384" s="73"/>
      <c r="HE3384" s="73"/>
      <c r="HF3384" s="73"/>
      <c r="HG3384" s="73"/>
      <c r="HH3384" s="73"/>
      <c r="HI3384" s="73"/>
      <c r="HJ3384" s="73"/>
      <c r="HK3384" s="73"/>
      <c r="HL3384" s="73"/>
      <c r="HM3384" s="73"/>
      <c r="HN3384" s="73"/>
      <c r="HO3384" s="73"/>
      <c r="HP3384" s="73"/>
      <c r="HQ3384" s="73"/>
      <c r="HR3384" s="73"/>
      <c r="HS3384" s="73"/>
      <c r="HT3384" s="73"/>
      <c r="HU3384" s="73"/>
      <c r="HV3384" s="73"/>
      <c r="HW3384" s="73"/>
      <c r="HX3384" s="73"/>
      <c r="HY3384" s="73"/>
      <c r="HZ3384" s="73"/>
      <c r="IA3384" s="73"/>
      <c r="IB3384" s="73"/>
      <c r="IC3384" s="73"/>
      <c r="ID3384" s="73"/>
      <c r="IE3384" s="73"/>
      <c r="IF3384" s="73"/>
      <c r="IG3384" s="73"/>
      <c r="IH3384" s="73"/>
      <c r="II3384" s="73"/>
      <c r="IJ3384" s="73"/>
      <c r="IK3384" s="73"/>
      <c r="IL3384" s="73"/>
      <c r="IM3384" s="73"/>
      <c r="IN3384" s="73"/>
      <c r="IO3384" s="73"/>
      <c r="IP3384" s="73"/>
      <c r="IQ3384" s="73"/>
      <c r="IR3384" s="73"/>
      <c r="IS3384" s="73"/>
      <c r="IT3384" s="73"/>
      <c r="IU3384" s="73"/>
      <c r="IV3384" s="73"/>
      <c r="IW3384" s="73"/>
      <c r="IX3384" s="73"/>
      <c r="IY3384" s="73"/>
      <c r="IZ3384" s="73"/>
      <c r="JA3384" s="73"/>
      <c r="JB3384" s="73"/>
      <c r="JC3384" s="73"/>
    </row>
    <row r="3385" spans="2:263" s="72" customFormat="1">
      <c r="B3385" s="73"/>
      <c r="C3385" s="73"/>
      <c r="D3385" s="73"/>
      <c r="E3385" s="73"/>
      <c r="F3385" s="73"/>
      <c r="G3385" s="73"/>
      <c r="H3385" s="73"/>
      <c r="I3385" s="73"/>
      <c r="J3385" s="73"/>
      <c r="K3385" s="73"/>
      <c r="L3385" s="73"/>
      <c r="M3385" s="73"/>
      <c r="N3385" s="73"/>
      <c r="O3385" s="73"/>
      <c r="P3385" s="73"/>
      <c r="Q3385" s="73"/>
      <c r="R3385" s="73"/>
      <c r="S3385" s="73"/>
      <c r="T3385" s="73"/>
      <c r="U3385" s="73"/>
      <c r="V3385" s="73"/>
      <c r="W3385" s="73"/>
      <c r="GL3385" s="73"/>
      <c r="GM3385" s="73"/>
      <c r="GN3385" s="73"/>
      <c r="GO3385" s="73"/>
      <c r="GP3385" s="73"/>
      <c r="GQ3385" s="73"/>
      <c r="GR3385" s="73"/>
      <c r="GS3385" s="73"/>
      <c r="GT3385" s="73"/>
      <c r="GU3385" s="73"/>
      <c r="GV3385" s="73"/>
      <c r="GW3385" s="73"/>
      <c r="GX3385" s="73"/>
      <c r="GY3385" s="73"/>
      <c r="GZ3385" s="73"/>
      <c r="HA3385" s="73"/>
      <c r="HB3385" s="73"/>
      <c r="HC3385" s="73"/>
      <c r="HD3385" s="73"/>
      <c r="HE3385" s="73"/>
      <c r="HF3385" s="73"/>
      <c r="HG3385" s="73"/>
      <c r="HH3385" s="73"/>
      <c r="HI3385" s="73"/>
      <c r="HJ3385" s="73"/>
      <c r="HK3385" s="73"/>
      <c r="HL3385" s="73"/>
      <c r="HM3385" s="73"/>
      <c r="HN3385" s="73"/>
      <c r="HO3385" s="73"/>
      <c r="HP3385" s="73"/>
      <c r="HQ3385" s="73"/>
      <c r="HR3385" s="73"/>
      <c r="HS3385" s="73"/>
      <c r="HT3385" s="73"/>
      <c r="HU3385" s="73"/>
      <c r="HV3385" s="73"/>
      <c r="HW3385" s="73"/>
      <c r="HX3385" s="73"/>
      <c r="HY3385" s="73"/>
      <c r="HZ3385" s="73"/>
      <c r="IA3385" s="73"/>
      <c r="IB3385" s="73"/>
      <c r="IC3385" s="73"/>
      <c r="ID3385" s="73"/>
      <c r="IE3385" s="73"/>
      <c r="IF3385" s="73"/>
      <c r="IG3385" s="73"/>
      <c r="IH3385" s="73"/>
      <c r="II3385" s="73"/>
      <c r="IJ3385" s="73"/>
      <c r="IK3385" s="73"/>
      <c r="IL3385" s="73"/>
      <c r="IM3385" s="73"/>
      <c r="IN3385" s="73"/>
      <c r="IO3385" s="73"/>
      <c r="IP3385" s="73"/>
      <c r="IQ3385" s="73"/>
      <c r="IR3385" s="73"/>
      <c r="IS3385" s="73"/>
      <c r="IT3385" s="73"/>
      <c r="IU3385" s="73"/>
      <c r="IV3385" s="73"/>
      <c r="IW3385" s="73"/>
      <c r="IX3385" s="73"/>
      <c r="IY3385" s="73"/>
      <c r="IZ3385" s="73"/>
      <c r="JA3385" s="73"/>
      <c r="JB3385" s="73"/>
      <c r="JC3385" s="73"/>
    </row>
    <row r="3386" spans="2:263" s="72" customFormat="1">
      <c r="B3386" s="73"/>
      <c r="C3386" s="73"/>
      <c r="D3386" s="73"/>
      <c r="E3386" s="73"/>
      <c r="F3386" s="73"/>
      <c r="G3386" s="73"/>
      <c r="H3386" s="73"/>
      <c r="I3386" s="73"/>
      <c r="J3386" s="73"/>
      <c r="K3386" s="73"/>
      <c r="L3386" s="73"/>
      <c r="M3386" s="73"/>
      <c r="N3386" s="73"/>
      <c r="O3386" s="73"/>
      <c r="P3386" s="73"/>
      <c r="Q3386" s="73"/>
      <c r="R3386" s="73"/>
      <c r="S3386" s="73"/>
      <c r="T3386" s="73"/>
      <c r="U3386" s="73"/>
      <c r="V3386" s="73"/>
      <c r="W3386" s="73"/>
      <c r="GL3386" s="73"/>
      <c r="GM3386" s="73"/>
      <c r="GN3386" s="73"/>
      <c r="GO3386" s="73"/>
      <c r="GP3386" s="73"/>
      <c r="GQ3386" s="73"/>
      <c r="GR3386" s="73"/>
      <c r="GS3386" s="73"/>
      <c r="GT3386" s="73"/>
      <c r="GU3386" s="73"/>
      <c r="GV3386" s="73"/>
      <c r="GW3386" s="73"/>
      <c r="GX3386" s="73"/>
      <c r="GY3386" s="73"/>
      <c r="GZ3386" s="73"/>
      <c r="HA3386" s="73"/>
      <c r="HB3386" s="73"/>
      <c r="HC3386" s="73"/>
      <c r="HD3386" s="73"/>
      <c r="HE3386" s="73"/>
      <c r="HF3386" s="73"/>
      <c r="HG3386" s="73"/>
      <c r="HH3386" s="73"/>
      <c r="HI3386" s="73"/>
      <c r="HJ3386" s="73"/>
      <c r="HK3386" s="73"/>
      <c r="HL3386" s="73"/>
      <c r="HM3386" s="73"/>
      <c r="HN3386" s="73"/>
      <c r="HO3386" s="73"/>
      <c r="HP3386" s="73"/>
      <c r="HQ3386" s="73"/>
      <c r="HR3386" s="73"/>
      <c r="HS3386" s="73"/>
      <c r="HT3386" s="73"/>
      <c r="HU3386" s="73"/>
      <c r="HV3386" s="73"/>
      <c r="HW3386" s="73"/>
      <c r="HX3386" s="73"/>
      <c r="HY3386" s="73"/>
      <c r="HZ3386" s="73"/>
      <c r="IA3386" s="73"/>
      <c r="IB3386" s="73"/>
      <c r="IC3386" s="73"/>
      <c r="ID3386" s="73"/>
      <c r="IE3386" s="73"/>
      <c r="IF3386" s="73"/>
      <c r="IG3386" s="73"/>
      <c r="IH3386" s="73"/>
      <c r="II3386" s="73"/>
      <c r="IJ3386" s="73"/>
      <c r="IK3386" s="73"/>
      <c r="IL3386" s="73"/>
      <c r="IM3386" s="73"/>
      <c r="IN3386" s="73"/>
      <c r="IO3386" s="73"/>
      <c r="IP3386" s="73"/>
      <c r="IQ3386" s="73"/>
      <c r="IR3386" s="73"/>
      <c r="IS3386" s="73"/>
      <c r="IT3386" s="73"/>
      <c r="IU3386" s="73"/>
      <c r="IV3386" s="73"/>
      <c r="IW3386" s="73"/>
      <c r="IX3386" s="73"/>
      <c r="IY3386" s="73"/>
      <c r="IZ3386" s="73"/>
      <c r="JA3386" s="73"/>
      <c r="JB3386" s="73"/>
      <c r="JC3386" s="73"/>
    </row>
    <row r="3387" spans="2:263" s="72" customFormat="1">
      <c r="B3387" s="73"/>
      <c r="C3387" s="73"/>
      <c r="D3387" s="73"/>
      <c r="E3387" s="73"/>
      <c r="F3387" s="73"/>
      <c r="G3387" s="73"/>
      <c r="H3387" s="73"/>
      <c r="I3387" s="73"/>
      <c r="J3387" s="73"/>
      <c r="K3387" s="73"/>
      <c r="L3387" s="73"/>
      <c r="M3387" s="73"/>
      <c r="N3387" s="73"/>
      <c r="O3387" s="73"/>
      <c r="P3387" s="73"/>
      <c r="Q3387" s="73"/>
      <c r="R3387" s="73"/>
      <c r="S3387" s="73"/>
      <c r="T3387" s="73"/>
      <c r="U3387" s="73"/>
      <c r="V3387" s="73"/>
      <c r="W3387" s="73"/>
      <c r="GL3387" s="73"/>
      <c r="GM3387" s="73"/>
      <c r="GN3387" s="73"/>
      <c r="GO3387" s="73"/>
      <c r="GP3387" s="73"/>
      <c r="GQ3387" s="73"/>
      <c r="GR3387" s="73"/>
      <c r="GS3387" s="73"/>
      <c r="GT3387" s="73"/>
      <c r="GU3387" s="73"/>
      <c r="GV3387" s="73"/>
      <c r="GW3387" s="73"/>
      <c r="GX3387" s="73"/>
      <c r="GY3387" s="73"/>
      <c r="GZ3387" s="73"/>
      <c r="HA3387" s="73"/>
      <c r="HB3387" s="73"/>
      <c r="HC3387" s="73"/>
      <c r="HD3387" s="73"/>
      <c r="HE3387" s="73"/>
      <c r="HF3387" s="73"/>
      <c r="HG3387" s="73"/>
      <c r="HH3387" s="73"/>
      <c r="HI3387" s="73"/>
      <c r="HJ3387" s="73"/>
      <c r="HK3387" s="73"/>
      <c r="HL3387" s="73"/>
      <c r="HM3387" s="73"/>
      <c r="HN3387" s="73"/>
      <c r="HO3387" s="73"/>
      <c r="HP3387" s="73"/>
      <c r="HQ3387" s="73"/>
      <c r="HR3387" s="73"/>
      <c r="HS3387" s="73"/>
      <c r="HT3387" s="73"/>
      <c r="HU3387" s="73"/>
      <c r="HV3387" s="73"/>
      <c r="HW3387" s="73"/>
      <c r="HX3387" s="73"/>
      <c r="HY3387" s="73"/>
      <c r="HZ3387" s="73"/>
      <c r="IA3387" s="73"/>
      <c r="IB3387" s="73"/>
      <c r="IC3387" s="73"/>
      <c r="ID3387" s="73"/>
      <c r="IE3387" s="73"/>
      <c r="IF3387" s="73"/>
      <c r="IG3387" s="73"/>
      <c r="IH3387" s="73"/>
      <c r="II3387" s="73"/>
      <c r="IJ3387" s="73"/>
      <c r="IK3387" s="73"/>
      <c r="IL3387" s="73"/>
      <c r="IM3387" s="73"/>
      <c r="IN3387" s="73"/>
      <c r="IO3387" s="73"/>
      <c r="IP3387" s="73"/>
      <c r="IQ3387" s="73"/>
      <c r="IR3387" s="73"/>
      <c r="IS3387" s="73"/>
      <c r="IT3387" s="73"/>
      <c r="IU3387" s="73"/>
      <c r="IV3387" s="73"/>
      <c r="IW3387" s="73"/>
      <c r="IX3387" s="73"/>
      <c r="IY3387" s="73"/>
      <c r="IZ3387" s="73"/>
      <c r="JA3387" s="73"/>
      <c r="JB3387" s="73"/>
      <c r="JC3387" s="73"/>
    </row>
    <row r="3388" spans="2:263" s="72" customFormat="1">
      <c r="B3388" s="73"/>
      <c r="C3388" s="73"/>
      <c r="D3388" s="73"/>
      <c r="E3388" s="73"/>
      <c r="F3388" s="73"/>
      <c r="G3388" s="73"/>
      <c r="H3388" s="73"/>
      <c r="I3388" s="73"/>
      <c r="J3388" s="73"/>
      <c r="K3388" s="73"/>
      <c r="L3388" s="73"/>
      <c r="M3388" s="73"/>
      <c r="N3388" s="73"/>
      <c r="O3388" s="73"/>
      <c r="P3388" s="73"/>
      <c r="Q3388" s="73"/>
      <c r="R3388" s="73"/>
      <c r="S3388" s="73"/>
      <c r="T3388" s="73"/>
      <c r="U3388" s="73"/>
      <c r="V3388" s="73"/>
      <c r="W3388" s="73"/>
      <c r="GL3388" s="73"/>
      <c r="GM3388" s="73"/>
      <c r="GN3388" s="73"/>
      <c r="GO3388" s="73"/>
      <c r="GP3388" s="73"/>
      <c r="GQ3388" s="73"/>
      <c r="GR3388" s="73"/>
      <c r="GS3388" s="73"/>
      <c r="GT3388" s="73"/>
      <c r="GU3388" s="73"/>
      <c r="GV3388" s="73"/>
      <c r="GW3388" s="73"/>
      <c r="GX3388" s="73"/>
      <c r="GY3388" s="73"/>
      <c r="GZ3388" s="73"/>
      <c r="HA3388" s="73"/>
      <c r="HB3388" s="73"/>
      <c r="HC3388" s="73"/>
      <c r="HD3388" s="73"/>
      <c r="HE3388" s="73"/>
      <c r="HF3388" s="73"/>
      <c r="HG3388" s="73"/>
      <c r="HH3388" s="73"/>
      <c r="HI3388" s="73"/>
      <c r="HJ3388" s="73"/>
      <c r="HK3388" s="73"/>
      <c r="HL3388" s="73"/>
      <c r="HM3388" s="73"/>
      <c r="HN3388" s="73"/>
      <c r="HO3388" s="73"/>
      <c r="HP3388" s="73"/>
      <c r="HQ3388" s="73"/>
      <c r="HR3388" s="73"/>
      <c r="HS3388" s="73"/>
      <c r="HT3388" s="73"/>
      <c r="HU3388" s="73"/>
      <c r="HV3388" s="73"/>
      <c r="HW3388" s="73"/>
      <c r="HX3388" s="73"/>
      <c r="HY3388" s="73"/>
      <c r="HZ3388" s="73"/>
      <c r="IA3388" s="73"/>
      <c r="IB3388" s="73"/>
      <c r="IC3388" s="73"/>
      <c r="ID3388" s="73"/>
      <c r="IE3388" s="73"/>
      <c r="IF3388" s="73"/>
      <c r="IG3388" s="73"/>
      <c r="IH3388" s="73"/>
      <c r="II3388" s="73"/>
      <c r="IJ3388" s="73"/>
      <c r="IK3388" s="73"/>
      <c r="IL3388" s="73"/>
      <c r="IM3388" s="73"/>
      <c r="IN3388" s="73"/>
      <c r="IO3388" s="73"/>
      <c r="IP3388" s="73"/>
      <c r="IQ3388" s="73"/>
      <c r="IR3388" s="73"/>
      <c r="IS3388" s="73"/>
      <c r="IT3388" s="73"/>
      <c r="IU3388" s="73"/>
      <c r="IV3388" s="73"/>
      <c r="IW3388" s="73"/>
      <c r="IX3388" s="73"/>
      <c r="IY3388" s="73"/>
      <c r="IZ3388" s="73"/>
      <c r="JA3388" s="73"/>
      <c r="JB3388" s="73"/>
      <c r="JC3388" s="73"/>
    </row>
    <row r="3389" spans="2:263" s="72" customFormat="1">
      <c r="B3389" s="73"/>
      <c r="C3389" s="73"/>
      <c r="D3389" s="73"/>
      <c r="E3389" s="73"/>
      <c r="F3389" s="73"/>
      <c r="G3389" s="73"/>
      <c r="H3389" s="73"/>
      <c r="I3389" s="73"/>
      <c r="J3389" s="73"/>
      <c r="K3389" s="73"/>
      <c r="L3389" s="73"/>
      <c r="M3389" s="73"/>
      <c r="N3389" s="73"/>
      <c r="O3389" s="73"/>
      <c r="P3389" s="73"/>
      <c r="Q3389" s="73"/>
      <c r="R3389" s="73"/>
      <c r="S3389" s="73"/>
      <c r="T3389" s="73"/>
      <c r="U3389" s="73"/>
      <c r="V3389" s="73"/>
      <c r="W3389" s="73"/>
      <c r="GL3389" s="73"/>
      <c r="GM3389" s="73"/>
      <c r="GN3389" s="73"/>
      <c r="GO3389" s="73"/>
      <c r="GP3389" s="73"/>
      <c r="GQ3389" s="73"/>
      <c r="GR3389" s="73"/>
      <c r="GS3389" s="73"/>
      <c r="GT3389" s="73"/>
      <c r="GU3389" s="73"/>
      <c r="GV3389" s="73"/>
      <c r="GW3389" s="73"/>
      <c r="GX3389" s="73"/>
      <c r="GY3389" s="73"/>
      <c r="GZ3389" s="73"/>
      <c r="HA3389" s="73"/>
      <c r="HB3389" s="73"/>
      <c r="HC3389" s="73"/>
      <c r="HD3389" s="73"/>
      <c r="HE3389" s="73"/>
      <c r="HF3389" s="73"/>
      <c r="HG3389" s="73"/>
      <c r="HH3389" s="73"/>
      <c r="HI3389" s="73"/>
      <c r="HJ3389" s="73"/>
      <c r="HK3389" s="73"/>
      <c r="HL3389" s="73"/>
      <c r="HM3389" s="73"/>
      <c r="HN3389" s="73"/>
      <c r="HO3389" s="73"/>
      <c r="HP3389" s="73"/>
      <c r="HQ3389" s="73"/>
      <c r="HR3389" s="73"/>
      <c r="HS3389" s="73"/>
      <c r="HT3389" s="73"/>
      <c r="HU3389" s="73"/>
      <c r="HV3389" s="73"/>
      <c r="HW3389" s="73"/>
      <c r="HX3389" s="73"/>
      <c r="HY3389" s="73"/>
      <c r="HZ3389" s="73"/>
      <c r="IA3389" s="73"/>
      <c r="IB3389" s="73"/>
      <c r="IC3389" s="73"/>
      <c r="ID3389" s="73"/>
      <c r="IE3389" s="73"/>
      <c r="IF3389" s="73"/>
      <c r="IG3389" s="73"/>
      <c r="IH3389" s="73"/>
      <c r="II3389" s="73"/>
      <c r="IJ3389" s="73"/>
      <c r="IK3389" s="73"/>
      <c r="IL3389" s="73"/>
      <c r="IM3389" s="73"/>
      <c r="IN3389" s="73"/>
      <c r="IO3389" s="73"/>
      <c r="IP3389" s="73"/>
      <c r="IQ3389" s="73"/>
      <c r="IR3389" s="73"/>
      <c r="IS3389" s="73"/>
      <c r="IT3389" s="73"/>
      <c r="IU3389" s="73"/>
      <c r="IV3389" s="73"/>
      <c r="IW3389" s="73"/>
      <c r="IX3389" s="73"/>
      <c r="IY3389" s="73"/>
      <c r="IZ3389" s="73"/>
      <c r="JA3389" s="73"/>
      <c r="JB3389" s="73"/>
      <c r="JC3389" s="73"/>
    </row>
    <row r="3390" spans="2:263" s="72" customFormat="1">
      <c r="B3390" s="73"/>
      <c r="C3390" s="73"/>
      <c r="D3390" s="73"/>
      <c r="E3390" s="73"/>
      <c r="F3390" s="73"/>
      <c r="G3390" s="73"/>
      <c r="H3390" s="73"/>
      <c r="I3390" s="73"/>
      <c r="J3390" s="73"/>
      <c r="K3390" s="73"/>
      <c r="L3390" s="73"/>
      <c r="M3390" s="73"/>
      <c r="N3390" s="73"/>
      <c r="O3390" s="73"/>
      <c r="P3390" s="73"/>
      <c r="Q3390" s="73"/>
      <c r="R3390" s="73"/>
      <c r="S3390" s="73"/>
      <c r="T3390" s="73"/>
      <c r="U3390" s="73"/>
      <c r="V3390" s="73"/>
      <c r="W3390" s="73"/>
      <c r="GL3390" s="73"/>
      <c r="GM3390" s="73"/>
      <c r="GN3390" s="73"/>
      <c r="GO3390" s="73"/>
      <c r="GP3390" s="73"/>
      <c r="GQ3390" s="73"/>
      <c r="GR3390" s="73"/>
      <c r="GS3390" s="73"/>
      <c r="GT3390" s="73"/>
      <c r="GU3390" s="73"/>
      <c r="GV3390" s="73"/>
      <c r="GW3390" s="73"/>
      <c r="GX3390" s="73"/>
      <c r="GY3390" s="73"/>
      <c r="GZ3390" s="73"/>
      <c r="HA3390" s="73"/>
      <c r="HB3390" s="73"/>
      <c r="HC3390" s="73"/>
      <c r="HD3390" s="73"/>
      <c r="HE3390" s="73"/>
      <c r="HF3390" s="73"/>
      <c r="HG3390" s="73"/>
      <c r="HH3390" s="73"/>
      <c r="HI3390" s="73"/>
      <c r="HJ3390" s="73"/>
      <c r="HK3390" s="73"/>
      <c r="HL3390" s="73"/>
      <c r="HM3390" s="73"/>
      <c r="HN3390" s="73"/>
      <c r="HO3390" s="73"/>
      <c r="HP3390" s="73"/>
      <c r="HQ3390" s="73"/>
      <c r="HR3390" s="73"/>
      <c r="HS3390" s="73"/>
      <c r="HT3390" s="73"/>
      <c r="HU3390" s="73"/>
      <c r="HV3390" s="73"/>
      <c r="HW3390" s="73"/>
      <c r="HX3390" s="73"/>
      <c r="HY3390" s="73"/>
      <c r="HZ3390" s="73"/>
      <c r="IA3390" s="73"/>
      <c r="IB3390" s="73"/>
      <c r="IC3390" s="73"/>
      <c r="ID3390" s="73"/>
      <c r="IE3390" s="73"/>
      <c r="IF3390" s="73"/>
      <c r="IG3390" s="73"/>
      <c r="IH3390" s="73"/>
      <c r="II3390" s="73"/>
      <c r="IJ3390" s="73"/>
      <c r="IK3390" s="73"/>
      <c r="IL3390" s="73"/>
      <c r="IM3390" s="73"/>
      <c r="IN3390" s="73"/>
      <c r="IO3390" s="73"/>
      <c r="IP3390" s="73"/>
      <c r="IQ3390" s="73"/>
      <c r="IR3390" s="73"/>
      <c r="IS3390" s="73"/>
      <c r="IT3390" s="73"/>
      <c r="IU3390" s="73"/>
      <c r="IV3390" s="73"/>
      <c r="IW3390" s="73"/>
      <c r="IX3390" s="73"/>
      <c r="IY3390" s="73"/>
      <c r="IZ3390" s="73"/>
      <c r="JA3390" s="73"/>
      <c r="JB3390" s="73"/>
      <c r="JC3390" s="73"/>
    </row>
    <row r="3391" spans="2:263" s="72" customFormat="1">
      <c r="B3391" s="73"/>
      <c r="C3391" s="73"/>
      <c r="D3391" s="73"/>
      <c r="E3391" s="73"/>
      <c r="F3391" s="73"/>
      <c r="G3391" s="73"/>
      <c r="H3391" s="73"/>
      <c r="I3391" s="73"/>
      <c r="J3391" s="73"/>
      <c r="K3391" s="73"/>
      <c r="L3391" s="73"/>
      <c r="M3391" s="73"/>
      <c r="N3391" s="73"/>
      <c r="O3391" s="73"/>
      <c r="P3391" s="73"/>
      <c r="Q3391" s="73"/>
      <c r="R3391" s="73"/>
      <c r="S3391" s="73"/>
      <c r="T3391" s="73"/>
      <c r="U3391" s="73"/>
      <c r="V3391" s="73"/>
      <c r="W3391" s="73"/>
      <c r="GL3391" s="73"/>
      <c r="GM3391" s="73"/>
      <c r="GN3391" s="73"/>
      <c r="GO3391" s="73"/>
      <c r="GP3391" s="73"/>
      <c r="GQ3391" s="73"/>
      <c r="GR3391" s="73"/>
      <c r="GS3391" s="73"/>
      <c r="GT3391" s="73"/>
      <c r="GU3391" s="73"/>
      <c r="GV3391" s="73"/>
      <c r="GW3391" s="73"/>
      <c r="GX3391" s="73"/>
      <c r="GY3391" s="73"/>
      <c r="GZ3391" s="73"/>
      <c r="HA3391" s="73"/>
      <c r="HB3391" s="73"/>
      <c r="HC3391" s="73"/>
      <c r="HD3391" s="73"/>
      <c r="HE3391" s="73"/>
      <c r="HF3391" s="73"/>
      <c r="HG3391" s="73"/>
      <c r="HH3391" s="73"/>
      <c r="HI3391" s="73"/>
      <c r="HJ3391" s="73"/>
      <c r="HK3391" s="73"/>
      <c r="HL3391" s="73"/>
      <c r="HM3391" s="73"/>
      <c r="HN3391" s="73"/>
      <c r="HO3391" s="73"/>
      <c r="HP3391" s="73"/>
      <c r="HQ3391" s="73"/>
      <c r="HR3391" s="73"/>
      <c r="HS3391" s="73"/>
      <c r="HT3391" s="73"/>
      <c r="HU3391" s="73"/>
      <c r="HV3391" s="73"/>
      <c r="HW3391" s="73"/>
      <c r="HX3391" s="73"/>
      <c r="HY3391" s="73"/>
      <c r="HZ3391" s="73"/>
      <c r="IA3391" s="73"/>
      <c r="IB3391" s="73"/>
      <c r="IC3391" s="73"/>
      <c r="ID3391" s="73"/>
      <c r="IE3391" s="73"/>
      <c r="IF3391" s="73"/>
      <c r="IG3391" s="73"/>
      <c r="IH3391" s="73"/>
      <c r="II3391" s="73"/>
      <c r="IJ3391" s="73"/>
      <c r="IK3391" s="73"/>
      <c r="IL3391" s="73"/>
      <c r="IM3391" s="73"/>
      <c r="IN3391" s="73"/>
      <c r="IO3391" s="73"/>
      <c r="IP3391" s="73"/>
      <c r="IQ3391" s="73"/>
      <c r="IR3391" s="73"/>
      <c r="IS3391" s="73"/>
      <c r="IT3391" s="73"/>
      <c r="IU3391" s="73"/>
      <c r="IV3391" s="73"/>
      <c r="IW3391" s="73"/>
      <c r="IX3391" s="73"/>
      <c r="IY3391" s="73"/>
      <c r="IZ3391" s="73"/>
      <c r="JA3391" s="73"/>
      <c r="JB3391" s="73"/>
      <c r="JC3391" s="73"/>
    </row>
    <row r="3392" spans="2:263" s="72" customFormat="1">
      <c r="B3392" s="73"/>
      <c r="C3392" s="73"/>
      <c r="D3392" s="73"/>
      <c r="E3392" s="73"/>
      <c r="F3392" s="73"/>
      <c r="G3392" s="73"/>
      <c r="H3392" s="73"/>
      <c r="I3392" s="73"/>
      <c r="J3392" s="73"/>
      <c r="K3392" s="73"/>
      <c r="L3392" s="73"/>
      <c r="M3392" s="73"/>
      <c r="N3392" s="73"/>
      <c r="O3392" s="73"/>
      <c r="P3392" s="73"/>
      <c r="Q3392" s="73"/>
      <c r="R3392" s="73"/>
      <c r="S3392" s="73"/>
      <c r="T3392" s="73"/>
      <c r="U3392" s="73"/>
      <c r="V3392" s="73"/>
      <c r="W3392" s="73"/>
      <c r="GL3392" s="73"/>
      <c r="GM3392" s="73"/>
      <c r="GN3392" s="73"/>
      <c r="GO3392" s="73"/>
      <c r="GP3392" s="73"/>
      <c r="GQ3392" s="73"/>
      <c r="GR3392" s="73"/>
      <c r="GS3392" s="73"/>
      <c r="GT3392" s="73"/>
      <c r="GU3392" s="73"/>
      <c r="GV3392" s="73"/>
      <c r="GW3392" s="73"/>
      <c r="GX3392" s="73"/>
      <c r="GY3392" s="73"/>
      <c r="GZ3392" s="73"/>
      <c r="HA3392" s="73"/>
      <c r="HB3392" s="73"/>
      <c r="HC3392" s="73"/>
      <c r="HD3392" s="73"/>
      <c r="HE3392" s="73"/>
      <c r="HF3392" s="73"/>
      <c r="HG3392" s="73"/>
      <c r="HH3392" s="73"/>
      <c r="HI3392" s="73"/>
      <c r="HJ3392" s="73"/>
      <c r="HK3392" s="73"/>
      <c r="HL3392" s="73"/>
      <c r="HM3392" s="73"/>
      <c r="HN3392" s="73"/>
      <c r="HO3392" s="73"/>
      <c r="HP3392" s="73"/>
      <c r="HQ3392" s="73"/>
      <c r="HR3392" s="73"/>
      <c r="HS3392" s="73"/>
      <c r="HT3392" s="73"/>
      <c r="HU3392" s="73"/>
      <c r="HV3392" s="73"/>
      <c r="HW3392" s="73"/>
      <c r="HX3392" s="73"/>
      <c r="HY3392" s="73"/>
      <c r="HZ3392" s="73"/>
      <c r="IA3392" s="73"/>
      <c r="IB3392" s="73"/>
      <c r="IC3392" s="73"/>
      <c r="ID3392" s="73"/>
      <c r="IE3392" s="73"/>
      <c r="IF3392" s="73"/>
      <c r="IG3392" s="73"/>
      <c r="IH3392" s="73"/>
      <c r="II3392" s="73"/>
      <c r="IJ3392" s="73"/>
      <c r="IK3392" s="73"/>
      <c r="IL3392" s="73"/>
      <c r="IM3392" s="73"/>
      <c r="IN3392" s="73"/>
      <c r="IO3392" s="73"/>
      <c r="IP3392" s="73"/>
      <c r="IQ3392" s="73"/>
      <c r="IR3392" s="73"/>
      <c r="IS3392" s="73"/>
      <c r="IT3392" s="73"/>
      <c r="IU3392" s="73"/>
      <c r="IV3392" s="73"/>
      <c r="IW3392" s="73"/>
      <c r="IX3392" s="73"/>
      <c r="IY3392" s="73"/>
      <c r="IZ3392" s="73"/>
      <c r="JA3392" s="73"/>
      <c r="JB3392" s="73"/>
      <c r="JC3392" s="73"/>
    </row>
    <row r="3393" spans="2:263" s="72" customFormat="1">
      <c r="B3393" s="73"/>
      <c r="C3393" s="73"/>
      <c r="D3393" s="73"/>
      <c r="E3393" s="73"/>
      <c r="F3393" s="73"/>
      <c r="G3393" s="73"/>
      <c r="H3393" s="73"/>
      <c r="I3393" s="73"/>
      <c r="J3393" s="73"/>
      <c r="K3393" s="73"/>
      <c r="L3393" s="73"/>
      <c r="M3393" s="73"/>
      <c r="N3393" s="73"/>
      <c r="O3393" s="73"/>
      <c r="P3393" s="73"/>
      <c r="Q3393" s="73"/>
      <c r="R3393" s="73"/>
      <c r="S3393" s="73"/>
      <c r="T3393" s="73"/>
      <c r="U3393" s="73"/>
      <c r="V3393" s="73"/>
      <c r="W3393" s="73"/>
      <c r="GL3393" s="73"/>
      <c r="GM3393" s="73"/>
      <c r="GN3393" s="73"/>
      <c r="GO3393" s="73"/>
      <c r="GP3393" s="73"/>
      <c r="GQ3393" s="73"/>
      <c r="GR3393" s="73"/>
      <c r="GS3393" s="73"/>
      <c r="GT3393" s="73"/>
      <c r="GU3393" s="73"/>
      <c r="GV3393" s="73"/>
      <c r="GW3393" s="73"/>
      <c r="GX3393" s="73"/>
      <c r="GY3393" s="73"/>
      <c r="GZ3393" s="73"/>
      <c r="HA3393" s="73"/>
      <c r="HB3393" s="73"/>
      <c r="HC3393" s="73"/>
      <c r="HD3393" s="73"/>
      <c r="HE3393" s="73"/>
      <c r="HF3393" s="73"/>
      <c r="HG3393" s="73"/>
      <c r="HH3393" s="73"/>
      <c r="HI3393" s="73"/>
      <c r="HJ3393" s="73"/>
      <c r="HK3393" s="73"/>
      <c r="HL3393" s="73"/>
      <c r="HM3393" s="73"/>
      <c r="HN3393" s="73"/>
      <c r="HO3393" s="73"/>
      <c r="HP3393" s="73"/>
      <c r="HQ3393" s="73"/>
      <c r="HR3393" s="73"/>
      <c r="HS3393" s="73"/>
      <c r="HT3393" s="73"/>
      <c r="HU3393" s="73"/>
      <c r="HV3393" s="73"/>
      <c r="HW3393" s="73"/>
      <c r="HX3393" s="73"/>
      <c r="HY3393" s="73"/>
      <c r="HZ3393" s="73"/>
      <c r="IA3393" s="73"/>
      <c r="IB3393" s="73"/>
      <c r="IC3393" s="73"/>
      <c r="ID3393" s="73"/>
      <c r="IE3393" s="73"/>
      <c r="IF3393" s="73"/>
      <c r="IG3393" s="73"/>
      <c r="IH3393" s="73"/>
      <c r="II3393" s="73"/>
      <c r="IJ3393" s="73"/>
      <c r="IK3393" s="73"/>
      <c r="IL3393" s="73"/>
      <c r="IM3393" s="73"/>
      <c r="IN3393" s="73"/>
      <c r="IO3393" s="73"/>
      <c r="IP3393" s="73"/>
      <c r="IQ3393" s="73"/>
      <c r="IR3393" s="73"/>
      <c r="IS3393" s="73"/>
      <c r="IT3393" s="73"/>
      <c r="IU3393" s="73"/>
      <c r="IV3393" s="73"/>
      <c r="IW3393" s="73"/>
      <c r="IX3393" s="73"/>
      <c r="IY3393" s="73"/>
      <c r="IZ3393" s="73"/>
      <c r="JA3393" s="73"/>
      <c r="JB3393" s="73"/>
      <c r="JC3393" s="73"/>
    </row>
    <row r="3394" spans="2:263" s="72" customFormat="1">
      <c r="B3394" s="73"/>
      <c r="C3394" s="73"/>
      <c r="D3394" s="73"/>
      <c r="E3394" s="73"/>
      <c r="F3394" s="73"/>
      <c r="G3394" s="73"/>
      <c r="H3394" s="73"/>
      <c r="I3394" s="73"/>
      <c r="J3394" s="73"/>
      <c r="K3394" s="73"/>
      <c r="L3394" s="73"/>
      <c r="M3394" s="73"/>
      <c r="N3394" s="73"/>
      <c r="O3394" s="73"/>
      <c r="P3394" s="73"/>
      <c r="Q3394" s="73"/>
      <c r="R3394" s="73"/>
      <c r="S3394" s="73"/>
      <c r="T3394" s="73"/>
      <c r="U3394" s="73"/>
      <c r="V3394" s="73"/>
      <c r="W3394" s="73"/>
      <c r="GL3394" s="73"/>
      <c r="GM3394" s="73"/>
      <c r="GN3394" s="73"/>
      <c r="GO3394" s="73"/>
      <c r="GP3394" s="73"/>
      <c r="GQ3394" s="73"/>
      <c r="GR3394" s="73"/>
      <c r="GS3394" s="73"/>
      <c r="GT3394" s="73"/>
      <c r="GU3394" s="73"/>
      <c r="GV3394" s="73"/>
      <c r="GW3394" s="73"/>
      <c r="GX3394" s="73"/>
      <c r="GY3394" s="73"/>
      <c r="GZ3394" s="73"/>
      <c r="HA3394" s="73"/>
      <c r="HB3394" s="73"/>
      <c r="HC3394" s="73"/>
      <c r="HD3394" s="73"/>
      <c r="HE3394" s="73"/>
      <c r="HF3394" s="73"/>
      <c r="HG3394" s="73"/>
      <c r="HH3394" s="73"/>
      <c r="HI3394" s="73"/>
      <c r="HJ3394" s="73"/>
      <c r="HK3394" s="73"/>
      <c r="HL3394" s="73"/>
      <c r="HM3394" s="73"/>
      <c r="HN3394" s="73"/>
      <c r="HO3394" s="73"/>
      <c r="HP3394" s="73"/>
      <c r="HQ3394" s="73"/>
      <c r="HR3394" s="73"/>
      <c r="HS3394" s="73"/>
      <c r="HT3394" s="73"/>
      <c r="HU3394" s="73"/>
      <c r="HV3394" s="73"/>
      <c r="HW3394" s="73"/>
      <c r="HX3394" s="73"/>
      <c r="HY3394" s="73"/>
      <c r="HZ3394" s="73"/>
      <c r="IA3394" s="73"/>
      <c r="IB3394" s="73"/>
      <c r="IC3394" s="73"/>
      <c r="ID3394" s="73"/>
      <c r="IE3394" s="73"/>
      <c r="IF3394" s="73"/>
      <c r="IG3394" s="73"/>
      <c r="IH3394" s="73"/>
      <c r="II3394" s="73"/>
      <c r="IJ3394" s="73"/>
      <c r="IK3394" s="73"/>
      <c r="IL3394" s="73"/>
      <c r="IM3394" s="73"/>
      <c r="IN3394" s="73"/>
      <c r="IO3394" s="73"/>
      <c r="IP3394" s="73"/>
      <c r="IQ3394" s="73"/>
      <c r="IR3394" s="73"/>
      <c r="IS3394" s="73"/>
      <c r="IT3394" s="73"/>
      <c r="IU3394" s="73"/>
      <c r="IV3394" s="73"/>
      <c r="IW3394" s="73"/>
      <c r="IX3394" s="73"/>
      <c r="IY3394" s="73"/>
      <c r="IZ3394" s="73"/>
      <c r="JA3394" s="73"/>
      <c r="JB3394" s="73"/>
      <c r="JC3394" s="73"/>
    </row>
    <row r="3395" spans="2:263" s="72" customFormat="1">
      <c r="B3395" s="73"/>
      <c r="C3395" s="73"/>
      <c r="D3395" s="73"/>
      <c r="E3395" s="73"/>
      <c r="F3395" s="73"/>
      <c r="G3395" s="73"/>
      <c r="H3395" s="73"/>
      <c r="I3395" s="73"/>
      <c r="J3395" s="73"/>
      <c r="K3395" s="73"/>
      <c r="L3395" s="73"/>
      <c r="M3395" s="73"/>
      <c r="N3395" s="73"/>
      <c r="O3395" s="73"/>
      <c r="P3395" s="73"/>
      <c r="Q3395" s="73"/>
      <c r="R3395" s="73"/>
      <c r="S3395" s="73"/>
      <c r="T3395" s="73"/>
      <c r="U3395" s="73"/>
      <c r="V3395" s="73"/>
      <c r="W3395" s="73"/>
      <c r="GL3395" s="73"/>
      <c r="GM3395" s="73"/>
      <c r="GN3395" s="73"/>
      <c r="GO3395" s="73"/>
      <c r="GP3395" s="73"/>
      <c r="GQ3395" s="73"/>
      <c r="GR3395" s="73"/>
      <c r="GS3395" s="73"/>
      <c r="GT3395" s="73"/>
      <c r="GU3395" s="73"/>
      <c r="GV3395" s="73"/>
      <c r="GW3395" s="73"/>
      <c r="GX3395" s="73"/>
      <c r="GY3395" s="73"/>
      <c r="GZ3395" s="73"/>
      <c r="HA3395" s="73"/>
      <c r="HB3395" s="73"/>
      <c r="HC3395" s="73"/>
      <c r="HD3395" s="73"/>
      <c r="HE3395" s="73"/>
      <c r="HF3395" s="73"/>
      <c r="HG3395" s="73"/>
      <c r="HH3395" s="73"/>
      <c r="HI3395" s="73"/>
      <c r="HJ3395" s="73"/>
      <c r="HK3395" s="73"/>
      <c r="HL3395" s="73"/>
      <c r="HM3395" s="73"/>
      <c r="HN3395" s="73"/>
      <c r="HO3395" s="73"/>
      <c r="HP3395" s="73"/>
      <c r="HQ3395" s="73"/>
      <c r="HR3395" s="73"/>
      <c r="HS3395" s="73"/>
      <c r="HT3395" s="73"/>
      <c r="HU3395" s="73"/>
      <c r="HV3395" s="73"/>
      <c r="HW3395" s="73"/>
      <c r="HX3395" s="73"/>
      <c r="HY3395" s="73"/>
      <c r="HZ3395" s="73"/>
      <c r="IA3395" s="73"/>
      <c r="IB3395" s="73"/>
      <c r="IC3395" s="73"/>
      <c r="ID3395" s="73"/>
      <c r="IE3395" s="73"/>
      <c r="IF3395" s="73"/>
      <c r="IG3395" s="73"/>
      <c r="IH3395" s="73"/>
      <c r="II3395" s="73"/>
      <c r="IJ3395" s="73"/>
      <c r="IK3395" s="73"/>
      <c r="IL3395" s="73"/>
      <c r="IM3395" s="73"/>
      <c r="IN3395" s="73"/>
      <c r="IO3395" s="73"/>
      <c r="IP3395" s="73"/>
      <c r="IQ3395" s="73"/>
      <c r="IR3395" s="73"/>
      <c r="IS3395" s="73"/>
      <c r="IT3395" s="73"/>
      <c r="IU3395" s="73"/>
      <c r="IV3395" s="73"/>
      <c r="IW3395" s="73"/>
      <c r="IX3395" s="73"/>
      <c r="IY3395" s="73"/>
      <c r="IZ3395" s="73"/>
      <c r="JA3395" s="73"/>
      <c r="JB3395" s="73"/>
      <c r="JC3395" s="73"/>
    </row>
    <row r="3396" spans="2:263" s="72" customFormat="1">
      <c r="B3396" s="73"/>
      <c r="C3396" s="73"/>
      <c r="D3396" s="73"/>
      <c r="E3396" s="73"/>
      <c r="F3396" s="73"/>
      <c r="G3396" s="73"/>
      <c r="H3396" s="73"/>
      <c r="I3396" s="73"/>
      <c r="J3396" s="73"/>
      <c r="K3396" s="73"/>
      <c r="L3396" s="73"/>
      <c r="M3396" s="73"/>
      <c r="N3396" s="73"/>
      <c r="O3396" s="73"/>
      <c r="P3396" s="73"/>
      <c r="Q3396" s="73"/>
      <c r="R3396" s="73"/>
      <c r="S3396" s="73"/>
      <c r="T3396" s="73"/>
      <c r="U3396" s="73"/>
      <c r="V3396" s="73"/>
      <c r="W3396" s="73"/>
      <c r="GL3396" s="73"/>
      <c r="GM3396" s="73"/>
      <c r="GN3396" s="73"/>
      <c r="GO3396" s="73"/>
      <c r="GP3396" s="73"/>
      <c r="GQ3396" s="73"/>
      <c r="GR3396" s="73"/>
      <c r="GS3396" s="73"/>
      <c r="GT3396" s="73"/>
      <c r="GU3396" s="73"/>
      <c r="GV3396" s="73"/>
      <c r="GW3396" s="73"/>
      <c r="GX3396" s="73"/>
      <c r="GY3396" s="73"/>
      <c r="GZ3396" s="73"/>
      <c r="HA3396" s="73"/>
      <c r="HB3396" s="73"/>
      <c r="HC3396" s="73"/>
      <c r="HD3396" s="73"/>
      <c r="HE3396" s="73"/>
      <c r="HF3396" s="73"/>
      <c r="HG3396" s="73"/>
      <c r="HH3396" s="73"/>
      <c r="HI3396" s="73"/>
      <c r="HJ3396" s="73"/>
      <c r="HK3396" s="73"/>
      <c r="HL3396" s="73"/>
      <c r="HM3396" s="73"/>
      <c r="HN3396" s="73"/>
      <c r="HO3396" s="73"/>
      <c r="HP3396" s="73"/>
      <c r="HQ3396" s="73"/>
      <c r="HR3396" s="73"/>
      <c r="HS3396" s="73"/>
      <c r="HT3396" s="73"/>
      <c r="HU3396" s="73"/>
      <c r="HV3396" s="73"/>
      <c r="HW3396" s="73"/>
      <c r="HX3396" s="73"/>
      <c r="HY3396" s="73"/>
      <c r="HZ3396" s="73"/>
      <c r="IA3396" s="73"/>
      <c r="IB3396" s="73"/>
      <c r="IC3396" s="73"/>
      <c r="ID3396" s="73"/>
      <c r="IE3396" s="73"/>
      <c r="IF3396" s="73"/>
      <c r="IG3396" s="73"/>
      <c r="IH3396" s="73"/>
      <c r="II3396" s="73"/>
      <c r="IJ3396" s="73"/>
      <c r="IK3396" s="73"/>
      <c r="IL3396" s="73"/>
      <c r="IM3396" s="73"/>
      <c r="IN3396" s="73"/>
      <c r="IO3396" s="73"/>
      <c r="IP3396" s="73"/>
      <c r="IQ3396" s="73"/>
      <c r="IR3396" s="73"/>
      <c r="IS3396" s="73"/>
      <c r="IT3396" s="73"/>
      <c r="IU3396" s="73"/>
      <c r="IV3396" s="73"/>
      <c r="IW3396" s="73"/>
      <c r="IX3396" s="73"/>
      <c r="IY3396" s="73"/>
      <c r="IZ3396" s="73"/>
      <c r="JA3396" s="73"/>
      <c r="JB3396" s="73"/>
      <c r="JC3396" s="73"/>
    </row>
    <row r="3397" spans="2:263" s="72" customFormat="1">
      <c r="B3397" s="73"/>
      <c r="C3397" s="73"/>
      <c r="D3397" s="73"/>
      <c r="E3397" s="73"/>
      <c r="F3397" s="73"/>
      <c r="G3397" s="73"/>
      <c r="H3397" s="73"/>
      <c r="I3397" s="73"/>
      <c r="J3397" s="73"/>
      <c r="K3397" s="73"/>
      <c r="L3397" s="73"/>
      <c r="M3397" s="73"/>
      <c r="N3397" s="73"/>
      <c r="O3397" s="73"/>
      <c r="P3397" s="73"/>
      <c r="Q3397" s="73"/>
      <c r="R3397" s="73"/>
      <c r="S3397" s="73"/>
      <c r="T3397" s="73"/>
      <c r="U3397" s="73"/>
      <c r="V3397" s="73"/>
      <c r="W3397" s="73"/>
      <c r="GL3397" s="73"/>
      <c r="GM3397" s="73"/>
      <c r="GN3397" s="73"/>
      <c r="GO3397" s="73"/>
      <c r="GP3397" s="73"/>
      <c r="GQ3397" s="73"/>
      <c r="GR3397" s="73"/>
      <c r="GS3397" s="73"/>
      <c r="GT3397" s="73"/>
      <c r="GU3397" s="73"/>
      <c r="GV3397" s="73"/>
      <c r="GW3397" s="73"/>
      <c r="GX3397" s="73"/>
      <c r="GY3397" s="73"/>
      <c r="GZ3397" s="73"/>
      <c r="HA3397" s="73"/>
      <c r="HB3397" s="73"/>
      <c r="HC3397" s="73"/>
      <c r="HD3397" s="73"/>
      <c r="HE3397" s="73"/>
      <c r="HF3397" s="73"/>
      <c r="HG3397" s="73"/>
      <c r="HH3397" s="73"/>
      <c r="HI3397" s="73"/>
      <c r="HJ3397" s="73"/>
      <c r="HK3397" s="73"/>
      <c r="HL3397" s="73"/>
      <c r="HM3397" s="73"/>
      <c r="HN3397" s="73"/>
      <c r="HO3397" s="73"/>
      <c r="HP3397" s="73"/>
      <c r="HQ3397" s="73"/>
      <c r="HR3397" s="73"/>
      <c r="HS3397" s="73"/>
      <c r="HT3397" s="73"/>
      <c r="HU3397" s="73"/>
      <c r="HV3397" s="73"/>
      <c r="HW3397" s="73"/>
      <c r="HX3397" s="73"/>
      <c r="HY3397" s="73"/>
      <c r="HZ3397" s="73"/>
      <c r="IA3397" s="73"/>
      <c r="IB3397" s="73"/>
      <c r="IC3397" s="73"/>
      <c r="ID3397" s="73"/>
      <c r="IE3397" s="73"/>
      <c r="IF3397" s="73"/>
      <c r="IG3397" s="73"/>
      <c r="IH3397" s="73"/>
      <c r="II3397" s="73"/>
      <c r="IJ3397" s="73"/>
      <c r="IK3397" s="73"/>
      <c r="IL3397" s="73"/>
      <c r="IM3397" s="73"/>
      <c r="IN3397" s="73"/>
      <c r="IO3397" s="73"/>
      <c r="IP3397" s="73"/>
      <c r="IQ3397" s="73"/>
      <c r="IR3397" s="73"/>
      <c r="IS3397" s="73"/>
      <c r="IT3397" s="73"/>
      <c r="IU3397" s="73"/>
      <c r="IV3397" s="73"/>
      <c r="IW3397" s="73"/>
      <c r="IX3397" s="73"/>
      <c r="IY3397" s="73"/>
      <c r="IZ3397" s="73"/>
      <c r="JA3397" s="73"/>
      <c r="JB3397" s="73"/>
      <c r="JC3397" s="73"/>
    </row>
    <row r="3398" spans="2:263" s="72" customFormat="1">
      <c r="B3398" s="73"/>
      <c r="C3398" s="73"/>
      <c r="D3398" s="73"/>
      <c r="E3398" s="73"/>
      <c r="F3398" s="73"/>
      <c r="G3398" s="73"/>
      <c r="H3398" s="73"/>
      <c r="I3398" s="73"/>
      <c r="J3398" s="73"/>
      <c r="K3398" s="73"/>
      <c r="L3398" s="73"/>
      <c r="M3398" s="73"/>
      <c r="N3398" s="73"/>
      <c r="O3398" s="73"/>
      <c r="P3398" s="73"/>
      <c r="Q3398" s="73"/>
      <c r="R3398" s="73"/>
      <c r="S3398" s="73"/>
      <c r="T3398" s="73"/>
      <c r="U3398" s="73"/>
      <c r="V3398" s="73"/>
      <c r="W3398" s="73"/>
      <c r="GL3398" s="73"/>
      <c r="GM3398" s="73"/>
      <c r="GN3398" s="73"/>
      <c r="GO3398" s="73"/>
      <c r="GP3398" s="73"/>
      <c r="GQ3398" s="73"/>
      <c r="GR3398" s="73"/>
      <c r="GS3398" s="73"/>
      <c r="GT3398" s="73"/>
      <c r="GU3398" s="73"/>
      <c r="GV3398" s="73"/>
      <c r="GW3398" s="73"/>
      <c r="GX3398" s="73"/>
      <c r="GY3398" s="73"/>
      <c r="GZ3398" s="73"/>
      <c r="HA3398" s="73"/>
      <c r="HB3398" s="73"/>
      <c r="HC3398" s="73"/>
      <c r="HD3398" s="73"/>
      <c r="HE3398" s="73"/>
      <c r="HF3398" s="73"/>
      <c r="HG3398" s="73"/>
      <c r="HH3398" s="73"/>
      <c r="HI3398" s="73"/>
      <c r="HJ3398" s="73"/>
      <c r="HK3398" s="73"/>
      <c r="HL3398" s="73"/>
      <c r="HM3398" s="73"/>
      <c r="HN3398" s="73"/>
      <c r="HO3398" s="73"/>
      <c r="HP3398" s="73"/>
      <c r="HQ3398" s="73"/>
      <c r="HR3398" s="73"/>
      <c r="HS3398" s="73"/>
      <c r="HT3398" s="73"/>
      <c r="HU3398" s="73"/>
      <c r="HV3398" s="73"/>
      <c r="HW3398" s="73"/>
      <c r="HX3398" s="73"/>
      <c r="HY3398" s="73"/>
      <c r="HZ3398" s="73"/>
      <c r="IA3398" s="73"/>
      <c r="IB3398" s="73"/>
      <c r="IC3398" s="73"/>
      <c r="ID3398" s="73"/>
      <c r="IE3398" s="73"/>
      <c r="IF3398" s="73"/>
      <c r="IG3398" s="73"/>
      <c r="IH3398" s="73"/>
      <c r="II3398" s="73"/>
      <c r="IJ3398" s="73"/>
      <c r="IK3398" s="73"/>
      <c r="IL3398" s="73"/>
      <c r="IM3398" s="73"/>
      <c r="IN3398" s="73"/>
      <c r="IO3398" s="73"/>
      <c r="IP3398" s="73"/>
      <c r="IQ3398" s="73"/>
      <c r="IR3398" s="73"/>
      <c r="IS3398" s="73"/>
      <c r="IT3398" s="73"/>
      <c r="IU3398" s="73"/>
      <c r="IV3398" s="73"/>
      <c r="IW3398" s="73"/>
      <c r="IX3398" s="73"/>
      <c r="IY3398" s="73"/>
      <c r="IZ3398" s="73"/>
      <c r="JA3398" s="73"/>
      <c r="JB3398" s="73"/>
      <c r="JC3398" s="73"/>
    </row>
    <row r="3399" spans="2:263" s="72" customFormat="1">
      <c r="B3399" s="73"/>
      <c r="C3399" s="73"/>
      <c r="D3399" s="73"/>
      <c r="E3399" s="73"/>
      <c r="F3399" s="73"/>
      <c r="G3399" s="73"/>
      <c r="H3399" s="73"/>
      <c r="I3399" s="73"/>
      <c r="J3399" s="73"/>
      <c r="K3399" s="73"/>
      <c r="L3399" s="73"/>
      <c r="M3399" s="73"/>
      <c r="N3399" s="73"/>
      <c r="O3399" s="73"/>
      <c r="P3399" s="73"/>
      <c r="Q3399" s="73"/>
      <c r="R3399" s="73"/>
      <c r="S3399" s="73"/>
      <c r="T3399" s="73"/>
      <c r="U3399" s="73"/>
      <c r="V3399" s="73"/>
      <c r="W3399" s="73"/>
      <c r="GL3399" s="73"/>
      <c r="GM3399" s="73"/>
      <c r="GN3399" s="73"/>
      <c r="GO3399" s="73"/>
      <c r="GP3399" s="73"/>
      <c r="GQ3399" s="73"/>
      <c r="GR3399" s="73"/>
      <c r="GS3399" s="73"/>
      <c r="GT3399" s="73"/>
      <c r="GU3399" s="73"/>
      <c r="GV3399" s="73"/>
      <c r="GW3399" s="73"/>
      <c r="GX3399" s="73"/>
      <c r="GY3399" s="73"/>
      <c r="GZ3399" s="73"/>
      <c r="HA3399" s="73"/>
      <c r="HB3399" s="73"/>
      <c r="HC3399" s="73"/>
      <c r="HD3399" s="73"/>
      <c r="HE3399" s="73"/>
      <c r="HF3399" s="73"/>
      <c r="HG3399" s="73"/>
      <c r="HH3399" s="73"/>
      <c r="HI3399" s="73"/>
      <c r="HJ3399" s="73"/>
      <c r="HK3399" s="73"/>
      <c r="HL3399" s="73"/>
      <c r="HM3399" s="73"/>
      <c r="HN3399" s="73"/>
      <c r="HO3399" s="73"/>
      <c r="HP3399" s="73"/>
      <c r="HQ3399" s="73"/>
      <c r="HR3399" s="73"/>
      <c r="HS3399" s="73"/>
      <c r="HT3399" s="73"/>
      <c r="HU3399" s="73"/>
      <c r="HV3399" s="73"/>
      <c r="HW3399" s="73"/>
      <c r="HX3399" s="73"/>
      <c r="HY3399" s="73"/>
      <c r="HZ3399" s="73"/>
      <c r="IA3399" s="73"/>
      <c r="IB3399" s="73"/>
      <c r="IC3399" s="73"/>
      <c r="ID3399" s="73"/>
      <c r="IE3399" s="73"/>
      <c r="IF3399" s="73"/>
      <c r="IG3399" s="73"/>
      <c r="IH3399" s="73"/>
      <c r="II3399" s="73"/>
      <c r="IJ3399" s="73"/>
      <c r="IK3399" s="73"/>
      <c r="IL3399" s="73"/>
      <c r="IM3399" s="73"/>
      <c r="IN3399" s="73"/>
      <c r="IO3399" s="73"/>
      <c r="IP3399" s="73"/>
      <c r="IQ3399" s="73"/>
      <c r="IR3399" s="73"/>
      <c r="IS3399" s="73"/>
      <c r="IT3399" s="73"/>
      <c r="IU3399" s="73"/>
      <c r="IV3399" s="73"/>
      <c r="IW3399" s="73"/>
      <c r="IX3399" s="73"/>
      <c r="IY3399" s="73"/>
      <c r="IZ3399" s="73"/>
      <c r="JA3399" s="73"/>
      <c r="JB3399" s="73"/>
      <c r="JC3399" s="73"/>
    </row>
    <row r="3400" spans="2:263" s="72" customFormat="1">
      <c r="B3400" s="73"/>
      <c r="C3400" s="73"/>
      <c r="D3400" s="73"/>
      <c r="E3400" s="73"/>
      <c r="F3400" s="73"/>
      <c r="G3400" s="73"/>
      <c r="H3400" s="73"/>
      <c r="I3400" s="73"/>
      <c r="J3400" s="73"/>
      <c r="K3400" s="73"/>
      <c r="L3400" s="73"/>
      <c r="M3400" s="73"/>
      <c r="N3400" s="73"/>
      <c r="O3400" s="73"/>
      <c r="P3400" s="73"/>
      <c r="Q3400" s="73"/>
      <c r="R3400" s="73"/>
      <c r="S3400" s="73"/>
      <c r="T3400" s="73"/>
      <c r="U3400" s="73"/>
      <c r="V3400" s="73"/>
      <c r="W3400" s="73"/>
      <c r="GL3400" s="73"/>
      <c r="GM3400" s="73"/>
      <c r="GN3400" s="73"/>
      <c r="GO3400" s="73"/>
      <c r="GP3400" s="73"/>
      <c r="GQ3400" s="73"/>
      <c r="GR3400" s="73"/>
      <c r="GS3400" s="73"/>
      <c r="GT3400" s="73"/>
      <c r="GU3400" s="73"/>
      <c r="GV3400" s="73"/>
      <c r="GW3400" s="73"/>
      <c r="GX3400" s="73"/>
      <c r="GY3400" s="73"/>
      <c r="GZ3400" s="73"/>
      <c r="HA3400" s="73"/>
      <c r="HB3400" s="73"/>
      <c r="HC3400" s="73"/>
      <c r="HD3400" s="73"/>
      <c r="HE3400" s="73"/>
      <c r="HF3400" s="73"/>
      <c r="HG3400" s="73"/>
      <c r="HH3400" s="73"/>
      <c r="HI3400" s="73"/>
      <c r="HJ3400" s="73"/>
      <c r="HK3400" s="73"/>
      <c r="HL3400" s="73"/>
      <c r="HM3400" s="73"/>
      <c r="HN3400" s="73"/>
      <c r="HO3400" s="73"/>
      <c r="HP3400" s="73"/>
      <c r="HQ3400" s="73"/>
      <c r="HR3400" s="73"/>
      <c r="HS3400" s="73"/>
      <c r="HT3400" s="73"/>
      <c r="HU3400" s="73"/>
      <c r="HV3400" s="73"/>
      <c r="HW3400" s="73"/>
      <c r="HX3400" s="73"/>
      <c r="HY3400" s="73"/>
      <c r="HZ3400" s="73"/>
      <c r="IA3400" s="73"/>
      <c r="IB3400" s="73"/>
      <c r="IC3400" s="73"/>
      <c r="ID3400" s="73"/>
      <c r="IE3400" s="73"/>
      <c r="IF3400" s="73"/>
      <c r="IG3400" s="73"/>
      <c r="IH3400" s="73"/>
      <c r="II3400" s="73"/>
      <c r="IJ3400" s="73"/>
      <c r="IK3400" s="73"/>
      <c r="IL3400" s="73"/>
      <c r="IM3400" s="73"/>
      <c r="IN3400" s="73"/>
      <c r="IO3400" s="73"/>
      <c r="IP3400" s="73"/>
      <c r="IQ3400" s="73"/>
      <c r="IR3400" s="73"/>
      <c r="IS3400" s="73"/>
      <c r="IT3400" s="73"/>
      <c r="IU3400" s="73"/>
      <c r="IV3400" s="73"/>
      <c r="IW3400" s="73"/>
      <c r="IX3400" s="73"/>
      <c r="IY3400" s="73"/>
      <c r="IZ3400" s="73"/>
      <c r="JA3400" s="73"/>
      <c r="JB3400" s="73"/>
      <c r="JC3400" s="73"/>
    </row>
    <row r="3401" spans="2:263" s="72" customFormat="1">
      <c r="B3401" s="73"/>
      <c r="C3401" s="73"/>
      <c r="D3401" s="73"/>
      <c r="E3401" s="73"/>
      <c r="F3401" s="73"/>
      <c r="G3401" s="73"/>
      <c r="H3401" s="73"/>
      <c r="I3401" s="73"/>
      <c r="J3401" s="73"/>
      <c r="K3401" s="73"/>
      <c r="L3401" s="73"/>
      <c r="M3401" s="73"/>
      <c r="N3401" s="73"/>
      <c r="O3401" s="73"/>
      <c r="P3401" s="73"/>
      <c r="Q3401" s="73"/>
      <c r="R3401" s="73"/>
      <c r="S3401" s="73"/>
      <c r="T3401" s="73"/>
      <c r="U3401" s="73"/>
      <c r="V3401" s="73"/>
      <c r="W3401" s="73"/>
      <c r="GL3401" s="73"/>
      <c r="GM3401" s="73"/>
      <c r="GN3401" s="73"/>
      <c r="GO3401" s="73"/>
      <c r="GP3401" s="73"/>
      <c r="GQ3401" s="73"/>
      <c r="GR3401" s="73"/>
      <c r="GS3401" s="73"/>
      <c r="GT3401" s="73"/>
      <c r="GU3401" s="73"/>
      <c r="GV3401" s="73"/>
      <c r="GW3401" s="73"/>
      <c r="GX3401" s="73"/>
      <c r="GY3401" s="73"/>
      <c r="GZ3401" s="73"/>
      <c r="HA3401" s="73"/>
      <c r="HB3401" s="73"/>
      <c r="HC3401" s="73"/>
      <c r="HD3401" s="73"/>
      <c r="HE3401" s="73"/>
      <c r="HF3401" s="73"/>
      <c r="HG3401" s="73"/>
      <c r="HH3401" s="73"/>
      <c r="HI3401" s="73"/>
      <c r="HJ3401" s="73"/>
      <c r="HK3401" s="73"/>
      <c r="HL3401" s="73"/>
      <c r="HM3401" s="73"/>
      <c r="HN3401" s="73"/>
      <c r="HO3401" s="73"/>
      <c r="HP3401" s="73"/>
      <c r="HQ3401" s="73"/>
      <c r="HR3401" s="73"/>
      <c r="HS3401" s="73"/>
      <c r="HT3401" s="73"/>
      <c r="HU3401" s="73"/>
      <c r="HV3401" s="73"/>
      <c r="HW3401" s="73"/>
      <c r="HX3401" s="73"/>
      <c r="HY3401" s="73"/>
      <c r="HZ3401" s="73"/>
      <c r="IA3401" s="73"/>
      <c r="IB3401" s="73"/>
      <c r="IC3401" s="73"/>
      <c r="ID3401" s="73"/>
      <c r="IE3401" s="73"/>
      <c r="IF3401" s="73"/>
      <c r="IG3401" s="73"/>
      <c r="IH3401" s="73"/>
      <c r="II3401" s="73"/>
      <c r="IJ3401" s="73"/>
      <c r="IK3401" s="73"/>
      <c r="IL3401" s="73"/>
      <c r="IM3401" s="73"/>
      <c r="IN3401" s="73"/>
      <c r="IO3401" s="73"/>
      <c r="IP3401" s="73"/>
      <c r="IQ3401" s="73"/>
      <c r="IR3401" s="73"/>
      <c r="IS3401" s="73"/>
      <c r="IT3401" s="73"/>
      <c r="IU3401" s="73"/>
      <c r="IV3401" s="73"/>
      <c r="IW3401" s="73"/>
      <c r="IX3401" s="73"/>
      <c r="IY3401" s="73"/>
      <c r="IZ3401" s="73"/>
      <c r="JA3401" s="73"/>
      <c r="JB3401" s="73"/>
      <c r="JC3401" s="73"/>
    </row>
    <row r="3402" spans="2:263" s="72" customFormat="1">
      <c r="B3402" s="73"/>
      <c r="C3402" s="73"/>
      <c r="D3402" s="73"/>
      <c r="E3402" s="73"/>
      <c r="F3402" s="73"/>
      <c r="G3402" s="73"/>
      <c r="H3402" s="73"/>
      <c r="I3402" s="73"/>
      <c r="J3402" s="73"/>
      <c r="K3402" s="73"/>
      <c r="L3402" s="73"/>
      <c r="M3402" s="73"/>
      <c r="N3402" s="73"/>
      <c r="O3402" s="73"/>
      <c r="P3402" s="73"/>
      <c r="Q3402" s="73"/>
      <c r="R3402" s="73"/>
      <c r="S3402" s="73"/>
      <c r="T3402" s="73"/>
      <c r="U3402" s="73"/>
      <c r="V3402" s="73"/>
      <c r="W3402" s="73"/>
      <c r="GL3402" s="73"/>
      <c r="GM3402" s="73"/>
      <c r="GN3402" s="73"/>
      <c r="GO3402" s="73"/>
      <c r="GP3402" s="73"/>
      <c r="GQ3402" s="73"/>
      <c r="GR3402" s="73"/>
      <c r="GS3402" s="73"/>
      <c r="GT3402" s="73"/>
      <c r="GU3402" s="73"/>
      <c r="GV3402" s="73"/>
      <c r="GW3402" s="73"/>
      <c r="GX3402" s="73"/>
      <c r="GY3402" s="73"/>
      <c r="GZ3402" s="73"/>
      <c r="HA3402" s="73"/>
      <c r="HB3402" s="73"/>
      <c r="HC3402" s="73"/>
      <c r="HD3402" s="73"/>
      <c r="HE3402" s="73"/>
      <c r="HF3402" s="73"/>
      <c r="HG3402" s="73"/>
      <c r="HH3402" s="73"/>
      <c r="HI3402" s="73"/>
      <c r="HJ3402" s="73"/>
      <c r="HK3402" s="73"/>
      <c r="HL3402" s="73"/>
      <c r="HM3402" s="73"/>
      <c r="HN3402" s="73"/>
      <c r="HO3402" s="73"/>
      <c r="HP3402" s="73"/>
      <c r="HQ3402" s="73"/>
      <c r="HR3402" s="73"/>
      <c r="HS3402" s="73"/>
      <c r="HT3402" s="73"/>
      <c r="HU3402" s="73"/>
      <c r="HV3402" s="73"/>
      <c r="HW3402" s="73"/>
      <c r="HX3402" s="73"/>
      <c r="HY3402" s="73"/>
      <c r="HZ3402" s="73"/>
      <c r="IA3402" s="73"/>
      <c r="IB3402" s="73"/>
      <c r="IC3402" s="73"/>
      <c r="ID3402" s="73"/>
      <c r="IE3402" s="73"/>
      <c r="IF3402" s="73"/>
      <c r="IG3402" s="73"/>
      <c r="IH3402" s="73"/>
      <c r="II3402" s="73"/>
      <c r="IJ3402" s="73"/>
      <c r="IK3402" s="73"/>
      <c r="IL3402" s="73"/>
      <c r="IM3402" s="73"/>
      <c r="IN3402" s="73"/>
      <c r="IO3402" s="73"/>
      <c r="IP3402" s="73"/>
      <c r="IQ3402" s="73"/>
      <c r="IR3402" s="73"/>
      <c r="IS3402" s="73"/>
      <c r="IT3402" s="73"/>
      <c r="IU3402" s="73"/>
      <c r="IV3402" s="73"/>
      <c r="IW3402" s="73"/>
      <c r="IX3402" s="73"/>
      <c r="IY3402" s="73"/>
      <c r="IZ3402" s="73"/>
      <c r="JA3402" s="73"/>
      <c r="JB3402" s="73"/>
      <c r="JC3402" s="73"/>
    </row>
    <row r="3403" spans="2:263" s="72" customFormat="1">
      <c r="B3403" s="73"/>
      <c r="C3403" s="73"/>
      <c r="D3403" s="73"/>
      <c r="E3403" s="73"/>
      <c r="F3403" s="73"/>
      <c r="G3403" s="73"/>
      <c r="H3403" s="73"/>
      <c r="I3403" s="73"/>
      <c r="J3403" s="73"/>
      <c r="K3403" s="73"/>
      <c r="L3403" s="73"/>
      <c r="M3403" s="73"/>
      <c r="N3403" s="73"/>
      <c r="O3403" s="73"/>
      <c r="P3403" s="73"/>
      <c r="Q3403" s="73"/>
      <c r="R3403" s="73"/>
      <c r="S3403" s="73"/>
      <c r="T3403" s="73"/>
      <c r="U3403" s="73"/>
      <c r="V3403" s="73"/>
      <c r="W3403" s="73"/>
      <c r="GL3403" s="73"/>
      <c r="GM3403" s="73"/>
      <c r="GN3403" s="73"/>
      <c r="GO3403" s="73"/>
      <c r="GP3403" s="73"/>
      <c r="GQ3403" s="73"/>
      <c r="GR3403" s="73"/>
      <c r="GS3403" s="73"/>
      <c r="GT3403" s="73"/>
      <c r="GU3403" s="73"/>
      <c r="GV3403" s="73"/>
      <c r="GW3403" s="73"/>
      <c r="GX3403" s="73"/>
      <c r="GY3403" s="73"/>
      <c r="GZ3403" s="73"/>
      <c r="HA3403" s="73"/>
      <c r="HB3403" s="73"/>
      <c r="HC3403" s="73"/>
      <c r="HD3403" s="73"/>
      <c r="HE3403" s="73"/>
      <c r="HF3403" s="73"/>
      <c r="HG3403" s="73"/>
      <c r="HH3403" s="73"/>
      <c r="HI3403" s="73"/>
      <c r="HJ3403" s="73"/>
      <c r="HK3403" s="73"/>
      <c r="HL3403" s="73"/>
      <c r="HM3403" s="73"/>
      <c r="HN3403" s="73"/>
      <c r="HO3403" s="73"/>
      <c r="HP3403" s="73"/>
      <c r="HQ3403" s="73"/>
      <c r="HR3403" s="73"/>
      <c r="HS3403" s="73"/>
      <c r="HT3403" s="73"/>
      <c r="HU3403" s="73"/>
      <c r="HV3403" s="73"/>
      <c r="HW3403" s="73"/>
      <c r="HX3403" s="73"/>
      <c r="HY3403" s="73"/>
      <c r="HZ3403" s="73"/>
      <c r="IA3403" s="73"/>
      <c r="IB3403" s="73"/>
      <c r="IC3403" s="73"/>
      <c r="ID3403" s="73"/>
      <c r="IE3403" s="73"/>
      <c r="IF3403" s="73"/>
      <c r="IG3403" s="73"/>
      <c r="IH3403" s="73"/>
      <c r="II3403" s="73"/>
      <c r="IJ3403" s="73"/>
      <c r="IK3403" s="73"/>
      <c r="IL3403" s="73"/>
      <c r="IM3403" s="73"/>
      <c r="IN3403" s="73"/>
      <c r="IO3403" s="73"/>
      <c r="IP3403" s="73"/>
      <c r="IQ3403" s="73"/>
      <c r="IR3403" s="73"/>
      <c r="IS3403" s="73"/>
      <c r="IT3403" s="73"/>
      <c r="IU3403" s="73"/>
      <c r="IV3403" s="73"/>
      <c r="IW3403" s="73"/>
      <c r="IX3403" s="73"/>
      <c r="IY3403" s="73"/>
      <c r="IZ3403" s="73"/>
      <c r="JA3403" s="73"/>
      <c r="JB3403" s="73"/>
      <c r="JC3403" s="73"/>
    </row>
    <row r="3404" spans="2:263" s="72" customFormat="1">
      <c r="B3404" s="73"/>
      <c r="C3404" s="73"/>
      <c r="D3404" s="73"/>
      <c r="E3404" s="73"/>
      <c r="F3404" s="73"/>
      <c r="G3404" s="73"/>
      <c r="H3404" s="73"/>
      <c r="I3404" s="73"/>
      <c r="J3404" s="73"/>
      <c r="K3404" s="73"/>
      <c r="L3404" s="73"/>
      <c r="M3404" s="73"/>
      <c r="N3404" s="73"/>
      <c r="O3404" s="73"/>
      <c r="P3404" s="73"/>
      <c r="Q3404" s="73"/>
      <c r="R3404" s="73"/>
      <c r="S3404" s="73"/>
      <c r="T3404" s="73"/>
      <c r="U3404" s="73"/>
      <c r="V3404" s="73"/>
      <c r="W3404" s="73"/>
      <c r="GL3404" s="73"/>
      <c r="GM3404" s="73"/>
      <c r="GN3404" s="73"/>
      <c r="GO3404" s="73"/>
      <c r="GP3404" s="73"/>
      <c r="GQ3404" s="73"/>
      <c r="GR3404" s="73"/>
      <c r="GS3404" s="73"/>
      <c r="GT3404" s="73"/>
      <c r="GU3404" s="73"/>
      <c r="GV3404" s="73"/>
      <c r="GW3404" s="73"/>
      <c r="GX3404" s="73"/>
      <c r="GY3404" s="73"/>
      <c r="GZ3404" s="73"/>
      <c r="HA3404" s="73"/>
      <c r="HB3404" s="73"/>
      <c r="HC3404" s="73"/>
      <c r="HD3404" s="73"/>
      <c r="HE3404" s="73"/>
      <c r="HF3404" s="73"/>
      <c r="HG3404" s="73"/>
      <c r="HH3404" s="73"/>
      <c r="HI3404" s="73"/>
      <c r="HJ3404" s="73"/>
      <c r="HK3404" s="73"/>
      <c r="HL3404" s="73"/>
      <c r="HM3404" s="73"/>
      <c r="HN3404" s="73"/>
      <c r="HO3404" s="73"/>
      <c r="HP3404" s="73"/>
      <c r="HQ3404" s="73"/>
      <c r="HR3404" s="73"/>
      <c r="HS3404" s="73"/>
      <c r="HT3404" s="73"/>
      <c r="HU3404" s="73"/>
      <c r="HV3404" s="73"/>
      <c r="HW3404" s="73"/>
      <c r="HX3404" s="73"/>
      <c r="HY3404" s="73"/>
      <c r="HZ3404" s="73"/>
      <c r="IA3404" s="73"/>
      <c r="IB3404" s="73"/>
      <c r="IC3404" s="73"/>
      <c r="ID3404" s="73"/>
      <c r="IE3404" s="73"/>
      <c r="IF3404" s="73"/>
      <c r="IG3404" s="73"/>
      <c r="IH3404" s="73"/>
      <c r="II3404" s="73"/>
      <c r="IJ3404" s="73"/>
      <c r="IK3404" s="73"/>
      <c r="IL3404" s="73"/>
      <c r="IM3404" s="73"/>
      <c r="IN3404" s="73"/>
      <c r="IO3404" s="73"/>
      <c r="IP3404" s="73"/>
      <c r="IQ3404" s="73"/>
      <c r="IR3404" s="73"/>
      <c r="IS3404" s="73"/>
      <c r="IT3404" s="73"/>
      <c r="IU3404" s="73"/>
      <c r="IV3404" s="73"/>
      <c r="IW3404" s="73"/>
      <c r="IX3404" s="73"/>
      <c r="IY3404" s="73"/>
      <c r="IZ3404" s="73"/>
      <c r="JA3404" s="73"/>
      <c r="JB3404" s="73"/>
      <c r="JC3404" s="73"/>
    </row>
    <row r="3405" spans="2:263" s="72" customFormat="1">
      <c r="B3405" s="73"/>
      <c r="C3405" s="73"/>
      <c r="D3405" s="73"/>
      <c r="E3405" s="73"/>
      <c r="F3405" s="73"/>
      <c r="G3405" s="73"/>
      <c r="H3405" s="73"/>
      <c r="I3405" s="73"/>
      <c r="J3405" s="73"/>
      <c r="K3405" s="73"/>
      <c r="L3405" s="73"/>
      <c r="M3405" s="73"/>
      <c r="N3405" s="73"/>
      <c r="O3405" s="73"/>
      <c r="P3405" s="73"/>
      <c r="Q3405" s="73"/>
      <c r="R3405" s="73"/>
      <c r="S3405" s="73"/>
      <c r="T3405" s="73"/>
      <c r="U3405" s="73"/>
      <c r="V3405" s="73"/>
      <c r="W3405" s="73"/>
      <c r="GL3405" s="73"/>
      <c r="GM3405" s="73"/>
      <c r="GN3405" s="73"/>
      <c r="GO3405" s="73"/>
      <c r="GP3405" s="73"/>
      <c r="GQ3405" s="73"/>
      <c r="GR3405" s="73"/>
      <c r="GS3405" s="73"/>
      <c r="GT3405" s="73"/>
      <c r="GU3405" s="73"/>
      <c r="GV3405" s="73"/>
      <c r="GW3405" s="73"/>
      <c r="GX3405" s="73"/>
      <c r="GY3405" s="73"/>
      <c r="GZ3405" s="73"/>
      <c r="HA3405" s="73"/>
      <c r="HB3405" s="73"/>
      <c r="HC3405" s="73"/>
      <c r="HD3405" s="73"/>
      <c r="HE3405" s="73"/>
      <c r="HF3405" s="73"/>
      <c r="HG3405" s="73"/>
      <c r="HH3405" s="73"/>
      <c r="HI3405" s="73"/>
      <c r="HJ3405" s="73"/>
      <c r="HK3405" s="73"/>
      <c r="HL3405" s="73"/>
      <c r="HM3405" s="73"/>
      <c r="HN3405" s="73"/>
      <c r="HO3405" s="73"/>
      <c r="HP3405" s="73"/>
      <c r="HQ3405" s="73"/>
      <c r="HR3405" s="73"/>
      <c r="HS3405" s="73"/>
      <c r="HT3405" s="73"/>
      <c r="HU3405" s="73"/>
      <c r="HV3405" s="73"/>
      <c r="HW3405" s="73"/>
      <c r="HX3405" s="73"/>
      <c r="HY3405" s="73"/>
      <c r="HZ3405" s="73"/>
      <c r="IA3405" s="73"/>
      <c r="IB3405" s="73"/>
      <c r="IC3405" s="73"/>
      <c r="ID3405" s="73"/>
      <c r="IE3405" s="73"/>
      <c r="IF3405" s="73"/>
      <c r="IG3405" s="73"/>
      <c r="IH3405" s="73"/>
      <c r="II3405" s="73"/>
      <c r="IJ3405" s="73"/>
      <c r="IK3405" s="73"/>
      <c r="IL3405" s="73"/>
      <c r="IM3405" s="73"/>
      <c r="IN3405" s="73"/>
      <c r="IO3405" s="73"/>
      <c r="IP3405" s="73"/>
      <c r="IQ3405" s="73"/>
      <c r="IR3405" s="73"/>
      <c r="IS3405" s="73"/>
      <c r="IT3405" s="73"/>
      <c r="IU3405" s="73"/>
      <c r="IV3405" s="73"/>
      <c r="IW3405" s="73"/>
      <c r="IX3405" s="73"/>
      <c r="IY3405" s="73"/>
      <c r="IZ3405" s="73"/>
      <c r="JA3405" s="73"/>
      <c r="JB3405" s="73"/>
      <c r="JC3405" s="73"/>
    </row>
    <row r="3406" spans="2:263" s="72" customFormat="1">
      <c r="B3406" s="73"/>
      <c r="C3406" s="73"/>
      <c r="D3406" s="73"/>
      <c r="E3406" s="73"/>
      <c r="F3406" s="73"/>
      <c r="G3406" s="73"/>
      <c r="H3406" s="73"/>
      <c r="I3406" s="73"/>
      <c r="J3406" s="73"/>
      <c r="K3406" s="73"/>
      <c r="L3406" s="73"/>
      <c r="M3406" s="73"/>
      <c r="N3406" s="73"/>
      <c r="O3406" s="73"/>
      <c r="P3406" s="73"/>
      <c r="Q3406" s="73"/>
      <c r="R3406" s="73"/>
      <c r="S3406" s="73"/>
      <c r="T3406" s="73"/>
      <c r="U3406" s="73"/>
      <c r="V3406" s="73"/>
      <c r="W3406" s="73"/>
      <c r="GL3406" s="73"/>
      <c r="GM3406" s="73"/>
      <c r="GN3406" s="73"/>
      <c r="GO3406" s="73"/>
      <c r="GP3406" s="73"/>
      <c r="GQ3406" s="73"/>
      <c r="GR3406" s="73"/>
      <c r="GS3406" s="73"/>
      <c r="GT3406" s="73"/>
      <c r="GU3406" s="73"/>
      <c r="GV3406" s="73"/>
      <c r="GW3406" s="73"/>
      <c r="GX3406" s="73"/>
      <c r="GY3406" s="73"/>
      <c r="GZ3406" s="73"/>
      <c r="HA3406" s="73"/>
      <c r="HB3406" s="73"/>
      <c r="HC3406" s="73"/>
      <c r="HD3406" s="73"/>
      <c r="HE3406" s="73"/>
      <c r="HF3406" s="73"/>
      <c r="HG3406" s="73"/>
      <c r="HH3406" s="73"/>
      <c r="HI3406" s="73"/>
      <c r="HJ3406" s="73"/>
      <c r="HK3406" s="73"/>
      <c r="HL3406" s="73"/>
      <c r="HM3406" s="73"/>
      <c r="HN3406" s="73"/>
      <c r="HO3406" s="73"/>
      <c r="HP3406" s="73"/>
      <c r="HQ3406" s="73"/>
      <c r="HR3406" s="73"/>
      <c r="HS3406" s="73"/>
      <c r="HT3406" s="73"/>
      <c r="HU3406" s="73"/>
      <c r="HV3406" s="73"/>
      <c r="HW3406" s="73"/>
      <c r="HX3406" s="73"/>
      <c r="HY3406" s="73"/>
      <c r="HZ3406" s="73"/>
      <c r="IA3406" s="73"/>
      <c r="IB3406" s="73"/>
      <c r="IC3406" s="73"/>
      <c r="ID3406" s="73"/>
      <c r="IE3406" s="73"/>
      <c r="IF3406" s="73"/>
      <c r="IG3406" s="73"/>
      <c r="IH3406" s="73"/>
      <c r="II3406" s="73"/>
      <c r="IJ3406" s="73"/>
      <c r="IK3406" s="73"/>
      <c r="IL3406" s="73"/>
      <c r="IM3406" s="73"/>
      <c r="IN3406" s="73"/>
      <c r="IO3406" s="73"/>
      <c r="IP3406" s="73"/>
      <c r="IQ3406" s="73"/>
      <c r="IR3406" s="73"/>
      <c r="IS3406" s="73"/>
      <c r="IT3406" s="73"/>
      <c r="IU3406" s="73"/>
      <c r="IV3406" s="73"/>
      <c r="IW3406" s="73"/>
      <c r="IX3406" s="73"/>
      <c r="IY3406" s="73"/>
      <c r="IZ3406" s="73"/>
      <c r="JA3406" s="73"/>
      <c r="JB3406" s="73"/>
      <c r="JC3406" s="73"/>
    </row>
    <row r="3407" spans="2:263" s="72" customFormat="1">
      <c r="B3407" s="73"/>
      <c r="C3407" s="73"/>
      <c r="D3407" s="73"/>
      <c r="E3407" s="73"/>
      <c r="F3407" s="73"/>
      <c r="G3407" s="73"/>
      <c r="H3407" s="73"/>
      <c r="I3407" s="73"/>
      <c r="J3407" s="73"/>
      <c r="K3407" s="73"/>
      <c r="L3407" s="73"/>
      <c r="M3407" s="73"/>
      <c r="N3407" s="73"/>
      <c r="O3407" s="73"/>
      <c r="P3407" s="73"/>
      <c r="Q3407" s="73"/>
      <c r="R3407" s="73"/>
      <c r="S3407" s="73"/>
      <c r="T3407" s="73"/>
      <c r="U3407" s="73"/>
      <c r="V3407" s="73"/>
      <c r="W3407" s="73"/>
      <c r="GL3407" s="73"/>
      <c r="GM3407" s="73"/>
      <c r="GN3407" s="73"/>
      <c r="GO3407" s="73"/>
      <c r="GP3407" s="73"/>
      <c r="GQ3407" s="73"/>
      <c r="GR3407" s="73"/>
      <c r="GS3407" s="73"/>
      <c r="GT3407" s="73"/>
      <c r="GU3407" s="73"/>
      <c r="GV3407" s="73"/>
      <c r="GW3407" s="73"/>
      <c r="GX3407" s="73"/>
      <c r="GY3407" s="73"/>
      <c r="GZ3407" s="73"/>
      <c r="HA3407" s="73"/>
      <c r="HB3407" s="73"/>
      <c r="HC3407" s="73"/>
      <c r="HD3407" s="73"/>
      <c r="HE3407" s="73"/>
      <c r="HF3407" s="73"/>
      <c r="HG3407" s="73"/>
      <c r="HH3407" s="73"/>
      <c r="HI3407" s="73"/>
      <c r="HJ3407" s="73"/>
      <c r="HK3407" s="73"/>
      <c r="HL3407" s="73"/>
      <c r="HM3407" s="73"/>
      <c r="HN3407" s="73"/>
      <c r="HO3407" s="73"/>
      <c r="HP3407" s="73"/>
      <c r="HQ3407" s="73"/>
      <c r="HR3407" s="73"/>
      <c r="HS3407" s="73"/>
      <c r="HT3407" s="73"/>
      <c r="HU3407" s="73"/>
      <c r="HV3407" s="73"/>
      <c r="HW3407" s="73"/>
      <c r="HX3407" s="73"/>
      <c r="HY3407" s="73"/>
      <c r="HZ3407" s="73"/>
      <c r="IA3407" s="73"/>
      <c r="IB3407" s="73"/>
      <c r="IC3407" s="73"/>
      <c r="ID3407" s="73"/>
      <c r="IE3407" s="73"/>
      <c r="IF3407" s="73"/>
      <c r="IG3407" s="73"/>
      <c r="IH3407" s="73"/>
      <c r="II3407" s="73"/>
      <c r="IJ3407" s="73"/>
      <c r="IK3407" s="73"/>
      <c r="IL3407" s="73"/>
      <c r="IM3407" s="73"/>
      <c r="IN3407" s="73"/>
      <c r="IO3407" s="73"/>
      <c r="IP3407" s="73"/>
      <c r="IQ3407" s="73"/>
      <c r="IR3407" s="73"/>
      <c r="IS3407" s="73"/>
      <c r="IT3407" s="73"/>
      <c r="IU3407" s="73"/>
      <c r="IV3407" s="73"/>
      <c r="IW3407" s="73"/>
      <c r="IX3407" s="73"/>
      <c r="IY3407" s="73"/>
      <c r="IZ3407" s="73"/>
      <c r="JA3407" s="73"/>
      <c r="JB3407" s="73"/>
      <c r="JC3407" s="73"/>
    </row>
    <row r="3408" spans="2:263" s="72" customFormat="1">
      <c r="B3408" s="73"/>
      <c r="C3408" s="73"/>
      <c r="D3408" s="73"/>
      <c r="E3408" s="73"/>
      <c r="F3408" s="73"/>
      <c r="G3408" s="73"/>
      <c r="H3408" s="73"/>
      <c r="I3408" s="73"/>
      <c r="J3408" s="73"/>
      <c r="K3408" s="73"/>
      <c r="L3408" s="73"/>
      <c r="M3408" s="73"/>
      <c r="N3408" s="73"/>
      <c r="O3408" s="73"/>
      <c r="P3408" s="73"/>
      <c r="Q3408" s="73"/>
      <c r="R3408" s="73"/>
      <c r="S3408" s="73"/>
      <c r="T3408" s="73"/>
      <c r="U3408" s="73"/>
      <c r="V3408" s="73"/>
      <c r="W3408" s="73"/>
      <c r="GL3408" s="73"/>
      <c r="GM3408" s="73"/>
      <c r="GN3408" s="73"/>
      <c r="GO3408" s="73"/>
      <c r="GP3408" s="73"/>
      <c r="GQ3408" s="73"/>
      <c r="GR3408" s="73"/>
      <c r="GS3408" s="73"/>
      <c r="GT3408" s="73"/>
      <c r="GU3408" s="73"/>
      <c r="GV3408" s="73"/>
      <c r="GW3408" s="73"/>
      <c r="GX3408" s="73"/>
      <c r="GY3408" s="73"/>
      <c r="GZ3408" s="73"/>
      <c r="HA3408" s="73"/>
      <c r="HB3408" s="73"/>
      <c r="HC3408" s="73"/>
      <c r="HD3408" s="73"/>
      <c r="HE3408" s="73"/>
      <c r="HF3408" s="73"/>
      <c r="HG3408" s="73"/>
      <c r="HH3408" s="73"/>
      <c r="HI3408" s="73"/>
      <c r="HJ3408" s="73"/>
      <c r="HK3408" s="73"/>
      <c r="HL3408" s="73"/>
      <c r="HM3408" s="73"/>
      <c r="HN3408" s="73"/>
      <c r="HO3408" s="73"/>
      <c r="HP3408" s="73"/>
      <c r="HQ3408" s="73"/>
      <c r="HR3408" s="73"/>
      <c r="HS3408" s="73"/>
      <c r="HT3408" s="73"/>
      <c r="HU3408" s="73"/>
      <c r="HV3408" s="73"/>
      <c r="HW3408" s="73"/>
      <c r="HX3408" s="73"/>
      <c r="HY3408" s="73"/>
      <c r="HZ3408" s="73"/>
      <c r="IA3408" s="73"/>
      <c r="IB3408" s="73"/>
      <c r="IC3408" s="73"/>
      <c r="ID3408" s="73"/>
      <c r="IE3408" s="73"/>
      <c r="IF3408" s="73"/>
      <c r="IG3408" s="73"/>
      <c r="IH3408" s="73"/>
      <c r="II3408" s="73"/>
      <c r="IJ3408" s="73"/>
      <c r="IK3408" s="73"/>
      <c r="IL3408" s="73"/>
      <c r="IM3408" s="73"/>
      <c r="IN3408" s="73"/>
      <c r="IO3408" s="73"/>
      <c r="IP3408" s="73"/>
      <c r="IQ3408" s="73"/>
      <c r="IR3408" s="73"/>
      <c r="IS3408" s="73"/>
      <c r="IT3408" s="73"/>
      <c r="IU3408" s="73"/>
      <c r="IV3408" s="73"/>
      <c r="IW3408" s="73"/>
      <c r="IX3408" s="73"/>
      <c r="IY3408" s="73"/>
      <c r="IZ3408" s="73"/>
      <c r="JA3408" s="73"/>
      <c r="JB3408" s="73"/>
      <c r="JC3408" s="73"/>
    </row>
    <row r="3409" spans="2:263" s="72" customFormat="1">
      <c r="B3409" s="73"/>
      <c r="C3409" s="73"/>
      <c r="D3409" s="73"/>
      <c r="E3409" s="73"/>
      <c r="F3409" s="73"/>
      <c r="G3409" s="73"/>
      <c r="H3409" s="73"/>
      <c r="I3409" s="73"/>
      <c r="J3409" s="73"/>
      <c r="K3409" s="73"/>
      <c r="L3409" s="73"/>
      <c r="M3409" s="73"/>
      <c r="N3409" s="73"/>
      <c r="O3409" s="73"/>
      <c r="P3409" s="73"/>
      <c r="Q3409" s="73"/>
      <c r="R3409" s="73"/>
      <c r="S3409" s="73"/>
      <c r="T3409" s="73"/>
      <c r="U3409" s="73"/>
      <c r="V3409" s="73"/>
      <c r="W3409" s="73"/>
      <c r="GL3409" s="73"/>
      <c r="GM3409" s="73"/>
      <c r="GN3409" s="73"/>
      <c r="GO3409" s="73"/>
      <c r="GP3409" s="73"/>
      <c r="GQ3409" s="73"/>
      <c r="GR3409" s="73"/>
      <c r="GS3409" s="73"/>
      <c r="GT3409" s="73"/>
      <c r="GU3409" s="73"/>
      <c r="GV3409" s="73"/>
      <c r="GW3409" s="73"/>
      <c r="GX3409" s="73"/>
      <c r="GY3409" s="73"/>
      <c r="GZ3409" s="73"/>
      <c r="HA3409" s="73"/>
      <c r="HB3409" s="73"/>
      <c r="HC3409" s="73"/>
      <c r="HD3409" s="73"/>
      <c r="HE3409" s="73"/>
      <c r="HF3409" s="73"/>
      <c r="HG3409" s="73"/>
      <c r="HH3409" s="73"/>
      <c r="HI3409" s="73"/>
      <c r="HJ3409" s="73"/>
      <c r="HK3409" s="73"/>
      <c r="HL3409" s="73"/>
      <c r="HM3409" s="73"/>
      <c r="HN3409" s="73"/>
      <c r="HO3409" s="73"/>
      <c r="HP3409" s="73"/>
      <c r="HQ3409" s="73"/>
      <c r="HR3409" s="73"/>
      <c r="HS3409" s="73"/>
      <c r="HT3409" s="73"/>
      <c r="HU3409" s="73"/>
      <c r="HV3409" s="73"/>
      <c r="HW3409" s="73"/>
      <c r="HX3409" s="73"/>
      <c r="HY3409" s="73"/>
      <c r="HZ3409" s="73"/>
      <c r="IA3409" s="73"/>
      <c r="IB3409" s="73"/>
      <c r="IC3409" s="73"/>
      <c r="ID3409" s="73"/>
      <c r="IE3409" s="73"/>
      <c r="IF3409" s="73"/>
      <c r="IG3409" s="73"/>
      <c r="IH3409" s="73"/>
      <c r="II3409" s="73"/>
      <c r="IJ3409" s="73"/>
      <c r="IK3409" s="73"/>
      <c r="IL3409" s="73"/>
      <c r="IM3409" s="73"/>
      <c r="IN3409" s="73"/>
      <c r="IO3409" s="73"/>
      <c r="IP3409" s="73"/>
      <c r="IQ3409" s="73"/>
      <c r="IR3409" s="73"/>
      <c r="IS3409" s="73"/>
      <c r="IT3409" s="73"/>
      <c r="IU3409" s="73"/>
      <c r="IV3409" s="73"/>
      <c r="IW3409" s="73"/>
      <c r="IX3409" s="73"/>
      <c r="IY3409" s="73"/>
      <c r="IZ3409" s="73"/>
      <c r="JA3409" s="73"/>
      <c r="JB3409" s="73"/>
      <c r="JC3409" s="73"/>
    </row>
    <row r="3410" spans="2:263" s="72" customFormat="1">
      <c r="B3410" s="73"/>
      <c r="C3410" s="73"/>
      <c r="D3410" s="73"/>
      <c r="E3410" s="73"/>
      <c r="F3410" s="73"/>
      <c r="G3410" s="73"/>
      <c r="H3410" s="73"/>
      <c r="I3410" s="73"/>
      <c r="J3410" s="73"/>
      <c r="K3410" s="73"/>
      <c r="L3410" s="73"/>
      <c r="M3410" s="73"/>
      <c r="N3410" s="73"/>
      <c r="O3410" s="73"/>
      <c r="P3410" s="73"/>
      <c r="Q3410" s="73"/>
      <c r="R3410" s="73"/>
      <c r="S3410" s="73"/>
      <c r="T3410" s="73"/>
      <c r="U3410" s="73"/>
      <c r="V3410" s="73"/>
      <c r="W3410" s="73"/>
      <c r="GL3410" s="73"/>
      <c r="GM3410" s="73"/>
      <c r="GN3410" s="73"/>
      <c r="GO3410" s="73"/>
      <c r="GP3410" s="73"/>
      <c r="GQ3410" s="73"/>
      <c r="GR3410" s="73"/>
      <c r="GS3410" s="73"/>
      <c r="GT3410" s="73"/>
      <c r="GU3410" s="73"/>
      <c r="GV3410" s="73"/>
      <c r="GW3410" s="73"/>
      <c r="GX3410" s="73"/>
      <c r="GY3410" s="73"/>
      <c r="GZ3410" s="73"/>
      <c r="HA3410" s="73"/>
      <c r="HB3410" s="73"/>
      <c r="HC3410" s="73"/>
      <c r="HD3410" s="73"/>
      <c r="HE3410" s="73"/>
      <c r="HF3410" s="73"/>
      <c r="HG3410" s="73"/>
      <c r="HH3410" s="73"/>
      <c r="HI3410" s="73"/>
      <c r="HJ3410" s="73"/>
      <c r="HK3410" s="73"/>
      <c r="HL3410" s="73"/>
      <c r="HM3410" s="73"/>
      <c r="HN3410" s="73"/>
      <c r="HO3410" s="73"/>
      <c r="HP3410" s="73"/>
      <c r="HQ3410" s="73"/>
      <c r="HR3410" s="73"/>
      <c r="HS3410" s="73"/>
      <c r="HT3410" s="73"/>
      <c r="HU3410" s="73"/>
      <c r="HV3410" s="73"/>
      <c r="HW3410" s="73"/>
      <c r="HX3410" s="73"/>
      <c r="HY3410" s="73"/>
      <c r="HZ3410" s="73"/>
      <c r="IA3410" s="73"/>
      <c r="IB3410" s="73"/>
      <c r="IC3410" s="73"/>
      <c r="ID3410" s="73"/>
      <c r="IE3410" s="73"/>
      <c r="IF3410" s="73"/>
      <c r="IG3410" s="73"/>
      <c r="IH3410" s="73"/>
      <c r="II3410" s="73"/>
      <c r="IJ3410" s="73"/>
      <c r="IK3410" s="73"/>
      <c r="IL3410" s="73"/>
      <c r="IM3410" s="73"/>
      <c r="IN3410" s="73"/>
      <c r="IO3410" s="73"/>
      <c r="IP3410" s="73"/>
      <c r="IQ3410" s="73"/>
      <c r="IR3410" s="73"/>
      <c r="IS3410" s="73"/>
      <c r="IT3410" s="73"/>
      <c r="IU3410" s="73"/>
      <c r="IV3410" s="73"/>
      <c r="IW3410" s="73"/>
      <c r="IX3410" s="73"/>
      <c r="IY3410" s="73"/>
      <c r="IZ3410" s="73"/>
      <c r="JA3410" s="73"/>
      <c r="JB3410" s="73"/>
      <c r="JC3410" s="73"/>
    </row>
    <row r="3411" spans="2:263" s="72" customFormat="1">
      <c r="B3411" s="73"/>
      <c r="C3411" s="73"/>
      <c r="D3411" s="73"/>
      <c r="E3411" s="73"/>
      <c r="F3411" s="73"/>
      <c r="G3411" s="73"/>
      <c r="H3411" s="73"/>
      <c r="I3411" s="73"/>
      <c r="J3411" s="73"/>
      <c r="K3411" s="73"/>
      <c r="L3411" s="73"/>
      <c r="M3411" s="73"/>
      <c r="N3411" s="73"/>
      <c r="O3411" s="73"/>
      <c r="P3411" s="73"/>
      <c r="Q3411" s="73"/>
      <c r="R3411" s="73"/>
      <c r="S3411" s="73"/>
      <c r="T3411" s="73"/>
      <c r="U3411" s="73"/>
      <c r="V3411" s="73"/>
      <c r="W3411" s="73"/>
      <c r="GL3411" s="73"/>
      <c r="GM3411" s="73"/>
      <c r="GN3411" s="73"/>
      <c r="GO3411" s="73"/>
      <c r="GP3411" s="73"/>
      <c r="GQ3411" s="73"/>
      <c r="GR3411" s="73"/>
      <c r="GS3411" s="73"/>
      <c r="GT3411" s="73"/>
      <c r="GU3411" s="73"/>
      <c r="GV3411" s="73"/>
      <c r="GW3411" s="73"/>
      <c r="GX3411" s="73"/>
      <c r="GY3411" s="73"/>
      <c r="GZ3411" s="73"/>
      <c r="HA3411" s="73"/>
      <c r="HB3411" s="73"/>
      <c r="HC3411" s="73"/>
      <c r="HD3411" s="73"/>
      <c r="HE3411" s="73"/>
      <c r="HF3411" s="73"/>
      <c r="HG3411" s="73"/>
      <c r="HH3411" s="73"/>
      <c r="HI3411" s="73"/>
      <c r="HJ3411" s="73"/>
      <c r="HK3411" s="73"/>
      <c r="HL3411" s="73"/>
      <c r="HM3411" s="73"/>
      <c r="HN3411" s="73"/>
      <c r="HO3411" s="73"/>
      <c r="HP3411" s="73"/>
      <c r="HQ3411" s="73"/>
      <c r="HR3411" s="73"/>
      <c r="HS3411" s="73"/>
      <c r="HT3411" s="73"/>
      <c r="HU3411" s="73"/>
      <c r="HV3411" s="73"/>
      <c r="HW3411" s="73"/>
      <c r="HX3411" s="73"/>
      <c r="HY3411" s="73"/>
      <c r="HZ3411" s="73"/>
      <c r="IA3411" s="73"/>
      <c r="IB3411" s="73"/>
      <c r="IC3411" s="73"/>
      <c r="ID3411" s="73"/>
      <c r="IE3411" s="73"/>
      <c r="IF3411" s="73"/>
      <c r="IG3411" s="73"/>
      <c r="IH3411" s="73"/>
      <c r="II3411" s="73"/>
      <c r="IJ3411" s="73"/>
      <c r="IK3411" s="73"/>
      <c r="IL3411" s="73"/>
      <c r="IM3411" s="73"/>
      <c r="IN3411" s="73"/>
      <c r="IO3411" s="73"/>
      <c r="IP3411" s="73"/>
      <c r="IQ3411" s="73"/>
      <c r="IR3411" s="73"/>
      <c r="IS3411" s="73"/>
      <c r="IT3411" s="73"/>
      <c r="IU3411" s="73"/>
      <c r="IV3411" s="73"/>
      <c r="IW3411" s="73"/>
      <c r="IX3411" s="73"/>
      <c r="IY3411" s="73"/>
      <c r="IZ3411" s="73"/>
      <c r="JA3411" s="73"/>
      <c r="JB3411" s="73"/>
      <c r="JC3411" s="73"/>
    </row>
    <row r="3412" spans="2:263" s="72" customFormat="1">
      <c r="B3412" s="73"/>
      <c r="C3412" s="73"/>
      <c r="D3412" s="73"/>
      <c r="E3412" s="73"/>
      <c r="F3412" s="73"/>
      <c r="G3412" s="73"/>
      <c r="H3412" s="73"/>
      <c r="I3412" s="73"/>
      <c r="J3412" s="73"/>
      <c r="K3412" s="73"/>
      <c r="L3412" s="73"/>
      <c r="M3412" s="73"/>
      <c r="N3412" s="73"/>
      <c r="O3412" s="73"/>
      <c r="P3412" s="73"/>
      <c r="Q3412" s="73"/>
      <c r="R3412" s="73"/>
      <c r="S3412" s="73"/>
      <c r="T3412" s="73"/>
      <c r="U3412" s="73"/>
      <c r="V3412" s="73"/>
      <c r="W3412" s="73"/>
      <c r="GL3412" s="73"/>
      <c r="GM3412" s="73"/>
      <c r="GN3412" s="73"/>
      <c r="GO3412" s="73"/>
      <c r="GP3412" s="73"/>
      <c r="GQ3412" s="73"/>
      <c r="GR3412" s="73"/>
      <c r="GS3412" s="73"/>
      <c r="GT3412" s="73"/>
      <c r="GU3412" s="73"/>
      <c r="GV3412" s="73"/>
      <c r="GW3412" s="73"/>
      <c r="GX3412" s="73"/>
      <c r="GY3412" s="73"/>
      <c r="GZ3412" s="73"/>
      <c r="HA3412" s="73"/>
      <c r="HB3412" s="73"/>
      <c r="HC3412" s="73"/>
      <c r="HD3412" s="73"/>
      <c r="HE3412" s="73"/>
      <c r="HF3412" s="73"/>
      <c r="HG3412" s="73"/>
      <c r="HH3412" s="73"/>
      <c r="HI3412" s="73"/>
      <c r="HJ3412" s="73"/>
      <c r="HK3412" s="73"/>
      <c r="HL3412" s="73"/>
      <c r="HM3412" s="73"/>
      <c r="HN3412" s="73"/>
      <c r="HO3412" s="73"/>
      <c r="HP3412" s="73"/>
      <c r="HQ3412" s="73"/>
      <c r="HR3412" s="73"/>
      <c r="HS3412" s="73"/>
      <c r="HT3412" s="73"/>
      <c r="HU3412" s="73"/>
      <c r="HV3412" s="73"/>
      <c r="HW3412" s="73"/>
      <c r="HX3412" s="73"/>
      <c r="HY3412" s="73"/>
      <c r="HZ3412" s="73"/>
      <c r="IA3412" s="73"/>
      <c r="IB3412" s="73"/>
      <c r="IC3412" s="73"/>
      <c r="ID3412" s="73"/>
      <c r="IE3412" s="73"/>
      <c r="IF3412" s="73"/>
      <c r="IG3412" s="73"/>
      <c r="IH3412" s="73"/>
      <c r="II3412" s="73"/>
      <c r="IJ3412" s="73"/>
      <c r="IK3412" s="73"/>
      <c r="IL3412" s="73"/>
      <c r="IM3412" s="73"/>
      <c r="IN3412" s="73"/>
      <c r="IO3412" s="73"/>
      <c r="IP3412" s="73"/>
      <c r="IQ3412" s="73"/>
      <c r="IR3412" s="73"/>
      <c r="IS3412" s="73"/>
      <c r="IT3412" s="73"/>
      <c r="IU3412" s="73"/>
      <c r="IV3412" s="73"/>
      <c r="IW3412" s="73"/>
      <c r="IX3412" s="73"/>
      <c r="IY3412" s="73"/>
      <c r="IZ3412" s="73"/>
      <c r="JA3412" s="73"/>
      <c r="JB3412" s="73"/>
      <c r="JC3412" s="73"/>
    </row>
    <row r="3413" spans="2:263" s="72" customFormat="1">
      <c r="B3413" s="73"/>
      <c r="C3413" s="73"/>
      <c r="D3413" s="73"/>
      <c r="E3413" s="73"/>
      <c r="F3413" s="73"/>
      <c r="G3413" s="73"/>
      <c r="H3413" s="73"/>
      <c r="I3413" s="73"/>
      <c r="J3413" s="73"/>
      <c r="K3413" s="73"/>
      <c r="L3413" s="73"/>
      <c r="M3413" s="73"/>
      <c r="N3413" s="73"/>
      <c r="O3413" s="73"/>
      <c r="P3413" s="73"/>
      <c r="Q3413" s="73"/>
      <c r="R3413" s="73"/>
      <c r="S3413" s="73"/>
      <c r="T3413" s="73"/>
      <c r="U3413" s="73"/>
      <c r="V3413" s="73"/>
      <c r="W3413" s="73"/>
      <c r="GL3413" s="73"/>
      <c r="GM3413" s="73"/>
      <c r="GN3413" s="73"/>
      <c r="GO3413" s="73"/>
      <c r="GP3413" s="73"/>
      <c r="GQ3413" s="73"/>
      <c r="GR3413" s="73"/>
      <c r="GS3413" s="73"/>
      <c r="GT3413" s="73"/>
      <c r="GU3413" s="73"/>
      <c r="GV3413" s="73"/>
      <c r="GW3413" s="73"/>
      <c r="GX3413" s="73"/>
      <c r="GY3413" s="73"/>
      <c r="GZ3413" s="73"/>
      <c r="HA3413" s="73"/>
      <c r="HB3413" s="73"/>
      <c r="HC3413" s="73"/>
      <c r="HD3413" s="73"/>
      <c r="HE3413" s="73"/>
      <c r="HF3413" s="73"/>
      <c r="HG3413" s="73"/>
      <c r="HH3413" s="73"/>
      <c r="HI3413" s="73"/>
      <c r="HJ3413" s="73"/>
      <c r="HK3413" s="73"/>
      <c r="HL3413" s="73"/>
      <c r="HM3413" s="73"/>
      <c r="HN3413" s="73"/>
      <c r="HO3413" s="73"/>
      <c r="HP3413" s="73"/>
      <c r="HQ3413" s="73"/>
      <c r="HR3413" s="73"/>
      <c r="HS3413" s="73"/>
      <c r="HT3413" s="73"/>
      <c r="HU3413" s="73"/>
      <c r="HV3413" s="73"/>
      <c r="HW3413" s="73"/>
      <c r="HX3413" s="73"/>
      <c r="HY3413" s="73"/>
      <c r="HZ3413" s="73"/>
      <c r="IA3413" s="73"/>
      <c r="IB3413" s="73"/>
      <c r="IC3413" s="73"/>
      <c r="ID3413" s="73"/>
      <c r="IE3413" s="73"/>
      <c r="IF3413" s="73"/>
      <c r="IG3413" s="73"/>
      <c r="IH3413" s="73"/>
      <c r="II3413" s="73"/>
      <c r="IJ3413" s="73"/>
      <c r="IK3413" s="73"/>
      <c r="IL3413" s="73"/>
      <c r="IM3413" s="73"/>
      <c r="IN3413" s="73"/>
      <c r="IO3413" s="73"/>
      <c r="IP3413" s="73"/>
      <c r="IQ3413" s="73"/>
      <c r="IR3413" s="73"/>
      <c r="IS3413" s="73"/>
      <c r="IT3413" s="73"/>
      <c r="IU3413" s="73"/>
      <c r="IV3413" s="73"/>
      <c r="IW3413" s="73"/>
      <c r="IX3413" s="73"/>
      <c r="IY3413" s="73"/>
      <c r="IZ3413" s="73"/>
      <c r="JA3413" s="73"/>
      <c r="JB3413" s="73"/>
      <c r="JC3413" s="73"/>
    </row>
    <row r="3414" spans="2:263" s="72" customFormat="1">
      <c r="B3414" s="73"/>
      <c r="C3414" s="73"/>
      <c r="D3414" s="73"/>
      <c r="E3414" s="73"/>
      <c r="F3414" s="73"/>
      <c r="G3414" s="73"/>
      <c r="H3414" s="73"/>
      <c r="I3414" s="73"/>
      <c r="J3414" s="73"/>
      <c r="K3414" s="73"/>
      <c r="L3414" s="73"/>
      <c r="M3414" s="73"/>
      <c r="N3414" s="73"/>
      <c r="O3414" s="73"/>
      <c r="P3414" s="73"/>
      <c r="Q3414" s="73"/>
      <c r="R3414" s="73"/>
      <c r="S3414" s="73"/>
      <c r="T3414" s="73"/>
      <c r="U3414" s="73"/>
      <c r="V3414" s="73"/>
      <c r="W3414" s="73"/>
      <c r="GL3414" s="73"/>
      <c r="GM3414" s="73"/>
      <c r="GN3414" s="73"/>
      <c r="GO3414" s="73"/>
      <c r="GP3414" s="73"/>
      <c r="GQ3414" s="73"/>
      <c r="GR3414" s="73"/>
      <c r="GS3414" s="73"/>
      <c r="GT3414" s="73"/>
      <c r="GU3414" s="73"/>
      <c r="GV3414" s="73"/>
      <c r="GW3414" s="73"/>
      <c r="GX3414" s="73"/>
      <c r="GY3414" s="73"/>
      <c r="GZ3414" s="73"/>
      <c r="HA3414" s="73"/>
      <c r="HB3414" s="73"/>
      <c r="HC3414" s="73"/>
      <c r="HD3414" s="73"/>
      <c r="HE3414" s="73"/>
      <c r="HF3414" s="73"/>
      <c r="HG3414" s="73"/>
      <c r="HH3414" s="73"/>
      <c r="HI3414" s="73"/>
      <c r="HJ3414" s="73"/>
      <c r="HK3414" s="73"/>
      <c r="HL3414" s="73"/>
      <c r="HM3414" s="73"/>
      <c r="HN3414" s="73"/>
      <c r="HO3414" s="73"/>
      <c r="HP3414" s="73"/>
      <c r="HQ3414" s="73"/>
      <c r="HR3414" s="73"/>
      <c r="HS3414" s="73"/>
      <c r="HT3414" s="73"/>
      <c r="HU3414" s="73"/>
      <c r="HV3414" s="73"/>
      <c r="HW3414" s="73"/>
      <c r="HX3414" s="73"/>
      <c r="HY3414" s="73"/>
      <c r="HZ3414" s="73"/>
      <c r="IA3414" s="73"/>
      <c r="IB3414" s="73"/>
      <c r="IC3414" s="73"/>
      <c r="ID3414" s="73"/>
      <c r="IE3414" s="73"/>
      <c r="IF3414" s="73"/>
      <c r="IG3414" s="73"/>
      <c r="IH3414" s="73"/>
      <c r="II3414" s="73"/>
      <c r="IJ3414" s="73"/>
      <c r="IK3414" s="73"/>
      <c r="IL3414" s="73"/>
      <c r="IM3414" s="73"/>
      <c r="IN3414" s="73"/>
      <c r="IO3414" s="73"/>
      <c r="IP3414" s="73"/>
      <c r="IQ3414" s="73"/>
      <c r="IR3414" s="73"/>
      <c r="IS3414" s="73"/>
      <c r="IT3414" s="73"/>
      <c r="IU3414" s="73"/>
      <c r="IV3414" s="73"/>
      <c r="IW3414" s="73"/>
      <c r="IX3414" s="73"/>
      <c r="IY3414" s="73"/>
      <c r="IZ3414" s="73"/>
      <c r="JA3414" s="73"/>
      <c r="JB3414" s="73"/>
      <c r="JC3414" s="73"/>
    </row>
    <row r="3415" spans="2:263" s="72" customFormat="1">
      <c r="B3415" s="73"/>
      <c r="C3415" s="73"/>
      <c r="D3415" s="73"/>
      <c r="E3415" s="73"/>
      <c r="F3415" s="73"/>
      <c r="G3415" s="73"/>
      <c r="H3415" s="73"/>
      <c r="I3415" s="73"/>
      <c r="J3415" s="73"/>
      <c r="K3415" s="73"/>
      <c r="L3415" s="73"/>
      <c r="M3415" s="73"/>
      <c r="N3415" s="73"/>
      <c r="O3415" s="73"/>
      <c r="P3415" s="73"/>
      <c r="Q3415" s="73"/>
      <c r="R3415" s="73"/>
      <c r="S3415" s="73"/>
      <c r="T3415" s="73"/>
      <c r="U3415" s="73"/>
      <c r="V3415" s="73"/>
      <c r="W3415" s="73"/>
      <c r="GL3415" s="73"/>
      <c r="GM3415" s="73"/>
      <c r="GN3415" s="73"/>
      <c r="GO3415" s="73"/>
      <c r="GP3415" s="73"/>
      <c r="GQ3415" s="73"/>
      <c r="GR3415" s="73"/>
      <c r="GS3415" s="73"/>
      <c r="GT3415" s="73"/>
      <c r="GU3415" s="73"/>
      <c r="GV3415" s="73"/>
      <c r="GW3415" s="73"/>
      <c r="GX3415" s="73"/>
      <c r="GY3415" s="73"/>
      <c r="GZ3415" s="73"/>
      <c r="HA3415" s="73"/>
      <c r="HB3415" s="73"/>
      <c r="HC3415" s="73"/>
      <c r="HD3415" s="73"/>
      <c r="HE3415" s="73"/>
      <c r="HF3415" s="73"/>
      <c r="HG3415" s="73"/>
      <c r="HH3415" s="73"/>
      <c r="HI3415" s="73"/>
      <c r="HJ3415" s="73"/>
      <c r="HK3415" s="73"/>
      <c r="HL3415" s="73"/>
      <c r="HM3415" s="73"/>
      <c r="HN3415" s="73"/>
      <c r="HO3415" s="73"/>
      <c r="HP3415" s="73"/>
      <c r="HQ3415" s="73"/>
      <c r="HR3415" s="73"/>
      <c r="HS3415" s="73"/>
      <c r="HT3415" s="73"/>
      <c r="HU3415" s="73"/>
      <c r="HV3415" s="73"/>
      <c r="HW3415" s="73"/>
      <c r="HX3415" s="73"/>
      <c r="HY3415" s="73"/>
      <c r="HZ3415" s="73"/>
      <c r="IA3415" s="73"/>
      <c r="IB3415" s="73"/>
      <c r="IC3415" s="73"/>
      <c r="ID3415" s="73"/>
      <c r="IE3415" s="73"/>
      <c r="IF3415" s="73"/>
      <c r="IG3415" s="73"/>
      <c r="IH3415" s="73"/>
      <c r="II3415" s="73"/>
      <c r="IJ3415" s="73"/>
      <c r="IK3415" s="73"/>
      <c r="IL3415" s="73"/>
      <c r="IM3415" s="73"/>
      <c r="IN3415" s="73"/>
      <c r="IO3415" s="73"/>
      <c r="IP3415" s="73"/>
      <c r="IQ3415" s="73"/>
      <c r="IR3415" s="73"/>
      <c r="IS3415" s="73"/>
      <c r="IT3415" s="73"/>
      <c r="IU3415" s="73"/>
      <c r="IV3415" s="73"/>
      <c r="IW3415" s="73"/>
      <c r="IX3415" s="73"/>
      <c r="IY3415" s="73"/>
      <c r="IZ3415" s="73"/>
      <c r="JA3415" s="73"/>
      <c r="JB3415" s="73"/>
      <c r="JC3415" s="73"/>
    </row>
    <row r="3416" spans="2:263" s="72" customFormat="1">
      <c r="B3416" s="73"/>
      <c r="C3416" s="73"/>
      <c r="D3416" s="73"/>
      <c r="E3416" s="73"/>
      <c r="F3416" s="73"/>
      <c r="G3416" s="73"/>
      <c r="H3416" s="73"/>
      <c r="I3416" s="73"/>
      <c r="J3416" s="73"/>
      <c r="K3416" s="73"/>
      <c r="L3416" s="73"/>
      <c r="M3416" s="73"/>
      <c r="N3416" s="73"/>
      <c r="O3416" s="73"/>
      <c r="P3416" s="73"/>
      <c r="Q3416" s="73"/>
      <c r="R3416" s="73"/>
      <c r="S3416" s="73"/>
      <c r="T3416" s="73"/>
      <c r="U3416" s="73"/>
      <c r="V3416" s="73"/>
      <c r="W3416" s="73"/>
      <c r="GL3416" s="73"/>
      <c r="GM3416" s="73"/>
      <c r="GN3416" s="73"/>
      <c r="GO3416" s="73"/>
      <c r="GP3416" s="73"/>
      <c r="GQ3416" s="73"/>
      <c r="GR3416" s="73"/>
      <c r="GS3416" s="73"/>
      <c r="GT3416" s="73"/>
      <c r="GU3416" s="73"/>
      <c r="GV3416" s="73"/>
      <c r="GW3416" s="73"/>
      <c r="GX3416" s="73"/>
      <c r="GY3416" s="73"/>
      <c r="GZ3416" s="73"/>
      <c r="HA3416" s="73"/>
      <c r="HB3416" s="73"/>
      <c r="HC3416" s="73"/>
      <c r="HD3416" s="73"/>
      <c r="HE3416" s="73"/>
      <c r="HF3416" s="73"/>
      <c r="HG3416" s="73"/>
      <c r="HH3416" s="73"/>
      <c r="HI3416" s="73"/>
      <c r="HJ3416" s="73"/>
      <c r="HK3416" s="73"/>
      <c r="HL3416" s="73"/>
      <c r="HM3416" s="73"/>
      <c r="HN3416" s="73"/>
      <c r="HO3416" s="73"/>
      <c r="HP3416" s="73"/>
      <c r="HQ3416" s="73"/>
      <c r="HR3416" s="73"/>
      <c r="HS3416" s="73"/>
      <c r="HT3416" s="73"/>
      <c r="HU3416" s="73"/>
      <c r="HV3416" s="73"/>
      <c r="HW3416" s="73"/>
      <c r="HX3416" s="73"/>
      <c r="HY3416" s="73"/>
      <c r="HZ3416" s="73"/>
      <c r="IA3416" s="73"/>
      <c r="IB3416" s="73"/>
      <c r="IC3416" s="73"/>
      <c r="ID3416" s="73"/>
      <c r="IE3416" s="73"/>
      <c r="IF3416" s="73"/>
      <c r="IG3416" s="73"/>
      <c r="IH3416" s="73"/>
      <c r="II3416" s="73"/>
      <c r="IJ3416" s="73"/>
      <c r="IK3416" s="73"/>
      <c r="IL3416" s="73"/>
      <c r="IM3416" s="73"/>
      <c r="IN3416" s="73"/>
      <c r="IO3416" s="73"/>
      <c r="IP3416" s="73"/>
      <c r="IQ3416" s="73"/>
      <c r="IR3416" s="73"/>
      <c r="IS3416" s="73"/>
      <c r="IT3416" s="73"/>
      <c r="IU3416" s="73"/>
      <c r="IV3416" s="73"/>
      <c r="IW3416" s="73"/>
      <c r="IX3416" s="73"/>
      <c r="IY3416" s="73"/>
      <c r="IZ3416" s="73"/>
      <c r="JA3416" s="73"/>
      <c r="JB3416" s="73"/>
      <c r="JC3416" s="73"/>
    </row>
    <row r="3417" spans="2:263" s="72" customFormat="1">
      <c r="B3417" s="73"/>
      <c r="C3417" s="73"/>
      <c r="D3417" s="73"/>
      <c r="E3417" s="73"/>
      <c r="F3417" s="73"/>
      <c r="G3417" s="73"/>
      <c r="H3417" s="73"/>
      <c r="I3417" s="73"/>
      <c r="J3417" s="73"/>
      <c r="K3417" s="73"/>
      <c r="L3417" s="73"/>
      <c r="M3417" s="73"/>
      <c r="N3417" s="73"/>
      <c r="O3417" s="73"/>
      <c r="P3417" s="73"/>
      <c r="Q3417" s="73"/>
      <c r="R3417" s="73"/>
      <c r="S3417" s="73"/>
      <c r="T3417" s="73"/>
      <c r="U3417" s="73"/>
      <c r="V3417" s="73"/>
      <c r="W3417" s="73"/>
      <c r="GL3417" s="73"/>
      <c r="GM3417" s="73"/>
      <c r="GN3417" s="73"/>
      <c r="GO3417" s="73"/>
      <c r="GP3417" s="73"/>
      <c r="GQ3417" s="73"/>
      <c r="GR3417" s="73"/>
      <c r="GS3417" s="73"/>
      <c r="GT3417" s="73"/>
      <c r="GU3417" s="73"/>
      <c r="GV3417" s="73"/>
      <c r="GW3417" s="73"/>
      <c r="GX3417" s="73"/>
      <c r="GY3417" s="73"/>
      <c r="GZ3417" s="73"/>
      <c r="HA3417" s="73"/>
      <c r="HB3417" s="73"/>
      <c r="HC3417" s="73"/>
      <c r="HD3417" s="73"/>
      <c r="HE3417" s="73"/>
      <c r="HF3417" s="73"/>
      <c r="HG3417" s="73"/>
      <c r="HH3417" s="73"/>
      <c r="HI3417" s="73"/>
      <c r="HJ3417" s="73"/>
      <c r="HK3417" s="73"/>
      <c r="HL3417" s="73"/>
      <c r="HM3417" s="73"/>
      <c r="HN3417" s="73"/>
      <c r="HO3417" s="73"/>
      <c r="HP3417" s="73"/>
      <c r="HQ3417" s="73"/>
      <c r="HR3417" s="73"/>
      <c r="HS3417" s="73"/>
      <c r="HT3417" s="73"/>
      <c r="HU3417" s="73"/>
      <c r="HV3417" s="73"/>
      <c r="HW3417" s="73"/>
      <c r="HX3417" s="73"/>
      <c r="HY3417" s="73"/>
      <c r="HZ3417" s="73"/>
      <c r="IA3417" s="73"/>
      <c r="IB3417" s="73"/>
      <c r="IC3417" s="73"/>
      <c r="ID3417" s="73"/>
      <c r="IE3417" s="73"/>
      <c r="IF3417" s="73"/>
      <c r="IG3417" s="73"/>
      <c r="IH3417" s="73"/>
      <c r="II3417" s="73"/>
      <c r="IJ3417" s="73"/>
      <c r="IK3417" s="73"/>
      <c r="IL3417" s="73"/>
      <c r="IM3417" s="73"/>
      <c r="IN3417" s="73"/>
      <c r="IO3417" s="73"/>
      <c r="IP3417" s="73"/>
      <c r="IQ3417" s="73"/>
      <c r="IR3417" s="73"/>
      <c r="IS3417" s="73"/>
      <c r="IT3417" s="73"/>
      <c r="IU3417" s="73"/>
      <c r="IV3417" s="73"/>
      <c r="IW3417" s="73"/>
      <c r="IX3417" s="73"/>
      <c r="IY3417" s="73"/>
      <c r="IZ3417" s="73"/>
      <c r="JA3417" s="73"/>
      <c r="JB3417" s="73"/>
      <c r="JC3417" s="73"/>
    </row>
    <row r="3418" spans="2:263" s="72" customFormat="1">
      <c r="B3418" s="73"/>
      <c r="C3418" s="73"/>
      <c r="D3418" s="73"/>
      <c r="E3418" s="73"/>
      <c r="F3418" s="73"/>
      <c r="G3418" s="73"/>
      <c r="H3418" s="73"/>
      <c r="I3418" s="73"/>
      <c r="J3418" s="73"/>
      <c r="K3418" s="73"/>
      <c r="L3418" s="73"/>
      <c r="M3418" s="73"/>
      <c r="N3418" s="73"/>
      <c r="O3418" s="73"/>
      <c r="P3418" s="73"/>
      <c r="Q3418" s="73"/>
      <c r="R3418" s="73"/>
      <c r="S3418" s="73"/>
      <c r="T3418" s="73"/>
      <c r="U3418" s="73"/>
      <c r="V3418" s="73"/>
      <c r="W3418" s="73"/>
      <c r="GL3418" s="73"/>
      <c r="GM3418" s="73"/>
      <c r="GN3418" s="73"/>
      <c r="GO3418" s="73"/>
      <c r="GP3418" s="73"/>
      <c r="GQ3418" s="73"/>
      <c r="GR3418" s="73"/>
      <c r="GS3418" s="73"/>
      <c r="GT3418" s="73"/>
      <c r="GU3418" s="73"/>
      <c r="GV3418" s="73"/>
      <c r="GW3418" s="73"/>
      <c r="GX3418" s="73"/>
      <c r="GY3418" s="73"/>
      <c r="GZ3418" s="73"/>
      <c r="HA3418" s="73"/>
      <c r="HB3418" s="73"/>
      <c r="HC3418" s="73"/>
      <c r="HD3418" s="73"/>
      <c r="HE3418" s="73"/>
      <c r="HF3418" s="73"/>
      <c r="HG3418" s="73"/>
      <c r="HH3418" s="73"/>
      <c r="HI3418" s="73"/>
      <c r="HJ3418" s="73"/>
      <c r="HK3418" s="73"/>
      <c r="HL3418" s="73"/>
      <c r="HM3418" s="73"/>
      <c r="HN3418" s="73"/>
      <c r="HO3418" s="73"/>
      <c r="HP3418" s="73"/>
      <c r="HQ3418" s="73"/>
      <c r="HR3418" s="73"/>
      <c r="HS3418" s="73"/>
      <c r="HT3418" s="73"/>
      <c r="HU3418" s="73"/>
      <c r="HV3418" s="73"/>
      <c r="HW3418" s="73"/>
      <c r="HX3418" s="73"/>
      <c r="HY3418" s="73"/>
      <c r="HZ3418" s="73"/>
      <c r="IA3418" s="73"/>
      <c r="IB3418" s="73"/>
      <c r="IC3418" s="73"/>
      <c r="ID3418" s="73"/>
      <c r="IE3418" s="73"/>
      <c r="IF3418" s="73"/>
      <c r="IG3418" s="73"/>
      <c r="IH3418" s="73"/>
      <c r="II3418" s="73"/>
      <c r="IJ3418" s="73"/>
      <c r="IK3418" s="73"/>
      <c r="IL3418" s="73"/>
      <c r="IM3418" s="73"/>
      <c r="IN3418" s="73"/>
      <c r="IO3418" s="73"/>
      <c r="IP3418" s="73"/>
      <c r="IQ3418" s="73"/>
      <c r="IR3418" s="73"/>
      <c r="IS3418" s="73"/>
      <c r="IT3418" s="73"/>
      <c r="IU3418" s="73"/>
      <c r="IV3418" s="73"/>
      <c r="IW3418" s="73"/>
      <c r="IX3418" s="73"/>
      <c r="IY3418" s="73"/>
      <c r="IZ3418" s="73"/>
      <c r="JA3418" s="73"/>
      <c r="JB3418" s="73"/>
      <c r="JC3418" s="73"/>
    </row>
    <row r="3419" spans="2:263" s="72" customFormat="1">
      <c r="B3419" s="73"/>
      <c r="C3419" s="73"/>
      <c r="D3419" s="73"/>
      <c r="E3419" s="73"/>
      <c r="F3419" s="73"/>
      <c r="G3419" s="73"/>
      <c r="H3419" s="73"/>
      <c r="I3419" s="73"/>
      <c r="J3419" s="73"/>
      <c r="K3419" s="73"/>
      <c r="L3419" s="73"/>
      <c r="M3419" s="73"/>
      <c r="N3419" s="73"/>
      <c r="O3419" s="73"/>
      <c r="P3419" s="73"/>
      <c r="Q3419" s="73"/>
      <c r="R3419" s="73"/>
      <c r="S3419" s="73"/>
      <c r="T3419" s="73"/>
      <c r="U3419" s="73"/>
      <c r="V3419" s="73"/>
      <c r="W3419" s="73"/>
      <c r="GL3419" s="73"/>
      <c r="GM3419" s="73"/>
      <c r="GN3419" s="73"/>
      <c r="GO3419" s="73"/>
      <c r="GP3419" s="73"/>
      <c r="GQ3419" s="73"/>
      <c r="GR3419" s="73"/>
      <c r="GS3419" s="73"/>
      <c r="GT3419" s="73"/>
      <c r="GU3419" s="73"/>
      <c r="GV3419" s="73"/>
      <c r="GW3419" s="73"/>
      <c r="GX3419" s="73"/>
      <c r="GY3419" s="73"/>
      <c r="GZ3419" s="73"/>
      <c r="HA3419" s="73"/>
      <c r="HB3419" s="73"/>
      <c r="HC3419" s="73"/>
      <c r="HD3419" s="73"/>
      <c r="HE3419" s="73"/>
      <c r="HF3419" s="73"/>
      <c r="HG3419" s="73"/>
      <c r="HH3419" s="73"/>
      <c r="HI3419" s="73"/>
      <c r="HJ3419" s="73"/>
      <c r="HK3419" s="73"/>
      <c r="HL3419" s="73"/>
      <c r="HM3419" s="73"/>
      <c r="HN3419" s="73"/>
      <c r="HO3419" s="73"/>
      <c r="HP3419" s="73"/>
      <c r="HQ3419" s="73"/>
      <c r="HR3419" s="73"/>
      <c r="HS3419" s="73"/>
      <c r="HT3419" s="73"/>
      <c r="HU3419" s="73"/>
      <c r="HV3419" s="73"/>
      <c r="HW3419" s="73"/>
      <c r="HX3419" s="73"/>
      <c r="HY3419" s="73"/>
      <c r="HZ3419" s="73"/>
      <c r="IA3419" s="73"/>
      <c r="IB3419" s="73"/>
      <c r="IC3419" s="73"/>
      <c r="ID3419" s="73"/>
      <c r="IE3419" s="73"/>
      <c r="IF3419" s="73"/>
      <c r="IG3419" s="73"/>
      <c r="IH3419" s="73"/>
      <c r="II3419" s="73"/>
      <c r="IJ3419" s="73"/>
      <c r="IK3419" s="73"/>
      <c r="IL3419" s="73"/>
      <c r="IM3419" s="73"/>
      <c r="IN3419" s="73"/>
      <c r="IO3419" s="73"/>
      <c r="IP3419" s="73"/>
      <c r="IQ3419" s="73"/>
      <c r="IR3419" s="73"/>
      <c r="IS3419" s="73"/>
      <c r="IT3419" s="73"/>
      <c r="IU3419" s="73"/>
      <c r="IV3419" s="73"/>
      <c r="IW3419" s="73"/>
      <c r="IX3419" s="73"/>
      <c r="IY3419" s="73"/>
      <c r="IZ3419" s="73"/>
      <c r="JA3419" s="73"/>
      <c r="JB3419" s="73"/>
      <c r="JC3419" s="73"/>
    </row>
    <row r="3420" spans="2:263" s="72" customFormat="1">
      <c r="B3420" s="73"/>
      <c r="C3420" s="73"/>
      <c r="D3420" s="73"/>
      <c r="E3420" s="73"/>
      <c r="F3420" s="73"/>
      <c r="G3420" s="73"/>
      <c r="H3420" s="73"/>
      <c r="I3420" s="73"/>
      <c r="J3420" s="73"/>
      <c r="K3420" s="73"/>
      <c r="L3420" s="73"/>
      <c r="M3420" s="73"/>
      <c r="N3420" s="73"/>
      <c r="O3420" s="73"/>
      <c r="P3420" s="73"/>
      <c r="Q3420" s="73"/>
      <c r="R3420" s="73"/>
      <c r="S3420" s="73"/>
      <c r="T3420" s="73"/>
      <c r="U3420" s="73"/>
      <c r="V3420" s="73"/>
      <c r="W3420" s="73"/>
      <c r="GL3420" s="73"/>
      <c r="GM3420" s="73"/>
      <c r="GN3420" s="73"/>
      <c r="GO3420" s="73"/>
      <c r="GP3420" s="73"/>
      <c r="GQ3420" s="73"/>
      <c r="GR3420" s="73"/>
      <c r="GS3420" s="73"/>
      <c r="GT3420" s="73"/>
      <c r="GU3420" s="73"/>
      <c r="GV3420" s="73"/>
      <c r="GW3420" s="73"/>
      <c r="GX3420" s="73"/>
      <c r="GY3420" s="73"/>
      <c r="GZ3420" s="73"/>
      <c r="HA3420" s="73"/>
      <c r="HB3420" s="73"/>
      <c r="HC3420" s="73"/>
      <c r="HD3420" s="73"/>
      <c r="HE3420" s="73"/>
      <c r="HF3420" s="73"/>
      <c r="HG3420" s="73"/>
      <c r="HH3420" s="73"/>
      <c r="HI3420" s="73"/>
      <c r="HJ3420" s="73"/>
      <c r="HK3420" s="73"/>
      <c r="HL3420" s="73"/>
      <c r="HM3420" s="73"/>
      <c r="HN3420" s="73"/>
      <c r="HO3420" s="73"/>
      <c r="HP3420" s="73"/>
      <c r="HQ3420" s="73"/>
      <c r="HR3420" s="73"/>
      <c r="HS3420" s="73"/>
      <c r="HT3420" s="73"/>
      <c r="HU3420" s="73"/>
      <c r="HV3420" s="73"/>
      <c r="HW3420" s="73"/>
      <c r="HX3420" s="73"/>
      <c r="HY3420" s="73"/>
      <c r="HZ3420" s="73"/>
      <c r="IA3420" s="73"/>
      <c r="IB3420" s="73"/>
      <c r="IC3420" s="73"/>
      <c r="ID3420" s="73"/>
      <c r="IE3420" s="73"/>
      <c r="IF3420" s="73"/>
      <c r="IG3420" s="73"/>
      <c r="IH3420" s="73"/>
      <c r="II3420" s="73"/>
      <c r="IJ3420" s="73"/>
      <c r="IK3420" s="73"/>
      <c r="IL3420" s="73"/>
      <c r="IM3420" s="73"/>
      <c r="IN3420" s="73"/>
      <c r="IO3420" s="73"/>
      <c r="IP3420" s="73"/>
      <c r="IQ3420" s="73"/>
      <c r="IR3420" s="73"/>
      <c r="IS3420" s="73"/>
      <c r="IT3420" s="73"/>
      <c r="IU3420" s="73"/>
      <c r="IV3420" s="73"/>
      <c r="IW3420" s="73"/>
      <c r="IX3420" s="73"/>
      <c r="IY3420" s="73"/>
      <c r="IZ3420" s="73"/>
      <c r="JA3420" s="73"/>
      <c r="JB3420" s="73"/>
      <c r="JC3420" s="73"/>
    </row>
    <row r="3421" spans="2:263" s="72" customFormat="1">
      <c r="B3421" s="73"/>
      <c r="C3421" s="73"/>
      <c r="D3421" s="73"/>
      <c r="E3421" s="73"/>
      <c r="F3421" s="73"/>
      <c r="G3421" s="73"/>
      <c r="H3421" s="73"/>
      <c r="I3421" s="73"/>
      <c r="J3421" s="73"/>
      <c r="K3421" s="73"/>
      <c r="L3421" s="73"/>
      <c r="M3421" s="73"/>
      <c r="N3421" s="73"/>
      <c r="O3421" s="73"/>
      <c r="P3421" s="73"/>
      <c r="Q3421" s="73"/>
      <c r="R3421" s="73"/>
      <c r="S3421" s="73"/>
      <c r="T3421" s="73"/>
      <c r="U3421" s="73"/>
      <c r="V3421" s="73"/>
      <c r="W3421" s="73"/>
      <c r="GL3421" s="73"/>
      <c r="GM3421" s="73"/>
      <c r="GN3421" s="73"/>
      <c r="GO3421" s="73"/>
      <c r="GP3421" s="73"/>
      <c r="GQ3421" s="73"/>
      <c r="GR3421" s="73"/>
      <c r="GS3421" s="73"/>
      <c r="GT3421" s="73"/>
      <c r="GU3421" s="73"/>
      <c r="GV3421" s="73"/>
      <c r="GW3421" s="73"/>
      <c r="GX3421" s="73"/>
      <c r="GY3421" s="73"/>
      <c r="GZ3421" s="73"/>
      <c r="HA3421" s="73"/>
      <c r="HB3421" s="73"/>
      <c r="HC3421" s="73"/>
      <c r="HD3421" s="73"/>
      <c r="HE3421" s="73"/>
      <c r="HF3421" s="73"/>
      <c r="HG3421" s="73"/>
      <c r="HH3421" s="73"/>
      <c r="HI3421" s="73"/>
      <c r="HJ3421" s="73"/>
      <c r="HK3421" s="73"/>
      <c r="HL3421" s="73"/>
      <c r="HM3421" s="73"/>
      <c r="HN3421" s="73"/>
      <c r="HO3421" s="73"/>
      <c r="HP3421" s="73"/>
      <c r="HQ3421" s="73"/>
      <c r="HR3421" s="73"/>
      <c r="HS3421" s="73"/>
      <c r="HT3421" s="73"/>
      <c r="HU3421" s="73"/>
      <c r="HV3421" s="73"/>
      <c r="HW3421" s="73"/>
      <c r="HX3421" s="73"/>
      <c r="HY3421" s="73"/>
      <c r="HZ3421" s="73"/>
      <c r="IA3421" s="73"/>
      <c r="IB3421" s="73"/>
      <c r="IC3421" s="73"/>
      <c r="ID3421" s="73"/>
      <c r="IE3421" s="73"/>
      <c r="IF3421" s="73"/>
      <c r="IG3421" s="73"/>
      <c r="IH3421" s="73"/>
      <c r="II3421" s="73"/>
      <c r="IJ3421" s="73"/>
      <c r="IK3421" s="73"/>
      <c r="IL3421" s="73"/>
      <c r="IM3421" s="73"/>
      <c r="IN3421" s="73"/>
      <c r="IO3421" s="73"/>
      <c r="IP3421" s="73"/>
      <c r="IQ3421" s="73"/>
      <c r="IR3421" s="73"/>
      <c r="IS3421" s="73"/>
      <c r="IT3421" s="73"/>
      <c r="IU3421" s="73"/>
      <c r="IV3421" s="73"/>
      <c r="IW3421" s="73"/>
      <c r="IX3421" s="73"/>
      <c r="IY3421" s="73"/>
      <c r="IZ3421" s="73"/>
      <c r="JA3421" s="73"/>
      <c r="JB3421" s="73"/>
      <c r="JC3421" s="73"/>
    </row>
    <row r="3422" spans="2:263" s="72" customFormat="1">
      <c r="B3422" s="73"/>
      <c r="C3422" s="73"/>
      <c r="D3422" s="73"/>
      <c r="E3422" s="73"/>
      <c r="F3422" s="73"/>
      <c r="G3422" s="73"/>
      <c r="H3422" s="73"/>
      <c r="I3422" s="73"/>
      <c r="J3422" s="73"/>
      <c r="K3422" s="73"/>
      <c r="L3422" s="73"/>
      <c r="M3422" s="73"/>
      <c r="N3422" s="73"/>
      <c r="O3422" s="73"/>
      <c r="P3422" s="73"/>
      <c r="Q3422" s="73"/>
      <c r="R3422" s="73"/>
      <c r="S3422" s="73"/>
      <c r="T3422" s="73"/>
      <c r="U3422" s="73"/>
      <c r="V3422" s="73"/>
      <c r="W3422" s="73"/>
      <c r="GL3422" s="73"/>
      <c r="GM3422" s="73"/>
      <c r="GN3422" s="73"/>
      <c r="GO3422" s="73"/>
      <c r="GP3422" s="73"/>
      <c r="GQ3422" s="73"/>
      <c r="GR3422" s="73"/>
      <c r="GS3422" s="73"/>
      <c r="GT3422" s="73"/>
      <c r="GU3422" s="73"/>
      <c r="GV3422" s="73"/>
      <c r="GW3422" s="73"/>
      <c r="GX3422" s="73"/>
      <c r="GY3422" s="73"/>
      <c r="GZ3422" s="73"/>
      <c r="HA3422" s="73"/>
      <c r="HB3422" s="73"/>
      <c r="HC3422" s="73"/>
      <c r="HD3422" s="73"/>
      <c r="HE3422" s="73"/>
      <c r="HF3422" s="73"/>
      <c r="HG3422" s="73"/>
      <c r="HH3422" s="73"/>
      <c r="HI3422" s="73"/>
      <c r="HJ3422" s="73"/>
      <c r="HK3422" s="73"/>
      <c r="HL3422" s="73"/>
      <c r="HM3422" s="73"/>
      <c r="HN3422" s="73"/>
      <c r="HO3422" s="73"/>
      <c r="HP3422" s="73"/>
      <c r="HQ3422" s="73"/>
      <c r="HR3422" s="73"/>
      <c r="HS3422" s="73"/>
      <c r="HT3422" s="73"/>
      <c r="HU3422" s="73"/>
      <c r="HV3422" s="73"/>
      <c r="HW3422" s="73"/>
      <c r="HX3422" s="73"/>
      <c r="HY3422" s="73"/>
      <c r="HZ3422" s="73"/>
      <c r="IA3422" s="73"/>
      <c r="IB3422" s="73"/>
      <c r="IC3422" s="73"/>
      <c r="ID3422" s="73"/>
      <c r="IE3422" s="73"/>
      <c r="IF3422" s="73"/>
      <c r="IG3422" s="73"/>
      <c r="IH3422" s="73"/>
      <c r="II3422" s="73"/>
      <c r="IJ3422" s="73"/>
      <c r="IK3422" s="73"/>
      <c r="IL3422" s="73"/>
      <c r="IM3422" s="73"/>
      <c r="IN3422" s="73"/>
      <c r="IO3422" s="73"/>
      <c r="IP3422" s="73"/>
      <c r="IQ3422" s="73"/>
      <c r="IR3422" s="73"/>
      <c r="IS3422" s="73"/>
      <c r="IT3422" s="73"/>
      <c r="IU3422" s="73"/>
      <c r="IV3422" s="73"/>
      <c r="IW3422" s="73"/>
      <c r="IX3422" s="73"/>
      <c r="IY3422" s="73"/>
      <c r="IZ3422" s="73"/>
      <c r="JA3422" s="73"/>
      <c r="JB3422" s="73"/>
      <c r="JC3422" s="73"/>
    </row>
    <row r="3423" spans="2:263" s="72" customFormat="1">
      <c r="B3423" s="73"/>
      <c r="C3423" s="73"/>
      <c r="D3423" s="73"/>
      <c r="E3423" s="73"/>
      <c r="F3423" s="73"/>
      <c r="G3423" s="73"/>
      <c r="H3423" s="73"/>
      <c r="I3423" s="73"/>
      <c r="J3423" s="73"/>
      <c r="K3423" s="73"/>
      <c r="L3423" s="73"/>
      <c r="M3423" s="73"/>
      <c r="N3423" s="73"/>
      <c r="O3423" s="73"/>
      <c r="P3423" s="73"/>
      <c r="Q3423" s="73"/>
      <c r="R3423" s="73"/>
      <c r="S3423" s="73"/>
      <c r="T3423" s="73"/>
      <c r="U3423" s="73"/>
      <c r="V3423" s="73"/>
      <c r="W3423" s="73"/>
      <c r="GL3423" s="73"/>
      <c r="GM3423" s="73"/>
      <c r="GN3423" s="73"/>
      <c r="GO3423" s="73"/>
      <c r="GP3423" s="73"/>
      <c r="GQ3423" s="73"/>
      <c r="GR3423" s="73"/>
      <c r="GS3423" s="73"/>
      <c r="GT3423" s="73"/>
      <c r="GU3423" s="73"/>
      <c r="GV3423" s="73"/>
      <c r="GW3423" s="73"/>
      <c r="GX3423" s="73"/>
      <c r="GY3423" s="73"/>
      <c r="GZ3423" s="73"/>
      <c r="HA3423" s="73"/>
      <c r="HB3423" s="73"/>
      <c r="HC3423" s="73"/>
      <c r="HD3423" s="73"/>
      <c r="HE3423" s="73"/>
      <c r="HF3423" s="73"/>
      <c r="HG3423" s="73"/>
      <c r="HH3423" s="73"/>
      <c r="HI3423" s="73"/>
      <c r="HJ3423" s="73"/>
      <c r="HK3423" s="73"/>
      <c r="HL3423" s="73"/>
      <c r="HM3423" s="73"/>
      <c r="HN3423" s="73"/>
      <c r="HO3423" s="73"/>
      <c r="HP3423" s="73"/>
      <c r="HQ3423" s="73"/>
      <c r="HR3423" s="73"/>
      <c r="HS3423" s="73"/>
      <c r="HT3423" s="73"/>
      <c r="HU3423" s="73"/>
      <c r="HV3423" s="73"/>
      <c r="HW3423" s="73"/>
      <c r="HX3423" s="73"/>
      <c r="HY3423" s="73"/>
      <c r="HZ3423" s="73"/>
      <c r="IA3423" s="73"/>
      <c r="IB3423" s="73"/>
      <c r="IC3423" s="73"/>
      <c r="ID3423" s="73"/>
      <c r="IE3423" s="73"/>
      <c r="IF3423" s="73"/>
      <c r="IG3423" s="73"/>
      <c r="IH3423" s="73"/>
      <c r="II3423" s="73"/>
      <c r="IJ3423" s="73"/>
      <c r="IK3423" s="73"/>
      <c r="IL3423" s="73"/>
      <c r="IM3423" s="73"/>
      <c r="IN3423" s="73"/>
      <c r="IO3423" s="73"/>
      <c r="IP3423" s="73"/>
      <c r="IQ3423" s="73"/>
      <c r="IR3423" s="73"/>
      <c r="IS3423" s="73"/>
      <c r="IT3423" s="73"/>
      <c r="IU3423" s="73"/>
      <c r="IV3423" s="73"/>
      <c r="IW3423" s="73"/>
      <c r="IX3423" s="73"/>
      <c r="IY3423" s="73"/>
      <c r="IZ3423" s="73"/>
      <c r="JA3423" s="73"/>
      <c r="JB3423" s="73"/>
      <c r="JC3423" s="73"/>
    </row>
    <row r="3424" spans="2:263" s="72" customFormat="1">
      <c r="B3424" s="73"/>
      <c r="C3424" s="73"/>
      <c r="D3424" s="73"/>
      <c r="E3424" s="73"/>
      <c r="F3424" s="73"/>
      <c r="G3424" s="73"/>
      <c r="H3424" s="73"/>
      <c r="I3424" s="73"/>
      <c r="J3424" s="73"/>
      <c r="K3424" s="73"/>
      <c r="L3424" s="73"/>
      <c r="M3424" s="73"/>
      <c r="N3424" s="73"/>
      <c r="O3424" s="73"/>
      <c r="P3424" s="73"/>
      <c r="Q3424" s="73"/>
      <c r="R3424" s="73"/>
      <c r="S3424" s="73"/>
      <c r="T3424" s="73"/>
      <c r="U3424" s="73"/>
      <c r="V3424" s="73"/>
      <c r="W3424" s="73"/>
      <c r="GL3424" s="73"/>
      <c r="GM3424" s="73"/>
      <c r="GN3424" s="73"/>
      <c r="GO3424" s="73"/>
      <c r="GP3424" s="73"/>
      <c r="GQ3424" s="73"/>
      <c r="GR3424" s="73"/>
      <c r="GS3424" s="73"/>
      <c r="GT3424" s="73"/>
      <c r="GU3424" s="73"/>
      <c r="GV3424" s="73"/>
      <c r="GW3424" s="73"/>
      <c r="GX3424" s="73"/>
      <c r="GY3424" s="73"/>
      <c r="GZ3424" s="73"/>
      <c r="HA3424" s="73"/>
      <c r="HB3424" s="73"/>
      <c r="HC3424" s="73"/>
      <c r="HD3424" s="73"/>
      <c r="HE3424" s="73"/>
      <c r="HF3424" s="73"/>
      <c r="HG3424" s="73"/>
      <c r="HH3424" s="73"/>
      <c r="HI3424" s="73"/>
      <c r="HJ3424" s="73"/>
      <c r="HK3424" s="73"/>
      <c r="HL3424" s="73"/>
      <c r="HM3424" s="73"/>
      <c r="HN3424" s="73"/>
      <c r="HO3424" s="73"/>
      <c r="HP3424" s="73"/>
      <c r="HQ3424" s="73"/>
      <c r="HR3424" s="73"/>
      <c r="HS3424" s="73"/>
      <c r="HT3424" s="73"/>
      <c r="HU3424" s="73"/>
      <c r="HV3424" s="73"/>
      <c r="HW3424" s="73"/>
      <c r="HX3424" s="73"/>
      <c r="HY3424" s="73"/>
      <c r="HZ3424" s="73"/>
      <c r="IA3424" s="73"/>
      <c r="IB3424" s="73"/>
      <c r="IC3424" s="73"/>
      <c r="ID3424" s="73"/>
      <c r="IE3424" s="73"/>
      <c r="IF3424" s="73"/>
      <c r="IG3424" s="73"/>
      <c r="IH3424" s="73"/>
      <c r="II3424" s="73"/>
      <c r="IJ3424" s="73"/>
      <c r="IK3424" s="73"/>
      <c r="IL3424" s="73"/>
      <c r="IM3424" s="73"/>
      <c r="IN3424" s="73"/>
      <c r="IO3424" s="73"/>
      <c r="IP3424" s="73"/>
      <c r="IQ3424" s="73"/>
      <c r="IR3424" s="73"/>
      <c r="IS3424" s="73"/>
      <c r="IT3424" s="73"/>
      <c r="IU3424" s="73"/>
      <c r="IV3424" s="73"/>
      <c r="IW3424" s="73"/>
      <c r="IX3424" s="73"/>
      <c r="IY3424" s="73"/>
      <c r="IZ3424" s="73"/>
      <c r="JA3424" s="73"/>
      <c r="JB3424" s="73"/>
      <c r="JC3424" s="73"/>
    </row>
    <row r="3425" spans="2:263" s="72" customFormat="1">
      <c r="B3425" s="73"/>
      <c r="C3425" s="73"/>
      <c r="D3425" s="73"/>
      <c r="E3425" s="73"/>
      <c r="F3425" s="73"/>
      <c r="G3425" s="73"/>
      <c r="H3425" s="73"/>
      <c r="I3425" s="73"/>
      <c r="J3425" s="73"/>
      <c r="K3425" s="73"/>
      <c r="L3425" s="73"/>
      <c r="M3425" s="73"/>
      <c r="N3425" s="73"/>
      <c r="O3425" s="73"/>
      <c r="P3425" s="73"/>
      <c r="Q3425" s="73"/>
      <c r="R3425" s="73"/>
      <c r="S3425" s="73"/>
      <c r="T3425" s="73"/>
      <c r="U3425" s="73"/>
      <c r="V3425" s="73"/>
      <c r="W3425" s="73"/>
      <c r="GL3425" s="73"/>
      <c r="GM3425" s="73"/>
      <c r="GN3425" s="73"/>
      <c r="GO3425" s="73"/>
      <c r="GP3425" s="73"/>
      <c r="GQ3425" s="73"/>
      <c r="GR3425" s="73"/>
      <c r="GS3425" s="73"/>
      <c r="GT3425" s="73"/>
      <c r="GU3425" s="73"/>
      <c r="GV3425" s="73"/>
      <c r="GW3425" s="73"/>
      <c r="GX3425" s="73"/>
      <c r="GY3425" s="73"/>
      <c r="GZ3425" s="73"/>
      <c r="HA3425" s="73"/>
      <c r="HB3425" s="73"/>
      <c r="HC3425" s="73"/>
      <c r="HD3425" s="73"/>
      <c r="HE3425" s="73"/>
      <c r="HF3425" s="73"/>
      <c r="HG3425" s="73"/>
      <c r="HH3425" s="73"/>
      <c r="HI3425" s="73"/>
      <c r="HJ3425" s="73"/>
      <c r="HK3425" s="73"/>
      <c r="HL3425" s="73"/>
      <c r="HM3425" s="73"/>
      <c r="HN3425" s="73"/>
      <c r="HO3425" s="73"/>
      <c r="HP3425" s="73"/>
      <c r="HQ3425" s="73"/>
      <c r="HR3425" s="73"/>
      <c r="HS3425" s="73"/>
      <c r="HT3425" s="73"/>
      <c r="HU3425" s="73"/>
      <c r="HV3425" s="73"/>
      <c r="HW3425" s="73"/>
      <c r="HX3425" s="73"/>
      <c r="HY3425" s="73"/>
      <c r="HZ3425" s="73"/>
      <c r="IA3425" s="73"/>
      <c r="IB3425" s="73"/>
      <c r="IC3425" s="73"/>
      <c r="ID3425" s="73"/>
      <c r="IE3425" s="73"/>
      <c r="IF3425" s="73"/>
      <c r="IG3425" s="73"/>
      <c r="IH3425" s="73"/>
      <c r="II3425" s="73"/>
      <c r="IJ3425" s="73"/>
      <c r="IK3425" s="73"/>
      <c r="IL3425" s="73"/>
      <c r="IM3425" s="73"/>
      <c r="IN3425" s="73"/>
      <c r="IO3425" s="73"/>
      <c r="IP3425" s="73"/>
      <c r="IQ3425" s="73"/>
      <c r="IR3425" s="73"/>
      <c r="IS3425" s="73"/>
      <c r="IT3425" s="73"/>
      <c r="IU3425" s="73"/>
      <c r="IV3425" s="73"/>
      <c r="IW3425" s="73"/>
      <c r="IX3425" s="73"/>
      <c r="IY3425" s="73"/>
      <c r="IZ3425" s="73"/>
      <c r="JA3425" s="73"/>
      <c r="JB3425" s="73"/>
      <c r="JC3425" s="73"/>
    </row>
    <row r="3426" spans="2:263" s="72" customFormat="1">
      <c r="B3426" s="73"/>
      <c r="C3426" s="73"/>
      <c r="D3426" s="73"/>
      <c r="E3426" s="73"/>
      <c r="F3426" s="73"/>
      <c r="G3426" s="73"/>
      <c r="H3426" s="73"/>
      <c r="I3426" s="73"/>
      <c r="J3426" s="73"/>
      <c r="K3426" s="73"/>
      <c r="L3426" s="73"/>
      <c r="M3426" s="73"/>
      <c r="N3426" s="73"/>
      <c r="O3426" s="73"/>
      <c r="P3426" s="73"/>
      <c r="Q3426" s="73"/>
      <c r="R3426" s="73"/>
      <c r="S3426" s="73"/>
      <c r="T3426" s="73"/>
      <c r="U3426" s="73"/>
      <c r="V3426" s="73"/>
      <c r="W3426" s="73"/>
      <c r="GL3426" s="73"/>
      <c r="GM3426" s="73"/>
      <c r="GN3426" s="73"/>
      <c r="GO3426" s="73"/>
      <c r="GP3426" s="73"/>
      <c r="GQ3426" s="73"/>
      <c r="GR3426" s="73"/>
      <c r="GS3426" s="73"/>
      <c r="GT3426" s="73"/>
      <c r="GU3426" s="73"/>
      <c r="GV3426" s="73"/>
      <c r="GW3426" s="73"/>
      <c r="GX3426" s="73"/>
      <c r="GY3426" s="73"/>
      <c r="GZ3426" s="73"/>
      <c r="HA3426" s="73"/>
      <c r="HB3426" s="73"/>
      <c r="HC3426" s="73"/>
      <c r="HD3426" s="73"/>
      <c r="HE3426" s="73"/>
      <c r="HF3426" s="73"/>
      <c r="HG3426" s="73"/>
      <c r="HH3426" s="73"/>
      <c r="HI3426" s="73"/>
      <c r="HJ3426" s="73"/>
      <c r="HK3426" s="73"/>
      <c r="HL3426" s="73"/>
      <c r="HM3426" s="73"/>
      <c r="HN3426" s="73"/>
      <c r="HO3426" s="73"/>
      <c r="HP3426" s="73"/>
      <c r="HQ3426" s="73"/>
      <c r="HR3426" s="73"/>
      <c r="HS3426" s="73"/>
      <c r="HT3426" s="73"/>
      <c r="HU3426" s="73"/>
      <c r="HV3426" s="73"/>
      <c r="HW3426" s="73"/>
      <c r="HX3426" s="73"/>
      <c r="HY3426" s="73"/>
      <c r="HZ3426" s="73"/>
      <c r="IA3426" s="73"/>
      <c r="IB3426" s="73"/>
      <c r="IC3426" s="73"/>
      <c r="ID3426" s="73"/>
      <c r="IE3426" s="73"/>
      <c r="IF3426" s="73"/>
      <c r="IG3426" s="73"/>
      <c r="IH3426" s="73"/>
      <c r="II3426" s="73"/>
      <c r="IJ3426" s="73"/>
      <c r="IK3426" s="73"/>
      <c r="IL3426" s="73"/>
      <c r="IM3426" s="73"/>
      <c r="IN3426" s="73"/>
      <c r="IO3426" s="73"/>
      <c r="IP3426" s="73"/>
      <c r="IQ3426" s="73"/>
      <c r="IR3426" s="73"/>
      <c r="IS3426" s="73"/>
      <c r="IT3426" s="73"/>
      <c r="IU3426" s="73"/>
      <c r="IV3426" s="73"/>
      <c r="IW3426" s="73"/>
      <c r="IX3426" s="73"/>
      <c r="IY3426" s="73"/>
      <c r="IZ3426" s="73"/>
      <c r="JA3426" s="73"/>
      <c r="JB3426" s="73"/>
      <c r="JC3426" s="73"/>
    </row>
    <row r="3427" spans="2:263" s="72" customFormat="1">
      <c r="B3427" s="73"/>
      <c r="C3427" s="73"/>
      <c r="D3427" s="73"/>
      <c r="E3427" s="73"/>
      <c r="F3427" s="73"/>
      <c r="G3427" s="73"/>
      <c r="H3427" s="73"/>
      <c r="I3427" s="73"/>
      <c r="J3427" s="73"/>
      <c r="K3427" s="73"/>
      <c r="L3427" s="73"/>
      <c r="M3427" s="73"/>
      <c r="N3427" s="73"/>
      <c r="O3427" s="73"/>
      <c r="P3427" s="73"/>
      <c r="Q3427" s="73"/>
      <c r="R3427" s="73"/>
      <c r="S3427" s="73"/>
      <c r="T3427" s="73"/>
      <c r="U3427" s="73"/>
      <c r="V3427" s="73"/>
      <c r="W3427" s="73"/>
      <c r="GL3427" s="73"/>
      <c r="GM3427" s="73"/>
      <c r="GN3427" s="73"/>
      <c r="GO3427" s="73"/>
      <c r="GP3427" s="73"/>
      <c r="GQ3427" s="73"/>
      <c r="GR3427" s="73"/>
      <c r="GS3427" s="73"/>
      <c r="GT3427" s="73"/>
      <c r="GU3427" s="73"/>
      <c r="GV3427" s="73"/>
      <c r="GW3427" s="73"/>
      <c r="GX3427" s="73"/>
      <c r="GY3427" s="73"/>
      <c r="GZ3427" s="73"/>
      <c r="HA3427" s="73"/>
      <c r="HB3427" s="73"/>
      <c r="HC3427" s="73"/>
      <c r="HD3427" s="73"/>
      <c r="HE3427" s="73"/>
      <c r="HF3427" s="73"/>
      <c r="HG3427" s="73"/>
      <c r="HH3427" s="73"/>
      <c r="HI3427" s="73"/>
      <c r="HJ3427" s="73"/>
      <c r="HK3427" s="73"/>
      <c r="HL3427" s="73"/>
      <c r="HM3427" s="73"/>
      <c r="HN3427" s="73"/>
      <c r="HO3427" s="73"/>
      <c r="HP3427" s="73"/>
      <c r="HQ3427" s="73"/>
      <c r="HR3427" s="73"/>
      <c r="HS3427" s="73"/>
      <c r="HT3427" s="73"/>
      <c r="HU3427" s="73"/>
      <c r="HV3427" s="73"/>
      <c r="HW3427" s="73"/>
      <c r="HX3427" s="73"/>
      <c r="HY3427" s="73"/>
      <c r="HZ3427" s="73"/>
      <c r="IA3427" s="73"/>
      <c r="IB3427" s="73"/>
      <c r="IC3427" s="73"/>
      <c r="ID3427" s="73"/>
      <c r="IE3427" s="73"/>
      <c r="IF3427" s="73"/>
      <c r="IG3427" s="73"/>
      <c r="IH3427" s="73"/>
      <c r="II3427" s="73"/>
      <c r="IJ3427" s="73"/>
      <c r="IK3427" s="73"/>
      <c r="IL3427" s="73"/>
      <c r="IM3427" s="73"/>
      <c r="IN3427" s="73"/>
      <c r="IO3427" s="73"/>
      <c r="IP3427" s="73"/>
      <c r="IQ3427" s="73"/>
      <c r="IR3427" s="73"/>
      <c r="IS3427" s="73"/>
      <c r="IT3427" s="73"/>
      <c r="IU3427" s="73"/>
      <c r="IV3427" s="73"/>
      <c r="IW3427" s="73"/>
      <c r="IX3427" s="73"/>
      <c r="IY3427" s="73"/>
      <c r="IZ3427" s="73"/>
      <c r="JA3427" s="73"/>
      <c r="JB3427" s="73"/>
      <c r="JC3427" s="73"/>
    </row>
    <row r="3428" spans="2:263" s="72" customFormat="1">
      <c r="B3428" s="73"/>
      <c r="C3428" s="73"/>
      <c r="D3428" s="73"/>
      <c r="E3428" s="73"/>
      <c r="F3428" s="73"/>
      <c r="G3428" s="73"/>
      <c r="H3428" s="73"/>
      <c r="I3428" s="73"/>
      <c r="J3428" s="73"/>
      <c r="K3428" s="73"/>
      <c r="L3428" s="73"/>
      <c r="M3428" s="73"/>
      <c r="N3428" s="73"/>
      <c r="O3428" s="73"/>
      <c r="P3428" s="73"/>
      <c r="Q3428" s="73"/>
      <c r="R3428" s="73"/>
      <c r="S3428" s="73"/>
      <c r="T3428" s="73"/>
      <c r="U3428" s="73"/>
      <c r="V3428" s="73"/>
      <c r="W3428" s="73"/>
      <c r="GL3428" s="73"/>
      <c r="GM3428" s="73"/>
      <c r="GN3428" s="73"/>
      <c r="GO3428" s="73"/>
      <c r="GP3428" s="73"/>
      <c r="GQ3428" s="73"/>
      <c r="GR3428" s="73"/>
      <c r="GS3428" s="73"/>
      <c r="GT3428" s="73"/>
      <c r="GU3428" s="73"/>
      <c r="GV3428" s="73"/>
      <c r="GW3428" s="73"/>
      <c r="GX3428" s="73"/>
      <c r="GY3428" s="73"/>
      <c r="GZ3428" s="73"/>
      <c r="HA3428" s="73"/>
      <c r="HB3428" s="73"/>
      <c r="HC3428" s="73"/>
      <c r="HD3428" s="73"/>
      <c r="HE3428" s="73"/>
      <c r="HF3428" s="73"/>
      <c r="HG3428" s="73"/>
      <c r="HH3428" s="73"/>
      <c r="HI3428" s="73"/>
      <c r="HJ3428" s="73"/>
      <c r="HK3428" s="73"/>
      <c r="HL3428" s="73"/>
      <c r="HM3428" s="73"/>
      <c r="HN3428" s="73"/>
      <c r="HO3428" s="73"/>
      <c r="HP3428" s="73"/>
      <c r="HQ3428" s="73"/>
      <c r="HR3428" s="73"/>
      <c r="HS3428" s="73"/>
      <c r="HT3428" s="73"/>
      <c r="HU3428" s="73"/>
      <c r="HV3428" s="73"/>
      <c r="HW3428" s="73"/>
      <c r="HX3428" s="73"/>
      <c r="HY3428" s="73"/>
      <c r="HZ3428" s="73"/>
      <c r="IA3428" s="73"/>
      <c r="IB3428" s="73"/>
      <c r="IC3428" s="73"/>
      <c r="ID3428" s="73"/>
      <c r="IE3428" s="73"/>
      <c r="IF3428" s="73"/>
      <c r="IG3428" s="73"/>
      <c r="IH3428" s="73"/>
      <c r="II3428" s="73"/>
      <c r="IJ3428" s="73"/>
      <c r="IK3428" s="73"/>
      <c r="IL3428" s="73"/>
      <c r="IM3428" s="73"/>
      <c r="IN3428" s="73"/>
      <c r="IO3428" s="73"/>
      <c r="IP3428" s="73"/>
      <c r="IQ3428" s="73"/>
      <c r="IR3428" s="73"/>
      <c r="IS3428" s="73"/>
      <c r="IT3428" s="73"/>
      <c r="IU3428" s="73"/>
      <c r="IV3428" s="73"/>
      <c r="IW3428" s="73"/>
      <c r="IX3428" s="73"/>
      <c r="IY3428" s="73"/>
      <c r="IZ3428" s="73"/>
      <c r="JA3428" s="73"/>
      <c r="JB3428" s="73"/>
      <c r="JC3428" s="73"/>
    </row>
    <row r="3429" spans="2:263" s="72" customFormat="1">
      <c r="B3429" s="73"/>
      <c r="C3429" s="73"/>
      <c r="D3429" s="73"/>
      <c r="E3429" s="73"/>
      <c r="F3429" s="73"/>
      <c r="G3429" s="73"/>
      <c r="H3429" s="73"/>
      <c r="I3429" s="73"/>
      <c r="J3429" s="73"/>
      <c r="K3429" s="73"/>
      <c r="L3429" s="73"/>
      <c r="M3429" s="73"/>
      <c r="N3429" s="73"/>
      <c r="O3429" s="73"/>
      <c r="P3429" s="73"/>
      <c r="Q3429" s="73"/>
      <c r="R3429" s="73"/>
      <c r="S3429" s="73"/>
      <c r="T3429" s="73"/>
      <c r="U3429" s="73"/>
      <c r="V3429" s="73"/>
      <c r="W3429" s="73"/>
      <c r="GL3429" s="73"/>
      <c r="GM3429" s="73"/>
      <c r="GN3429" s="73"/>
      <c r="GO3429" s="73"/>
      <c r="GP3429" s="73"/>
      <c r="GQ3429" s="73"/>
      <c r="GR3429" s="73"/>
      <c r="GS3429" s="73"/>
      <c r="GT3429" s="73"/>
      <c r="GU3429" s="73"/>
      <c r="GV3429" s="73"/>
      <c r="GW3429" s="73"/>
      <c r="GX3429" s="73"/>
      <c r="GY3429" s="73"/>
      <c r="GZ3429" s="73"/>
      <c r="HA3429" s="73"/>
      <c r="HB3429" s="73"/>
      <c r="HC3429" s="73"/>
      <c r="HD3429" s="73"/>
      <c r="HE3429" s="73"/>
      <c r="HF3429" s="73"/>
      <c r="HG3429" s="73"/>
      <c r="HH3429" s="73"/>
      <c r="HI3429" s="73"/>
      <c r="HJ3429" s="73"/>
      <c r="HK3429" s="73"/>
      <c r="HL3429" s="73"/>
      <c r="HM3429" s="73"/>
      <c r="HN3429" s="73"/>
      <c r="HO3429" s="73"/>
      <c r="HP3429" s="73"/>
      <c r="HQ3429" s="73"/>
      <c r="HR3429" s="73"/>
      <c r="HS3429" s="73"/>
      <c r="HT3429" s="73"/>
      <c r="HU3429" s="73"/>
      <c r="HV3429" s="73"/>
      <c r="HW3429" s="73"/>
      <c r="HX3429" s="73"/>
      <c r="HY3429" s="73"/>
      <c r="HZ3429" s="73"/>
      <c r="IA3429" s="73"/>
      <c r="IB3429" s="73"/>
      <c r="IC3429" s="73"/>
      <c r="ID3429" s="73"/>
      <c r="IE3429" s="73"/>
      <c r="IF3429" s="73"/>
      <c r="IG3429" s="73"/>
      <c r="IH3429" s="73"/>
      <c r="II3429" s="73"/>
      <c r="IJ3429" s="73"/>
      <c r="IK3429" s="73"/>
      <c r="IL3429" s="73"/>
      <c r="IM3429" s="73"/>
      <c r="IN3429" s="73"/>
      <c r="IO3429" s="73"/>
      <c r="IP3429" s="73"/>
      <c r="IQ3429" s="73"/>
      <c r="IR3429" s="73"/>
      <c r="IS3429" s="73"/>
      <c r="IT3429" s="73"/>
      <c r="IU3429" s="73"/>
      <c r="IV3429" s="73"/>
      <c r="IW3429" s="73"/>
      <c r="IX3429" s="73"/>
      <c r="IY3429" s="73"/>
      <c r="IZ3429" s="73"/>
      <c r="JA3429" s="73"/>
      <c r="JB3429" s="73"/>
      <c r="JC3429" s="73"/>
    </row>
    <row r="3430" spans="2:263" s="72" customFormat="1">
      <c r="B3430" s="73"/>
      <c r="C3430" s="73"/>
      <c r="D3430" s="73"/>
      <c r="E3430" s="73"/>
      <c r="F3430" s="73"/>
      <c r="G3430" s="73"/>
      <c r="H3430" s="73"/>
      <c r="I3430" s="73"/>
      <c r="J3430" s="73"/>
      <c r="K3430" s="73"/>
      <c r="L3430" s="73"/>
      <c r="M3430" s="73"/>
      <c r="N3430" s="73"/>
      <c r="O3430" s="73"/>
      <c r="P3430" s="73"/>
      <c r="Q3430" s="73"/>
      <c r="R3430" s="73"/>
      <c r="S3430" s="73"/>
      <c r="T3430" s="73"/>
      <c r="U3430" s="73"/>
      <c r="V3430" s="73"/>
      <c r="W3430" s="73"/>
      <c r="GL3430" s="73"/>
      <c r="GM3430" s="73"/>
      <c r="GN3430" s="73"/>
      <c r="GO3430" s="73"/>
      <c r="GP3430" s="73"/>
      <c r="GQ3430" s="73"/>
      <c r="GR3430" s="73"/>
      <c r="GS3430" s="73"/>
      <c r="GT3430" s="73"/>
      <c r="GU3430" s="73"/>
      <c r="GV3430" s="73"/>
      <c r="GW3430" s="73"/>
      <c r="GX3430" s="73"/>
      <c r="GY3430" s="73"/>
      <c r="GZ3430" s="73"/>
      <c r="HA3430" s="73"/>
      <c r="HB3430" s="73"/>
      <c r="HC3430" s="73"/>
      <c r="HD3430" s="73"/>
      <c r="HE3430" s="73"/>
      <c r="HF3430" s="73"/>
      <c r="HG3430" s="73"/>
      <c r="HH3430" s="73"/>
      <c r="HI3430" s="73"/>
      <c r="HJ3430" s="73"/>
      <c r="HK3430" s="73"/>
      <c r="HL3430" s="73"/>
      <c r="HM3430" s="73"/>
      <c r="HN3430" s="73"/>
      <c r="HO3430" s="73"/>
      <c r="HP3430" s="73"/>
      <c r="HQ3430" s="73"/>
      <c r="HR3430" s="73"/>
      <c r="HS3430" s="73"/>
      <c r="HT3430" s="73"/>
      <c r="HU3430" s="73"/>
      <c r="HV3430" s="73"/>
      <c r="HW3430" s="73"/>
      <c r="HX3430" s="73"/>
      <c r="HY3430" s="73"/>
      <c r="HZ3430" s="73"/>
      <c r="IA3430" s="73"/>
      <c r="IB3430" s="73"/>
      <c r="IC3430" s="73"/>
      <c r="ID3430" s="73"/>
      <c r="IE3430" s="73"/>
      <c r="IF3430" s="73"/>
      <c r="IG3430" s="73"/>
      <c r="IH3430" s="73"/>
      <c r="II3430" s="73"/>
      <c r="IJ3430" s="73"/>
      <c r="IK3430" s="73"/>
      <c r="IL3430" s="73"/>
      <c r="IM3430" s="73"/>
      <c r="IN3430" s="73"/>
      <c r="IO3430" s="73"/>
      <c r="IP3430" s="73"/>
      <c r="IQ3430" s="73"/>
      <c r="IR3430" s="73"/>
      <c r="IS3430" s="73"/>
      <c r="IT3430" s="73"/>
      <c r="IU3430" s="73"/>
      <c r="IV3430" s="73"/>
      <c r="IW3430" s="73"/>
      <c r="IX3430" s="73"/>
      <c r="IY3430" s="73"/>
      <c r="IZ3430" s="73"/>
      <c r="JA3430" s="73"/>
      <c r="JB3430" s="73"/>
      <c r="JC3430" s="73"/>
    </row>
    <row r="3431" spans="2:263" s="72" customFormat="1">
      <c r="B3431" s="73"/>
      <c r="C3431" s="73"/>
      <c r="D3431" s="73"/>
      <c r="E3431" s="73"/>
      <c r="F3431" s="73"/>
      <c r="G3431" s="73"/>
      <c r="H3431" s="73"/>
      <c r="I3431" s="73"/>
      <c r="J3431" s="73"/>
      <c r="K3431" s="73"/>
      <c r="L3431" s="73"/>
      <c r="M3431" s="73"/>
      <c r="N3431" s="73"/>
      <c r="O3431" s="73"/>
      <c r="P3431" s="73"/>
      <c r="Q3431" s="73"/>
      <c r="R3431" s="73"/>
      <c r="S3431" s="73"/>
      <c r="T3431" s="73"/>
      <c r="U3431" s="73"/>
      <c r="V3431" s="73"/>
      <c r="W3431" s="73"/>
      <c r="GL3431" s="73"/>
      <c r="GM3431" s="73"/>
      <c r="GN3431" s="73"/>
      <c r="GO3431" s="73"/>
      <c r="GP3431" s="73"/>
      <c r="GQ3431" s="73"/>
      <c r="GR3431" s="73"/>
      <c r="GS3431" s="73"/>
      <c r="GT3431" s="73"/>
      <c r="GU3431" s="73"/>
      <c r="GV3431" s="73"/>
      <c r="GW3431" s="73"/>
      <c r="GX3431" s="73"/>
      <c r="GY3431" s="73"/>
      <c r="GZ3431" s="73"/>
      <c r="HA3431" s="73"/>
      <c r="HB3431" s="73"/>
      <c r="HC3431" s="73"/>
      <c r="HD3431" s="73"/>
      <c r="HE3431" s="73"/>
      <c r="HF3431" s="73"/>
      <c r="HG3431" s="73"/>
      <c r="HH3431" s="73"/>
      <c r="HI3431" s="73"/>
      <c r="HJ3431" s="73"/>
      <c r="HK3431" s="73"/>
      <c r="HL3431" s="73"/>
      <c r="HM3431" s="73"/>
      <c r="HN3431" s="73"/>
      <c r="HO3431" s="73"/>
      <c r="HP3431" s="73"/>
      <c r="HQ3431" s="73"/>
      <c r="HR3431" s="73"/>
      <c r="HS3431" s="73"/>
      <c r="HT3431" s="73"/>
      <c r="HU3431" s="73"/>
      <c r="HV3431" s="73"/>
      <c r="HW3431" s="73"/>
      <c r="HX3431" s="73"/>
      <c r="HY3431" s="73"/>
      <c r="HZ3431" s="73"/>
      <c r="IA3431" s="73"/>
      <c r="IB3431" s="73"/>
      <c r="IC3431" s="73"/>
      <c r="ID3431" s="73"/>
      <c r="IE3431" s="73"/>
      <c r="IF3431" s="73"/>
      <c r="IG3431" s="73"/>
      <c r="IH3431" s="73"/>
      <c r="II3431" s="73"/>
      <c r="IJ3431" s="73"/>
      <c r="IK3431" s="73"/>
      <c r="IL3431" s="73"/>
      <c r="IM3431" s="73"/>
      <c r="IN3431" s="73"/>
      <c r="IO3431" s="73"/>
      <c r="IP3431" s="73"/>
      <c r="IQ3431" s="73"/>
      <c r="IR3431" s="73"/>
      <c r="IS3431" s="73"/>
      <c r="IT3431" s="73"/>
      <c r="IU3431" s="73"/>
      <c r="IV3431" s="73"/>
      <c r="IW3431" s="73"/>
      <c r="IX3431" s="73"/>
      <c r="IY3431" s="73"/>
      <c r="IZ3431" s="73"/>
      <c r="JA3431" s="73"/>
      <c r="JB3431" s="73"/>
      <c r="JC3431" s="73"/>
    </row>
    <row r="3432" spans="2:263" s="72" customFormat="1">
      <c r="B3432" s="73"/>
      <c r="C3432" s="73"/>
      <c r="D3432" s="73"/>
      <c r="E3432" s="73"/>
      <c r="F3432" s="73"/>
      <c r="G3432" s="73"/>
      <c r="H3432" s="73"/>
      <c r="I3432" s="73"/>
      <c r="J3432" s="73"/>
      <c r="K3432" s="73"/>
      <c r="L3432" s="73"/>
      <c r="M3432" s="73"/>
      <c r="N3432" s="73"/>
      <c r="O3432" s="73"/>
      <c r="P3432" s="73"/>
      <c r="Q3432" s="73"/>
      <c r="R3432" s="73"/>
      <c r="S3432" s="73"/>
      <c r="T3432" s="73"/>
      <c r="U3432" s="73"/>
      <c r="V3432" s="73"/>
      <c r="W3432" s="73"/>
      <c r="GL3432" s="73"/>
      <c r="GM3432" s="73"/>
      <c r="GN3432" s="73"/>
      <c r="GO3432" s="73"/>
      <c r="GP3432" s="73"/>
      <c r="GQ3432" s="73"/>
      <c r="GR3432" s="73"/>
      <c r="GS3432" s="73"/>
      <c r="GT3432" s="73"/>
      <c r="GU3432" s="73"/>
      <c r="GV3432" s="73"/>
      <c r="GW3432" s="73"/>
      <c r="GX3432" s="73"/>
      <c r="GY3432" s="73"/>
      <c r="GZ3432" s="73"/>
      <c r="HA3432" s="73"/>
      <c r="HB3432" s="73"/>
      <c r="HC3432" s="73"/>
      <c r="HD3432" s="73"/>
      <c r="HE3432" s="73"/>
      <c r="HF3432" s="73"/>
      <c r="HG3432" s="73"/>
      <c r="HH3432" s="73"/>
      <c r="HI3432" s="73"/>
      <c r="HJ3432" s="73"/>
      <c r="HK3432" s="73"/>
      <c r="HL3432" s="73"/>
      <c r="HM3432" s="73"/>
      <c r="HN3432" s="73"/>
      <c r="HO3432" s="73"/>
      <c r="HP3432" s="73"/>
      <c r="HQ3432" s="73"/>
      <c r="HR3432" s="73"/>
      <c r="HS3432" s="73"/>
      <c r="HT3432" s="73"/>
      <c r="HU3432" s="73"/>
      <c r="HV3432" s="73"/>
      <c r="HW3432" s="73"/>
      <c r="HX3432" s="73"/>
      <c r="HY3432" s="73"/>
      <c r="HZ3432" s="73"/>
      <c r="IA3432" s="73"/>
      <c r="IB3432" s="73"/>
      <c r="IC3432" s="73"/>
      <c r="ID3432" s="73"/>
      <c r="IE3432" s="73"/>
      <c r="IF3432" s="73"/>
      <c r="IG3432" s="73"/>
      <c r="IH3432" s="73"/>
      <c r="II3432" s="73"/>
      <c r="IJ3432" s="73"/>
      <c r="IK3432" s="73"/>
      <c r="IL3432" s="73"/>
      <c r="IM3432" s="73"/>
      <c r="IN3432" s="73"/>
      <c r="IO3432" s="73"/>
      <c r="IP3432" s="73"/>
      <c r="IQ3432" s="73"/>
      <c r="IR3432" s="73"/>
      <c r="IS3432" s="73"/>
      <c r="IT3432" s="73"/>
      <c r="IU3432" s="73"/>
      <c r="IV3432" s="73"/>
      <c r="IW3432" s="73"/>
      <c r="IX3432" s="73"/>
      <c r="IY3432" s="73"/>
      <c r="IZ3432" s="73"/>
      <c r="JA3432" s="73"/>
      <c r="JB3432" s="73"/>
      <c r="JC3432" s="73"/>
    </row>
    <row r="3433" spans="2:263" s="72" customFormat="1">
      <c r="B3433" s="73"/>
      <c r="C3433" s="73"/>
      <c r="D3433" s="73"/>
      <c r="E3433" s="73"/>
      <c r="F3433" s="73"/>
      <c r="G3433" s="73"/>
      <c r="H3433" s="73"/>
      <c r="I3433" s="73"/>
      <c r="J3433" s="73"/>
      <c r="K3433" s="73"/>
      <c r="L3433" s="73"/>
      <c r="M3433" s="73"/>
      <c r="N3433" s="73"/>
      <c r="O3433" s="73"/>
      <c r="P3433" s="73"/>
      <c r="Q3433" s="73"/>
      <c r="R3433" s="73"/>
      <c r="S3433" s="73"/>
      <c r="T3433" s="73"/>
      <c r="U3433" s="73"/>
      <c r="V3433" s="73"/>
      <c r="W3433" s="73"/>
      <c r="GL3433" s="73"/>
      <c r="GM3433" s="73"/>
      <c r="GN3433" s="73"/>
      <c r="GO3433" s="73"/>
      <c r="GP3433" s="73"/>
      <c r="GQ3433" s="73"/>
      <c r="GR3433" s="73"/>
      <c r="GS3433" s="73"/>
      <c r="GT3433" s="73"/>
      <c r="GU3433" s="73"/>
      <c r="GV3433" s="73"/>
      <c r="GW3433" s="73"/>
      <c r="GX3433" s="73"/>
      <c r="GY3433" s="73"/>
      <c r="GZ3433" s="73"/>
      <c r="HA3433" s="73"/>
      <c r="HB3433" s="73"/>
      <c r="HC3433" s="73"/>
      <c r="HD3433" s="73"/>
      <c r="HE3433" s="73"/>
      <c r="HF3433" s="73"/>
      <c r="HG3433" s="73"/>
      <c r="HH3433" s="73"/>
      <c r="HI3433" s="73"/>
      <c r="HJ3433" s="73"/>
      <c r="HK3433" s="73"/>
      <c r="HL3433" s="73"/>
      <c r="HM3433" s="73"/>
      <c r="HN3433" s="73"/>
      <c r="HO3433" s="73"/>
      <c r="HP3433" s="73"/>
      <c r="HQ3433" s="73"/>
      <c r="HR3433" s="73"/>
      <c r="HS3433" s="73"/>
      <c r="HT3433" s="73"/>
      <c r="HU3433" s="73"/>
      <c r="HV3433" s="73"/>
      <c r="HW3433" s="73"/>
      <c r="HX3433" s="73"/>
      <c r="HY3433" s="73"/>
      <c r="HZ3433" s="73"/>
      <c r="IA3433" s="73"/>
      <c r="IB3433" s="73"/>
      <c r="IC3433" s="73"/>
      <c r="ID3433" s="73"/>
      <c r="IE3433" s="73"/>
      <c r="IF3433" s="73"/>
      <c r="IG3433" s="73"/>
      <c r="IH3433" s="73"/>
      <c r="II3433" s="73"/>
      <c r="IJ3433" s="73"/>
      <c r="IK3433" s="73"/>
      <c r="IL3433" s="73"/>
      <c r="IM3433" s="73"/>
      <c r="IN3433" s="73"/>
      <c r="IO3433" s="73"/>
      <c r="IP3433" s="73"/>
      <c r="IQ3433" s="73"/>
      <c r="IR3433" s="73"/>
      <c r="IS3433" s="73"/>
      <c r="IT3433" s="73"/>
      <c r="IU3433" s="73"/>
      <c r="IV3433" s="73"/>
      <c r="IW3433" s="73"/>
      <c r="IX3433" s="73"/>
      <c r="IY3433" s="73"/>
      <c r="IZ3433" s="73"/>
      <c r="JA3433" s="73"/>
      <c r="JB3433" s="73"/>
      <c r="JC3433" s="73"/>
    </row>
    <row r="3434" spans="2:263" s="72" customFormat="1">
      <c r="B3434" s="73"/>
      <c r="C3434" s="73"/>
      <c r="D3434" s="73"/>
      <c r="E3434" s="73"/>
      <c r="F3434" s="73"/>
      <c r="G3434" s="73"/>
      <c r="H3434" s="73"/>
      <c r="I3434" s="73"/>
      <c r="J3434" s="73"/>
      <c r="K3434" s="73"/>
      <c r="L3434" s="73"/>
      <c r="M3434" s="73"/>
      <c r="N3434" s="73"/>
      <c r="O3434" s="73"/>
      <c r="P3434" s="73"/>
      <c r="Q3434" s="73"/>
      <c r="R3434" s="73"/>
      <c r="S3434" s="73"/>
      <c r="T3434" s="73"/>
      <c r="U3434" s="73"/>
      <c r="V3434" s="73"/>
      <c r="W3434" s="73"/>
      <c r="GL3434" s="73"/>
      <c r="GM3434" s="73"/>
      <c r="GN3434" s="73"/>
      <c r="GO3434" s="73"/>
      <c r="GP3434" s="73"/>
      <c r="GQ3434" s="73"/>
      <c r="GR3434" s="73"/>
      <c r="GS3434" s="73"/>
      <c r="GT3434" s="73"/>
      <c r="GU3434" s="73"/>
      <c r="GV3434" s="73"/>
      <c r="GW3434" s="73"/>
      <c r="GX3434" s="73"/>
      <c r="GY3434" s="73"/>
      <c r="GZ3434" s="73"/>
      <c r="HA3434" s="73"/>
      <c r="HB3434" s="73"/>
      <c r="HC3434" s="73"/>
      <c r="HD3434" s="73"/>
      <c r="HE3434" s="73"/>
      <c r="HF3434" s="73"/>
      <c r="HG3434" s="73"/>
      <c r="HH3434" s="73"/>
      <c r="HI3434" s="73"/>
      <c r="HJ3434" s="73"/>
      <c r="HK3434" s="73"/>
      <c r="HL3434" s="73"/>
      <c r="HM3434" s="73"/>
      <c r="HN3434" s="73"/>
      <c r="HO3434" s="73"/>
      <c r="HP3434" s="73"/>
      <c r="HQ3434" s="73"/>
      <c r="HR3434" s="73"/>
      <c r="HS3434" s="73"/>
      <c r="HT3434" s="73"/>
      <c r="HU3434" s="73"/>
      <c r="HV3434" s="73"/>
      <c r="HW3434" s="73"/>
      <c r="HX3434" s="73"/>
      <c r="HY3434" s="73"/>
      <c r="HZ3434" s="73"/>
      <c r="IA3434" s="73"/>
      <c r="IB3434" s="73"/>
      <c r="IC3434" s="73"/>
      <c r="ID3434" s="73"/>
      <c r="IE3434" s="73"/>
      <c r="IF3434" s="73"/>
      <c r="IG3434" s="73"/>
      <c r="IH3434" s="73"/>
      <c r="II3434" s="73"/>
      <c r="IJ3434" s="73"/>
      <c r="IK3434" s="73"/>
      <c r="IL3434" s="73"/>
      <c r="IM3434" s="73"/>
      <c r="IN3434" s="73"/>
      <c r="IO3434" s="73"/>
      <c r="IP3434" s="73"/>
      <c r="IQ3434" s="73"/>
      <c r="IR3434" s="73"/>
      <c r="IS3434" s="73"/>
      <c r="IT3434" s="73"/>
      <c r="IU3434" s="73"/>
      <c r="IV3434" s="73"/>
      <c r="IW3434" s="73"/>
      <c r="IX3434" s="73"/>
      <c r="IY3434" s="73"/>
      <c r="IZ3434" s="73"/>
      <c r="JA3434" s="73"/>
      <c r="JB3434" s="73"/>
      <c r="JC3434" s="73"/>
    </row>
    <row r="3435" spans="2:263" s="72" customFormat="1">
      <c r="B3435" s="73"/>
      <c r="C3435" s="73"/>
      <c r="D3435" s="73"/>
      <c r="E3435" s="73"/>
      <c r="F3435" s="73"/>
      <c r="G3435" s="73"/>
      <c r="H3435" s="73"/>
      <c r="I3435" s="73"/>
      <c r="J3435" s="73"/>
      <c r="K3435" s="73"/>
      <c r="L3435" s="73"/>
      <c r="M3435" s="73"/>
      <c r="N3435" s="73"/>
      <c r="O3435" s="73"/>
      <c r="P3435" s="73"/>
      <c r="Q3435" s="73"/>
      <c r="R3435" s="73"/>
      <c r="S3435" s="73"/>
      <c r="T3435" s="73"/>
      <c r="U3435" s="73"/>
      <c r="V3435" s="73"/>
      <c r="W3435" s="73"/>
      <c r="GL3435" s="73"/>
      <c r="GM3435" s="73"/>
      <c r="GN3435" s="73"/>
      <c r="GO3435" s="73"/>
      <c r="GP3435" s="73"/>
      <c r="GQ3435" s="73"/>
      <c r="GR3435" s="73"/>
      <c r="GS3435" s="73"/>
      <c r="GT3435" s="73"/>
      <c r="GU3435" s="73"/>
      <c r="GV3435" s="73"/>
      <c r="GW3435" s="73"/>
      <c r="GX3435" s="73"/>
      <c r="GY3435" s="73"/>
      <c r="GZ3435" s="73"/>
      <c r="HA3435" s="73"/>
      <c r="HB3435" s="73"/>
      <c r="HC3435" s="73"/>
      <c r="HD3435" s="73"/>
      <c r="HE3435" s="73"/>
      <c r="HF3435" s="73"/>
      <c r="HG3435" s="73"/>
      <c r="HH3435" s="73"/>
      <c r="HI3435" s="73"/>
      <c r="HJ3435" s="73"/>
      <c r="HK3435" s="73"/>
      <c r="HL3435" s="73"/>
      <c r="HM3435" s="73"/>
      <c r="HN3435" s="73"/>
      <c r="HO3435" s="73"/>
      <c r="HP3435" s="73"/>
      <c r="HQ3435" s="73"/>
      <c r="HR3435" s="73"/>
      <c r="HS3435" s="73"/>
      <c r="HT3435" s="73"/>
      <c r="HU3435" s="73"/>
      <c r="HV3435" s="73"/>
      <c r="HW3435" s="73"/>
      <c r="HX3435" s="73"/>
      <c r="HY3435" s="73"/>
      <c r="HZ3435" s="73"/>
      <c r="IA3435" s="73"/>
      <c r="IB3435" s="73"/>
      <c r="IC3435" s="73"/>
      <c r="ID3435" s="73"/>
      <c r="IE3435" s="73"/>
      <c r="IF3435" s="73"/>
      <c r="IG3435" s="73"/>
      <c r="IH3435" s="73"/>
      <c r="II3435" s="73"/>
      <c r="IJ3435" s="73"/>
      <c r="IK3435" s="73"/>
      <c r="IL3435" s="73"/>
      <c r="IM3435" s="73"/>
      <c r="IN3435" s="73"/>
      <c r="IO3435" s="73"/>
      <c r="IP3435" s="73"/>
      <c r="IQ3435" s="73"/>
      <c r="IR3435" s="73"/>
      <c r="IS3435" s="73"/>
      <c r="IT3435" s="73"/>
      <c r="IU3435" s="73"/>
      <c r="IV3435" s="73"/>
      <c r="IW3435" s="73"/>
      <c r="IX3435" s="73"/>
      <c r="IY3435" s="73"/>
      <c r="IZ3435" s="73"/>
      <c r="JA3435" s="73"/>
      <c r="JB3435" s="73"/>
      <c r="JC3435" s="73"/>
    </row>
    <row r="3436" spans="2:263" s="72" customFormat="1">
      <c r="B3436" s="73"/>
      <c r="C3436" s="73"/>
      <c r="D3436" s="73"/>
      <c r="E3436" s="73"/>
      <c r="F3436" s="73"/>
      <c r="G3436" s="73"/>
      <c r="H3436" s="73"/>
      <c r="I3436" s="73"/>
      <c r="J3436" s="73"/>
      <c r="K3436" s="73"/>
      <c r="L3436" s="73"/>
      <c r="M3436" s="73"/>
      <c r="N3436" s="73"/>
      <c r="O3436" s="73"/>
      <c r="P3436" s="73"/>
      <c r="Q3436" s="73"/>
      <c r="R3436" s="73"/>
      <c r="S3436" s="73"/>
      <c r="T3436" s="73"/>
      <c r="U3436" s="73"/>
      <c r="V3436" s="73"/>
      <c r="W3436" s="73"/>
      <c r="GL3436" s="73"/>
      <c r="GM3436" s="73"/>
      <c r="GN3436" s="73"/>
      <c r="GO3436" s="73"/>
      <c r="GP3436" s="73"/>
      <c r="GQ3436" s="73"/>
      <c r="GR3436" s="73"/>
      <c r="GS3436" s="73"/>
      <c r="GT3436" s="73"/>
      <c r="GU3436" s="73"/>
      <c r="GV3436" s="73"/>
      <c r="GW3436" s="73"/>
      <c r="GX3436" s="73"/>
      <c r="GY3436" s="73"/>
      <c r="GZ3436" s="73"/>
      <c r="HA3436" s="73"/>
      <c r="HB3436" s="73"/>
      <c r="HC3436" s="73"/>
      <c r="HD3436" s="73"/>
      <c r="HE3436" s="73"/>
      <c r="HF3436" s="73"/>
      <c r="HG3436" s="73"/>
      <c r="HH3436" s="73"/>
      <c r="HI3436" s="73"/>
      <c r="HJ3436" s="73"/>
      <c r="HK3436" s="73"/>
      <c r="HL3436" s="73"/>
      <c r="HM3436" s="73"/>
      <c r="HN3436" s="73"/>
      <c r="HO3436" s="73"/>
      <c r="HP3436" s="73"/>
      <c r="HQ3436" s="73"/>
      <c r="HR3436" s="73"/>
      <c r="HS3436" s="73"/>
      <c r="HT3436" s="73"/>
      <c r="HU3436" s="73"/>
      <c r="HV3436" s="73"/>
      <c r="HW3436" s="73"/>
      <c r="HX3436" s="73"/>
      <c r="HY3436" s="73"/>
      <c r="HZ3436" s="73"/>
      <c r="IA3436" s="73"/>
      <c r="IB3436" s="73"/>
      <c r="IC3436" s="73"/>
      <c r="ID3436" s="73"/>
      <c r="IE3436" s="73"/>
      <c r="IF3436" s="73"/>
      <c r="IG3436" s="73"/>
      <c r="IH3436" s="73"/>
      <c r="II3436" s="73"/>
      <c r="IJ3436" s="73"/>
      <c r="IK3436" s="73"/>
      <c r="IL3436" s="73"/>
      <c r="IM3436" s="73"/>
      <c r="IN3436" s="73"/>
      <c r="IO3436" s="73"/>
      <c r="IP3436" s="73"/>
      <c r="IQ3436" s="73"/>
      <c r="IR3436" s="73"/>
      <c r="IS3436" s="73"/>
      <c r="IT3436" s="73"/>
      <c r="IU3436" s="73"/>
      <c r="IV3436" s="73"/>
      <c r="IW3436" s="73"/>
      <c r="IX3436" s="73"/>
      <c r="IY3436" s="73"/>
      <c r="IZ3436" s="73"/>
      <c r="JA3436" s="73"/>
      <c r="JB3436" s="73"/>
      <c r="JC3436" s="73"/>
    </row>
    <row r="3437" spans="2:263" s="72" customFormat="1">
      <c r="B3437" s="73"/>
      <c r="C3437" s="73"/>
      <c r="D3437" s="73"/>
      <c r="E3437" s="73"/>
      <c r="F3437" s="73"/>
      <c r="G3437" s="73"/>
      <c r="H3437" s="73"/>
      <c r="I3437" s="73"/>
      <c r="J3437" s="73"/>
      <c r="K3437" s="73"/>
      <c r="L3437" s="73"/>
      <c r="M3437" s="73"/>
      <c r="N3437" s="73"/>
      <c r="O3437" s="73"/>
      <c r="P3437" s="73"/>
      <c r="Q3437" s="73"/>
      <c r="R3437" s="73"/>
      <c r="S3437" s="73"/>
      <c r="T3437" s="73"/>
      <c r="U3437" s="73"/>
      <c r="V3437" s="73"/>
      <c r="W3437" s="73"/>
      <c r="GL3437" s="73"/>
      <c r="GM3437" s="73"/>
      <c r="GN3437" s="73"/>
      <c r="GO3437" s="73"/>
      <c r="GP3437" s="73"/>
      <c r="GQ3437" s="73"/>
      <c r="GR3437" s="73"/>
      <c r="GS3437" s="73"/>
      <c r="GT3437" s="73"/>
      <c r="GU3437" s="73"/>
      <c r="GV3437" s="73"/>
      <c r="GW3437" s="73"/>
      <c r="GX3437" s="73"/>
      <c r="GY3437" s="73"/>
      <c r="GZ3437" s="73"/>
      <c r="HA3437" s="73"/>
      <c r="HB3437" s="73"/>
      <c r="HC3437" s="73"/>
      <c r="HD3437" s="73"/>
      <c r="HE3437" s="73"/>
      <c r="HF3437" s="73"/>
      <c r="HG3437" s="73"/>
      <c r="HH3437" s="73"/>
      <c r="HI3437" s="73"/>
      <c r="HJ3437" s="73"/>
      <c r="HK3437" s="73"/>
      <c r="HL3437" s="73"/>
      <c r="HM3437" s="73"/>
      <c r="HN3437" s="73"/>
      <c r="HO3437" s="73"/>
      <c r="HP3437" s="73"/>
      <c r="HQ3437" s="73"/>
      <c r="HR3437" s="73"/>
      <c r="HS3437" s="73"/>
      <c r="HT3437" s="73"/>
      <c r="HU3437" s="73"/>
      <c r="HV3437" s="73"/>
      <c r="HW3437" s="73"/>
      <c r="HX3437" s="73"/>
      <c r="HY3437" s="73"/>
      <c r="HZ3437" s="73"/>
      <c r="IA3437" s="73"/>
      <c r="IB3437" s="73"/>
      <c r="IC3437" s="73"/>
      <c r="ID3437" s="73"/>
      <c r="IE3437" s="73"/>
      <c r="IF3437" s="73"/>
      <c r="IG3437" s="73"/>
      <c r="IH3437" s="73"/>
      <c r="II3437" s="73"/>
      <c r="IJ3437" s="73"/>
      <c r="IK3437" s="73"/>
      <c r="IL3437" s="73"/>
      <c r="IM3437" s="73"/>
      <c r="IN3437" s="73"/>
      <c r="IO3437" s="73"/>
      <c r="IP3437" s="73"/>
      <c r="IQ3437" s="73"/>
      <c r="IR3437" s="73"/>
      <c r="IS3437" s="73"/>
      <c r="IT3437" s="73"/>
      <c r="IU3437" s="73"/>
      <c r="IV3437" s="73"/>
      <c r="IW3437" s="73"/>
      <c r="IX3437" s="73"/>
      <c r="IY3437" s="73"/>
      <c r="IZ3437" s="73"/>
      <c r="JA3437" s="73"/>
      <c r="JB3437" s="73"/>
      <c r="JC3437" s="73"/>
    </row>
    <row r="3438" spans="2:263" s="72" customFormat="1">
      <c r="B3438" s="73"/>
      <c r="C3438" s="73"/>
      <c r="D3438" s="73"/>
      <c r="E3438" s="73"/>
      <c r="F3438" s="73"/>
      <c r="G3438" s="73"/>
      <c r="H3438" s="73"/>
      <c r="I3438" s="73"/>
      <c r="J3438" s="73"/>
      <c r="K3438" s="73"/>
      <c r="L3438" s="73"/>
      <c r="M3438" s="73"/>
      <c r="N3438" s="73"/>
      <c r="O3438" s="73"/>
      <c r="P3438" s="73"/>
      <c r="Q3438" s="73"/>
      <c r="R3438" s="73"/>
      <c r="S3438" s="73"/>
      <c r="T3438" s="73"/>
      <c r="U3438" s="73"/>
      <c r="V3438" s="73"/>
      <c r="W3438" s="73"/>
      <c r="GL3438" s="73"/>
      <c r="GM3438" s="73"/>
      <c r="GN3438" s="73"/>
      <c r="GO3438" s="73"/>
      <c r="GP3438" s="73"/>
      <c r="GQ3438" s="73"/>
      <c r="GR3438" s="73"/>
      <c r="GS3438" s="73"/>
      <c r="GT3438" s="73"/>
      <c r="GU3438" s="73"/>
      <c r="GV3438" s="73"/>
      <c r="GW3438" s="73"/>
      <c r="GX3438" s="73"/>
      <c r="GY3438" s="73"/>
      <c r="GZ3438" s="73"/>
      <c r="HA3438" s="73"/>
      <c r="HB3438" s="73"/>
      <c r="HC3438" s="73"/>
      <c r="HD3438" s="73"/>
      <c r="HE3438" s="73"/>
      <c r="HF3438" s="73"/>
      <c r="HG3438" s="73"/>
      <c r="HH3438" s="73"/>
      <c r="HI3438" s="73"/>
      <c r="HJ3438" s="73"/>
      <c r="HK3438" s="73"/>
      <c r="HL3438" s="73"/>
      <c r="HM3438" s="73"/>
      <c r="HN3438" s="73"/>
      <c r="HO3438" s="73"/>
      <c r="HP3438" s="73"/>
      <c r="HQ3438" s="73"/>
      <c r="HR3438" s="73"/>
      <c r="HS3438" s="73"/>
      <c r="HT3438" s="73"/>
      <c r="HU3438" s="73"/>
      <c r="HV3438" s="73"/>
      <c r="HW3438" s="73"/>
      <c r="HX3438" s="73"/>
      <c r="HY3438" s="73"/>
      <c r="HZ3438" s="73"/>
      <c r="IA3438" s="73"/>
      <c r="IB3438" s="73"/>
      <c r="IC3438" s="73"/>
      <c r="ID3438" s="73"/>
      <c r="IE3438" s="73"/>
      <c r="IF3438" s="73"/>
      <c r="IG3438" s="73"/>
      <c r="IH3438" s="73"/>
      <c r="II3438" s="73"/>
      <c r="IJ3438" s="73"/>
      <c r="IK3438" s="73"/>
      <c r="IL3438" s="73"/>
      <c r="IM3438" s="73"/>
      <c r="IN3438" s="73"/>
      <c r="IO3438" s="73"/>
      <c r="IP3438" s="73"/>
      <c r="IQ3438" s="73"/>
      <c r="IR3438" s="73"/>
      <c r="IS3438" s="73"/>
      <c r="IT3438" s="73"/>
      <c r="IU3438" s="73"/>
      <c r="IV3438" s="73"/>
      <c r="IW3438" s="73"/>
      <c r="IX3438" s="73"/>
      <c r="IY3438" s="73"/>
      <c r="IZ3438" s="73"/>
      <c r="JA3438" s="73"/>
      <c r="JB3438" s="73"/>
      <c r="JC3438" s="73"/>
    </row>
    <row r="3439" spans="2:263" s="72" customFormat="1">
      <c r="B3439" s="73"/>
      <c r="C3439" s="73"/>
      <c r="D3439" s="73"/>
      <c r="E3439" s="73"/>
      <c r="F3439" s="73"/>
      <c r="G3439" s="73"/>
      <c r="H3439" s="73"/>
      <c r="I3439" s="73"/>
      <c r="J3439" s="73"/>
      <c r="K3439" s="73"/>
      <c r="L3439" s="73"/>
      <c r="M3439" s="73"/>
      <c r="N3439" s="73"/>
      <c r="O3439" s="73"/>
      <c r="P3439" s="73"/>
      <c r="Q3439" s="73"/>
      <c r="R3439" s="73"/>
      <c r="S3439" s="73"/>
      <c r="T3439" s="73"/>
      <c r="U3439" s="73"/>
      <c r="V3439" s="73"/>
      <c r="W3439" s="73"/>
      <c r="GL3439" s="73"/>
      <c r="GM3439" s="73"/>
      <c r="GN3439" s="73"/>
      <c r="GO3439" s="73"/>
      <c r="GP3439" s="73"/>
      <c r="GQ3439" s="73"/>
      <c r="GR3439" s="73"/>
      <c r="GS3439" s="73"/>
      <c r="GT3439" s="73"/>
      <c r="GU3439" s="73"/>
      <c r="GV3439" s="73"/>
      <c r="GW3439" s="73"/>
      <c r="GX3439" s="73"/>
      <c r="GY3439" s="73"/>
      <c r="GZ3439" s="73"/>
      <c r="HA3439" s="73"/>
      <c r="HB3439" s="73"/>
      <c r="HC3439" s="73"/>
      <c r="HD3439" s="73"/>
      <c r="HE3439" s="73"/>
      <c r="HF3439" s="73"/>
      <c r="HG3439" s="73"/>
      <c r="HH3439" s="73"/>
      <c r="HI3439" s="73"/>
      <c r="HJ3439" s="73"/>
      <c r="HK3439" s="73"/>
      <c r="HL3439" s="73"/>
      <c r="HM3439" s="73"/>
      <c r="HN3439" s="73"/>
      <c r="HO3439" s="73"/>
      <c r="HP3439" s="73"/>
      <c r="HQ3439" s="73"/>
      <c r="HR3439" s="73"/>
      <c r="HS3439" s="73"/>
      <c r="HT3439" s="73"/>
      <c r="HU3439" s="73"/>
      <c r="HV3439" s="73"/>
      <c r="HW3439" s="73"/>
      <c r="HX3439" s="73"/>
      <c r="HY3439" s="73"/>
      <c r="HZ3439" s="73"/>
      <c r="IA3439" s="73"/>
      <c r="IB3439" s="73"/>
      <c r="IC3439" s="73"/>
      <c r="ID3439" s="73"/>
      <c r="IE3439" s="73"/>
      <c r="IF3439" s="73"/>
      <c r="IG3439" s="73"/>
      <c r="IH3439" s="73"/>
      <c r="II3439" s="73"/>
      <c r="IJ3439" s="73"/>
      <c r="IK3439" s="73"/>
      <c r="IL3439" s="73"/>
      <c r="IM3439" s="73"/>
      <c r="IN3439" s="73"/>
      <c r="IO3439" s="73"/>
      <c r="IP3439" s="73"/>
      <c r="IQ3439" s="73"/>
      <c r="IR3439" s="73"/>
      <c r="IS3439" s="73"/>
      <c r="IT3439" s="73"/>
      <c r="IU3439" s="73"/>
      <c r="IV3439" s="73"/>
      <c r="IW3439" s="73"/>
      <c r="IX3439" s="73"/>
      <c r="IY3439" s="73"/>
      <c r="IZ3439" s="73"/>
      <c r="JA3439" s="73"/>
      <c r="JB3439" s="73"/>
      <c r="JC3439" s="73"/>
    </row>
    <row r="3440" spans="2:263" s="72" customFormat="1">
      <c r="B3440" s="73"/>
      <c r="C3440" s="73"/>
      <c r="D3440" s="73"/>
      <c r="E3440" s="73"/>
      <c r="F3440" s="73"/>
      <c r="G3440" s="73"/>
      <c r="H3440" s="73"/>
      <c r="I3440" s="73"/>
      <c r="J3440" s="73"/>
      <c r="K3440" s="73"/>
      <c r="L3440" s="73"/>
      <c r="M3440" s="73"/>
      <c r="N3440" s="73"/>
      <c r="O3440" s="73"/>
      <c r="P3440" s="73"/>
      <c r="Q3440" s="73"/>
      <c r="R3440" s="73"/>
      <c r="S3440" s="73"/>
      <c r="T3440" s="73"/>
      <c r="U3440" s="73"/>
      <c r="V3440" s="73"/>
      <c r="W3440" s="73"/>
      <c r="GL3440" s="73"/>
      <c r="GM3440" s="73"/>
      <c r="GN3440" s="73"/>
      <c r="GO3440" s="73"/>
      <c r="GP3440" s="73"/>
      <c r="GQ3440" s="73"/>
      <c r="GR3440" s="73"/>
      <c r="GS3440" s="73"/>
      <c r="GT3440" s="73"/>
      <c r="GU3440" s="73"/>
      <c r="GV3440" s="73"/>
      <c r="GW3440" s="73"/>
      <c r="GX3440" s="73"/>
      <c r="GY3440" s="73"/>
      <c r="GZ3440" s="73"/>
      <c r="HA3440" s="73"/>
      <c r="HB3440" s="73"/>
      <c r="HC3440" s="73"/>
      <c r="HD3440" s="73"/>
      <c r="HE3440" s="73"/>
      <c r="HF3440" s="73"/>
      <c r="HG3440" s="73"/>
      <c r="HH3440" s="73"/>
      <c r="HI3440" s="73"/>
      <c r="HJ3440" s="73"/>
      <c r="HK3440" s="73"/>
      <c r="HL3440" s="73"/>
      <c r="HM3440" s="73"/>
      <c r="HN3440" s="73"/>
      <c r="HO3440" s="73"/>
      <c r="HP3440" s="73"/>
      <c r="HQ3440" s="73"/>
      <c r="HR3440" s="73"/>
      <c r="HS3440" s="73"/>
      <c r="HT3440" s="73"/>
      <c r="HU3440" s="73"/>
      <c r="HV3440" s="73"/>
      <c r="HW3440" s="73"/>
      <c r="HX3440" s="73"/>
      <c r="HY3440" s="73"/>
      <c r="HZ3440" s="73"/>
      <c r="IA3440" s="73"/>
      <c r="IB3440" s="73"/>
      <c r="IC3440" s="73"/>
      <c r="ID3440" s="73"/>
      <c r="IE3440" s="73"/>
      <c r="IF3440" s="73"/>
      <c r="IG3440" s="73"/>
      <c r="IH3440" s="73"/>
      <c r="II3440" s="73"/>
      <c r="IJ3440" s="73"/>
      <c r="IK3440" s="73"/>
      <c r="IL3440" s="73"/>
      <c r="IM3440" s="73"/>
      <c r="IN3440" s="73"/>
      <c r="IO3440" s="73"/>
      <c r="IP3440" s="73"/>
      <c r="IQ3440" s="73"/>
      <c r="IR3440" s="73"/>
      <c r="IS3440" s="73"/>
      <c r="IT3440" s="73"/>
      <c r="IU3440" s="73"/>
      <c r="IV3440" s="73"/>
      <c r="IW3440" s="73"/>
      <c r="IX3440" s="73"/>
      <c r="IY3440" s="73"/>
      <c r="IZ3440" s="73"/>
      <c r="JA3440" s="73"/>
      <c r="JB3440" s="73"/>
      <c r="JC3440" s="73"/>
    </row>
    <row r="3441" spans="2:263" s="72" customFormat="1">
      <c r="B3441" s="73"/>
      <c r="C3441" s="73"/>
      <c r="D3441" s="73"/>
      <c r="E3441" s="73"/>
      <c r="F3441" s="73"/>
      <c r="G3441" s="73"/>
      <c r="H3441" s="73"/>
      <c r="I3441" s="73"/>
      <c r="J3441" s="73"/>
      <c r="K3441" s="73"/>
      <c r="L3441" s="73"/>
      <c r="M3441" s="73"/>
      <c r="N3441" s="73"/>
      <c r="O3441" s="73"/>
      <c r="P3441" s="73"/>
      <c r="Q3441" s="73"/>
      <c r="R3441" s="73"/>
      <c r="S3441" s="73"/>
      <c r="T3441" s="73"/>
      <c r="U3441" s="73"/>
      <c r="V3441" s="73"/>
      <c r="W3441" s="73"/>
      <c r="GL3441" s="73"/>
      <c r="GM3441" s="73"/>
      <c r="GN3441" s="73"/>
      <c r="GO3441" s="73"/>
      <c r="GP3441" s="73"/>
      <c r="GQ3441" s="73"/>
      <c r="GR3441" s="73"/>
      <c r="GS3441" s="73"/>
      <c r="GT3441" s="73"/>
      <c r="GU3441" s="73"/>
      <c r="GV3441" s="73"/>
      <c r="GW3441" s="73"/>
      <c r="GX3441" s="73"/>
      <c r="GY3441" s="73"/>
      <c r="GZ3441" s="73"/>
      <c r="HA3441" s="73"/>
      <c r="HB3441" s="73"/>
      <c r="HC3441" s="73"/>
      <c r="HD3441" s="73"/>
      <c r="HE3441" s="73"/>
      <c r="HF3441" s="73"/>
      <c r="HG3441" s="73"/>
      <c r="HH3441" s="73"/>
      <c r="HI3441" s="73"/>
      <c r="HJ3441" s="73"/>
      <c r="HK3441" s="73"/>
      <c r="HL3441" s="73"/>
      <c r="HM3441" s="73"/>
      <c r="HN3441" s="73"/>
      <c r="HO3441" s="73"/>
      <c r="HP3441" s="73"/>
      <c r="HQ3441" s="73"/>
      <c r="HR3441" s="73"/>
      <c r="HS3441" s="73"/>
      <c r="HT3441" s="73"/>
      <c r="HU3441" s="73"/>
      <c r="HV3441" s="73"/>
      <c r="HW3441" s="73"/>
      <c r="HX3441" s="73"/>
      <c r="HY3441" s="73"/>
      <c r="HZ3441" s="73"/>
      <c r="IA3441" s="73"/>
      <c r="IB3441" s="73"/>
      <c r="IC3441" s="73"/>
      <c r="ID3441" s="73"/>
      <c r="IE3441" s="73"/>
      <c r="IF3441" s="73"/>
      <c r="IG3441" s="73"/>
      <c r="IH3441" s="73"/>
      <c r="II3441" s="73"/>
      <c r="IJ3441" s="73"/>
      <c r="IK3441" s="73"/>
      <c r="IL3441" s="73"/>
      <c r="IM3441" s="73"/>
      <c r="IN3441" s="73"/>
      <c r="IO3441" s="73"/>
      <c r="IP3441" s="73"/>
      <c r="IQ3441" s="73"/>
      <c r="IR3441" s="73"/>
      <c r="IS3441" s="73"/>
      <c r="IT3441" s="73"/>
      <c r="IU3441" s="73"/>
      <c r="IV3441" s="73"/>
      <c r="IW3441" s="73"/>
      <c r="IX3441" s="73"/>
      <c r="IY3441" s="73"/>
      <c r="IZ3441" s="73"/>
      <c r="JA3441" s="73"/>
      <c r="JB3441" s="73"/>
      <c r="JC3441" s="73"/>
    </row>
    <row r="3442" spans="2:263" s="72" customFormat="1">
      <c r="B3442" s="73"/>
      <c r="C3442" s="73"/>
      <c r="D3442" s="73"/>
      <c r="E3442" s="73"/>
      <c r="F3442" s="73"/>
      <c r="G3442" s="73"/>
      <c r="H3442" s="73"/>
      <c r="I3442" s="73"/>
      <c r="J3442" s="73"/>
      <c r="K3442" s="73"/>
      <c r="L3442" s="73"/>
      <c r="M3442" s="73"/>
      <c r="N3442" s="73"/>
      <c r="O3442" s="73"/>
      <c r="P3442" s="73"/>
      <c r="Q3442" s="73"/>
      <c r="R3442" s="73"/>
      <c r="S3442" s="73"/>
      <c r="T3442" s="73"/>
      <c r="U3442" s="73"/>
      <c r="V3442" s="73"/>
      <c r="W3442" s="73"/>
      <c r="GL3442" s="73"/>
      <c r="GM3442" s="73"/>
      <c r="GN3442" s="73"/>
      <c r="GO3442" s="73"/>
      <c r="GP3442" s="73"/>
      <c r="GQ3442" s="73"/>
      <c r="GR3442" s="73"/>
      <c r="GS3442" s="73"/>
      <c r="GT3442" s="73"/>
      <c r="GU3442" s="73"/>
      <c r="GV3442" s="73"/>
      <c r="GW3442" s="73"/>
      <c r="GX3442" s="73"/>
      <c r="GY3442" s="73"/>
      <c r="GZ3442" s="73"/>
      <c r="HA3442" s="73"/>
      <c r="HB3442" s="73"/>
      <c r="HC3442" s="73"/>
      <c r="HD3442" s="73"/>
      <c r="HE3442" s="73"/>
      <c r="HF3442" s="73"/>
      <c r="HG3442" s="73"/>
      <c r="HH3442" s="73"/>
      <c r="HI3442" s="73"/>
      <c r="HJ3442" s="73"/>
      <c r="HK3442" s="73"/>
      <c r="HL3442" s="73"/>
      <c r="HM3442" s="73"/>
      <c r="HN3442" s="73"/>
      <c r="HO3442" s="73"/>
      <c r="HP3442" s="73"/>
      <c r="HQ3442" s="73"/>
      <c r="HR3442" s="73"/>
      <c r="HS3442" s="73"/>
      <c r="HT3442" s="73"/>
      <c r="HU3442" s="73"/>
      <c r="HV3442" s="73"/>
      <c r="HW3442" s="73"/>
      <c r="HX3442" s="73"/>
      <c r="HY3442" s="73"/>
      <c r="HZ3442" s="73"/>
      <c r="IA3442" s="73"/>
      <c r="IB3442" s="73"/>
      <c r="IC3442" s="73"/>
      <c r="ID3442" s="73"/>
      <c r="IE3442" s="73"/>
      <c r="IF3442" s="73"/>
      <c r="IG3442" s="73"/>
      <c r="IH3442" s="73"/>
      <c r="II3442" s="73"/>
      <c r="IJ3442" s="73"/>
      <c r="IK3442" s="73"/>
      <c r="IL3442" s="73"/>
      <c r="IM3442" s="73"/>
      <c r="IN3442" s="73"/>
      <c r="IO3442" s="73"/>
      <c r="IP3442" s="73"/>
      <c r="IQ3442" s="73"/>
      <c r="IR3442" s="73"/>
      <c r="IS3442" s="73"/>
      <c r="IT3442" s="73"/>
      <c r="IU3442" s="73"/>
      <c r="IV3442" s="73"/>
      <c r="IW3442" s="73"/>
      <c r="IX3442" s="73"/>
      <c r="IY3442" s="73"/>
      <c r="IZ3442" s="73"/>
      <c r="JA3442" s="73"/>
      <c r="JB3442" s="73"/>
      <c r="JC3442" s="73"/>
    </row>
    <row r="3443" spans="2:263" s="72" customFormat="1">
      <c r="B3443" s="73"/>
      <c r="C3443" s="73"/>
      <c r="D3443" s="73"/>
      <c r="E3443" s="73"/>
      <c r="F3443" s="73"/>
      <c r="G3443" s="73"/>
      <c r="H3443" s="73"/>
      <c r="I3443" s="73"/>
      <c r="J3443" s="73"/>
      <c r="K3443" s="73"/>
      <c r="L3443" s="73"/>
      <c r="M3443" s="73"/>
      <c r="N3443" s="73"/>
      <c r="O3443" s="73"/>
      <c r="P3443" s="73"/>
      <c r="Q3443" s="73"/>
      <c r="R3443" s="73"/>
      <c r="S3443" s="73"/>
      <c r="T3443" s="73"/>
      <c r="U3443" s="73"/>
      <c r="V3443" s="73"/>
      <c r="W3443" s="73"/>
      <c r="GL3443" s="73"/>
      <c r="GM3443" s="73"/>
      <c r="GN3443" s="73"/>
      <c r="GO3443" s="73"/>
      <c r="GP3443" s="73"/>
      <c r="GQ3443" s="73"/>
      <c r="GR3443" s="73"/>
      <c r="GS3443" s="73"/>
      <c r="GT3443" s="73"/>
      <c r="GU3443" s="73"/>
      <c r="GV3443" s="73"/>
      <c r="GW3443" s="73"/>
      <c r="GX3443" s="73"/>
      <c r="GY3443" s="73"/>
      <c r="GZ3443" s="73"/>
      <c r="HA3443" s="73"/>
      <c r="HB3443" s="73"/>
      <c r="HC3443" s="73"/>
      <c r="HD3443" s="73"/>
      <c r="HE3443" s="73"/>
      <c r="HF3443" s="73"/>
      <c r="HG3443" s="73"/>
      <c r="HH3443" s="73"/>
      <c r="HI3443" s="73"/>
      <c r="HJ3443" s="73"/>
      <c r="HK3443" s="73"/>
      <c r="HL3443" s="73"/>
      <c r="HM3443" s="73"/>
      <c r="HN3443" s="73"/>
      <c r="HO3443" s="73"/>
      <c r="HP3443" s="73"/>
      <c r="HQ3443" s="73"/>
      <c r="HR3443" s="73"/>
      <c r="HS3443" s="73"/>
      <c r="HT3443" s="73"/>
      <c r="HU3443" s="73"/>
      <c r="HV3443" s="73"/>
      <c r="HW3443" s="73"/>
      <c r="HX3443" s="73"/>
      <c r="HY3443" s="73"/>
      <c r="HZ3443" s="73"/>
      <c r="IA3443" s="73"/>
      <c r="IB3443" s="73"/>
      <c r="IC3443" s="73"/>
      <c r="ID3443" s="73"/>
      <c r="IE3443" s="73"/>
      <c r="IF3443" s="73"/>
      <c r="IG3443" s="73"/>
      <c r="IH3443" s="73"/>
      <c r="II3443" s="73"/>
      <c r="IJ3443" s="73"/>
      <c r="IK3443" s="73"/>
      <c r="IL3443" s="73"/>
      <c r="IM3443" s="73"/>
      <c r="IN3443" s="73"/>
      <c r="IO3443" s="73"/>
      <c r="IP3443" s="73"/>
      <c r="IQ3443" s="73"/>
      <c r="IR3443" s="73"/>
      <c r="IS3443" s="73"/>
      <c r="IT3443" s="73"/>
      <c r="IU3443" s="73"/>
      <c r="IV3443" s="73"/>
      <c r="IW3443" s="73"/>
      <c r="IX3443" s="73"/>
      <c r="IY3443" s="73"/>
      <c r="IZ3443" s="73"/>
      <c r="JA3443" s="73"/>
      <c r="JB3443" s="73"/>
      <c r="JC3443" s="73"/>
    </row>
    <row r="3444" spans="2:263" s="72" customFormat="1">
      <c r="B3444" s="73"/>
      <c r="C3444" s="73"/>
      <c r="D3444" s="73"/>
      <c r="E3444" s="73"/>
      <c r="F3444" s="73"/>
      <c r="G3444" s="73"/>
      <c r="H3444" s="73"/>
      <c r="I3444" s="73"/>
      <c r="J3444" s="73"/>
      <c r="K3444" s="73"/>
      <c r="L3444" s="73"/>
      <c r="M3444" s="73"/>
      <c r="N3444" s="73"/>
      <c r="O3444" s="73"/>
      <c r="P3444" s="73"/>
      <c r="Q3444" s="73"/>
      <c r="R3444" s="73"/>
      <c r="S3444" s="73"/>
      <c r="T3444" s="73"/>
      <c r="U3444" s="73"/>
      <c r="V3444" s="73"/>
      <c r="W3444" s="73"/>
      <c r="GL3444" s="73"/>
      <c r="GM3444" s="73"/>
      <c r="GN3444" s="73"/>
      <c r="GO3444" s="73"/>
      <c r="GP3444" s="73"/>
      <c r="GQ3444" s="73"/>
      <c r="GR3444" s="73"/>
      <c r="GS3444" s="73"/>
      <c r="GT3444" s="73"/>
      <c r="GU3444" s="73"/>
      <c r="GV3444" s="73"/>
      <c r="GW3444" s="73"/>
      <c r="GX3444" s="73"/>
      <c r="GY3444" s="73"/>
      <c r="GZ3444" s="73"/>
      <c r="HA3444" s="73"/>
      <c r="HB3444" s="73"/>
      <c r="HC3444" s="73"/>
      <c r="HD3444" s="73"/>
      <c r="HE3444" s="73"/>
      <c r="HF3444" s="73"/>
      <c r="HG3444" s="73"/>
      <c r="HH3444" s="73"/>
      <c r="HI3444" s="73"/>
      <c r="HJ3444" s="73"/>
      <c r="HK3444" s="73"/>
      <c r="HL3444" s="73"/>
      <c r="HM3444" s="73"/>
      <c r="HN3444" s="73"/>
      <c r="HO3444" s="73"/>
      <c r="HP3444" s="73"/>
      <c r="HQ3444" s="73"/>
      <c r="HR3444" s="73"/>
      <c r="HS3444" s="73"/>
      <c r="HT3444" s="73"/>
      <c r="HU3444" s="73"/>
      <c r="HV3444" s="73"/>
      <c r="HW3444" s="73"/>
      <c r="HX3444" s="73"/>
      <c r="HY3444" s="73"/>
      <c r="HZ3444" s="73"/>
      <c r="IA3444" s="73"/>
      <c r="IB3444" s="73"/>
      <c r="IC3444" s="73"/>
      <c r="ID3444" s="73"/>
      <c r="IE3444" s="73"/>
      <c r="IF3444" s="73"/>
      <c r="IG3444" s="73"/>
      <c r="IH3444" s="73"/>
      <c r="II3444" s="73"/>
      <c r="IJ3444" s="73"/>
      <c r="IK3444" s="73"/>
      <c r="IL3444" s="73"/>
      <c r="IM3444" s="73"/>
      <c r="IN3444" s="73"/>
      <c r="IO3444" s="73"/>
      <c r="IP3444" s="73"/>
      <c r="IQ3444" s="73"/>
      <c r="IR3444" s="73"/>
      <c r="IS3444" s="73"/>
      <c r="IT3444" s="73"/>
      <c r="IU3444" s="73"/>
      <c r="IV3444" s="73"/>
      <c r="IW3444" s="73"/>
      <c r="IX3444" s="73"/>
      <c r="IY3444" s="73"/>
      <c r="IZ3444" s="73"/>
      <c r="JA3444" s="73"/>
      <c r="JB3444" s="73"/>
      <c r="JC3444" s="73"/>
    </row>
    <row r="3445" spans="2:263" s="72" customFormat="1">
      <c r="B3445" s="73"/>
      <c r="C3445" s="73"/>
      <c r="D3445" s="73"/>
      <c r="E3445" s="73"/>
      <c r="F3445" s="73"/>
      <c r="G3445" s="73"/>
      <c r="H3445" s="73"/>
      <c r="I3445" s="73"/>
      <c r="J3445" s="73"/>
      <c r="K3445" s="73"/>
      <c r="L3445" s="73"/>
      <c r="M3445" s="73"/>
      <c r="N3445" s="73"/>
      <c r="O3445" s="73"/>
      <c r="P3445" s="73"/>
      <c r="Q3445" s="73"/>
      <c r="R3445" s="73"/>
      <c r="S3445" s="73"/>
      <c r="T3445" s="73"/>
      <c r="U3445" s="73"/>
      <c r="V3445" s="73"/>
      <c r="W3445" s="73"/>
      <c r="GL3445" s="73"/>
      <c r="GM3445" s="73"/>
      <c r="GN3445" s="73"/>
      <c r="GO3445" s="73"/>
      <c r="GP3445" s="73"/>
      <c r="GQ3445" s="73"/>
      <c r="GR3445" s="73"/>
      <c r="GS3445" s="73"/>
      <c r="GT3445" s="73"/>
      <c r="GU3445" s="73"/>
      <c r="GV3445" s="73"/>
      <c r="GW3445" s="73"/>
      <c r="GX3445" s="73"/>
      <c r="GY3445" s="73"/>
      <c r="GZ3445" s="73"/>
      <c r="HA3445" s="73"/>
      <c r="HB3445" s="73"/>
      <c r="HC3445" s="73"/>
      <c r="HD3445" s="73"/>
      <c r="HE3445" s="73"/>
      <c r="HF3445" s="73"/>
      <c r="HG3445" s="73"/>
      <c r="HH3445" s="73"/>
      <c r="HI3445" s="73"/>
      <c r="HJ3445" s="73"/>
      <c r="HK3445" s="73"/>
      <c r="HL3445" s="73"/>
      <c r="HM3445" s="73"/>
      <c r="HN3445" s="73"/>
      <c r="HO3445" s="73"/>
      <c r="HP3445" s="73"/>
      <c r="HQ3445" s="73"/>
      <c r="HR3445" s="73"/>
      <c r="HS3445" s="73"/>
      <c r="HT3445" s="73"/>
      <c r="HU3445" s="73"/>
      <c r="HV3445" s="73"/>
      <c r="HW3445" s="73"/>
      <c r="HX3445" s="73"/>
      <c r="HY3445" s="73"/>
      <c r="HZ3445" s="73"/>
      <c r="IA3445" s="73"/>
      <c r="IB3445" s="73"/>
      <c r="IC3445" s="73"/>
      <c r="ID3445" s="73"/>
      <c r="IE3445" s="73"/>
      <c r="IF3445" s="73"/>
      <c r="IG3445" s="73"/>
      <c r="IH3445" s="73"/>
      <c r="II3445" s="73"/>
      <c r="IJ3445" s="73"/>
      <c r="IK3445" s="73"/>
      <c r="IL3445" s="73"/>
      <c r="IM3445" s="73"/>
      <c r="IN3445" s="73"/>
      <c r="IO3445" s="73"/>
      <c r="IP3445" s="73"/>
      <c r="IQ3445" s="73"/>
      <c r="IR3445" s="73"/>
      <c r="IS3445" s="73"/>
      <c r="IT3445" s="73"/>
      <c r="IU3445" s="73"/>
      <c r="IV3445" s="73"/>
      <c r="IW3445" s="73"/>
      <c r="IX3445" s="73"/>
      <c r="IY3445" s="73"/>
      <c r="IZ3445" s="73"/>
      <c r="JA3445" s="73"/>
      <c r="JB3445" s="73"/>
      <c r="JC3445" s="73"/>
    </row>
    <row r="3446" spans="2:263" s="72" customFormat="1">
      <c r="B3446" s="73"/>
      <c r="C3446" s="73"/>
      <c r="D3446" s="73"/>
      <c r="E3446" s="73"/>
      <c r="F3446" s="73"/>
      <c r="G3446" s="73"/>
      <c r="H3446" s="73"/>
      <c r="I3446" s="73"/>
      <c r="J3446" s="73"/>
      <c r="K3446" s="73"/>
      <c r="L3446" s="73"/>
      <c r="M3446" s="73"/>
      <c r="N3446" s="73"/>
      <c r="O3446" s="73"/>
      <c r="P3446" s="73"/>
      <c r="Q3446" s="73"/>
      <c r="R3446" s="73"/>
      <c r="S3446" s="73"/>
      <c r="T3446" s="73"/>
      <c r="U3446" s="73"/>
      <c r="V3446" s="73"/>
      <c r="W3446" s="73"/>
      <c r="GL3446" s="73"/>
      <c r="GM3446" s="73"/>
      <c r="GN3446" s="73"/>
      <c r="GO3446" s="73"/>
      <c r="GP3446" s="73"/>
      <c r="GQ3446" s="73"/>
      <c r="GR3446" s="73"/>
      <c r="GS3446" s="73"/>
      <c r="GT3446" s="73"/>
      <c r="GU3446" s="73"/>
      <c r="GV3446" s="73"/>
      <c r="GW3446" s="73"/>
      <c r="GX3446" s="73"/>
      <c r="GY3446" s="73"/>
      <c r="GZ3446" s="73"/>
      <c r="HA3446" s="73"/>
      <c r="HB3446" s="73"/>
      <c r="HC3446" s="73"/>
      <c r="HD3446" s="73"/>
      <c r="HE3446" s="73"/>
      <c r="HF3446" s="73"/>
      <c r="HG3446" s="73"/>
      <c r="HH3446" s="73"/>
      <c r="HI3446" s="73"/>
      <c r="HJ3446" s="73"/>
      <c r="HK3446" s="73"/>
      <c r="HL3446" s="73"/>
      <c r="HM3446" s="73"/>
      <c r="HN3446" s="73"/>
      <c r="HO3446" s="73"/>
      <c r="HP3446" s="73"/>
      <c r="HQ3446" s="73"/>
      <c r="HR3446" s="73"/>
      <c r="HS3446" s="73"/>
      <c r="HT3446" s="73"/>
      <c r="HU3446" s="73"/>
      <c r="HV3446" s="73"/>
      <c r="HW3446" s="73"/>
      <c r="HX3446" s="73"/>
      <c r="HY3446" s="73"/>
      <c r="HZ3446" s="73"/>
      <c r="IA3446" s="73"/>
      <c r="IB3446" s="73"/>
      <c r="IC3446" s="73"/>
      <c r="ID3446" s="73"/>
      <c r="IE3446" s="73"/>
      <c r="IF3446" s="73"/>
      <c r="IG3446" s="73"/>
      <c r="IH3446" s="73"/>
      <c r="II3446" s="73"/>
      <c r="IJ3446" s="73"/>
      <c r="IK3446" s="73"/>
      <c r="IL3446" s="73"/>
      <c r="IM3446" s="73"/>
      <c r="IN3446" s="73"/>
      <c r="IO3446" s="73"/>
      <c r="IP3446" s="73"/>
      <c r="IQ3446" s="73"/>
      <c r="IR3446" s="73"/>
      <c r="IS3446" s="73"/>
      <c r="IT3446" s="73"/>
      <c r="IU3446" s="73"/>
      <c r="IV3446" s="73"/>
      <c r="IW3446" s="73"/>
      <c r="IX3446" s="73"/>
      <c r="IY3446" s="73"/>
      <c r="IZ3446" s="73"/>
      <c r="JA3446" s="73"/>
      <c r="JB3446" s="73"/>
      <c r="JC3446" s="73"/>
    </row>
    <row r="3447" spans="2:263" s="72" customFormat="1">
      <c r="B3447" s="73"/>
      <c r="C3447" s="73"/>
      <c r="D3447" s="73"/>
      <c r="E3447" s="73"/>
      <c r="F3447" s="73"/>
      <c r="G3447" s="73"/>
      <c r="H3447" s="73"/>
      <c r="I3447" s="73"/>
      <c r="J3447" s="73"/>
      <c r="K3447" s="73"/>
      <c r="L3447" s="73"/>
      <c r="M3447" s="73"/>
      <c r="N3447" s="73"/>
      <c r="O3447" s="73"/>
      <c r="P3447" s="73"/>
      <c r="Q3447" s="73"/>
      <c r="R3447" s="73"/>
      <c r="S3447" s="73"/>
      <c r="T3447" s="73"/>
      <c r="U3447" s="73"/>
      <c r="V3447" s="73"/>
      <c r="W3447" s="73"/>
      <c r="GL3447" s="73"/>
      <c r="GM3447" s="73"/>
      <c r="GN3447" s="73"/>
      <c r="GO3447" s="73"/>
      <c r="GP3447" s="73"/>
      <c r="GQ3447" s="73"/>
      <c r="GR3447" s="73"/>
      <c r="GS3447" s="73"/>
      <c r="GT3447" s="73"/>
      <c r="GU3447" s="73"/>
      <c r="GV3447" s="73"/>
      <c r="GW3447" s="73"/>
      <c r="GX3447" s="73"/>
      <c r="GY3447" s="73"/>
      <c r="GZ3447" s="73"/>
      <c r="HA3447" s="73"/>
      <c r="HB3447" s="73"/>
      <c r="HC3447" s="73"/>
      <c r="HD3447" s="73"/>
      <c r="HE3447" s="73"/>
      <c r="HF3447" s="73"/>
      <c r="HG3447" s="73"/>
      <c r="HH3447" s="73"/>
      <c r="HI3447" s="73"/>
      <c r="HJ3447" s="73"/>
      <c r="HK3447" s="73"/>
      <c r="HL3447" s="73"/>
      <c r="HM3447" s="73"/>
      <c r="HN3447" s="73"/>
      <c r="HO3447" s="73"/>
      <c r="HP3447" s="73"/>
      <c r="HQ3447" s="73"/>
      <c r="HR3447" s="73"/>
      <c r="HS3447" s="73"/>
      <c r="HT3447" s="73"/>
      <c r="HU3447" s="73"/>
      <c r="HV3447" s="73"/>
      <c r="HW3447" s="73"/>
      <c r="HX3447" s="73"/>
      <c r="HY3447" s="73"/>
      <c r="HZ3447" s="73"/>
      <c r="IA3447" s="73"/>
      <c r="IB3447" s="73"/>
      <c r="IC3447" s="73"/>
      <c r="ID3447" s="73"/>
      <c r="IE3447" s="73"/>
      <c r="IF3447" s="73"/>
      <c r="IG3447" s="73"/>
      <c r="IH3447" s="73"/>
      <c r="II3447" s="73"/>
      <c r="IJ3447" s="73"/>
      <c r="IK3447" s="73"/>
      <c r="IL3447" s="73"/>
      <c r="IM3447" s="73"/>
      <c r="IN3447" s="73"/>
      <c r="IO3447" s="73"/>
      <c r="IP3447" s="73"/>
      <c r="IQ3447" s="73"/>
      <c r="IR3447" s="73"/>
      <c r="IS3447" s="73"/>
      <c r="IT3447" s="73"/>
      <c r="IU3447" s="73"/>
      <c r="IV3447" s="73"/>
      <c r="IW3447" s="73"/>
      <c r="IX3447" s="73"/>
      <c r="IY3447" s="73"/>
      <c r="IZ3447" s="73"/>
      <c r="JA3447" s="73"/>
      <c r="JB3447" s="73"/>
      <c r="JC3447" s="73"/>
    </row>
    <row r="3448" spans="2:263" s="72" customFormat="1">
      <c r="B3448" s="73"/>
      <c r="C3448" s="73"/>
      <c r="D3448" s="73"/>
      <c r="E3448" s="73"/>
      <c r="F3448" s="73"/>
      <c r="G3448" s="73"/>
      <c r="H3448" s="73"/>
      <c r="I3448" s="73"/>
      <c r="J3448" s="73"/>
      <c r="K3448" s="73"/>
      <c r="L3448" s="73"/>
      <c r="M3448" s="73"/>
      <c r="N3448" s="73"/>
      <c r="O3448" s="73"/>
      <c r="P3448" s="73"/>
      <c r="Q3448" s="73"/>
      <c r="R3448" s="73"/>
      <c r="S3448" s="73"/>
      <c r="T3448" s="73"/>
      <c r="U3448" s="73"/>
      <c r="V3448" s="73"/>
      <c r="W3448" s="73"/>
      <c r="GL3448" s="73"/>
      <c r="GM3448" s="73"/>
      <c r="GN3448" s="73"/>
      <c r="GO3448" s="73"/>
      <c r="GP3448" s="73"/>
      <c r="GQ3448" s="73"/>
      <c r="GR3448" s="73"/>
      <c r="GS3448" s="73"/>
      <c r="GT3448" s="73"/>
      <c r="GU3448" s="73"/>
      <c r="GV3448" s="73"/>
      <c r="GW3448" s="73"/>
      <c r="GX3448" s="73"/>
      <c r="GY3448" s="73"/>
      <c r="GZ3448" s="73"/>
      <c r="HA3448" s="73"/>
      <c r="HB3448" s="73"/>
      <c r="HC3448" s="73"/>
      <c r="HD3448" s="73"/>
      <c r="HE3448" s="73"/>
      <c r="HF3448" s="73"/>
      <c r="HG3448" s="73"/>
      <c r="HH3448" s="73"/>
      <c r="HI3448" s="73"/>
      <c r="HJ3448" s="73"/>
      <c r="HK3448" s="73"/>
      <c r="HL3448" s="73"/>
      <c r="HM3448" s="73"/>
      <c r="HN3448" s="73"/>
      <c r="HO3448" s="73"/>
      <c r="HP3448" s="73"/>
      <c r="HQ3448" s="73"/>
      <c r="HR3448" s="73"/>
      <c r="HS3448" s="73"/>
      <c r="HT3448" s="73"/>
      <c r="HU3448" s="73"/>
      <c r="HV3448" s="73"/>
      <c r="HW3448" s="73"/>
      <c r="HX3448" s="73"/>
      <c r="HY3448" s="73"/>
      <c r="HZ3448" s="73"/>
      <c r="IA3448" s="73"/>
      <c r="IB3448" s="73"/>
      <c r="IC3448" s="73"/>
      <c r="ID3448" s="73"/>
      <c r="IE3448" s="73"/>
      <c r="IF3448" s="73"/>
      <c r="IG3448" s="73"/>
      <c r="IH3448" s="73"/>
      <c r="II3448" s="73"/>
      <c r="IJ3448" s="73"/>
      <c r="IK3448" s="73"/>
      <c r="IL3448" s="73"/>
      <c r="IM3448" s="73"/>
      <c r="IN3448" s="73"/>
      <c r="IO3448" s="73"/>
      <c r="IP3448" s="73"/>
      <c r="IQ3448" s="73"/>
      <c r="IR3448" s="73"/>
      <c r="IS3448" s="73"/>
      <c r="IT3448" s="73"/>
      <c r="IU3448" s="73"/>
      <c r="IV3448" s="73"/>
      <c r="IW3448" s="73"/>
      <c r="IX3448" s="73"/>
      <c r="IY3448" s="73"/>
      <c r="IZ3448" s="73"/>
      <c r="JA3448" s="73"/>
      <c r="JB3448" s="73"/>
      <c r="JC3448" s="73"/>
    </row>
    <row r="3449" spans="2:263" s="72" customFormat="1">
      <c r="B3449" s="73"/>
      <c r="C3449" s="73"/>
      <c r="D3449" s="73"/>
      <c r="E3449" s="73"/>
      <c r="F3449" s="73"/>
      <c r="G3449" s="73"/>
      <c r="H3449" s="73"/>
      <c r="I3449" s="73"/>
      <c r="J3449" s="73"/>
      <c r="K3449" s="73"/>
      <c r="L3449" s="73"/>
      <c r="M3449" s="73"/>
      <c r="N3449" s="73"/>
      <c r="O3449" s="73"/>
      <c r="P3449" s="73"/>
      <c r="Q3449" s="73"/>
      <c r="R3449" s="73"/>
      <c r="S3449" s="73"/>
      <c r="T3449" s="73"/>
      <c r="U3449" s="73"/>
      <c r="V3449" s="73"/>
      <c r="W3449" s="73"/>
      <c r="GL3449" s="73"/>
      <c r="GM3449" s="73"/>
      <c r="GN3449" s="73"/>
      <c r="GO3449" s="73"/>
      <c r="GP3449" s="73"/>
      <c r="GQ3449" s="73"/>
      <c r="GR3449" s="73"/>
      <c r="GS3449" s="73"/>
      <c r="GT3449" s="73"/>
      <c r="GU3449" s="73"/>
      <c r="GV3449" s="73"/>
      <c r="GW3449" s="73"/>
      <c r="GX3449" s="73"/>
      <c r="GY3449" s="73"/>
      <c r="GZ3449" s="73"/>
      <c r="HA3449" s="73"/>
      <c r="HB3449" s="73"/>
      <c r="HC3449" s="73"/>
      <c r="HD3449" s="73"/>
      <c r="HE3449" s="73"/>
      <c r="HF3449" s="73"/>
      <c r="HG3449" s="73"/>
      <c r="HH3449" s="73"/>
      <c r="HI3449" s="73"/>
      <c r="HJ3449" s="73"/>
      <c r="HK3449" s="73"/>
      <c r="HL3449" s="73"/>
      <c r="HM3449" s="73"/>
      <c r="HN3449" s="73"/>
      <c r="HO3449" s="73"/>
      <c r="HP3449" s="73"/>
      <c r="HQ3449" s="73"/>
      <c r="HR3449" s="73"/>
      <c r="HS3449" s="73"/>
      <c r="HT3449" s="73"/>
      <c r="HU3449" s="73"/>
      <c r="HV3449" s="73"/>
      <c r="HW3449" s="73"/>
      <c r="HX3449" s="73"/>
      <c r="HY3449" s="73"/>
      <c r="HZ3449" s="73"/>
      <c r="IA3449" s="73"/>
      <c r="IB3449" s="73"/>
      <c r="IC3449" s="73"/>
      <c r="ID3449" s="73"/>
      <c r="IE3449" s="73"/>
      <c r="IF3449" s="73"/>
      <c r="IG3449" s="73"/>
      <c r="IH3449" s="73"/>
      <c r="II3449" s="73"/>
      <c r="IJ3449" s="73"/>
      <c r="IK3449" s="73"/>
      <c r="IL3449" s="73"/>
      <c r="IM3449" s="73"/>
      <c r="IN3449" s="73"/>
      <c r="IO3449" s="73"/>
      <c r="IP3449" s="73"/>
      <c r="IQ3449" s="73"/>
      <c r="IR3449" s="73"/>
      <c r="IS3449" s="73"/>
      <c r="IT3449" s="73"/>
      <c r="IU3449" s="73"/>
      <c r="IV3449" s="73"/>
      <c r="IW3449" s="73"/>
      <c r="IX3449" s="73"/>
      <c r="IY3449" s="73"/>
      <c r="IZ3449" s="73"/>
      <c r="JA3449" s="73"/>
      <c r="JB3449" s="73"/>
      <c r="JC3449" s="73"/>
    </row>
    <row r="3450" spans="2:263" s="72" customFormat="1">
      <c r="B3450" s="73"/>
      <c r="C3450" s="73"/>
      <c r="D3450" s="73"/>
      <c r="E3450" s="73"/>
      <c r="F3450" s="73"/>
      <c r="G3450" s="73"/>
      <c r="H3450" s="73"/>
      <c r="I3450" s="73"/>
      <c r="J3450" s="73"/>
      <c r="K3450" s="73"/>
      <c r="L3450" s="73"/>
      <c r="M3450" s="73"/>
      <c r="N3450" s="73"/>
      <c r="O3450" s="73"/>
      <c r="P3450" s="73"/>
      <c r="Q3450" s="73"/>
      <c r="R3450" s="73"/>
      <c r="S3450" s="73"/>
      <c r="T3450" s="73"/>
      <c r="U3450" s="73"/>
      <c r="V3450" s="73"/>
      <c r="W3450" s="73"/>
      <c r="GL3450" s="73"/>
      <c r="GM3450" s="73"/>
      <c r="GN3450" s="73"/>
      <c r="GO3450" s="73"/>
      <c r="GP3450" s="73"/>
      <c r="GQ3450" s="73"/>
      <c r="GR3450" s="73"/>
      <c r="GS3450" s="73"/>
      <c r="GT3450" s="73"/>
      <c r="GU3450" s="73"/>
      <c r="GV3450" s="73"/>
      <c r="GW3450" s="73"/>
      <c r="GX3450" s="73"/>
      <c r="GY3450" s="73"/>
      <c r="GZ3450" s="73"/>
      <c r="HA3450" s="73"/>
      <c r="HB3450" s="73"/>
      <c r="HC3450" s="73"/>
      <c r="HD3450" s="73"/>
      <c r="HE3450" s="73"/>
      <c r="HF3450" s="73"/>
      <c r="HG3450" s="73"/>
      <c r="HH3450" s="73"/>
      <c r="HI3450" s="73"/>
      <c r="HJ3450" s="73"/>
      <c r="HK3450" s="73"/>
      <c r="HL3450" s="73"/>
      <c r="HM3450" s="73"/>
      <c r="HN3450" s="73"/>
      <c r="HO3450" s="73"/>
      <c r="HP3450" s="73"/>
      <c r="HQ3450" s="73"/>
      <c r="HR3450" s="73"/>
      <c r="HS3450" s="73"/>
      <c r="HT3450" s="73"/>
      <c r="HU3450" s="73"/>
      <c r="HV3450" s="73"/>
      <c r="HW3450" s="73"/>
      <c r="HX3450" s="73"/>
      <c r="HY3450" s="73"/>
      <c r="HZ3450" s="73"/>
      <c r="IA3450" s="73"/>
      <c r="IB3450" s="73"/>
      <c r="IC3450" s="73"/>
      <c r="ID3450" s="73"/>
      <c r="IE3450" s="73"/>
      <c r="IF3450" s="73"/>
      <c r="IG3450" s="73"/>
      <c r="IH3450" s="73"/>
      <c r="II3450" s="73"/>
      <c r="IJ3450" s="73"/>
      <c r="IK3450" s="73"/>
      <c r="IL3450" s="73"/>
      <c r="IM3450" s="73"/>
      <c r="IN3450" s="73"/>
      <c r="IO3450" s="73"/>
      <c r="IP3450" s="73"/>
      <c r="IQ3450" s="73"/>
      <c r="IR3450" s="73"/>
      <c r="IS3450" s="73"/>
      <c r="IT3450" s="73"/>
      <c r="IU3450" s="73"/>
      <c r="IV3450" s="73"/>
      <c r="IW3450" s="73"/>
      <c r="IX3450" s="73"/>
      <c r="IY3450" s="73"/>
      <c r="IZ3450" s="73"/>
      <c r="JA3450" s="73"/>
      <c r="JB3450" s="73"/>
      <c r="JC3450" s="73"/>
    </row>
    <row r="3451" spans="2:263" s="72" customFormat="1">
      <c r="B3451" s="73"/>
      <c r="C3451" s="73"/>
      <c r="D3451" s="73"/>
      <c r="E3451" s="73"/>
      <c r="F3451" s="73"/>
      <c r="G3451" s="73"/>
      <c r="H3451" s="73"/>
      <c r="I3451" s="73"/>
      <c r="J3451" s="73"/>
      <c r="K3451" s="73"/>
      <c r="L3451" s="73"/>
      <c r="M3451" s="73"/>
      <c r="N3451" s="73"/>
      <c r="O3451" s="73"/>
      <c r="P3451" s="73"/>
      <c r="Q3451" s="73"/>
      <c r="R3451" s="73"/>
      <c r="S3451" s="73"/>
      <c r="T3451" s="73"/>
      <c r="U3451" s="73"/>
      <c r="V3451" s="73"/>
      <c r="W3451" s="73"/>
      <c r="GL3451" s="73"/>
      <c r="GM3451" s="73"/>
      <c r="GN3451" s="73"/>
      <c r="GO3451" s="73"/>
      <c r="GP3451" s="73"/>
      <c r="GQ3451" s="73"/>
      <c r="GR3451" s="73"/>
      <c r="GS3451" s="73"/>
      <c r="GT3451" s="73"/>
      <c r="GU3451" s="73"/>
      <c r="GV3451" s="73"/>
      <c r="GW3451" s="73"/>
      <c r="GX3451" s="73"/>
      <c r="GY3451" s="73"/>
      <c r="GZ3451" s="73"/>
      <c r="HA3451" s="73"/>
      <c r="HB3451" s="73"/>
      <c r="HC3451" s="73"/>
      <c r="HD3451" s="73"/>
      <c r="HE3451" s="73"/>
      <c r="HF3451" s="73"/>
      <c r="HG3451" s="73"/>
      <c r="HH3451" s="73"/>
      <c r="HI3451" s="73"/>
      <c r="HJ3451" s="73"/>
      <c r="HK3451" s="73"/>
      <c r="HL3451" s="73"/>
      <c r="HM3451" s="73"/>
      <c r="HN3451" s="73"/>
      <c r="HO3451" s="73"/>
      <c r="HP3451" s="73"/>
      <c r="HQ3451" s="73"/>
      <c r="HR3451" s="73"/>
      <c r="HS3451" s="73"/>
      <c r="HT3451" s="73"/>
      <c r="HU3451" s="73"/>
      <c r="HV3451" s="73"/>
      <c r="HW3451" s="73"/>
      <c r="HX3451" s="73"/>
      <c r="HY3451" s="73"/>
      <c r="HZ3451" s="73"/>
      <c r="IA3451" s="73"/>
      <c r="IB3451" s="73"/>
      <c r="IC3451" s="73"/>
      <c r="ID3451" s="73"/>
      <c r="IE3451" s="73"/>
      <c r="IF3451" s="73"/>
      <c r="IG3451" s="73"/>
      <c r="IH3451" s="73"/>
      <c r="II3451" s="73"/>
      <c r="IJ3451" s="73"/>
      <c r="IK3451" s="73"/>
      <c r="IL3451" s="73"/>
      <c r="IM3451" s="73"/>
      <c r="IN3451" s="73"/>
      <c r="IO3451" s="73"/>
      <c r="IP3451" s="73"/>
      <c r="IQ3451" s="73"/>
      <c r="IR3451" s="73"/>
      <c r="IS3451" s="73"/>
      <c r="IT3451" s="73"/>
      <c r="IU3451" s="73"/>
      <c r="IV3451" s="73"/>
      <c r="IW3451" s="73"/>
      <c r="IX3451" s="73"/>
      <c r="IY3451" s="73"/>
      <c r="IZ3451" s="73"/>
      <c r="JA3451" s="73"/>
      <c r="JB3451" s="73"/>
      <c r="JC3451" s="73"/>
    </row>
    <row r="3452" spans="2:263" s="72" customFormat="1">
      <c r="B3452" s="73"/>
      <c r="C3452" s="73"/>
      <c r="D3452" s="73"/>
      <c r="E3452" s="73"/>
      <c r="F3452" s="73"/>
      <c r="G3452" s="73"/>
      <c r="H3452" s="73"/>
      <c r="I3452" s="73"/>
      <c r="J3452" s="73"/>
      <c r="K3452" s="73"/>
      <c r="L3452" s="73"/>
      <c r="M3452" s="73"/>
      <c r="N3452" s="73"/>
      <c r="O3452" s="73"/>
      <c r="P3452" s="73"/>
      <c r="Q3452" s="73"/>
      <c r="R3452" s="73"/>
      <c r="S3452" s="73"/>
      <c r="T3452" s="73"/>
      <c r="U3452" s="73"/>
      <c r="V3452" s="73"/>
      <c r="W3452" s="73"/>
      <c r="GL3452" s="73"/>
      <c r="GM3452" s="73"/>
      <c r="GN3452" s="73"/>
      <c r="GO3452" s="73"/>
      <c r="GP3452" s="73"/>
      <c r="GQ3452" s="73"/>
      <c r="GR3452" s="73"/>
      <c r="GS3452" s="73"/>
      <c r="GT3452" s="73"/>
      <c r="GU3452" s="73"/>
      <c r="GV3452" s="73"/>
      <c r="GW3452" s="73"/>
      <c r="GX3452" s="73"/>
      <c r="GY3452" s="73"/>
      <c r="GZ3452" s="73"/>
      <c r="HA3452" s="73"/>
      <c r="HB3452" s="73"/>
      <c r="HC3452" s="73"/>
      <c r="HD3452" s="73"/>
      <c r="HE3452" s="73"/>
      <c r="HF3452" s="73"/>
      <c r="HG3452" s="73"/>
      <c r="HH3452" s="73"/>
      <c r="HI3452" s="73"/>
      <c r="HJ3452" s="73"/>
      <c r="HK3452" s="73"/>
      <c r="HL3452" s="73"/>
      <c r="HM3452" s="73"/>
      <c r="HN3452" s="73"/>
      <c r="HO3452" s="73"/>
      <c r="HP3452" s="73"/>
      <c r="HQ3452" s="73"/>
      <c r="HR3452" s="73"/>
      <c r="HS3452" s="73"/>
      <c r="HT3452" s="73"/>
      <c r="HU3452" s="73"/>
      <c r="HV3452" s="73"/>
      <c r="HW3452" s="73"/>
      <c r="HX3452" s="73"/>
      <c r="HY3452" s="73"/>
      <c r="HZ3452" s="73"/>
      <c r="IA3452" s="73"/>
      <c r="IB3452" s="73"/>
      <c r="IC3452" s="73"/>
      <c r="ID3452" s="73"/>
      <c r="IE3452" s="73"/>
      <c r="IF3452" s="73"/>
      <c r="IG3452" s="73"/>
      <c r="IH3452" s="73"/>
      <c r="II3452" s="73"/>
      <c r="IJ3452" s="73"/>
      <c r="IK3452" s="73"/>
      <c r="IL3452" s="73"/>
      <c r="IM3452" s="73"/>
      <c r="IN3452" s="73"/>
      <c r="IO3452" s="73"/>
      <c r="IP3452" s="73"/>
      <c r="IQ3452" s="73"/>
      <c r="IR3452" s="73"/>
      <c r="IS3452" s="73"/>
      <c r="IT3452" s="73"/>
      <c r="IU3452" s="73"/>
      <c r="IV3452" s="73"/>
      <c r="IW3452" s="73"/>
      <c r="IX3452" s="73"/>
      <c r="IY3452" s="73"/>
      <c r="IZ3452" s="73"/>
      <c r="JA3452" s="73"/>
      <c r="JB3452" s="73"/>
      <c r="JC3452" s="73"/>
    </row>
    <row r="3453" spans="2:263" s="72" customFormat="1">
      <c r="B3453" s="73"/>
      <c r="C3453" s="73"/>
      <c r="D3453" s="73"/>
      <c r="E3453" s="73"/>
      <c r="F3453" s="73"/>
      <c r="G3453" s="73"/>
      <c r="H3453" s="73"/>
      <c r="I3453" s="73"/>
      <c r="J3453" s="73"/>
      <c r="K3453" s="73"/>
      <c r="L3453" s="73"/>
      <c r="M3453" s="73"/>
      <c r="N3453" s="73"/>
      <c r="O3453" s="73"/>
      <c r="P3453" s="73"/>
      <c r="Q3453" s="73"/>
      <c r="R3453" s="73"/>
      <c r="S3453" s="73"/>
      <c r="T3453" s="73"/>
      <c r="U3453" s="73"/>
      <c r="V3453" s="73"/>
      <c r="W3453" s="73"/>
      <c r="GL3453" s="73"/>
      <c r="GM3453" s="73"/>
      <c r="GN3453" s="73"/>
      <c r="GO3453" s="73"/>
      <c r="GP3453" s="73"/>
      <c r="GQ3453" s="73"/>
      <c r="GR3453" s="73"/>
      <c r="GS3453" s="73"/>
      <c r="GT3453" s="73"/>
      <c r="GU3453" s="73"/>
      <c r="GV3453" s="73"/>
      <c r="GW3453" s="73"/>
      <c r="GX3453" s="73"/>
      <c r="GY3453" s="73"/>
      <c r="GZ3453" s="73"/>
      <c r="HA3453" s="73"/>
      <c r="HB3453" s="73"/>
      <c r="HC3453" s="73"/>
      <c r="HD3453" s="73"/>
      <c r="HE3453" s="73"/>
      <c r="HF3453" s="73"/>
      <c r="HG3453" s="73"/>
      <c r="HH3453" s="73"/>
      <c r="HI3453" s="73"/>
      <c r="HJ3453" s="73"/>
      <c r="HK3453" s="73"/>
      <c r="HL3453" s="73"/>
      <c r="HM3453" s="73"/>
      <c r="HN3453" s="73"/>
      <c r="HO3453" s="73"/>
      <c r="HP3453" s="73"/>
      <c r="HQ3453" s="73"/>
      <c r="HR3453" s="73"/>
      <c r="HS3453" s="73"/>
      <c r="HT3453" s="73"/>
      <c r="HU3453" s="73"/>
      <c r="HV3453" s="73"/>
      <c r="HW3453" s="73"/>
      <c r="HX3453" s="73"/>
      <c r="HY3453" s="73"/>
      <c r="HZ3453" s="73"/>
      <c r="IA3453" s="73"/>
      <c r="IB3453" s="73"/>
      <c r="IC3453" s="73"/>
      <c r="ID3453" s="73"/>
      <c r="IE3453" s="73"/>
      <c r="IF3453" s="73"/>
      <c r="IG3453" s="73"/>
      <c r="IH3453" s="73"/>
      <c r="II3453" s="73"/>
      <c r="IJ3453" s="73"/>
      <c r="IK3453" s="73"/>
      <c r="IL3453" s="73"/>
      <c r="IM3453" s="73"/>
      <c r="IN3453" s="73"/>
      <c r="IO3453" s="73"/>
      <c r="IP3453" s="73"/>
      <c r="IQ3453" s="73"/>
      <c r="IR3453" s="73"/>
      <c r="IS3453" s="73"/>
      <c r="IT3453" s="73"/>
      <c r="IU3453" s="73"/>
      <c r="IV3453" s="73"/>
      <c r="IW3453" s="73"/>
      <c r="IX3453" s="73"/>
      <c r="IY3453" s="73"/>
      <c r="IZ3453" s="73"/>
      <c r="JA3453" s="73"/>
      <c r="JB3453" s="73"/>
      <c r="JC3453" s="73"/>
    </row>
    <row r="3454" spans="2:263" s="72" customFormat="1">
      <c r="B3454" s="73"/>
      <c r="C3454" s="73"/>
      <c r="D3454" s="73"/>
      <c r="E3454" s="73"/>
      <c r="F3454" s="73"/>
      <c r="G3454" s="73"/>
      <c r="H3454" s="73"/>
      <c r="I3454" s="73"/>
      <c r="J3454" s="73"/>
      <c r="K3454" s="73"/>
      <c r="L3454" s="73"/>
      <c r="M3454" s="73"/>
      <c r="N3454" s="73"/>
      <c r="O3454" s="73"/>
      <c r="P3454" s="73"/>
      <c r="Q3454" s="73"/>
      <c r="R3454" s="73"/>
      <c r="S3454" s="73"/>
      <c r="T3454" s="73"/>
      <c r="U3454" s="73"/>
      <c r="V3454" s="73"/>
      <c r="W3454" s="73"/>
      <c r="GL3454" s="73"/>
      <c r="GM3454" s="73"/>
      <c r="GN3454" s="73"/>
      <c r="GO3454" s="73"/>
      <c r="GP3454" s="73"/>
      <c r="GQ3454" s="73"/>
      <c r="GR3454" s="73"/>
      <c r="GS3454" s="73"/>
      <c r="GT3454" s="73"/>
      <c r="GU3454" s="73"/>
      <c r="GV3454" s="73"/>
      <c r="GW3454" s="73"/>
      <c r="GX3454" s="73"/>
      <c r="GY3454" s="73"/>
      <c r="GZ3454" s="73"/>
      <c r="HA3454" s="73"/>
      <c r="HB3454" s="73"/>
      <c r="HC3454" s="73"/>
      <c r="HD3454" s="73"/>
      <c r="HE3454" s="73"/>
      <c r="HF3454" s="73"/>
      <c r="HG3454" s="73"/>
      <c r="HH3454" s="73"/>
      <c r="HI3454" s="73"/>
      <c r="HJ3454" s="73"/>
      <c r="HK3454" s="73"/>
      <c r="HL3454" s="73"/>
      <c r="HM3454" s="73"/>
      <c r="HN3454" s="73"/>
      <c r="HO3454" s="73"/>
      <c r="HP3454" s="73"/>
      <c r="HQ3454" s="73"/>
      <c r="HR3454" s="73"/>
      <c r="HS3454" s="73"/>
      <c r="HT3454" s="73"/>
      <c r="HU3454" s="73"/>
      <c r="HV3454" s="73"/>
      <c r="HW3454" s="73"/>
      <c r="HX3454" s="73"/>
      <c r="HY3454" s="73"/>
      <c r="HZ3454" s="73"/>
      <c r="IA3454" s="73"/>
      <c r="IB3454" s="73"/>
      <c r="IC3454" s="73"/>
      <c r="ID3454" s="73"/>
      <c r="IE3454" s="73"/>
      <c r="IF3454" s="73"/>
      <c r="IG3454" s="73"/>
      <c r="IH3454" s="73"/>
      <c r="II3454" s="73"/>
      <c r="IJ3454" s="73"/>
      <c r="IK3454" s="73"/>
      <c r="IL3454" s="73"/>
      <c r="IM3454" s="73"/>
      <c r="IN3454" s="73"/>
      <c r="IO3454" s="73"/>
      <c r="IP3454" s="73"/>
      <c r="IQ3454" s="73"/>
      <c r="IR3454" s="73"/>
      <c r="IS3454" s="73"/>
      <c r="IT3454" s="73"/>
      <c r="IU3454" s="73"/>
      <c r="IV3454" s="73"/>
      <c r="IW3454" s="73"/>
      <c r="IX3454" s="73"/>
      <c r="IY3454" s="73"/>
      <c r="IZ3454" s="73"/>
      <c r="JA3454" s="73"/>
      <c r="JB3454" s="73"/>
      <c r="JC3454" s="73"/>
    </row>
    <row r="3455" spans="2:263" s="72" customFormat="1">
      <c r="B3455" s="73"/>
      <c r="C3455" s="73"/>
      <c r="D3455" s="73"/>
      <c r="E3455" s="73"/>
      <c r="F3455" s="73"/>
      <c r="G3455" s="73"/>
      <c r="H3455" s="73"/>
      <c r="I3455" s="73"/>
      <c r="J3455" s="73"/>
      <c r="K3455" s="73"/>
      <c r="L3455" s="73"/>
      <c r="M3455" s="73"/>
      <c r="N3455" s="73"/>
      <c r="O3455" s="73"/>
      <c r="P3455" s="73"/>
      <c r="Q3455" s="73"/>
      <c r="R3455" s="73"/>
      <c r="S3455" s="73"/>
      <c r="T3455" s="73"/>
      <c r="U3455" s="73"/>
      <c r="V3455" s="73"/>
      <c r="W3455" s="73"/>
      <c r="GL3455" s="73"/>
      <c r="GM3455" s="73"/>
      <c r="GN3455" s="73"/>
      <c r="GO3455" s="73"/>
      <c r="GP3455" s="73"/>
      <c r="GQ3455" s="73"/>
      <c r="GR3455" s="73"/>
      <c r="GS3455" s="73"/>
      <c r="GT3455" s="73"/>
      <c r="GU3455" s="73"/>
      <c r="GV3455" s="73"/>
      <c r="GW3455" s="73"/>
      <c r="GX3455" s="73"/>
      <c r="GY3455" s="73"/>
      <c r="GZ3455" s="73"/>
      <c r="HA3455" s="73"/>
      <c r="HB3455" s="73"/>
      <c r="HC3455" s="73"/>
      <c r="HD3455" s="73"/>
      <c r="HE3455" s="73"/>
      <c r="HF3455" s="73"/>
      <c r="HG3455" s="73"/>
      <c r="HH3455" s="73"/>
      <c r="HI3455" s="73"/>
      <c r="HJ3455" s="73"/>
      <c r="HK3455" s="73"/>
      <c r="HL3455" s="73"/>
      <c r="HM3455" s="73"/>
      <c r="HN3455" s="73"/>
      <c r="HO3455" s="73"/>
      <c r="HP3455" s="73"/>
      <c r="HQ3455" s="73"/>
      <c r="HR3455" s="73"/>
      <c r="HS3455" s="73"/>
      <c r="HT3455" s="73"/>
      <c r="HU3455" s="73"/>
      <c r="HV3455" s="73"/>
      <c r="HW3455" s="73"/>
      <c r="HX3455" s="73"/>
      <c r="HY3455" s="73"/>
      <c r="HZ3455" s="73"/>
      <c r="IA3455" s="73"/>
      <c r="IB3455" s="73"/>
      <c r="IC3455" s="73"/>
      <c r="ID3455" s="73"/>
      <c r="IE3455" s="73"/>
      <c r="IF3455" s="73"/>
      <c r="IG3455" s="73"/>
      <c r="IH3455" s="73"/>
      <c r="II3455" s="73"/>
      <c r="IJ3455" s="73"/>
      <c r="IK3455" s="73"/>
      <c r="IL3455" s="73"/>
      <c r="IM3455" s="73"/>
      <c r="IN3455" s="73"/>
      <c r="IO3455" s="73"/>
      <c r="IP3455" s="73"/>
      <c r="IQ3455" s="73"/>
      <c r="IR3455" s="73"/>
      <c r="IS3455" s="73"/>
      <c r="IT3455" s="73"/>
      <c r="IU3455" s="73"/>
      <c r="IV3455" s="73"/>
      <c r="IW3455" s="73"/>
      <c r="IX3455" s="73"/>
      <c r="IY3455" s="73"/>
      <c r="IZ3455" s="73"/>
      <c r="JA3455" s="73"/>
      <c r="JB3455" s="73"/>
      <c r="JC3455" s="73"/>
    </row>
    <row r="3456" spans="2:263" s="72" customFormat="1">
      <c r="B3456" s="73"/>
      <c r="C3456" s="73"/>
      <c r="D3456" s="73"/>
      <c r="E3456" s="73"/>
      <c r="F3456" s="73"/>
      <c r="G3456" s="73"/>
      <c r="H3456" s="73"/>
      <c r="I3456" s="73"/>
      <c r="J3456" s="73"/>
      <c r="K3456" s="73"/>
      <c r="L3456" s="73"/>
      <c r="M3456" s="73"/>
      <c r="N3456" s="73"/>
      <c r="O3456" s="73"/>
      <c r="P3456" s="73"/>
      <c r="Q3456" s="73"/>
      <c r="R3456" s="73"/>
      <c r="S3456" s="73"/>
      <c r="T3456" s="73"/>
      <c r="U3456" s="73"/>
      <c r="V3456" s="73"/>
      <c r="W3456" s="73"/>
      <c r="GL3456" s="73"/>
      <c r="GM3456" s="73"/>
      <c r="GN3456" s="73"/>
      <c r="GO3456" s="73"/>
      <c r="GP3456" s="73"/>
      <c r="GQ3456" s="73"/>
      <c r="GR3456" s="73"/>
      <c r="GS3456" s="73"/>
      <c r="GT3456" s="73"/>
      <c r="GU3456" s="73"/>
      <c r="GV3456" s="73"/>
      <c r="GW3456" s="73"/>
      <c r="GX3456" s="73"/>
      <c r="GY3456" s="73"/>
      <c r="GZ3456" s="73"/>
      <c r="HA3456" s="73"/>
      <c r="HB3456" s="73"/>
      <c r="HC3456" s="73"/>
      <c r="HD3456" s="73"/>
      <c r="HE3456" s="73"/>
      <c r="HF3456" s="73"/>
      <c r="HG3456" s="73"/>
      <c r="HH3456" s="73"/>
      <c r="HI3456" s="73"/>
      <c r="HJ3456" s="73"/>
      <c r="HK3456" s="73"/>
      <c r="HL3456" s="73"/>
      <c r="HM3456" s="73"/>
      <c r="HN3456" s="73"/>
      <c r="HO3456" s="73"/>
      <c r="HP3456" s="73"/>
      <c r="HQ3456" s="73"/>
      <c r="HR3456" s="73"/>
      <c r="HS3456" s="73"/>
      <c r="HT3456" s="73"/>
      <c r="HU3456" s="73"/>
      <c r="HV3456" s="73"/>
      <c r="HW3456" s="73"/>
      <c r="HX3456" s="73"/>
      <c r="HY3456" s="73"/>
      <c r="HZ3456" s="73"/>
      <c r="IA3456" s="73"/>
      <c r="IB3456" s="73"/>
      <c r="IC3456" s="73"/>
      <c r="ID3456" s="73"/>
      <c r="IE3456" s="73"/>
      <c r="IF3456" s="73"/>
      <c r="IG3456" s="73"/>
      <c r="IH3456" s="73"/>
      <c r="II3456" s="73"/>
      <c r="IJ3456" s="73"/>
      <c r="IK3456" s="73"/>
      <c r="IL3456" s="73"/>
      <c r="IM3456" s="73"/>
      <c r="IN3456" s="73"/>
      <c r="IO3456" s="73"/>
      <c r="IP3456" s="73"/>
      <c r="IQ3456" s="73"/>
      <c r="IR3456" s="73"/>
      <c r="IS3456" s="73"/>
      <c r="IT3456" s="73"/>
      <c r="IU3456" s="73"/>
      <c r="IV3456" s="73"/>
      <c r="IW3456" s="73"/>
      <c r="IX3456" s="73"/>
      <c r="IY3456" s="73"/>
      <c r="IZ3456" s="73"/>
      <c r="JA3456" s="73"/>
      <c r="JB3456" s="73"/>
      <c r="JC3456" s="73"/>
    </row>
    <row r="3457" spans="2:263" s="72" customFormat="1">
      <c r="B3457" s="73"/>
      <c r="C3457" s="73"/>
      <c r="D3457" s="73"/>
      <c r="E3457" s="73"/>
      <c r="F3457" s="73"/>
      <c r="G3457" s="73"/>
      <c r="H3457" s="73"/>
      <c r="I3457" s="73"/>
      <c r="J3457" s="73"/>
      <c r="K3457" s="73"/>
      <c r="L3457" s="73"/>
      <c r="M3457" s="73"/>
      <c r="N3457" s="73"/>
      <c r="O3457" s="73"/>
      <c r="P3457" s="73"/>
      <c r="Q3457" s="73"/>
      <c r="R3457" s="73"/>
      <c r="S3457" s="73"/>
      <c r="T3457" s="73"/>
      <c r="U3457" s="73"/>
      <c r="V3457" s="73"/>
      <c r="W3457" s="73"/>
      <c r="GL3457" s="73"/>
      <c r="GM3457" s="73"/>
      <c r="GN3457" s="73"/>
      <c r="GO3457" s="73"/>
      <c r="GP3457" s="73"/>
      <c r="GQ3457" s="73"/>
      <c r="GR3457" s="73"/>
      <c r="GS3457" s="73"/>
      <c r="GT3457" s="73"/>
      <c r="GU3457" s="73"/>
      <c r="GV3457" s="73"/>
      <c r="GW3457" s="73"/>
      <c r="GX3457" s="73"/>
      <c r="GY3457" s="73"/>
      <c r="GZ3457" s="73"/>
      <c r="HA3457" s="73"/>
      <c r="HB3457" s="73"/>
      <c r="HC3457" s="73"/>
      <c r="HD3457" s="73"/>
      <c r="HE3457" s="73"/>
      <c r="HF3457" s="73"/>
      <c r="HG3457" s="73"/>
      <c r="HH3457" s="73"/>
      <c r="HI3457" s="73"/>
      <c r="HJ3457" s="73"/>
      <c r="HK3457" s="73"/>
      <c r="HL3457" s="73"/>
      <c r="HM3457" s="73"/>
      <c r="HN3457" s="73"/>
      <c r="HO3457" s="73"/>
      <c r="HP3457" s="73"/>
      <c r="HQ3457" s="73"/>
      <c r="HR3457" s="73"/>
      <c r="HS3457" s="73"/>
      <c r="HT3457" s="73"/>
      <c r="HU3457" s="73"/>
      <c r="HV3457" s="73"/>
      <c r="HW3457" s="73"/>
      <c r="HX3457" s="73"/>
      <c r="HY3457" s="73"/>
      <c r="HZ3457" s="73"/>
      <c r="IA3457" s="73"/>
      <c r="IB3457" s="73"/>
      <c r="IC3457" s="73"/>
      <c r="ID3457" s="73"/>
      <c r="IE3457" s="73"/>
      <c r="IF3457" s="73"/>
      <c r="IG3457" s="73"/>
      <c r="IH3457" s="73"/>
      <c r="II3457" s="73"/>
      <c r="IJ3457" s="73"/>
      <c r="IK3457" s="73"/>
      <c r="IL3457" s="73"/>
      <c r="IM3457" s="73"/>
      <c r="IN3457" s="73"/>
      <c r="IO3457" s="73"/>
      <c r="IP3457" s="73"/>
      <c r="IQ3457" s="73"/>
      <c r="IR3457" s="73"/>
      <c r="IS3457" s="73"/>
      <c r="IT3457" s="73"/>
      <c r="IU3457" s="73"/>
      <c r="IV3457" s="73"/>
      <c r="IW3457" s="73"/>
      <c r="IX3457" s="73"/>
      <c r="IY3457" s="73"/>
      <c r="IZ3457" s="73"/>
      <c r="JA3457" s="73"/>
      <c r="JB3457" s="73"/>
      <c r="JC3457" s="73"/>
    </row>
    <row r="3458" spans="2:263" s="72" customFormat="1">
      <c r="B3458" s="73"/>
      <c r="C3458" s="73"/>
      <c r="D3458" s="73"/>
      <c r="E3458" s="73"/>
      <c r="F3458" s="73"/>
      <c r="G3458" s="73"/>
      <c r="H3458" s="73"/>
      <c r="I3458" s="73"/>
      <c r="J3458" s="73"/>
      <c r="K3458" s="73"/>
      <c r="L3458" s="73"/>
      <c r="M3458" s="73"/>
      <c r="N3458" s="73"/>
      <c r="O3458" s="73"/>
      <c r="P3458" s="73"/>
      <c r="Q3458" s="73"/>
      <c r="R3458" s="73"/>
      <c r="S3458" s="73"/>
      <c r="T3458" s="73"/>
      <c r="U3458" s="73"/>
      <c r="V3458" s="73"/>
      <c r="W3458" s="73"/>
      <c r="GL3458" s="73"/>
      <c r="GM3458" s="73"/>
      <c r="GN3458" s="73"/>
      <c r="GO3458" s="73"/>
      <c r="GP3458" s="73"/>
      <c r="GQ3458" s="73"/>
      <c r="GR3458" s="73"/>
      <c r="GS3458" s="73"/>
      <c r="GT3458" s="73"/>
      <c r="GU3458" s="73"/>
      <c r="GV3458" s="73"/>
      <c r="GW3458" s="73"/>
      <c r="GX3458" s="73"/>
      <c r="GY3458" s="73"/>
      <c r="GZ3458" s="73"/>
      <c r="HA3458" s="73"/>
      <c r="HB3458" s="73"/>
      <c r="HC3458" s="73"/>
      <c r="HD3458" s="73"/>
      <c r="HE3458" s="73"/>
      <c r="HF3458" s="73"/>
      <c r="HG3458" s="73"/>
      <c r="HH3458" s="73"/>
      <c r="HI3458" s="73"/>
      <c r="HJ3458" s="73"/>
      <c r="HK3458" s="73"/>
      <c r="HL3458" s="73"/>
      <c r="HM3458" s="73"/>
      <c r="HN3458" s="73"/>
      <c r="HO3458" s="73"/>
      <c r="HP3458" s="73"/>
      <c r="HQ3458" s="73"/>
      <c r="HR3458" s="73"/>
      <c r="HS3458" s="73"/>
      <c r="HT3458" s="73"/>
      <c r="HU3458" s="73"/>
      <c r="HV3458" s="73"/>
      <c r="HW3458" s="73"/>
      <c r="HX3458" s="73"/>
      <c r="HY3458" s="73"/>
      <c r="HZ3458" s="73"/>
      <c r="IA3458" s="73"/>
      <c r="IB3458" s="73"/>
      <c r="IC3458" s="73"/>
      <c r="ID3458" s="73"/>
      <c r="IE3458" s="73"/>
      <c r="IF3458" s="73"/>
      <c r="IG3458" s="73"/>
      <c r="IH3458" s="73"/>
      <c r="II3458" s="73"/>
      <c r="IJ3458" s="73"/>
      <c r="IK3458" s="73"/>
      <c r="IL3458" s="73"/>
      <c r="IM3458" s="73"/>
      <c r="IN3458" s="73"/>
      <c r="IO3458" s="73"/>
      <c r="IP3458" s="73"/>
      <c r="IQ3458" s="73"/>
      <c r="IR3458" s="73"/>
      <c r="IS3458" s="73"/>
      <c r="IT3458" s="73"/>
      <c r="IU3458" s="73"/>
      <c r="IV3458" s="73"/>
      <c r="IW3458" s="73"/>
      <c r="IX3458" s="73"/>
      <c r="IY3458" s="73"/>
      <c r="IZ3458" s="73"/>
      <c r="JA3458" s="73"/>
      <c r="JB3458" s="73"/>
      <c r="JC3458" s="73"/>
    </row>
    <row r="3459" spans="2:263" s="72" customFormat="1">
      <c r="B3459" s="73"/>
      <c r="C3459" s="73"/>
      <c r="D3459" s="73"/>
      <c r="E3459" s="73"/>
      <c r="F3459" s="73"/>
      <c r="G3459" s="73"/>
      <c r="H3459" s="73"/>
      <c r="I3459" s="73"/>
      <c r="J3459" s="73"/>
      <c r="K3459" s="73"/>
      <c r="L3459" s="73"/>
      <c r="M3459" s="73"/>
      <c r="N3459" s="73"/>
      <c r="O3459" s="73"/>
      <c r="P3459" s="73"/>
      <c r="Q3459" s="73"/>
      <c r="R3459" s="73"/>
      <c r="S3459" s="73"/>
      <c r="T3459" s="73"/>
      <c r="U3459" s="73"/>
      <c r="V3459" s="73"/>
      <c r="W3459" s="73"/>
      <c r="GL3459" s="73"/>
      <c r="GM3459" s="73"/>
      <c r="GN3459" s="73"/>
      <c r="GO3459" s="73"/>
      <c r="GP3459" s="73"/>
      <c r="GQ3459" s="73"/>
      <c r="GR3459" s="73"/>
      <c r="GS3459" s="73"/>
      <c r="GT3459" s="73"/>
      <c r="GU3459" s="73"/>
      <c r="GV3459" s="73"/>
      <c r="GW3459" s="73"/>
      <c r="GX3459" s="73"/>
      <c r="GY3459" s="73"/>
      <c r="GZ3459" s="73"/>
      <c r="HA3459" s="73"/>
      <c r="HB3459" s="73"/>
      <c r="HC3459" s="73"/>
      <c r="HD3459" s="73"/>
      <c r="HE3459" s="73"/>
      <c r="HF3459" s="73"/>
      <c r="HG3459" s="73"/>
      <c r="HH3459" s="73"/>
      <c r="HI3459" s="73"/>
      <c r="HJ3459" s="73"/>
      <c r="HK3459" s="73"/>
      <c r="HL3459" s="73"/>
      <c r="HM3459" s="73"/>
      <c r="HN3459" s="73"/>
      <c r="HO3459" s="73"/>
      <c r="HP3459" s="73"/>
      <c r="HQ3459" s="73"/>
      <c r="HR3459" s="73"/>
      <c r="HS3459" s="73"/>
      <c r="HT3459" s="73"/>
      <c r="HU3459" s="73"/>
      <c r="HV3459" s="73"/>
      <c r="HW3459" s="73"/>
      <c r="HX3459" s="73"/>
      <c r="HY3459" s="73"/>
      <c r="HZ3459" s="73"/>
      <c r="IA3459" s="73"/>
      <c r="IB3459" s="73"/>
      <c r="IC3459" s="73"/>
      <c r="ID3459" s="73"/>
      <c r="IE3459" s="73"/>
      <c r="IF3459" s="73"/>
      <c r="IG3459" s="73"/>
      <c r="IH3459" s="73"/>
      <c r="II3459" s="73"/>
      <c r="IJ3459" s="73"/>
      <c r="IK3459" s="73"/>
      <c r="IL3459" s="73"/>
      <c r="IM3459" s="73"/>
      <c r="IN3459" s="73"/>
      <c r="IO3459" s="73"/>
      <c r="IP3459" s="73"/>
      <c r="IQ3459" s="73"/>
      <c r="IR3459" s="73"/>
      <c r="IS3459" s="73"/>
      <c r="IT3459" s="73"/>
      <c r="IU3459" s="73"/>
      <c r="IV3459" s="73"/>
      <c r="IW3459" s="73"/>
      <c r="IX3459" s="73"/>
      <c r="IY3459" s="73"/>
      <c r="IZ3459" s="73"/>
      <c r="JA3459" s="73"/>
      <c r="JB3459" s="73"/>
      <c r="JC3459" s="73"/>
    </row>
    <row r="3460" spans="2:263" s="72" customFormat="1">
      <c r="B3460" s="73"/>
      <c r="C3460" s="73"/>
      <c r="D3460" s="73"/>
      <c r="E3460" s="73"/>
      <c r="F3460" s="73"/>
      <c r="G3460" s="73"/>
      <c r="H3460" s="73"/>
      <c r="I3460" s="73"/>
      <c r="J3460" s="73"/>
      <c r="K3460" s="73"/>
      <c r="L3460" s="73"/>
      <c r="M3460" s="73"/>
      <c r="N3460" s="73"/>
      <c r="O3460" s="73"/>
      <c r="P3460" s="73"/>
      <c r="Q3460" s="73"/>
      <c r="R3460" s="73"/>
      <c r="S3460" s="73"/>
      <c r="T3460" s="73"/>
      <c r="U3460" s="73"/>
      <c r="V3460" s="73"/>
      <c r="W3460" s="73"/>
      <c r="GL3460" s="73"/>
      <c r="GM3460" s="73"/>
      <c r="GN3460" s="73"/>
      <c r="GO3460" s="73"/>
      <c r="GP3460" s="73"/>
      <c r="GQ3460" s="73"/>
      <c r="GR3460" s="73"/>
      <c r="GS3460" s="73"/>
      <c r="GT3460" s="73"/>
      <c r="GU3460" s="73"/>
      <c r="GV3460" s="73"/>
      <c r="GW3460" s="73"/>
      <c r="GX3460" s="73"/>
      <c r="GY3460" s="73"/>
      <c r="GZ3460" s="73"/>
      <c r="HA3460" s="73"/>
      <c r="HB3460" s="73"/>
      <c r="HC3460" s="73"/>
      <c r="HD3460" s="73"/>
      <c r="HE3460" s="73"/>
      <c r="HF3460" s="73"/>
      <c r="HG3460" s="73"/>
      <c r="HH3460" s="73"/>
      <c r="HI3460" s="73"/>
      <c r="HJ3460" s="73"/>
      <c r="HK3460" s="73"/>
      <c r="HL3460" s="73"/>
      <c r="HM3460" s="73"/>
      <c r="HN3460" s="73"/>
      <c r="HO3460" s="73"/>
      <c r="HP3460" s="73"/>
      <c r="HQ3460" s="73"/>
      <c r="HR3460" s="73"/>
      <c r="HS3460" s="73"/>
      <c r="HT3460" s="73"/>
      <c r="HU3460" s="73"/>
      <c r="HV3460" s="73"/>
      <c r="HW3460" s="73"/>
      <c r="HX3460" s="73"/>
      <c r="HY3460" s="73"/>
      <c r="HZ3460" s="73"/>
      <c r="IA3460" s="73"/>
      <c r="IB3460" s="73"/>
      <c r="IC3460" s="73"/>
      <c r="ID3460" s="73"/>
      <c r="IE3460" s="73"/>
      <c r="IF3460" s="73"/>
      <c r="IG3460" s="73"/>
      <c r="IH3460" s="73"/>
      <c r="II3460" s="73"/>
      <c r="IJ3460" s="73"/>
      <c r="IK3460" s="73"/>
      <c r="IL3460" s="73"/>
      <c r="IM3460" s="73"/>
      <c r="IN3460" s="73"/>
      <c r="IO3460" s="73"/>
      <c r="IP3460" s="73"/>
      <c r="IQ3460" s="73"/>
      <c r="IR3460" s="73"/>
      <c r="IS3460" s="73"/>
      <c r="IT3460" s="73"/>
      <c r="IU3460" s="73"/>
      <c r="IV3460" s="73"/>
      <c r="IW3460" s="73"/>
      <c r="IX3460" s="73"/>
      <c r="IY3460" s="73"/>
      <c r="IZ3460" s="73"/>
      <c r="JA3460" s="73"/>
      <c r="JB3460" s="73"/>
      <c r="JC3460" s="73"/>
    </row>
    <row r="3461" spans="2:263" s="72" customFormat="1">
      <c r="B3461" s="73"/>
      <c r="C3461" s="73"/>
      <c r="D3461" s="73"/>
      <c r="E3461" s="73"/>
      <c r="F3461" s="73"/>
      <c r="G3461" s="73"/>
      <c r="H3461" s="73"/>
      <c r="I3461" s="73"/>
      <c r="J3461" s="73"/>
      <c r="K3461" s="73"/>
      <c r="L3461" s="73"/>
      <c r="M3461" s="73"/>
      <c r="N3461" s="73"/>
      <c r="O3461" s="73"/>
      <c r="P3461" s="73"/>
      <c r="Q3461" s="73"/>
      <c r="R3461" s="73"/>
      <c r="S3461" s="73"/>
      <c r="T3461" s="73"/>
      <c r="U3461" s="73"/>
      <c r="V3461" s="73"/>
      <c r="W3461" s="73"/>
      <c r="GL3461" s="73"/>
      <c r="GM3461" s="73"/>
      <c r="GN3461" s="73"/>
      <c r="GO3461" s="73"/>
      <c r="GP3461" s="73"/>
      <c r="GQ3461" s="73"/>
      <c r="GR3461" s="73"/>
      <c r="GS3461" s="73"/>
      <c r="GT3461" s="73"/>
      <c r="GU3461" s="73"/>
      <c r="GV3461" s="73"/>
      <c r="GW3461" s="73"/>
      <c r="GX3461" s="73"/>
      <c r="GY3461" s="73"/>
      <c r="GZ3461" s="73"/>
      <c r="HA3461" s="73"/>
      <c r="HB3461" s="73"/>
      <c r="HC3461" s="73"/>
      <c r="HD3461" s="73"/>
      <c r="HE3461" s="73"/>
      <c r="HF3461" s="73"/>
      <c r="HG3461" s="73"/>
      <c r="HH3461" s="73"/>
      <c r="HI3461" s="73"/>
      <c r="HJ3461" s="73"/>
      <c r="HK3461" s="73"/>
      <c r="HL3461" s="73"/>
      <c r="HM3461" s="73"/>
      <c r="HN3461" s="73"/>
      <c r="HO3461" s="73"/>
      <c r="HP3461" s="73"/>
      <c r="HQ3461" s="73"/>
      <c r="HR3461" s="73"/>
      <c r="HS3461" s="73"/>
      <c r="HT3461" s="73"/>
      <c r="HU3461" s="73"/>
      <c r="HV3461" s="73"/>
      <c r="HW3461" s="73"/>
      <c r="HX3461" s="73"/>
      <c r="HY3461" s="73"/>
      <c r="HZ3461" s="73"/>
      <c r="IA3461" s="73"/>
      <c r="IB3461" s="73"/>
      <c r="IC3461" s="73"/>
      <c r="ID3461" s="73"/>
      <c r="IE3461" s="73"/>
      <c r="IF3461" s="73"/>
      <c r="IG3461" s="73"/>
      <c r="IH3461" s="73"/>
      <c r="II3461" s="73"/>
      <c r="IJ3461" s="73"/>
      <c r="IK3461" s="73"/>
      <c r="IL3461" s="73"/>
      <c r="IM3461" s="73"/>
      <c r="IN3461" s="73"/>
      <c r="IO3461" s="73"/>
      <c r="IP3461" s="73"/>
      <c r="IQ3461" s="73"/>
      <c r="IR3461" s="73"/>
      <c r="IS3461" s="73"/>
      <c r="IT3461" s="73"/>
      <c r="IU3461" s="73"/>
      <c r="IV3461" s="73"/>
      <c r="IW3461" s="73"/>
      <c r="IX3461" s="73"/>
      <c r="IY3461" s="73"/>
      <c r="IZ3461" s="73"/>
      <c r="JA3461" s="73"/>
      <c r="JB3461" s="73"/>
      <c r="JC3461" s="73"/>
    </row>
    <row r="3462" spans="2:263" s="72" customFormat="1">
      <c r="B3462" s="73"/>
      <c r="C3462" s="73"/>
      <c r="D3462" s="73"/>
      <c r="E3462" s="73"/>
      <c r="F3462" s="73"/>
      <c r="G3462" s="73"/>
      <c r="H3462" s="73"/>
      <c r="I3462" s="73"/>
      <c r="J3462" s="73"/>
      <c r="K3462" s="73"/>
      <c r="L3462" s="73"/>
      <c r="M3462" s="73"/>
      <c r="N3462" s="73"/>
      <c r="O3462" s="73"/>
      <c r="P3462" s="73"/>
      <c r="Q3462" s="73"/>
      <c r="R3462" s="73"/>
      <c r="S3462" s="73"/>
      <c r="T3462" s="73"/>
      <c r="U3462" s="73"/>
      <c r="V3462" s="73"/>
      <c r="W3462" s="73"/>
      <c r="GL3462" s="73"/>
      <c r="GM3462" s="73"/>
      <c r="GN3462" s="73"/>
      <c r="GO3462" s="73"/>
      <c r="GP3462" s="73"/>
      <c r="GQ3462" s="73"/>
      <c r="GR3462" s="73"/>
      <c r="GS3462" s="73"/>
      <c r="GT3462" s="73"/>
      <c r="GU3462" s="73"/>
      <c r="GV3462" s="73"/>
      <c r="GW3462" s="73"/>
      <c r="GX3462" s="73"/>
      <c r="GY3462" s="73"/>
      <c r="GZ3462" s="73"/>
      <c r="HA3462" s="73"/>
      <c r="HB3462" s="73"/>
      <c r="HC3462" s="73"/>
      <c r="HD3462" s="73"/>
      <c r="HE3462" s="73"/>
      <c r="HF3462" s="73"/>
      <c r="HG3462" s="73"/>
      <c r="HH3462" s="73"/>
      <c r="HI3462" s="73"/>
      <c r="HJ3462" s="73"/>
      <c r="HK3462" s="73"/>
      <c r="HL3462" s="73"/>
      <c r="HM3462" s="73"/>
      <c r="HN3462" s="73"/>
      <c r="HO3462" s="73"/>
      <c r="HP3462" s="73"/>
      <c r="HQ3462" s="73"/>
      <c r="HR3462" s="73"/>
      <c r="HS3462" s="73"/>
      <c r="HT3462" s="73"/>
      <c r="HU3462" s="73"/>
      <c r="HV3462" s="73"/>
      <c r="HW3462" s="73"/>
      <c r="HX3462" s="73"/>
      <c r="HY3462" s="73"/>
      <c r="HZ3462" s="73"/>
      <c r="IA3462" s="73"/>
      <c r="IB3462" s="73"/>
      <c r="IC3462" s="73"/>
      <c r="ID3462" s="73"/>
      <c r="IE3462" s="73"/>
      <c r="IF3462" s="73"/>
      <c r="IG3462" s="73"/>
      <c r="IH3462" s="73"/>
      <c r="II3462" s="73"/>
      <c r="IJ3462" s="73"/>
      <c r="IK3462" s="73"/>
      <c r="IL3462" s="73"/>
      <c r="IM3462" s="73"/>
      <c r="IN3462" s="73"/>
      <c r="IO3462" s="73"/>
      <c r="IP3462" s="73"/>
      <c r="IQ3462" s="73"/>
      <c r="IR3462" s="73"/>
      <c r="IS3462" s="73"/>
      <c r="IT3462" s="73"/>
      <c r="IU3462" s="73"/>
      <c r="IV3462" s="73"/>
      <c r="IW3462" s="73"/>
      <c r="IX3462" s="73"/>
      <c r="IY3462" s="73"/>
      <c r="IZ3462" s="73"/>
      <c r="JA3462" s="73"/>
      <c r="JB3462" s="73"/>
      <c r="JC3462" s="73"/>
    </row>
    <row r="3463" spans="2:263" s="72" customFormat="1">
      <c r="B3463" s="73"/>
      <c r="C3463" s="73"/>
      <c r="D3463" s="73"/>
      <c r="E3463" s="73"/>
      <c r="F3463" s="73"/>
      <c r="G3463" s="73"/>
      <c r="H3463" s="73"/>
      <c r="I3463" s="73"/>
      <c r="J3463" s="73"/>
      <c r="K3463" s="73"/>
      <c r="L3463" s="73"/>
      <c r="M3463" s="73"/>
      <c r="N3463" s="73"/>
      <c r="O3463" s="73"/>
      <c r="P3463" s="73"/>
      <c r="Q3463" s="73"/>
      <c r="R3463" s="73"/>
      <c r="S3463" s="73"/>
      <c r="T3463" s="73"/>
      <c r="U3463" s="73"/>
      <c r="V3463" s="73"/>
      <c r="W3463" s="73"/>
      <c r="GL3463" s="73"/>
      <c r="GM3463" s="73"/>
      <c r="GN3463" s="73"/>
      <c r="GO3463" s="73"/>
      <c r="GP3463" s="73"/>
      <c r="GQ3463" s="73"/>
      <c r="GR3463" s="73"/>
      <c r="GS3463" s="73"/>
      <c r="GT3463" s="73"/>
      <c r="GU3463" s="73"/>
      <c r="GV3463" s="73"/>
      <c r="GW3463" s="73"/>
      <c r="GX3463" s="73"/>
      <c r="GY3463" s="73"/>
      <c r="GZ3463" s="73"/>
      <c r="HA3463" s="73"/>
      <c r="HB3463" s="73"/>
      <c r="HC3463" s="73"/>
      <c r="HD3463" s="73"/>
      <c r="HE3463" s="73"/>
      <c r="HF3463" s="73"/>
      <c r="HG3463" s="73"/>
      <c r="HH3463" s="73"/>
      <c r="HI3463" s="73"/>
      <c r="HJ3463" s="73"/>
      <c r="HK3463" s="73"/>
      <c r="HL3463" s="73"/>
      <c r="HM3463" s="73"/>
      <c r="HN3463" s="73"/>
      <c r="HO3463" s="73"/>
      <c r="HP3463" s="73"/>
      <c r="HQ3463" s="73"/>
      <c r="HR3463" s="73"/>
      <c r="HS3463" s="73"/>
      <c r="HT3463" s="73"/>
      <c r="HU3463" s="73"/>
      <c r="HV3463" s="73"/>
      <c r="HW3463" s="73"/>
      <c r="HX3463" s="73"/>
      <c r="HY3463" s="73"/>
      <c r="HZ3463" s="73"/>
      <c r="IA3463" s="73"/>
      <c r="IB3463" s="73"/>
      <c r="IC3463" s="73"/>
      <c r="ID3463" s="73"/>
      <c r="IE3463" s="73"/>
      <c r="IF3463" s="73"/>
      <c r="IG3463" s="73"/>
      <c r="IH3463" s="73"/>
      <c r="II3463" s="73"/>
      <c r="IJ3463" s="73"/>
      <c r="IK3463" s="73"/>
      <c r="IL3463" s="73"/>
      <c r="IM3463" s="73"/>
      <c r="IN3463" s="73"/>
      <c r="IO3463" s="73"/>
      <c r="IP3463" s="73"/>
      <c r="IQ3463" s="73"/>
      <c r="IR3463" s="73"/>
      <c r="IS3463" s="73"/>
      <c r="IT3463" s="73"/>
      <c r="IU3463" s="73"/>
      <c r="IV3463" s="73"/>
      <c r="IW3463" s="73"/>
      <c r="IX3463" s="73"/>
      <c r="IY3463" s="73"/>
      <c r="IZ3463" s="73"/>
      <c r="JA3463" s="73"/>
      <c r="JB3463" s="73"/>
      <c r="JC3463" s="73"/>
    </row>
    <row r="3464" spans="2:263" s="72" customFormat="1">
      <c r="B3464" s="73"/>
      <c r="C3464" s="73"/>
      <c r="D3464" s="73"/>
      <c r="E3464" s="73"/>
      <c r="F3464" s="73"/>
      <c r="G3464" s="73"/>
      <c r="H3464" s="73"/>
      <c r="I3464" s="73"/>
      <c r="J3464" s="73"/>
      <c r="K3464" s="73"/>
      <c r="L3464" s="73"/>
      <c r="M3464" s="73"/>
      <c r="N3464" s="73"/>
      <c r="O3464" s="73"/>
      <c r="P3464" s="73"/>
      <c r="Q3464" s="73"/>
      <c r="R3464" s="73"/>
      <c r="S3464" s="73"/>
      <c r="T3464" s="73"/>
      <c r="U3464" s="73"/>
      <c r="V3464" s="73"/>
      <c r="W3464" s="73"/>
      <c r="GL3464" s="73"/>
      <c r="GM3464" s="73"/>
      <c r="GN3464" s="73"/>
      <c r="GO3464" s="73"/>
      <c r="GP3464" s="73"/>
      <c r="GQ3464" s="73"/>
      <c r="GR3464" s="73"/>
      <c r="GS3464" s="73"/>
      <c r="GT3464" s="73"/>
      <c r="GU3464" s="73"/>
      <c r="GV3464" s="73"/>
      <c r="GW3464" s="73"/>
      <c r="GX3464" s="73"/>
      <c r="GY3464" s="73"/>
      <c r="GZ3464" s="73"/>
      <c r="HA3464" s="73"/>
      <c r="HB3464" s="73"/>
      <c r="HC3464" s="73"/>
      <c r="HD3464" s="73"/>
      <c r="HE3464" s="73"/>
      <c r="HF3464" s="73"/>
      <c r="HG3464" s="73"/>
      <c r="HH3464" s="73"/>
      <c r="HI3464" s="73"/>
      <c r="HJ3464" s="73"/>
      <c r="HK3464" s="73"/>
      <c r="HL3464" s="73"/>
      <c r="HM3464" s="73"/>
      <c r="HN3464" s="73"/>
      <c r="HO3464" s="73"/>
      <c r="HP3464" s="73"/>
      <c r="HQ3464" s="73"/>
      <c r="HR3464" s="73"/>
      <c r="HS3464" s="73"/>
      <c r="HT3464" s="73"/>
      <c r="HU3464" s="73"/>
      <c r="HV3464" s="73"/>
      <c r="HW3464" s="73"/>
      <c r="HX3464" s="73"/>
      <c r="HY3464" s="73"/>
      <c r="HZ3464" s="73"/>
      <c r="IA3464" s="73"/>
      <c r="IB3464" s="73"/>
      <c r="IC3464" s="73"/>
      <c r="ID3464" s="73"/>
      <c r="IE3464" s="73"/>
      <c r="IF3464" s="73"/>
      <c r="IG3464" s="73"/>
      <c r="IH3464" s="73"/>
      <c r="II3464" s="73"/>
      <c r="IJ3464" s="73"/>
      <c r="IK3464" s="73"/>
      <c r="IL3464" s="73"/>
      <c r="IM3464" s="73"/>
      <c r="IN3464" s="73"/>
      <c r="IO3464" s="73"/>
      <c r="IP3464" s="73"/>
      <c r="IQ3464" s="73"/>
      <c r="IR3464" s="73"/>
      <c r="IS3464" s="73"/>
      <c r="IT3464" s="73"/>
      <c r="IU3464" s="73"/>
      <c r="IV3464" s="73"/>
      <c r="IW3464" s="73"/>
      <c r="IX3464" s="73"/>
      <c r="IY3464" s="73"/>
      <c r="IZ3464" s="73"/>
      <c r="JA3464" s="73"/>
      <c r="JB3464" s="73"/>
      <c r="JC3464" s="73"/>
    </row>
    <row r="3465" spans="2:263" s="72" customFormat="1">
      <c r="B3465" s="73"/>
      <c r="C3465" s="73"/>
      <c r="D3465" s="73"/>
      <c r="E3465" s="73"/>
      <c r="F3465" s="73"/>
      <c r="G3465" s="73"/>
      <c r="H3465" s="73"/>
      <c r="I3465" s="73"/>
      <c r="J3465" s="73"/>
      <c r="K3465" s="73"/>
      <c r="L3465" s="73"/>
      <c r="M3465" s="73"/>
      <c r="N3465" s="73"/>
      <c r="O3465" s="73"/>
      <c r="P3465" s="73"/>
      <c r="Q3465" s="73"/>
      <c r="R3465" s="73"/>
      <c r="S3465" s="73"/>
      <c r="T3465" s="73"/>
      <c r="U3465" s="73"/>
      <c r="V3465" s="73"/>
      <c r="W3465" s="73"/>
      <c r="GL3465" s="73"/>
      <c r="GM3465" s="73"/>
      <c r="GN3465" s="73"/>
      <c r="GO3465" s="73"/>
      <c r="GP3465" s="73"/>
      <c r="GQ3465" s="73"/>
      <c r="GR3465" s="73"/>
      <c r="GS3465" s="73"/>
      <c r="GT3465" s="73"/>
      <c r="GU3465" s="73"/>
      <c r="GV3465" s="73"/>
      <c r="GW3465" s="73"/>
      <c r="GX3465" s="73"/>
      <c r="GY3465" s="73"/>
      <c r="GZ3465" s="73"/>
      <c r="HA3465" s="73"/>
      <c r="HB3465" s="73"/>
      <c r="HC3465" s="73"/>
      <c r="HD3465" s="73"/>
      <c r="HE3465" s="73"/>
      <c r="HF3465" s="73"/>
      <c r="HG3465" s="73"/>
      <c r="HH3465" s="73"/>
      <c r="HI3465" s="73"/>
      <c r="HJ3465" s="73"/>
      <c r="HK3465" s="73"/>
      <c r="HL3465" s="73"/>
      <c r="HM3465" s="73"/>
      <c r="HN3465" s="73"/>
      <c r="HO3465" s="73"/>
      <c r="HP3465" s="73"/>
      <c r="HQ3465" s="73"/>
      <c r="HR3465" s="73"/>
      <c r="HS3465" s="73"/>
      <c r="HT3465" s="73"/>
      <c r="HU3465" s="73"/>
      <c r="HV3465" s="73"/>
      <c r="HW3465" s="73"/>
      <c r="HX3465" s="73"/>
      <c r="HY3465" s="73"/>
      <c r="HZ3465" s="73"/>
      <c r="IA3465" s="73"/>
      <c r="IB3465" s="73"/>
      <c r="IC3465" s="73"/>
      <c r="ID3465" s="73"/>
      <c r="IE3465" s="73"/>
      <c r="IF3465" s="73"/>
      <c r="IG3465" s="73"/>
      <c r="IH3465" s="73"/>
      <c r="II3465" s="73"/>
      <c r="IJ3465" s="73"/>
      <c r="IK3465" s="73"/>
      <c r="IL3465" s="73"/>
      <c r="IM3465" s="73"/>
      <c r="IN3465" s="73"/>
      <c r="IO3465" s="73"/>
      <c r="IP3465" s="73"/>
      <c r="IQ3465" s="73"/>
      <c r="IR3465" s="73"/>
      <c r="IS3465" s="73"/>
      <c r="IT3465" s="73"/>
      <c r="IU3465" s="73"/>
      <c r="IV3465" s="73"/>
      <c r="IW3465" s="73"/>
      <c r="IX3465" s="73"/>
      <c r="IY3465" s="73"/>
      <c r="IZ3465" s="73"/>
      <c r="JA3465" s="73"/>
      <c r="JB3465" s="73"/>
      <c r="JC3465" s="73"/>
    </row>
    <row r="3466" spans="2:263" s="72" customFormat="1">
      <c r="B3466" s="73"/>
      <c r="C3466" s="73"/>
      <c r="D3466" s="73"/>
      <c r="E3466" s="73"/>
      <c r="F3466" s="73"/>
      <c r="G3466" s="73"/>
      <c r="H3466" s="73"/>
      <c r="I3466" s="73"/>
      <c r="J3466" s="73"/>
      <c r="K3466" s="73"/>
      <c r="L3466" s="73"/>
      <c r="M3466" s="73"/>
      <c r="N3466" s="73"/>
      <c r="O3466" s="73"/>
      <c r="P3466" s="73"/>
      <c r="Q3466" s="73"/>
      <c r="R3466" s="73"/>
      <c r="S3466" s="73"/>
      <c r="T3466" s="73"/>
      <c r="U3466" s="73"/>
      <c r="V3466" s="73"/>
      <c r="W3466" s="73"/>
      <c r="GL3466" s="73"/>
      <c r="GM3466" s="73"/>
      <c r="GN3466" s="73"/>
      <c r="GO3466" s="73"/>
      <c r="GP3466" s="73"/>
      <c r="GQ3466" s="73"/>
      <c r="GR3466" s="73"/>
      <c r="GS3466" s="73"/>
      <c r="GT3466" s="73"/>
      <c r="GU3466" s="73"/>
      <c r="GV3466" s="73"/>
      <c r="GW3466" s="73"/>
      <c r="GX3466" s="73"/>
      <c r="GY3466" s="73"/>
      <c r="GZ3466" s="73"/>
      <c r="HA3466" s="73"/>
      <c r="HB3466" s="73"/>
      <c r="HC3466" s="73"/>
      <c r="HD3466" s="73"/>
      <c r="HE3466" s="73"/>
      <c r="HF3466" s="73"/>
      <c r="HG3466" s="73"/>
      <c r="HH3466" s="73"/>
      <c r="HI3466" s="73"/>
      <c r="HJ3466" s="73"/>
      <c r="HK3466" s="73"/>
      <c r="HL3466" s="73"/>
      <c r="HM3466" s="73"/>
      <c r="HN3466" s="73"/>
      <c r="HO3466" s="73"/>
      <c r="HP3466" s="73"/>
      <c r="HQ3466" s="73"/>
      <c r="HR3466" s="73"/>
      <c r="HS3466" s="73"/>
      <c r="HT3466" s="73"/>
      <c r="HU3466" s="73"/>
      <c r="HV3466" s="73"/>
      <c r="HW3466" s="73"/>
      <c r="HX3466" s="73"/>
      <c r="HY3466" s="73"/>
      <c r="HZ3466" s="73"/>
      <c r="IA3466" s="73"/>
      <c r="IB3466" s="73"/>
      <c r="IC3466" s="73"/>
      <c r="ID3466" s="73"/>
      <c r="IE3466" s="73"/>
      <c r="IF3466" s="73"/>
      <c r="IG3466" s="73"/>
      <c r="IH3466" s="73"/>
      <c r="II3466" s="73"/>
      <c r="IJ3466" s="73"/>
      <c r="IK3466" s="73"/>
      <c r="IL3466" s="73"/>
      <c r="IM3466" s="73"/>
      <c r="IN3466" s="73"/>
      <c r="IO3466" s="73"/>
      <c r="IP3466" s="73"/>
      <c r="IQ3466" s="73"/>
      <c r="IR3466" s="73"/>
      <c r="IS3466" s="73"/>
      <c r="IT3466" s="73"/>
      <c r="IU3466" s="73"/>
      <c r="IV3466" s="73"/>
      <c r="IW3466" s="73"/>
      <c r="IX3466" s="73"/>
      <c r="IY3466" s="73"/>
      <c r="IZ3466" s="73"/>
      <c r="JA3466" s="73"/>
      <c r="JB3466" s="73"/>
      <c r="JC3466" s="73"/>
    </row>
    <row r="3467" spans="2:263" s="72" customFormat="1">
      <c r="B3467" s="73"/>
      <c r="C3467" s="73"/>
      <c r="D3467" s="73"/>
      <c r="E3467" s="73"/>
      <c r="F3467" s="73"/>
      <c r="G3467" s="73"/>
      <c r="H3467" s="73"/>
      <c r="I3467" s="73"/>
      <c r="J3467" s="73"/>
      <c r="K3467" s="73"/>
      <c r="L3467" s="73"/>
      <c r="M3467" s="73"/>
      <c r="N3467" s="73"/>
      <c r="O3467" s="73"/>
      <c r="P3467" s="73"/>
      <c r="Q3467" s="73"/>
      <c r="R3467" s="73"/>
      <c r="S3467" s="73"/>
      <c r="T3467" s="73"/>
      <c r="U3467" s="73"/>
      <c r="V3467" s="73"/>
      <c r="W3467" s="73"/>
      <c r="GL3467" s="73"/>
      <c r="GM3467" s="73"/>
      <c r="GN3467" s="73"/>
      <c r="GO3467" s="73"/>
      <c r="GP3467" s="73"/>
      <c r="GQ3467" s="73"/>
      <c r="GR3467" s="73"/>
      <c r="GS3467" s="73"/>
      <c r="GT3467" s="73"/>
      <c r="GU3467" s="73"/>
      <c r="GV3467" s="73"/>
      <c r="GW3467" s="73"/>
      <c r="GX3467" s="73"/>
      <c r="GY3467" s="73"/>
      <c r="GZ3467" s="73"/>
      <c r="HA3467" s="73"/>
      <c r="HB3467" s="73"/>
      <c r="HC3467" s="73"/>
      <c r="HD3467" s="73"/>
      <c r="HE3467" s="73"/>
      <c r="HF3467" s="73"/>
      <c r="HG3467" s="73"/>
      <c r="HH3467" s="73"/>
      <c r="HI3467" s="73"/>
      <c r="HJ3467" s="73"/>
      <c r="HK3467" s="73"/>
      <c r="HL3467" s="73"/>
      <c r="HM3467" s="73"/>
      <c r="HN3467" s="73"/>
      <c r="HO3467" s="73"/>
      <c r="HP3467" s="73"/>
      <c r="HQ3467" s="73"/>
      <c r="HR3467" s="73"/>
      <c r="HS3467" s="73"/>
      <c r="HT3467" s="73"/>
      <c r="HU3467" s="73"/>
      <c r="HV3467" s="73"/>
      <c r="HW3467" s="73"/>
      <c r="HX3467" s="73"/>
      <c r="HY3467" s="73"/>
      <c r="HZ3467" s="73"/>
      <c r="IA3467" s="73"/>
      <c r="IB3467" s="73"/>
      <c r="IC3467" s="73"/>
      <c r="ID3467" s="73"/>
      <c r="IE3467" s="73"/>
      <c r="IF3467" s="73"/>
      <c r="IG3467" s="73"/>
      <c r="IH3467" s="73"/>
      <c r="II3467" s="73"/>
      <c r="IJ3467" s="73"/>
      <c r="IK3467" s="73"/>
      <c r="IL3467" s="73"/>
      <c r="IM3467" s="73"/>
      <c r="IN3467" s="73"/>
      <c r="IO3467" s="73"/>
      <c r="IP3467" s="73"/>
      <c r="IQ3467" s="73"/>
      <c r="IR3467" s="73"/>
      <c r="IS3467" s="73"/>
      <c r="IT3467" s="73"/>
      <c r="IU3467" s="73"/>
      <c r="IV3467" s="73"/>
      <c r="IW3467" s="73"/>
      <c r="IX3467" s="73"/>
      <c r="IY3467" s="73"/>
      <c r="IZ3467" s="73"/>
      <c r="JA3467" s="73"/>
      <c r="JB3467" s="73"/>
      <c r="JC3467" s="73"/>
    </row>
    <row r="3468" spans="2:263" s="72" customFormat="1">
      <c r="B3468" s="73"/>
      <c r="C3468" s="73"/>
      <c r="D3468" s="73"/>
      <c r="E3468" s="73"/>
      <c r="F3468" s="73"/>
      <c r="G3468" s="73"/>
      <c r="H3468" s="73"/>
      <c r="I3468" s="73"/>
      <c r="J3468" s="73"/>
      <c r="K3468" s="73"/>
      <c r="L3468" s="73"/>
      <c r="M3468" s="73"/>
      <c r="N3468" s="73"/>
      <c r="O3468" s="73"/>
      <c r="P3468" s="73"/>
      <c r="Q3468" s="73"/>
      <c r="R3468" s="73"/>
      <c r="S3468" s="73"/>
      <c r="T3468" s="73"/>
      <c r="U3468" s="73"/>
      <c r="V3468" s="73"/>
      <c r="W3468" s="73"/>
      <c r="GL3468" s="73"/>
      <c r="GM3468" s="73"/>
      <c r="GN3468" s="73"/>
      <c r="GO3468" s="73"/>
      <c r="GP3468" s="73"/>
      <c r="GQ3468" s="73"/>
      <c r="GR3468" s="73"/>
      <c r="GS3468" s="73"/>
      <c r="GT3468" s="73"/>
      <c r="GU3468" s="73"/>
      <c r="GV3468" s="73"/>
      <c r="GW3468" s="73"/>
      <c r="GX3468" s="73"/>
      <c r="GY3468" s="73"/>
      <c r="GZ3468" s="73"/>
      <c r="HA3468" s="73"/>
      <c r="HB3468" s="73"/>
      <c r="HC3468" s="73"/>
      <c r="HD3468" s="73"/>
      <c r="HE3468" s="73"/>
      <c r="HF3468" s="73"/>
      <c r="HG3468" s="73"/>
      <c r="HH3468" s="73"/>
      <c r="HI3468" s="73"/>
      <c r="HJ3468" s="73"/>
      <c r="HK3468" s="73"/>
      <c r="HL3468" s="73"/>
      <c r="HM3468" s="73"/>
      <c r="HN3468" s="73"/>
      <c r="HO3468" s="73"/>
      <c r="HP3468" s="73"/>
      <c r="HQ3468" s="73"/>
      <c r="HR3468" s="73"/>
      <c r="HS3468" s="73"/>
      <c r="HT3468" s="73"/>
      <c r="HU3468" s="73"/>
      <c r="HV3468" s="73"/>
      <c r="HW3468" s="73"/>
      <c r="HX3468" s="73"/>
      <c r="HY3468" s="73"/>
      <c r="HZ3468" s="73"/>
      <c r="IA3468" s="73"/>
      <c r="IB3468" s="73"/>
      <c r="IC3468" s="73"/>
      <c r="ID3468" s="73"/>
      <c r="IE3468" s="73"/>
      <c r="IF3468" s="73"/>
      <c r="IG3468" s="73"/>
      <c r="IH3468" s="73"/>
      <c r="II3468" s="73"/>
      <c r="IJ3468" s="73"/>
      <c r="IK3468" s="73"/>
      <c r="IL3468" s="73"/>
      <c r="IM3468" s="73"/>
      <c r="IN3468" s="73"/>
      <c r="IO3468" s="73"/>
      <c r="IP3468" s="73"/>
      <c r="IQ3468" s="73"/>
      <c r="IR3468" s="73"/>
      <c r="IS3468" s="73"/>
      <c r="IT3468" s="73"/>
      <c r="IU3468" s="73"/>
      <c r="IV3468" s="73"/>
      <c r="IW3468" s="73"/>
      <c r="IX3468" s="73"/>
      <c r="IY3468" s="73"/>
      <c r="IZ3468" s="73"/>
      <c r="JA3468" s="73"/>
      <c r="JB3468" s="73"/>
      <c r="JC3468" s="73"/>
    </row>
    <row r="3469" spans="2:263" s="72" customFormat="1">
      <c r="B3469" s="73"/>
      <c r="C3469" s="73"/>
      <c r="D3469" s="73"/>
      <c r="E3469" s="73"/>
      <c r="F3469" s="73"/>
      <c r="G3469" s="73"/>
      <c r="H3469" s="73"/>
      <c r="I3469" s="73"/>
      <c r="J3469" s="73"/>
      <c r="K3469" s="73"/>
      <c r="L3469" s="73"/>
      <c r="M3469" s="73"/>
      <c r="N3469" s="73"/>
      <c r="O3469" s="73"/>
      <c r="P3469" s="73"/>
      <c r="Q3469" s="73"/>
      <c r="R3469" s="73"/>
      <c r="S3469" s="73"/>
      <c r="T3469" s="73"/>
      <c r="U3469" s="73"/>
      <c r="V3469" s="73"/>
      <c r="W3469" s="73"/>
      <c r="GL3469" s="73"/>
      <c r="GM3469" s="73"/>
      <c r="GN3469" s="73"/>
      <c r="GO3469" s="73"/>
      <c r="GP3469" s="73"/>
      <c r="GQ3469" s="73"/>
      <c r="GR3469" s="73"/>
      <c r="GS3469" s="73"/>
      <c r="GT3469" s="73"/>
      <c r="GU3469" s="73"/>
      <c r="GV3469" s="73"/>
      <c r="GW3469" s="73"/>
      <c r="GX3469" s="73"/>
      <c r="GY3469" s="73"/>
      <c r="GZ3469" s="73"/>
      <c r="HA3469" s="73"/>
      <c r="HB3469" s="73"/>
      <c r="HC3469" s="73"/>
      <c r="HD3469" s="73"/>
      <c r="HE3469" s="73"/>
      <c r="HF3469" s="73"/>
      <c r="HG3469" s="73"/>
      <c r="HH3469" s="73"/>
      <c r="HI3469" s="73"/>
      <c r="HJ3469" s="73"/>
      <c r="HK3469" s="73"/>
      <c r="HL3469" s="73"/>
      <c r="HM3469" s="73"/>
      <c r="HN3469" s="73"/>
      <c r="HO3469" s="73"/>
      <c r="HP3469" s="73"/>
      <c r="HQ3469" s="73"/>
      <c r="HR3469" s="73"/>
      <c r="HS3469" s="73"/>
      <c r="HT3469" s="73"/>
      <c r="HU3469" s="73"/>
      <c r="HV3469" s="73"/>
      <c r="HW3469" s="73"/>
      <c r="HX3469" s="73"/>
      <c r="HY3469" s="73"/>
      <c r="HZ3469" s="73"/>
      <c r="IA3469" s="73"/>
      <c r="IB3469" s="73"/>
      <c r="IC3469" s="73"/>
      <c r="ID3469" s="73"/>
      <c r="IE3469" s="73"/>
      <c r="IF3469" s="73"/>
      <c r="IG3469" s="73"/>
      <c r="IH3469" s="73"/>
      <c r="II3469" s="73"/>
      <c r="IJ3469" s="73"/>
      <c r="IK3469" s="73"/>
      <c r="IL3469" s="73"/>
      <c r="IM3469" s="73"/>
      <c r="IN3469" s="73"/>
      <c r="IO3469" s="73"/>
      <c r="IP3469" s="73"/>
      <c r="IQ3469" s="73"/>
      <c r="IR3469" s="73"/>
      <c r="IS3469" s="73"/>
      <c r="IT3469" s="73"/>
      <c r="IU3469" s="73"/>
      <c r="IV3469" s="73"/>
      <c r="IW3469" s="73"/>
      <c r="IX3469" s="73"/>
      <c r="IY3469" s="73"/>
      <c r="IZ3469" s="73"/>
      <c r="JA3469" s="73"/>
      <c r="JB3469" s="73"/>
      <c r="JC3469" s="73"/>
    </row>
    <row r="3470" spans="2:263" s="72" customFormat="1">
      <c r="B3470" s="73"/>
      <c r="C3470" s="73"/>
      <c r="D3470" s="73"/>
      <c r="E3470" s="73"/>
      <c r="F3470" s="73"/>
      <c r="G3470" s="73"/>
      <c r="H3470" s="73"/>
      <c r="I3470" s="73"/>
      <c r="J3470" s="73"/>
      <c r="K3470" s="73"/>
      <c r="L3470" s="73"/>
      <c r="M3470" s="73"/>
      <c r="N3470" s="73"/>
      <c r="O3470" s="73"/>
      <c r="P3470" s="73"/>
      <c r="Q3470" s="73"/>
      <c r="R3470" s="73"/>
      <c r="S3470" s="73"/>
      <c r="T3470" s="73"/>
      <c r="U3470" s="73"/>
      <c r="V3470" s="73"/>
      <c r="W3470" s="73"/>
      <c r="GL3470" s="73"/>
      <c r="GM3470" s="73"/>
      <c r="GN3470" s="73"/>
      <c r="GO3470" s="73"/>
      <c r="GP3470" s="73"/>
      <c r="GQ3470" s="73"/>
      <c r="GR3470" s="73"/>
      <c r="GS3470" s="73"/>
      <c r="GT3470" s="73"/>
      <c r="GU3470" s="73"/>
      <c r="GV3470" s="73"/>
      <c r="GW3470" s="73"/>
      <c r="GX3470" s="73"/>
      <c r="GY3470" s="73"/>
      <c r="GZ3470" s="73"/>
      <c r="HA3470" s="73"/>
      <c r="HB3470" s="73"/>
      <c r="HC3470" s="73"/>
      <c r="HD3470" s="73"/>
      <c r="HE3470" s="73"/>
      <c r="HF3470" s="73"/>
      <c r="HG3470" s="73"/>
      <c r="HH3470" s="73"/>
      <c r="HI3470" s="73"/>
      <c r="HJ3470" s="73"/>
      <c r="HK3470" s="73"/>
      <c r="HL3470" s="73"/>
      <c r="HM3470" s="73"/>
      <c r="HN3470" s="73"/>
      <c r="HO3470" s="73"/>
      <c r="HP3470" s="73"/>
      <c r="HQ3470" s="73"/>
      <c r="HR3470" s="73"/>
      <c r="HS3470" s="73"/>
      <c r="HT3470" s="73"/>
      <c r="HU3470" s="73"/>
      <c r="HV3470" s="73"/>
      <c r="HW3470" s="73"/>
      <c r="HX3470" s="73"/>
      <c r="HY3470" s="73"/>
      <c r="HZ3470" s="73"/>
      <c r="IA3470" s="73"/>
      <c r="IB3470" s="73"/>
      <c r="IC3470" s="73"/>
      <c r="ID3470" s="73"/>
      <c r="IE3470" s="73"/>
      <c r="IF3470" s="73"/>
      <c r="IG3470" s="73"/>
      <c r="IH3470" s="73"/>
      <c r="II3470" s="73"/>
      <c r="IJ3470" s="73"/>
      <c r="IK3470" s="73"/>
      <c r="IL3470" s="73"/>
      <c r="IM3470" s="73"/>
      <c r="IN3470" s="73"/>
      <c r="IO3470" s="73"/>
      <c r="IP3470" s="73"/>
      <c r="IQ3470" s="73"/>
      <c r="IR3470" s="73"/>
      <c r="IS3470" s="73"/>
      <c r="IT3470" s="73"/>
      <c r="IU3470" s="73"/>
      <c r="IV3470" s="73"/>
      <c r="IW3470" s="73"/>
      <c r="IX3470" s="73"/>
      <c r="IY3470" s="73"/>
      <c r="IZ3470" s="73"/>
      <c r="JA3470" s="73"/>
      <c r="JB3470" s="73"/>
      <c r="JC3470" s="73"/>
    </row>
    <row r="3471" spans="2:263" s="72" customFormat="1">
      <c r="B3471" s="73"/>
      <c r="C3471" s="73"/>
      <c r="D3471" s="73"/>
      <c r="E3471" s="73"/>
      <c r="F3471" s="73"/>
      <c r="G3471" s="73"/>
      <c r="H3471" s="73"/>
      <c r="I3471" s="73"/>
      <c r="J3471" s="73"/>
      <c r="K3471" s="73"/>
      <c r="L3471" s="73"/>
      <c r="M3471" s="73"/>
      <c r="N3471" s="73"/>
      <c r="O3471" s="73"/>
      <c r="P3471" s="73"/>
      <c r="Q3471" s="73"/>
      <c r="R3471" s="73"/>
      <c r="S3471" s="73"/>
      <c r="T3471" s="73"/>
      <c r="U3471" s="73"/>
      <c r="V3471" s="73"/>
      <c r="W3471" s="73"/>
      <c r="GL3471" s="73"/>
      <c r="GM3471" s="73"/>
      <c r="GN3471" s="73"/>
      <c r="GO3471" s="73"/>
      <c r="GP3471" s="73"/>
      <c r="GQ3471" s="73"/>
      <c r="GR3471" s="73"/>
      <c r="GS3471" s="73"/>
      <c r="GT3471" s="73"/>
      <c r="GU3471" s="73"/>
      <c r="GV3471" s="73"/>
      <c r="GW3471" s="73"/>
      <c r="GX3471" s="73"/>
      <c r="GY3471" s="73"/>
      <c r="GZ3471" s="73"/>
      <c r="HA3471" s="73"/>
      <c r="HB3471" s="73"/>
      <c r="HC3471" s="73"/>
      <c r="HD3471" s="73"/>
      <c r="HE3471" s="73"/>
      <c r="HF3471" s="73"/>
      <c r="HG3471" s="73"/>
      <c r="HH3471" s="73"/>
      <c r="HI3471" s="73"/>
      <c r="HJ3471" s="73"/>
      <c r="HK3471" s="73"/>
      <c r="HL3471" s="73"/>
      <c r="HM3471" s="73"/>
      <c r="HN3471" s="73"/>
      <c r="HO3471" s="73"/>
      <c r="HP3471" s="73"/>
      <c r="HQ3471" s="73"/>
      <c r="HR3471" s="73"/>
      <c r="HS3471" s="73"/>
      <c r="HT3471" s="73"/>
      <c r="HU3471" s="73"/>
      <c r="HV3471" s="73"/>
      <c r="HW3471" s="73"/>
      <c r="HX3471" s="73"/>
      <c r="HY3471" s="73"/>
      <c r="HZ3471" s="73"/>
      <c r="IA3471" s="73"/>
      <c r="IB3471" s="73"/>
      <c r="IC3471" s="73"/>
      <c r="ID3471" s="73"/>
      <c r="IE3471" s="73"/>
      <c r="IF3471" s="73"/>
      <c r="IG3471" s="73"/>
      <c r="IH3471" s="73"/>
      <c r="II3471" s="73"/>
      <c r="IJ3471" s="73"/>
      <c r="IK3471" s="73"/>
      <c r="IL3471" s="73"/>
      <c r="IM3471" s="73"/>
      <c r="IN3471" s="73"/>
      <c r="IO3471" s="73"/>
      <c r="IP3471" s="73"/>
      <c r="IQ3471" s="73"/>
      <c r="IR3471" s="73"/>
      <c r="IS3471" s="73"/>
      <c r="IT3471" s="73"/>
      <c r="IU3471" s="73"/>
      <c r="IV3471" s="73"/>
      <c r="IW3471" s="73"/>
      <c r="IX3471" s="73"/>
      <c r="IY3471" s="73"/>
      <c r="IZ3471" s="73"/>
      <c r="JA3471" s="73"/>
      <c r="JB3471" s="73"/>
      <c r="JC3471" s="73"/>
    </row>
    <row r="3472" spans="2:263" s="72" customFormat="1">
      <c r="B3472" s="73"/>
      <c r="C3472" s="73"/>
      <c r="D3472" s="73"/>
      <c r="E3472" s="73"/>
      <c r="F3472" s="73"/>
      <c r="G3472" s="73"/>
      <c r="H3472" s="73"/>
      <c r="I3472" s="73"/>
      <c r="J3472" s="73"/>
      <c r="K3472" s="73"/>
      <c r="L3472" s="73"/>
      <c r="M3472" s="73"/>
      <c r="N3472" s="73"/>
      <c r="O3472" s="73"/>
      <c r="P3472" s="73"/>
      <c r="Q3472" s="73"/>
      <c r="R3472" s="73"/>
      <c r="S3472" s="73"/>
      <c r="T3472" s="73"/>
      <c r="U3472" s="73"/>
      <c r="V3472" s="73"/>
      <c r="W3472" s="73"/>
      <c r="GL3472" s="73"/>
      <c r="GM3472" s="73"/>
      <c r="GN3472" s="73"/>
      <c r="GO3472" s="73"/>
      <c r="GP3472" s="73"/>
      <c r="GQ3472" s="73"/>
      <c r="GR3472" s="73"/>
      <c r="GS3472" s="73"/>
      <c r="GT3472" s="73"/>
      <c r="GU3472" s="73"/>
      <c r="GV3472" s="73"/>
      <c r="GW3472" s="73"/>
      <c r="GX3472" s="73"/>
      <c r="GY3472" s="73"/>
      <c r="GZ3472" s="73"/>
      <c r="HA3472" s="73"/>
      <c r="HB3472" s="73"/>
      <c r="HC3472" s="73"/>
      <c r="HD3472" s="73"/>
      <c r="HE3472" s="73"/>
      <c r="HF3472" s="73"/>
      <c r="HG3472" s="73"/>
      <c r="HH3472" s="73"/>
      <c r="HI3472" s="73"/>
      <c r="HJ3472" s="73"/>
      <c r="HK3472" s="73"/>
      <c r="HL3472" s="73"/>
      <c r="HM3472" s="73"/>
      <c r="HN3472" s="73"/>
      <c r="HO3472" s="73"/>
      <c r="HP3472" s="73"/>
      <c r="HQ3472" s="73"/>
      <c r="HR3472" s="73"/>
      <c r="HS3472" s="73"/>
      <c r="HT3472" s="73"/>
      <c r="HU3472" s="73"/>
      <c r="HV3472" s="73"/>
      <c r="HW3472" s="73"/>
      <c r="HX3472" s="73"/>
      <c r="HY3472" s="73"/>
      <c r="HZ3472" s="73"/>
      <c r="IA3472" s="73"/>
      <c r="IB3472" s="73"/>
      <c r="IC3472" s="73"/>
      <c r="ID3472" s="73"/>
      <c r="IE3472" s="73"/>
      <c r="IF3472" s="73"/>
      <c r="IG3472" s="73"/>
      <c r="IH3472" s="73"/>
      <c r="II3472" s="73"/>
      <c r="IJ3472" s="73"/>
      <c r="IK3472" s="73"/>
      <c r="IL3472" s="73"/>
      <c r="IM3472" s="73"/>
      <c r="IN3472" s="73"/>
      <c r="IO3472" s="73"/>
      <c r="IP3472" s="73"/>
      <c r="IQ3472" s="73"/>
      <c r="IR3472" s="73"/>
      <c r="IS3472" s="73"/>
      <c r="IT3472" s="73"/>
      <c r="IU3472" s="73"/>
      <c r="IV3472" s="73"/>
      <c r="IW3472" s="73"/>
      <c r="IX3472" s="73"/>
      <c r="IY3472" s="73"/>
      <c r="IZ3472" s="73"/>
      <c r="JA3472" s="73"/>
      <c r="JB3472" s="73"/>
      <c r="JC3472" s="73"/>
    </row>
    <row r="3473" spans="2:263" s="72" customFormat="1">
      <c r="B3473" s="73"/>
      <c r="C3473" s="73"/>
      <c r="D3473" s="73"/>
      <c r="E3473" s="73"/>
      <c r="F3473" s="73"/>
      <c r="G3473" s="73"/>
      <c r="H3473" s="73"/>
      <c r="I3473" s="73"/>
      <c r="J3473" s="73"/>
      <c r="K3473" s="73"/>
      <c r="L3473" s="73"/>
      <c r="M3473" s="73"/>
      <c r="N3473" s="73"/>
      <c r="O3473" s="73"/>
      <c r="P3473" s="73"/>
      <c r="Q3473" s="73"/>
      <c r="R3473" s="73"/>
      <c r="S3473" s="73"/>
      <c r="T3473" s="73"/>
      <c r="U3473" s="73"/>
      <c r="V3473" s="73"/>
      <c r="W3473" s="73"/>
      <c r="GL3473" s="73"/>
      <c r="GM3473" s="73"/>
      <c r="GN3473" s="73"/>
      <c r="GO3473" s="73"/>
      <c r="GP3473" s="73"/>
      <c r="GQ3473" s="73"/>
      <c r="GR3473" s="73"/>
      <c r="GS3473" s="73"/>
      <c r="GT3473" s="73"/>
      <c r="GU3473" s="73"/>
      <c r="GV3473" s="73"/>
      <c r="GW3473" s="73"/>
      <c r="GX3473" s="73"/>
      <c r="GY3473" s="73"/>
      <c r="GZ3473" s="73"/>
      <c r="HA3473" s="73"/>
      <c r="HB3473" s="73"/>
      <c r="HC3473" s="73"/>
      <c r="HD3473" s="73"/>
      <c r="HE3473" s="73"/>
      <c r="HF3473" s="73"/>
      <c r="HG3473" s="73"/>
      <c r="HH3473" s="73"/>
      <c r="HI3473" s="73"/>
      <c r="HJ3473" s="73"/>
      <c r="HK3473" s="73"/>
      <c r="HL3473" s="73"/>
      <c r="HM3473" s="73"/>
      <c r="HN3473" s="73"/>
      <c r="HO3473" s="73"/>
      <c r="HP3473" s="73"/>
      <c r="HQ3473" s="73"/>
      <c r="HR3473" s="73"/>
      <c r="HS3473" s="73"/>
      <c r="HT3473" s="73"/>
      <c r="HU3473" s="73"/>
      <c r="HV3473" s="73"/>
      <c r="HW3473" s="73"/>
      <c r="HX3473" s="73"/>
      <c r="HY3473" s="73"/>
      <c r="HZ3473" s="73"/>
      <c r="IA3473" s="73"/>
      <c r="IB3473" s="73"/>
      <c r="IC3473" s="73"/>
      <c r="ID3473" s="73"/>
      <c r="IE3473" s="73"/>
      <c r="IF3473" s="73"/>
      <c r="IG3473" s="73"/>
      <c r="IH3473" s="73"/>
      <c r="II3473" s="73"/>
      <c r="IJ3473" s="73"/>
      <c r="IK3473" s="73"/>
      <c r="IL3473" s="73"/>
      <c r="IM3473" s="73"/>
      <c r="IN3473" s="73"/>
      <c r="IO3473" s="73"/>
      <c r="IP3473" s="73"/>
      <c r="IQ3473" s="73"/>
      <c r="IR3473" s="73"/>
      <c r="IS3473" s="73"/>
      <c r="IT3473" s="73"/>
      <c r="IU3473" s="73"/>
      <c r="IV3473" s="73"/>
      <c r="IW3473" s="73"/>
      <c r="IX3473" s="73"/>
      <c r="IY3473" s="73"/>
      <c r="IZ3473" s="73"/>
      <c r="JA3473" s="73"/>
      <c r="JB3473" s="73"/>
      <c r="JC3473" s="73"/>
    </row>
    <row r="3474" spans="2:263" s="72" customFormat="1">
      <c r="B3474" s="73"/>
      <c r="C3474" s="73"/>
      <c r="D3474" s="73"/>
      <c r="E3474" s="73"/>
      <c r="F3474" s="73"/>
      <c r="G3474" s="73"/>
      <c r="H3474" s="73"/>
      <c r="I3474" s="73"/>
      <c r="J3474" s="73"/>
      <c r="K3474" s="73"/>
      <c r="L3474" s="73"/>
      <c r="M3474" s="73"/>
      <c r="N3474" s="73"/>
      <c r="O3474" s="73"/>
      <c r="P3474" s="73"/>
      <c r="Q3474" s="73"/>
      <c r="R3474" s="73"/>
      <c r="S3474" s="73"/>
      <c r="T3474" s="73"/>
      <c r="U3474" s="73"/>
      <c r="V3474" s="73"/>
      <c r="W3474" s="73"/>
      <c r="GL3474" s="73"/>
      <c r="GM3474" s="73"/>
      <c r="GN3474" s="73"/>
      <c r="GO3474" s="73"/>
      <c r="GP3474" s="73"/>
      <c r="GQ3474" s="73"/>
      <c r="GR3474" s="73"/>
      <c r="GS3474" s="73"/>
      <c r="GT3474" s="73"/>
      <c r="GU3474" s="73"/>
      <c r="GV3474" s="73"/>
      <c r="GW3474" s="73"/>
      <c r="GX3474" s="73"/>
      <c r="GY3474" s="73"/>
      <c r="GZ3474" s="73"/>
      <c r="HA3474" s="73"/>
      <c r="HB3474" s="73"/>
      <c r="HC3474" s="73"/>
      <c r="HD3474" s="73"/>
      <c r="HE3474" s="73"/>
      <c r="HF3474" s="73"/>
      <c r="HG3474" s="73"/>
      <c r="HH3474" s="73"/>
      <c r="HI3474" s="73"/>
      <c r="HJ3474" s="73"/>
      <c r="HK3474" s="73"/>
      <c r="HL3474" s="73"/>
      <c r="HM3474" s="73"/>
      <c r="HN3474" s="73"/>
      <c r="HO3474" s="73"/>
      <c r="HP3474" s="73"/>
      <c r="HQ3474" s="73"/>
      <c r="HR3474" s="73"/>
      <c r="HS3474" s="73"/>
      <c r="HT3474" s="73"/>
      <c r="HU3474" s="73"/>
      <c r="HV3474" s="73"/>
      <c r="HW3474" s="73"/>
      <c r="HX3474" s="73"/>
      <c r="HY3474" s="73"/>
      <c r="HZ3474" s="73"/>
      <c r="IA3474" s="73"/>
      <c r="IB3474" s="73"/>
      <c r="IC3474" s="73"/>
      <c r="ID3474" s="73"/>
      <c r="IE3474" s="73"/>
      <c r="IF3474" s="73"/>
      <c r="IG3474" s="73"/>
      <c r="IH3474" s="73"/>
      <c r="II3474" s="73"/>
      <c r="IJ3474" s="73"/>
      <c r="IK3474" s="73"/>
      <c r="IL3474" s="73"/>
      <c r="IM3474" s="73"/>
      <c r="IN3474" s="73"/>
      <c r="IO3474" s="73"/>
      <c r="IP3474" s="73"/>
      <c r="IQ3474" s="73"/>
      <c r="IR3474" s="73"/>
      <c r="IS3474" s="73"/>
      <c r="IT3474" s="73"/>
      <c r="IU3474" s="73"/>
      <c r="IV3474" s="73"/>
      <c r="IW3474" s="73"/>
      <c r="IX3474" s="73"/>
      <c r="IY3474" s="73"/>
      <c r="IZ3474" s="73"/>
      <c r="JA3474" s="73"/>
      <c r="JB3474" s="73"/>
      <c r="JC3474" s="73"/>
    </row>
    <row r="3475" spans="2:263" s="72" customFormat="1">
      <c r="B3475" s="73"/>
      <c r="C3475" s="73"/>
      <c r="D3475" s="73"/>
      <c r="E3475" s="73"/>
      <c r="F3475" s="73"/>
      <c r="G3475" s="73"/>
      <c r="H3475" s="73"/>
      <c r="I3475" s="73"/>
      <c r="J3475" s="73"/>
      <c r="K3475" s="73"/>
      <c r="L3475" s="73"/>
      <c r="M3475" s="73"/>
      <c r="N3475" s="73"/>
      <c r="O3475" s="73"/>
      <c r="P3475" s="73"/>
      <c r="Q3475" s="73"/>
      <c r="R3475" s="73"/>
      <c r="S3475" s="73"/>
      <c r="T3475" s="73"/>
      <c r="U3475" s="73"/>
      <c r="V3475" s="73"/>
      <c r="W3475" s="73"/>
      <c r="GL3475" s="73"/>
      <c r="GM3475" s="73"/>
      <c r="GN3475" s="73"/>
      <c r="GO3475" s="73"/>
      <c r="GP3475" s="73"/>
      <c r="GQ3475" s="73"/>
      <c r="GR3475" s="73"/>
      <c r="GS3475" s="73"/>
      <c r="GT3475" s="73"/>
      <c r="GU3475" s="73"/>
      <c r="GV3475" s="73"/>
      <c r="GW3475" s="73"/>
      <c r="GX3475" s="73"/>
      <c r="GY3475" s="73"/>
      <c r="GZ3475" s="73"/>
      <c r="HA3475" s="73"/>
      <c r="HB3475" s="73"/>
      <c r="HC3475" s="73"/>
      <c r="HD3475" s="73"/>
      <c r="HE3475" s="73"/>
      <c r="HF3475" s="73"/>
      <c r="HG3475" s="73"/>
      <c r="HH3475" s="73"/>
      <c r="HI3475" s="73"/>
      <c r="HJ3475" s="73"/>
      <c r="HK3475" s="73"/>
      <c r="HL3475" s="73"/>
      <c r="HM3475" s="73"/>
      <c r="HN3475" s="73"/>
      <c r="HO3475" s="73"/>
      <c r="HP3475" s="73"/>
      <c r="HQ3475" s="73"/>
      <c r="HR3475" s="73"/>
      <c r="HS3475" s="73"/>
      <c r="HT3475" s="73"/>
      <c r="HU3475" s="73"/>
      <c r="HV3475" s="73"/>
      <c r="HW3475" s="73"/>
      <c r="HX3475" s="73"/>
      <c r="HY3475" s="73"/>
      <c r="HZ3475" s="73"/>
      <c r="IA3475" s="73"/>
      <c r="IB3475" s="73"/>
      <c r="IC3475" s="73"/>
      <c r="ID3475" s="73"/>
      <c r="IE3475" s="73"/>
      <c r="IF3475" s="73"/>
      <c r="IG3475" s="73"/>
      <c r="IH3475" s="73"/>
      <c r="II3475" s="73"/>
      <c r="IJ3475" s="73"/>
      <c r="IK3475" s="73"/>
      <c r="IL3475" s="73"/>
      <c r="IM3475" s="73"/>
      <c r="IN3475" s="73"/>
      <c r="IO3475" s="73"/>
      <c r="IP3475" s="73"/>
      <c r="IQ3475" s="73"/>
      <c r="IR3475" s="73"/>
      <c r="IS3475" s="73"/>
      <c r="IT3475" s="73"/>
      <c r="IU3475" s="73"/>
      <c r="IV3475" s="73"/>
      <c r="IW3475" s="73"/>
      <c r="IX3475" s="73"/>
      <c r="IY3475" s="73"/>
      <c r="IZ3475" s="73"/>
      <c r="JA3475" s="73"/>
      <c r="JB3475" s="73"/>
      <c r="JC3475" s="73"/>
    </row>
    <row r="3476" spans="2:263" s="72" customFormat="1">
      <c r="B3476" s="73"/>
      <c r="C3476" s="73"/>
      <c r="D3476" s="73"/>
      <c r="E3476" s="73"/>
      <c r="F3476" s="73"/>
      <c r="G3476" s="73"/>
      <c r="H3476" s="73"/>
      <c r="I3476" s="73"/>
      <c r="J3476" s="73"/>
      <c r="K3476" s="73"/>
      <c r="L3476" s="73"/>
      <c r="M3476" s="73"/>
      <c r="N3476" s="73"/>
      <c r="O3476" s="73"/>
      <c r="P3476" s="73"/>
      <c r="Q3476" s="73"/>
      <c r="R3476" s="73"/>
      <c r="S3476" s="73"/>
      <c r="T3476" s="73"/>
      <c r="U3476" s="73"/>
      <c r="V3476" s="73"/>
      <c r="W3476" s="73"/>
      <c r="GL3476" s="73"/>
      <c r="GM3476" s="73"/>
      <c r="GN3476" s="73"/>
      <c r="GO3476" s="73"/>
      <c r="GP3476" s="73"/>
      <c r="GQ3476" s="73"/>
      <c r="GR3476" s="73"/>
      <c r="GS3476" s="73"/>
      <c r="GT3476" s="73"/>
      <c r="GU3476" s="73"/>
      <c r="GV3476" s="73"/>
      <c r="GW3476" s="73"/>
      <c r="GX3476" s="73"/>
      <c r="GY3476" s="73"/>
      <c r="GZ3476" s="73"/>
      <c r="HA3476" s="73"/>
      <c r="HB3476" s="73"/>
      <c r="HC3476" s="73"/>
      <c r="HD3476" s="73"/>
      <c r="HE3476" s="73"/>
      <c r="HF3476" s="73"/>
      <c r="HG3476" s="73"/>
      <c r="HH3476" s="73"/>
      <c r="HI3476" s="73"/>
      <c r="HJ3476" s="73"/>
      <c r="HK3476" s="73"/>
      <c r="HL3476" s="73"/>
      <c r="HM3476" s="73"/>
      <c r="HN3476" s="73"/>
      <c r="HO3476" s="73"/>
      <c r="HP3476" s="73"/>
      <c r="HQ3476" s="73"/>
      <c r="HR3476" s="73"/>
      <c r="HS3476" s="73"/>
      <c r="HT3476" s="73"/>
      <c r="HU3476" s="73"/>
      <c r="HV3476" s="73"/>
      <c r="HW3476" s="73"/>
      <c r="HX3476" s="73"/>
      <c r="HY3476" s="73"/>
      <c r="HZ3476" s="73"/>
      <c r="IA3476" s="73"/>
      <c r="IB3476" s="73"/>
      <c r="IC3476" s="73"/>
      <c r="ID3476" s="73"/>
      <c r="IE3476" s="73"/>
      <c r="IF3476" s="73"/>
      <c r="IG3476" s="73"/>
      <c r="IH3476" s="73"/>
      <c r="II3476" s="73"/>
      <c r="IJ3476" s="73"/>
      <c r="IK3476" s="73"/>
      <c r="IL3476" s="73"/>
      <c r="IM3476" s="73"/>
      <c r="IN3476" s="73"/>
      <c r="IO3476" s="73"/>
      <c r="IP3476" s="73"/>
      <c r="IQ3476" s="73"/>
      <c r="IR3476" s="73"/>
      <c r="IS3476" s="73"/>
      <c r="IT3476" s="73"/>
      <c r="IU3476" s="73"/>
      <c r="IV3476" s="73"/>
      <c r="IW3476" s="73"/>
      <c r="IX3476" s="73"/>
      <c r="IY3476" s="73"/>
      <c r="IZ3476" s="73"/>
      <c r="JA3476" s="73"/>
      <c r="JB3476" s="73"/>
      <c r="JC3476" s="73"/>
    </row>
    <row r="3477" spans="2:263" s="72" customFormat="1">
      <c r="B3477" s="73"/>
      <c r="C3477" s="73"/>
      <c r="D3477" s="73"/>
      <c r="E3477" s="73"/>
      <c r="F3477" s="73"/>
      <c r="G3477" s="73"/>
      <c r="H3477" s="73"/>
      <c r="I3477" s="73"/>
      <c r="J3477" s="73"/>
      <c r="K3477" s="73"/>
      <c r="L3477" s="73"/>
      <c r="M3477" s="73"/>
      <c r="N3477" s="73"/>
      <c r="O3477" s="73"/>
      <c r="P3477" s="73"/>
      <c r="Q3477" s="73"/>
      <c r="R3477" s="73"/>
      <c r="S3477" s="73"/>
      <c r="T3477" s="73"/>
      <c r="U3477" s="73"/>
      <c r="V3477" s="73"/>
      <c r="W3477" s="73"/>
      <c r="GL3477" s="73"/>
      <c r="GM3477" s="73"/>
      <c r="GN3477" s="73"/>
      <c r="GO3477" s="73"/>
      <c r="GP3477" s="73"/>
      <c r="GQ3477" s="73"/>
      <c r="GR3477" s="73"/>
      <c r="GS3477" s="73"/>
      <c r="GT3477" s="73"/>
      <c r="GU3477" s="73"/>
      <c r="GV3477" s="73"/>
      <c r="GW3477" s="73"/>
      <c r="GX3477" s="73"/>
      <c r="GY3477" s="73"/>
      <c r="GZ3477" s="73"/>
      <c r="HA3477" s="73"/>
      <c r="HB3477" s="73"/>
      <c r="HC3477" s="73"/>
      <c r="HD3477" s="73"/>
      <c r="HE3477" s="73"/>
      <c r="HF3477" s="73"/>
      <c r="HG3477" s="73"/>
      <c r="HH3477" s="73"/>
      <c r="HI3477" s="73"/>
      <c r="HJ3477" s="73"/>
      <c r="HK3477" s="73"/>
      <c r="HL3477" s="73"/>
      <c r="HM3477" s="73"/>
      <c r="HN3477" s="73"/>
      <c r="HO3477" s="73"/>
      <c r="HP3477" s="73"/>
      <c r="HQ3477" s="73"/>
      <c r="HR3477" s="73"/>
      <c r="HS3477" s="73"/>
      <c r="HT3477" s="73"/>
      <c r="HU3477" s="73"/>
      <c r="HV3477" s="73"/>
      <c r="HW3477" s="73"/>
      <c r="HX3477" s="73"/>
      <c r="HY3477" s="73"/>
      <c r="HZ3477" s="73"/>
      <c r="IA3477" s="73"/>
      <c r="IB3477" s="73"/>
      <c r="IC3477" s="73"/>
      <c r="ID3477" s="73"/>
      <c r="IE3477" s="73"/>
      <c r="IF3477" s="73"/>
      <c r="IG3477" s="73"/>
      <c r="IH3477" s="73"/>
      <c r="II3477" s="73"/>
      <c r="IJ3477" s="73"/>
      <c r="IK3477" s="73"/>
      <c r="IL3477" s="73"/>
      <c r="IM3477" s="73"/>
      <c r="IN3477" s="73"/>
      <c r="IO3477" s="73"/>
      <c r="IP3477" s="73"/>
      <c r="IQ3477" s="73"/>
      <c r="IR3477" s="73"/>
      <c r="IS3477" s="73"/>
      <c r="IT3477" s="73"/>
      <c r="IU3477" s="73"/>
      <c r="IV3477" s="73"/>
      <c r="IW3477" s="73"/>
      <c r="IX3477" s="73"/>
      <c r="IY3477" s="73"/>
      <c r="IZ3477" s="73"/>
      <c r="JA3477" s="73"/>
      <c r="JB3477" s="73"/>
      <c r="JC3477" s="73"/>
    </row>
    <row r="3478" spans="2:263" s="72" customFormat="1">
      <c r="B3478" s="73"/>
      <c r="C3478" s="73"/>
      <c r="D3478" s="73"/>
      <c r="E3478" s="73"/>
      <c r="F3478" s="73"/>
      <c r="G3478" s="73"/>
      <c r="H3478" s="73"/>
      <c r="I3478" s="73"/>
      <c r="J3478" s="73"/>
      <c r="K3478" s="73"/>
      <c r="L3478" s="73"/>
      <c r="M3478" s="73"/>
      <c r="N3478" s="73"/>
      <c r="O3478" s="73"/>
      <c r="P3478" s="73"/>
      <c r="Q3478" s="73"/>
      <c r="R3478" s="73"/>
      <c r="S3478" s="73"/>
      <c r="T3478" s="73"/>
      <c r="U3478" s="73"/>
      <c r="V3478" s="73"/>
      <c r="W3478" s="73"/>
      <c r="GL3478" s="73"/>
      <c r="GM3478" s="73"/>
      <c r="GN3478" s="73"/>
      <c r="GO3478" s="73"/>
      <c r="GP3478" s="73"/>
      <c r="GQ3478" s="73"/>
      <c r="GR3478" s="73"/>
      <c r="GS3478" s="73"/>
      <c r="GT3478" s="73"/>
      <c r="GU3478" s="73"/>
      <c r="GV3478" s="73"/>
      <c r="GW3478" s="73"/>
      <c r="GX3478" s="73"/>
      <c r="GY3478" s="73"/>
      <c r="GZ3478" s="73"/>
      <c r="HA3478" s="73"/>
      <c r="HB3478" s="73"/>
      <c r="HC3478" s="73"/>
      <c r="HD3478" s="73"/>
      <c r="HE3478" s="73"/>
      <c r="HF3478" s="73"/>
      <c r="HG3478" s="73"/>
      <c r="HH3478" s="73"/>
      <c r="HI3478" s="73"/>
      <c r="HJ3478" s="73"/>
      <c r="HK3478" s="73"/>
      <c r="HL3478" s="73"/>
      <c r="HM3478" s="73"/>
      <c r="HN3478" s="73"/>
      <c r="HO3478" s="73"/>
      <c r="HP3478" s="73"/>
      <c r="HQ3478" s="73"/>
      <c r="HR3478" s="73"/>
      <c r="HS3478" s="73"/>
      <c r="HT3478" s="73"/>
      <c r="HU3478" s="73"/>
      <c r="HV3478" s="73"/>
      <c r="HW3478" s="73"/>
      <c r="HX3478" s="73"/>
      <c r="HY3478" s="73"/>
      <c r="HZ3478" s="73"/>
      <c r="IA3478" s="73"/>
      <c r="IB3478" s="73"/>
      <c r="IC3478" s="73"/>
      <c r="ID3478" s="73"/>
      <c r="IE3478" s="73"/>
      <c r="IF3478" s="73"/>
      <c r="IG3478" s="73"/>
      <c r="IH3478" s="73"/>
      <c r="II3478" s="73"/>
      <c r="IJ3478" s="73"/>
      <c r="IK3478" s="73"/>
      <c r="IL3478" s="73"/>
      <c r="IM3478" s="73"/>
      <c r="IN3478" s="73"/>
      <c r="IO3478" s="73"/>
      <c r="IP3478" s="73"/>
      <c r="IQ3478" s="73"/>
      <c r="IR3478" s="73"/>
      <c r="IS3478" s="73"/>
      <c r="IT3478" s="73"/>
      <c r="IU3478" s="73"/>
      <c r="IV3478" s="73"/>
      <c r="IW3478" s="73"/>
      <c r="IX3478" s="73"/>
      <c r="IY3478" s="73"/>
      <c r="IZ3478" s="73"/>
      <c r="JA3478" s="73"/>
      <c r="JB3478" s="73"/>
      <c r="JC3478" s="73"/>
    </row>
    <row r="3479" spans="2:263" s="72" customFormat="1">
      <c r="B3479" s="73"/>
      <c r="C3479" s="73"/>
      <c r="D3479" s="73"/>
      <c r="E3479" s="73"/>
      <c r="F3479" s="73"/>
      <c r="G3479" s="73"/>
      <c r="H3479" s="73"/>
      <c r="I3479" s="73"/>
      <c r="J3479" s="73"/>
      <c r="K3479" s="73"/>
      <c r="L3479" s="73"/>
      <c r="M3479" s="73"/>
      <c r="N3479" s="73"/>
      <c r="O3479" s="73"/>
      <c r="P3479" s="73"/>
      <c r="Q3479" s="73"/>
      <c r="R3479" s="73"/>
      <c r="S3479" s="73"/>
      <c r="T3479" s="73"/>
      <c r="U3479" s="73"/>
      <c r="V3479" s="73"/>
      <c r="W3479" s="73"/>
      <c r="GL3479" s="73"/>
      <c r="GM3479" s="73"/>
      <c r="GN3479" s="73"/>
      <c r="GO3479" s="73"/>
      <c r="GP3479" s="73"/>
      <c r="GQ3479" s="73"/>
      <c r="GR3479" s="73"/>
      <c r="GS3479" s="73"/>
      <c r="GT3479" s="73"/>
      <c r="GU3479" s="73"/>
      <c r="GV3479" s="73"/>
      <c r="GW3479" s="73"/>
      <c r="GX3479" s="73"/>
      <c r="GY3479" s="73"/>
      <c r="GZ3479" s="73"/>
      <c r="HA3479" s="73"/>
      <c r="HB3479" s="73"/>
      <c r="HC3479" s="73"/>
      <c r="HD3479" s="73"/>
      <c r="HE3479" s="73"/>
      <c r="HF3479" s="73"/>
      <c r="HG3479" s="73"/>
      <c r="HH3479" s="73"/>
      <c r="HI3479" s="73"/>
      <c r="HJ3479" s="73"/>
      <c r="HK3479" s="73"/>
      <c r="HL3479" s="73"/>
      <c r="HM3479" s="73"/>
      <c r="HN3479" s="73"/>
      <c r="HO3479" s="73"/>
      <c r="HP3479" s="73"/>
      <c r="HQ3479" s="73"/>
      <c r="HR3479" s="73"/>
      <c r="HS3479" s="73"/>
      <c r="HT3479" s="73"/>
      <c r="HU3479" s="73"/>
      <c r="HV3479" s="73"/>
      <c r="HW3479" s="73"/>
      <c r="HX3479" s="73"/>
      <c r="HY3479" s="73"/>
      <c r="HZ3479" s="73"/>
      <c r="IA3479" s="73"/>
      <c r="IB3479" s="73"/>
      <c r="IC3479" s="73"/>
      <c r="ID3479" s="73"/>
      <c r="IE3479" s="73"/>
      <c r="IF3479" s="73"/>
      <c r="IG3479" s="73"/>
      <c r="IH3479" s="73"/>
      <c r="II3479" s="73"/>
      <c r="IJ3479" s="73"/>
      <c r="IK3479" s="73"/>
      <c r="IL3479" s="73"/>
      <c r="IM3479" s="73"/>
      <c r="IN3479" s="73"/>
      <c r="IO3479" s="73"/>
      <c r="IP3479" s="73"/>
      <c r="IQ3479" s="73"/>
      <c r="IR3479" s="73"/>
      <c r="IS3479" s="73"/>
      <c r="IT3479" s="73"/>
      <c r="IU3479" s="73"/>
      <c r="IV3479" s="73"/>
      <c r="IW3479" s="73"/>
      <c r="IX3479" s="73"/>
      <c r="IY3479" s="73"/>
      <c r="IZ3479" s="73"/>
      <c r="JA3479" s="73"/>
      <c r="JB3479" s="73"/>
      <c r="JC3479" s="73"/>
    </row>
    <row r="3480" spans="2:263" s="72" customFormat="1">
      <c r="B3480" s="73"/>
      <c r="C3480" s="73"/>
      <c r="D3480" s="73"/>
      <c r="E3480" s="73"/>
      <c r="F3480" s="73"/>
      <c r="G3480" s="73"/>
      <c r="H3480" s="73"/>
      <c r="I3480" s="73"/>
      <c r="J3480" s="73"/>
      <c r="K3480" s="73"/>
      <c r="L3480" s="73"/>
      <c r="M3480" s="73"/>
      <c r="N3480" s="73"/>
      <c r="O3480" s="73"/>
      <c r="P3480" s="73"/>
      <c r="Q3480" s="73"/>
      <c r="R3480" s="73"/>
      <c r="S3480" s="73"/>
      <c r="T3480" s="73"/>
      <c r="U3480" s="73"/>
      <c r="V3480" s="73"/>
      <c r="W3480" s="73"/>
      <c r="GL3480" s="73"/>
      <c r="GM3480" s="73"/>
      <c r="GN3480" s="73"/>
      <c r="GO3480" s="73"/>
      <c r="GP3480" s="73"/>
      <c r="GQ3480" s="73"/>
      <c r="GR3480" s="73"/>
      <c r="GS3480" s="73"/>
      <c r="GT3480" s="73"/>
      <c r="GU3480" s="73"/>
      <c r="GV3480" s="73"/>
      <c r="GW3480" s="73"/>
      <c r="GX3480" s="73"/>
      <c r="GY3480" s="73"/>
      <c r="GZ3480" s="73"/>
      <c r="HA3480" s="73"/>
      <c r="HB3480" s="73"/>
      <c r="HC3480" s="73"/>
      <c r="HD3480" s="73"/>
      <c r="HE3480" s="73"/>
      <c r="HF3480" s="73"/>
      <c r="HG3480" s="73"/>
      <c r="HH3480" s="73"/>
      <c r="HI3480" s="73"/>
      <c r="HJ3480" s="73"/>
      <c r="HK3480" s="73"/>
      <c r="HL3480" s="73"/>
      <c r="HM3480" s="73"/>
      <c r="HN3480" s="73"/>
      <c r="HO3480" s="73"/>
      <c r="HP3480" s="73"/>
      <c r="HQ3480" s="73"/>
      <c r="HR3480" s="73"/>
      <c r="HS3480" s="73"/>
      <c r="HT3480" s="73"/>
      <c r="HU3480" s="73"/>
      <c r="HV3480" s="73"/>
      <c r="HW3480" s="73"/>
      <c r="HX3480" s="73"/>
      <c r="HY3480" s="73"/>
      <c r="HZ3480" s="73"/>
      <c r="IA3480" s="73"/>
      <c r="IB3480" s="73"/>
      <c r="IC3480" s="73"/>
      <c r="ID3480" s="73"/>
      <c r="IE3480" s="73"/>
      <c r="IF3480" s="73"/>
      <c r="IG3480" s="73"/>
      <c r="IH3480" s="73"/>
      <c r="II3480" s="73"/>
      <c r="IJ3480" s="73"/>
      <c r="IK3480" s="73"/>
      <c r="IL3480" s="73"/>
      <c r="IM3480" s="73"/>
      <c r="IN3480" s="73"/>
      <c r="IO3480" s="73"/>
      <c r="IP3480" s="73"/>
      <c r="IQ3480" s="73"/>
      <c r="IR3480" s="73"/>
      <c r="IS3480" s="73"/>
      <c r="IT3480" s="73"/>
      <c r="IU3480" s="73"/>
      <c r="IV3480" s="73"/>
      <c r="IW3480" s="73"/>
      <c r="IX3480" s="73"/>
      <c r="IY3480" s="73"/>
      <c r="IZ3480" s="73"/>
      <c r="JA3480" s="73"/>
      <c r="JB3480" s="73"/>
      <c r="JC3480" s="73"/>
    </row>
    <row r="3481" spans="2:263" s="72" customFormat="1">
      <c r="B3481" s="73"/>
      <c r="C3481" s="73"/>
      <c r="D3481" s="73"/>
      <c r="E3481" s="73"/>
      <c r="F3481" s="73"/>
      <c r="G3481" s="73"/>
      <c r="H3481" s="73"/>
      <c r="I3481" s="73"/>
      <c r="J3481" s="73"/>
      <c r="K3481" s="73"/>
      <c r="L3481" s="73"/>
      <c r="M3481" s="73"/>
      <c r="N3481" s="73"/>
      <c r="O3481" s="73"/>
      <c r="P3481" s="73"/>
      <c r="Q3481" s="73"/>
      <c r="R3481" s="73"/>
      <c r="S3481" s="73"/>
      <c r="T3481" s="73"/>
      <c r="U3481" s="73"/>
      <c r="V3481" s="73"/>
      <c r="W3481" s="73"/>
      <c r="GL3481" s="73"/>
      <c r="GM3481" s="73"/>
      <c r="GN3481" s="73"/>
      <c r="GO3481" s="73"/>
      <c r="GP3481" s="73"/>
      <c r="GQ3481" s="73"/>
      <c r="GR3481" s="73"/>
      <c r="GS3481" s="73"/>
      <c r="GT3481" s="73"/>
      <c r="GU3481" s="73"/>
      <c r="GV3481" s="73"/>
      <c r="GW3481" s="73"/>
      <c r="GX3481" s="73"/>
      <c r="GY3481" s="73"/>
      <c r="GZ3481" s="73"/>
      <c r="HA3481" s="73"/>
      <c r="HB3481" s="73"/>
      <c r="HC3481" s="73"/>
      <c r="HD3481" s="73"/>
      <c r="HE3481" s="73"/>
      <c r="HF3481" s="73"/>
      <c r="HG3481" s="73"/>
      <c r="HH3481" s="73"/>
      <c r="HI3481" s="73"/>
      <c r="HJ3481" s="73"/>
      <c r="HK3481" s="73"/>
      <c r="HL3481" s="73"/>
      <c r="HM3481" s="73"/>
      <c r="HN3481" s="73"/>
      <c r="HO3481" s="73"/>
      <c r="HP3481" s="73"/>
      <c r="HQ3481" s="73"/>
      <c r="HR3481" s="73"/>
      <c r="HS3481" s="73"/>
      <c r="HT3481" s="73"/>
      <c r="HU3481" s="73"/>
      <c r="HV3481" s="73"/>
      <c r="HW3481" s="73"/>
      <c r="HX3481" s="73"/>
      <c r="HY3481" s="73"/>
      <c r="HZ3481" s="73"/>
      <c r="IA3481" s="73"/>
      <c r="IB3481" s="73"/>
      <c r="IC3481" s="73"/>
      <c r="ID3481" s="73"/>
      <c r="IE3481" s="73"/>
      <c r="IF3481" s="73"/>
      <c r="IG3481" s="73"/>
      <c r="IH3481" s="73"/>
      <c r="II3481" s="73"/>
      <c r="IJ3481" s="73"/>
      <c r="IK3481" s="73"/>
      <c r="IL3481" s="73"/>
      <c r="IM3481" s="73"/>
      <c r="IN3481" s="73"/>
      <c r="IO3481" s="73"/>
      <c r="IP3481" s="73"/>
      <c r="IQ3481" s="73"/>
      <c r="IR3481" s="73"/>
      <c r="IS3481" s="73"/>
      <c r="IT3481" s="73"/>
      <c r="IU3481" s="73"/>
      <c r="IV3481" s="73"/>
      <c r="IW3481" s="73"/>
      <c r="IX3481" s="73"/>
      <c r="IY3481" s="73"/>
      <c r="IZ3481" s="73"/>
      <c r="JA3481" s="73"/>
      <c r="JB3481" s="73"/>
      <c r="JC3481" s="73"/>
    </row>
    <row r="3482" spans="2:263" s="72" customFormat="1">
      <c r="B3482" s="73"/>
      <c r="C3482" s="73"/>
      <c r="D3482" s="73"/>
      <c r="E3482" s="73"/>
      <c r="F3482" s="73"/>
      <c r="G3482" s="73"/>
      <c r="H3482" s="73"/>
      <c r="I3482" s="73"/>
      <c r="J3482" s="73"/>
      <c r="K3482" s="73"/>
      <c r="L3482" s="73"/>
      <c r="M3482" s="73"/>
      <c r="N3482" s="73"/>
      <c r="O3482" s="73"/>
      <c r="P3482" s="73"/>
      <c r="Q3482" s="73"/>
      <c r="R3482" s="73"/>
      <c r="S3482" s="73"/>
      <c r="T3482" s="73"/>
      <c r="U3482" s="73"/>
      <c r="V3482" s="73"/>
      <c r="W3482" s="73"/>
      <c r="GL3482" s="73"/>
      <c r="GM3482" s="73"/>
      <c r="GN3482" s="73"/>
      <c r="GO3482" s="73"/>
      <c r="GP3482" s="73"/>
      <c r="GQ3482" s="73"/>
      <c r="GR3482" s="73"/>
      <c r="GS3482" s="73"/>
      <c r="GT3482" s="73"/>
      <c r="GU3482" s="73"/>
      <c r="GV3482" s="73"/>
      <c r="GW3482" s="73"/>
      <c r="GX3482" s="73"/>
      <c r="GY3482" s="73"/>
      <c r="GZ3482" s="73"/>
      <c r="HA3482" s="73"/>
      <c r="HB3482" s="73"/>
      <c r="HC3482" s="73"/>
      <c r="HD3482" s="73"/>
      <c r="HE3482" s="73"/>
      <c r="HF3482" s="73"/>
      <c r="HG3482" s="73"/>
      <c r="HH3482" s="73"/>
      <c r="HI3482" s="73"/>
      <c r="HJ3482" s="73"/>
      <c r="HK3482" s="73"/>
      <c r="HL3482" s="73"/>
      <c r="HM3482" s="73"/>
      <c r="HN3482" s="73"/>
      <c r="HO3482" s="73"/>
      <c r="HP3482" s="73"/>
      <c r="HQ3482" s="73"/>
      <c r="HR3482" s="73"/>
      <c r="HS3482" s="73"/>
      <c r="HT3482" s="73"/>
      <c r="HU3482" s="73"/>
      <c r="HV3482" s="73"/>
      <c r="HW3482" s="73"/>
      <c r="HX3482" s="73"/>
      <c r="HY3482" s="73"/>
      <c r="HZ3482" s="73"/>
      <c r="IA3482" s="73"/>
      <c r="IB3482" s="73"/>
      <c r="IC3482" s="73"/>
      <c r="ID3482" s="73"/>
      <c r="IE3482" s="73"/>
      <c r="IF3482" s="73"/>
      <c r="IG3482" s="73"/>
      <c r="IH3482" s="73"/>
      <c r="II3482" s="73"/>
      <c r="IJ3482" s="73"/>
      <c r="IK3482" s="73"/>
      <c r="IL3482" s="73"/>
      <c r="IM3482" s="73"/>
      <c r="IN3482" s="73"/>
      <c r="IO3482" s="73"/>
      <c r="IP3482" s="73"/>
      <c r="IQ3482" s="73"/>
      <c r="IR3482" s="73"/>
      <c r="IS3482" s="73"/>
      <c r="IT3482" s="73"/>
      <c r="IU3482" s="73"/>
      <c r="IV3482" s="73"/>
      <c r="IW3482" s="73"/>
      <c r="IX3482" s="73"/>
      <c r="IY3482" s="73"/>
      <c r="IZ3482" s="73"/>
      <c r="JA3482" s="73"/>
      <c r="JB3482" s="73"/>
      <c r="JC3482" s="73"/>
    </row>
    <row r="3483" spans="2:263" s="72" customFormat="1">
      <c r="B3483" s="73"/>
      <c r="C3483" s="73"/>
      <c r="D3483" s="73"/>
      <c r="E3483" s="73"/>
      <c r="F3483" s="73"/>
      <c r="G3483" s="73"/>
      <c r="H3483" s="73"/>
      <c r="I3483" s="73"/>
      <c r="J3483" s="73"/>
      <c r="K3483" s="73"/>
      <c r="L3483" s="73"/>
      <c r="M3483" s="73"/>
      <c r="N3483" s="73"/>
      <c r="O3483" s="73"/>
      <c r="P3483" s="73"/>
      <c r="Q3483" s="73"/>
      <c r="R3483" s="73"/>
      <c r="S3483" s="73"/>
      <c r="T3483" s="73"/>
      <c r="U3483" s="73"/>
      <c r="V3483" s="73"/>
      <c r="W3483" s="73"/>
      <c r="GL3483" s="73"/>
      <c r="GM3483" s="73"/>
      <c r="GN3483" s="73"/>
      <c r="GO3483" s="73"/>
      <c r="GP3483" s="73"/>
      <c r="GQ3483" s="73"/>
      <c r="GR3483" s="73"/>
      <c r="GS3483" s="73"/>
      <c r="GT3483" s="73"/>
      <c r="GU3483" s="73"/>
      <c r="GV3483" s="73"/>
      <c r="GW3483" s="73"/>
      <c r="GX3483" s="73"/>
      <c r="GY3483" s="73"/>
      <c r="GZ3483" s="73"/>
      <c r="HA3483" s="73"/>
      <c r="HB3483" s="73"/>
      <c r="HC3483" s="73"/>
      <c r="HD3483" s="73"/>
      <c r="HE3483" s="73"/>
      <c r="HF3483" s="73"/>
      <c r="HG3483" s="73"/>
      <c r="HH3483" s="73"/>
      <c r="HI3483" s="73"/>
      <c r="HJ3483" s="73"/>
      <c r="HK3483" s="73"/>
      <c r="HL3483" s="73"/>
      <c r="HM3483" s="73"/>
      <c r="HN3483" s="73"/>
      <c r="HO3483" s="73"/>
      <c r="HP3483" s="73"/>
      <c r="HQ3483" s="73"/>
      <c r="HR3483" s="73"/>
      <c r="HS3483" s="73"/>
      <c r="HT3483" s="73"/>
      <c r="HU3483" s="73"/>
      <c r="HV3483" s="73"/>
      <c r="HW3483" s="73"/>
      <c r="HX3483" s="73"/>
      <c r="HY3483" s="73"/>
      <c r="HZ3483" s="73"/>
      <c r="IA3483" s="73"/>
      <c r="IB3483" s="73"/>
      <c r="IC3483" s="73"/>
      <c r="ID3483" s="73"/>
      <c r="IE3483" s="73"/>
      <c r="IF3483" s="73"/>
      <c r="IG3483" s="73"/>
      <c r="IH3483" s="73"/>
      <c r="II3483" s="73"/>
      <c r="IJ3483" s="73"/>
      <c r="IK3483" s="73"/>
      <c r="IL3483" s="73"/>
      <c r="IM3483" s="73"/>
      <c r="IN3483" s="73"/>
      <c r="IO3483" s="73"/>
      <c r="IP3483" s="73"/>
      <c r="IQ3483" s="73"/>
      <c r="IR3483" s="73"/>
      <c r="IS3483" s="73"/>
      <c r="IT3483" s="73"/>
      <c r="IU3483" s="73"/>
      <c r="IV3483" s="73"/>
      <c r="IW3483" s="73"/>
      <c r="IX3483" s="73"/>
      <c r="IY3483" s="73"/>
      <c r="IZ3483" s="73"/>
      <c r="JA3483" s="73"/>
      <c r="JB3483" s="73"/>
      <c r="JC3483" s="73"/>
    </row>
    <row r="3484" spans="2:263" s="72" customFormat="1">
      <c r="B3484" s="73"/>
      <c r="C3484" s="73"/>
      <c r="D3484" s="73"/>
      <c r="E3484" s="73"/>
      <c r="F3484" s="73"/>
      <c r="G3484" s="73"/>
      <c r="H3484" s="73"/>
      <c r="I3484" s="73"/>
      <c r="J3484" s="73"/>
      <c r="K3484" s="73"/>
      <c r="L3484" s="73"/>
      <c r="M3484" s="73"/>
      <c r="N3484" s="73"/>
      <c r="O3484" s="73"/>
      <c r="P3484" s="73"/>
      <c r="Q3484" s="73"/>
      <c r="R3484" s="73"/>
      <c r="S3484" s="73"/>
      <c r="T3484" s="73"/>
      <c r="U3484" s="73"/>
      <c r="V3484" s="73"/>
      <c r="W3484" s="73"/>
      <c r="GL3484" s="73"/>
      <c r="GM3484" s="73"/>
      <c r="GN3484" s="73"/>
      <c r="GO3484" s="73"/>
      <c r="GP3484" s="73"/>
      <c r="GQ3484" s="73"/>
      <c r="GR3484" s="73"/>
      <c r="GS3484" s="73"/>
      <c r="GT3484" s="73"/>
      <c r="GU3484" s="73"/>
      <c r="GV3484" s="73"/>
      <c r="GW3484" s="73"/>
      <c r="GX3484" s="73"/>
      <c r="GY3484" s="73"/>
      <c r="GZ3484" s="73"/>
      <c r="HA3484" s="73"/>
      <c r="HB3484" s="73"/>
      <c r="HC3484" s="73"/>
      <c r="HD3484" s="73"/>
      <c r="HE3484" s="73"/>
      <c r="HF3484" s="73"/>
      <c r="HG3484" s="73"/>
      <c r="HH3484" s="73"/>
      <c r="HI3484" s="73"/>
      <c r="HJ3484" s="73"/>
      <c r="HK3484" s="73"/>
      <c r="HL3484" s="73"/>
      <c r="HM3484" s="73"/>
      <c r="HN3484" s="73"/>
      <c r="HO3484" s="73"/>
      <c r="HP3484" s="73"/>
      <c r="HQ3484" s="73"/>
      <c r="HR3484" s="73"/>
      <c r="HS3484" s="73"/>
      <c r="HT3484" s="73"/>
      <c r="HU3484" s="73"/>
      <c r="HV3484" s="73"/>
      <c r="HW3484" s="73"/>
      <c r="HX3484" s="73"/>
      <c r="HY3484" s="73"/>
      <c r="HZ3484" s="73"/>
      <c r="IA3484" s="73"/>
      <c r="IB3484" s="73"/>
      <c r="IC3484" s="73"/>
      <c r="ID3484" s="73"/>
      <c r="IE3484" s="73"/>
      <c r="IF3484" s="73"/>
      <c r="IG3484" s="73"/>
      <c r="IH3484" s="73"/>
      <c r="II3484" s="73"/>
      <c r="IJ3484" s="73"/>
      <c r="IK3484" s="73"/>
      <c r="IL3484" s="73"/>
      <c r="IM3484" s="73"/>
      <c r="IN3484" s="73"/>
      <c r="IO3484" s="73"/>
      <c r="IP3484" s="73"/>
      <c r="IQ3484" s="73"/>
      <c r="IR3484" s="73"/>
      <c r="IS3484" s="73"/>
      <c r="IT3484" s="73"/>
      <c r="IU3484" s="73"/>
      <c r="IV3484" s="73"/>
      <c r="IW3484" s="73"/>
      <c r="IX3484" s="73"/>
      <c r="IY3484" s="73"/>
      <c r="IZ3484" s="73"/>
      <c r="JA3484" s="73"/>
      <c r="JB3484" s="73"/>
      <c r="JC3484" s="73"/>
    </row>
    <row r="3485" spans="2:263" s="72" customFormat="1">
      <c r="B3485" s="73"/>
      <c r="C3485" s="73"/>
      <c r="D3485" s="73"/>
      <c r="E3485" s="73"/>
      <c r="F3485" s="73"/>
      <c r="G3485" s="73"/>
      <c r="H3485" s="73"/>
      <c r="I3485" s="73"/>
      <c r="J3485" s="73"/>
      <c r="K3485" s="73"/>
      <c r="L3485" s="73"/>
      <c r="M3485" s="73"/>
      <c r="N3485" s="73"/>
      <c r="O3485" s="73"/>
      <c r="P3485" s="73"/>
      <c r="Q3485" s="73"/>
      <c r="R3485" s="73"/>
      <c r="S3485" s="73"/>
      <c r="T3485" s="73"/>
      <c r="U3485" s="73"/>
      <c r="V3485" s="73"/>
      <c r="W3485" s="73"/>
      <c r="GL3485" s="73"/>
      <c r="GM3485" s="73"/>
      <c r="GN3485" s="73"/>
      <c r="GO3485" s="73"/>
      <c r="GP3485" s="73"/>
      <c r="GQ3485" s="73"/>
      <c r="GR3485" s="73"/>
      <c r="GS3485" s="73"/>
      <c r="GT3485" s="73"/>
      <c r="GU3485" s="73"/>
      <c r="GV3485" s="73"/>
      <c r="GW3485" s="73"/>
      <c r="GX3485" s="73"/>
      <c r="GY3485" s="73"/>
      <c r="GZ3485" s="73"/>
      <c r="HA3485" s="73"/>
      <c r="HB3485" s="73"/>
      <c r="HC3485" s="73"/>
      <c r="HD3485" s="73"/>
      <c r="HE3485" s="73"/>
      <c r="HF3485" s="73"/>
      <c r="HG3485" s="73"/>
      <c r="HH3485" s="73"/>
      <c r="HI3485" s="73"/>
      <c r="HJ3485" s="73"/>
      <c r="HK3485" s="73"/>
      <c r="HL3485" s="73"/>
      <c r="HM3485" s="73"/>
      <c r="HN3485" s="73"/>
      <c r="HO3485" s="73"/>
      <c r="HP3485" s="73"/>
      <c r="HQ3485" s="73"/>
      <c r="HR3485" s="73"/>
      <c r="HS3485" s="73"/>
      <c r="HT3485" s="73"/>
      <c r="HU3485" s="73"/>
      <c r="HV3485" s="73"/>
      <c r="HW3485" s="73"/>
      <c r="HX3485" s="73"/>
      <c r="HY3485" s="73"/>
      <c r="HZ3485" s="73"/>
      <c r="IA3485" s="73"/>
      <c r="IB3485" s="73"/>
      <c r="IC3485" s="73"/>
      <c r="ID3485" s="73"/>
      <c r="IE3485" s="73"/>
      <c r="IF3485" s="73"/>
      <c r="IG3485" s="73"/>
      <c r="IH3485" s="73"/>
      <c r="II3485" s="73"/>
      <c r="IJ3485" s="73"/>
      <c r="IK3485" s="73"/>
      <c r="IL3485" s="73"/>
      <c r="IM3485" s="73"/>
      <c r="IN3485" s="73"/>
      <c r="IO3485" s="73"/>
      <c r="IP3485" s="73"/>
      <c r="IQ3485" s="73"/>
      <c r="IR3485" s="73"/>
      <c r="IS3485" s="73"/>
      <c r="IT3485" s="73"/>
      <c r="IU3485" s="73"/>
      <c r="IV3485" s="73"/>
      <c r="IW3485" s="73"/>
      <c r="IX3485" s="73"/>
      <c r="IY3485" s="73"/>
      <c r="IZ3485" s="73"/>
      <c r="JA3485" s="73"/>
      <c r="JB3485" s="73"/>
      <c r="JC3485" s="73"/>
    </row>
    <row r="3486" spans="2:263" s="72" customFormat="1">
      <c r="B3486" s="73"/>
      <c r="C3486" s="73"/>
      <c r="D3486" s="73"/>
      <c r="E3486" s="73"/>
      <c r="F3486" s="73"/>
      <c r="G3486" s="73"/>
      <c r="H3486" s="73"/>
      <c r="I3486" s="73"/>
      <c r="J3486" s="73"/>
      <c r="K3486" s="73"/>
      <c r="L3486" s="73"/>
      <c r="M3486" s="73"/>
      <c r="N3486" s="73"/>
      <c r="O3486" s="73"/>
      <c r="P3486" s="73"/>
      <c r="Q3486" s="73"/>
      <c r="R3486" s="73"/>
      <c r="S3486" s="73"/>
      <c r="T3486" s="73"/>
      <c r="U3486" s="73"/>
      <c r="V3486" s="73"/>
      <c r="W3486" s="73"/>
      <c r="GL3486" s="73"/>
      <c r="GM3486" s="73"/>
      <c r="GN3486" s="73"/>
      <c r="GO3486" s="73"/>
      <c r="GP3486" s="73"/>
      <c r="GQ3486" s="73"/>
      <c r="GR3486" s="73"/>
      <c r="GS3486" s="73"/>
      <c r="GT3486" s="73"/>
      <c r="GU3486" s="73"/>
      <c r="GV3486" s="73"/>
      <c r="GW3486" s="73"/>
      <c r="GX3486" s="73"/>
      <c r="GY3486" s="73"/>
      <c r="GZ3486" s="73"/>
      <c r="HA3486" s="73"/>
      <c r="HB3486" s="73"/>
      <c r="HC3486" s="73"/>
      <c r="HD3486" s="73"/>
      <c r="HE3486" s="73"/>
      <c r="HF3486" s="73"/>
      <c r="HG3486" s="73"/>
      <c r="HH3486" s="73"/>
      <c r="HI3486" s="73"/>
      <c r="HJ3486" s="73"/>
      <c r="HK3486" s="73"/>
      <c r="HL3486" s="73"/>
      <c r="HM3486" s="73"/>
      <c r="HN3486" s="73"/>
      <c r="HO3486" s="73"/>
      <c r="HP3486" s="73"/>
      <c r="HQ3486" s="73"/>
      <c r="HR3486" s="73"/>
      <c r="HS3486" s="73"/>
      <c r="HT3486" s="73"/>
      <c r="HU3486" s="73"/>
      <c r="HV3486" s="73"/>
      <c r="HW3486" s="73"/>
      <c r="HX3486" s="73"/>
      <c r="HY3486" s="73"/>
      <c r="HZ3486" s="73"/>
      <c r="IA3486" s="73"/>
      <c r="IB3486" s="73"/>
      <c r="IC3486" s="73"/>
      <c r="ID3486" s="73"/>
      <c r="IE3486" s="73"/>
      <c r="IF3486" s="73"/>
      <c r="IG3486" s="73"/>
      <c r="IH3486" s="73"/>
      <c r="II3486" s="73"/>
      <c r="IJ3486" s="73"/>
      <c r="IK3486" s="73"/>
      <c r="IL3486" s="73"/>
      <c r="IM3486" s="73"/>
      <c r="IN3486" s="73"/>
      <c r="IO3486" s="73"/>
      <c r="IP3486" s="73"/>
      <c r="IQ3486" s="73"/>
      <c r="IR3486" s="73"/>
      <c r="IS3486" s="73"/>
      <c r="IT3486" s="73"/>
      <c r="IU3486" s="73"/>
      <c r="IV3486" s="73"/>
      <c r="IW3486" s="73"/>
      <c r="IX3486" s="73"/>
      <c r="IY3486" s="73"/>
      <c r="IZ3486" s="73"/>
      <c r="JA3486" s="73"/>
      <c r="JB3486" s="73"/>
      <c r="JC3486" s="73"/>
    </row>
    <row r="3487" spans="2:263" s="72" customFormat="1">
      <c r="B3487" s="73"/>
      <c r="C3487" s="73"/>
      <c r="D3487" s="73"/>
      <c r="E3487" s="73"/>
      <c r="F3487" s="73"/>
      <c r="G3487" s="73"/>
      <c r="H3487" s="73"/>
      <c r="I3487" s="73"/>
      <c r="J3487" s="73"/>
      <c r="K3487" s="73"/>
      <c r="L3487" s="73"/>
      <c r="M3487" s="73"/>
      <c r="N3487" s="73"/>
      <c r="O3487" s="73"/>
      <c r="P3487" s="73"/>
      <c r="Q3487" s="73"/>
      <c r="R3487" s="73"/>
      <c r="S3487" s="73"/>
      <c r="T3487" s="73"/>
      <c r="U3487" s="73"/>
      <c r="V3487" s="73"/>
      <c r="W3487" s="73"/>
      <c r="GL3487" s="73"/>
      <c r="GM3487" s="73"/>
      <c r="GN3487" s="73"/>
      <c r="GO3487" s="73"/>
      <c r="GP3487" s="73"/>
      <c r="GQ3487" s="73"/>
      <c r="GR3487" s="73"/>
      <c r="GS3487" s="73"/>
      <c r="GT3487" s="73"/>
      <c r="GU3487" s="73"/>
      <c r="GV3487" s="73"/>
      <c r="GW3487" s="73"/>
      <c r="GX3487" s="73"/>
      <c r="GY3487" s="73"/>
      <c r="GZ3487" s="73"/>
      <c r="HA3487" s="73"/>
      <c r="HB3487" s="73"/>
      <c r="HC3487" s="73"/>
      <c r="HD3487" s="73"/>
      <c r="HE3487" s="73"/>
      <c r="HF3487" s="73"/>
      <c r="HG3487" s="73"/>
      <c r="HH3487" s="73"/>
      <c r="HI3487" s="73"/>
      <c r="HJ3487" s="73"/>
      <c r="HK3487" s="73"/>
      <c r="HL3487" s="73"/>
      <c r="HM3487" s="73"/>
      <c r="HN3487" s="73"/>
      <c r="HO3487" s="73"/>
      <c r="HP3487" s="73"/>
      <c r="HQ3487" s="73"/>
      <c r="HR3487" s="73"/>
      <c r="HS3487" s="73"/>
      <c r="HT3487" s="73"/>
      <c r="HU3487" s="73"/>
      <c r="HV3487" s="73"/>
      <c r="HW3487" s="73"/>
      <c r="HX3487" s="73"/>
      <c r="HY3487" s="73"/>
      <c r="HZ3487" s="73"/>
      <c r="IA3487" s="73"/>
      <c r="IB3487" s="73"/>
      <c r="IC3487" s="73"/>
      <c r="ID3487" s="73"/>
      <c r="IE3487" s="73"/>
      <c r="IF3487" s="73"/>
      <c r="IG3487" s="73"/>
      <c r="IH3487" s="73"/>
      <c r="II3487" s="73"/>
      <c r="IJ3487" s="73"/>
      <c r="IK3487" s="73"/>
      <c r="IL3487" s="73"/>
      <c r="IM3487" s="73"/>
      <c r="IN3487" s="73"/>
      <c r="IO3487" s="73"/>
      <c r="IP3487" s="73"/>
      <c r="IQ3487" s="73"/>
      <c r="IR3487" s="73"/>
      <c r="IS3487" s="73"/>
      <c r="IT3487" s="73"/>
      <c r="IU3487" s="73"/>
      <c r="IV3487" s="73"/>
      <c r="IW3487" s="73"/>
      <c r="IX3487" s="73"/>
      <c r="IY3487" s="73"/>
      <c r="IZ3487" s="73"/>
      <c r="JA3487" s="73"/>
      <c r="JB3487" s="73"/>
      <c r="JC3487" s="73"/>
    </row>
    <row r="3488" spans="2:263" s="72" customFormat="1">
      <c r="B3488" s="73"/>
      <c r="C3488" s="73"/>
      <c r="D3488" s="73"/>
      <c r="E3488" s="73"/>
      <c r="F3488" s="73"/>
      <c r="G3488" s="73"/>
      <c r="H3488" s="73"/>
      <c r="I3488" s="73"/>
      <c r="J3488" s="73"/>
      <c r="K3488" s="73"/>
      <c r="L3488" s="73"/>
      <c r="M3488" s="73"/>
      <c r="N3488" s="73"/>
      <c r="O3488" s="73"/>
      <c r="P3488" s="73"/>
      <c r="Q3488" s="73"/>
      <c r="R3488" s="73"/>
      <c r="S3488" s="73"/>
      <c r="T3488" s="73"/>
      <c r="U3488" s="73"/>
      <c r="V3488" s="73"/>
      <c r="W3488" s="73"/>
      <c r="GL3488" s="73"/>
      <c r="GM3488" s="73"/>
      <c r="GN3488" s="73"/>
      <c r="GO3488" s="73"/>
      <c r="GP3488" s="73"/>
      <c r="GQ3488" s="73"/>
      <c r="GR3488" s="73"/>
      <c r="GS3488" s="73"/>
      <c r="GT3488" s="73"/>
      <c r="GU3488" s="73"/>
      <c r="GV3488" s="73"/>
      <c r="GW3488" s="73"/>
      <c r="GX3488" s="73"/>
      <c r="GY3488" s="73"/>
      <c r="GZ3488" s="73"/>
      <c r="HA3488" s="73"/>
      <c r="HB3488" s="73"/>
      <c r="HC3488" s="73"/>
      <c r="HD3488" s="73"/>
      <c r="HE3488" s="73"/>
      <c r="HF3488" s="73"/>
      <c r="HG3488" s="73"/>
      <c r="HH3488" s="73"/>
      <c r="HI3488" s="73"/>
      <c r="HJ3488" s="73"/>
      <c r="HK3488" s="73"/>
      <c r="HL3488" s="73"/>
      <c r="HM3488" s="73"/>
      <c r="HN3488" s="73"/>
      <c r="HO3488" s="73"/>
      <c r="HP3488" s="73"/>
      <c r="HQ3488" s="73"/>
      <c r="HR3488" s="73"/>
      <c r="HS3488" s="73"/>
      <c r="HT3488" s="73"/>
      <c r="HU3488" s="73"/>
      <c r="HV3488" s="73"/>
      <c r="HW3488" s="73"/>
      <c r="HX3488" s="73"/>
      <c r="HY3488" s="73"/>
      <c r="HZ3488" s="73"/>
      <c r="IA3488" s="73"/>
      <c r="IB3488" s="73"/>
      <c r="IC3488" s="73"/>
      <c r="ID3488" s="73"/>
      <c r="IE3488" s="73"/>
      <c r="IF3488" s="73"/>
      <c r="IG3488" s="73"/>
      <c r="IH3488" s="73"/>
      <c r="II3488" s="73"/>
      <c r="IJ3488" s="73"/>
      <c r="IK3488" s="73"/>
      <c r="IL3488" s="73"/>
      <c r="IM3488" s="73"/>
      <c r="IN3488" s="73"/>
      <c r="IO3488" s="73"/>
      <c r="IP3488" s="73"/>
      <c r="IQ3488" s="73"/>
      <c r="IR3488" s="73"/>
      <c r="IS3488" s="73"/>
      <c r="IT3488" s="73"/>
      <c r="IU3488" s="73"/>
      <c r="IV3488" s="73"/>
      <c r="IW3488" s="73"/>
      <c r="IX3488" s="73"/>
      <c r="IY3488" s="73"/>
      <c r="IZ3488" s="73"/>
      <c r="JA3488" s="73"/>
      <c r="JB3488" s="73"/>
      <c r="JC3488" s="73"/>
    </row>
    <row r="3489" spans="2:263" s="72" customFormat="1">
      <c r="B3489" s="73"/>
      <c r="C3489" s="73"/>
      <c r="D3489" s="73"/>
      <c r="E3489" s="73"/>
      <c r="F3489" s="73"/>
      <c r="G3489" s="73"/>
      <c r="H3489" s="73"/>
      <c r="I3489" s="73"/>
      <c r="J3489" s="73"/>
      <c r="K3489" s="73"/>
      <c r="L3489" s="73"/>
      <c r="M3489" s="73"/>
      <c r="N3489" s="73"/>
      <c r="O3489" s="73"/>
      <c r="P3489" s="73"/>
      <c r="Q3489" s="73"/>
      <c r="R3489" s="73"/>
      <c r="S3489" s="73"/>
      <c r="T3489" s="73"/>
      <c r="U3489" s="73"/>
      <c r="V3489" s="73"/>
      <c r="W3489" s="73"/>
      <c r="GL3489" s="73"/>
      <c r="GM3489" s="73"/>
      <c r="GN3489" s="73"/>
      <c r="GO3489" s="73"/>
      <c r="GP3489" s="73"/>
      <c r="GQ3489" s="73"/>
      <c r="GR3489" s="73"/>
      <c r="GS3489" s="73"/>
      <c r="GT3489" s="73"/>
      <c r="GU3489" s="73"/>
      <c r="GV3489" s="73"/>
      <c r="GW3489" s="73"/>
      <c r="GX3489" s="73"/>
      <c r="GY3489" s="73"/>
      <c r="GZ3489" s="73"/>
      <c r="HA3489" s="73"/>
      <c r="HB3489" s="73"/>
      <c r="HC3489" s="73"/>
      <c r="HD3489" s="73"/>
      <c r="HE3489" s="73"/>
      <c r="HF3489" s="73"/>
      <c r="HG3489" s="73"/>
      <c r="HH3489" s="73"/>
      <c r="HI3489" s="73"/>
      <c r="HJ3489" s="73"/>
      <c r="HK3489" s="73"/>
      <c r="HL3489" s="73"/>
      <c r="HM3489" s="73"/>
      <c r="HN3489" s="73"/>
      <c r="HO3489" s="73"/>
      <c r="HP3489" s="73"/>
      <c r="HQ3489" s="73"/>
      <c r="HR3489" s="73"/>
      <c r="HS3489" s="73"/>
      <c r="HT3489" s="73"/>
      <c r="HU3489" s="73"/>
      <c r="HV3489" s="73"/>
      <c r="HW3489" s="73"/>
      <c r="HX3489" s="73"/>
      <c r="HY3489" s="73"/>
      <c r="HZ3489" s="73"/>
      <c r="IA3489" s="73"/>
      <c r="IB3489" s="73"/>
      <c r="IC3489" s="73"/>
      <c r="ID3489" s="73"/>
      <c r="IE3489" s="73"/>
      <c r="IF3489" s="73"/>
      <c r="IG3489" s="73"/>
      <c r="IH3489" s="73"/>
      <c r="II3489" s="73"/>
      <c r="IJ3489" s="73"/>
      <c r="IK3489" s="73"/>
      <c r="IL3489" s="73"/>
      <c r="IM3489" s="73"/>
      <c r="IN3489" s="73"/>
      <c r="IO3489" s="73"/>
      <c r="IP3489" s="73"/>
      <c r="IQ3489" s="73"/>
      <c r="IR3489" s="73"/>
      <c r="IS3489" s="73"/>
      <c r="IT3489" s="73"/>
      <c r="IU3489" s="73"/>
      <c r="IV3489" s="73"/>
      <c r="IW3489" s="73"/>
      <c r="IX3489" s="73"/>
      <c r="IY3489" s="73"/>
      <c r="IZ3489" s="73"/>
      <c r="JA3489" s="73"/>
      <c r="JB3489" s="73"/>
      <c r="JC3489" s="73"/>
    </row>
    <row r="3490" spans="2:263" s="72" customFormat="1">
      <c r="B3490" s="73"/>
      <c r="C3490" s="73"/>
      <c r="D3490" s="73"/>
      <c r="E3490" s="73"/>
      <c r="F3490" s="73"/>
      <c r="G3490" s="73"/>
      <c r="H3490" s="73"/>
      <c r="I3490" s="73"/>
      <c r="J3490" s="73"/>
      <c r="K3490" s="73"/>
      <c r="L3490" s="73"/>
      <c r="M3490" s="73"/>
      <c r="N3490" s="73"/>
      <c r="O3490" s="73"/>
      <c r="P3490" s="73"/>
      <c r="Q3490" s="73"/>
      <c r="R3490" s="73"/>
      <c r="S3490" s="73"/>
      <c r="T3490" s="73"/>
      <c r="U3490" s="73"/>
      <c r="V3490" s="73"/>
      <c r="W3490" s="73"/>
      <c r="GL3490" s="73"/>
      <c r="GM3490" s="73"/>
      <c r="GN3490" s="73"/>
      <c r="GO3490" s="73"/>
      <c r="GP3490" s="73"/>
      <c r="GQ3490" s="73"/>
      <c r="GR3490" s="73"/>
      <c r="GS3490" s="73"/>
      <c r="GT3490" s="73"/>
      <c r="GU3490" s="73"/>
      <c r="GV3490" s="73"/>
      <c r="GW3490" s="73"/>
      <c r="GX3490" s="73"/>
      <c r="GY3490" s="73"/>
      <c r="GZ3490" s="73"/>
      <c r="HA3490" s="73"/>
      <c r="HB3490" s="73"/>
      <c r="HC3490" s="73"/>
      <c r="HD3490" s="73"/>
      <c r="HE3490" s="73"/>
      <c r="HF3490" s="73"/>
      <c r="HG3490" s="73"/>
      <c r="HH3490" s="73"/>
      <c r="HI3490" s="73"/>
      <c r="HJ3490" s="73"/>
      <c r="HK3490" s="73"/>
      <c r="HL3490" s="73"/>
      <c r="HM3490" s="73"/>
      <c r="HN3490" s="73"/>
      <c r="HO3490" s="73"/>
      <c r="HP3490" s="73"/>
      <c r="HQ3490" s="73"/>
      <c r="HR3490" s="73"/>
      <c r="HS3490" s="73"/>
      <c r="HT3490" s="73"/>
      <c r="HU3490" s="73"/>
      <c r="HV3490" s="73"/>
      <c r="HW3490" s="73"/>
      <c r="HX3490" s="73"/>
      <c r="HY3490" s="73"/>
      <c r="HZ3490" s="73"/>
      <c r="IA3490" s="73"/>
      <c r="IB3490" s="73"/>
      <c r="IC3490" s="73"/>
      <c r="ID3490" s="73"/>
      <c r="IE3490" s="73"/>
      <c r="IF3490" s="73"/>
      <c r="IG3490" s="73"/>
      <c r="IH3490" s="73"/>
      <c r="II3490" s="73"/>
      <c r="IJ3490" s="73"/>
      <c r="IK3490" s="73"/>
      <c r="IL3490" s="73"/>
      <c r="IM3490" s="73"/>
      <c r="IN3490" s="73"/>
      <c r="IO3490" s="73"/>
      <c r="IP3490" s="73"/>
      <c r="IQ3490" s="73"/>
      <c r="IR3490" s="73"/>
      <c r="IS3490" s="73"/>
      <c r="IT3490" s="73"/>
      <c r="IU3490" s="73"/>
      <c r="IV3490" s="73"/>
      <c r="IW3490" s="73"/>
      <c r="IX3490" s="73"/>
      <c r="IY3490" s="73"/>
      <c r="IZ3490" s="73"/>
      <c r="JA3490" s="73"/>
      <c r="JB3490" s="73"/>
      <c r="JC3490" s="73"/>
    </row>
    <row r="3491" spans="2:263" s="72" customFormat="1">
      <c r="B3491" s="73"/>
      <c r="C3491" s="73"/>
      <c r="D3491" s="73"/>
      <c r="E3491" s="73"/>
      <c r="F3491" s="73"/>
      <c r="G3491" s="73"/>
      <c r="H3491" s="73"/>
      <c r="I3491" s="73"/>
      <c r="J3491" s="73"/>
      <c r="K3491" s="73"/>
      <c r="L3491" s="73"/>
      <c r="M3491" s="73"/>
      <c r="N3491" s="73"/>
      <c r="O3491" s="73"/>
      <c r="P3491" s="73"/>
      <c r="Q3491" s="73"/>
      <c r="R3491" s="73"/>
      <c r="S3491" s="73"/>
      <c r="T3491" s="73"/>
      <c r="U3491" s="73"/>
      <c r="V3491" s="73"/>
      <c r="W3491" s="73"/>
      <c r="GL3491" s="73"/>
      <c r="GM3491" s="73"/>
      <c r="GN3491" s="73"/>
      <c r="GO3491" s="73"/>
      <c r="GP3491" s="73"/>
      <c r="GQ3491" s="73"/>
      <c r="GR3491" s="73"/>
      <c r="GS3491" s="73"/>
      <c r="GT3491" s="73"/>
      <c r="GU3491" s="73"/>
      <c r="GV3491" s="73"/>
      <c r="GW3491" s="73"/>
      <c r="GX3491" s="73"/>
      <c r="GY3491" s="73"/>
      <c r="GZ3491" s="73"/>
      <c r="HA3491" s="73"/>
      <c r="HB3491" s="73"/>
      <c r="HC3491" s="73"/>
      <c r="HD3491" s="73"/>
      <c r="HE3491" s="73"/>
      <c r="HF3491" s="73"/>
      <c r="HG3491" s="73"/>
      <c r="HH3491" s="73"/>
      <c r="HI3491" s="73"/>
      <c r="HJ3491" s="73"/>
      <c r="HK3491" s="73"/>
      <c r="HL3491" s="73"/>
      <c r="HM3491" s="73"/>
      <c r="HN3491" s="73"/>
      <c r="HO3491" s="73"/>
      <c r="HP3491" s="73"/>
      <c r="HQ3491" s="73"/>
      <c r="HR3491" s="73"/>
      <c r="HS3491" s="73"/>
      <c r="HT3491" s="73"/>
      <c r="HU3491" s="73"/>
      <c r="HV3491" s="73"/>
      <c r="HW3491" s="73"/>
      <c r="HX3491" s="73"/>
      <c r="HY3491" s="73"/>
      <c r="HZ3491" s="73"/>
      <c r="IA3491" s="73"/>
      <c r="IB3491" s="73"/>
      <c r="IC3491" s="73"/>
      <c r="ID3491" s="73"/>
      <c r="IE3491" s="73"/>
      <c r="IF3491" s="73"/>
      <c r="IG3491" s="73"/>
      <c r="IH3491" s="73"/>
      <c r="II3491" s="73"/>
      <c r="IJ3491" s="73"/>
      <c r="IK3491" s="73"/>
      <c r="IL3491" s="73"/>
      <c r="IM3491" s="73"/>
      <c r="IN3491" s="73"/>
      <c r="IO3491" s="73"/>
      <c r="IP3491" s="73"/>
      <c r="IQ3491" s="73"/>
      <c r="IR3491" s="73"/>
      <c r="IS3491" s="73"/>
      <c r="IT3491" s="73"/>
      <c r="IU3491" s="73"/>
      <c r="IV3491" s="73"/>
      <c r="IW3491" s="73"/>
      <c r="IX3491" s="73"/>
      <c r="IY3491" s="73"/>
      <c r="IZ3491" s="73"/>
      <c r="JA3491" s="73"/>
      <c r="JB3491" s="73"/>
      <c r="JC3491" s="73"/>
    </row>
    <row r="3492" spans="2:263" s="72" customFormat="1">
      <c r="B3492" s="73"/>
      <c r="C3492" s="73"/>
      <c r="D3492" s="73"/>
      <c r="E3492" s="73"/>
      <c r="F3492" s="73"/>
      <c r="G3492" s="73"/>
      <c r="H3492" s="73"/>
      <c r="I3492" s="73"/>
      <c r="J3492" s="73"/>
      <c r="K3492" s="73"/>
      <c r="L3492" s="73"/>
      <c r="M3492" s="73"/>
      <c r="N3492" s="73"/>
      <c r="O3492" s="73"/>
      <c r="P3492" s="73"/>
      <c r="Q3492" s="73"/>
      <c r="R3492" s="73"/>
      <c r="S3492" s="73"/>
      <c r="T3492" s="73"/>
      <c r="U3492" s="73"/>
      <c r="V3492" s="73"/>
      <c r="W3492" s="73"/>
      <c r="GL3492" s="73"/>
      <c r="GM3492" s="73"/>
      <c r="GN3492" s="73"/>
      <c r="GO3492" s="73"/>
      <c r="GP3492" s="73"/>
      <c r="GQ3492" s="73"/>
      <c r="GR3492" s="73"/>
      <c r="GS3492" s="73"/>
      <c r="GT3492" s="73"/>
      <c r="GU3492" s="73"/>
      <c r="GV3492" s="73"/>
      <c r="GW3492" s="73"/>
      <c r="GX3492" s="73"/>
      <c r="GY3492" s="73"/>
      <c r="GZ3492" s="73"/>
      <c r="HA3492" s="73"/>
      <c r="HB3492" s="73"/>
      <c r="HC3492" s="73"/>
      <c r="HD3492" s="73"/>
      <c r="HE3492" s="73"/>
      <c r="HF3492" s="73"/>
      <c r="HG3492" s="73"/>
      <c r="HH3492" s="73"/>
      <c r="HI3492" s="73"/>
      <c r="HJ3492" s="73"/>
      <c r="HK3492" s="73"/>
      <c r="HL3492" s="73"/>
      <c r="HM3492" s="73"/>
      <c r="HN3492" s="73"/>
      <c r="HO3492" s="73"/>
      <c r="HP3492" s="73"/>
      <c r="HQ3492" s="73"/>
      <c r="HR3492" s="73"/>
      <c r="HS3492" s="73"/>
      <c r="HT3492" s="73"/>
      <c r="HU3492" s="73"/>
      <c r="HV3492" s="73"/>
      <c r="HW3492" s="73"/>
      <c r="HX3492" s="73"/>
      <c r="HY3492" s="73"/>
      <c r="HZ3492" s="73"/>
      <c r="IA3492" s="73"/>
      <c r="IB3492" s="73"/>
      <c r="IC3492" s="73"/>
      <c r="ID3492" s="73"/>
      <c r="IE3492" s="73"/>
      <c r="IF3492" s="73"/>
      <c r="IG3492" s="73"/>
      <c r="IH3492" s="73"/>
      <c r="II3492" s="73"/>
      <c r="IJ3492" s="73"/>
      <c r="IK3492" s="73"/>
      <c r="IL3492" s="73"/>
      <c r="IM3492" s="73"/>
      <c r="IN3492" s="73"/>
      <c r="IO3492" s="73"/>
      <c r="IP3492" s="73"/>
      <c r="IQ3492" s="73"/>
      <c r="IR3492" s="73"/>
      <c r="IS3492" s="73"/>
      <c r="IT3492" s="73"/>
      <c r="IU3492" s="73"/>
      <c r="IV3492" s="73"/>
      <c r="IW3492" s="73"/>
      <c r="IX3492" s="73"/>
      <c r="IY3492" s="73"/>
      <c r="IZ3492" s="73"/>
      <c r="JA3492" s="73"/>
      <c r="JB3492" s="73"/>
      <c r="JC3492" s="73"/>
    </row>
    <row r="3493" spans="2:263" s="72" customFormat="1">
      <c r="B3493" s="73"/>
      <c r="C3493" s="73"/>
      <c r="D3493" s="73"/>
      <c r="E3493" s="73"/>
      <c r="F3493" s="73"/>
      <c r="G3493" s="73"/>
      <c r="H3493" s="73"/>
      <c r="I3493" s="73"/>
      <c r="J3493" s="73"/>
      <c r="K3493" s="73"/>
      <c r="L3493" s="73"/>
      <c r="M3493" s="73"/>
      <c r="N3493" s="73"/>
      <c r="O3493" s="73"/>
      <c r="P3493" s="73"/>
      <c r="Q3493" s="73"/>
      <c r="R3493" s="73"/>
      <c r="S3493" s="73"/>
      <c r="T3493" s="73"/>
      <c r="U3493" s="73"/>
      <c r="V3493" s="73"/>
      <c r="W3493" s="73"/>
      <c r="GL3493" s="73"/>
      <c r="GM3493" s="73"/>
      <c r="GN3493" s="73"/>
      <c r="GO3493" s="73"/>
      <c r="GP3493" s="73"/>
      <c r="GQ3493" s="73"/>
      <c r="GR3493" s="73"/>
      <c r="GS3493" s="73"/>
      <c r="GT3493" s="73"/>
      <c r="GU3493" s="73"/>
      <c r="GV3493" s="73"/>
      <c r="GW3493" s="73"/>
      <c r="GX3493" s="73"/>
      <c r="GY3493" s="73"/>
      <c r="GZ3493" s="73"/>
      <c r="HA3493" s="73"/>
      <c r="HB3493" s="73"/>
      <c r="HC3493" s="73"/>
      <c r="HD3493" s="73"/>
      <c r="HE3493" s="73"/>
      <c r="HF3493" s="73"/>
      <c r="HG3493" s="73"/>
      <c r="HH3493" s="73"/>
      <c r="HI3493" s="73"/>
      <c r="HJ3493" s="73"/>
      <c r="HK3493" s="73"/>
      <c r="HL3493" s="73"/>
      <c r="HM3493" s="73"/>
      <c r="HN3493" s="73"/>
      <c r="HO3493" s="73"/>
      <c r="HP3493" s="73"/>
      <c r="HQ3493" s="73"/>
      <c r="HR3493" s="73"/>
      <c r="HS3493" s="73"/>
      <c r="HT3493" s="73"/>
      <c r="HU3493" s="73"/>
      <c r="HV3493" s="73"/>
      <c r="HW3493" s="73"/>
      <c r="HX3493" s="73"/>
      <c r="HY3493" s="73"/>
      <c r="HZ3493" s="73"/>
      <c r="IA3493" s="73"/>
      <c r="IB3493" s="73"/>
      <c r="IC3493" s="73"/>
      <c r="ID3493" s="73"/>
      <c r="IE3493" s="73"/>
      <c r="IF3493" s="73"/>
      <c r="IG3493" s="73"/>
      <c r="IH3493" s="73"/>
      <c r="II3493" s="73"/>
      <c r="IJ3493" s="73"/>
      <c r="IK3493" s="73"/>
      <c r="IL3493" s="73"/>
      <c r="IM3493" s="73"/>
      <c r="IN3493" s="73"/>
      <c r="IO3493" s="73"/>
      <c r="IP3493" s="73"/>
      <c r="IQ3493" s="73"/>
      <c r="IR3493" s="73"/>
      <c r="IS3493" s="73"/>
      <c r="IT3493" s="73"/>
      <c r="IU3493" s="73"/>
      <c r="IV3493" s="73"/>
      <c r="IW3493" s="73"/>
      <c r="IX3493" s="73"/>
      <c r="IY3493" s="73"/>
      <c r="IZ3493" s="73"/>
      <c r="JA3493" s="73"/>
      <c r="JB3493" s="73"/>
      <c r="JC3493" s="73"/>
    </row>
    <row r="3494" spans="2:263" s="72" customFormat="1">
      <c r="B3494" s="73"/>
      <c r="C3494" s="73"/>
      <c r="D3494" s="73"/>
      <c r="E3494" s="73"/>
      <c r="F3494" s="73"/>
      <c r="G3494" s="73"/>
      <c r="H3494" s="73"/>
      <c r="I3494" s="73"/>
      <c r="J3494" s="73"/>
      <c r="K3494" s="73"/>
      <c r="L3494" s="73"/>
      <c r="M3494" s="73"/>
      <c r="N3494" s="73"/>
      <c r="O3494" s="73"/>
      <c r="P3494" s="73"/>
      <c r="Q3494" s="73"/>
      <c r="R3494" s="73"/>
      <c r="S3494" s="73"/>
      <c r="T3494" s="73"/>
      <c r="U3494" s="73"/>
      <c r="V3494" s="73"/>
      <c r="W3494" s="73"/>
      <c r="GL3494" s="73"/>
      <c r="GM3494" s="73"/>
      <c r="GN3494" s="73"/>
      <c r="GO3494" s="73"/>
      <c r="GP3494" s="73"/>
      <c r="GQ3494" s="73"/>
      <c r="GR3494" s="73"/>
      <c r="GS3494" s="73"/>
      <c r="GT3494" s="73"/>
      <c r="GU3494" s="73"/>
      <c r="GV3494" s="73"/>
      <c r="GW3494" s="73"/>
      <c r="GX3494" s="73"/>
      <c r="GY3494" s="73"/>
      <c r="GZ3494" s="73"/>
      <c r="HA3494" s="73"/>
      <c r="HB3494" s="73"/>
      <c r="HC3494" s="73"/>
      <c r="HD3494" s="73"/>
      <c r="HE3494" s="73"/>
      <c r="HF3494" s="73"/>
      <c r="HG3494" s="73"/>
      <c r="HH3494" s="73"/>
      <c r="HI3494" s="73"/>
      <c r="HJ3494" s="73"/>
      <c r="HK3494" s="73"/>
      <c r="HL3494" s="73"/>
      <c r="HM3494" s="73"/>
      <c r="HN3494" s="73"/>
      <c r="HO3494" s="73"/>
      <c r="HP3494" s="73"/>
      <c r="HQ3494" s="73"/>
      <c r="HR3494" s="73"/>
      <c r="HS3494" s="73"/>
      <c r="HT3494" s="73"/>
      <c r="HU3494" s="73"/>
      <c r="HV3494" s="73"/>
      <c r="HW3494" s="73"/>
      <c r="HX3494" s="73"/>
      <c r="HY3494" s="73"/>
      <c r="HZ3494" s="73"/>
      <c r="IA3494" s="73"/>
      <c r="IB3494" s="73"/>
      <c r="IC3494" s="73"/>
      <c r="ID3494" s="73"/>
      <c r="IE3494" s="73"/>
      <c r="IF3494" s="73"/>
      <c r="IG3494" s="73"/>
      <c r="IH3494" s="73"/>
      <c r="II3494" s="73"/>
      <c r="IJ3494" s="73"/>
      <c r="IK3494" s="73"/>
      <c r="IL3494" s="73"/>
      <c r="IM3494" s="73"/>
      <c r="IN3494" s="73"/>
      <c r="IO3494" s="73"/>
      <c r="IP3494" s="73"/>
      <c r="IQ3494" s="73"/>
      <c r="IR3494" s="73"/>
      <c r="IS3494" s="73"/>
      <c r="IT3494" s="73"/>
      <c r="IU3494" s="73"/>
      <c r="IV3494" s="73"/>
      <c r="IW3494" s="73"/>
      <c r="IX3494" s="73"/>
      <c r="IY3494" s="73"/>
      <c r="IZ3494" s="73"/>
      <c r="JA3494" s="73"/>
      <c r="JB3494" s="73"/>
      <c r="JC3494" s="73"/>
    </row>
    <row r="3495" spans="2:263" s="72" customFormat="1">
      <c r="B3495" s="73"/>
      <c r="C3495" s="73"/>
      <c r="D3495" s="73"/>
      <c r="E3495" s="73"/>
      <c r="F3495" s="73"/>
      <c r="G3495" s="73"/>
      <c r="H3495" s="73"/>
      <c r="I3495" s="73"/>
      <c r="J3495" s="73"/>
      <c r="K3495" s="73"/>
      <c r="L3495" s="73"/>
      <c r="M3495" s="73"/>
      <c r="N3495" s="73"/>
      <c r="O3495" s="73"/>
      <c r="P3495" s="73"/>
      <c r="Q3495" s="73"/>
      <c r="R3495" s="73"/>
      <c r="S3495" s="73"/>
      <c r="T3495" s="73"/>
      <c r="U3495" s="73"/>
      <c r="V3495" s="73"/>
      <c r="W3495" s="73"/>
      <c r="GL3495" s="73"/>
      <c r="GM3495" s="73"/>
      <c r="GN3495" s="73"/>
      <c r="GO3495" s="73"/>
      <c r="GP3495" s="73"/>
      <c r="GQ3495" s="73"/>
      <c r="GR3495" s="73"/>
      <c r="GS3495" s="73"/>
      <c r="GT3495" s="73"/>
      <c r="GU3495" s="73"/>
      <c r="GV3495" s="73"/>
      <c r="GW3495" s="73"/>
      <c r="GX3495" s="73"/>
      <c r="GY3495" s="73"/>
      <c r="GZ3495" s="73"/>
      <c r="HA3495" s="73"/>
      <c r="HB3495" s="73"/>
      <c r="HC3495" s="73"/>
      <c r="HD3495" s="73"/>
      <c r="HE3495" s="73"/>
      <c r="HF3495" s="73"/>
      <c r="HG3495" s="73"/>
      <c r="HH3495" s="73"/>
      <c r="HI3495" s="73"/>
      <c r="HJ3495" s="73"/>
      <c r="HK3495" s="73"/>
      <c r="HL3495" s="73"/>
      <c r="HM3495" s="73"/>
      <c r="HN3495" s="73"/>
      <c r="HO3495" s="73"/>
      <c r="HP3495" s="73"/>
      <c r="HQ3495" s="73"/>
      <c r="HR3495" s="73"/>
      <c r="HS3495" s="73"/>
      <c r="HT3495" s="73"/>
      <c r="HU3495" s="73"/>
      <c r="HV3495" s="73"/>
      <c r="HW3495" s="73"/>
      <c r="HX3495" s="73"/>
      <c r="HY3495" s="73"/>
      <c r="HZ3495" s="73"/>
      <c r="IA3495" s="73"/>
      <c r="IB3495" s="73"/>
      <c r="IC3495" s="73"/>
      <c r="ID3495" s="73"/>
      <c r="IE3495" s="73"/>
      <c r="IF3495" s="73"/>
      <c r="IG3495" s="73"/>
      <c r="IH3495" s="73"/>
      <c r="II3495" s="73"/>
      <c r="IJ3495" s="73"/>
      <c r="IK3495" s="73"/>
      <c r="IL3495" s="73"/>
      <c r="IM3495" s="73"/>
      <c r="IN3495" s="73"/>
      <c r="IO3495" s="73"/>
      <c r="IP3495" s="73"/>
      <c r="IQ3495" s="73"/>
      <c r="IR3495" s="73"/>
      <c r="IS3495" s="73"/>
      <c r="IT3495" s="73"/>
      <c r="IU3495" s="73"/>
      <c r="IV3495" s="73"/>
      <c r="IW3495" s="73"/>
      <c r="IX3495" s="73"/>
      <c r="IY3495" s="73"/>
      <c r="IZ3495" s="73"/>
      <c r="JA3495" s="73"/>
      <c r="JB3495" s="73"/>
      <c r="JC3495" s="73"/>
    </row>
    <row r="3496" spans="2:263" s="72" customFormat="1">
      <c r="B3496" s="73"/>
      <c r="C3496" s="73"/>
      <c r="D3496" s="73"/>
      <c r="E3496" s="73"/>
      <c r="F3496" s="73"/>
      <c r="G3496" s="73"/>
      <c r="H3496" s="73"/>
      <c r="I3496" s="73"/>
      <c r="J3496" s="73"/>
      <c r="K3496" s="73"/>
      <c r="L3496" s="73"/>
      <c r="M3496" s="73"/>
      <c r="N3496" s="73"/>
      <c r="O3496" s="73"/>
      <c r="P3496" s="73"/>
      <c r="Q3496" s="73"/>
      <c r="R3496" s="73"/>
      <c r="S3496" s="73"/>
      <c r="T3496" s="73"/>
      <c r="U3496" s="73"/>
      <c r="V3496" s="73"/>
      <c r="W3496" s="73"/>
      <c r="GL3496" s="73"/>
      <c r="GM3496" s="73"/>
      <c r="GN3496" s="73"/>
      <c r="GO3496" s="73"/>
      <c r="GP3496" s="73"/>
      <c r="GQ3496" s="73"/>
      <c r="GR3496" s="73"/>
      <c r="GS3496" s="73"/>
      <c r="GT3496" s="73"/>
      <c r="GU3496" s="73"/>
      <c r="GV3496" s="73"/>
      <c r="GW3496" s="73"/>
      <c r="GX3496" s="73"/>
      <c r="GY3496" s="73"/>
      <c r="GZ3496" s="73"/>
      <c r="HA3496" s="73"/>
      <c r="HB3496" s="73"/>
      <c r="HC3496" s="73"/>
      <c r="HD3496" s="73"/>
      <c r="HE3496" s="73"/>
      <c r="HF3496" s="73"/>
      <c r="HG3496" s="73"/>
      <c r="HH3496" s="73"/>
      <c r="HI3496" s="73"/>
      <c r="HJ3496" s="73"/>
      <c r="HK3496" s="73"/>
      <c r="HL3496" s="73"/>
      <c r="HM3496" s="73"/>
      <c r="HN3496" s="73"/>
      <c r="HO3496" s="73"/>
      <c r="HP3496" s="73"/>
      <c r="HQ3496" s="73"/>
      <c r="HR3496" s="73"/>
      <c r="HS3496" s="73"/>
      <c r="HT3496" s="73"/>
      <c r="HU3496" s="73"/>
      <c r="HV3496" s="73"/>
      <c r="HW3496" s="73"/>
      <c r="HX3496" s="73"/>
      <c r="HY3496" s="73"/>
      <c r="HZ3496" s="73"/>
      <c r="IA3496" s="73"/>
      <c r="IB3496" s="73"/>
      <c r="IC3496" s="73"/>
      <c r="ID3496" s="73"/>
      <c r="IE3496" s="73"/>
      <c r="IF3496" s="73"/>
      <c r="IG3496" s="73"/>
      <c r="IH3496" s="73"/>
      <c r="II3496" s="73"/>
      <c r="IJ3496" s="73"/>
      <c r="IK3496" s="73"/>
      <c r="IL3496" s="73"/>
      <c r="IM3496" s="73"/>
      <c r="IN3496" s="73"/>
      <c r="IO3496" s="73"/>
      <c r="IP3496" s="73"/>
      <c r="IQ3496" s="73"/>
      <c r="IR3496" s="73"/>
      <c r="IS3496" s="73"/>
      <c r="IT3496" s="73"/>
      <c r="IU3496" s="73"/>
      <c r="IV3496" s="73"/>
      <c r="IW3496" s="73"/>
      <c r="IX3496" s="73"/>
      <c r="IY3496" s="73"/>
      <c r="IZ3496" s="73"/>
      <c r="JA3496" s="73"/>
      <c r="JB3496" s="73"/>
      <c r="JC3496" s="73"/>
    </row>
    <row r="3497" spans="2:263" s="72" customFormat="1">
      <c r="B3497" s="73"/>
      <c r="C3497" s="73"/>
      <c r="D3497" s="73"/>
      <c r="E3497" s="73"/>
      <c r="F3497" s="73"/>
      <c r="G3497" s="73"/>
      <c r="H3497" s="73"/>
      <c r="I3497" s="73"/>
      <c r="J3497" s="73"/>
      <c r="K3497" s="73"/>
      <c r="L3497" s="73"/>
      <c r="M3497" s="73"/>
      <c r="N3497" s="73"/>
      <c r="O3497" s="73"/>
      <c r="P3497" s="73"/>
      <c r="Q3497" s="73"/>
      <c r="R3497" s="73"/>
      <c r="S3497" s="73"/>
      <c r="T3497" s="73"/>
      <c r="U3497" s="73"/>
      <c r="V3497" s="73"/>
      <c r="W3497" s="73"/>
      <c r="GL3497" s="73"/>
      <c r="GM3497" s="73"/>
      <c r="GN3497" s="73"/>
      <c r="GO3497" s="73"/>
      <c r="GP3497" s="73"/>
      <c r="GQ3497" s="73"/>
      <c r="GR3497" s="73"/>
      <c r="GS3497" s="73"/>
      <c r="GT3497" s="73"/>
      <c r="GU3497" s="73"/>
      <c r="GV3497" s="73"/>
      <c r="GW3497" s="73"/>
      <c r="GX3497" s="73"/>
      <c r="GY3497" s="73"/>
      <c r="GZ3497" s="73"/>
      <c r="HA3497" s="73"/>
      <c r="HB3497" s="73"/>
      <c r="HC3497" s="73"/>
      <c r="HD3497" s="73"/>
      <c r="HE3497" s="73"/>
      <c r="HF3497" s="73"/>
      <c r="HG3497" s="73"/>
      <c r="HH3497" s="73"/>
      <c r="HI3497" s="73"/>
      <c r="HJ3497" s="73"/>
      <c r="HK3497" s="73"/>
      <c r="HL3497" s="73"/>
      <c r="HM3497" s="73"/>
      <c r="HN3497" s="73"/>
      <c r="HO3497" s="73"/>
      <c r="HP3497" s="73"/>
      <c r="HQ3497" s="73"/>
      <c r="HR3497" s="73"/>
      <c r="HS3497" s="73"/>
      <c r="HT3497" s="73"/>
      <c r="HU3497" s="73"/>
      <c r="HV3497" s="73"/>
      <c r="HW3497" s="73"/>
      <c r="HX3497" s="73"/>
      <c r="HY3497" s="73"/>
      <c r="HZ3497" s="73"/>
      <c r="IA3497" s="73"/>
      <c r="IB3497" s="73"/>
      <c r="IC3497" s="73"/>
      <c r="ID3497" s="73"/>
      <c r="IE3497" s="73"/>
      <c r="IF3497" s="73"/>
      <c r="IG3497" s="73"/>
      <c r="IH3497" s="73"/>
      <c r="II3497" s="73"/>
      <c r="IJ3497" s="73"/>
      <c r="IK3497" s="73"/>
      <c r="IL3497" s="73"/>
      <c r="IM3497" s="73"/>
      <c r="IN3497" s="73"/>
      <c r="IO3497" s="73"/>
      <c r="IP3497" s="73"/>
      <c r="IQ3497" s="73"/>
      <c r="IR3497" s="73"/>
      <c r="IS3497" s="73"/>
      <c r="IT3497" s="73"/>
      <c r="IU3497" s="73"/>
      <c r="IV3497" s="73"/>
      <c r="IW3497" s="73"/>
      <c r="IX3497" s="73"/>
      <c r="IY3497" s="73"/>
      <c r="IZ3497" s="73"/>
      <c r="JA3497" s="73"/>
      <c r="JB3497" s="73"/>
      <c r="JC3497" s="73"/>
    </row>
    <row r="3498" spans="2:263" s="72" customFormat="1">
      <c r="B3498" s="73"/>
      <c r="C3498" s="73"/>
      <c r="D3498" s="73"/>
      <c r="E3498" s="73"/>
      <c r="F3498" s="73"/>
      <c r="G3498" s="73"/>
      <c r="H3498" s="73"/>
      <c r="I3498" s="73"/>
      <c r="J3498" s="73"/>
      <c r="K3498" s="73"/>
      <c r="L3498" s="73"/>
      <c r="M3498" s="73"/>
      <c r="N3498" s="73"/>
      <c r="O3498" s="73"/>
      <c r="P3498" s="73"/>
      <c r="Q3498" s="73"/>
      <c r="R3498" s="73"/>
      <c r="S3498" s="73"/>
      <c r="T3498" s="73"/>
      <c r="U3498" s="73"/>
      <c r="V3498" s="73"/>
      <c r="W3498" s="73"/>
      <c r="GL3498" s="73"/>
      <c r="GM3498" s="73"/>
      <c r="GN3498" s="73"/>
      <c r="GO3498" s="73"/>
      <c r="GP3498" s="73"/>
      <c r="GQ3498" s="73"/>
      <c r="GR3498" s="73"/>
      <c r="GS3498" s="73"/>
      <c r="GT3498" s="73"/>
      <c r="GU3498" s="73"/>
      <c r="GV3498" s="73"/>
      <c r="GW3498" s="73"/>
      <c r="GX3498" s="73"/>
      <c r="GY3498" s="73"/>
      <c r="GZ3498" s="73"/>
      <c r="HA3498" s="73"/>
      <c r="HB3498" s="73"/>
      <c r="HC3498" s="73"/>
      <c r="HD3498" s="73"/>
      <c r="HE3498" s="73"/>
      <c r="HF3498" s="73"/>
      <c r="HG3498" s="73"/>
      <c r="HH3498" s="73"/>
      <c r="HI3498" s="73"/>
      <c r="HJ3498" s="73"/>
      <c r="HK3498" s="73"/>
      <c r="HL3498" s="73"/>
      <c r="HM3498" s="73"/>
      <c r="HN3498" s="73"/>
      <c r="HO3498" s="73"/>
      <c r="HP3498" s="73"/>
      <c r="HQ3498" s="73"/>
      <c r="HR3498" s="73"/>
      <c r="HS3498" s="73"/>
      <c r="HT3498" s="73"/>
      <c r="HU3498" s="73"/>
      <c r="HV3498" s="73"/>
      <c r="HW3498" s="73"/>
      <c r="HX3498" s="73"/>
      <c r="HY3498" s="73"/>
      <c r="HZ3498" s="73"/>
      <c r="IA3498" s="73"/>
      <c r="IB3498" s="73"/>
      <c r="IC3498" s="73"/>
      <c r="ID3498" s="73"/>
      <c r="IE3498" s="73"/>
      <c r="IF3498" s="73"/>
      <c r="IG3498" s="73"/>
      <c r="IH3498" s="73"/>
      <c r="II3498" s="73"/>
      <c r="IJ3498" s="73"/>
      <c r="IK3498" s="73"/>
      <c r="IL3498" s="73"/>
      <c r="IM3498" s="73"/>
      <c r="IN3498" s="73"/>
      <c r="IO3498" s="73"/>
      <c r="IP3498" s="73"/>
      <c r="IQ3498" s="73"/>
      <c r="IR3498" s="73"/>
      <c r="IS3498" s="73"/>
      <c r="IT3498" s="73"/>
      <c r="IU3498" s="73"/>
      <c r="IV3498" s="73"/>
      <c r="IW3498" s="73"/>
      <c r="IX3498" s="73"/>
      <c r="IY3498" s="73"/>
      <c r="IZ3498" s="73"/>
      <c r="JA3498" s="73"/>
      <c r="JB3498" s="73"/>
      <c r="JC3498" s="73"/>
    </row>
    <row r="3499" spans="2:263" s="72" customFormat="1">
      <c r="B3499" s="73"/>
      <c r="C3499" s="73"/>
      <c r="D3499" s="73"/>
      <c r="E3499" s="73"/>
      <c r="F3499" s="73"/>
      <c r="G3499" s="73"/>
      <c r="H3499" s="73"/>
      <c r="I3499" s="73"/>
      <c r="J3499" s="73"/>
      <c r="K3499" s="73"/>
      <c r="L3499" s="73"/>
      <c r="M3499" s="73"/>
      <c r="N3499" s="73"/>
      <c r="O3499" s="73"/>
      <c r="P3499" s="73"/>
      <c r="Q3499" s="73"/>
      <c r="R3499" s="73"/>
      <c r="S3499" s="73"/>
      <c r="T3499" s="73"/>
      <c r="U3499" s="73"/>
      <c r="V3499" s="73"/>
      <c r="W3499" s="73"/>
      <c r="GL3499" s="73"/>
      <c r="GM3499" s="73"/>
      <c r="GN3499" s="73"/>
      <c r="GO3499" s="73"/>
      <c r="GP3499" s="73"/>
      <c r="GQ3499" s="73"/>
      <c r="GR3499" s="73"/>
      <c r="GS3499" s="73"/>
      <c r="GT3499" s="73"/>
      <c r="GU3499" s="73"/>
      <c r="GV3499" s="73"/>
      <c r="GW3499" s="73"/>
      <c r="GX3499" s="73"/>
      <c r="GY3499" s="73"/>
      <c r="GZ3499" s="73"/>
      <c r="HA3499" s="73"/>
      <c r="HB3499" s="73"/>
      <c r="HC3499" s="73"/>
      <c r="HD3499" s="73"/>
      <c r="HE3499" s="73"/>
      <c r="HF3499" s="73"/>
      <c r="HG3499" s="73"/>
      <c r="HH3499" s="73"/>
      <c r="HI3499" s="73"/>
      <c r="HJ3499" s="73"/>
      <c r="HK3499" s="73"/>
      <c r="HL3499" s="73"/>
      <c r="HM3499" s="73"/>
      <c r="HN3499" s="73"/>
      <c r="HO3499" s="73"/>
      <c r="HP3499" s="73"/>
      <c r="HQ3499" s="73"/>
      <c r="HR3499" s="73"/>
      <c r="HS3499" s="73"/>
      <c r="HT3499" s="73"/>
      <c r="HU3499" s="73"/>
      <c r="HV3499" s="73"/>
      <c r="HW3499" s="73"/>
      <c r="HX3499" s="73"/>
      <c r="HY3499" s="73"/>
      <c r="HZ3499" s="73"/>
      <c r="IA3499" s="73"/>
      <c r="IB3499" s="73"/>
      <c r="IC3499" s="73"/>
      <c r="ID3499" s="73"/>
      <c r="IE3499" s="73"/>
      <c r="IF3499" s="73"/>
      <c r="IG3499" s="73"/>
      <c r="IH3499" s="73"/>
      <c r="II3499" s="73"/>
      <c r="IJ3499" s="73"/>
      <c r="IK3499" s="73"/>
      <c r="IL3499" s="73"/>
      <c r="IM3499" s="73"/>
      <c r="IN3499" s="73"/>
      <c r="IO3499" s="73"/>
      <c r="IP3499" s="73"/>
      <c r="IQ3499" s="73"/>
      <c r="IR3499" s="73"/>
      <c r="IS3499" s="73"/>
      <c r="IT3499" s="73"/>
      <c r="IU3499" s="73"/>
      <c r="IV3499" s="73"/>
      <c r="IW3499" s="73"/>
      <c r="IX3499" s="73"/>
      <c r="IY3499" s="73"/>
      <c r="IZ3499" s="73"/>
      <c r="JA3499" s="73"/>
      <c r="JB3499" s="73"/>
      <c r="JC3499" s="73"/>
    </row>
    <row r="3500" spans="2:263" s="72" customFormat="1">
      <c r="B3500" s="73"/>
      <c r="C3500" s="73"/>
      <c r="D3500" s="73"/>
      <c r="E3500" s="73"/>
      <c r="F3500" s="73"/>
      <c r="G3500" s="73"/>
      <c r="H3500" s="73"/>
      <c r="I3500" s="73"/>
      <c r="J3500" s="73"/>
      <c r="K3500" s="73"/>
      <c r="L3500" s="73"/>
      <c r="M3500" s="73"/>
      <c r="N3500" s="73"/>
      <c r="O3500" s="73"/>
      <c r="P3500" s="73"/>
      <c r="Q3500" s="73"/>
      <c r="R3500" s="73"/>
      <c r="S3500" s="73"/>
      <c r="T3500" s="73"/>
      <c r="U3500" s="73"/>
      <c r="V3500" s="73"/>
      <c r="W3500" s="73"/>
      <c r="GL3500" s="73"/>
      <c r="GM3500" s="73"/>
      <c r="GN3500" s="73"/>
      <c r="GO3500" s="73"/>
      <c r="GP3500" s="73"/>
      <c r="GQ3500" s="73"/>
      <c r="GR3500" s="73"/>
      <c r="GS3500" s="73"/>
      <c r="GT3500" s="73"/>
      <c r="GU3500" s="73"/>
      <c r="GV3500" s="73"/>
      <c r="GW3500" s="73"/>
      <c r="GX3500" s="73"/>
      <c r="GY3500" s="73"/>
      <c r="GZ3500" s="73"/>
      <c r="HA3500" s="73"/>
      <c r="HB3500" s="73"/>
      <c r="HC3500" s="73"/>
      <c r="HD3500" s="73"/>
      <c r="HE3500" s="73"/>
      <c r="HF3500" s="73"/>
      <c r="HG3500" s="73"/>
      <c r="HH3500" s="73"/>
      <c r="HI3500" s="73"/>
      <c r="HJ3500" s="73"/>
      <c r="HK3500" s="73"/>
      <c r="HL3500" s="73"/>
      <c r="HM3500" s="73"/>
      <c r="HN3500" s="73"/>
      <c r="HO3500" s="73"/>
      <c r="HP3500" s="73"/>
      <c r="HQ3500" s="73"/>
      <c r="HR3500" s="73"/>
      <c r="HS3500" s="73"/>
      <c r="HT3500" s="73"/>
      <c r="HU3500" s="73"/>
      <c r="HV3500" s="73"/>
      <c r="HW3500" s="73"/>
      <c r="HX3500" s="73"/>
      <c r="HY3500" s="73"/>
      <c r="HZ3500" s="73"/>
      <c r="IA3500" s="73"/>
      <c r="IB3500" s="73"/>
      <c r="IC3500" s="73"/>
      <c r="ID3500" s="73"/>
      <c r="IE3500" s="73"/>
      <c r="IF3500" s="73"/>
      <c r="IG3500" s="73"/>
      <c r="IH3500" s="73"/>
      <c r="II3500" s="73"/>
      <c r="IJ3500" s="73"/>
      <c r="IK3500" s="73"/>
      <c r="IL3500" s="73"/>
      <c r="IM3500" s="73"/>
      <c r="IN3500" s="73"/>
      <c r="IO3500" s="73"/>
      <c r="IP3500" s="73"/>
      <c r="IQ3500" s="73"/>
      <c r="IR3500" s="73"/>
      <c r="IS3500" s="73"/>
      <c r="IT3500" s="73"/>
      <c r="IU3500" s="73"/>
      <c r="IV3500" s="73"/>
      <c r="IW3500" s="73"/>
      <c r="IX3500" s="73"/>
      <c r="IY3500" s="73"/>
      <c r="IZ3500" s="73"/>
      <c r="JA3500" s="73"/>
      <c r="JB3500" s="73"/>
      <c r="JC3500" s="73"/>
    </row>
    <row r="3501" spans="2:263" s="72" customFormat="1">
      <c r="B3501" s="73"/>
      <c r="C3501" s="73"/>
      <c r="D3501" s="73"/>
      <c r="E3501" s="73"/>
      <c r="F3501" s="73"/>
      <c r="G3501" s="73"/>
      <c r="H3501" s="73"/>
      <c r="I3501" s="73"/>
      <c r="J3501" s="73"/>
      <c r="K3501" s="73"/>
      <c r="L3501" s="73"/>
      <c r="M3501" s="73"/>
      <c r="N3501" s="73"/>
      <c r="O3501" s="73"/>
      <c r="P3501" s="73"/>
      <c r="Q3501" s="73"/>
      <c r="R3501" s="73"/>
      <c r="S3501" s="73"/>
      <c r="T3501" s="73"/>
      <c r="U3501" s="73"/>
      <c r="V3501" s="73"/>
      <c r="W3501" s="73"/>
      <c r="GL3501" s="73"/>
      <c r="GM3501" s="73"/>
      <c r="GN3501" s="73"/>
      <c r="GO3501" s="73"/>
      <c r="GP3501" s="73"/>
      <c r="GQ3501" s="73"/>
      <c r="GR3501" s="73"/>
      <c r="GS3501" s="73"/>
      <c r="GT3501" s="73"/>
      <c r="GU3501" s="73"/>
      <c r="GV3501" s="73"/>
      <c r="GW3501" s="73"/>
      <c r="GX3501" s="73"/>
      <c r="GY3501" s="73"/>
      <c r="GZ3501" s="73"/>
      <c r="HA3501" s="73"/>
      <c r="HB3501" s="73"/>
      <c r="HC3501" s="73"/>
      <c r="HD3501" s="73"/>
      <c r="HE3501" s="73"/>
      <c r="HF3501" s="73"/>
      <c r="HG3501" s="73"/>
      <c r="HH3501" s="73"/>
      <c r="HI3501" s="73"/>
      <c r="HJ3501" s="73"/>
      <c r="HK3501" s="73"/>
      <c r="HL3501" s="73"/>
      <c r="HM3501" s="73"/>
      <c r="HN3501" s="73"/>
      <c r="HO3501" s="73"/>
      <c r="HP3501" s="73"/>
      <c r="HQ3501" s="73"/>
      <c r="HR3501" s="73"/>
      <c r="HS3501" s="73"/>
      <c r="HT3501" s="73"/>
      <c r="HU3501" s="73"/>
      <c r="HV3501" s="73"/>
      <c r="HW3501" s="73"/>
      <c r="HX3501" s="73"/>
      <c r="HY3501" s="73"/>
      <c r="HZ3501" s="73"/>
      <c r="IA3501" s="73"/>
      <c r="IB3501" s="73"/>
      <c r="IC3501" s="73"/>
      <c r="ID3501" s="73"/>
      <c r="IE3501" s="73"/>
      <c r="IF3501" s="73"/>
      <c r="IG3501" s="73"/>
      <c r="IH3501" s="73"/>
      <c r="II3501" s="73"/>
      <c r="IJ3501" s="73"/>
      <c r="IK3501" s="73"/>
      <c r="IL3501" s="73"/>
      <c r="IM3501" s="73"/>
      <c r="IN3501" s="73"/>
      <c r="IO3501" s="73"/>
      <c r="IP3501" s="73"/>
      <c r="IQ3501" s="73"/>
      <c r="IR3501" s="73"/>
      <c r="IS3501" s="73"/>
      <c r="IT3501" s="73"/>
      <c r="IU3501" s="73"/>
      <c r="IV3501" s="73"/>
      <c r="IW3501" s="73"/>
      <c r="IX3501" s="73"/>
      <c r="IY3501" s="73"/>
      <c r="IZ3501" s="73"/>
      <c r="JA3501" s="73"/>
      <c r="JB3501" s="73"/>
      <c r="JC3501" s="73"/>
    </row>
    <row r="3502" spans="2:263" s="72" customFormat="1">
      <c r="B3502" s="73"/>
      <c r="C3502" s="73"/>
      <c r="D3502" s="73"/>
      <c r="E3502" s="73"/>
      <c r="F3502" s="73"/>
      <c r="G3502" s="73"/>
      <c r="H3502" s="73"/>
      <c r="I3502" s="73"/>
      <c r="J3502" s="73"/>
      <c r="K3502" s="73"/>
      <c r="L3502" s="73"/>
      <c r="M3502" s="73"/>
      <c r="N3502" s="73"/>
      <c r="O3502" s="73"/>
      <c r="P3502" s="73"/>
      <c r="Q3502" s="73"/>
      <c r="R3502" s="73"/>
      <c r="S3502" s="73"/>
      <c r="T3502" s="73"/>
      <c r="U3502" s="73"/>
      <c r="V3502" s="73"/>
      <c r="W3502" s="73"/>
      <c r="GL3502" s="73"/>
      <c r="GM3502" s="73"/>
      <c r="GN3502" s="73"/>
      <c r="GO3502" s="73"/>
      <c r="GP3502" s="73"/>
      <c r="GQ3502" s="73"/>
      <c r="GR3502" s="73"/>
      <c r="GS3502" s="73"/>
      <c r="GT3502" s="73"/>
      <c r="GU3502" s="73"/>
      <c r="GV3502" s="73"/>
      <c r="GW3502" s="73"/>
      <c r="GX3502" s="73"/>
      <c r="GY3502" s="73"/>
      <c r="GZ3502" s="73"/>
      <c r="HA3502" s="73"/>
      <c r="HB3502" s="73"/>
      <c r="HC3502" s="73"/>
      <c r="HD3502" s="73"/>
      <c r="HE3502" s="73"/>
      <c r="HF3502" s="73"/>
      <c r="HG3502" s="73"/>
      <c r="HH3502" s="73"/>
      <c r="HI3502" s="73"/>
      <c r="HJ3502" s="73"/>
      <c r="HK3502" s="73"/>
      <c r="HL3502" s="73"/>
      <c r="HM3502" s="73"/>
      <c r="HN3502" s="73"/>
      <c r="HO3502" s="73"/>
      <c r="HP3502" s="73"/>
      <c r="HQ3502" s="73"/>
      <c r="HR3502" s="73"/>
      <c r="HS3502" s="73"/>
      <c r="HT3502" s="73"/>
      <c r="HU3502" s="73"/>
      <c r="HV3502" s="73"/>
      <c r="HW3502" s="73"/>
      <c r="HX3502" s="73"/>
      <c r="HY3502" s="73"/>
      <c r="HZ3502" s="73"/>
      <c r="IA3502" s="73"/>
      <c r="IB3502" s="73"/>
      <c r="IC3502" s="73"/>
      <c r="ID3502" s="73"/>
      <c r="IE3502" s="73"/>
      <c r="IF3502" s="73"/>
      <c r="IG3502" s="73"/>
      <c r="IH3502" s="73"/>
      <c r="II3502" s="73"/>
      <c r="IJ3502" s="73"/>
      <c r="IK3502" s="73"/>
      <c r="IL3502" s="73"/>
      <c r="IM3502" s="73"/>
      <c r="IN3502" s="73"/>
      <c r="IO3502" s="73"/>
      <c r="IP3502" s="73"/>
      <c r="IQ3502" s="73"/>
      <c r="IR3502" s="73"/>
      <c r="IS3502" s="73"/>
      <c r="IT3502" s="73"/>
      <c r="IU3502" s="73"/>
      <c r="IV3502" s="73"/>
      <c r="IW3502" s="73"/>
      <c r="IX3502" s="73"/>
      <c r="IY3502" s="73"/>
      <c r="IZ3502" s="73"/>
      <c r="JA3502" s="73"/>
      <c r="JB3502" s="73"/>
      <c r="JC3502" s="73"/>
    </row>
    <row r="3503" spans="2:263" s="72" customFormat="1">
      <c r="B3503" s="73"/>
      <c r="C3503" s="73"/>
      <c r="D3503" s="73"/>
      <c r="E3503" s="73"/>
      <c r="F3503" s="73"/>
      <c r="G3503" s="73"/>
      <c r="H3503" s="73"/>
      <c r="I3503" s="73"/>
      <c r="J3503" s="73"/>
      <c r="K3503" s="73"/>
      <c r="L3503" s="73"/>
      <c r="M3503" s="73"/>
      <c r="N3503" s="73"/>
      <c r="O3503" s="73"/>
      <c r="P3503" s="73"/>
      <c r="Q3503" s="73"/>
      <c r="R3503" s="73"/>
      <c r="S3503" s="73"/>
      <c r="T3503" s="73"/>
      <c r="U3503" s="73"/>
      <c r="V3503" s="73"/>
      <c r="W3503" s="73"/>
      <c r="GL3503" s="73"/>
      <c r="GM3503" s="73"/>
      <c r="GN3503" s="73"/>
      <c r="GO3503" s="73"/>
      <c r="GP3503" s="73"/>
      <c r="GQ3503" s="73"/>
      <c r="GR3503" s="73"/>
      <c r="GS3503" s="73"/>
      <c r="GT3503" s="73"/>
      <c r="GU3503" s="73"/>
      <c r="GV3503" s="73"/>
      <c r="GW3503" s="73"/>
      <c r="GX3503" s="73"/>
      <c r="GY3503" s="73"/>
      <c r="GZ3503" s="73"/>
      <c r="HA3503" s="73"/>
      <c r="HB3503" s="73"/>
      <c r="HC3503" s="73"/>
      <c r="HD3503" s="73"/>
      <c r="HE3503" s="73"/>
      <c r="HF3503" s="73"/>
      <c r="HG3503" s="73"/>
      <c r="HH3503" s="73"/>
      <c r="HI3503" s="73"/>
      <c r="HJ3503" s="73"/>
      <c r="HK3503" s="73"/>
      <c r="HL3503" s="73"/>
      <c r="HM3503" s="73"/>
      <c r="HN3503" s="73"/>
      <c r="HO3503" s="73"/>
      <c r="HP3503" s="73"/>
      <c r="HQ3503" s="73"/>
      <c r="HR3503" s="73"/>
      <c r="HS3503" s="73"/>
      <c r="HT3503" s="73"/>
      <c r="HU3503" s="73"/>
      <c r="HV3503" s="73"/>
      <c r="HW3503" s="73"/>
      <c r="HX3503" s="73"/>
      <c r="HY3503" s="73"/>
      <c r="HZ3503" s="73"/>
      <c r="IA3503" s="73"/>
      <c r="IB3503" s="73"/>
      <c r="IC3503" s="73"/>
      <c r="ID3503" s="73"/>
      <c r="IE3503" s="73"/>
      <c r="IF3503" s="73"/>
      <c r="IG3503" s="73"/>
      <c r="IH3503" s="73"/>
      <c r="II3503" s="73"/>
      <c r="IJ3503" s="73"/>
      <c r="IK3503" s="73"/>
      <c r="IL3503" s="73"/>
      <c r="IM3503" s="73"/>
      <c r="IN3503" s="73"/>
      <c r="IO3503" s="73"/>
      <c r="IP3503" s="73"/>
      <c r="IQ3503" s="73"/>
      <c r="IR3503" s="73"/>
      <c r="IS3503" s="73"/>
      <c r="IT3503" s="73"/>
      <c r="IU3503" s="73"/>
      <c r="IV3503" s="73"/>
      <c r="IW3503" s="73"/>
      <c r="IX3503" s="73"/>
      <c r="IY3503" s="73"/>
      <c r="IZ3503" s="73"/>
      <c r="JA3503" s="73"/>
      <c r="JB3503" s="73"/>
      <c r="JC3503" s="73"/>
    </row>
    <row r="3504" spans="2:263" s="72" customFormat="1">
      <c r="B3504" s="73"/>
      <c r="C3504" s="73"/>
      <c r="D3504" s="73"/>
      <c r="E3504" s="73"/>
      <c r="F3504" s="73"/>
      <c r="G3504" s="73"/>
      <c r="H3504" s="73"/>
      <c r="I3504" s="73"/>
      <c r="J3504" s="73"/>
      <c r="K3504" s="73"/>
      <c r="L3504" s="73"/>
      <c r="M3504" s="73"/>
      <c r="N3504" s="73"/>
      <c r="O3504" s="73"/>
      <c r="P3504" s="73"/>
      <c r="Q3504" s="73"/>
      <c r="R3504" s="73"/>
      <c r="S3504" s="73"/>
      <c r="T3504" s="73"/>
      <c r="U3504" s="73"/>
      <c r="V3504" s="73"/>
      <c r="W3504" s="73"/>
      <c r="GL3504" s="73"/>
      <c r="GM3504" s="73"/>
      <c r="GN3504" s="73"/>
      <c r="GO3504" s="73"/>
      <c r="GP3504" s="73"/>
      <c r="GQ3504" s="73"/>
      <c r="GR3504" s="73"/>
      <c r="GS3504" s="73"/>
      <c r="GT3504" s="73"/>
      <c r="GU3504" s="73"/>
      <c r="GV3504" s="73"/>
      <c r="GW3504" s="73"/>
      <c r="GX3504" s="73"/>
      <c r="GY3504" s="73"/>
      <c r="GZ3504" s="73"/>
      <c r="HA3504" s="73"/>
      <c r="HB3504" s="73"/>
      <c r="HC3504" s="73"/>
      <c r="HD3504" s="73"/>
      <c r="HE3504" s="73"/>
      <c r="HF3504" s="73"/>
      <c r="HG3504" s="73"/>
      <c r="HH3504" s="73"/>
      <c r="HI3504" s="73"/>
      <c r="HJ3504" s="73"/>
      <c r="HK3504" s="73"/>
      <c r="HL3504" s="73"/>
      <c r="HM3504" s="73"/>
      <c r="HN3504" s="73"/>
      <c r="HO3504" s="73"/>
      <c r="HP3504" s="73"/>
      <c r="HQ3504" s="73"/>
      <c r="HR3504" s="73"/>
      <c r="HS3504" s="73"/>
      <c r="HT3504" s="73"/>
      <c r="HU3504" s="73"/>
      <c r="HV3504" s="73"/>
      <c r="HW3504" s="73"/>
      <c r="HX3504" s="73"/>
      <c r="HY3504" s="73"/>
      <c r="HZ3504" s="73"/>
      <c r="IA3504" s="73"/>
      <c r="IB3504" s="73"/>
      <c r="IC3504" s="73"/>
      <c r="ID3504" s="73"/>
      <c r="IE3504" s="73"/>
      <c r="IF3504" s="73"/>
      <c r="IG3504" s="73"/>
      <c r="IH3504" s="73"/>
      <c r="II3504" s="73"/>
      <c r="IJ3504" s="73"/>
      <c r="IK3504" s="73"/>
      <c r="IL3504" s="73"/>
      <c r="IM3504" s="73"/>
      <c r="IN3504" s="73"/>
      <c r="IO3504" s="73"/>
      <c r="IP3504" s="73"/>
      <c r="IQ3504" s="73"/>
      <c r="IR3504" s="73"/>
      <c r="IS3504" s="73"/>
      <c r="IT3504" s="73"/>
      <c r="IU3504" s="73"/>
      <c r="IV3504" s="73"/>
      <c r="IW3504" s="73"/>
      <c r="IX3504" s="73"/>
      <c r="IY3504" s="73"/>
      <c r="IZ3504" s="73"/>
      <c r="JA3504" s="73"/>
      <c r="JB3504" s="73"/>
      <c r="JC3504" s="73"/>
    </row>
    <row r="3505" spans="2:263" s="72" customFormat="1">
      <c r="B3505" s="73"/>
      <c r="C3505" s="73"/>
      <c r="D3505" s="73"/>
      <c r="E3505" s="73"/>
      <c r="F3505" s="73"/>
      <c r="G3505" s="73"/>
      <c r="H3505" s="73"/>
      <c r="I3505" s="73"/>
      <c r="J3505" s="73"/>
      <c r="K3505" s="73"/>
      <c r="L3505" s="73"/>
      <c r="M3505" s="73"/>
      <c r="N3505" s="73"/>
      <c r="O3505" s="73"/>
      <c r="P3505" s="73"/>
      <c r="Q3505" s="73"/>
      <c r="R3505" s="73"/>
      <c r="S3505" s="73"/>
      <c r="T3505" s="73"/>
      <c r="U3505" s="73"/>
      <c r="V3505" s="73"/>
      <c r="W3505" s="73"/>
      <c r="GL3505" s="73"/>
      <c r="GM3505" s="73"/>
      <c r="GN3505" s="73"/>
      <c r="GO3505" s="73"/>
      <c r="GP3505" s="73"/>
      <c r="GQ3505" s="73"/>
      <c r="GR3505" s="73"/>
      <c r="GS3505" s="73"/>
      <c r="GT3505" s="73"/>
      <c r="GU3505" s="73"/>
      <c r="GV3505" s="73"/>
      <c r="GW3505" s="73"/>
      <c r="GX3505" s="73"/>
      <c r="GY3505" s="73"/>
      <c r="GZ3505" s="73"/>
      <c r="HA3505" s="73"/>
      <c r="HB3505" s="73"/>
      <c r="HC3505" s="73"/>
      <c r="HD3505" s="73"/>
      <c r="HE3505" s="73"/>
      <c r="HF3505" s="73"/>
      <c r="HG3505" s="73"/>
      <c r="HH3505" s="73"/>
      <c r="HI3505" s="73"/>
      <c r="HJ3505" s="73"/>
      <c r="HK3505" s="73"/>
      <c r="HL3505" s="73"/>
      <c r="HM3505" s="73"/>
      <c r="HN3505" s="73"/>
      <c r="HO3505" s="73"/>
      <c r="HP3505" s="73"/>
      <c r="HQ3505" s="73"/>
      <c r="HR3505" s="73"/>
      <c r="HS3505" s="73"/>
      <c r="HT3505" s="73"/>
      <c r="HU3505" s="73"/>
      <c r="HV3505" s="73"/>
      <c r="HW3505" s="73"/>
      <c r="HX3505" s="73"/>
      <c r="HY3505" s="73"/>
      <c r="HZ3505" s="73"/>
      <c r="IA3505" s="73"/>
      <c r="IB3505" s="73"/>
      <c r="IC3505" s="73"/>
      <c r="ID3505" s="73"/>
      <c r="IE3505" s="73"/>
      <c r="IF3505" s="73"/>
      <c r="IG3505" s="73"/>
      <c r="IH3505" s="73"/>
      <c r="II3505" s="73"/>
      <c r="IJ3505" s="73"/>
      <c r="IK3505" s="73"/>
      <c r="IL3505" s="73"/>
      <c r="IM3505" s="73"/>
      <c r="IN3505" s="73"/>
      <c r="IO3505" s="73"/>
      <c r="IP3505" s="73"/>
      <c r="IQ3505" s="73"/>
      <c r="IR3505" s="73"/>
      <c r="IS3505" s="73"/>
      <c r="IT3505" s="73"/>
      <c r="IU3505" s="73"/>
      <c r="IV3505" s="73"/>
      <c r="IW3505" s="73"/>
      <c r="IX3505" s="73"/>
      <c r="IY3505" s="73"/>
      <c r="IZ3505" s="73"/>
      <c r="JA3505" s="73"/>
      <c r="JB3505" s="73"/>
      <c r="JC3505" s="73"/>
    </row>
    <row r="3506" spans="2:263" s="72" customFormat="1">
      <c r="B3506" s="73"/>
      <c r="C3506" s="73"/>
      <c r="D3506" s="73"/>
      <c r="E3506" s="73"/>
      <c r="F3506" s="73"/>
      <c r="G3506" s="73"/>
      <c r="H3506" s="73"/>
      <c r="I3506" s="73"/>
      <c r="J3506" s="73"/>
      <c r="K3506" s="73"/>
      <c r="L3506" s="73"/>
      <c r="M3506" s="73"/>
      <c r="N3506" s="73"/>
      <c r="O3506" s="73"/>
      <c r="P3506" s="73"/>
      <c r="Q3506" s="73"/>
      <c r="R3506" s="73"/>
      <c r="S3506" s="73"/>
      <c r="T3506" s="73"/>
      <c r="U3506" s="73"/>
      <c r="V3506" s="73"/>
      <c r="W3506" s="73"/>
      <c r="GL3506" s="73"/>
      <c r="GM3506" s="73"/>
      <c r="GN3506" s="73"/>
      <c r="GO3506" s="73"/>
      <c r="GP3506" s="73"/>
      <c r="GQ3506" s="73"/>
      <c r="GR3506" s="73"/>
      <c r="GS3506" s="73"/>
      <c r="GT3506" s="73"/>
      <c r="GU3506" s="73"/>
      <c r="GV3506" s="73"/>
      <c r="GW3506" s="73"/>
      <c r="GX3506" s="73"/>
      <c r="GY3506" s="73"/>
      <c r="GZ3506" s="73"/>
      <c r="HA3506" s="73"/>
      <c r="HB3506" s="73"/>
      <c r="HC3506" s="73"/>
      <c r="HD3506" s="73"/>
      <c r="HE3506" s="73"/>
      <c r="HF3506" s="73"/>
      <c r="HG3506" s="73"/>
      <c r="HH3506" s="73"/>
      <c r="HI3506" s="73"/>
      <c r="HJ3506" s="73"/>
      <c r="HK3506" s="73"/>
      <c r="HL3506" s="73"/>
      <c r="HM3506" s="73"/>
      <c r="HN3506" s="73"/>
      <c r="HO3506" s="73"/>
      <c r="HP3506" s="73"/>
      <c r="HQ3506" s="73"/>
      <c r="HR3506" s="73"/>
      <c r="HS3506" s="73"/>
      <c r="HT3506" s="73"/>
      <c r="HU3506" s="73"/>
      <c r="HV3506" s="73"/>
      <c r="HW3506" s="73"/>
      <c r="HX3506" s="73"/>
      <c r="HY3506" s="73"/>
      <c r="HZ3506" s="73"/>
      <c r="IA3506" s="73"/>
      <c r="IB3506" s="73"/>
      <c r="IC3506" s="73"/>
      <c r="ID3506" s="73"/>
      <c r="IE3506" s="73"/>
      <c r="IF3506" s="73"/>
      <c r="IG3506" s="73"/>
      <c r="IH3506" s="73"/>
      <c r="II3506" s="73"/>
      <c r="IJ3506" s="73"/>
      <c r="IK3506" s="73"/>
      <c r="IL3506" s="73"/>
      <c r="IM3506" s="73"/>
      <c r="IN3506" s="73"/>
      <c r="IO3506" s="73"/>
      <c r="IP3506" s="73"/>
      <c r="IQ3506" s="73"/>
      <c r="IR3506" s="73"/>
      <c r="IS3506" s="73"/>
      <c r="IT3506" s="73"/>
      <c r="IU3506" s="73"/>
      <c r="IV3506" s="73"/>
      <c r="IW3506" s="73"/>
      <c r="IX3506" s="73"/>
      <c r="IY3506" s="73"/>
      <c r="IZ3506" s="73"/>
      <c r="JA3506" s="73"/>
      <c r="JB3506" s="73"/>
      <c r="JC3506" s="73"/>
    </row>
    <row r="3507" spans="2:263" s="72" customFormat="1">
      <c r="B3507" s="73"/>
      <c r="C3507" s="73"/>
      <c r="D3507" s="73"/>
      <c r="E3507" s="73"/>
      <c r="F3507" s="73"/>
      <c r="G3507" s="73"/>
      <c r="H3507" s="73"/>
      <c r="I3507" s="73"/>
      <c r="J3507" s="73"/>
      <c r="K3507" s="73"/>
      <c r="L3507" s="73"/>
      <c r="M3507" s="73"/>
      <c r="N3507" s="73"/>
      <c r="O3507" s="73"/>
      <c r="P3507" s="73"/>
      <c r="Q3507" s="73"/>
      <c r="R3507" s="73"/>
      <c r="S3507" s="73"/>
      <c r="T3507" s="73"/>
      <c r="U3507" s="73"/>
      <c r="V3507" s="73"/>
      <c r="W3507" s="73"/>
      <c r="GL3507" s="73"/>
      <c r="GM3507" s="73"/>
      <c r="GN3507" s="73"/>
      <c r="GO3507" s="73"/>
      <c r="GP3507" s="73"/>
      <c r="GQ3507" s="73"/>
      <c r="GR3507" s="73"/>
      <c r="GS3507" s="73"/>
      <c r="GT3507" s="73"/>
      <c r="GU3507" s="73"/>
      <c r="GV3507" s="73"/>
      <c r="GW3507" s="73"/>
      <c r="GX3507" s="73"/>
      <c r="GY3507" s="73"/>
      <c r="GZ3507" s="73"/>
      <c r="HA3507" s="73"/>
      <c r="HB3507" s="73"/>
      <c r="HC3507" s="73"/>
      <c r="HD3507" s="73"/>
      <c r="HE3507" s="73"/>
      <c r="HF3507" s="73"/>
      <c r="HG3507" s="73"/>
      <c r="HH3507" s="73"/>
      <c r="HI3507" s="73"/>
      <c r="HJ3507" s="73"/>
      <c r="HK3507" s="73"/>
      <c r="HL3507" s="73"/>
      <c r="HM3507" s="73"/>
      <c r="HN3507" s="73"/>
      <c r="HO3507" s="73"/>
      <c r="HP3507" s="73"/>
      <c r="HQ3507" s="73"/>
      <c r="HR3507" s="73"/>
      <c r="HS3507" s="73"/>
      <c r="HT3507" s="73"/>
      <c r="HU3507" s="73"/>
      <c r="HV3507" s="73"/>
      <c r="HW3507" s="73"/>
      <c r="HX3507" s="73"/>
      <c r="HY3507" s="73"/>
      <c r="HZ3507" s="73"/>
      <c r="IA3507" s="73"/>
      <c r="IB3507" s="73"/>
      <c r="IC3507" s="73"/>
      <c r="ID3507" s="73"/>
      <c r="IE3507" s="73"/>
      <c r="IF3507" s="73"/>
      <c r="IG3507" s="73"/>
      <c r="IH3507" s="73"/>
      <c r="II3507" s="73"/>
      <c r="IJ3507" s="73"/>
      <c r="IK3507" s="73"/>
      <c r="IL3507" s="73"/>
      <c r="IM3507" s="73"/>
      <c r="IN3507" s="73"/>
      <c r="IO3507" s="73"/>
      <c r="IP3507" s="73"/>
      <c r="IQ3507" s="73"/>
      <c r="IR3507" s="73"/>
      <c r="IS3507" s="73"/>
      <c r="IT3507" s="73"/>
      <c r="IU3507" s="73"/>
      <c r="IV3507" s="73"/>
      <c r="IW3507" s="73"/>
      <c r="IX3507" s="73"/>
      <c r="IY3507" s="73"/>
      <c r="IZ3507" s="73"/>
      <c r="JA3507" s="73"/>
      <c r="JB3507" s="73"/>
      <c r="JC3507" s="73"/>
    </row>
    <row r="3508" spans="2:263" s="72" customFormat="1">
      <c r="B3508" s="73"/>
      <c r="C3508" s="73"/>
      <c r="D3508" s="73"/>
      <c r="E3508" s="73"/>
      <c r="F3508" s="73"/>
      <c r="G3508" s="73"/>
      <c r="H3508" s="73"/>
      <c r="I3508" s="73"/>
      <c r="J3508" s="73"/>
      <c r="K3508" s="73"/>
      <c r="L3508" s="73"/>
      <c r="M3508" s="73"/>
      <c r="N3508" s="73"/>
      <c r="O3508" s="73"/>
      <c r="P3508" s="73"/>
      <c r="Q3508" s="73"/>
      <c r="R3508" s="73"/>
      <c r="S3508" s="73"/>
      <c r="T3508" s="73"/>
      <c r="U3508" s="73"/>
      <c r="V3508" s="73"/>
      <c r="W3508" s="73"/>
      <c r="GL3508" s="73"/>
      <c r="GM3508" s="73"/>
      <c r="GN3508" s="73"/>
      <c r="GO3508" s="73"/>
      <c r="GP3508" s="73"/>
      <c r="GQ3508" s="73"/>
      <c r="GR3508" s="73"/>
      <c r="GS3508" s="73"/>
      <c r="GT3508" s="73"/>
      <c r="GU3508" s="73"/>
      <c r="GV3508" s="73"/>
      <c r="GW3508" s="73"/>
      <c r="GX3508" s="73"/>
      <c r="GY3508" s="73"/>
      <c r="GZ3508" s="73"/>
      <c r="HA3508" s="73"/>
      <c r="HB3508" s="73"/>
      <c r="HC3508" s="73"/>
      <c r="HD3508" s="73"/>
      <c r="HE3508" s="73"/>
      <c r="HF3508" s="73"/>
      <c r="HG3508" s="73"/>
      <c r="HH3508" s="73"/>
      <c r="HI3508" s="73"/>
      <c r="HJ3508" s="73"/>
      <c r="HK3508" s="73"/>
      <c r="HL3508" s="73"/>
      <c r="HM3508" s="73"/>
      <c r="HN3508" s="73"/>
      <c r="HO3508" s="73"/>
      <c r="HP3508" s="73"/>
      <c r="HQ3508" s="73"/>
      <c r="HR3508" s="73"/>
      <c r="HS3508" s="73"/>
      <c r="HT3508" s="73"/>
      <c r="HU3508" s="73"/>
      <c r="HV3508" s="73"/>
      <c r="HW3508" s="73"/>
      <c r="HX3508" s="73"/>
      <c r="HY3508" s="73"/>
      <c r="HZ3508" s="73"/>
      <c r="IA3508" s="73"/>
      <c r="IB3508" s="73"/>
      <c r="IC3508" s="73"/>
      <c r="ID3508" s="73"/>
      <c r="IE3508" s="73"/>
      <c r="IF3508" s="73"/>
      <c r="IG3508" s="73"/>
      <c r="IH3508" s="73"/>
      <c r="II3508" s="73"/>
      <c r="IJ3508" s="73"/>
      <c r="IK3508" s="73"/>
      <c r="IL3508" s="73"/>
      <c r="IM3508" s="73"/>
      <c r="IN3508" s="73"/>
      <c r="IO3508" s="73"/>
      <c r="IP3508" s="73"/>
      <c r="IQ3508" s="73"/>
      <c r="IR3508" s="73"/>
      <c r="IS3508" s="73"/>
      <c r="IT3508" s="73"/>
      <c r="IU3508" s="73"/>
      <c r="IV3508" s="73"/>
      <c r="IW3508" s="73"/>
      <c r="IX3508" s="73"/>
      <c r="IY3508" s="73"/>
      <c r="IZ3508" s="73"/>
      <c r="JA3508" s="73"/>
      <c r="JB3508" s="73"/>
      <c r="JC3508" s="73"/>
    </row>
    <row r="3509" spans="2:263" s="72" customFormat="1">
      <c r="B3509" s="73"/>
      <c r="C3509" s="73"/>
      <c r="D3509" s="73"/>
      <c r="E3509" s="73"/>
      <c r="F3509" s="73"/>
      <c r="G3509" s="73"/>
      <c r="H3509" s="73"/>
      <c r="I3509" s="73"/>
      <c r="J3509" s="73"/>
      <c r="K3509" s="73"/>
      <c r="L3509" s="73"/>
      <c r="M3509" s="73"/>
      <c r="N3509" s="73"/>
      <c r="O3509" s="73"/>
      <c r="P3509" s="73"/>
      <c r="Q3509" s="73"/>
      <c r="R3509" s="73"/>
      <c r="S3509" s="73"/>
      <c r="T3509" s="73"/>
      <c r="U3509" s="73"/>
      <c r="V3509" s="73"/>
      <c r="W3509" s="73"/>
      <c r="GL3509" s="73"/>
      <c r="GM3509" s="73"/>
      <c r="GN3509" s="73"/>
      <c r="GO3509" s="73"/>
      <c r="GP3509" s="73"/>
      <c r="GQ3509" s="73"/>
      <c r="GR3509" s="73"/>
      <c r="GS3509" s="73"/>
      <c r="GT3509" s="73"/>
      <c r="GU3509" s="73"/>
      <c r="GV3509" s="73"/>
      <c r="GW3509" s="73"/>
      <c r="GX3509" s="73"/>
      <c r="GY3509" s="73"/>
      <c r="GZ3509" s="73"/>
      <c r="HA3509" s="73"/>
      <c r="HB3509" s="73"/>
      <c r="HC3509" s="73"/>
      <c r="HD3509" s="73"/>
      <c r="HE3509" s="73"/>
      <c r="HF3509" s="73"/>
      <c r="HG3509" s="73"/>
      <c r="HH3509" s="73"/>
      <c r="HI3509" s="73"/>
      <c r="HJ3509" s="73"/>
      <c r="HK3509" s="73"/>
      <c r="HL3509" s="73"/>
      <c r="HM3509" s="73"/>
      <c r="HN3509" s="73"/>
      <c r="HO3509" s="73"/>
      <c r="HP3509" s="73"/>
      <c r="HQ3509" s="73"/>
      <c r="HR3509" s="73"/>
      <c r="HS3509" s="73"/>
      <c r="HT3509" s="73"/>
      <c r="HU3509" s="73"/>
      <c r="HV3509" s="73"/>
      <c r="HW3509" s="73"/>
      <c r="HX3509" s="73"/>
      <c r="HY3509" s="73"/>
      <c r="HZ3509" s="73"/>
      <c r="IA3509" s="73"/>
      <c r="IB3509" s="73"/>
      <c r="IC3509" s="73"/>
      <c r="ID3509" s="73"/>
      <c r="IE3509" s="73"/>
      <c r="IF3509" s="73"/>
      <c r="IG3509" s="73"/>
      <c r="IH3509" s="73"/>
      <c r="II3509" s="73"/>
      <c r="IJ3509" s="73"/>
      <c r="IK3509" s="73"/>
      <c r="IL3509" s="73"/>
      <c r="IM3509" s="73"/>
      <c r="IN3509" s="73"/>
      <c r="IO3509" s="73"/>
      <c r="IP3509" s="73"/>
      <c r="IQ3509" s="73"/>
      <c r="IR3509" s="73"/>
      <c r="IS3509" s="73"/>
      <c r="IT3509" s="73"/>
      <c r="IU3509" s="73"/>
      <c r="IV3509" s="73"/>
      <c r="IW3509" s="73"/>
      <c r="IX3509" s="73"/>
      <c r="IY3509" s="73"/>
      <c r="IZ3509" s="73"/>
      <c r="JA3509" s="73"/>
      <c r="JB3509" s="73"/>
      <c r="JC3509" s="73"/>
    </row>
    <row r="3510" spans="2:263" s="72" customFormat="1">
      <c r="B3510" s="73"/>
      <c r="C3510" s="73"/>
      <c r="D3510" s="73"/>
      <c r="E3510" s="73"/>
      <c r="F3510" s="73"/>
      <c r="G3510" s="73"/>
      <c r="H3510" s="73"/>
      <c r="I3510" s="73"/>
      <c r="J3510" s="73"/>
      <c r="K3510" s="73"/>
      <c r="L3510" s="73"/>
      <c r="M3510" s="73"/>
      <c r="N3510" s="73"/>
      <c r="O3510" s="73"/>
      <c r="P3510" s="73"/>
      <c r="Q3510" s="73"/>
      <c r="R3510" s="73"/>
      <c r="S3510" s="73"/>
      <c r="T3510" s="73"/>
      <c r="U3510" s="73"/>
      <c r="V3510" s="73"/>
      <c r="W3510" s="73"/>
      <c r="GL3510" s="73"/>
      <c r="GM3510" s="73"/>
      <c r="GN3510" s="73"/>
      <c r="GO3510" s="73"/>
      <c r="GP3510" s="73"/>
      <c r="GQ3510" s="73"/>
      <c r="GR3510" s="73"/>
      <c r="GS3510" s="73"/>
      <c r="GT3510" s="73"/>
      <c r="GU3510" s="73"/>
      <c r="GV3510" s="73"/>
      <c r="GW3510" s="73"/>
      <c r="GX3510" s="73"/>
      <c r="GY3510" s="73"/>
      <c r="GZ3510" s="73"/>
      <c r="HA3510" s="73"/>
      <c r="HB3510" s="73"/>
      <c r="HC3510" s="73"/>
      <c r="HD3510" s="73"/>
      <c r="HE3510" s="73"/>
      <c r="HF3510" s="73"/>
      <c r="HG3510" s="73"/>
      <c r="HH3510" s="73"/>
      <c r="HI3510" s="73"/>
      <c r="HJ3510" s="73"/>
      <c r="HK3510" s="73"/>
      <c r="HL3510" s="73"/>
      <c r="HM3510" s="73"/>
      <c r="HN3510" s="73"/>
      <c r="HO3510" s="73"/>
      <c r="HP3510" s="73"/>
      <c r="HQ3510" s="73"/>
      <c r="HR3510" s="73"/>
      <c r="HS3510" s="73"/>
      <c r="HT3510" s="73"/>
      <c r="HU3510" s="73"/>
      <c r="HV3510" s="73"/>
      <c r="HW3510" s="73"/>
      <c r="HX3510" s="73"/>
      <c r="HY3510" s="73"/>
      <c r="HZ3510" s="73"/>
      <c r="IA3510" s="73"/>
      <c r="IB3510" s="73"/>
      <c r="IC3510" s="73"/>
      <c r="ID3510" s="73"/>
      <c r="IE3510" s="73"/>
      <c r="IF3510" s="73"/>
      <c r="IG3510" s="73"/>
      <c r="IH3510" s="73"/>
      <c r="II3510" s="73"/>
      <c r="IJ3510" s="73"/>
      <c r="IK3510" s="73"/>
      <c r="IL3510" s="73"/>
      <c r="IM3510" s="73"/>
      <c r="IN3510" s="73"/>
      <c r="IO3510" s="73"/>
      <c r="IP3510" s="73"/>
      <c r="IQ3510" s="73"/>
      <c r="IR3510" s="73"/>
      <c r="IS3510" s="73"/>
      <c r="IT3510" s="73"/>
      <c r="IU3510" s="73"/>
      <c r="IV3510" s="73"/>
      <c r="IW3510" s="73"/>
      <c r="IX3510" s="73"/>
      <c r="IY3510" s="73"/>
      <c r="IZ3510" s="73"/>
      <c r="JA3510" s="73"/>
      <c r="JB3510" s="73"/>
      <c r="JC3510" s="73"/>
    </row>
    <row r="3511" spans="2:263" s="72" customFormat="1">
      <c r="B3511" s="73"/>
      <c r="C3511" s="73"/>
      <c r="D3511" s="73"/>
      <c r="E3511" s="73"/>
      <c r="F3511" s="73"/>
      <c r="G3511" s="73"/>
      <c r="H3511" s="73"/>
      <c r="I3511" s="73"/>
      <c r="J3511" s="73"/>
      <c r="K3511" s="73"/>
      <c r="L3511" s="73"/>
      <c r="M3511" s="73"/>
      <c r="N3511" s="73"/>
      <c r="O3511" s="73"/>
      <c r="P3511" s="73"/>
      <c r="Q3511" s="73"/>
      <c r="R3511" s="73"/>
      <c r="S3511" s="73"/>
      <c r="T3511" s="73"/>
      <c r="U3511" s="73"/>
      <c r="V3511" s="73"/>
      <c r="W3511" s="73"/>
      <c r="GL3511" s="73"/>
      <c r="GM3511" s="73"/>
      <c r="GN3511" s="73"/>
      <c r="GO3511" s="73"/>
      <c r="GP3511" s="73"/>
      <c r="GQ3511" s="73"/>
      <c r="GR3511" s="73"/>
      <c r="GS3511" s="73"/>
      <c r="GT3511" s="73"/>
      <c r="GU3511" s="73"/>
      <c r="GV3511" s="73"/>
      <c r="GW3511" s="73"/>
      <c r="GX3511" s="73"/>
      <c r="GY3511" s="73"/>
      <c r="GZ3511" s="73"/>
      <c r="HA3511" s="73"/>
      <c r="HB3511" s="73"/>
      <c r="HC3511" s="73"/>
      <c r="HD3511" s="73"/>
      <c r="HE3511" s="73"/>
      <c r="HF3511" s="73"/>
      <c r="HG3511" s="73"/>
      <c r="HH3511" s="73"/>
      <c r="HI3511" s="73"/>
      <c r="HJ3511" s="73"/>
      <c r="HK3511" s="73"/>
      <c r="HL3511" s="73"/>
      <c r="HM3511" s="73"/>
      <c r="HN3511" s="73"/>
      <c r="HO3511" s="73"/>
      <c r="HP3511" s="73"/>
      <c r="HQ3511" s="73"/>
      <c r="HR3511" s="73"/>
      <c r="HS3511" s="73"/>
      <c r="HT3511" s="73"/>
      <c r="HU3511" s="73"/>
      <c r="HV3511" s="73"/>
      <c r="HW3511" s="73"/>
      <c r="HX3511" s="73"/>
      <c r="HY3511" s="73"/>
      <c r="HZ3511" s="73"/>
      <c r="IA3511" s="73"/>
      <c r="IB3511" s="73"/>
      <c r="IC3511" s="73"/>
      <c r="ID3511" s="73"/>
      <c r="IE3511" s="73"/>
      <c r="IF3511" s="73"/>
      <c r="IG3511" s="73"/>
      <c r="IH3511" s="73"/>
      <c r="II3511" s="73"/>
      <c r="IJ3511" s="73"/>
      <c r="IK3511" s="73"/>
      <c r="IL3511" s="73"/>
      <c r="IM3511" s="73"/>
      <c r="IN3511" s="73"/>
      <c r="IO3511" s="73"/>
      <c r="IP3511" s="73"/>
      <c r="IQ3511" s="73"/>
      <c r="IR3511" s="73"/>
      <c r="IS3511" s="73"/>
      <c r="IT3511" s="73"/>
      <c r="IU3511" s="73"/>
      <c r="IV3511" s="73"/>
      <c r="IW3511" s="73"/>
      <c r="IX3511" s="73"/>
      <c r="IY3511" s="73"/>
      <c r="IZ3511" s="73"/>
      <c r="JA3511" s="73"/>
      <c r="JB3511" s="73"/>
      <c r="JC3511" s="73"/>
    </row>
    <row r="3512" spans="2:263" s="72" customFormat="1">
      <c r="B3512" s="73"/>
      <c r="C3512" s="73"/>
      <c r="D3512" s="73"/>
      <c r="E3512" s="73"/>
      <c r="F3512" s="73"/>
      <c r="G3512" s="73"/>
      <c r="H3512" s="73"/>
      <c r="I3512" s="73"/>
      <c r="J3512" s="73"/>
      <c r="K3512" s="73"/>
      <c r="L3512" s="73"/>
      <c r="M3512" s="73"/>
      <c r="N3512" s="73"/>
      <c r="O3512" s="73"/>
      <c r="P3512" s="73"/>
      <c r="Q3512" s="73"/>
      <c r="R3512" s="73"/>
      <c r="S3512" s="73"/>
      <c r="T3512" s="73"/>
      <c r="U3512" s="73"/>
      <c r="V3512" s="73"/>
      <c r="W3512" s="73"/>
      <c r="GL3512" s="73"/>
      <c r="GM3512" s="73"/>
      <c r="GN3512" s="73"/>
      <c r="GO3512" s="73"/>
      <c r="GP3512" s="73"/>
      <c r="GQ3512" s="73"/>
      <c r="GR3512" s="73"/>
      <c r="GS3512" s="73"/>
      <c r="GT3512" s="73"/>
      <c r="GU3512" s="73"/>
      <c r="GV3512" s="73"/>
      <c r="GW3512" s="73"/>
      <c r="GX3512" s="73"/>
      <c r="GY3512" s="73"/>
      <c r="GZ3512" s="73"/>
      <c r="HA3512" s="73"/>
      <c r="HB3512" s="73"/>
      <c r="HC3512" s="73"/>
      <c r="HD3512" s="73"/>
      <c r="HE3512" s="73"/>
      <c r="HF3512" s="73"/>
      <c r="HG3512" s="73"/>
      <c r="HH3512" s="73"/>
      <c r="HI3512" s="73"/>
      <c r="HJ3512" s="73"/>
      <c r="HK3512" s="73"/>
      <c r="HL3512" s="73"/>
      <c r="HM3512" s="73"/>
      <c r="HN3512" s="73"/>
      <c r="HO3512" s="73"/>
      <c r="HP3512" s="73"/>
      <c r="HQ3512" s="73"/>
      <c r="HR3512" s="73"/>
      <c r="HS3512" s="73"/>
      <c r="HT3512" s="73"/>
      <c r="HU3512" s="73"/>
      <c r="HV3512" s="73"/>
      <c r="HW3512" s="73"/>
      <c r="HX3512" s="73"/>
      <c r="HY3512" s="73"/>
      <c r="HZ3512" s="73"/>
      <c r="IA3512" s="73"/>
      <c r="IB3512" s="73"/>
      <c r="IC3512" s="73"/>
      <c r="ID3512" s="73"/>
      <c r="IE3512" s="73"/>
      <c r="IF3512" s="73"/>
      <c r="IG3512" s="73"/>
      <c r="IH3512" s="73"/>
      <c r="II3512" s="73"/>
      <c r="IJ3512" s="73"/>
      <c r="IK3512" s="73"/>
      <c r="IL3512" s="73"/>
      <c r="IM3512" s="73"/>
      <c r="IN3512" s="73"/>
      <c r="IO3512" s="73"/>
      <c r="IP3512" s="73"/>
      <c r="IQ3512" s="73"/>
      <c r="IR3512" s="73"/>
      <c r="IS3512" s="73"/>
      <c r="IT3512" s="73"/>
      <c r="IU3512" s="73"/>
      <c r="IV3512" s="73"/>
      <c r="IW3512" s="73"/>
      <c r="IX3512" s="73"/>
      <c r="IY3512" s="73"/>
      <c r="IZ3512" s="73"/>
      <c r="JA3512" s="73"/>
      <c r="JB3512" s="73"/>
      <c r="JC3512" s="73"/>
    </row>
    <row r="3513" spans="2:263" s="72" customFormat="1">
      <c r="B3513" s="73"/>
      <c r="C3513" s="73"/>
      <c r="D3513" s="73"/>
      <c r="E3513" s="73"/>
      <c r="F3513" s="73"/>
      <c r="G3513" s="73"/>
      <c r="H3513" s="73"/>
      <c r="I3513" s="73"/>
      <c r="J3513" s="73"/>
      <c r="K3513" s="73"/>
      <c r="L3513" s="73"/>
      <c r="M3513" s="73"/>
      <c r="N3513" s="73"/>
      <c r="O3513" s="73"/>
      <c r="P3513" s="73"/>
      <c r="Q3513" s="73"/>
      <c r="R3513" s="73"/>
      <c r="S3513" s="73"/>
      <c r="T3513" s="73"/>
      <c r="U3513" s="73"/>
      <c r="V3513" s="73"/>
      <c r="W3513" s="73"/>
      <c r="GL3513" s="73"/>
      <c r="GM3513" s="73"/>
      <c r="GN3513" s="73"/>
      <c r="GO3513" s="73"/>
      <c r="GP3513" s="73"/>
      <c r="GQ3513" s="73"/>
      <c r="GR3513" s="73"/>
      <c r="GS3513" s="73"/>
      <c r="GT3513" s="73"/>
      <c r="GU3513" s="73"/>
      <c r="GV3513" s="73"/>
      <c r="GW3513" s="73"/>
      <c r="GX3513" s="73"/>
      <c r="GY3513" s="73"/>
      <c r="GZ3513" s="73"/>
      <c r="HA3513" s="73"/>
      <c r="HB3513" s="73"/>
      <c r="HC3513" s="73"/>
      <c r="HD3513" s="73"/>
      <c r="HE3513" s="73"/>
      <c r="HF3513" s="73"/>
      <c r="HG3513" s="73"/>
      <c r="HH3513" s="73"/>
      <c r="HI3513" s="73"/>
      <c r="HJ3513" s="73"/>
      <c r="HK3513" s="73"/>
      <c r="HL3513" s="73"/>
      <c r="HM3513" s="73"/>
      <c r="HN3513" s="73"/>
      <c r="HO3513" s="73"/>
      <c r="HP3513" s="73"/>
      <c r="HQ3513" s="73"/>
      <c r="HR3513" s="73"/>
      <c r="HS3513" s="73"/>
      <c r="HT3513" s="73"/>
      <c r="HU3513" s="73"/>
      <c r="HV3513" s="73"/>
      <c r="HW3513" s="73"/>
      <c r="HX3513" s="73"/>
      <c r="HY3513" s="73"/>
      <c r="HZ3513" s="73"/>
      <c r="IA3513" s="73"/>
      <c r="IB3513" s="73"/>
      <c r="IC3513" s="73"/>
      <c r="ID3513" s="73"/>
      <c r="IE3513" s="73"/>
      <c r="IF3513" s="73"/>
      <c r="IG3513" s="73"/>
      <c r="IH3513" s="73"/>
      <c r="II3513" s="73"/>
      <c r="IJ3513" s="73"/>
      <c r="IK3513" s="73"/>
      <c r="IL3513" s="73"/>
      <c r="IM3513" s="73"/>
      <c r="IN3513" s="73"/>
      <c r="IO3513" s="73"/>
      <c r="IP3513" s="73"/>
      <c r="IQ3513" s="73"/>
      <c r="IR3513" s="73"/>
      <c r="IS3513" s="73"/>
      <c r="IT3513" s="73"/>
      <c r="IU3513" s="73"/>
      <c r="IV3513" s="73"/>
      <c r="IW3513" s="73"/>
      <c r="IX3513" s="73"/>
      <c r="IY3513" s="73"/>
      <c r="IZ3513" s="73"/>
      <c r="JA3513" s="73"/>
      <c r="JB3513" s="73"/>
      <c r="JC3513" s="73"/>
    </row>
    <row r="3514" spans="2:263" s="72" customFormat="1">
      <c r="B3514" s="73"/>
      <c r="C3514" s="73"/>
      <c r="D3514" s="73"/>
      <c r="E3514" s="73"/>
      <c r="F3514" s="73"/>
      <c r="G3514" s="73"/>
      <c r="H3514" s="73"/>
      <c r="I3514" s="73"/>
      <c r="J3514" s="73"/>
      <c r="K3514" s="73"/>
      <c r="L3514" s="73"/>
      <c r="M3514" s="73"/>
      <c r="N3514" s="73"/>
      <c r="O3514" s="73"/>
      <c r="P3514" s="73"/>
      <c r="Q3514" s="73"/>
      <c r="R3514" s="73"/>
      <c r="S3514" s="73"/>
      <c r="T3514" s="73"/>
      <c r="U3514" s="73"/>
      <c r="V3514" s="73"/>
      <c r="W3514" s="73"/>
      <c r="GL3514" s="73"/>
      <c r="GM3514" s="73"/>
      <c r="GN3514" s="73"/>
      <c r="GO3514" s="73"/>
      <c r="GP3514" s="73"/>
      <c r="GQ3514" s="73"/>
      <c r="GR3514" s="73"/>
      <c r="GS3514" s="73"/>
      <c r="GT3514" s="73"/>
      <c r="GU3514" s="73"/>
      <c r="GV3514" s="73"/>
      <c r="GW3514" s="73"/>
      <c r="GX3514" s="73"/>
      <c r="GY3514" s="73"/>
      <c r="GZ3514" s="73"/>
      <c r="HA3514" s="73"/>
      <c r="HB3514" s="73"/>
      <c r="HC3514" s="73"/>
      <c r="HD3514" s="73"/>
      <c r="HE3514" s="73"/>
      <c r="HF3514" s="73"/>
      <c r="HG3514" s="73"/>
      <c r="HH3514" s="73"/>
      <c r="HI3514" s="73"/>
      <c r="HJ3514" s="73"/>
      <c r="HK3514" s="73"/>
      <c r="HL3514" s="73"/>
      <c r="HM3514" s="73"/>
      <c r="HN3514" s="73"/>
      <c r="HO3514" s="73"/>
      <c r="HP3514" s="73"/>
      <c r="HQ3514" s="73"/>
      <c r="HR3514" s="73"/>
      <c r="HS3514" s="73"/>
      <c r="HT3514" s="73"/>
      <c r="HU3514" s="73"/>
      <c r="HV3514" s="73"/>
      <c r="HW3514" s="73"/>
      <c r="HX3514" s="73"/>
      <c r="HY3514" s="73"/>
      <c r="HZ3514" s="73"/>
      <c r="IA3514" s="73"/>
      <c r="IB3514" s="73"/>
      <c r="IC3514" s="73"/>
      <c r="ID3514" s="73"/>
      <c r="IE3514" s="73"/>
      <c r="IF3514" s="73"/>
      <c r="IG3514" s="73"/>
      <c r="IH3514" s="73"/>
      <c r="II3514" s="73"/>
      <c r="IJ3514" s="73"/>
      <c r="IK3514" s="73"/>
      <c r="IL3514" s="73"/>
      <c r="IM3514" s="73"/>
      <c r="IN3514" s="73"/>
      <c r="IO3514" s="73"/>
      <c r="IP3514" s="73"/>
      <c r="IQ3514" s="73"/>
      <c r="IR3514" s="73"/>
      <c r="IS3514" s="73"/>
      <c r="IT3514" s="73"/>
      <c r="IU3514" s="73"/>
      <c r="IV3514" s="73"/>
      <c r="IW3514" s="73"/>
      <c r="IX3514" s="73"/>
      <c r="IY3514" s="73"/>
      <c r="IZ3514" s="73"/>
      <c r="JA3514" s="73"/>
      <c r="JB3514" s="73"/>
      <c r="JC3514" s="73"/>
    </row>
    <row r="3515" spans="2:263" s="72" customFormat="1">
      <c r="B3515" s="73"/>
      <c r="C3515" s="73"/>
      <c r="D3515" s="73"/>
      <c r="E3515" s="73"/>
      <c r="F3515" s="73"/>
      <c r="G3515" s="73"/>
      <c r="H3515" s="73"/>
      <c r="I3515" s="73"/>
      <c r="J3515" s="73"/>
      <c r="K3515" s="73"/>
      <c r="L3515" s="73"/>
      <c r="M3515" s="73"/>
      <c r="N3515" s="73"/>
      <c r="O3515" s="73"/>
      <c r="P3515" s="73"/>
      <c r="Q3515" s="73"/>
      <c r="R3515" s="73"/>
      <c r="S3515" s="73"/>
      <c r="T3515" s="73"/>
      <c r="U3515" s="73"/>
      <c r="V3515" s="73"/>
      <c r="W3515" s="73"/>
      <c r="GL3515" s="73"/>
      <c r="GM3515" s="73"/>
      <c r="GN3515" s="73"/>
      <c r="GO3515" s="73"/>
      <c r="GP3515" s="73"/>
      <c r="GQ3515" s="73"/>
      <c r="GR3515" s="73"/>
      <c r="GS3515" s="73"/>
      <c r="GT3515" s="73"/>
      <c r="GU3515" s="73"/>
      <c r="GV3515" s="73"/>
      <c r="GW3515" s="73"/>
      <c r="GX3515" s="73"/>
      <c r="GY3515" s="73"/>
      <c r="GZ3515" s="73"/>
      <c r="HA3515" s="73"/>
      <c r="HB3515" s="73"/>
      <c r="HC3515" s="73"/>
      <c r="HD3515" s="73"/>
      <c r="HE3515" s="73"/>
      <c r="HF3515" s="73"/>
      <c r="HG3515" s="73"/>
      <c r="HH3515" s="73"/>
      <c r="HI3515" s="73"/>
      <c r="HJ3515" s="73"/>
      <c r="HK3515" s="73"/>
      <c r="HL3515" s="73"/>
      <c r="HM3515" s="73"/>
      <c r="HN3515" s="73"/>
      <c r="HO3515" s="73"/>
      <c r="HP3515" s="73"/>
      <c r="HQ3515" s="73"/>
      <c r="HR3515" s="73"/>
      <c r="HS3515" s="73"/>
      <c r="HT3515" s="73"/>
      <c r="HU3515" s="73"/>
      <c r="HV3515" s="73"/>
      <c r="HW3515" s="73"/>
      <c r="HX3515" s="73"/>
      <c r="HY3515" s="73"/>
      <c r="HZ3515" s="73"/>
      <c r="IA3515" s="73"/>
      <c r="IB3515" s="73"/>
      <c r="IC3515" s="73"/>
      <c r="ID3515" s="73"/>
      <c r="IE3515" s="73"/>
      <c r="IF3515" s="73"/>
      <c r="IG3515" s="73"/>
      <c r="IH3515" s="73"/>
      <c r="II3515" s="73"/>
      <c r="IJ3515" s="73"/>
      <c r="IK3515" s="73"/>
      <c r="IL3515" s="73"/>
      <c r="IM3515" s="73"/>
      <c r="IN3515" s="73"/>
      <c r="IO3515" s="73"/>
      <c r="IP3515" s="73"/>
      <c r="IQ3515" s="73"/>
      <c r="IR3515" s="73"/>
      <c r="IS3515" s="73"/>
      <c r="IT3515" s="73"/>
      <c r="IU3515" s="73"/>
      <c r="IV3515" s="73"/>
      <c r="IW3515" s="73"/>
      <c r="IX3515" s="73"/>
      <c r="IY3515" s="73"/>
      <c r="IZ3515" s="73"/>
      <c r="JA3515" s="73"/>
      <c r="JB3515" s="73"/>
      <c r="JC3515" s="73"/>
    </row>
    <row r="3516" spans="2:263" s="72" customFormat="1">
      <c r="B3516" s="73"/>
      <c r="C3516" s="73"/>
      <c r="D3516" s="73"/>
      <c r="E3516" s="73"/>
      <c r="F3516" s="73"/>
      <c r="G3516" s="73"/>
      <c r="H3516" s="73"/>
      <c r="I3516" s="73"/>
      <c r="J3516" s="73"/>
      <c r="K3516" s="73"/>
      <c r="L3516" s="73"/>
      <c r="M3516" s="73"/>
      <c r="N3516" s="73"/>
      <c r="O3516" s="73"/>
      <c r="P3516" s="73"/>
      <c r="Q3516" s="73"/>
      <c r="R3516" s="73"/>
      <c r="S3516" s="73"/>
      <c r="T3516" s="73"/>
      <c r="U3516" s="73"/>
      <c r="V3516" s="73"/>
      <c r="W3516" s="73"/>
      <c r="GL3516" s="73"/>
      <c r="GM3516" s="73"/>
      <c r="GN3516" s="73"/>
      <c r="GO3516" s="73"/>
      <c r="GP3516" s="73"/>
      <c r="GQ3516" s="73"/>
      <c r="GR3516" s="73"/>
      <c r="GS3516" s="73"/>
      <c r="GT3516" s="73"/>
      <c r="GU3516" s="73"/>
      <c r="GV3516" s="73"/>
      <c r="GW3516" s="73"/>
      <c r="GX3516" s="73"/>
      <c r="GY3516" s="73"/>
      <c r="GZ3516" s="73"/>
      <c r="HA3516" s="73"/>
      <c r="HB3516" s="73"/>
      <c r="HC3516" s="73"/>
      <c r="HD3516" s="73"/>
      <c r="HE3516" s="73"/>
      <c r="HF3516" s="73"/>
      <c r="HG3516" s="73"/>
      <c r="HH3516" s="73"/>
      <c r="HI3516" s="73"/>
      <c r="HJ3516" s="73"/>
      <c r="HK3516" s="73"/>
      <c r="HL3516" s="73"/>
      <c r="HM3516" s="73"/>
      <c r="HN3516" s="73"/>
      <c r="HO3516" s="73"/>
      <c r="HP3516" s="73"/>
      <c r="HQ3516" s="73"/>
      <c r="HR3516" s="73"/>
      <c r="HS3516" s="73"/>
      <c r="HT3516" s="73"/>
      <c r="HU3516" s="73"/>
      <c r="HV3516" s="73"/>
      <c r="HW3516" s="73"/>
      <c r="HX3516" s="73"/>
      <c r="HY3516" s="73"/>
      <c r="HZ3516" s="73"/>
      <c r="IA3516" s="73"/>
      <c r="IB3516" s="73"/>
      <c r="IC3516" s="73"/>
      <c r="ID3516" s="73"/>
      <c r="IE3516" s="73"/>
      <c r="IF3516" s="73"/>
      <c r="IG3516" s="73"/>
      <c r="IH3516" s="73"/>
      <c r="II3516" s="73"/>
      <c r="IJ3516" s="73"/>
      <c r="IK3516" s="73"/>
      <c r="IL3516" s="73"/>
      <c r="IM3516" s="73"/>
      <c r="IN3516" s="73"/>
      <c r="IO3516" s="73"/>
      <c r="IP3516" s="73"/>
      <c r="IQ3516" s="73"/>
      <c r="IR3516" s="73"/>
      <c r="IS3516" s="73"/>
      <c r="IT3516" s="73"/>
      <c r="IU3516" s="73"/>
      <c r="IV3516" s="73"/>
      <c r="IW3516" s="73"/>
      <c r="IX3516" s="73"/>
      <c r="IY3516" s="73"/>
      <c r="IZ3516" s="73"/>
      <c r="JA3516" s="73"/>
      <c r="JB3516" s="73"/>
      <c r="JC3516" s="73"/>
    </row>
    <row r="3517" spans="2:263" s="72" customFormat="1">
      <c r="B3517" s="73"/>
      <c r="C3517" s="73"/>
      <c r="D3517" s="73"/>
      <c r="E3517" s="73"/>
      <c r="F3517" s="73"/>
      <c r="G3517" s="73"/>
      <c r="H3517" s="73"/>
      <c r="I3517" s="73"/>
      <c r="J3517" s="73"/>
      <c r="K3517" s="73"/>
      <c r="L3517" s="73"/>
      <c r="M3517" s="73"/>
      <c r="N3517" s="73"/>
      <c r="O3517" s="73"/>
      <c r="P3517" s="73"/>
      <c r="Q3517" s="73"/>
      <c r="R3517" s="73"/>
      <c r="S3517" s="73"/>
      <c r="T3517" s="73"/>
      <c r="U3517" s="73"/>
      <c r="V3517" s="73"/>
      <c r="W3517" s="73"/>
      <c r="GL3517" s="73"/>
      <c r="GM3517" s="73"/>
      <c r="GN3517" s="73"/>
      <c r="GO3517" s="73"/>
      <c r="GP3517" s="73"/>
      <c r="GQ3517" s="73"/>
      <c r="GR3517" s="73"/>
      <c r="GS3517" s="73"/>
      <c r="GT3517" s="73"/>
      <c r="GU3517" s="73"/>
      <c r="GV3517" s="73"/>
      <c r="GW3517" s="73"/>
      <c r="GX3517" s="73"/>
      <c r="GY3517" s="73"/>
      <c r="GZ3517" s="73"/>
      <c r="HA3517" s="73"/>
      <c r="HB3517" s="73"/>
      <c r="HC3517" s="73"/>
      <c r="HD3517" s="73"/>
      <c r="HE3517" s="73"/>
      <c r="HF3517" s="73"/>
      <c r="HG3517" s="73"/>
      <c r="HH3517" s="73"/>
      <c r="HI3517" s="73"/>
      <c r="HJ3517" s="73"/>
      <c r="HK3517" s="73"/>
      <c r="HL3517" s="73"/>
      <c r="HM3517" s="73"/>
      <c r="HN3517" s="73"/>
      <c r="HO3517" s="73"/>
      <c r="HP3517" s="73"/>
      <c r="HQ3517" s="73"/>
      <c r="HR3517" s="73"/>
      <c r="HS3517" s="73"/>
      <c r="HT3517" s="73"/>
      <c r="HU3517" s="73"/>
      <c r="HV3517" s="73"/>
      <c r="HW3517" s="73"/>
      <c r="HX3517" s="73"/>
      <c r="HY3517" s="73"/>
      <c r="HZ3517" s="73"/>
      <c r="IA3517" s="73"/>
      <c r="IB3517" s="73"/>
      <c r="IC3517" s="73"/>
      <c r="ID3517" s="73"/>
      <c r="IE3517" s="73"/>
      <c r="IF3517" s="73"/>
      <c r="IG3517" s="73"/>
      <c r="IH3517" s="73"/>
      <c r="II3517" s="73"/>
      <c r="IJ3517" s="73"/>
      <c r="IK3517" s="73"/>
      <c r="IL3517" s="73"/>
      <c r="IM3517" s="73"/>
      <c r="IN3517" s="73"/>
      <c r="IO3517" s="73"/>
      <c r="IP3517" s="73"/>
      <c r="IQ3517" s="73"/>
      <c r="IR3517" s="73"/>
      <c r="IS3517" s="73"/>
      <c r="IT3517" s="73"/>
      <c r="IU3517" s="73"/>
      <c r="IV3517" s="73"/>
      <c r="IW3517" s="73"/>
      <c r="IX3517" s="73"/>
      <c r="IY3517" s="73"/>
      <c r="IZ3517" s="73"/>
      <c r="JA3517" s="73"/>
      <c r="JB3517" s="73"/>
      <c r="JC3517" s="73"/>
    </row>
    <row r="3518" spans="2:263" s="72" customFormat="1">
      <c r="B3518" s="73"/>
      <c r="C3518" s="73"/>
      <c r="D3518" s="73"/>
      <c r="E3518" s="73"/>
      <c r="F3518" s="73"/>
      <c r="G3518" s="73"/>
      <c r="H3518" s="73"/>
      <c r="I3518" s="73"/>
      <c r="J3518" s="73"/>
      <c r="K3518" s="73"/>
      <c r="L3518" s="73"/>
      <c r="M3518" s="73"/>
      <c r="N3518" s="73"/>
      <c r="O3518" s="73"/>
      <c r="P3518" s="73"/>
      <c r="Q3518" s="73"/>
      <c r="R3518" s="73"/>
      <c r="S3518" s="73"/>
      <c r="T3518" s="73"/>
      <c r="U3518" s="73"/>
      <c r="V3518" s="73"/>
      <c r="W3518" s="73"/>
      <c r="GL3518" s="73"/>
      <c r="GM3518" s="73"/>
      <c r="GN3518" s="73"/>
      <c r="GO3518" s="73"/>
      <c r="GP3518" s="73"/>
      <c r="GQ3518" s="73"/>
      <c r="GR3518" s="73"/>
      <c r="GS3518" s="73"/>
      <c r="GT3518" s="73"/>
      <c r="GU3518" s="73"/>
      <c r="GV3518" s="73"/>
      <c r="GW3518" s="73"/>
      <c r="GX3518" s="73"/>
      <c r="GY3518" s="73"/>
      <c r="GZ3518" s="73"/>
      <c r="HA3518" s="73"/>
      <c r="HB3518" s="73"/>
      <c r="HC3518" s="73"/>
      <c r="HD3518" s="73"/>
      <c r="HE3518" s="73"/>
      <c r="HF3518" s="73"/>
      <c r="HG3518" s="73"/>
      <c r="HH3518" s="73"/>
      <c r="HI3518" s="73"/>
      <c r="HJ3518" s="73"/>
      <c r="HK3518" s="73"/>
      <c r="HL3518" s="73"/>
      <c r="HM3518" s="73"/>
      <c r="HN3518" s="73"/>
      <c r="HO3518" s="73"/>
      <c r="HP3518" s="73"/>
      <c r="HQ3518" s="73"/>
      <c r="HR3518" s="73"/>
      <c r="HS3518" s="73"/>
      <c r="HT3518" s="73"/>
      <c r="HU3518" s="73"/>
      <c r="HV3518" s="73"/>
      <c r="HW3518" s="73"/>
      <c r="HX3518" s="73"/>
      <c r="HY3518" s="73"/>
      <c r="HZ3518" s="73"/>
      <c r="IA3518" s="73"/>
      <c r="IB3518" s="73"/>
      <c r="IC3518" s="73"/>
      <c r="ID3518" s="73"/>
      <c r="IE3518" s="73"/>
      <c r="IF3518" s="73"/>
      <c r="IG3518" s="73"/>
      <c r="IH3518" s="73"/>
      <c r="II3518" s="73"/>
      <c r="IJ3518" s="73"/>
      <c r="IK3518" s="73"/>
      <c r="IL3518" s="73"/>
      <c r="IM3518" s="73"/>
      <c r="IN3518" s="73"/>
      <c r="IO3518" s="73"/>
      <c r="IP3518" s="73"/>
      <c r="IQ3518" s="73"/>
      <c r="IR3518" s="73"/>
      <c r="IS3518" s="73"/>
      <c r="IT3518" s="73"/>
      <c r="IU3518" s="73"/>
      <c r="IV3518" s="73"/>
      <c r="IW3518" s="73"/>
      <c r="IX3518" s="73"/>
      <c r="IY3518" s="73"/>
      <c r="IZ3518" s="73"/>
      <c r="JA3518" s="73"/>
      <c r="JB3518" s="73"/>
      <c r="JC3518" s="73"/>
    </row>
    <row r="3519" spans="2:263" s="72" customFormat="1">
      <c r="B3519" s="73"/>
      <c r="C3519" s="73"/>
      <c r="D3519" s="73"/>
      <c r="E3519" s="73"/>
      <c r="F3519" s="73"/>
      <c r="G3519" s="73"/>
      <c r="H3519" s="73"/>
      <c r="I3519" s="73"/>
      <c r="J3519" s="73"/>
      <c r="K3519" s="73"/>
      <c r="L3519" s="73"/>
      <c r="M3519" s="73"/>
      <c r="N3519" s="73"/>
      <c r="O3519" s="73"/>
      <c r="P3519" s="73"/>
      <c r="Q3519" s="73"/>
      <c r="R3519" s="73"/>
      <c r="S3519" s="73"/>
      <c r="T3519" s="73"/>
      <c r="U3519" s="73"/>
      <c r="V3519" s="73"/>
      <c r="W3519" s="73"/>
      <c r="GL3519" s="73"/>
      <c r="GM3519" s="73"/>
      <c r="GN3519" s="73"/>
      <c r="GO3519" s="73"/>
      <c r="GP3519" s="73"/>
      <c r="GQ3519" s="73"/>
      <c r="GR3519" s="73"/>
      <c r="GS3519" s="73"/>
      <c r="GT3519" s="73"/>
      <c r="GU3519" s="73"/>
      <c r="GV3519" s="73"/>
      <c r="GW3519" s="73"/>
      <c r="GX3519" s="73"/>
      <c r="GY3519" s="73"/>
      <c r="GZ3519" s="73"/>
      <c r="HA3519" s="73"/>
      <c r="HB3519" s="73"/>
      <c r="HC3519" s="73"/>
      <c r="HD3519" s="73"/>
      <c r="HE3519" s="73"/>
      <c r="HF3519" s="73"/>
      <c r="HG3519" s="73"/>
      <c r="HH3519" s="73"/>
      <c r="HI3519" s="73"/>
      <c r="HJ3519" s="73"/>
      <c r="HK3519" s="73"/>
      <c r="HL3519" s="73"/>
      <c r="HM3519" s="73"/>
      <c r="HN3519" s="73"/>
      <c r="HO3519" s="73"/>
      <c r="HP3519" s="73"/>
      <c r="HQ3519" s="73"/>
      <c r="HR3519" s="73"/>
      <c r="HS3519" s="73"/>
      <c r="HT3519" s="73"/>
      <c r="HU3519" s="73"/>
      <c r="HV3519" s="73"/>
      <c r="HW3519" s="73"/>
      <c r="HX3519" s="73"/>
      <c r="HY3519" s="73"/>
      <c r="HZ3519" s="73"/>
      <c r="IA3519" s="73"/>
      <c r="IB3519" s="73"/>
      <c r="IC3519" s="73"/>
      <c r="ID3519" s="73"/>
      <c r="IE3519" s="73"/>
      <c r="IF3519" s="73"/>
      <c r="IG3519" s="73"/>
      <c r="IH3519" s="73"/>
      <c r="II3519" s="73"/>
      <c r="IJ3519" s="73"/>
      <c r="IK3519" s="73"/>
      <c r="IL3519" s="73"/>
      <c r="IM3519" s="73"/>
      <c r="IN3519" s="73"/>
      <c r="IO3519" s="73"/>
      <c r="IP3519" s="73"/>
      <c r="IQ3519" s="73"/>
      <c r="IR3519" s="73"/>
      <c r="IS3519" s="73"/>
      <c r="IT3519" s="73"/>
      <c r="IU3519" s="73"/>
      <c r="IV3519" s="73"/>
      <c r="IW3519" s="73"/>
      <c r="IX3519" s="73"/>
      <c r="IY3519" s="73"/>
      <c r="IZ3519" s="73"/>
      <c r="JA3519" s="73"/>
      <c r="JB3519" s="73"/>
      <c r="JC3519" s="73"/>
    </row>
    <row r="3520" spans="2:263" s="72" customFormat="1">
      <c r="B3520" s="73"/>
      <c r="C3520" s="73"/>
      <c r="D3520" s="73"/>
      <c r="E3520" s="73"/>
      <c r="F3520" s="73"/>
      <c r="G3520" s="73"/>
      <c r="H3520" s="73"/>
      <c r="I3520" s="73"/>
      <c r="J3520" s="73"/>
      <c r="K3520" s="73"/>
      <c r="L3520" s="73"/>
      <c r="M3520" s="73"/>
      <c r="N3520" s="73"/>
      <c r="O3520" s="73"/>
      <c r="P3520" s="73"/>
      <c r="Q3520" s="73"/>
      <c r="R3520" s="73"/>
      <c r="S3520" s="73"/>
      <c r="T3520" s="73"/>
      <c r="U3520" s="73"/>
      <c r="V3520" s="73"/>
      <c r="W3520" s="73"/>
      <c r="GL3520" s="73"/>
      <c r="GM3520" s="73"/>
      <c r="GN3520" s="73"/>
      <c r="GO3520" s="73"/>
      <c r="GP3520" s="73"/>
      <c r="GQ3520" s="73"/>
      <c r="GR3520" s="73"/>
      <c r="GS3520" s="73"/>
      <c r="GT3520" s="73"/>
      <c r="GU3520" s="73"/>
      <c r="GV3520" s="73"/>
      <c r="GW3520" s="73"/>
      <c r="GX3520" s="73"/>
      <c r="GY3520" s="73"/>
      <c r="GZ3520" s="73"/>
      <c r="HA3520" s="73"/>
      <c r="HB3520" s="73"/>
      <c r="HC3520" s="73"/>
      <c r="HD3520" s="73"/>
      <c r="HE3520" s="73"/>
      <c r="HF3520" s="73"/>
      <c r="HG3520" s="73"/>
      <c r="HH3520" s="73"/>
      <c r="HI3520" s="73"/>
      <c r="HJ3520" s="73"/>
      <c r="HK3520" s="73"/>
      <c r="HL3520" s="73"/>
      <c r="HM3520" s="73"/>
      <c r="HN3520" s="73"/>
      <c r="HO3520" s="73"/>
      <c r="HP3520" s="73"/>
      <c r="HQ3520" s="73"/>
      <c r="HR3520" s="73"/>
      <c r="HS3520" s="73"/>
      <c r="HT3520" s="73"/>
      <c r="HU3520" s="73"/>
      <c r="HV3520" s="73"/>
      <c r="HW3520" s="73"/>
      <c r="HX3520" s="73"/>
      <c r="HY3520" s="73"/>
      <c r="HZ3520" s="73"/>
      <c r="IA3520" s="73"/>
      <c r="IB3520" s="73"/>
      <c r="IC3520" s="73"/>
      <c r="ID3520" s="73"/>
      <c r="IE3520" s="73"/>
      <c r="IF3520" s="73"/>
      <c r="IG3520" s="73"/>
      <c r="IH3520" s="73"/>
      <c r="II3520" s="73"/>
      <c r="IJ3520" s="73"/>
      <c r="IK3520" s="73"/>
      <c r="IL3520" s="73"/>
      <c r="IM3520" s="73"/>
      <c r="IN3520" s="73"/>
      <c r="IO3520" s="73"/>
      <c r="IP3520" s="73"/>
      <c r="IQ3520" s="73"/>
      <c r="IR3520" s="73"/>
      <c r="IS3520" s="73"/>
      <c r="IT3520" s="73"/>
      <c r="IU3520" s="73"/>
      <c r="IV3520" s="73"/>
      <c r="IW3520" s="73"/>
      <c r="IX3520" s="73"/>
      <c r="IY3520" s="73"/>
      <c r="IZ3520" s="73"/>
      <c r="JA3520" s="73"/>
      <c r="JB3520" s="73"/>
      <c r="JC3520" s="73"/>
    </row>
    <row r="3521" spans="2:263" s="72" customFormat="1">
      <c r="B3521" s="73"/>
      <c r="C3521" s="73"/>
      <c r="D3521" s="73"/>
      <c r="E3521" s="73"/>
      <c r="F3521" s="73"/>
      <c r="G3521" s="73"/>
      <c r="H3521" s="73"/>
      <c r="I3521" s="73"/>
      <c r="J3521" s="73"/>
      <c r="K3521" s="73"/>
      <c r="L3521" s="73"/>
      <c r="M3521" s="73"/>
      <c r="N3521" s="73"/>
      <c r="O3521" s="73"/>
      <c r="P3521" s="73"/>
      <c r="Q3521" s="73"/>
      <c r="R3521" s="73"/>
      <c r="S3521" s="73"/>
      <c r="T3521" s="73"/>
      <c r="U3521" s="73"/>
      <c r="V3521" s="73"/>
      <c r="W3521" s="73"/>
      <c r="GL3521" s="73"/>
      <c r="GM3521" s="73"/>
      <c r="GN3521" s="73"/>
      <c r="GO3521" s="73"/>
      <c r="GP3521" s="73"/>
      <c r="GQ3521" s="73"/>
      <c r="GR3521" s="73"/>
      <c r="GS3521" s="73"/>
      <c r="GT3521" s="73"/>
      <c r="GU3521" s="73"/>
      <c r="GV3521" s="73"/>
      <c r="GW3521" s="73"/>
      <c r="GX3521" s="73"/>
      <c r="GY3521" s="73"/>
      <c r="GZ3521" s="73"/>
      <c r="HA3521" s="73"/>
      <c r="HB3521" s="73"/>
      <c r="HC3521" s="73"/>
      <c r="HD3521" s="73"/>
      <c r="HE3521" s="73"/>
      <c r="HF3521" s="73"/>
      <c r="HG3521" s="73"/>
      <c r="HH3521" s="73"/>
      <c r="HI3521" s="73"/>
      <c r="HJ3521" s="73"/>
      <c r="HK3521" s="73"/>
      <c r="HL3521" s="73"/>
      <c r="HM3521" s="73"/>
      <c r="HN3521" s="73"/>
      <c r="HO3521" s="73"/>
      <c r="HP3521" s="73"/>
      <c r="HQ3521" s="73"/>
      <c r="HR3521" s="73"/>
      <c r="HS3521" s="73"/>
      <c r="HT3521" s="73"/>
      <c r="HU3521" s="73"/>
      <c r="HV3521" s="73"/>
      <c r="HW3521" s="73"/>
      <c r="HX3521" s="73"/>
      <c r="HY3521" s="73"/>
      <c r="HZ3521" s="73"/>
      <c r="IA3521" s="73"/>
      <c r="IB3521" s="73"/>
      <c r="IC3521" s="73"/>
      <c r="ID3521" s="73"/>
      <c r="IE3521" s="73"/>
      <c r="IF3521" s="73"/>
      <c r="IG3521" s="73"/>
      <c r="IH3521" s="73"/>
      <c r="II3521" s="73"/>
      <c r="IJ3521" s="73"/>
      <c r="IK3521" s="73"/>
      <c r="IL3521" s="73"/>
      <c r="IM3521" s="73"/>
      <c r="IN3521" s="73"/>
      <c r="IO3521" s="73"/>
      <c r="IP3521" s="73"/>
      <c r="IQ3521" s="73"/>
      <c r="IR3521" s="73"/>
      <c r="IS3521" s="73"/>
      <c r="IT3521" s="73"/>
      <c r="IU3521" s="73"/>
      <c r="IV3521" s="73"/>
      <c r="IW3521" s="73"/>
      <c r="IX3521" s="73"/>
      <c r="IY3521" s="73"/>
      <c r="IZ3521" s="73"/>
      <c r="JA3521" s="73"/>
      <c r="JB3521" s="73"/>
      <c r="JC3521" s="73"/>
    </row>
    <row r="3522" spans="2:263" s="72" customFormat="1">
      <c r="B3522" s="73"/>
      <c r="C3522" s="73"/>
      <c r="D3522" s="73"/>
      <c r="E3522" s="73"/>
      <c r="F3522" s="73"/>
      <c r="G3522" s="73"/>
      <c r="H3522" s="73"/>
      <c r="I3522" s="73"/>
      <c r="J3522" s="73"/>
      <c r="K3522" s="73"/>
      <c r="L3522" s="73"/>
      <c r="M3522" s="73"/>
      <c r="N3522" s="73"/>
      <c r="O3522" s="73"/>
      <c r="P3522" s="73"/>
      <c r="Q3522" s="73"/>
      <c r="R3522" s="73"/>
      <c r="S3522" s="73"/>
      <c r="T3522" s="73"/>
      <c r="U3522" s="73"/>
      <c r="V3522" s="73"/>
      <c r="W3522" s="73"/>
      <c r="GL3522" s="73"/>
      <c r="GM3522" s="73"/>
      <c r="GN3522" s="73"/>
      <c r="GO3522" s="73"/>
      <c r="GP3522" s="73"/>
      <c r="GQ3522" s="73"/>
      <c r="GR3522" s="73"/>
      <c r="GS3522" s="73"/>
      <c r="GT3522" s="73"/>
      <c r="GU3522" s="73"/>
      <c r="GV3522" s="73"/>
      <c r="GW3522" s="73"/>
      <c r="GX3522" s="73"/>
      <c r="GY3522" s="73"/>
      <c r="GZ3522" s="73"/>
      <c r="HA3522" s="73"/>
      <c r="HB3522" s="73"/>
      <c r="HC3522" s="73"/>
      <c r="HD3522" s="73"/>
      <c r="HE3522" s="73"/>
      <c r="HF3522" s="73"/>
      <c r="HG3522" s="73"/>
      <c r="HH3522" s="73"/>
      <c r="HI3522" s="73"/>
      <c r="HJ3522" s="73"/>
      <c r="HK3522" s="73"/>
      <c r="HL3522" s="73"/>
      <c r="HM3522" s="73"/>
      <c r="HN3522" s="73"/>
      <c r="HO3522" s="73"/>
      <c r="HP3522" s="73"/>
      <c r="HQ3522" s="73"/>
      <c r="HR3522" s="73"/>
      <c r="HS3522" s="73"/>
      <c r="HT3522" s="73"/>
      <c r="HU3522" s="73"/>
      <c r="HV3522" s="73"/>
      <c r="HW3522" s="73"/>
      <c r="HX3522" s="73"/>
      <c r="HY3522" s="73"/>
      <c r="HZ3522" s="73"/>
      <c r="IA3522" s="73"/>
      <c r="IB3522" s="73"/>
      <c r="IC3522" s="73"/>
      <c r="ID3522" s="73"/>
      <c r="IE3522" s="73"/>
      <c r="IF3522" s="73"/>
      <c r="IG3522" s="73"/>
      <c r="IH3522" s="73"/>
      <c r="II3522" s="73"/>
      <c r="IJ3522" s="73"/>
      <c r="IK3522" s="73"/>
      <c r="IL3522" s="73"/>
      <c r="IM3522" s="73"/>
      <c r="IN3522" s="73"/>
      <c r="IO3522" s="73"/>
      <c r="IP3522" s="73"/>
      <c r="IQ3522" s="73"/>
      <c r="IR3522" s="73"/>
      <c r="IS3522" s="73"/>
      <c r="IT3522" s="73"/>
      <c r="IU3522" s="73"/>
      <c r="IV3522" s="73"/>
      <c r="IW3522" s="73"/>
      <c r="IX3522" s="73"/>
      <c r="IY3522" s="73"/>
      <c r="IZ3522" s="73"/>
      <c r="JA3522" s="73"/>
      <c r="JB3522" s="73"/>
      <c r="JC3522" s="73"/>
    </row>
    <row r="3523" spans="2:263" s="72" customFormat="1">
      <c r="B3523" s="73"/>
      <c r="C3523" s="73"/>
      <c r="D3523" s="73"/>
      <c r="E3523" s="73"/>
      <c r="F3523" s="73"/>
      <c r="G3523" s="73"/>
      <c r="H3523" s="73"/>
      <c r="I3523" s="73"/>
      <c r="J3523" s="73"/>
      <c r="K3523" s="73"/>
      <c r="L3523" s="73"/>
      <c r="M3523" s="73"/>
      <c r="N3523" s="73"/>
      <c r="O3523" s="73"/>
      <c r="P3523" s="73"/>
      <c r="Q3523" s="73"/>
      <c r="R3523" s="73"/>
      <c r="S3523" s="73"/>
      <c r="T3523" s="73"/>
      <c r="U3523" s="73"/>
      <c r="V3523" s="73"/>
      <c r="W3523" s="73"/>
      <c r="GL3523" s="73"/>
      <c r="GM3523" s="73"/>
      <c r="GN3523" s="73"/>
      <c r="GO3523" s="73"/>
      <c r="GP3523" s="73"/>
      <c r="GQ3523" s="73"/>
      <c r="GR3523" s="73"/>
      <c r="GS3523" s="73"/>
      <c r="GT3523" s="73"/>
      <c r="GU3523" s="73"/>
      <c r="GV3523" s="73"/>
      <c r="GW3523" s="73"/>
      <c r="GX3523" s="73"/>
      <c r="GY3523" s="73"/>
      <c r="GZ3523" s="73"/>
      <c r="HA3523" s="73"/>
      <c r="HB3523" s="73"/>
      <c r="HC3523" s="73"/>
      <c r="HD3523" s="73"/>
      <c r="HE3523" s="73"/>
      <c r="HF3523" s="73"/>
      <c r="HG3523" s="73"/>
      <c r="HH3523" s="73"/>
      <c r="HI3523" s="73"/>
      <c r="HJ3523" s="73"/>
      <c r="HK3523" s="73"/>
      <c r="HL3523" s="73"/>
      <c r="HM3523" s="73"/>
      <c r="HN3523" s="73"/>
      <c r="HO3523" s="73"/>
      <c r="HP3523" s="73"/>
      <c r="HQ3523" s="73"/>
      <c r="HR3523" s="73"/>
      <c r="HS3523" s="73"/>
      <c r="HT3523" s="73"/>
      <c r="HU3523" s="73"/>
      <c r="HV3523" s="73"/>
      <c r="HW3523" s="73"/>
      <c r="HX3523" s="73"/>
      <c r="HY3523" s="73"/>
      <c r="HZ3523" s="73"/>
      <c r="IA3523" s="73"/>
      <c r="IB3523" s="73"/>
      <c r="IC3523" s="73"/>
      <c r="ID3523" s="73"/>
      <c r="IE3523" s="73"/>
      <c r="IF3523" s="73"/>
      <c r="IG3523" s="73"/>
      <c r="IH3523" s="73"/>
      <c r="II3523" s="73"/>
      <c r="IJ3523" s="73"/>
      <c r="IK3523" s="73"/>
      <c r="IL3523" s="73"/>
      <c r="IM3523" s="73"/>
      <c r="IN3523" s="73"/>
      <c r="IO3523" s="73"/>
      <c r="IP3523" s="73"/>
      <c r="IQ3523" s="73"/>
      <c r="IR3523" s="73"/>
      <c r="IS3523" s="73"/>
      <c r="IT3523" s="73"/>
      <c r="IU3523" s="73"/>
      <c r="IV3523" s="73"/>
      <c r="IW3523" s="73"/>
      <c r="IX3523" s="73"/>
      <c r="IY3523" s="73"/>
      <c r="IZ3523" s="73"/>
      <c r="JA3523" s="73"/>
      <c r="JB3523" s="73"/>
      <c r="JC3523" s="73"/>
    </row>
    <row r="3524" spans="2:263" s="72" customFormat="1">
      <c r="B3524" s="73"/>
      <c r="C3524" s="73"/>
      <c r="D3524" s="73"/>
      <c r="E3524" s="73"/>
      <c r="F3524" s="73"/>
      <c r="G3524" s="73"/>
      <c r="H3524" s="73"/>
      <c r="I3524" s="73"/>
      <c r="J3524" s="73"/>
      <c r="K3524" s="73"/>
      <c r="L3524" s="73"/>
      <c r="M3524" s="73"/>
      <c r="N3524" s="73"/>
      <c r="O3524" s="73"/>
      <c r="P3524" s="73"/>
      <c r="Q3524" s="73"/>
      <c r="R3524" s="73"/>
      <c r="S3524" s="73"/>
      <c r="T3524" s="73"/>
      <c r="U3524" s="73"/>
      <c r="V3524" s="73"/>
      <c r="W3524" s="73"/>
      <c r="GL3524" s="73"/>
      <c r="GM3524" s="73"/>
      <c r="GN3524" s="73"/>
      <c r="GO3524" s="73"/>
      <c r="GP3524" s="73"/>
      <c r="GQ3524" s="73"/>
      <c r="GR3524" s="73"/>
      <c r="GS3524" s="73"/>
      <c r="GT3524" s="73"/>
      <c r="GU3524" s="73"/>
      <c r="GV3524" s="73"/>
      <c r="GW3524" s="73"/>
      <c r="GX3524" s="73"/>
      <c r="GY3524" s="73"/>
      <c r="GZ3524" s="73"/>
      <c r="HA3524" s="73"/>
      <c r="HB3524" s="73"/>
      <c r="HC3524" s="73"/>
      <c r="HD3524" s="73"/>
      <c r="HE3524" s="73"/>
      <c r="HF3524" s="73"/>
      <c r="HG3524" s="73"/>
      <c r="HH3524" s="73"/>
      <c r="HI3524" s="73"/>
      <c r="HJ3524" s="73"/>
      <c r="HK3524" s="73"/>
      <c r="HL3524" s="73"/>
      <c r="HM3524" s="73"/>
      <c r="HN3524" s="73"/>
      <c r="HO3524" s="73"/>
      <c r="HP3524" s="73"/>
      <c r="HQ3524" s="73"/>
      <c r="HR3524" s="73"/>
      <c r="HS3524" s="73"/>
      <c r="HT3524" s="73"/>
      <c r="HU3524" s="73"/>
      <c r="HV3524" s="73"/>
      <c r="HW3524" s="73"/>
      <c r="HX3524" s="73"/>
      <c r="HY3524" s="73"/>
      <c r="HZ3524" s="73"/>
      <c r="IA3524" s="73"/>
      <c r="IB3524" s="73"/>
      <c r="IC3524" s="73"/>
      <c r="ID3524" s="73"/>
      <c r="IE3524" s="73"/>
      <c r="IF3524" s="73"/>
      <c r="IG3524" s="73"/>
      <c r="IH3524" s="73"/>
      <c r="II3524" s="73"/>
      <c r="IJ3524" s="73"/>
      <c r="IK3524" s="73"/>
      <c r="IL3524" s="73"/>
      <c r="IM3524" s="73"/>
      <c r="IN3524" s="73"/>
      <c r="IO3524" s="73"/>
      <c r="IP3524" s="73"/>
      <c r="IQ3524" s="73"/>
      <c r="IR3524" s="73"/>
      <c r="IS3524" s="73"/>
      <c r="IT3524" s="73"/>
      <c r="IU3524" s="73"/>
      <c r="IV3524" s="73"/>
      <c r="IW3524" s="73"/>
      <c r="IX3524" s="73"/>
      <c r="IY3524" s="73"/>
      <c r="IZ3524" s="73"/>
      <c r="JA3524" s="73"/>
      <c r="JB3524" s="73"/>
      <c r="JC3524" s="73"/>
    </row>
    <row r="3525" spans="2:263" s="72" customFormat="1">
      <c r="B3525" s="73"/>
      <c r="C3525" s="73"/>
      <c r="D3525" s="73"/>
      <c r="E3525" s="73"/>
      <c r="F3525" s="73"/>
      <c r="G3525" s="73"/>
      <c r="H3525" s="73"/>
      <c r="I3525" s="73"/>
      <c r="J3525" s="73"/>
      <c r="K3525" s="73"/>
      <c r="L3525" s="73"/>
      <c r="M3525" s="73"/>
      <c r="N3525" s="73"/>
      <c r="O3525" s="73"/>
      <c r="P3525" s="73"/>
      <c r="Q3525" s="73"/>
      <c r="R3525" s="73"/>
      <c r="S3525" s="73"/>
      <c r="T3525" s="73"/>
      <c r="U3525" s="73"/>
      <c r="V3525" s="73"/>
      <c r="W3525" s="73"/>
      <c r="GL3525" s="73"/>
      <c r="GM3525" s="73"/>
      <c r="GN3525" s="73"/>
      <c r="GO3525" s="73"/>
      <c r="GP3525" s="73"/>
      <c r="GQ3525" s="73"/>
      <c r="GR3525" s="73"/>
      <c r="GS3525" s="73"/>
      <c r="GT3525" s="73"/>
      <c r="GU3525" s="73"/>
      <c r="GV3525" s="73"/>
      <c r="GW3525" s="73"/>
      <c r="GX3525" s="73"/>
      <c r="GY3525" s="73"/>
      <c r="GZ3525" s="73"/>
      <c r="HA3525" s="73"/>
      <c r="HB3525" s="73"/>
      <c r="HC3525" s="73"/>
      <c r="HD3525" s="73"/>
      <c r="HE3525" s="73"/>
      <c r="HF3525" s="73"/>
      <c r="HG3525" s="73"/>
      <c r="HH3525" s="73"/>
      <c r="HI3525" s="73"/>
      <c r="HJ3525" s="73"/>
      <c r="HK3525" s="73"/>
      <c r="HL3525" s="73"/>
      <c r="HM3525" s="73"/>
      <c r="HN3525" s="73"/>
      <c r="HO3525" s="73"/>
      <c r="HP3525" s="73"/>
      <c r="HQ3525" s="73"/>
      <c r="HR3525" s="73"/>
      <c r="HS3525" s="73"/>
      <c r="HT3525" s="73"/>
      <c r="HU3525" s="73"/>
      <c r="HV3525" s="73"/>
      <c r="HW3525" s="73"/>
      <c r="HX3525" s="73"/>
      <c r="HY3525" s="73"/>
      <c r="HZ3525" s="73"/>
      <c r="IA3525" s="73"/>
      <c r="IB3525" s="73"/>
      <c r="IC3525" s="73"/>
      <c r="ID3525" s="73"/>
      <c r="IE3525" s="73"/>
      <c r="IF3525" s="73"/>
      <c r="IG3525" s="73"/>
      <c r="IH3525" s="73"/>
      <c r="II3525" s="73"/>
      <c r="IJ3525" s="73"/>
      <c r="IK3525" s="73"/>
      <c r="IL3525" s="73"/>
      <c r="IM3525" s="73"/>
      <c r="IN3525" s="73"/>
      <c r="IO3525" s="73"/>
      <c r="IP3525" s="73"/>
      <c r="IQ3525" s="73"/>
      <c r="IR3525" s="73"/>
      <c r="IS3525" s="73"/>
      <c r="IT3525" s="73"/>
      <c r="IU3525" s="73"/>
      <c r="IV3525" s="73"/>
      <c r="IW3525" s="73"/>
      <c r="IX3525" s="73"/>
      <c r="IY3525" s="73"/>
      <c r="IZ3525" s="73"/>
      <c r="JA3525" s="73"/>
      <c r="JB3525" s="73"/>
      <c r="JC3525" s="73"/>
    </row>
    <row r="3526" spans="2:263" s="72" customFormat="1">
      <c r="B3526" s="73"/>
      <c r="C3526" s="73"/>
      <c r="D3526" s="73"/>
      <c r="E3526" s="73"/>
      <c r="F3526" s="73"/>
      <c r="G3526" s="73"/>
      <c r="H3526" s="73"/>
      <c r="I3526" s="73"/>
      <c r="J3526" s="73"/>
      <c r="K3526" s="73"/>
      <c r="L3526" s="73"/>
      <c r="M3526" s="73"/>
      <c r="N3526" s="73"/>
      <c r="O3526" s="73"/>
      <c r="P3526" s="73"/>
      <c r="Q3526" s="73"/>
      <c r="R3526" s="73"/>
      <c r="S3526" s="73"/>
      <c r="T3526" s="73"/>
      <c r="U3526" s="73"/>
      <c r="V3526" s="73"/>
      <c r="W3526" s="73"/>
      <c r="GL3526" s="73"/>
      <c r="GM3526" s="73"/>
      <c r="GN3526" s="73"/>
      <c r="GO3526" s="73"/>
      <c r="GP3526" s="73"/>
      <c r="GQ3526" s="73"/>
      <c r="GR3526" s="73"/>
      <c r="GS3526" s="73"/>
      <c r="GT3526" s="73"/>
      <c r="GU3526" s="73"/>
      <c r="GV3526" s="73"/>
      <c r="GW3526" s="73"/>
      <c r="GX3526" s="73"/>
      <c r="GY3526" s="73"/>
      <c r="GZ3526" s="73"/>
      <c r="HA3526" s="73"/>
      <c r="HB3526" s="73"/>
      <c r="HC3526" s="73"/>
      <c r="HD3526" s="73"/>
      <c r="HE3526" s="73"/>
      <c r="HF3526" s="73"/>
      <c r="HG3526" s="73"/>
      <c r="HH3526" s="73"/>
      <c r="HI3526" s="73"/>
      <c r="HJ3526" s="73"/>
      <c r="HK3526" s="73"/>
      <c r="HL3526" s="73"/>
      <c r="HM3526" s="73"/>
      <c r="HN3526" s="73"/>
      <c r="HO3526" s="73"/>
      <c r="HP3526" s="73"/>
      <c r="HQ3526" s="73"/>
      <c r="HR3526" s="73"/>
      <c r="HS3526" s="73"/>
      <c r="HT3526" s="73"/>
      <c r="HU3526" s="73"/>
      <c r="HV3526" s="73"/>
      <c r="HW3526" s="73"/>
      <c r="HX3526" s="73"/>
      <c r="HY3526" s="73"/>
      <c r="HZ3526" s="73"/>
      <c r="IA3526" s="73"/>
      <c r="IB3526" s="73"/>
      <c r="IC3526" s="73"/>
      <c r="ID3526" s="73"/>
      <c r="IE3526" s="73"/>
      <c r="IF3526" s="73"/>
      <c r="IG3526" s="73"/>
      <c r="IH3526" s="73"/>
      <c r="II3526" s="73"/>
      <c r="IJ3526" s="73"/>
      <c r="IK3526" s="73"/>
      <c r="IL3526" s="73"/>
      <c r="IM3526" s="73"/>
      <c r="IN3526" s="73"/>
      <c r="IO3526" s="73"/>
      <c r="IP3526" s="73"/>
      <c r="IQ3526" s="73"/>
      <c r="IR3526" s="73"/>
      <c r="IS3526" s="73"/>
      <c r="IT3526" s="73"/>
      <c r="IU3526" s="73"/>
      <c r="IV3526" s="73"/>
      <c r="IW3526" s="73"/>
      <c r="IX3526" s="73"/>
      <c r="IY3526" s="73"/>
      <c r="IZ3526" s="73"/>
      <c r="JA3526" s="73"/>
      <c r="JB3526" s="73"/>
      <c r="JC3526" s="73"/>
    </row>
    <row r="3527" spans="2:263" s="72" customFormat="1">
      <c r="B3527" s="73"/>
      <c r="C3527" s="73"/>
      <c r="D3527" s="73"/>
      <c r="E3527" s="73"/>
      <c r="F3527" s="73"/>
      <c r="G3527" s="73"/>
      <c r="H3527" s="73"/>
      <c r="I3527" s="73"/>
      <c r="J3527" s="73"/>
      <c r="K3527" s="73"/>
      <c r="L3527" s="73"/>
      <c r="M3527" s="73"/>
      <c r="N3527" s="73"/>
      <c r="O3527" s="73"/>
      <c r="P3527" s="73"/>
      <c r="Q3527" s="73"/>
      <c r="R3527" s="73"/>
      <c r="S3527" s="73"/>
      <c r="T3527" s="73"/>
      <c r="U3527" s="73"/>
      <c r="V3527" s="73"/>
      <c r="W3527" s="73"/>
      <c r="GL3527" s="73"/>
      <c r="GM3527" s="73"/>
      <c r="GN3527" s="73"/>
      <c r="GO3527" s="73"/>
      <c r="GP3527" s="73"/>
      <c r="GQ3527" s="73"/>
      <c r="GR3527" s="73"/>
      <c r="GS3527" s="73"/>
      <c r="GT3527" s="73"/>
      <c r="GU3527" s="73"/>
      <c r="GV3527" s="73"/>
      <c r="GW3527" s="73"/>
      <c r="GX3527" s="73"/>
      <c r="GY3527" s="73"/>
      <c r="GZ3527" s="73"/>
      <c r="HA3527" s="73"/>
      <c r="HB3527" s="73"/>
      <c r="HC3527" s="73"/>
      <c r="HD3527" s="73"/>
      <c r="HE3527" s="73"/>
      <c r="HF3527" s="73"/>
      <c r="HG3527" s="73"/>
      <c r="HH3527" s="73"/>
      <c r="HI3527" s="73"/>
      <c r="HJ3527" s="73"/>
      <c r="HK3527" s="73"/>
      <c r="HL3527" s="73"/>
      <c r="HM3527" s="73"/>
      <c r="HN3527" s="73"/>
      <c r="HO3527" s="73"/>
      <c r="HP3527" s="73"/>
      <c r="HQ3527" s="73"/>
      <c r="HR3527" s="73"/>
      <c r="HS3527" s="73"/>
      <c r="HT3527" s="73"/>
      <c r="HU3527" s="73"/>
      <c r="HV3527" s="73"/>
      <c r="HW3527" s="73"/>
      <c r="HX3527" s="73"/>
      <c r="HY3527" s="73"/>
      <c r="HZ3527" s="73"/>
      <c r="IA3527" s="73"/>
      <c r="IB3527" s="73"/>
      <c r="IC3527" s="73"/>
      <c r="ID3527" s="73"/>
      <c r="IE3527" s="73"/>
      <c r="IF3527" s="73"/>
      <c r="IG3527" s="73"/>
      <c r="IH3527" s="73"/>
      <c r="II3527" s="73"/>
      <c r="IJ3527" s="73"/>
      <c r="IK3527" s="73"/>
      <c r="IL3527" s="73"/>
      <c r="IM3527" s="73"/>
      <c r="IN3527" s="73"/>
      <c r="IO3527" s="73"/>
      <c r="IP3527" s="73"/>
      <c r="IQ3527" s="73"/>
      <c r="IR3527" s="73"/>
      <c r="IS3527" s="73"/>
      <c r="IT3527" s="73"/>
      <c r="IU3527" s="73"/>
      <c r="IV3527" s="73"/>
      <c r="IW3527" s="73"/>
      <c r="IX3527" s="73"/>
      <c r="IY3527" s="73"/>
      <c r="IZ3527" s="73"/>
      <c r="JA3527" s="73"/>
      <c r="JB3527" s="73"/>
      <c r="JC3527" s="73"/>
    </row>
    <row r="3528" spans="2:263" s="72" customFormat="1">
      <c r="B3528" s="73"/>
      <c r="C3528" s="73"/>
      <c r="D3528" s="73"/>
      <c r="E3528" s="73"/>
      <c r="F3528" s="73"/>
      <c r="G3528" s="73"/>
      <c r="H3528" s="73"/>
      <c r="I3528" s="73"/>
      <c r="J3528" s="73"/>
      <c r="K3528" s="73"/>
      <c r="L3528" s="73"/>
      <c r="M3528" s="73"/>
      <c r="N3528" s="73"/>
      <c r="O3528" s="73"/>
      <c r="P3528" s="73"/>
      <c r="Q3528" s="73"/>
      <c r="R3528" s="73"/>
      <c r="S3528" s="73"/>
      <c r="T3528" s="73"/>
      <c r="U3528" s="73"/>
      <c r="V3528" s="73"/>
      <c r="W3528" s="73"/>
      <c r="GL3528" s="73"/>
      <c r="GM3528" s="73"/>
      <c r="GN3528" s="73"/>
      <c r="GO3528" s="73"/>
      <c r="GP3528" s="73"/>
      <c r="GQ3528" s="73"/>
      <c r="GR3528" s="73"/>
      <c r="GS3528" s="73"/>
      <c r="GT3528" s="73"/>
      <c r="GU3528" s="73"/>
      <c r="GV3528" s="73"/>
      <c r="GW3528" s="73"/>
      <c r="GX3528" s="73"/>
      <c r="GY3528" s="73"/>
      <c r="GZ3528" s="73"/>
      <c r="HA3528" s="73"/>
      <c r="HB3528" s="73"/>
      <c r="HC3528" s="73"/>
      <c r="HD3528" s="73"/>
      <c r="HE3528" s="73"/>
      <c r="HF3528" s="73"/>
      <c r="HG3528" s="73"/>
      <c r="HH3528" s="73"/>
      <c r="HI3528" s="73"/>
      <c r="HJ3528" s="73"/>
      <c r="HK3528" s="73"/>
      <c r="HL3528" s="73"/>
      <c r="HM3528" s="73"/>
      <c r="HN3528" s="73"/>
      <c r="HO3528" s="73"/>
      <c r="HP3528" s="73"/>
      <c r="HQ3528" s="73"/>
      <c r="HR3528" s="73"/>
      <c r="HS3528" s="73"/>
      <c r="HT3528" s="73"/>
      <c r="HU3528" s="73"/>
      <c r="HV3528" s="73"/>
      <c r="HW3528" s="73"/>
      <c r="HX3528" s="73"/>
      <c r="HY3528" s="73"/>
      <c r="HZ3528" s="73"/>
      <c r="IA3528" s="73"/>
      <c r="IB3528" s="73"/>
      <c r="IC3528" s="73"/>
      <c r="ID3528" s="73"/>
      <c r="IE3528" s="73"/>
      <c r="IF3528" s="73"/>
      <c r="IG3528" s="73"/>
      <c r="IH3528" s="73"/>
      <c r="II3528" s="73"/>
      <c r="IJ3528" s="73"/>
      <c r="IK3528" s="73"/>
      <c r="IL3528" s="73"/>
      <c r="IM3528" s="73"/>
      <c r="IN3528" s="73"/>
      <c r="IO3528" s="73"/>
      <c r="IP3528" s="73"/>
      <c r="IQ3528" s="73"/>
      <c r="IR3528" s="73"/>
      <c r="IS3528" s="73"/>
      <c r="IT3528" s="73"/>
      <c r="IU3528" s="73"/>
      <c r="IV3528" s="73"/>
      <c r="IW3528" s="73"/>
      <c r="IX3528" s="73"/>
      <c r="IY3528" s="73"/>
      <c r="IZ3528" s="73"/>
      <c r="JA3528" s="73"/>
      <c r="JB3528" s="73"/>
      <c r="JC3528" s="73"/>
    </row>
    <row r="3529" spans="2:263" s="72" customFormat="1">
      <c r="B3529" s="73"/>
      <c r="C3529" s="73"/>
      <c r="D3529" s="73"/>
      <c r="E3529" s="73"/>
      <c r="F3529" s="73"/>
      <c r="G3529" s="73"/>
      <c r="H3529" s="73"/>
      <c r="I3529" s="73"/>
      <c r="J3529" s="73"/>
      <c r="K3529" s="73"/>
      <c r="L3529" s="73"/>
      <c r="M3529" s="73"/>
      <c r="N3529" s="73"/>
      <c r="O3529" s="73"/>
      <c r="P3529" s="73"/>
      <c r="Q3529" s="73"/>
      <c r="R3529" s="73"/>
      <c r="S3529" s="73"/>
      <c r="T3529" s="73"/>
      <c r="U3529" s="73"/>
      <c r="V3529" s="73"/>
      <c r="W3529" s="73"/>
      <c r="GL3529" s="73"/>
      <c r="GM3529" s="73"/>
      <c r="GN3529" s="73"/>
      <c r="GO3529" s="73"/>
      <c r="GP3529" s="73"/>
      <c r="GQ3529" s="73"/>
      <c r="GR3529" s="73"/>
      <c r="GS3529" s="73"/>
      <c r="GT3529" s="73"/>
      <c r="GU3529" s="73"/>
      <c r="GV3529" s="73"/>
      <c r="GW3529" s="73"/>
      <c r="GX3529" s="73"/>
      <c r="GY3529" s="73"/>
      <c r="GZ3529" s="73"/>
      <c r="HA3529" s="73"/>
      <c r="HB3529" s="73"/>
      <c r="HC3529" s="73"/>
      <c r="HD3529" s="73"/>
      <c r="HE3529" s="73"/>
      <c r="HF3529" s="73"/>
      <c r="HG3529" s="73"/>
      <c r="HH3529" s="73"/>
      <c r="HI3529" s="73"/>
      <c r="HJ3529" s="73"/>
      <c r="HK3529" s="73"/>
      <c r="HL3529" s="73"/>
      <c r="HM3529" s="73"/>
      <c r="HN3529" s="73"/>
      <c r="HO3529" s="73"/>
      <c r="HP3529" s="73"/>
      <c r="HQ3529" s="73"/>
      <c r="HR3529" s="73"/>
      <c r="HS3529" s="73"/>
      <c r="HT3529" s="73"/>
      <c r="HU3529" s="73"/>
      <c r="HV3529" s="73"/>
      <c r="HW3529" s="73"/>
      <c r="HX3529" s="73"/>
      <c r="HY3529" s="73"/>
      <c r="HZ3529" s="73"/>
      <c r="IA3529" s="73"/>
      <c r="IB3529" s="73"/>
      <c r="IC3529" s="73"/>
      <c r="ID3529" s="73"/>
      <c r="IE3529" s="73"/>
      <c r="IF3529" s="73"/>
      <c r="IG3529" s="73"/>
      <c r="IH3529" s="73"/>
      <c r="II3529" s="73"/>
      <c r="IJ3529" s="73"/>
      <c r="IK3529" s="73"/>
      <c r="IL3529" s="73"/>
      <c r="IM3529" s="73"/>
      <c r="IN3529" s="73"/>
      <c r="IO3529" s="73"/>
      <c r="IP3529" s="73"/>
      <c r="IQ3529" s="73"/>
      <c r="IR3529" s="73"/>
      <c r="IS3529" s="73"/>
      <c r="IT3529" s="73"/>
      <c r="IU3529" s="73"/>
      <c r="IV3529" s="73"/>
      <c r="IW3529" s="73"/>
      <c r="IX3529" s="73"/>
      <c r="IY3529" s="73"/>
      <c r="IZ3529" s="73"/>
      <c r="JA3529" s="73"/>
      <c r="JB3529" s="73"/>
      <c r="JC3529" s="73"/>
    </row>
    <row r="3530" spans="2:263" s="72" customFormat="1">
      <c r="B3530" s="73"/>
      <c r="C3530" s="73"/>
      <c r="D3530" s="73"/>
      <c r="E3530" s="73"/>
      <c r="F3530" s="73"/>
      <c r="G3530" s="73"/>
      <c r="H3530" s="73"/>
      <c r="I3530" s="73"/>
      <c r="J3530" s="73"/>
      <c r="K3530" s="73"/>
      <c r="L3530" s="73"/>
      <c r="M3530" s="73"/>
      <c r="N3530" s="73"/>
      <c r="O3530" s="73"/>
      <c r="P3530" s="73"/>
      <c r="Q3530" s="73"/>
      <c r="R3530" s="73"/>
      <c r="S3530" s="73"/>
      <c r="T3530" s="73"/>
      <c r="U3530" s="73"/>
      <c r="V3530" s="73"/>
      <c r="W3530" s="73"/>
      <c r="GL3530" s="73"/>
      <c r="GM3530" s="73"/>
      <c r="GN3530" s="73"/>
      <c r="GO3530" s="73"/>
      <c r="GP3530" s="73"/>
      <c r="GQ3530" s="73"/>
      <c r="GR3530" s="73"/>
      <c r="GS3530" s="73"/>
      <c r="GT3530" s="73"/>
      <c r="GU3530" s="73"/>
      <c r="GV3530" s="73"/>
      <c r="GW3530" s="73"/>
      <c r="GX3530" s="73"/>
      <c r="GY3530" s="73"/>
      <c r="GZ3530" s="73"/>
      <c r="HA3530" s="73"/>
      <c r="HB3530" s="73"/>
      <c r="HC3530" s="73"/>
      <c r="HD3530" s="73"/>
      <c r="HE3530" s="73"/>
      <c r="HF3530" s="73"/>
      <c r="HG3530" s="73"/>
      <c r="HH3530" s="73"/>
      <c r="HI3530" s="73"/>
      <c r="HJ3530" s="73"/>
      <c r="HK3530" s="73"/>
      <c r="HL3530" s="73"/>
      <c r="HM3530" s="73"/>
      <c r="HN3530" s="73"/>
      <c r="HO3530" s="73"/>
      <c r="HP3530" s="73"/>
      <c r="HQ3530" s="73"/>
      <c r="HR3530" s="73"/>
      <c r="HS3530" s="73"/>
      <c r="HT3530" s="73"/>
      <c r="HU3530" s="73"/>
      <c r="HV3530" s="73"/>
      <c r="HW3530" s="73"/>
      <c r="HX3530" s="73"/>
      <c r="HY3530" s="73"/>
      <c r="HZ3530" s="73"/>
      <c r="IA3530" s="73"/>
      <c r="IB3530" s="73"/>
      <c r="IC3530" s="73"/>
      <c r="ID3530" s="73"/>
      <c r="IE3530" s="73"/>
      <c r="IF3530" s="73"/>
      <c r="IG3530" s="73"/>
      <c r="IH3530" s="73"/>
      <c r="II3530" s="73"/>
      <c r="IJ3530" s="73"/>
      <c r="IK3530" s="73"/>
      <c r="IL3530" s="73"/>
      <c r="IM3530" s="73"/>
      <c r="IN3530" s="73"/>
      <c r="IO3530" s="73"/>
      <c r="IP3530" s="73"/>
      <c r="IQ3530" s="73"/>
      <c r="IR3530" s="73"/>
      <c r="IS3530" s="73"/>
      <c r="IT3530" s="73"/>
      <c r="IU3530" s="73"/>
      <c r="IV3530" s="73"/>
      <c r="IW3530" s="73"/>
      <c r="IX3530" s="73"/>
      <c r="IY3530" s="73"/>
      <c r="IZ3530" s="73"/>
      <c r="JA3530" s="73"/>
      <c r="JB3530" s="73"/>
      <c r="JC3530" s="73"/>
    </row>
    <row r="3531" spans="2:263" s="72" customFormat="1">
      <c r="B3531" s="73"/>
      <c r="C3531" s="73"/>
      <c r="D3531" s="73"/>
      <c r="E3531" s="73"/>
      <c r="F3531" s="73"/>
      <c r="G3531" s="73"/>
      <c r="H3531" s="73"/>
      <c r="I3531" s="73"/>
      <c r="J3531" s="73"/>
      <c r="K3531" s="73"/>
      <c r="L3531" s="73"/>
      <c r="M3531" s="73"/>
      <c r="N3531" s="73"/>
      <c r="O3531" s="73"/>
      <c r="P3531" s="73"/>
      <c r="Q3531" s="73"/>
      <c r="R3531" s="73"/>
      <c r="S3531" s="73"/>
      <c r="T3531" s="73"/>
      <c r="U3531" s="73"/>
      <c r="V3531" s="73"/>
      <c r="W3531" s="73"/>
      <c r="GL3531" s="73"/>
      <c r="GM3531" s="73"/>
      <c r="GN3531" s="73"/>
      <c r="GO3531" s="73"/>
      <c r="GP3531" s="73"/>
      <c r="GQ3531" s="73"/>
      <c r="GR3531" s="73"/>
      <c r="GS3531" s="73"/>
      <c r="GT3531" s="73"/>
      <c r="GU3531" s="73"/>
      <c r="GV3531" s="73"/>
      <c r="GW3531" s="73"/>
      <c r="GX3531" s="73"/>
      <c r="GY3531" s="73"/>
      <c r="GZ3531" s="73"/>
      <c r="HA3531" s="73"/>
      <c r="HB3531" s="73"/>
      <c r="HC3531" s="73"/>
      <c r="HD3531" s="73"/>
      <c r="HE3531" s="73"/>
      <c r="HF3531" s="73"/>
      <c r="HG3531" s="73"/>
      <c r="HH3531" s="73"/>
      <c r="HI3531" s="73"/>
      <c r="HJ3531" s="73"/>
      <c r="HK3531" s="73"/>
      <c r="HL3531" s="73"/>
      <c r="HM3531" s="73"/>
      <c r="HN3531" s="73"/>
      <c r="HO3531" s="73"/>
      <c r="HP3531" s="73"/>
      <c r="HQ3531" s="73"/>
      <c r="HR3531" s="73"/>
      <c r="HS3531" s="73"/>
      <c r="HT3531" s="73"/>
      <c r="HU3531" s="73"/>
      <c r="HV3531" s="73"/>
      <c r="HW3531" s="73"/>
      <c r="HX3531" s="73"/>
      <c r="HY3531" s="73"/>
      <c r="HZ3531" s="73"/>
      <c r="IA3531" s="73"/>
      <c r="IB3531" s="73"/>
      <c r="IC3531" s="73"/>
      <c r="ID3531" s="73"/>
      <c r="IE3531" s="73"/>
      <c r="IF3531" s="73"/>
      <c r="IG3531" s="73"/>
      <c r="IH3531" s="73"/>
      <c r="II3531" s="73"/>
      <c r="IJ3531" s="73"/>
      <c r="IK3531" s="73"/>
      <c r="IL3531" s="73"/>
      <c r="IM3531" s="73"/>
      <c r="IN3531" s="73"/>
      <c r="IO3531" s="73"/>
      <c r="IP3531" s="73"/>
      <c r="IQ3531" s="73"/>
      <c r="IR3531" s="73"/>
      <c r="IS3531" s="73"/>
      <c r="IT3531" s="73"/>
      <c r="IU3531" s="73"/>
      <c r="IV3531" s="73"/>
      <c r="IW3531" s="73"/>
      <c r="IX3531" s="73"/>
      <c r="IY3531" s="73"/>
      <c r="IZ3531" s="73"/>
      <c r="JA3531" s="73"/>
      <c r="JB3531" s="73"/>
      <c r="JC3531" s="73"/>
    </row>
    <row r="3532" spans="2:263" s="72" customFormat="1">
      <c r="B3532" s="73"/>
      <c r="C3532" s="73"/>
      <c r="D3532" s="73"/>
      <c r="E3532" s="73"/>
      <c r="F3532" s="73"/>
      <c r="G3532" s="73"/>
      <c r="H3532" s="73"/>
      <c r="I3532" s="73"/>
      <c r="J3532" s="73"/>
      <c r="K3532" s="73"/>
      <c r="L3532" s="73"/>
      <c r="M3532" s="73"/>
      <c r="N3532" s="73"/>
      <c r="O3532" s="73"/>
      <c r="P3532" s="73"/>
      <c r="Q3532" s="73"/>
      <c r="R3532" s="73"/>
      <c r="S3532" s="73"/>
      <c r="T3532" s="73"/>
      <c r="U3532" s="73"/>
      <c r="V3532" s="73"/>
      <c r="W3532" s="73"/>
      <c r="GL3532" s="73"/>
      <c r="GM3532" s="73"/>
      <c r="GN3532" s="73"/>
      <c r="GO3532" s="73"/>
      <c r="GP3532" s="73"/>
      <c r="GQ3532" s="73"/>
      <c r="GR3532" s="73"/>
      <c r="GS3532" s="73"/>
      <c r="GT3532" s="73"/>
      <c r="GU3532" s="73"/>
      <c r="GV3532" s="73"/>
      <c r="GW3532" s="73"/>
      <c r="GX3532" s="73"/>
      <c r="GY3532" s="73"/>
      <c r="GZ3532" s="73"/>
      <c r="HA3532" s="73"/>
      <c r="HB3532" s="73"/>
      <c r="HC3532" s="73"/>
      <c r="HD3532" s="73"/>
      <c r="HE3532" s="73"/>
      <c r="HF3532" s="73"/>
      <c r="HG3532" s="73"/>
      <c r="HH3532" s="73"/>
      <c r="HI3532" s="73"/>
      <c r="HJ3532" s="73"/>
      <c r="HK3532" s="73"/>
      <c r="HL3532" s="73"/>
      <c r="HM3532" s="73"/>
      <c r="HN3532" s="73"/>
      <c r="HO3532" s="73"/>
      <c r="HP3532" s="73"/>
      <c r="HQ3532" s="73"/>
      <c r="HR3532" s="73"/>
      <c r="HS3532" s="73"/>
      <c r="HT3532" s="73"/>
      <c r="HU3532" s="73"/>
      <c r="HV3532" s="73"/>
      <c r="HW3532" s="73"/>
      <c r="HX3532" s="73"/>
      <c r="HY3532" s="73"/>
      <c r="HZ3532" s="73"/>
      <c r="IA3532" s="73"/>
      <c r="IB3532" s="73"/>
      <c r="IC3532" s="73"/>
      <c r="ID3532" s="73"/>
      <c r="IE3532" s="73"/>
      <c r="IF3532" s="73"/>
      <c r="IG3532" s="73"/>
      <c r="IH3532" s="73"/>
      <c r="II3532" s="73"/>
      <c r="IJ3532" s="73"/>
      <c r="IK3532" s="73"/>
      <c r="IL3532" s="73"/>
      <c r="IM3532" s="73"/>
      <c r="IN3532" s="73"/>
      <c r="IO3532" s="73"/>
      <c r="IP3532" s="73"/>
      <c r="IQ3532" s="73"/>
      <c r="IR3532" s="73"/>
      <c r="IS3532" s="73"/>
      <c r="IT3532" s="73"/>
      <c r="IU3532" s="73"/>
      <c r="IV3532" s="73"/>
      <c r="IW3532" s="73"/>
      <c r="IX3532" s="73"/>
      <c r="IY3532" s="73"/>
      <c r="IZ3532" s="73"/>
      <c r="JA3532" s="73"/>
      <c r="JB3532" s="73"/>
      <c r="JC3532" s="73"/>
    </row>
    <row r="3533" spans="2:263" s="72" customFormat="1">
      <c r="B3533" s="73"/>
      <c r="C3533" s="73"/>
      <c r="D3533" s="73"/>
      <c r="E3533" s="73"/>
      <c r="F3533" s="73"/>
      <c r="G3533" s="73"/>
      <c r="H3533" s="73"/>
      <c r="I3533" s="73"/>
      <c r="J3533" s="73"/>
      <c r="K3533" s="73"/>
      <c r="L3533" s="73"/>
      <c r="M3533" s="73"/>
      <c r="N3533" s="73"/>
      <c r="O3533" s="73"/>
      <c r="P3533" s="73"/>
      <c r="Q3533" s="73"/>
      <c r="R3533" s="73"/>
      <c r="S3533" s="73"/>
      <c r="T3533" s="73"/>
      <c r="U3533" s="73"/>
      <c r="V3533" s="73"/>
      <c r="W3533" s="73"/>
      <c r="GL3533" s="73"/>
      <c r="GM3533" s="73"/>
      <c r="GN3533" s="73"/>
      <c r="GO3533" s="73"/>
      <c r="GP3533" s="73"/>
      <c r="GQ3533" s="73"/>
      <c r="GR3533" s="73"/>
      <c r="GS3533" s="73"/>
      <c r="GT3533" s="73"/>
      <c r="GU3533" s="73"/>
      <c r="GV3533" s="73"/>
      <c r="GW3533" s="73"/>
      <c r="GX3533" s="73"/>
      <c r="GY3533" s="73"/>
      <c r="GZ3533" s="73"/>
      <c r="HA3533" s="73"/>
      <c r="HB3533" s="73"/>
      <c r="HC3533" s="73"/>
      <c r="HD3533" s="73"/>
      <c r="HE3533" s="73"/>
      <c r="HF3533" s="73"/>
      <c r="HG3533" s="73"/>
      <c r="HH3533" s="73"/>
      <c r="HI3533" s="73"/>
      <c r="HJ3533" s="73"/>
      <c r="HK3533" s="73"/>
      <c r="HL3533" s="73"/>
      <c r="HM3533" s="73"/>
      <c r="HN3533" s="73"/>
      <c r="HO3533" s="73"/>
      <c r="HP3533" s="73"/>
      <c r="HQ3533" s="73"/>
      <c r="HR3533" s="73"/>
      <c r="HS3533" s="73"/>
      <c r="HT3533" s="73"/>
      <c r="HU3533" s="73"/>
      <c r="HV3533" s="73"/>
      <c r="HW3533" s="73"/>
      <c r="HX3533" s="73"/>
      <c r="HY3533" s="73"/>
      <c r="HZ3533" s="73"/>
      <c r="IA3533" s="73"/>
      <c r="IB3533" s="73"/>
      <c r="IC3533" s="73"/>
      <c r="ID3533" s="73"/>
      <c r="IE3533" s="73"/>
      <c r="IF3533" s="73"/>
      <c r="IG3533" s="73"/>
      <c r="IH3533" s="73"/>
      <c r="II3533" s="73"/>
      <c r="IJ3533" s="73"/>
      <c r="IK3533" s="73"/>
      <c r="IL3533" s="73"/>
      <c r="IM3533" s="73"/>
      <c r="IN3533" s="73"/>
      <c r="IO3533" s="73"/>
      <c r="IP3533" s="73"/>
      <c r="IQ3533" s="73"/>
      <c r="IR3533" s="73"/>
      <c r="IS3533" s="73"/>
      <c r="IT3533" s="73"/>
      <c r="IU3533" s="73"/>
      <c r="IV3533" s="73"/>
      <c r="IW3533" s="73"/>
      <c r="IX3533" s="73"/>
      <c r="IY3533" s="73"/>
      <c r="IZ3533" s="73"/>
      <c r="JA3533" s="73"/>
      <c r="JB3533" s="73"/>
      <c r="JC3533" s="73"/>
    </row>
    <row r="3534" spans="2:263" s="72" customFormat="1">
      <c r="B3534" s="73"/>
      <c r="C3534" s="73"/>
      <c r="D3534" s="73"/>
      <c r="E3534" s="73"/>
      <c r="F3534" s="73"/>
      <c r="G3534" s="73"/>
      <c r="H3534" s="73"/>
      <c r="I3534" s="73"/>
      <c r="J3534" s="73"/>
      <c r="K3534" s="73"/>
      <c r="L3534" s="73"/>
      <c r="M3534" s="73"/>
      <c r="N3534" s="73"/>
      <c r="O3534" s="73"/>
      <c r="P3534" s="73"/>
      <c r="Q3534" s="73"/>
      <c r="R3534" s="73"/>
      <c r="S3534" s="73"/>
      <c r="T3534" s="73"/>
      <c r="U3534" s="73"/>
      <c r="V3534" s="73"/>
      <c r="W3534" s="73"/>
      <c r="GL3534" s="73"/>
      <c r="GM3534" s="73"/>
      <c r="GN3534" s="73"/>
      <c r="GO3534" s="73"/>
      <c r="GP3534" s="73"/>
      <c r="GQ3534" s="73"/>
      <c r="GR3534" s="73"/>
      <c r="GS3534" s="73"/>
      <c r="GT3534" s="73"/>
      <c r="GU3534" s="73"/>
      <c r="GV3534" s="73"/>
      <c r="GW3534" s="73"/>
      <c r="GX3534" s="73"/>
      <c r="GY3534" s="73"/>
      <c r="GZ3534" s="73"/>
      <c r="HA3534" s="73"/>
      <c r="HB3534" s="73"/>
      <c r="HC3534" s="73"/>
      <c r="HD3534" s="73"/>
      <c r="HE3534" s="73"/>
      <c r="HF3534" s="73"/>
      <c r="HG3534" s="73"/>
      <c r="HH3534" s="73"/>
      <c r="HI3534" s="73"/>
      <c r="HJ3534" s="73"/>
      <c r="HK3534" s="73"/>
      <c r="HL3534" s="73"/>
      <c r="HM3534" s="73"/>
      <c r="HN3534" s="73"/>
      <c r="HO3534" s="73"/>
      <c r="HP3534" s="73"/>
      <c r="HQ3534" s="73"/>
      <c r="HR3534" s="73"/>
      <c r="HS3534" s="73"/>
      <c r="HT3534" s="73"/>
      <c r="HU3534" s="73"/>
      <c r="HV3534" s="73"/>
      <c r="HW3534" s="73"/>
      <c r="HX3534" s="73"/>
      <c r="HY3534" s="73"/>
      <c r="HZ3534" s="73"/>
      <c r="IA3534" s="73"/>
      <c r="IB3534" s="73"/>
      <c r="IC3534" s="73"/>
      <c r="ID3534" s="73"/>
      <c r="IE3534" s="73"/>
      <c r="IF3534" s="73"/>
      <c r="IG3534" s="73"/>
      <c r="IH3534" s="73"/>
      <c r="II3534" s="73"/>
      <c r="IJ3534" s="73"/>
      <c r="IK3534" s="73"/>
      <c r="IL3534" s="73"/>
      <c r="IM3534" s="73"/>
      <c r="IN3534" s="73"/>
      <c r="IO3534" s="73"/>
      <c r="IP3534" s="73"/>
      <c r="IQ3534" s="73"/>
      <c r="IR3534" s="73"/>
      <c r="IS3534" s="73"/>
      <c r="IT3534" s="73"/>
      <c r="IU3534" s="73"/>
      <c r="IV3534" s="73"/>
      <c r="IW3534" s="73"/>
      <c r="IX3534" s="73"/>
      <c r="IY3534" s="73"/>
      <c r="IZ3534" s="73"/>
      <c r="JA3534" s="73"/>
      <c r="JB3534" s="73"/>
      <c r="JC3534" s="73"/>
    </row>
    <row r="3535" spans="2:263" s="72" customFormat="1">
      <c r="B3535" s="73"/>
      <c r="C3535" s="73"/>
      <c r="D3535" s="73"/>
      <c r="E3535" s="73"/>
      <c r="F3535" s="73"/>
      <c r="G3535" s="73"/>
      <c r="H3535" s="73"/>
      <c r="I3535" s="73"/>
      <c r="J3535" s="73"/>
      <c r="K3535" s="73"/>
      <c r="L3535" s="73"/>
      <c r="M3535" s="73"/>
      <c r="N3535" s="73"/>
      <c r="O3535" s="73"/>
      <c r="P3535" s="73"/>
      <c r="Q3535" s="73"/>
      <c r="R3535" s="73"/>
      <c r="S3535" s="73"/>
      <c r="T3535" s="73"/>
      <c r="U3535" s="73"/>
      <c r="V3535" s="73"/>
      <c r="W3535" s="73"/>
      <c r="GL3535" s="73"/>
      <c r="GM3535" s="73"/>
      <c r="GN3535" s="73"/>
      <c r="GO3535" s="73"/>
      <c r="GP3535" s="73"/>
      <c r="GQ3535" s="73"/>
      <c r="GR3535" s="73"/>
      <c r="GS3535" s="73"/>
      <c r="GT3535" s="73"/>
      <c r="GU3535" s="73"/>
      <c r="GV3535" s="73"/>
      <c r="GW3535" s="73"/>
      <c r="GX3535" s="73"/>
      <c r="GY3535" s="73"/>
      <c r="GZ3535" s="73"/>
      <c r="HA3535" s="73"/>
      <c r="HB3535" s="73"/>
      <c r="HC3535" s="73"/>
      <c r="HD3535" s="73"/>
      <c r="HE3535" s="73"/>
      <c r="HF3535" s="73"/>
      <c r="HG3535" s="73"/>
      <c r="HH3535" s="73"/>
      <c r="HI3535" s="73"/>
      <c r="HJ3535" s="73"/>
      <c r="HK3535" s="73"/>
      <c r="HL3535" s="73"/>
      <c r="HM3535" s="73"/>
      <c r="HN3535" s="73"/>
      <c r="HO3535" s="73"/>
      <c r="HP3535" s="73"/>
      <c r="HQ3535" s="73"/>
      <c r="HR3535" s="73"/>
      <c r="HS3535" s="73"/>
      <c r="HT3535" s="73"/>
      <c r="HU3535" s="73"/>
      <c r="HV3535" s="73"/>
      <c r="HW3535" s="73"/>
      <c r="HX3535" s="73"/>
      <c r="HY3535" s="73"/>
      <c r="HZ3535" s="73"/>
      <c r="IA3535" s="73"/>
      <c r="IB3535" s="73"/>
      <c r="IC3535" s="73"/>
      <c r="ID3535" s="73"/>
      <c r="IE3535" s="73"/>
      <c r="IF3535" s="73"/>
      <c r="IG3535" s="73"/>
      <c r="IH3535" s="73"/>
      <c r="II3535" s="73"/>
      <c r="IJ3535" s="73"/>
      <c r="IK3535" s="73"/>
      <c r="IL3535" s="73"/>
      <c r="IM3535" s="73"/>
      <c r="IN3535" s="73"/>
      <c r="IO3535" s="73"/>
      <c r="IP3535" s="73"/>
      <c r="IQ3535" s="73"/>
      <c r="IR3535" s="73"/>
      <c r="IS3535" s="73"/>
      <c r="IT3535" s="73"/>
      <c r="IU3535" s="73"/>
      <c r="IV3535" s="73"/>
      <c r="IW3535" s="73"/>
      <c r="IX3535" s="73"/>
      <c r="IY3535" s="73"/>
      <c r="IZ3535" s="73"/>
      <c r="JA3535" s="73"/>
      <c r="JB3535" s="73"/>
      <c r="JC3535" s="73"/>
    </row>
    <row r="3536" spans="2:263" s="72" customFormat="1">
      <c r="B3536" s="73"/>
      <c r="C3536" s="73"/>
      <c r="D3536" s="73"/>
      <c r="E3536" s="73"/>
      <c r="F3536" s="73"/>
      <c r="G3536" s="73"/>
      <c r="H3536" s="73"/>
      <c r="I3536" s="73"/>
      <c r="J3536" s="73"/>
      <c r="K3536" s="73"/>
      <c r="L3536" s="73"/>
      <c r="M3536" s="73"/>
      <c r="N3536" s="73"/>
      <c r="O3536" s="73"/>
      <c r="P3536" s="73"/>
      <c r="Q3536" s="73"/>
      <c r="R3536" s="73"/>
      <c r="S3536" s="73"/>
      <c r="T3536" s="73"/>
      <c r="U3536" s="73"/>
      <c r="V3536" s="73"/>
      <c r="W3536" s="73"/>
      <c r="GL3536" s="73"/>
      <c r="GM3536" s="73"/>
      <c r="GN3536" s="73"/>
      <c r="GO3536" s="73"/>
      <c r="GP3536" s="73"/>
      <c r="GQ3536" s="73"/>
      <c r="GR3536" s="73"/>
      <c r="GS3536" s="73"/>
      <c r="GT3536" s="73"/>
      <c r="GU3536" s="73"/>
      <c r="GV3536" s="73"/>
      <c r="GW3536" s="73"/>
      <c r="GX3536" s="73"/>
      <c r="GY3536" s="73"/>
      <c r="GZ3536" s="73"/>
      <c r="HA3536" s="73"/>
      <c r="HB3536" s="73"/>
      <c r="HC3536" s="73"/>
      <c r="HD3536" s="73"/>
      <c r="HE3536" s="73"/>
      <c r="HF3536" s="73"/>
      <c r="HG3536" s="73"/>
      <c r="HH3536" s="73"/>
      <c r="HI3536" s="73"/>
      <c r="HJ3536" s="73"/>
      <c r="HK3536" s="73"/>
      <c r="HL3536" s="73"/>
      <c r="HM3536" s="73"/>
      <c r="HN3536" s="73"/>
      <c r="HO3536" s="73"/>
      <c r="HP3536" s="73"/>
      <c r="HQ3536" s="73"/>
      <c r="HR3536" s="73"/>
      <c r="HS3536" s="73"/>
      <c r="HT3536" s="73"/>
      <c r="HU3536" s="73"/>
      <c r="HV3536" s="73"/>
      <c r="HW3536" s="73"/>
      <c r="HX3536" s="73"/>
      <c r="HY3536" s="73"/>
      <c r="HZ3536" s="73"/>
      <c r="IA3536" s="73"/>
      <c r="IB3536" s="73"/>
      <c r="IC3536" s="73"/>
      <c r="ID3536" s="73"/>
      <c r="IE3536" s="73"/>
      <c r="IF3536" s="73"/>
      <c r="IG3536" s="73"/>
      <c r="IH3536" s="73"/>
      <c r="II3536" s="73"/>
      <c r="IJ3536" s="73"/>
      <c r="IK3536" s="73"/>
      <c r="IL3536" s="73"/>
      <c r="IM3536" s="73"/>
      <c r="IN3536" s="73"/>
      <c r="IO3536" s="73"/>
      <c r="IP3536" s="73"/>
      <c r="IQ3536" s="73"/>
      <c r="IR3536" s="73"/>
      <c r="IS3536" s="73"/>
      <c r="IT3536" s="73"/>
      <c r="IU3536" s="73"/>
      <c r="IV3536" s="73"/>
      <c r="IW3536" s="73"/>
      <c r="IX3536" s="73"/>
      <c r="IY3536" s="73"/>
      <c r="IZ3536" s="73"/>
      <c r="JA3536" s="73"/>
      <c r="JB3536" s="73"/>
      <c r="JC3536" s="73"/>
    </row>
    <row r="3537" spans="2:263" s="72" customFormat="1">
      <c r="B3537" s="73"/>
      <c r="C3537" s="73"/>
      <c r="D3537" s="73"/>
      <c r="E3537" s="73"/>
      <c r="F3537" s="73"/>
      <c r="G3537" s="73"/>
      <c r="H3537" s="73"/>
      <c r="I3537" s="73"/>
      <c r="J3537" s="73"/>
      <c r="K3537" s="73"/>
      <c r="L3537" s="73"/>
      <c r="M3537" s="73"/>
      <c r="N3537" s="73"/>
      <c r="O3537" s="73"/>
      <c r="P3537" s="73"/>
      <c r="Q3537" s="73"/>
      <c r="R3537" s="73"/>
      <c r="S3537" s="73"/>
      <c r="T3537" s="73"/>
      <c r="U3537" s="73"/>
      <c r="V3537" s="73"/>
      <c r="W3537" s="73"/>
      <c r="GL3537" s="73"/>
      <c r="GM3537" s="73"/>
      <c r="GN3537" s="73"/>
      <c r="GO3537" s="73"/>
      <c r="GP3537" s="73"/>
      <c r="GQ3537" s="73"/>
      <c r="GR3537" s="73"/>
      <c r="GS3537" s="73"/>
      <c r="GT3537" s="73"/>
      <c r="GU3537" s="73"/>
      <c r="GV3537" s="73"/>
      <c r="GW3537" s="73"/>
      <c r="GX3537" s="73"/>
      <c r="GY3537" s="73"/>
      <c r="GZ3537" s="73"/>
      <c r="HA3537" s="73"/>
      <c r="HB3537" s="73"/>
      <c r="HC3537" s="73"/>
      <c r="HD3537" s="73"/>
      <c r="HE3537" s="73"/>
      <c r="HF3537" s="73"/>
      <c r="HG3537" s="73"/>
      <c r="HH3537" s="73"/>
      <c r="HI3537" s="73"/>
      <c r="HJ3537" s="73"/>
      <c r="HK3537" s="73"/>
      <c r="HL3537" s="73"/>
      <c r="HM3537" s="73"/>
      <c r="HN3537" s="73"/>
      <c r="HO3537" s="73"/>
      <c r="HP3537" s="73"/>
      <c r="HQ3537" s="73"/>
      <c r="HR3537" s="73"/>
      <c r="HS3537" s="73"/>
      <c r="HT3537" s="73"/>
      <c r="HU3537" s="73"/>
      <c r="HV3537" s="73"/>
      <c r="HW3537" s="73"/>
      <c r="HX3537" s="73"/>
      <c r="HY3537" s="73"/>
      <c r="HZ3537" s="73"/>
      <c r="IA3537" s="73"/>
      <c r="IB3537" s="73"/>
      <c r="IC3537" s="73"/>
      <c r="ID3537" s="73"/>
      <c r="IE3537" s="73"/>
      <c r="IF3537" s="73"/>
      <c r="IG3537" s="73"/>
      <c r="IH3537" s="73"/>
      <c r="II3537" s="73"/>
      <c r="IJ3537" s="73"/>
      <c r="IK3537" s="73"/>
      <c r="IL3537" s="73"/>
      <c r="IM3537" s="73"/>
      <c r="IN3537" s="73"/>
      <c r="IO3537" s="73"/>
      <c r="IP3537" s="73"/>
      <c r="IQ3537" s="73"/>
      <c r="IR3537" s="73"/>
      <c r="IS3537" s="73"/>
      <c r="IT3537" s="73"/>
      <c r="IU3537" s="73"/>
      <c r="IV3537" s="73"/>
      <c r="IW3537" s="73"/>
      <c r="IX3537" s="73"/>
      <c r="IY3537" s="73"/>
      <c r="IZ3537" s="73"/>
      <c r="JA3537" s="73"/>
      <c r="JB3537" s="73"/>
      <c r="JC3537" s="73"/>
    </row>
    <row r="3538" spans="2:263" s="72" customFormat="1">
      <c r="B3538" s="73"/>
      <c r="C3538" s="73"/>
      <c r="D3538" s="73"/>
      <c r="E3538" s="73"/>
      <c r="F3538" s="73"/>
      <c r="G3538" s="73"/>
      <c r="H3538" s="73"/>
      <c r="I3538" s="73"/>
      <c r="J3538" s="73"/>
      <c r="K3538" s="73"/>
      <c r="L3538" s="73"/>
      <c r="M3538" s="73"/>
      <c r="N3538" s="73"/>
      <c r="O3538" s="73"/>
      <c r="P3538" s="73"/>
      <c r="Q3538" s="73"/>
      <c r="R3538" s="73"/>
      <c r="S3538" s="73"/>
      <c r="T3538" s="73"/>
      <c r="U3538" s="73"/>
      <c r="V3538" s="73"/>
      <c r="W3538" s="73"/>
      <c r="GL3538" s="73"/>
      <c r="GM3538" s="73"/>
      <c r="GN3538" s="73"/>
      <c r="GO3538" s="73"/>
      <c r="GP3538" s="73"/>
      <c r="GQ3538" s="73"/>
      <c r="GR3538" s="73"/>
      <c r="GS3538" s="73"/>
      <c r="GT3538" s="73"/>
      <c r="GU3538" s="73"/>
      <c r="GV3538" s="73"/>
      <c r="GW3538" s="73"/>
      <c r="GX3538" s="73"/>
      <c r="GY3538" s="73"/>
      <c r="GZ3538" s="73"/>
      <c r="HA3538" s="73"/>
      <c r="HB3538" s="73"/>
      <c r="HC3538" s="73"/>
      <c r="HD3538" s="73"/>
      <c r="HE3538" s="73"/>
      <c r="HF3538" s="73"/>
      <c r="HG3538" s="73"/>
      <c r="HH3538" s="73"/>
      <c r="HI3538" s="73"/>
      <c r="HJ3538" s="73"/>
      <c r="HK3538" s="73"/>
      <c r="HL3538" s="73"/>
      <c r="HM3538" s="73"/>
      <c r="HN3538" s="73"/>
      <c r="HO3538" s="73"/>
      <c r="HP3538" s="73"/>
      <c r="HQ3538" s="73"/>
      <c r="HR3538" s="73"/>
      <c r="HS3538" s="73"/>
      <c r="HT3538" s="73"/>
      <c r="HU3538" s="73"/>
      <c r="HV3538" s="73"/>
      <c r="HW3538" s="73"/>
      <c r="HX3538" s="73"/>
      <c r="HY3538" s="73"/>
      <c r="HZ3538" s="73"/>
      <c r="IA3538" s="73"/>
      <c r="IB3538" s="73"/>
      <c r="IC3538" s="73"/>
      <c r="ID3538" s="73"/>
      <c r="IE3538" s="73"/>
      <c r="IF3538" s="73"/>
      <c r="IG3538" s="73"/>
      <c r="IH3538" s="73"/>
      <c r="II3538" s="73"/>
      <c r="IJ3538" s="73"/>
      <c r="IK3538" s="73"/>
      <c r="IL3538" s="73"/>
      <c r="IM3538" s="73"/>
      <c r="IN3538" s="73"/>
      <c r="IO3538" s="73"/>
      <c r="IP3538" s="73"/>
      <c r="IQ3538" s="73"/>
      <c r="IR3538" s="73"/>
      <c r="IS3538" s="73"/>
      <c r="IT3538" s="73"/>
      <c r="IU3538" s="73"/>
      <c r="IV3538" s="73"/>
      <c r="IW3538" s="73"/>
      <c r="IX3538" s="73"/>
      <c r="IY3538" s="73"/>
      <c r="IZ3538" s="73"/>
      <c r="JA3538" s="73"/>
      <c r="JB3538" s="73"/>
      <c r="JC3538" s="73"/>
    </row>
    <row r="3539" spans="2:263" s="72" customFormat="1">
      <c r="B3539" s="73"/>
      <c r="C3539" s="73"/>
      <c r="D3539" s="73"/>
      <c r="E3539" s="73"/>
      <c r="F3539" s="73"/>
      <c r="G3539" s="73"/>
      <c r="H3539" s="73"/>
      <c r="I3539" s="73"/>
      <c r="J3539" s="73"/>
      <c r="K3539" s="73"/>
      <c r="L3539" s="73"/>
      <c r="M3539" s="73"/>
      <c r="N3539" s="73"/>
      <c r="O3539" s="73"/>
      <c r="P3539" s="73"/>
      <c r="Q3539" s="73"/>
      <c r="R3539" s="73"/>
      <c r="S3539" s="73"/>
      <c r="T3539" s="73"/>
      <c r="U3539" s="73"/>
      <c r="V3539" s="73"/>
      <c r="W3539" s="73"/>
      <c r="GL3539" s="73"/>
      <c r="GM3539" s="73"/>
      <c r="GN3539" s="73"/>
      <c r="GO3539" s="73"/>
      <c r="GP3539" s="73"/>
      <c r="GQ3539" s="73"/>
      <c r="GR3539" s="73"/>
      <c r="GS3539" s="73"/>
      <c r="GT3539" s="73"/>
      <c r="GU3539" s="73"/>
      <c r="GV3539" s="73"/>
      <c r="GW3539" s="73"/>
      <c r="GX3539" s="73"/>
      <c r="GY3539" s="73"/>
      <c r="GZ3539" s="73"/>
      <c r="HA3539" s="73"/>
      <c r="HB3539" s="73"/>
      <c r="HC3539" s="73"/>
      <c r="HD3539" s="73"/>
      <c r="HE3539" s="73"/>
      <c r="HF3539" s="73"/>
      <c r="HG3539" s="73"/>
      <c r="HH3539" s="73"/>
      <c r="HI3539" s="73"/>
      <c r="HJ3539" s="73"/>
      <c r="HK3539" s="73"/>
      <c r="HL3539" s="73"/>
      <c r="HM3539" s="73"/>
      <c r="HN3539" s="73"/>
      <c r="HO3539" s="73"/>
      <c r="HP3539" s="73"/>
      <c r="HQ3539" s="73"/>
      <c r="HR3539" s="73"/>
      <c r="HS3539" s="73"/>
      <c r="HT3539" s="73"/>
      <c r="HU3539" s="73"/>
      <c r="HV3539" s="73"/>
      <c r="HW3539" s="73"/>
      <c r="HX3539" s="73"/>
      <c r="HY3539" s="73"/>
      <c r="HZ3539" s="73"/>
      <c r="IA3539" s="73"/>
      <c r="IB3539" s="73"/>
      <c r="IC3539" s="73"/>
      <c r="ID3539" s="73"/>
      <c r="IE3539" s="73"/>
      <c r="IF3539" s="73"/>
      <c r="IG3539" s="73"/>
      <c r="IH3539" s="73"/>
      <c r="II3539" s="73"/>
      <c r="IJ3539" s="73"/>
      <c r="IK3539" s="73"/>
      <c r="IL3539" s="73"/>
      <c r="IM3539" s="73"/>
      <c r="IN3539" s="73"/>
      <c r="IO3539" s="73"/>
      <c r="IP3539" s="73"/>
      <c r="IQ3539" s="73"/>
      <c r="IR3539" s="73"/>
      <c r="IS3539" s="73"/>
      <c r="IT3539" s="73"/>
      <c r="IU3539" s="73"/>
      <c r="IV3539" s="73"/>
      <c r="IW3539" s="73"/>
      <c r="IX3539" s="73"/>
      <c r="IY3539" s="73"/>
      <c r="IZ3539" s="73"/>
      <c r="JA3539" s="73"/>
      <c r="JB3539" s="73"/>
      <c r="JC3539" s="73"/>
    </row>
    <row r="3540" spans="2:263" s="72" customFormat="1">
      <c r="B3540" s="73"/>
      <c r="C3540" s="73"/>
      <c r="D3540" s="73"/>
      <c r="E3540" s="73"/>
      <c r="F3540" s="73"/>
      <c r="G3540" s="73"/>
      <c r="H3540" s="73"/>
      <c r="I3540" s="73"/>
      <c r="J3540" s="73"/>
      <c r="K3540" s="73"/>
      <c r="L3540" s="73"/>
      <c r="M3540" s="73"/>
      <c r="N3540" s="73"/>
      <c r="O3540" s="73"/>
      <c r="P3540" s="73"/>
      <c r="Q3540" s="73"/>
      <c r="R3540" s="73"/>
      <c r="S3540" s="73"/>
      <c r="T3540" s="73"/>
      <c r="U3540" s="73"/>
      <c r="V3540" s="73"/>
      <c r="W3540" s="73"/>
      <c r="GL3540" s="73"/>
      <c r="GM3540" s="73"/>
      <c r="GN3540" s="73"/>
      <c r="GO3540" s="73"/>
      <c r="GP3540" s="73"/>
      <c r="GQ3540" s="73"/>
      <c r="GR3540" s="73"/>
      <c r="GS3540" s="73"/>
      <c r="GT3540" s="73"/>
      <c r="GU3540" s="73"/>
      <c r="GV3540" s="73"/>
      <c r="GW3540" s="73"/>
      <c r="GX3540" s="73"/>
      <c r="GY3540" s="73"/>
      <c r="GZ3540" s="73"/>
      <c r="HA3540" s="73"/>
      <c r="HB3540" s="73"/>
      <c r="HC3540" s="73"/>
      <c r="HD3540" s="73"/>
      <c r="HE3540" s="73"/>
      <c r="HF3540" s="73"/>
      <c r="HG3540" s="73"/>
      <c r="HH3540" s="73"/>
      <c r="HI3540" s="73"/>
      <c r="HJ3540" s="73"/>
      <c r="HK3540" s="73"/>
      <c r="HL3540" s="73"/>
      <c r="HM3540" s="73"/>
      <c r="HN3540" s="73"/>
      <c r="HO3540" s="73"/>
      <c r="HP3540" s="73"/>
      <c r="HQ3540" s="73"/>
      <c r="HR3540" s="73"/>
      <c r="HS3540" s="73"/>
      <c r="HT3540" s="73"/>
      <c r="HU3540" s="73"/>
      <c r="HV3540" s="73"/>
      <c r="HW3540" s="73"/>
      <c r="HX3540" s="73"/>
      <c r="HY3540" s="73"/>
      <c r="HZ3540" s="73"/>
      <c r="IA3540" s="73"/>
      <c r="IB3540" s="73"/>
      <c r="IC3540" s="73"/>
      <c r="ID3540" s="73"/>
      <c r="IE3540" s="73"/>
      <c r="IF3540" s="73"/>
      <c r="IG3540" s="73"/>
      <c r="IH3540" s="73"/>
      <c r="II3540" s="73"/>
      <c r="IJ3540" s="73"/>
      <c r="IK3540" s="73"/>
      <c r="IL3540" s="73"/>
      <c r="IM3540" s="73"/>
      <c r="IN3540" s="73"/>
      <c r="IO3540" s="73"/>
      <c r="IP3540" s="73"/>
      <c r="IQ3540" s="73"/>
      <c r="IR3540" s="73"/>
      <c r="IS3540" s="73"/>
      <c r="IT3540" s="73"/>
      <c r="IU3540" s="73"/>
      <c r="IV3540" s="73"/>
      <c r="IW3540" s="73"/>
      <c r="IX3540" s="73"/>
      <c r="IY3540" s="73"/>
      <c r="IZ3540" s="73"/>
      <c r="JA3540" s="73"/>
      <c r="JB3540" s="73"/>
      <c r="JC3540" s="73"/>
    </row>
    <row r="3541" spans="2:263" s="72" customFormat="1">
      <c r="B3541" s="73"/>
      <c r="C3541" s="73"/>
      <c r="D3541" s="73"/>
      <c r="E3541" s="73"/>
      <c r="F3541" s="73"/>
      <c r="G3541" s="73"/>
      <c r="H3541" s="73"/>
      <c r="I3541" s="73"/>
      <c r="J3541" s="73"/>
      <c r="K3541" s="73"/>
      <c r="L3541" s="73"/>
      <c r="M3541" s="73"/>
      <c r="N3541" s="73"/>
      <c r="O3541" s="73"/>
      <c r="P3541" s="73"/>
      <c r="Q3541" s="73"/>
      <c r="R3541" s="73"/>
      <c r="S3541" s="73"/>
      <c r="T3541" s="73"/>
      <c r="U3541" s="73"/>
      <c r="V3541" s="73"/>
      <c r="W3541" s="73"/>
      <c r="GL3541" s="73"/>
      <c r="GM3541" s="73"/>
      <c r="GN3541" s="73"/>
      <c r="GO3541" s="73"/>
      <c r="GP3541" s="73"/>
      <c r="GQ3541" s="73"/>
      <c r="GR3541" s="73"/>
      <c r="GS3541" s="73"/>
      <c r="GT3541" s="73"/>
      <c r="GU3541" s="73"/>
      <c r="GV3541" s="73"/>
      <c r="GW3541" s="73"/>
      <c r="GX3541" s="73"/>
      <c r="GY3541" s="73"/>
      <c r="GZ3541" s="73"/>
      <c r="HA3541" s="73"/>
      <c r="HB3541" s="73"/>
      <c r="HC3541" s="73"/>
      <c r="HD3541" s="73"/>
      <c r="HE3541" s="73"/>
      <c r="HF3541" s="73"/>
      <c r="HG3541" s="73"/>
      <c r="HH3541" s="73"/>
      <c r="HI3541" s="73"/>
      <c r="HJ3541" s="73"/>
      <c r="HK3541" s="73"/>
      <c r="HL3541" s="73"/>
      <c r="HM3541" s="73"/>
      <c r="HN3541" s="73"/>
      <c r="HO3541" s="73"/>
      <c r="HP3541" s="73"/>
      <c r="HQ3541" s="73"/>
      <c r="HR3541" s="73"/>
      <c r="HS3541" s="73"/>
      <c r="HT3541" s="73"/>
      <c r="HU3541" s="73"/>
      <c r="HV3541" s="73"/>
      <c r="HW3541" s="73"/>
      <c r="HX3541" s="73"/>
      <c r="HY3541" s="73"/>
      <c r="HZ3541" s="73"/>
      <c r="IA3541" s="73"/>
      <c r="IB3541" s="73"/>
      <c r="IC3541" s="73"/>
      <c r="ID3541" s="73"/>
      <c r="IE3541" s="73"/>
      <c r="IF3541" s="73"/>
      <c r="IG3541" s="73"/>
      <c r="IH3541" s="73"/>
      <c r="II3541" s="73"/>
      <c r="IJ3541" s="73"/>
      <c r="IK3541" s="73"/>
      <c r="IL3541" s="73"/>
      <c r="IM3541" s="73"/>
      <c r="IN3541" s="73"/>
      <c r="IO3541" s="73"/>
      <c r="IP3541" s="73"/>
      <c r="IQ3541" s="73"/>
      <c r="IR3541" s="73"/>
      <c r="IS3541" s="73"/>
      <c r="IT3541" s="73"/>
      <c r="IU3541" s="73"/>
      <c r="IV3541" s="73"/>
      <c r="IW3541" s="73"/>
      <c r="IX3541" s="73"/>
      <c r="IY3541" s="73"/>
      <c r="IZ3541" s="73"/>
      <c r="JA3541" s="73"/>
      <c r="JB3541" s="73"/>
      <c r="JC3541" s="73"/>
    </row>
    <row r="3542" spans="2:263" s="72" customFormat="1">
      <c r="B3542" s="73"/>
      <c r="C3542" s="73"/>
      <c r="D3542" s="73"/>
      <c r="E3542" s="73"/>
      <c r="F3542" s="73"/>
      <c r="G3542" s="73"/>
      <c r="H3542" s="73"/>
      <c r="I3542" s="73"/>
      <c r="J3542" s="73"/>
      <c r="K3542" s="73"/>
      <c r="L3542" s="73"/>
      <c r="M3542" s="73"/>
      <c r="N3542" s="73"/>
      <c r="O3542" s="73"/>
      <c r="P3542" s="73"/>
      <c r="Q3542" s="73"/>
      <c r="R3542" s="73"/>
      <c r="S3542" s="73"/>
      <c r="T3542" s="73"/>
      <c r="U3542" s="73"/>
      <c r="V3542" s="73"/>
      <c r="W3542" s="73"/>
      <c r="GL3542" s="73"/>
      <c r="GM3542" s="73"/>
      <c r="GN3542" s="73"/>
      <c r="GO3542" s="73"/>
      <c r="GP3542" s="73"/>
      <c r="GQ3542" s="73"/>
      <c r="GR3542" s="73"/>
      <c r="GS3542" s="73"/>
      <c r="GT3542" s="73"/>
      <c r="GU3542" s="73"/>
      <c r="GV3542" s="73"/>
      <c r="GW3542" s="73"/>
      <c r="GX3542" s="73"/>
      <c r="GY3542" s="73"/>
      <c r="GZ3542" s="73"/>
      <c r="HA3542" s="73"/>
      <c r="HB3542" s="73"/>
      <c r="HC3542" s="73"/>
      <c r="HD3542" s="73"/>
      <c r="HE3542" s="73"/>
      <c r="HF3542" s="73"/>
      <c r="HG3542" s="73"/>
      <c r="HH3542" s="73"/>
      <c r="HI3542" s="73"/>
      <c r="HJ3542" s="73"/>
      <c r="HK3542" s="73"/>
      <c r="HL3542" s="73"/>
      <c r="HM3542" s="73"/>
      <c r="HN3542" s="73"/>
      <c r="HO3542" s="73"/>
      <c r="HP3542" s="73"/>
      <c r="HQ3542" s="73"/>
      <c r="HR3542" s="73"/>
      <c r="HS3542" s="73"/>
      <c r="HT3542" s="73"/>
      <c r="HU3542" s="73"/>
      <c r="HV3542" s="73"/>
      <c r="HW3542" s="73"/>
      <c r="HX3542" s="73"/>
      <c r="HY3542" s="73"/>
      <c r="HZ3542" s="73"/>
      <c r="IA3542" s="73"/>
      <c r="IB3542" s="73"/>
      <c r="IC3542" s="73"/>
      <c r="ID3542" s="73"/>
      <c r="IE3542" s="73"/>
      <c r="IF3542" s="73"/>
      <c r="IG3542" s="73"/>
      <c r="IH3542" s="73"/>
      <c r="II3542" s="73"/>
      <c r="IJ3542" s="73"/>
      <c r="IK3542" s="73"/>
      <c r="IL3542" s="73"/>
      <c r="IM3542" s="73"/>
      <c r="IN3542" s="73"/>
      <c r="IO3542" s="73"/>
      <c r="IP3542" s="73"/>
      <c r="IQ3542" s="73"/>
      <c r="IR3542" s="73"/>
      <c r="IS3542" s="73"/>
      <c r="IT3542" s="73"/>
      <c r="IU3542" s="73"/>
      <c r="IV3542" s="73"/>
      <c r="IW3542" s="73"/>
      <c r="IX3542" s="73"/>
      <c r="IY3542" s="73"/>
      <c r="IZ3542" s="73"/>
      <c r="JA3542" s="73"/>
      <c r="JB3542" s="73"/>
      <c r="JC3542" s="73"/>
    </row>
    <row r="3543" spans="2:263" s="72" customFormat="1">
      <c r="B3543" s="73"/>
      <c r="C3543" s="73"/>
      <c r="D3543" s="73"/>
      <c r="E3543" s="73"/>
      <c r="F3543" s="73"/>
      <c r="G3543" s="73"/>
      <c r="H3543" s="73"/>
      <c r="I3543" s="73"/>
      <c r="J3543" s="73"/>
      <c r="K3543" s="73"/>
      <c r="L3543" s="73"/>
      <c r="M3543" s="73"/>
      <c r="N3543" s="73"/>
      <c r="O3543" s="73"/>
      <c r="P3543" s="73"/>
      <c r="Q3543" s="73"/>
      <c r="R3543" s="73"/>
      <c r="S3543" s="73"/>
      <c r="T3543" s="73"/>
      <c r="U3543" s="73"/>
      <c r="V3543" s="73"/>
      <c r="W3543" s="73"/>
      <c r="GL3543" s="73"/>
      <c r="GM3543" s="73"/>
      <c r="GN3543" s="73"/>
      <c r="GO3543" s="73"/>
      <c r="GP3543" s="73"/>
      <c r="GQ3543" s="73"/>
      <c r="GR3543" s="73"/>
      <c r="GS3543" s="73"/>
      <c r="GT3543" s="73"/>
      <c r="GU3543" s="73"/>
      <c r="GV3543" s="73"/>
      <c r="GW3543" s="73"/>
      <c r="GX3543" s="73"/>
      <c r="GY3543" s="73"/>
      <c r="GZ3543" s="73"/>
      <c r="HA3543" s="73"/>
      <c r="HB3543" s="73"/>
      <c r="HC3543" s="73"/>
      <c r="HD3543" s="73"/>
      <c r="HE3543" s="73"/>
      <c r="HF3543" s="73"/>
      <c r="HG3543" s="73"/>
      <c r="HH3543" s="73"/>
      <c r="HI3543" s="73"/>
      <c r="HJ3543" s="73"/>
      <c r="HK3543" s="73"/>
      <c r="HL3543" s="73"/>
      <c r="HM3543" s="73"/>
      <c r="HN3543" s="73"/>
      <c r="HO3543" s="73"/>
      <c r="HP3543" s="73"/>
      <c r="HQ3543" s="73"/>
      <c r="HR3543" s="73"/>
      <c r="HS3543" s="73"/>
      <c r="HT3543" s="73"/>
      <c r="HU3543" s="73"/>
      <c r="HV3543" s="73"/>
      <c r="HW3543" s="73"/>
      <c r="HX3543" s="73"/>
      <c r="HY3543" s="73"/>
      <c r="HZ3543" s="73"/>
      <c r="IA3543" s="73"/>
      <c r="IB3543" s="73"/>
      <c r="IC3543" s="73"/>
      <c r="ID3543" s="73"/>
      <c r="IE3543" s="73"/>
      <c r="IF3543" s="73"/>
      <c r="IG3543" s="73"/>
      <c r="IH3543" s="73"/>
      <c r="II3543" s="73"/>
      <c r="IJ3543" s="73"/>
      <c r="IK3543" s="73"/>
      <c r="IL3543" s="73"/>
      <c r="IM3543" s="73"/>
      <c r="IN3543" s="73"/>
      <c r="IO3543" s="73"/>
      <c r="IP3543" s="73"/>
      <c r="IQ3543" s="73"/>
      <c r="IR3543" s="73"/>
      <c r="IS3543" s="73"/>
      <c r="IT3543" s="73"/>
      <c r="IU3543" s="73"/>
      <c r="IV3543" s="73"/>
      <c r="IW3543" s="73"/>
      <c r="IX3543" s="73"/>
      <c r="IY3543" s="73"/>
      <c r="IZ3543" s="73"/>
      <c r="JA3543" s="73"/>
      <c r="JB3543" s="73"/>
      <c r="JC3543" s="73"/>
    </row>
    <row r="3544" spans="2:263" s="72" customFormat="1">
      <c r="B3544" s="73"/>
      <c r="C3544" s="73"/>
      <c r="D3544" s="73"/>
      <c r="E3544" s="73"/>
      <c r="F3544" s="73"/>
      <c r="G3544" s="73"/>
      <c r="H3544" s="73"/>
      <c r="I3544" s="73"/>
      <c r="J3544" s="73"/>
      <c r="K3544" s="73"/>
      <c r="L3544" s="73"/>
      <c r="M3544" s="73"/>
      <c r="N3544" s="73"/>
      <c r="O3544" s="73"/>
      <c r="P3544" s="73"/>
      <c r="Q3544" s="73"/>
      <c r="R3544" s="73"/>
      <c r="S3544" s="73"/>
      <c r="T3544" s="73"/>
      <c r="U3544" s="73"/>
      <c r="V3544" s="73"/>
      <c r="W3544" s="73"/>
      <c r="GL3544" s="73"/>
      <c r="GM3544" s="73"/>
      <c r="GN3544" s="73"/>
      <c r="GO3544" s="73"/>
      <c r="GP3544" s="73"/>
      <c r="GQ3544" s="73"/>
      <c r="GR3544" s="73"/>
      <c r="GS3544" s="73"/>
      <c r="GT3544" s="73"/>
      <c r="GU3544" s="73"/>
      <c r="GV3544" s="73"/>
      <c r="GW3544" s="73"/>
      <c r="GX3544" s="73"/>
      <c r="GY3544" s="73"/>
      <c r="GZ3544" s="73"/>
      <c r="HA3544" s="73"/>
      <c r="HB3544" s="73"/>
      <c r="HC3544" s="73"/>
      <c r="HD3544" s="73"/>
      <c r="HE3544" s="73"/>
      <c r="HF3544" s="73"/>
      <c r="HG3544" s="73"/>
      <c r="HH3544" s="73"/>
      <c r="HI3544" s="73"/>
      <c r="HJ3544" s="73"/>
      <c r="HK3544" s="73"/>
      <c r="HL3544" s="73"/>
      <c r="HM3544" s="73"/>
      <c r="HN3544" s="73"/>
      <c r="HO3544" s="73"/>
      <c r="HP3544" s="73"/>
      <c r="HQ3544" s="73"/>
      <c r="HR3544" s="73"/>
      <c r="HS3544" s="73"/>
      <c r="HT3544" s="73"/>
      <c r="HU3544" s="73"/>
      <c r="HV3544" s="73"/>
      <c r="HW3544" s="73"/>
      <c r="HX3544" s="73"/>
      <c r="HY3544" s="73"/>
      <c r="HZ3544" s="73"/>
      <c r="IA3544" s="73"/>
      <c r="IB3544" s="73"/>
      <c r="IC3544" s="73"/>
      <c r="ID3544" s="73"/>
      <c r="IE3544" s="73"/>
      <c r="IF3544" s="73"/>
      <c r="IG3544" s="73"/>
      <c r="IH3544" s="73"/>
      <c r="II3544" s="73"/>
      <c r="IJ3544" s="73"/>
      <c r="IK3544" s="73"/>
      <c r="IL3544" s="73"/>
      <c r="IM3544" s="73"/>
      <c r="IN3544" s="73"/>
      <c r="IO3544" s="73"/>
      <c r="IP3544" s="73"/>
      <c r="IQ3544" s="73"/>
      <c r="IR3544" s="73"/>
      <c r="IS3544" s="73"/>
      <c r="IT3544" s="73"/>
      <c r="IU3544" s="73"/>
      <c r="IV3544" s="73"/>
      <c r="IW3544" s="73"/>
      <c r="IX3544" s="73"/>
      <c r="IY3544" s="73"/>
      <c r="IZ3544" s="73"/>
      <c r="JA3544" s="73"/>
      <c r="JB3544" s="73"/>
      <c r="JC3544" s="73"/>
    </row>
    <row r="3545" spans="2:263" s="72" customFormat="1">
      <c r="B3545" s="73"/>
      <c r="C3545" s="73"/>
      <c r="D3545" s="73"/>
      <c r="E3545" s="73"/>
      <c r="F3545" s="73"/>
      <c r="G3545" s="73"/>
      <c r="H3545" s="73"/>
      <c r="I3545" s="73"/>
      <c r="J3545" s="73"/>
      <c r="K3545" s="73"/>
      <c r="L3545" s="73"/>
      <c r="M3545" s="73"/>
      <c r="N3545" s="73"/>
      <c r="O3545" s="73"/>
      <c r="P3545" s="73"/>
      <c r="Q3545" s="73"/>
      <c r="R3545" s="73"/>
      <c r="S3545" s="73"/>
      <c r="T3545" s="73"/>
      <c r="U3545" s="73"/>
      <c r="V3545" s="73"/>
      <c r="W3545" s="73"/>
      <c r="GL3545" s="73"/>
      <c r="GM3545" s="73"/>
      <c r="GN3545" s="73"/>
      <c r="GO3545" s="73"/>
      <c r="GP3545" s="73"/>
      <c r="GQ3545" s="73"/>
      <c r="GR3545" s="73"/>
      <c r="GS3545" s="73"/>
      <c r="GT3545" s="73"/>
      <c r="GU3545" s="73"/>
      <c r="GV3545" s="73"/>
      <c r="GW3545" s="73"/>
      <c r="GX3545" s="73"/>
      <c r="GY3545" s="73"/>
      <c r="GZ3545" s="73"/>
      <c r="HA3545" s="73"/>
      <c r="HB3545" s="73"/>
      <c r="HC3545" s="73"/>
      <c r="HD3545" s="73"/>
      <c r="HE3545" s="73"/>
      <c r="HF3545" s="73"/>
      <c r="HG3545" s="73"/>
      <c r="HH3545" s="73"/>
      <c r="HI3545" s="73"/>
      <c r="HJ3545" s="73"/>
      <c r="HK3545" s="73"/>
      <c r="HL3545" s="73"/>
      <c r="HM3545" s="73"/>
      <c r="HN3545" s="73"/>
      <c r="HO3545" s="73"/>
      <c r="HP3545" s="73"/>
      <c r="HQ3545" s="73"/>
      <c r="HR3545" s="73"/>
      <c r="HS3545" s="73"/>
      <c r="HT3545" s="73"/>
      <c r="HU3545" s="73"/>
      <c r="HV3545" s="73"/>
      <c r="HW3545" s="73"/>
      <c r="HX3545" s="73"/>
      <c r="HY3545" s="73"/>
      <c r="HZ3545" s="73"/>
      <c r="IA3545" s="73"/>
      <c r="IB3545" s="73"/>
      <c r="IC3545" s="73"/>
      <c r="ID3545" s="73"/>
      <c r="IE3545" s="73"/>
      <c r="IF3545" s="73"/>
      <c r="IG3545" s="73"/>
      <c r="IH3545" s="73"/>
      <c r="II3545" s="73"/>
      <c r="IJ3545" s="73"/>
      <c r="IK3545" s="73"/>
      <c r="IL3545" s="73"/>
      <c r="IM3545" s="73"/>
      <c r="IN3545" s="73"/>
      <c r="IO3545" s="73"/>
      <c r="IP3545" s="73"/>
      <c r="IQ3545" s="73"/>
      <c r="IR3545" s="73"/>
      <c r="IS3545" s="73"/>
      <c r="IT3545" s="73"/>
      <c r="IU3545" s="73"/>
      <c r="IV3545" s="73"/>
      <c r="IW3545" s="73"/>
      <c r="IX3545" s="73"/>
      <c r="IY3545" s="73"/>
      <c r="IZ3545" s="73"/>
      <c r="JA3545" s="73"/>
      <c r="JB3545" s="73"/>
      <c r="JC3545" s="73"/>
    </row>
    <row r="3546" spans="2:263" s="72" customFormat="1">
      <c r="B3546" s="73"/>
      <c r="C3546" s="73"/>
      <c r="D3546" s="73"/>
      <c r="E3546" s="73"/>
      <c r="F3546" s="73"/>
      <c r="G3546" s="73"/>
      <c r="H3546" s="73"/>
      <c r="I3546" s="73"/>
      <c r="J3546" s="73"/>
      <c r="K3546" s="73"/>
      <c r="L3546" s="73"/>
      <c r="M3546" s="73"/>
      <c r="N3546" s="73"/>
      <c r="O3546" s="73"/>
      <c r="P3546" s="73"/>
      <c r="Q3546" s="73"/>
      <c r="R3546" s="73"/>
      <c r="S3546" s="73"/>
      <c r="T3546" s="73"/>
      <c r="U3546" s="73"/>
      <c r="V3546" s="73"/>
      <c r="W3546" s="73"/>
      <c r="GL3546" s="73"/>
      <c r="GM3546" s="73"/>
      <c r="GN3546" s="73"/>
      <c r="GO3546" s="73"/>
      <c r="GP3546" s="73"/>
      <c r="GQ3546" s="73"/>
      <c r="GR3546" s="73"/>
      <c r="GS3546" s="73"/>
      <c r="GT3546" s="73"/>
      <c r="GU3546" s="73"/>
      <c r="GV3546" s="73"/>
      <c r="GW3546" s="73"/>
      <c r="GX3546" s="73"/>
      <c r="GY3546" s="73"/>
      <c r="GZ3546" s="73"/>
      <c r="HA3546" s="73"/>
      <c r="HB3546" s="73"/>
      <c r="HC3546" s="73"/>
      <c r="HD3546" s="73"/>
      <c r="HE3546" s="73"/>
      <c r="HF3546" s="73"/>
      <c r="HG3546" s="73"/>
      <c r="HH3546" s="73"/>
      <c r="HI3546" s="73"/>
      <c r="HJ3546" s="73"/>
      <c r="HK3546" s="73"/>
      <c r="HL3546" s="73"/>
      <c r="HM3546" s="73"/>
      <c r="HN3546" s="73"/>
      <c r="HO3546" s="73"/>
      <c r="HP3546" s="73"/>
      <c r="HQ3546" s="73"/>
      <c r="HR3546" s="73"/>
      <c r="HS3546" s="73"/>
      <c r="HT3546" s="73"/>
      <c r="HU3546" s="73"/>
      <c r="HV3546" s="73"/>
      <c r="HW3546" s="73"/>
      <c r="HX3546" s="73"/>
      <c r="HY3546" s="73"/>
      <c r="HZ3546" s="73"/>
      <c r="IA3546" s="73"/>
      <c r="IB3546" s="73"/>
      <c r="IC3546" s="73"/>
      <c r="ID3546" s="73"/>
      <c r="IE3546" s="73"/>
      <c r="IF3546" s="73"/>
      <c r="IG3546" s="73"/>
      <c r="IH3546" s="73"/>
      <c r="II3546" s="73"/>
      <c r="IJ3546" s="73"/>
      <c r="IK3546" s="73"/>
      <c r="IL3546" s="73"/>
      <c r="IM3546" s="73"/>
      <c r="IN3546" s="73"/>
      <c r="IO3546" s="73"/>
      <c r="IP3546" s="73"/>
      <c r="IQ3546" s="73"/>
      <c r="IR3546" s="73"/>
      <c r="IS3546" s="73"/>
      <c r="IT3546" s="73"/>
      <c r="IU3546" s="73"/>
      <c r="IV3546" s="73"/>
      <c r="IW3546" s="73"/>
      <c r="IX3546" s="73"/>
      <c r="IY3546" s="73"/>
      <c r="IZ3546" s="73"/>
      <c r="JA3546" s="73"/>
      <c r="JB3546" s="73"/>
      <c r="JC3546" s="73"/>
    </row>
    <row r="3547" spans="2:263" s="72" customFormat="1">
      <c r="B3547" s="73"/>
      <c r="C3547" s="73"/>
      <c r="D3547" s="73"/>
      <c r="E3547" s="73"/>
      <c r="F3547" s="73"/>
      <c r="G3547" s="73"/>
      <c r="H3547" s="73"/>
      <c r="I3547" s="73"/>
      <c r="J3547" s="73"/>
      <c r="K3547" s="73"/>
      <c r="L3547" s="73"/>
      <c r="M3547" s="73"/>
      <c r="N3547" s="73"/>
      <c r="O3547" s="73"/>
      <c r="P3547" s="73"/>
      <c r="Q3547" s="73"/>
      <c r="R3547" s="73"/>
      <c r="S3547" s="73"/>
      <c r="T3547" s="73"/>
      <c r="U3547" s="73"/>
      <c r="V3547" s="73"/>
      <c r="W3547" s="73"/>
      <c r="GL3547" s="73"/>
      <c r="GM3547" s="73"/>
      <c r="GN3547" s="73"/>
      <c r="GO3547" s="73"/>
      <c r="GP3547" s="73"/>
      <c r="GQ3547" s="73"/>
      <c r="GR3547" s="73"/>
      <c r="GS3547" s="73"/>
      <c r="GT3547" s="73"/>
      <c r="GU3547" s="73"/>
      <c r="GV3547" s="73"/>
      <c r="GW3547" s="73"/>
      <c r="GX3547" s="73"/>
      <c r="GY3547" s="73"/>
      <c r="GZ3547" s="73"/>
      <c r="HA3547" s="73"/>
      <c r="HB3547" s="73"/>
      <c r="HC3547" s="73"/>
      <c r="HD3547" s="73"/>
      <c r="HE3547" s="73"/>
      <c r="HF3547" s="73"/>
      <c r="HG3547" s="73"/>
      <c r="HH3547" s="73"/>
      <c r="HI3547" s="73"/>
      <c r="HJ3547" s="73"/>
      <c r="HK3547" s="73"/>
      <c r="HL3547" s="73"/>
      <c r="HM3547" s="73"/>
      <c r="HN3547" s="73"/>
      <c r="HO3547" s="73"/>
      <c r="HP3547" s="73"/>
      <c r="HQ3547" s="73"/>
      <c r="HR3547" s="73"/>
      <c r="HS3547" s="73"/>
      <c r="HT3547" s="73"/>
      <c r="HU3547" s="73"/>
      <c r="HV3547" s="73"/>
      <c r="HW3547" s="73"/>
      <c r="HX3547" s="73"/>
      <c r="HY3547" s="73"/>
      <c r="HZ3547" s="73"/>
      <c r="IA3547" s="73"/>
      <c r="IB3547" s="73"/>
      <c r="IC3547" s="73"/>
      <c r="ID3547" s="73"/>
      <c r="IE3547" s="73"/>
      <c r="IF3547" s="73"/>
      <c r="IG3547" s="73"/>
      <c r="IH3547" s="73"/>
      <c r="II3547" s="73"/>
      <c r="IJ3547" s="73"/>
      <c r="IK3547" s="73"/>
      <c r="IL3547" s="73"/>
      <c r="IM3547" s="73"/>
      <c r="IN3547" s="73"/>
      <c r="IO3547" s="73"/>
      <c r="IP3547" s="73"/>
      <c r="IQ3547" s="73"/>
      <c r="IR3547" s="73"/>
      <c r="IS3547" s="73"/>
      <c r="IT3547" s="73"/>
      <c r="IU3547" s="73"/>
      <c r="IV3547" s="73"/>
      <c r="IW3547" s="73"/>
      <c r="IX3547" s="73"/>
      <c r="IY3547" s="73"/>
      <c r="IZ3547" s="73"/>
      <c r="JA3547" s="73"/>
      <c r="JB3547" s="73"/>
      <c r="JC3547" s="73"/>
    </row>
    <row r="3548" spans="2:263" s="72" customFormat="1">
      <c r="B3548" s="73"/>
      <c r="C3548" s="73"/>
      <c r="D3548" s="73"/>
      <c r="E3548" s="73"/>
      <c r="F3548" s="73"/>
      <c r="G3548" s="73"/>
      <c r="H3548" s="73"/>
      <c r="I3548" s="73"/>
      <c r="J3548" s="73"/>
      <c r="K3548" s="73"/>
      <c r="L3548" s="73"/>
      <c r="M3548" s="73"/>
      <c r="N3548" s="73"/>
      <c r="O3548" s="73"/>
      <c r="P3548" s="73"/>
      <c r="Q3548" s="73"/>
      <c r="R3548" s="73"/>
      <c r="S3548" s="73"/>
      <c r="T3548" s="73"/>
      <c r="U3548" s="73"/>
      <c r="V3548" s="73"/>
      <c r="W3548" s="73"/>
      <c r="GL3548" s="73"/>
      <c r="GM3548" s="73"/>
      <c r="GN3548" s="73"/>
      <c r="GO3548" s="73"/>
      <c r="GP3548" s="73"/>
      <c r="GQ3548" s="73"/>
      <c r="GR3548" s="73"/>
      <c r="GS3548" s="73"/>
      <c r="GT3548" s="73"/>
      <c r="GU3548" s="73"/>
      <c r="GV3548" s="73"/>
      <c r="GW3548" s="73"/>
      <c r="GX3548" s="73"/>
      <c r="GY3548" s="73"/>
      <c r="GZ3548" s="73"/>
      <c r="HA3548" s="73"/>
      <c r="HB3548" s="73"/>
      <c r="HC3548" s="73"/>
      <c r="HD3548" s="73"/>
      <c r="HE3548" s="73"/>
      <c r="HF3548" s="73"/>
      <c r="HG3548" s="73"/>
      <c r="HH3548" s="73"/>
      <c r="HI3548" s="73"/>
      <c r="HJ3548" s="73"/>
      <c r="HK3548" s="73"/>
      <c r="HL3548" s="73"/>
      <c r="HM3548" s="73"/>
      <c r="HN3548" s="73"/>
      <c r="HO3548" s="73"/>
      <c r="HP3548" s="73"/>
      <c r="HQ3548" s="73"/>
      <c r="HR3548" s="73"/>
      <c r="HS3548" s="73"/>
      <c r="HT3548" s="73"/>
      <c r="HU3548" s="73"/>
      <c r="HV3548" s="73"/>
      <c r="HW3548" s="73"/>
      <c r="HX3548" s="73"/>
      <c r="HY3548" s="73"/>
      <c r="HZ3548" s="73"/>
      <c r="IA3548" s="73"/>
      <c r="IB3548" s="73"/>
      <c r="IC3548" s="73"/>
      <c r="ID3548" s="73"/>
      <c r="IE3548" s="73"/>
      <c r="IF3548" s="73"/>
      <c r="IG3548" s="73"/>
      <c r="IH3548" s="73"/>
      <c r="II3548" s="73"/>
      <c r="IJ3548" s="73"/>
      <c r="IK3548" s="73"/>
      <c r="IL3548" s="73"/>
      <c r="IM3548" s="73"/>
      <c r="IN3548" s="73"/>
      <c r="IO3548" s="73"/>
      <c r="IP3548" s="73"/>
      <c r="IQ3548" s="73"/>
      <c r="IR3548" s="73"/>
      <c r="IS3548" s="73"/>
      <c r="IT3548" s="73"/>
      <c r="IU3548" s="73"/>
      <c r="IV3548" s="73"/>
      <c r="IW3548" s="73"/>
      <c r="IX3548" s="73"/>
      <c r="IY3548" s="73"/>
      <c r="IZ3548" s="73"/>
      <c r="JA3548" s="73"/>
      <c r="JB3548" s="73"/>
      <c r="JC3548" s="73"/>
    </row>
    <row r="3549" spans="2:263" s="72" customFormat="1">
      <c r="B3549" s="73"/>
      <c r="C3549" s="73"/>
      <c r="D3549" s="73"/>
      <c r="E3549" s="73"/>
      <c r="F3549" s="73"/>
      <c r="G3549" s="73"/>
      <c r="H3549" s="73"/>
      <c r="I3549" s="73"/>
      <c r="J3549" s="73"/>
      <c r="K3549" s="73"/>
      <c r="L3549" s="73"/>
      <c r="M3549" s="73"/>
      <c r="N3549" s="73"/>
      <c r="O3549" s="73"/>
      <c r="P3549" s="73"/>
      <c r="Q3549" s="73"/>
      <c r="R3549" s="73"/>
      <c r="S3549" s="73"/>
      <c r="T3549" s="73"/>
      <c r="U3549" s="73"/>
      <c r="V3549" s="73"/>
      <c r="W3549" s="73"/>
      <c r="GL3549" s="73"/>
      <c r="GM3549" s="73"/>
      <c r="GN3549" s="73"/>
      <c r="GO3549" s="73"/>
      <c r="GP3549" s="73"/>
      <c r="GQ3549" s="73"/>
      <c r="GR3549" s="73"/>
      <c r="GS3549" s="73"/>
      <c r="GT3549" s="73"/>
      <c r="GU3549" s="73"/>
      <c r="GV3549" s="73"/>
      <c r="GW3549" s="73"/>
      <c r="GX3549" s="73"/>
      <c r="GY3549" s="73"/>
      <c r="GZ3549" s="73"/>
      <c r="HA3549" s="73"/>
      <c r="HB3549" s="73"/>
      <c r="HC3549" s="73"/>
      <c r="HD3549" s="73"/>
      <c r="HE3549" s="73"/>
      <c r="HF3549" s="73"/>
      <c r="HG3549" s="73"/>
      <c r="HH3549" s="73"/>
      <c r="HI3549" s="73"/>
      <c r="HJ3549" s="73"/>
      <c r="HK3549" s="73"/>
      <c r="HL3549" s="73"/>
      <c r="HM3549" s="73"/>
      <c r="HN3549" s="73"/>
      <c r="HO3549" s="73"/>
      <c r="HP3549" s="73"/>
      <c r="HQ3549" s="73"/>
      <c r="HR3549" s="73"/>
      <c r="HS3549" s="73"/>
      <c r="HT3549" s="73"/>
      <c r="HU3549" s="73"/>
      <c r="HV3549" s="73"/>
      <c r="HW3549" s="73"/>
      <c r="HX3549" s="73"/>
      <c r="HY3549" s="73"/>
      <c r="HZ3549" s="73"/>
      <c r="IA3549" s="73"/>
      <c r="IB3549" s="73"/>
      <c r="IC3549" s="73"/>
      <c r="ID3549" s="73"/>
      <c r="IE3549" s="73"/>
      <c r="IF3549" s="73"/>
      <c r="IG3549" s="73"/>
      <c r="IH3549" s="73"/>
      <c r="II3549" s="73"/>
      <c r="IJ3549" s="73"/>
      <c r="IK3549" s="73"/>
      <c r="IL3549" s="73"/>
      <c r="IM3549" s="73"/>
      <c r="IN3549" s="73"/>
      <c r="IO3549" s="73"/>
      <c r="IP3549" s="73"/>
      <c r="IQ3549" s="73"/>
      <c r="IR3549" s="73"/>
      <c r="IS3549" s="73"/>
      <c r="IT3549" s="73"/>
      <c r="IU3549" s="73"/>
      <c r="IV3549" s="73"/>
      <c r="IW3549" s="73"/>
      <c r="IX3549" s="73"/>
      <c r="IY3549" s="73"/>
      <c r="IZ3549" s="73"/>
      <c r="JA3549" s="73"/>
      <c r="JB3549" s="73"/>
      <c r="JC3549" s="73"/>
    </row>
    <row r="3550" spans="2:263" s="72" customFormat="1">
      <c r="B3550" s="73"/>
      <c r="C3550" s="73"/>
      <c r="D3550" s="73"/>
      <c r="E3550" s="73"/>
      <c r="F3550" s="73"/>
      <c r="G3550" s="73"/>
      <c r="H3550" s="73"/>
      <c r="I3550" s="73"/>
      <c r="J3550" s="73"/>
      <c r="K3550" s="73"/>
      <c r="L3550" s="73"/>
      <c r="M3550" s="73"/>
      <c r="N3550" s="73"/>
      <c r="O3550" s="73"/>
      <c r="P3550" s="73"/>
      <c r="Q3550" s="73"/>
      <c r="R3550" s="73"/>
      <c r="S3550" s="73"/>
      <c r="T3550" s="73"/>
      <c r="U3550" s="73"/>
      <c r="V3550" s="73"/>
      <c r="W3550" s="73"/>
      <c r="GL3550" s="73"/>
      <c r="GM3550" s="73"/>
      <c r="GN3550" s="73"/>
      <c r="GO3550" s="73"/>
      <c r="GP3550" s="73"/>
      <c r="GQ3550" s="73"/>
      <c r="GR3550" s="73"/>
      <c r="GS3550" s="73"/>
      <c r="GT3550" s="73"/>
      <c r="GU3550" s="73"/>
      <c r="GV3550" s="73"/>
      <c r="GW3550" s="73"/>
      <c r="GX3550" s="73"/>
      <c r="GY3550" s="73"/>
      <c r="GZ3550" s="73"/>
      <c r="HA3550" s="73"/>
      <c r="HB3550" s="73"/>
      <c r="HC3550" s="73"/>
      <c r="HD3550" s="73"/>
      <c r="HE3550" s="73"/>
      <c r="HF3550" s="73"/>
      <c r="HG3550" s="73"/>
      <c r="HH3550" s="73"/>
      <c r="HI3550" s="73"/>
      <c r="HJ3550" s="73"/>
      <c r="HK3550" s="73"/>
      <c r="HL3550" s="73"/>
      <c r="HM3550" s="73"/>
      <c r="HN3550" s="73"/>
      <c r="HO3550" s="73"/>
      <c r="HP3550" s="73"/>
      <c r="HQ3550" s="73"/>
      <c r="HR3550" s="73"/>
      <c r="HS3550" s="73"/>
      <c r="HT3550" s="73"/>
      <c r="HU3550" s="73"/>
      <c r="HV3550" s="73"/>
      <c r="HW3550" s="73"/>
      <c r="HX3550" s="73"/>
      <c r="HY3550" s="73"/>
      <c r="HZ3550" s="73"/>
      <c r="IA3550" s="73"/>
      <c r="IB3550" s="73"/>
      <c r="IC3550" s="73"/>
      <c r="ID3550" s="73"/>
      <c r="IE3550" s="73"/>
      <c r="IF3550" s="73"/>
      <c r="IG3550" s="73"/>
      <c r="IH3550" s="73"/>
      <c r="II3550" s="73"/>
      <c r="IJ3550" s="73"/>
      <c r="IK3550" s="73"/>
      <c r="IL3550" s="73"/>
      <c r="IM3550" s="73"/>
      <c r="IN3550" s="73"/>
      <c r="IO3550" s="73"/>
      <c r="IP3550" s="73"/>
      <c r="IQ3550" s="73"/>
      <c r="IR3550" s="73"/>
      <c r="IS3550" s="73"/>
      <c r="IT3550" s="73"/>
      <c r="IU3550" s="73"/>
      <c r="IV3550" s="73"/>
      <c r="IW3550" s="73"/>
      <c r="IX3550" s="73"/>
      <c r="IY3550" s="73"/>
      <c r="IZ3550" s="73"/>
      <c r="JA3550" s="73"/>
      <c r="JB3550" s="73"/>
      <c r="JC3550" s="73"/>
    </row>
    <row r="3551" spans="2:263" s="72" customFormat="1">
      <c r="B3551" s="73"/>
      <c r="C3551" s="73"/>
      <c r="D3551" s="73"/>
      <c r="E3551" s="73"/>
      <c r="F3551" s="73"/>
      <c r="G3551" s="73"/>
      <c r="H3551" s="73"/>
      <c r="I3551" s="73"/>
      <c r="J3551" s="73"/>
      <c r="K3551" s="73"/>
      <c r="L3551" s="73"/>
      <c r="M3551" s="73"/>
      <c r="N3551" s="73"/>
      <c r="O3551" s="73"/>
      <c r="P3551" s="73"/>
      <c r="Q3551" s="73"/>
      <c r="R3551" s="73"/>
      <c r="S3551" s="73"/>
      <c r="T3551" s="73"/>
      <c r="U3551" s="73"/>
      <c r="V3551" s="73"/>
      <c r="W3551" s="73"/>
      <c r="GL3551" s="73"/>
      <c r="GM3551" s="73"/>
      <c r="GN3551" s="73"/>
      <c r="GO3551" s="73"/>
      <c r="GP3551" s="73"/>
      <c r="GQ3551" s="73"/>
      <c r="GR3551" s="73"/>
      <c r="GS3551" s="73"/>
      <c r="GT3551" s="73"/>
      <c r="GU3551" s="73"/>
      <c r="GV3551" s="73"/>
      <c r="GW3551" s="73"/>
      <c r="GX3551" s="73"/>
      <c r="GY3551" s="73"/>
      <c r="GZ3551" s="73"/>
      <c r="HA3551" s="73"/>
      <c r="HB3551" s="73"/>
      <c r="HC3551" s="73"/>
      <c r="HD3551" s="73"/>
      <c r="HE3551" s="73"/>
      <c r="HF3551" s="73"/>
      <c r="HG3551" s="73"/>
      <c r="HH3551" s="73"/>
      <c r="HI3551" s="73"/>
      <c r="HJ3551" s="73"/>
      <c r="HK3551" s="73"/>
      <c r="HL3551" s="73"/>
      <c r="HM3551" s="73"/>
      <c r="HN3551" s="73"/>
      <c r="HO3551" s="73"/>
      <c r="HP3551" s="73"/>
      <c r="HQ3551" s="73"/>
      <c r="HR3551" s="73"/>
      <c r="HS3551" s="73"/>
      <c r="HT3551" s="73"/>
      <c r="HU3551" s="73"/>
      <c r="HV3551" s="73"/>
      <c r="HW3551" s="73"/>
      <c r="HX3551" s="73"/>
      <c r="HY3551" s="73"/>
      <c r="HZ3551" s="73"/>
      <c r="IA3551" s="73"/>
      <c r="IB3551" s="73"/>
      <c r="IC3551" s="73"/>
      <c r="ID3551" s="73"/>
      <c r="IE3551" s="73"/>
      <c r="IF3551" s="73"/>
      <c r="IG3551" s="73"/>
      <c r="IH3551" s="73"/>
      <c r="II3551" s="73"/>
      <c r="IJ3551" s="73"/>
      <c r="IK3551" s="73"/>
      <c r="IL3551" s="73"/>
      <c r="IM3551" s="73"/>
      <c r="IN3551" s="73"/>
      <c r="IO3551" s="73"/>
      <c r="IP3551" s="73"/>
      <c r="IQ3551" s="73"/>
      <c r="IR3551" s="73"/>
      <c r="IS3551" s="73"/>
      <c r="IT3551" s="73"/>
      <c r="IU3551" s="73"/>
      <c r="IV3551" s="73"/>
      <c r="IW3551" s="73"/>
      <c r="IX3551" s="73"/>
      <c r="IY3551" s="73"/>
      <c r="IZ3551" s="73"/>
      <c r="JA3551" s="73"/>
      <c r="JB3551" s="73"/>
      <c r="JC3551" s="73"/>
    </row>
    <row r="3552" spans="2:263" s="72" customFormat="1">
      <c r="B3552" s="73"/>
      <c r="C3552" s="73"/>
      <c r="D3552" s="73"/>
      <c r="E3552" s="73"/>
      <c r="F3552" s="73"/>
      <c r="G3552" s="73"/>
      <c r="H3552" s="73"/>
      <c r="I3552" s="73"/>
      <c r="J3552" s="73"/>
      <c r="K3552" s="73"/>
      <c r="L3552" s="73"/>
      <c r="M3552" s="73"/>
      <c r="N3552" s="73"/>
      <c r="O3552" s="73"/>
      <c r="P3552" s="73"/>
      <c r="Q3552" s="73"/>
      <c r="R3552" s="73"/>
      <c r="S3552" s="73"/>
      <c r="T3552" s="73"/>
      <c r="U3552" s="73"/>
      <c r="V3552" s="73"/>
      <c r="W3552" s="73"/>
      <c r="GL3552" s="73"/>
      <c r="GM3552" s="73"/>
      <c r="GN3552" s="73"/>
      <c r="GO3552" s="73"/>
      <c r="GP3552" s="73"/>
      <c r="GQ3552" s="73"/>
      <c r="GR3552" s="73"/>
      <c r="GS3552" s="73"/>
      <c r="GT3552" s="73"/>
      <c r="GU3552" s="73"/>
      <c r="GV3552" s="73"/>
      <c r="GW3552" s="73"/>
      <c r="GX3552" s="73"/>
      <c r="GY3552" s="73"/>
      <c r="GZ3552" s="73"/>
      <c r="HA3552" s="73"/>
      <c r="HB3552" s="73"/>
      <c r="HC3552" s="73"/>
      <c r="HD3552" s="73"/>
      <c r="HE3552" s="73"/>
      <c r="HF3552" s="73"/>
      <c r="HG3552" s="73"/>
      <c r="HH3552" s="73"/>
      <c r="HI3552" s="73"/>
      <c r="HJ3552" s="73"/>
      <c r="HK3552" s="73"/>
      <c r="HL3552" s="73"/>
      <c r="HM3552" s="73"/>
      <c r="HN3552" s="73"/>
      <c r="HO3552" s="73"/>
      <c r="HP3552" s="73"/>
      <c r="HQ3552" s="73"/>
      <c r="HR3552" s="73"/>
      <c r="HS3552" s="73"/>
      <c r="HT3552" s="73"/>
      <c r="HU3552" s="73"/>
      <c r="HV3552" s="73"/>
      <c r="HW3552" s="73"/>
      <c r="HX3552" s="73"/>
      <c r="HY3552" s="73"/>
      <c r="HZ3552" s="73"/>
      <c r="IA3552" s="73"/>
      <c r="IB3552" s="73"/>
      <c r="IC3552" s="73"/>
      <c r="ID3552" s="73"/>
      <c r="IE3552" s="73"/>
      <c r="IF3552" s="73"/>
      <c r="IG3552" s="73"/>
      <c r="IH3552" s="73"/>
      <c r="II3552" s="73"/>
      <c r="IJ3552" s="73"/>
      <c r="IK3552" s="73"/>
      <c r="IL3552" s="73"/>
      <c r="IM3552" s="73"/>
      <c r="IN3552" s="73"/>
      <c r="IO3552" s="73"/>
      <c r="IP3552" s="73"/>
      <c r="IQ3552" s="73"/>
      <c r="IR3552" s="73"/>
      <c r="IS3552" s="73"/>
      <c r="IT3552" s="73"/>
      <c r="IU3552" s="73"/>
      <c r="IV3552" s="73"/>
      <c r="IW3552" s="73"/>
      <c r="IX3552" s="73"/>
      <c r="IY3552" s="73"/>
      <c r="IZ3552" s="73"/>
      <c r="JA3552" s="73"/>
      <c r="JB3552" s="73"/>
      <c r="JC3552" s="73"/>
    </row>
    <row r="3553" spans="2:263" s="72" customFormat="1">
      <c r="B3553" s="73"/>
      <c r="C3553" s="73"/>
      <c r="D3553" s="73"/>
      <c r="E3553" s="73"/>
      <c r="F3553" s="73"/>
      <c r="G3553" s="73"/>
      <c r="H3553" s="73"/>
      <c r="I3553" s="73"/>
      <c r="J3553" s="73"/>
      <c r="K3553" s="73"/>
      <c r="L3553" s="73"/>
      <c r="M3553" s="73"/>
      <c r="N3553" s="73"/>
      <c r="O3553" s="73"/>
      <c r="P3553" s="73"/>
      <c r="Q3553" s="73"/>
      <c r="R3553" s="73"/>
      <c r="S3553" s="73"/>
      <c r="T3553" s="73"/>
      <c r="U3553" s="73"/>
      <c r="V3553" s="73"/>
      <c r="W3553" s="73"/>
      <c r="GL3553" s="73"/>
      <c r="GM3553" s="73"/>
      <c r="GN3553" s="73"/>
      <c r="GO3553" s="73"/>
      <c r="GP3553" s="73"/>
      <c r="GQ3553" s="73"/>
      <c r="GR3553" s="73"/>
      <c r="GS3553" s="73"/>
      <c r="GT3553" s="73"/>
      <c r="GU3553" s="73"/>
      <c r="GV3553" s="73"/>
      <c r="GW3553" s="73"/>
      <c r="GX3553" s="73"/>
      <c r="GY3553" s="73"/>
      <c r="GZ3553" s="73"/>
      <c r="HA3553" s="73"/>
      <c r="HB3553" s="73"/>
      <c r="HC3553" s="73"/>
      <c r="HD3553" s="73"/>
      <c r="HE3553" s="73"/>
      <c r="HF3553" s="73"/>
      <c r="HG3553" s="73"/>
      <c r="HH3553" s="73"/>
      <c r="HI3553" s="73"/>
      <c r="HJ3553" s="73"/>
      <c r="HK3553" s="73"/>
      <c r="HL3553" s="73"/>
      <c r="HM3553" s="73"/>
      <c r="HN3553" s="73"/>
      <c r="HO3553" s="73"/>
      <c r="HP3553" s="73"/>
      <c r="HQ3553" s="73"/>
      <c r="HR3553" s="73"/>
      <c r="HS3553" s="73"/>
      <c r="HT3553" s="73"/>
      <c r="HU3553" s="73"/>
      <c r="HV3553" s="73"/>
      <c r="HW3553" s="73"/>
      <c r="HX3553" s="73"/>
      <c r="HY3553" s="73"/>
      <c r="HZ3553" s="73"/>
      <c r="IA3553" s="73"/>
      <c r="IB3553" s="73"/>
      <c r="IC3553" s="73"/>
      <c r="ID3553" s="73"/>
      <c r="IE3553" s="73"/>
      <c r="IF3553" s="73"/>
      <c r="IG3553" s="73"/>
      <c r="IH3553" s="73"/>
      <c r="II3553" s="73"/>
      <c r="IJ3553" s="73"/>
      <c r="IK3553" s="73"/>
      <c r="IL3553" s="73"/>
      <c r="IM3553" s="73"/>
      <c r="IN3553" s="73"/>
      <c r="IO3553" s="73"/>
      <c r="IP3553" s="73"/>
      <c r="IQ3553" s="73"/>
      <c r="IR3553" s="73"/>
      <c r="IS3553" s="73"/>
      <c r="IT3553" s="73"/>
      <c r="IU3553" s="73"/>
      <c r="IV3553" s="73"/>
      <c r="IW3553" s="73"/>
      <c r="IX3553" s="73"/>
      <c r="IY3553" s="73"/>
      <c r="IZ3553" s="73"/>
      <c r="JA3553" s="73"/>
      <c r="JB3553" s="73"/>
      <c r="JC3553" s="73"/>
    </row>
    <row r="3554" spans="2:263" s="72" customFormat="1">
      <c r="B3554" s="73"/>
      <c r="C3554" s="73"/>
      <c r="D3554" s="73"/>
      <c r="E3554" s="73"/>
      <c r="F3554" s="73"/>
      <c r="G3554" s="73"/>
      <c r="H3554" s="73"/>
      <c r="I3554" s="73"/>
      <c r="J3554" s="73"/>
      <c r="K3554" s="73"/>
      <c r="L3554" s="73"/>
      <c r="M3554" s="73"/>
      <c r="N3554" s="73"/>
      <c r="O3554" s="73"/>
      <c r="P3554" s="73"/>
      <c r="Q3554" s="73"/>
      <c r="R3554" s="73"/>
      <c r="S3554" s="73"/>
      <c r="T3554" s="73"/>
      <c r="U3554" s="73"/>
      <c r="V3554" s="73"/>
      <c r="W3554" s="73"/>
      <c r="GL3554" s="73"/>
      <c r="GM3554" s="73"/>
      <c r="GN3554" s="73"/>
      <c r="GO3554" s="73"/>
      <c r="GP3554" s="73"/>
      <c r="GQ3554" s="73"/>
      <c r="GR3554" s="73"/>
      <c r="GS3554" s="73"/>
      <c r="GT3554" s="73"/>
      <c r="GU3554" s="73"/>
      <c r="GV3554" s="73"/>
      <c r="GW3554" s="73"/>
      <c r="GX3554" s="73"/>
      <c r="GY3554" s="73"/>
      <c r="GZ3554" s="73"/>
      <c r="HA3554" s="73"/>
      <c r="HB3554" s="73"/>
      <c r="HC3554" s="73"/>
      <c r="HD3554" s="73"/>
      <c r="HE3554" s="73"/>
      <c r="HF3554" s="73"/>
      <c r="HG3554" s="73"/>
      <c r="HH3554" s="73"/>
      <c r="HI3554" s="73"/>
      <c r="HJ3554" s="73"/>
      <c r="HK3554" s="73"/>
      <c r="HL3554" s="73"/>
      <c r="HM3554" s="73"/>
      <c r="HN3554" s="73"/>
      <c r="HO3554" s="73"/>
      <c r="HP3554" s="73"/>
      <c r="HQ3554" s="73"/>
      <c r="HR3554" s="73"/>
      <c r="HS3554" s="73"/>
      <c r="HT3554" s="73"/>
      <c r="HU3554" s="73"/>
      <c r="HV3554" s="73"/>
      <c r="HW3554" s="73"/>
      <c r="HX3554" s="73"/>
      <c r="HY3554" s="73"/>
      <c r="HZ3554" s="73"/>
      <c r="IA3554" s="73"/>
      <c r="IB3554" s="73"/>
      <c r="IC3554" s="73"/>
      <c r="ID3554" s="73"/>
      <c r="IE3554" s="73"/>
      <c r="IF3554" s="73"/>
      <c r="IG3554" s="73"/>
      <c r="IH3554" s="73"/>
      <c r="II3554" s="73"/>
      <c r="IJ3554" s="73"/>
      <c r="IK3554" s="73"/>
      <c r="IL3554" s="73"/>
      <c r="IM3554" s="73"/>
      <c r="IN3554" s="73"/>
      <c r="IO3554" s="73"/>
      <c r="IP3554" s="73"/>
      <c r="IQ3554" s="73"/>
      <c r="IR3554" s="73"/>
      <c r="IS3554" s="73"/>
      <c r="IT3554" s="73"/>
      <c r="IU3554" s="73"/>
      <c r="IV3554" s="73"/>
      <c r="IW3554" s="73"/>
      <c r="IX3554" s="73"/>
      <c r="IY3554" s="73"/>
      <c r="IZ3554" s="73"/>
      <c r="JA3554" s="73"/>
      <c r="JB3554" s="73"/>
      <c r="JC3554" s="73"/>
    </row>
    <row r="3555" spans="2:263" s="72" customFormat="1">
      <c r="B3555" s="73"/>
      <c r="C3555" s="73"/>
      <c r="D3555" s="73"/>
      <c r="E3555" s="73"/>
      <c r="F3555" s="73"/>
      <c r="G3555" s="73"/>
      <c r="H3555" s="73"/>
      <c r="I3555" s="73"/>
      <c r="J3555" s="73"/>
      <c r="K3555" s="73"/>
      <c r="L3555" s="73"/>
      <c r="M3555" s="73"/>
      <c r="N3555" s="73"/>
      <c r="O3555" s="73"/>
      <c r="P3555" s="73"/>
      <c r="Q3555" s="73"/>
      <c r="R3555" s="73"/>
      <c r="S3555" s="73"/>
      <c r="T3555" s="73"/>
      <c r="U3555" s="73"/>
      <c r="V3555" s="73"/>
      <c r="W3555" s="73"/>
      <c r="GL3555" s="73"/>
      <c r="GM3555" s="73"/>
      <c r="GN3555" s="73"/>
      <c r="GO3555" s="73"/>
      <c r="GP3555" s="73"/>
      <c r="GQ3555" s="73"/>
      <c r="GR3555" s="73"/>
      <c r="GS3555" s="73"/>
      <c r="GT3555" s="73"/>
      <c r="GU3555" s="73"/>
      <c r="GV3555" s="73"/>
      <c r="GW3555" s="73"/>
      <c r="GX3555" s="73"/>
      <c r="GY3555" s="73"/>
      <c r="GZ3555" s="73"/>
      <c r="HA3555" s="73"/>
      <c r="HB3555" s="73"/>
      <c r="HC3555" s="73"/>
      <c r="HD3555" s="73"/>
      <c r="HE3555" s="73"/>
      <c r="HF3555" s="73"/>
      <c r="HG3555" s="73"/>
      <c r="HH3555" s="73"/>
      <c r="HI3555" s="73"/>
      <c r="HJ3555" s="73"/>
      <c r="HK3555" s="73"/>
      <c r="HL3555" s="73"/>
      <c r="HM3555" s="73"/>
      <c r="HN3555" s="73"/>
      <c r="HO3555" s="73"/>
      <c r="HP3555" s="73"/>
      <c r="HQ3555" s="73"/>
      <c r="HR3555" s="73"/>
      <c r="HS3555" s="73"/>
      <c r="HT3555" s="73"/>
      <c r="HU3555" s="73"/>
      <c r="HV3555" s="73"/>
      <c r="HW3555" s="73"/>
      <c r="HX3555" s="73"/>
      <c r="HY3555" s="73"/>
      <c r="HZ3555" s="73"/>
      <c r="IA3555" s="73"/>
      <c r="IB3555" s="73"/>
      <c r="IC3555" s="73"/>
      <c r="ID3555" s="73"/>
      <c r="IE3555" s="73"/>
      <c r="IF3555" s="73"/>
      <c r="IG3555" s="73"/>
      <c r="IH3555" s="73"/>
      <c r="II3555" s="73"/>
      <c r="IJ3555" s="73"/>
      <c r="IK3555" s="73"/>
      <c r="IL3555" s="73"/>
      <c r="IM3555" s="73"/>
      <c r="IN3555" s="73"/>
      <c r="IO3555" s="73"/>
      <c r="IP3555" s="73"/>
      <c r="IQ3555" s="73"/>
      <c r="IR3555" s="73"/>
      <c r="IS3555" s="73"/>
      <c r="IT3555" s="73"/>
      <c r="IU3555" s="73"/>
      <c r="IV3555" s="73"/>
      <c r="IW3555" s="73"/>
      <c r="IX3555" s="73"/>
      <c r="IY3555" s="73"/>
      <c r="IZ3555" s="73"/>
      <c r="JA3555" s="73"/>
      <c r="JB3555" s="73"/>
      <c r="JC3555" s="73"/>
    </row>
    <row r="3556" spans="2:263" s="72" customFormat="1">
      <c r="B3556" s="73"/>
      <c r="C3556" s="73"/>
      <c r="D3556" s="73"/>
      <c r="E3556" s="73"/>
      <c r="F3556" s="73"/>
      <c r="G3556" s="73"/>
      <c r="H3556" s="73"/>
      <c r="I3556" s="73"/>
      <c r="J3556" s="73"/>
      <c r="K3556" s="73"/>
      <c r="L3556" s="73"/>
      <c r="M3556" s="73"/>
      <c r="N3556" s="73"/>
      <c r="O3556" s="73"/>
      <c r="P3556" s="73"/>
      <c r="Q3556" s="73"/>
      <c r="R3556" s="73"/>
      <c r="S3556" s="73"/>
      <c r="T3556" s="73"/>
      <c r="U3556" s="73"/>
      <c r="V3556" s="73"/>
      <c r="W3556" s="73"/>
      <c r="GL3556" s="73"/>
      <c r="GM3556" s="73"/>
      <c r="GN3556" s="73"/>
      <c r="GO3556" s="73"/>
      <c r="GP3556" s="73"/>
      <c r="GQ3556" s="73"/>
      <c r="GR3556" s="73"/>
      <c r="GS3556" s="73"/>
      <c r="GT3556" s="73"/>
      <c r="GU3556" s="73"/>
      <c r="GV3556" s="73"/>
      <c r="GW3556" s="73"/>
      <c r="GX3556" s="73"/>
      <c r="GY3556" s="73"/>
      <c r="GZ3556" s="73"/>
      <c r="HA3556" s="73"/>
      <c r="HB3556" s="73"/>
      <c r="HC3556" s="73"/>
      <c r="HD3556" s="73"/>
      <c r="HE3556" s="73"/>
      <c r="HF3556" s="73"/>
      <c r="HG3556" s="73"/>
      <c r="HH3556" s="73"/>
      <c r="HI3556" s="73"/>
      <c r="HJ3556" s="73"/>
      <c r="HK3556" s="73"/>
      <c r="HL3556" s="73"/>
      <c r="HM3556" s="73"/>
      <c r="HN3556" s="73"/>
      <c r="HO3556" s="73"/>
      <c r="HP3556" s="73"/>
      <c r="HQ3556" s="73"/>
      <c r="HR3556" s="73"/>
      <c r="HS3556" s="73"/>
      <c r="HT3556" s="73"/>
      <c r="HU3556" s="73"/>
      <c r="HV3556" s="73"/>
      <c r="HW3556" s="73"/>
      <c r="HX3556" s="73"/>
      <c r="HY3556" s="73"/>
      <c r="HZ3556" s="73"/>
      <c r="IA3556" s="73"/>
      <c r="IB3556" s="73"/>
      <c r="IC3556" s="73"/>
      <c r="ID3556" s="73"/>
      <c r="IE3556" s="73"/>
      <c r="IF3556" s="73"/>
      <c r="IG3556" s="73"/>
      <c r="IH3556" s="73"/>
      <c r="II3556" s="73"/>
      <c r="IJ3556" s="73"/>
      <c r="IK3556" s="73"/>
      <c r="IL3556" s="73"/>
      <c r="IM3556" s="73"/>
      <c r="IN3556" s="73"/>
      <c r="IO3556" s="73"/>
      <c r="IP3556" s="73"/>
      <c r="IQ3556" s="73"/>
      <c r="IR3556" s="73"/>
      <c r="IS3556" s="73"/>
      <c r="IT3556" s="73"/>
      <c r="IU3556" s="73"/>
      <c r="IV3556" s="73"/>
      <c r="IW3556" s="73"/>
      <c r="IX3556" s="73"/>
      <c r="IY3556" s="73"/>
      <c r="IZ3556" s="73"/>
      <c r="JA3556" s="73"/>
      <c r="JB3556" s="73"/>
      <c r="JC3556" s="73"/>
    </row>
    <row r="3557" spans="2:263" s="72" customFormat="1">
      <c r="B3557" s="73"/>
      <c r="C3557" s="73"/>
      <c r="D3557" s="73"/>
      <c r="E3557" s="73"/>
      <c r="F3557" s="73"/>
      <c r="G3557" s="73"/>
      <c r="H3557" s="73"/>
      <c r="I3557" s="73"/>
      <c r="J3557" s="73"/>
      <c r="K3557" s="73"/>
      <c r="L3557" s="73"/>
      <c r="M3557" s="73"/>
      <c r="N3557" s="73"/>
      <c r="O3557" s="73"/>
      <c r="P3557" s="73"/>
      <c r="Q3557" s="73"/>
      <c r="R3557" s="73"/>
      <c r="S3557" s="73"/>
      <c r="T3557" s="73"/>
      <c r="U3557" s="73"/>
      <c r="V3557" s="73"/>
      <c r="W3557" s="73"/>
      <c r="GL3557" s="73"/>
      <c r="GM3557" s="73"/>
      <c r="GN3557" s="73"/>
      <c r="GO3557" s="73"/>
      <c r="GP3557" s="73"/>
      <c r="GQ3557" s="73"/>
      <c r="GR3557" s="73"/>
      <c r="GS3557" s="73"/>
      <c r="GT3557" s="73"/>
      <c r="GU3557" s="73"/>
      <c r="GV3557" s="73"/>
      <c r="GW3557" s="73"/>
      <c r="GX3557" s="73"/>
      <c r="GY3557" s="73"/>
      <c r="GZ3557" s="73"/>
      <c r="HA3557" s="73"/>
      <c r="HB3557" s="73"/>
      <c r="HC3557" s="73"/>
      <c r="HD3557" s="73"/>
      <c r="HE3557" s="73"/>
      <c r="HF3557" s="73"/>
      <c r="HG3557" s="73"/>
      <c r="HH3557" s="73"/>
      <c r="HI3557" s="73"/>
      <c r="HJ3557" s="73"/>
      <c r="HK3557" s="73"/>
      <c r="HL3557" s="73"/>
      <c r="HM3557" s="73"/>
      <c r="HN3557" s="73"/>
      <c r="HO3557" s="73"/>
      <c r="HP3557" s="73"/>
      <c r="HQ3557" s="73"/>
      <c r="HR3557" s="73"/>
      <c r="HS3557" s="73"/>
      <c r="HT3557" s="73"/>
      <c r="HU3557" s="73"/>
      <c r="HV3557" s="73"/>
      <c r="HW3557" s="73"/>
      <c r="HX3557" s="73"/>
      <c r="HY3557" s="73"/>
      <c r="HZ3557" s="73"/>
      <c r="IA3557" s="73"/>
      <c r="IB3557" s="73"/>
      <c r="IC3557" s="73"/>
      <c r="ID3557" s="73"/>
      <c r="IE3557" s="73"/>
      <c r="IF3557" s="73"/>
      <c r="IG3557" s="73"/>
      <c r="IH3557" s="73"/>
      <c r="II3557" s="73"/>
      <c r="IJ3557" s="73"/>
      <c r="IK3557" s="73"/>
      <c r="IL3557" s="73"/>
      <c r="IM3557" s="73"/>
      <c r="IN3557" s="73"/>
      <c r="IO3557" s="73"/>
      <c r="IP3557" s="73"/>
      <c r="IQ3557" s="73"/>
      <c r="IR3557" s="73"/>
      <c r="IS3557" s="73"/>
      <c r="IT3557" s="73"/>
      <c r="IU3557" s="73"/>
      <c r="IV3557" s="73"/>
      <c r="IW3557" s="73"/>
      <c r="IX3557" s="73"/>
      <c r="IY3557" s="73"/>
      <c r="IZ3557" s="73"/>
      <c r="JA3557" s="73"/>
      <c r="JB3557" s="73"/>
      <c r="JC3557" s="73"/>
    </row>
    <row r="3558" spans="2:263" s="72" customFormat="1">
      <c r="B3558" s="73"/>
      <c r="C3558" s="73"/>
      <c r="D3558" s="73"/>
      <c r="E3558" s="73"/>
      <c r="F3558" s="73"/>
      <c r="G3558" s="73"/>
      <c r="H3558" s="73"/>
      <c r="I3558" s="73"/>
      <c r="J3558" s="73"/>
      <c r="K3558" s="73"/>
      <c r="L3558" s="73"/>
      <c r="M3558" s="73"/>
      <c r="N3558" s="73"/>
      <c r="O3558" s="73"/>
      <c r="P3558" s="73"/>
      <c r="Q3558" s="73"/>
      <c r="R3558" s="73"/>
      <c r="S3558" s="73"/>
      <c r="T3558" s="73"/>
      <c r="U3558" s="73"/>
      <c r="V3558" s="73"/>
      <c r="W3558" s="73"/>
      <c r="GL3558" s="73"/>
      <c r="GM3558" s="73"/>
      <c r="GN3558" s="73"/>
      <c r="GO3558" s="73"/>
      <c r="GP3558" s="73"/>
      <c r="GQ3558" s="73"/>
      <c r="GR3558" s="73"/>
      <c r="GS3558" s="73"/>
      <c r="GT3558" s="73"/>
      <c r="GU3558" s="73"/>
      <c r="GV3558" s="73"/>
      <c r="GW3558" s="73"/>
      <c r="GX3558" s="73"/>
      <c r="GY3558" s="73"/>
      <c r="GZ3558" s="73"/>
      <c r="HA3558" s="73"/>
      <c r="HB3558" s="73"/>
      <c r="HC3558" s="73"/>
      <c r="HD3558" s="73"/>
      <c r="HE3558" s="73"/>
      <c r="HF3558" s="73"/>
      <c r="HG3558" s="73"/>
      <c r="HH3558" s="73"/>
      <c r="HI3558" s="73"/>
      <c r="HJ3558" s="73"/>
      <c r="HK3558" s="73"/>
      <c r="HL3558" s="73"/>
      <c r="HM3558" s="73"/>
      <c r="HN3558" s="73"/>
      <c r="HO3558" s="73"/>
      <c r="HP3558" s="73"/>
      <c r="HQ3558" s="73"/>
      <c r="HR3558" s="73"/>
      <c r="HS3558" s="73"/>
      <c r="HT3558" s="73"/>
      <c r="HU3558" s="73"/>
      <c r="HV3558" s="73"/>
      <c r="HW3558" s="73"/>
      <c r="HX3558" s="73"/>
      <c r="HY3558" s="73"/>
      <c r="HZ3558" s="73"/>
      <c r="IA3558" s="73"/>
      <c r="IB3558" s="73"/>
      <c r="IC3558" s="73"/>
      <c r="ID3558" s="73"/>
      <c r="IE3558" s="73"/>
      <c r="IF3558" s="73"/>
      <c r="IG3558" s="73"/>
      <c r="IH3558" s="73"/>
      <c r="II3558" s="73"/>
      <c r="IJ3558" s="73"/>
      <c r="IK3558" s="73"/>
      <c r="IL3558" s="73"/>
      <c r="IM3558" s="73"/>
      <c r="IN3558" s="73"/>
      <c r="IO3558" s="73"/>
      <c r="IP3558" s="73"/>
      <c r="IQ3558" s="73"/>
      <c r="IR3558" s="73"/>
      <c r="IS3558" s="73"/>
      <c r="IT3558" s="73"/>
      <c r="IU3558" s="73"/>
      <c r="IV3558" s="73"/>
      <c r="IW3558" s="73"/>
      <c r="IX3558" s="73"/>
      <c r="IY3558" s="73"/>
      <c r="IZ3558" s="73"/>
      <c r="JA3558" s="73"/>
      <c r="JB3558" s="73"/>
      <c r="JC3558" s="73"/>
    </row>
    <row r="3559" spans="2:263" s="72" customFormat="1">
      <c r="B3559" s="73"/>
      <c r="C3559" s="73"/>
      <c r="D3559" s="73"/>
      <c r="E3559" s="73"/>
      <c r="F3559" s="73"/>
      <c r="G3559" s="73"/>
      <c r="H3559" s="73"/>
      <c r="I3559" s="73"/>
      <c r="J3559" s="73"/>
      <c r="K3559" s="73"/>
      <c r="L3559" s="73"/>
      <c r="M3559" s="73"/>
      <c r="N3559" s="73"/>
      <c r="O3559" s="73"/>
      <c r="P3559" s="73"/>
      <c r="Q3559" s="73"/>
      <c r="R3559" s="73"/>
      <c r="S3559" s="73"/>
      <c r="T3559" s="73"/>
      <c r="U3559" s="73"/>
      <c r="V3559" s="73"/>
      <c r="W3559" s="73"/>
      <c r="GL3559" s="73"/>
      <c r="GM3559" s="73"/>
      <c r="GN3559" s="73"/>
      <c r="GO3559" s="73"/>
      <c r="GP3559" s="73"/>
      <c r="GQ3559" s="73"/>
      <c r="GR3559" s="73"/>
      <c r="GS3559" s="73"/>
      <c r="GT3559" s="73"/>
      <c r="GU3559" s="73"/>
      <c r="GV3559" s="73"/>
      <c r="GW3559" s="73"/>
      <c r="GX3559" s="73"/>
      <c r="GY3559" s="73"/>
      <c r="GZ3559" s="73"/>
      <c r="HA3559" s="73"/>
      <c r="HB3559" s="73"/>
      <c r="HC3559" s="73"/>
      <c r="HD3559" s="73"/>
      <c r="HE3559" s="73"/>
      <c r="HF3559" s="73"/>
      <c r="HG3559" s="73"/>
      <c r="HH3559" s="73"/>
      <c r="HI3559" s="73"/>
      <c r="HJ3559" s="73"/>
      <c r="HK3559" s="73"/>
      <c r="HL3559" s="73"/>
      <c r="HM3559" s="73"/>
      <c r="HN3559" s="73"/>
      <c r="HO3559" s="73"/>
      <c r="HP3559" s="73"/>
      <c r="HQ3559" s="73"/>
      <c r="HR3559" s="73"/>
      <c r="HS3559" s="73"/>
      <c r="HT3559" s="73"/>
      <c r="HU3559" s="73"/>
      <c r="HV3559" s="73"/>
      <c r="HW3559" s="73"/>
      <c r="HX3559" s="73"/>
      <c r="HY3559" s="73"/>
      <c r="HZ3559" s="73"/>
      <c r="IA3559" s="73"/>
      <c r="IB3559" s="73"/>
      <c r="IC3559" s="73"/>
      <c r="ID3559" s="73"/>
      <c r="IE3559" s="73"/>
      <c r="IF3559" s="73"/>
      <c r="IG3559" s="73"/>
      <c r="IH3559" s="73"/>
      <c r="II3559" s="73"/>
      <c r="IJ3559" s="73"/>
      <c r="IK3559" s="73"/>
      <c r="IL3559" s="73"/>
      <c r="IM3559" s="73"/>
      <c r="IN3559" s="73"/>
      <c r="IO3559" s="73"/>
      <c r="IP3559" s="73"/>
      <c r="IQ3559" s="73"/>
      <c r="IR3559" s="73"/>
      <c r="IS3559" s="73"/>
      <c r="IT3559" s="73"/>
      <c r="IU3559" s="73"/>
      <c r="IV3559" s="73"/>
      <c r="IW3559" s="73"/>
      <c r="IX3559" s="73"/>
      <c r="IY3559" s="73"/>
      <c r="IZ3559" s="73"/>
      <c r="JA3559" s="73"/>
      <c r="JB3559" s="73"/>
      <c r="JC3559" s="73"/>
    </row>
    <row r="3560" spans="2:263" s="72" customFormat="1">
      <c r="B3560" s="73"/>
      <c r="C3560" s="73"/>
      <c r="D3560" s="73"/>
      <c r="E3560" s="73"/>
      <c r="F3560" s="73"/>
      <c r="G3560" s="73"/>
      <c r="H3560" s="73"/>
      <c r="I3560" s="73"/>
      <c r="J3560" s="73"/>
      <c r="K3560" s="73"/>
      <c r="L3560" s="73"/>
      <c r="M3560" s="73"/>
      <c r="N3560" s="73"/>
      <c r="O3560" s="73"/>
      <c r="P3560" s="73"/>
      <c r="Q3560" s="73"/>
      <c r="R3560" s="73"/>
      <c r="S3560" s="73"/>
      <c r="T3560" s="73"/>
      <c r="U3560" s="73"/>
      <c r="V3560" s="73"/>
      <c r="W3560" s="73"/>
      <c r="GL3560" s="73"/>
      <c r="GM3560" s="73"/>
      <c r="GN3560" s="73"/>
      <c r="GO3560" s="73"/>
      <c r="GP3560" s="73"/>
      <c r="GQ3560" s="73"/>
      <c r="GR3560" s="73"/>
      <c r="GS3560" s="73"/>
      <c r="GT3560" s="73"/>
      <c r="GU3560" s="73"/>
      <c r="GV3560" s="73"/>
      <c r="GW3560" s="73"/>
      <c r="GX3560" s="73"/>
      <c r="GY3560" s="73"/>
      <c r="GZ3560" s="73"/>
      <c r="HA3560" s="73"/>
      <c r="HB3560" s="73"/>
      <c r="HC3560" s="73"/>
      <c r="HD3560" s="73"/>
      <c r="HE3560" s="73"/>
      <c r="HF3560" s="73"/>
      <c r="HG3560" s="73"/>
      <c r="HH3560" s="73"/>
      <c r="HI3560" s="73"/>
      <c r="HJ3560" s="73"/>
      <c r="HK3560" s="73"/>
      <c r="HL3560" s="73"/>
      <c r="HM3560" s="73"/>
      <c r="HN3560" s="73"/>
      <c r="HO3560" s="73"/>
      <c r="HP3560" s="73"/>
      <c r="HQ3560" s="73"/>
      <c r="HR3560" s="73"/>
      <c r="HS3560" s="73"/>
      <c r="HT3560" s="73"/>
      <c r="HU3560" s="73"/>
      <c r="HV3560" s="73"/>
      <c r="HW3560" s="73"/>
      <c r="HX3560" s="73"/>
      <c r="HY3560" s="73"/>
      <c r="HZ3560" s="73"/>
      <c r="IA3560" s="73"/>
      <c r="IB3560" s="73"/>
      <c r="IC3560" s="73"/>
      <c r="ID3560" s="73"/>
      <c r="IE3560" s="73"/>
      <c r="IF3560" s="73"/>
      <c r="IG3560" s="73"/>
      <c r="IH3560" s="73"/>
      <c r="II3560" s="73"/>
      <c r="IJ3560" s="73"/>
      <c r="IK3560" s="73"/>
      <c r="IL3560" s="73"/>
      <c r="IM3560" s="73"/>
      <c r="IN3560" s="73"/>
      <c r="IO3560" s="73"/>
      <c r="IP3560" s="73"/>
      <c r="IQ3560" s="73"/>
      <c r="IR3560" s="73"/>
      <c r="IS3560" s="73"/>
      <c r="IT3560" s="73"/>
      <c r="IU3560" s="73"/>
      <c r="IV3560" s="73"/>
      <c r="IW3560" s="73"/>
      <c r="IX3560" s="73"/>
      <c r="IY3560" s="73"/>
      <c r="IZ3560" s="73"/>
      <c r="JA3560" s="73"/>
      <c r="JB3560" s="73"/>
      <c r="JC3560" s="73"/>
    </row>
    <row r="3561" spans="2:263" s="72" customFormat="1">
      <c r="B3561" s="73"/>
      <c r="C3561" s="73"/>
      <c r="D3561" s="73"/>
      <c r="E3561" s="73"/>
      <c r="F3561" s="73"/>
      <c r="G3561" s="73"/>
      <c r="H3561" s="73"/>
      <c r="I3561" s="73"/>
      <c r="J3561" s="73"/>
      <c r="K3561" s="73"/>
      <c r="L3561" s="73"/>
      <c r="M3561" s="73"/>
      <c r="N3561" s="73"/>
      <c r="O3561" s="73"/>
      <c r="P3561" s="73"/>
      <c r="Q3561" s="73"/>
      <c r="R3561" s="73"/>
      <c r="S3561" s="73"/>
      <c r="T3561" s="73"/>
      <c r="U3561" s="73"/>
      <c r="V3561" s="73"/>
      <c r="W3561" s="73"/>
      <c r="GL3561" s="73"/>
      <c r="GM3561" s="73"/>
      <c r="GN3561" s="73"/>
      <c r="GO3561" s="73"/>
      <c r="GP3561" s="73"/>
      <c r="GQ3561" s="73"/>
      <c r="GR3561" s="73"/>
      <c r="GS3561" s="73"/>
      <c r="GT3561" s="73"/>
      <c r="GU3561" s="73"/>
      <c r="GV3561" s="73"/>
      <c r="GW3561" s="73"/>
      <c r="GX3561" s="73"/>
      <c r="GY3561" s="73"/>
      <c r="GZ3561" s="73"/>
      <c r="HA3561" s="73"/>
      <c r="HB3561" s="73"/>
      <c r="HC3561" s="73"/>
      <c r="HD3561" s="73"/>
      <c r="HE3561" s="73"/>
      <c r="HF3561" s="73"/>
      <c r="HG3561" s="73"/>
      <c r="HH3561" s="73"/>
      <c r="HI3561" s="73"/>
      <c r="HJ3561" s="73"/>
      <c r="HK3561" s="73"/>
      <c r="HL3561" s="73"/>
      <c r="HM3561" s="73"/>
      <c r="HN3561" s="73"/>
      <c r="HO3561" s="73"/>
      <c r="HP3561" s="73"/>
      <c r="HQ3561" s="73"/>
      <c r="HR3561" s="73"/>
      <c r="HS3561" s="73"/>
      <c r="HT3561" s="73"/>
      <c r="HU3561" s="73"/>
      <c r="HV3561" s="73"/>
      <c r="HW3561" s="73"/>
      <c r="HX3561" s="73"/>
      <c r="HY3561" s="73"/>
      <c r="HZ3561" s="73"/>
      <c r="IA3561" s="73"/>
      <c r="IB3561" s="73"/>
      <c r="IC3561" s="73"/>
      <c r="ID3561" s="73"/>
      <c r="IE3561" s="73"/>
      <c r="IF3561" s="73"/>
      <c r="IG3561" s="73"/>
      <c r="IH3561" s="73"/>
      <c r="II3561" s="73"/>
      <c r="IJ3561" s="73"/>
      <c r="IK3561" s="73"/>
      <c r="IL3561" s="73"/>
      <c r="IM3561" s="73"/>
      <c r="IN3561" s="73"/>
      <c r="IO3561" s="73"/>
      <c r="IP3561" s="73"/>
      <c r="IQ3561" s="73"/>
      <c r="IR3561" s="73"/>
      <c r="IS3561" s="73"/>
      <c r="IT3561" s="73"/>
      <c r="IU3561" s="73"/>
      <c r="IV3561" s="73"/>
      <c r="IW3561" s="73"/>
      <c r="IX3561" s="73"/>
      <c r="IY3561" s="73"/>
      <c r="IZ3561" s="73"/>
      <c r="JA3561" s="73"/>
      <c r="JB3561" s="73"/>
      <c r="JC3561" s="73"/>
    </row>
    <row r="3562" spans="2:263" s="72" customFormat="1">
      <c r="B3562" s="73"/>
      <c r="C3562" s="73"/>
      <c r="D3562" s="73"/>
      <c r="E3562" s="73"/>
      <c r="F3562" s="73"/>
      <c r="G3562" s="73"/>
      <c r="H3562" s="73"/>
      <c r="I3562" s="73"/>
      <c r="J3562" s="73"/>
      <c r="K3562" s="73"/>
      <c r="L3562" s="73"/>
      <c r="M3562" s="73"/>
      <c r="N3562" s="73"/>
      <c r="O3562" s="73"/>
      <c r="P3562" s="73"/>
      <c r="Q3562" s="73"/>
      <c r="R3562" s="73"/>
      <c r="S3562" s="73"/>
      <c r="T3562" s="73"/>
      <c r="U3562" s="73"/>
      <c r="V3562" s="73"/>
      <c r="W3562" s="73"/>
      <c r="GL3562" s="73"/>
      <c r="GM3562" s="73"/>
      <c r="GN3562" s="73"/>
      <c r="GO3562" s="73"/>
      <c r="GP3562" s="73"/>
      <c r="GQ3562" s="73"/>
      <c r="GR3562" s="73"/>
      <c r="GS3562" s="73"/>
      <c r="GT3562" s="73"/>
      <c r="GU3562" s="73"/>
      <c r="GV3562" s="73"/>
      <c r="GW3562" s="73"/>
      <c r="GX3562" s="73"/>
      <c r="GY3562" s="73"/>
      <c r="GZ3562" s="73"/>
      <c r="HA3562" s="73"/>
      <c r="HB3562" s="73"/>
      <c r="HC3562" s="73"/>
      <c r="HD3562" s="73"/>
      <c r="HE3562" s="73"/>
      <c r="HF3562" s="73"/>
      <c r="HG3562" s="73"/>
      <c r="HH3562" s="73"/>
      <c r="HI3562" s="73"/>
      <c r="HJ3562" s="73"/>
      <c r="HK3562" s="73"/>
      <c r="HL3562" s="73"/>
      <c r="HM3562" s="73"/>
      <c r="HN3562" s="73"/>
      <c r="HO3562" s="73"/>
      <c r="HP3562" s="73"/>
      <c r="HQ3562" s="73"/>
      <c r="HR3562" s="73"/>
      <c r="HS3562" s="73"/>
      <c r="HT3562" s="73"/>
      <c r="HU3562" s="73"/>
      <c r="HV3562" s="73"/>
      <c r="HW3562" s="73"/>
      <c r="HX3562" s="73"/>
      <c r="HY3562" s="73"/>
      <c r="HZ3562" s="73"/>
      <c r="IA3562" s="73"/>
      <c r="IB3562" s="73"/>
      <c r="IC3562" s="73"/>
      <c r="ID3562" s="73"/>
      <c r="IE3562" s="73"/>
      <c r="IF3562" s="73"/>
      <c r="IG3562" s="73"/>
      <c r="IH3562" s="73"/>
      <c r="II3562" s="73"/>
      <c r="IJ3562" s="73"/>
      <c r="IK3562" s="73"/>
      <c r="IL3562" s="73"/>
      <c r="IM3562" s="73"/>
      <c r="IN3562" s="73"/>
      <c r="IO3562" s="73"/>
      <c r="IP3562" s="73"/>
      <c r="IQ3562" s="73"/>
      <c r="IR3562" s="73"/>
      <c r="IS3562" s="73"/>
      <c r="IT3562" s="73"/>
      <c r="IU3562" s="73"/>
      <c r="IV3562" s="73"/>
      <c r="IW3562" s="73"/>
      <c r="IX3562" s="73"/>
      <c r="IY3562" s="73"/>
      <c r="IZ3562" s="73"/>
      <c r="JA3562" s="73"/>
      <c r="JB3562" s="73"/>
      <c r="JC3562" s="73"/>
    </row>
    <row r="3563" spans="2:263" s="72" customFormat="1">
      <c r="B3563" s="73"/>
      <c r="C3563" s="73"/>
      <c r="D3563" s="73"/>
      <c r="E3563" s="73"/>
      <c r="F3563" s="73"/>
      <c r="G3563" s="73"/>
      <c r="H3563" s="73"/>
      <c r="I3563" s="73"/>
      <c r="J3563" s="73"/>
      <c r="K3563" s="73"/>
      <c r="L3563" s="73"/>
      <c r="M3563" s="73"/>
      <c r="N3563" s="73"/>
      <c r="O3563" s="73"/>
      <c r="P3563" s="73"/>
      <c r="Q3563" s="73"/>
      <c r="R3563" s="73"/>
      <c r="S3563" s="73"/>
      <c r="T3563" s="73"/>
      <c r="U3563" s="73"/>
      <c r="V3563" s="73"/>
      <c r="W3563" s="73"/>
      <c r="GL3563" s="73"/>
      <c r="GM3563" s="73"/>
      <c r="GN3563" s="73"/>
      <c r="GO3563" s="73"/>
      <c r="GP3563" s="73"/>
      <c r="GQ3563" s="73"/>
      <c r="GR3563" s="73"/>
      <c r="GS3563" s="73"/>
      <c r="GT3563" s="73"/>
      <c r="GU3563" s="73"/>
      <c r="GV3563" s="73"/>
      <c r="GW3563" s="73"/>
      <c r="GX3563" s="73"/>
      <c r="GY3563" s="73"/>
      <c r="GZ3563" s="73"/>
      <c r="HA3563" s="73"/>
      <c r="HB3563" s="73"/>
      <c r="HC3563" s="73"/>
      <c r="HD3563" s="73"/>
      <c r="HE3563" s="73"/>
      <c r="HF3563" s="73"/>
      <c r="HG3563" s="73"/>
      <c r="HH3563" s="73"/>
      <c r="HI3563" s="73"/>
      <c r="HJ3563" s="73"/>
      <c r="HK3563" s="73"/>
      <c r="HL3563" s="73"/>
      <c r="HM3563" s="73"/>
      <c r="HN3563" s="73"/>
      <c r="HO3563" s="73"/>
      <c r="HP3563" s="73"/>
      <c r="HQ3563" s="73"/>
      <c r="HR3563" s="73"/>
      <c r="HS3563" s="73"/>
      <c r="HT3563" s="73"/>
      <c r="HU3563" s="73"/>
      <c r="HV3563" s="73"/>
      <c r="HW3563" s="73"/>
      <c r="HX3563" s="73"/>
      <c r="HY3563" s="73"/>
      <c r="HZ3563" s="73"/>
      <c r="IA3563" s="73"/>
      <c r="IB3563" s="73"/>
      <c r="IC3563" s="73"/>
      <c r="ID3563" s="73"/>
      <c r="IE3563" s="73"/>
      <c r="IF3563" s="73"/>
      <c r="IG3563" s="73"/>
      <c r="IH3563" s="73"/>
      <c r="II3563" s="73"/>
      <c r="IJ3563" s="73"/>
      <c r="IK3563" s="73"/>
      <c r="IL3563" s="73"/>
      <c r="IM3563" s="73"/>
      <c r="IN3563" s="73"/>
      <c r="IO3563" s="73"/>
      <c r="IP3563" s="73"/>
      <c r="IQ3563" s="73"/>
      <c r="IR3563" s="73"/>
      <c r="IS3563" s="73"/>
      <c r="IT3563" s="73"/>
      <c r="IU3563" s="73"/>
      <c r="IV3563" s="73"/>
      <c r="IW3563" s="73"/>
      <c r="IX3563" s="73"/>
      <c r="IY3563" s="73"/>
      <c r="IZ3563" s="73"/>
      <c r="JA3563" s="73"/>
      <c r="JB3563" s="73"/>
      <c r="JC3563" s="73"/>
    </row>
    <row r="3564" spans="2:263" s="72" customFormat="1">
      <c r="B3564" s="73"/>
      <c r="C3564" s="73"/>
      <c r="D3564" s="73"/>
      <c r="E3564" s="73"/>
      <c r="F3564" s="73"/>
      <c r="G3564" s="73"/>
      <c r="H3564" s="73"/>
      <c r="I3564" s="73"/>
      <c r="J3564" s="73"/>
      <c r="K3564" s="73"/>
      <c r="L3564" s="73"/>
      <c r="M3564" s="73"/>
      <c r="N3564" s="73"/>
      <c r="O3564" s="73"/>
      <c r="P3564" s="73"/>
      <c r="Q3564" s="73"/>
      <c r="R3564" s="73"/>
      <c r="S3564" s="73"/>
      <c r="T3564" s="73"/>
      <c r="U3564" s="73"/>
      <c r="V3564" s="73"/>
      <c r="W3564" s="73"/>
      <c r="GL3564" s="73"/>
      <c r="GM3564" s="73"/>
      <c r="GN3564" s="73"/>
      <c r="GO3564" s="73"/>
      <c r="GP3564" s="73"/>
      <c r="GQ3564" s="73"/>
      <c r="GR3564" s="73"/>
      <c r="GS3564" s="73"/>
      <c r="GT3564" s="73"/>
      <c r="GU3564" s="73"/>
      <c r="GV3564" s="73"/>
      <c r="GW3564" s="73"/>
      <c r="GX3564" s="73"/>
      <c r="GY3564" s="73"/>
      <c r="GZ3564" s="73"/>
      <c r="HA3564" s="73"/>
      <c r="HB3564" s="73"/>
      <c r="HC3564" s="73"/>
      <c r="HD3564" s="73"/>
      <c r="HE3564" s="73"/>
      <c r="HF3564" s="73"/>
      <c r="HG3564" s="73"/>
      <c r="HH3564" s="73"/>
      <c r="HI3564" s="73"/>
      <c r="HJ3564" s="73"/>
      <c r="HK3564" s="73"/>
      <c r="HL3564" s="73"/>
      <c r="HM3564" s="73"/>
      <c r="HN3564" s="73"/>
      <c r="HO3564" s="73"/>
      <c r="HP3564" s="73"/>
      <c r="HQ3564" s="73"/>
      <c r="HR3564" s="73"/>
      <c r="HS3564" s="73"/>
      <c r="HT3564" s="73"/>
      <c r="HU3564" s="73"/>
      <c r="HV3564" s="73"/>
      <c r="HW3564" s="73"/>
      <c r="HX3564" s="73"/>
      <c r="HY3564" s="73"/>
      <c r="HZ3564" s="73"/>
      <c r="IA3564" s="73"/>
      <c r="IB3564" s="73"/>
      <c r="IC3564" s="73"/>
      <c r="ID3564" s="73"/>
      <c r="IE3564" s="73"/>
      <c r="IF3564" s="73"/>
      <c r="IG3564" s="73"/>
      <c r="IH3564" s="73"/>
      <c r="II3564" s="73"/>
      <c r="IJ3564" s="73"/>
      <c r="IK3564" s="73"/>
      <c r="IL3564" s="73"/>
      <c r="IM3564" s="73"/>
      <c r="IN3564" s="73"/>
      <c r="IO3564" s="73"/>
      <c r="IP3564" s="73"/>
      <c r="IQ3564" s="73"/>
      <c r="IR3564" s="73"/>
      <c r="IS3564" s="73"/>
      <c r="IT3564" s="73"/>
      <c r="IU3564" s="73"/>
      <c r="IV3564" s="73"/>
      <c r="IW3564" s="73"/>
      <c r="IX3564" s="73"/>
      <c r="IY3564" s="73"/>
      <c r="IZ3564" s="73"/>
      <c r="JA3564" s="73"/>
      <c r="JB3564" s="73"/>
      <c r="JC3564" s="73"/>
    </row>
    <row r="3565" spans="2:263" s="72" customFormat="1">
      <c r="B3565" s="73"/>
      <c r="C3565" s="73"/>
      <c r="D3565" s="73"/>
      <c r="E3565" s="73"/>
      <c r="F3565" s="73"/>
      <c r="G3565" s="73"/>
      <c r="H3565" s="73"/>
      <c r="I3565" s="73"/>
      <c r="J3565" s="73"/>
      <c r="K3565" s="73"/>
      <c r="L3565" s="73"/>
      <c r="M3565" s="73"/>
      <c r="N3565" s="73"/>
      <c r="O3565" s="73"/>
      <c r="P3565" s="73"/>
      <c r="Q3565" s="73"/>
      <c r="R3565" s="73"/>
      <c r="S3565" s="73"/>
      <c r="T3565" s="73"/>
      <c r="U3565" s="73"/>
      <c r="V3565" s="73"/>
      <c r="W3565" s="73"/>
      <c r="GL3565" s="73"/>
      <c r="GM3565" s="73"/>
      <c r="GN3565" s="73"/>
      <c r="GO3565" s="73"/>
      <c r="GP3565" s="73"/>
      <c r="GQ3565" s="73"/>
      <c r="GR3565" s="73"/>
      <c r="GS3565" s="73"/>
      <c r="GT3565" s="73"/>
      <c r="GU3565" s="73"/>
      <c r="GV3565" s="73"/>
      <c r="GW3565" s="73"/>
      <c r="GX3565" s="73"/>
      <c r="GY3565" s="73"/>
      <c r="GZ3565" s="73"/>
      <c r="HA3565" s="73"/>
      <c r="HB3565" s="73"/>
      <c r="HC3565" s="73"/>
      <c r="HD3565" s="73"/>
      <c r="HE3565" s="73"/>
      <c r="HF3565" s="73"/>
      <c r="HG3565" s="73"/>
      <c r="HH3565" s="73"/>
      <c r="HI3565" s="73"/>
      <c r="HJ3565" s="73"/>
      <c r="HK3565" s="73"/>
      <c r="HL3565" s="73"/>
      <c r="HM3565" s="73"/>
      <c r="HN3565" s="73"/>
      <c r="HO3565" s="73"/>
      <c r="HP3565" s="73"/>
      <c r="HQ3565" s="73"/>
      <c r="HR3565" s="73"/>
      <c r="HS3565" s="73"/>
      <c r="HT3565" s="73"/>
      <c r="HU3565" s="73"/>
      <c r="HV3565" s="73"/>
      <c r="HW3565" s="73"/>
      <c r="HX3565" s="73"/>
      <c r="HY3565" s="73"/>
      <c r="HZ3565" s="73"/>
      <c r="IA3565" s="73"/>
      <c r="IB3565" s="73"/>
      <c r="IC3565" s="73"/>
      <c r="ID3565" s="73"/>
      <c r="IE3565" s="73"/>
      <c r="IF3565" s="73"/>
      <c r="IG3565" s="73"/>
      <c r="IH3565" s="73"/>
      <c r="II3565" s="73"/>
      <c r="IJ3565" s="73"/>
      <c r="IK3565" s="73"/>
      <c r="IL3565" s="73"/>
      <c r="IM3565" s="73"/>
      <c r="IN3565" s="73"/>
      <c r="IO3565" s="73"/>
      <c r="IP3565" s="73"/>
      <c r="IQ3565" s="73"/>
      <c r="IR3565" s="73"/>
      <c r="IS3565" s="73"/>
      <c r="IT3565" s="73"/>
      <c r="IU3565" s="73"/>
      <c r="IV3565" s="73"/>
      <c r="IW3565" s="73"/>
      <c r="IX3565" s="73"/>
      <c r="IY3565" s="73"/>
      <c r="IZ3565" s="73"/>
      <c r="JA3565" s="73"/>
      <c r="JB3565" s="73"/>
      <c r="JC3565" s="73"/>
    </row>
    <row r="3566" spans="2:263" s="72" customFormat="1">
      <c r="B3566" s="73"/>
      <c r="C3566" s="73"/>
      <c r="D3566" s="73"/>
      <c r="E3566" s="73"/>
      <c r="F3566" s="73"/>
      <c r="G3566" s="73"/>
      <c r="H3566" s="73"/>
      <c r="I3566" s="73"/>
      <c r="J3566" s="73"/>
      <c r="K3566" s="73"/>
      <c r="L3566" s="73"/>
      <c r="M3566" s="73"/>
      <c r="N3566" s="73"/>
      <c r="O3566" s="73"/>
      <c r="P3566" s="73"/>
      <c r="Q3566" s="73"/>
      <c r="R3566" s="73"/>
      <c r="S3566" s="73"/>
      <c r="T3566" s="73"/>
      <c r="U3566" s="73"/>
      <c r="V3566" s="73"/>
      <c r="W3566" s="73"/>
      <c r="GL3566" s="73"/>
      <c r="GM3566" s="73"/>
      <c r="GN3566" s="73"/>
      <c r="GO3566" s="73"/>
      <c r="GP3566" s="73"/>
      <c r="GQ3566" s="73"/>
      <c r="GR3566" s="73"/>
      <c r="GS3566" s="73"/>
      <c r="GT3566" s="73"/>
      <c r="GU3566" s="73"/>
      <c r="GV3566" s="73"/>
      <c r="GW3566" s="73"/>
      <c r="GX3566" s="73"/>
      <c r="GY3566" s="73"/>
      <c r="GZ3566" s="73"/>
      <c r="HA3566" s="73"/>
      <c r="HB3566" s="73"/>
      <c r="HC3566" s="73"/>
      <c r="HD3566" s="73"/>
      <c r="HE3566" s="73"/>
      <c r="HF3566" s="73"/>
      <c r="HG3566" s="73"/>
      <c r="HH3566" s="73"/>
      <c r="HI3566" s="73"/>
      <c r="HJ3566" s="73"/>
      <c r="HK3566" s="73"/>
      <c r="HL3566" s="73"/>
      <c r="HM3566" s="73"/>
      <c r="HN3566" s="73"/>
      <c r="HO3566" s="73"/>
      <c r="HP3566" s="73"/>
      <c r="HQ3566" s="73"/>
      <c r="HR3566" s="73"/>
      <c r="HS3566" s="73"/>
      <c r="HT3566" s="73"/>
      <c r="HU3566" s="73"/>
      <c r="HV3566" s="73"/>
      <c r="HW3566" s="73"/>
      <c r="HX3566" s="73"/>
      <c r="HY3566" s="73"/>
      <c r="HZ3566" s="73"/>
      <c r="IA3566" s="73"/>
      <c r="IB3566" s="73"/>
      <c r="IC3566" s="73"/>
      <c r="ID3566" s="73"/>
      <c r="IE3566" s="73"/>
      <c r="IF3566" s="73"/>
      <c r="IG3566" s="73"/>
      <c r="IH3566" s="73"/>
      <c r="II3566" s="73"/>
      <c r="IJ3566" s="73"/>
      <c r="IK3566" s="73"/>
      <c r="IL3566" s="73"/>
      <c r="IM3566" s="73"/>
      <c r="IN3566" s="73"/>
      <c r="IO3566" s="73"/>
      <c r="IP3566" s="73"/>
      <c r="IQ3566" s="73"/>
      <c r="IR3566" s="73"/>
      <c r="IS3566" s="73"/>
      <c r="IT3566" s="73"/>
      <c r="IU3566" s="73"/>
      <c r="IV3566" s="73"/>
      <c r="IW3566" s="73"/>
      <c r="IX3566" s="73"/>
      <c r="IY3566" s="73"/>
      <c r="IZ3566" s="73"/>
      <c r="JA3566" s="73"/>
      <c r="JB3566" s="73"/>
      <c r="JC3566" s="73"/>
    </row>
    <row r="3567" spans="2:263" s="72" customFormat="1">
      <c r="B3567" s="73"/>
      <c r="C3567" s="73"/>
      <c r="D3567" s="73"/>
      <c r="E3567" s="73"/>
      <c r="F3567" s="73"/>
      <c r="G3567" s="73"/>
      <c r="H3567" s="73"/>
      <c r="I3567" s="73"/>
      <c r="J3567" s="73"/>
      <c r="K3567" s="73"/>
      <c r="L3567" s="73"/>
      <c r="M3567" s="73"/>
      <c r="N3567" s="73"/>
      <c r="O3567" s="73"/>
      <c r="P3567" s="73"/>
      <c r="Q3567" s="73"/>
      <c r="R3567" s="73"/>
      <c r="S3567" s="73"/>
      <c r="T3567" s="73"/>
      <c r="U3567" s="73"/>
      <c r="V3567" s="73"/>
      <c r="W3567" s="73"/>
      <c r="GL3567" s="73"/>
      <c r="GM3567" s="73"/>
      <c r="GN3567" s="73"/>
      <c r="GO3567" s="73"/>
      <c r="GP3567" s="73"/>
      <c r="GQ3567" s="73"/>
      <c r="GR3567" s="73"/>
      <c r="GS3567" s="73"/>
      <c r="GT3567" s="73"/>
      <c r="GU3567" s="73"/>
      <c r="GV3567" s="73"/>
      <c r="GW3567" s="73"/>
      <c r="GX3567" s="73"/>
      <c r="GY3567" s="73"/>
      <c r="GZ3567" s="73"/>
      <c r="HA3567" s="73"/>
      <c r="HB3567" s="73"/>
      <c r="HC3567" s="73"/>
      <c r="HD3567" s="73"/>
      <c r="HE3567" s="73"/>
      <c r="HF3567" s="73"/>
      <c r="HG3567" s="73"/>
      <c r="HH3567" s="73"/>
      <c r="HI3567" s="73"/>
      <c r="HJ3567" s="73"/>
      <c r="HK3567" s="73"/>
      <c r="HL3567" s="73"/>
      <c r="HM3567" s="73"/>
      <c r="HN3567" s="73"/>
      <c r="HO3567" s="73"/>
      <c r="HP3567" s="73"/>
      <c r="HQ3567" s="73"/>
      <c r="HR3567" s="73"/>
      <c r="HS3567" s="73"/>
      <c r="HT3567" s="73"/>
      <c r="HU3567" s="73"/>
      <c r="HV3567" s="73"/>
      <c r="HW3567" s="73"/>
      <c r="HX3567" s="73"/>
      <c r="HY3567" s="73"/>
      <c r="HZ3567" s="73"/>
      <c r="IA3567" s="73"/>
      <c r="IB3567" s="73"/>
      <c r="IC3567" s="73"/>
      <c r="ID3567" s="73"/>
      <c r="IE3567" s="73"/>
      <c r="IF3567" s="73"/>
      <c r="IG3567" s="73"/>
      <c r="IH3567" s="73"/>
      <c r="II3567" s="73"/>
      <c r="IJ3567" s="73"/>
      <c r="IK3567" s="73"/>
      <c r="IL3567" s="73"/>
      <c r="IM3567" s="73"/>
      <c r="IN3567" s="73"/>
      <c r="IO3567" s="73"/>
      <c r="IP3567" s="73"/>
      <c r="IQ3567" s="73"/>
      <c r="IR3567" s="73"/>
      <c r="IS3567" s="73"/>
      <c r="IT3567" s="73"/>
      <c r="IU3567" s="73"/>
      <c r="IV3567" s="73"/>
      <c r="IW3567" s="73"/>
      <c r="IX3567" s="73"/>
      <c r="IY3567" s="73"/>
      <c r="IZ3567" s="73"/>
      <c r="JA3567" s="73"/>
      <c r="JB3567" s="73"/>
      <c r="JC3567" s="73"/>
    </row>
    <row r="3568" spans="2:263" s="72" customFormat="1">
      <c r="B3568" s="73"/>
      <c r="C3568" s="73"/>
      <c r="D3568" s="73"/>
      <c r="E3568" s="73"/>
      <c r="F3568" s="73"/>
      <c r="G3568" s="73"/>
      <c r="H3568" s="73"/>
      <c r="I3568" s="73"/>
      <c r="J3568" s="73"/>
      <c r="K3568" s="73"/>
      <c r="L3568" s="73"/>
      <c r="M3568" s="73"/>
      <c r="N3568" s="73"/>
      <c r="O3568" s="73"/>
      <c r="P3568" s="73"/>
      <c r="Q3568" s="73"/>
      <c r="R3568" s="73"/>
      <c r="S3568" s="73"/>
      <c r="T3568" s="73"/>
      <c r="U3568" s="73"/>
      <c r="V3568" s="73"/>
      <c r="W3568" s="73"/>
      <c r="GL3568" s="73"/>
      <c r="GM3568" s="73"/>
      <c r="GN3568" s="73"/>
      <c r="GO3568" s="73"/>
      <c r="GP3568" s="73"/>
      <c r="GQ3568" s="73"/>
      <c r="GR3568" s="73"/>
      <c r="GS3568" s="73"/>
      <c r="GT3568" s="73"/>
      <c r="GU3568" s="73"/>
      <c r="GV3568" s="73"/>
      <c r="GW3568" s="73"/>
      <c r="GX3568" s="73"/>
      <c r="GY3568" s="73"/>
      <c r="GZ3568" s="73"/>
      <c r="HA3568" s="73"/>
      <c r="HB3568" s="73"/>
      <c r="HC3568" s="73"/>
      <c r="HD3568" s="73"/>
      <c r="HE3568" s="73"/>
      <c r="HF3568" s="73"/>
      <c r="HG3568" s="73"/>
      <c r="HH3568" s="73"/>
      <c r="HI3568" s="73"/>
      <c r="HJ3568" s="73"/>
      <c r="HK3568" s="73"/>
      <c r="HL3568" s="73"/>
      <c r="HM3568" s="73"/>
      <c r="HN3568" s="73"/>
      <c r="HO3568" s="73"/>
      <c r="HP3568" s="73"/>
      <c r="HQ3568" s="73"/>
      <c r="HR3568" s="73"/>
      <c r="HS3568" s="73"/>
      <c r="HT3568" s="73"/>
      <c r="HU3568" s="73"/>
      <c r="HV3568" s="73"/>
      <c r="HW3568" s="73"/>
      <c r="HX3568" s="73"/>
      <c r="HY3568" s="73"/>
      <c r="HZ3568" s="73"/>
      <c r="IA3568" s="73"/>
      <c r="IB3568" s="73"/>
      <c r="IC3568" s="73"/>
      <c r="ID3568" s="73"/>
      <c r="IE3568" s="73"/>
      <c r="IF3568" s="73"/>
      <c r="IG3568" s="73"/>
      <c r="IH3568" s="73"/>
      <c r="II3568" s="73"/>
      <c r="IJ3568" s="73"/>
      <c r="IK3568" s="73"/>
      <c r="IL3568" s="73"/>
      <c r="IM3568" s="73"/>
      <c r="IN3568" s="73"/>
      <c r="IO3568" s="73"/>
      <c r="IP3568" s="73"/>
      <c r="IQ3568" s="73"/>
      <c r="IR3568" s="73"/>
      <c r="IS3568" s="73"/>
      <c r="IT3568" s="73"/>
      <c r="IU3568" s="73"/>
      <c r="IV3568" s="73"/>
      <c r="IW3568" s="73"/>
      <c r="IX3568" s="73"/>
      <c r="IY3568" s="73"/>
      <c r="IZ3568" s="73"/>
      <c r="JA3568" s="73"/>
      <c r="JB3568" s="73"/>
      <c r="JC3568" s="73"/>
    </row>
    <row r="3569" spans="2:263" s="72" customFormat="1">
      <c r="B3569" s="73"/>
      <c r="C3569" s="73"/>
      <c r="D3569" s="73"/>
      <c r="E3569" s="73"/>
      <c r="F3569" s="73"/>
      <c r="G3569" s="73"/>
      <c r="H3569" s="73"/>
      <c r="I3569" s="73"/>
      <c r="J3569" s="73"/>
      <c r="K3569" s="73"/>
      <c r="L3569" s="73"/>
      <c r="M3569" s="73"/>
      <c r="N3569" s="73"/>
      <c r="O3569" s="73"/>
      <c r="P3569" s="73"/>
      <c r="Q3569" s="73"/>
      <c r="R3569" s="73"/>
      <c r="S3569" s="73"/>
      <c r="T3569" s="73"/>
      <c r="U3569" s="73"/>
      <c r="V3569" s="73"/>
      <c r="W3569" s="73"/>
      <c r="GL3569" s="73"/>
      <c r="GM3569" s="73"/>
      <c r="GN3569" s="73"/>
      <c r="GO3569" s="73"/>
      <c r="GP3569" s="73"/>
      <c r="GQ3569" s="73"/>
      <c r="GR3569" s="73"/>
      <c r="GS3569" s="73"/>
      <c r="GT3569" s="73"/>
      <c r="GU3569" s="73"/>
      <c r="GV3569" s="73"/>
      <c r="GW3569" s="73"/>
      <c r="GX3569" s="73"/>
      <c r="GY3569" s="73"/>
      <c r="GZ3569" s="73"/>
      <c r="HA3569" s="73"/>
      <c r="HB3569" s="73"/>
      <c r="HC3569" s="73"/>
      <c r="HD3569" s="73"/>
      <c r="HE3569" s="73"/>
      <c r="HF3569" s="73"/>
      <c r="HG3569" s="73"/>
      <c r="HH3569" s="73"/>
      <c r="HI3569" s="73"/>
      <c r="HJ3569" s="73"/>
      <c r="HK3569" s="73"/>
      <c r="HL3569" s="73"/>
      <c r="HM3569" s="73"/>
      <c r="HN3569" s="73"/>
      <c r="HO3569" s="73"/>
      <c r="HP3569" s="73"/>
      <c r="HQ3569" s="73"/>
      <c r="HR3569" s="73"/>
      <c r="HS3569" s="73"/>
      <c r="HT3569" s="73"/>
      <c r="HU3569" s="73"/>
      <c r="HV3569" s="73"/>
      <c r="HW3569" s="73"/>
      <c r="HX3569" s="73"/>
      <c r="HY3569" s="73"/>
      <c r="HZ3569" s="73"/>
      <c r="IA3569" s="73"/>
      <c r="IB3569" s="73"/>
      <c r="IC3569" s="73"/>
      <c r="ID3569" s="73"/>
      <c r="IE3569" s="73"/>
      <c r="IF3569" s="73"/>
      <c r="IG3569" s="73"/>
      <c r="IH3569" s="73"/>
      <c r="II3569" s="73"/>
      <c r="IJ3569" s="73"/>
      <c r="IK3569" s="73"/>
      <c r="IL3569" s="73"/>
      <c r="IM3569" s="73"/>
      <c r="IN3569" s="73"/>
      <c r="IO3569" s="73"/>
      <c r="IP3569" s="73"/>
      <c r="IQ3569" s="73"/>
      <c r="IR3569" s="73"/>
      <c r="IS3569" s="73"/>
      <c r="IT3569" s="73"/>
      <c r="IU3569" s="73"/>
      <c r="IV3569" s="73"/>
      <c r="IW3569" s="73"/>
      <c r="IX3569" s="73"/>
      <c r="IY3569" s="73"/>
      <c r="IZ3569" s="73"/>
      <c r="JA3569" s="73"/>
      <c r="JB3569" s="73"/>
      <c r="JC3569" s="73"/>
    </row>
    <row r="3570" spans="2:263" s="72" customFormat="1">
      <c r="B3570" s="73"/>
      <c r="C3570" s="73"/>
      <c r="D3570" s="73"/>
      <c r="E3570" s="73"/>
      <c r="F3570" s="73"/>
      <c r="G3570" s="73"/>
      <c r="H3570" s="73"/>
      <c r="I3570" s="73"/>
      <c r="J3570" s="73"/>
      <c r="K3570" s="73"/>
      <c r="L3570" s="73"/>
      <c r="M3570" s="73"/>
      <c r="N3570" s="73"/>
      <c r="O3570" s="73"/>
      <c r="P3570" s="73"/>
      <c r="Q3570" s="73"/>
      <c r="R3570" s="73"/>
      <c r="S3570" s="73"/>
      <c r="T3570" s="73"/>
      <c r="U3570" s="73"/>
      <c r="V3570" s="73"/>
      <c r="W3570" s="73"/>
      <c r="GL3570" s="73"/>
      <c r="GM3570" s="73"/>
      <c r="GN3570" s="73"/>
      <c r="GO3570" s="73"/>
      <c r="GP3570" s="73"/>
      <c r="GQ3570" s="73"/>
      <c r="GR3570" s="73"/>
      <c r="GS3570" s="73"/>
      <c r="GT3570" s="73"/>
      <c r="GU3570" s="73"/>
      <c r="GV3570" s="73"/>
      <c r="GW3570" s="73"/>
      <c r="GX3570" s="73"/>
      <c r="GY3570" s="73"/>
      <c r="GZ3570" s="73"/>
      <c r="HA3570" s="73"/>
      <c r="HB3570" s="73"/>
      <c r="HC3570" s="73"/>
      <c r="HD3570" s="73"/>
      <c r="HE3570" s="73"/>
      <c r="HF3570" s="73"/>
      <c r="HG3570" s="73"/>
      <c r="HH3570" s="73"/>
      <c r="HI3570" s="73"/>
      <c r="HJ3570" s="73"/>
      <c r="HK3570" s="73"/>
      <c r="HL3570" s="73"/>
      <c r="HM3570" s="73"/>
      <c r="HN3570" s="73"/>
      <c r="HO3570" s="73"/>
      <c r="HP3570" s="73"/>
      <c r="HQ3570" s="73"/>
      <c r="HR3570" s="73"/>
      <c r="HS3570" s="73"/>
      <c r="HT3570" s="73"/>
      <c r="HU3570" s="73"/>
      <c r="HV3570" s="73"/>
      <c r="HW3570" s="73"/>
      <c r="HX3570" s="73"/>
      <c r="HY3570" s="73"/>
      <c r="HZ3570" s="73"/>
      <c r="IA3570" s="73"/>
      <c r="IB3570" s="73"/>
      <c r="IC3570" s="73"/>
      <c r="ID3570" s="73"/>
      <c r="IE3570" s="73"/>
      <c r="IF3570" s="73"/>
      <c r="IG3570" s="73"/>
      <c r="IH3570" s="73"/>
      <c r="II3570" s="73"/>
      <c r="IJ3570" s="73"/>
      <c r="IK3570" s="73"/>
      <c r="IL3570" s="73"/>
      <c r="IM3570" s="73"/>
      <c r="IN3570" s="73"/>
      <c r="IO3570" s="73"/>
      <c r="IP3570" s="73"/>
      <c r="IQ3570" s="73"/>
      <c r="IR3570" s="73"/>
      <c r="IS3570" s="73"/>
      <c r="IT3570" s="73"/>
      <c r="IU3570" s="73"/>
      <c r="IV3570" s="73"/>
      <c r="IW3570" s="73"/>
      <c r="IX3570" s="73"/>
      <c r="IY3570" s="73"/>
      <c r="IZ3570" s="73"/>
      <c r="JA3570" s="73"/>
      <c r="JB3570" s="73"/>
      <c r="JC3570" s="73"/>
    </row>
    <row r="3571" spans="2:263" s="72" customFormat="1">
      <c r="B3571" s="73"/>
      <c r="C3571" s="73"/>
      <c r="D3571" s="73"/>
      <c r="E3571" s="73"/>
      <c r="F3571" s="73"/>
      <c r="G3571" s="73"/>
      <c r="H3571" s="73"/>
      <c r="I3571" s="73"/>
      <c r="J3571" s="73"/>
      <c r="K3571" s="73"/>
      <c r="L3571" s="73"/>
      <c r="M3571" s="73"/>
      <c r="N3571" s="73"/>
      <c r="O3571" s="73"/>
      <c r="P3571" s="73"/>
      <c r="Q3571" s="73"/>
      <c r="R3571" s="73"/>
      <c r="S3571" s="73"/>
      <c r="T3571" s="73"/>
      <c r="U3571" s="73"/>
      <c r="V3571" s="73"/>
      <c r="W3571" s="73"/>
      <c r="GL3571" s="73"/>
      <c r="GM3571" s="73"/>
      <c r="GN3571" s="73"/>
      <c r="GO3571" s="73"/>
      <c r="GP3571" s="73"/>
      <c r="GQ3571" s="73"/>
      <c r="GR3571" s="73"/>
      <c r="GS3571" s="73"/>
      <c r="GT3571" s="73"/>
      <c r="GU3571" s="73"/>
      <c r="GV3571" s="73"/>
      <c r="GW3571" s="73"/>
      <c r="GX3571" s="73"/>
      <c r="GY3571" s="73"/>
      <c r="GZ3571" s="73"/>
      <c r="HA3571" s="73"/>
      <c r="HB3571" s="73"/>
      <c r="HC3571" s="73"/>
      <c r="HD3571" s="73"/>
      <c r="HE3571" s="73"/>
      <c r="HF3571" s="73"/>
      <c r="HG3571" s="73"/>
      <c r="HH3571" s="73"/>
      <c r="HI3571" s="73"/>
      <c r="HJ3571" s="73"/>
      <c r="HK3571" s="73"/>
      <c r="HL3571" s="73"/>
      <c r="HM3571" s="73"/>
      <c r="HN3571" s="73"/>
      <c r="HO3571" s="73"/>
      <c r="HP3571" s="73"/>
      <c r="HQ3571" s="73"/>
      <c r="HR3571" s="73"/>
      <c r="HS3571" s="73"/>
      <c r="HT3571" s="73"/>
      <c r="HU3571" s="73"/>
      <c r="HV3571" s="73"/>
      <c r="HW3571" s="73"/>
      <c r="HX3571" s="73"/>
      <c r="HY3571" s="73"/>
      <c r="HZ3571" s="73"/>
      <c r="IA3571" s="73"/>
      <c r="IB3571" s="73"/>
      <c r="IC3571" s="73"/>
      <c r="ID3571" s="73"/>
      <c r="IE3571" s="73"/>
      <c r="IF3571" s="73"/>
      <c r="IG3571" s="73"/>
      <c r="IH3571" s="73"/>
      <c r="II3571" s="73"/>
      <c r="IJ3571" s="73"/>
      <c r="IK3571" s="73"/>
      <c r="IL3571" s="73"/>
      <c r="IM3571" s="73"/>
      <c r="IN3571" s="73"/>
      <c r="IO3571" s="73"/>
      <c r="IP3571" s="73"/>
      <c r="IQ3571" s="73"/>
      <c r="IR3571" s="73"/>
      <c r="IS3571" s="73"/>
      <c r="IT3571" s="73"/>
      <c r="IU3571" s="73"/>
      <c r="IV3571" s="73"/>
      <c r="IW3571" s="73"/>
      <c r="IX3571" s="73"/>
      <c r="IY3571" s="73"/>
      <c r="IZ3571" s="73"/>
      <c r="JA3571" s="73"/>
      <c r="JB3571" s="73"/>
      <c r="JC3571" s="73"/>
    </row>
    <row r="3572" spans="2:263" s="72" customFormat="1">
      <c r="B3572" s="73"/>
      <c r="C3572" s="73"/>
      <c r="D3572" s="73"/>
      <c r="E3572" s="73"/>
      <c r="F3572" s="73"/>
      <c r="G3572" s="73"/>
      <c r="H3572" s="73"/>
      <c r="I3572" s="73"/>
      <c r="J3572" s="73"/>
      <c r="K3572" s="73"/>
      <c r="L3572" s="73"/>
      <c r="M3572" s="73"/>
      <c r="N3572" s="73"/>
      <c r="O3572" s="73"/>
      <c r="P3572" s="73"/>
      <c r="Q3572" s="73"/>
      <c r="R3572" s="73"/>
      <c r="S3572" s="73"/>
      <c r="T3572" s="73"/>
      <c r="U3572" s="73"/>
      <c r="V3572" s="73"/>
      <c r="W3572" s="73"/>
      <c r="GL3572" s="73"/>
      <c r="GM3572" s="73"/>
      <c r="GN3572" s="73"/>
      <c r="GO3572" s="73"/>
      <c r="GP3572" s="73"/>
      <c r="GQ3572" s="73"/>
      <c r="GR3572" s="73"/>
      <c r="GS3572" s="73"/>
      <c r="GT3572" s="73"/>
      <c r="GU3572" s="73"/>
      <c r="GV3572" s="73"/>
      <c r="GW3572" s="73"/>
      <c r="GX3572" s="73"/>
      <c r="GY3572" s="73"/>
      <c r="GZ3572" s="73"/>
      <c r="HA3572" s="73"/>
      <c r="HB3572" s="73"/>
      <c r="HC3572" s="73"/>
      <c r="HD3572" s="73"/>
      <c r="HE3572" s="73"/>
      <c r="HF3572" s="73"/>
      <c r="HG3572" s="73"/>
      <c r="HH3572" s="73"/>
      <c r="HI3572" s="73"/>
      <c r="HJ3572" s="73"/>
      <c r="HK3572" s="73"/>
      <c r="HL3572" s="73"/>
      <c r="HM3572" s="73"/>
      <c r="HN3572" s="73"/>
      <c r="HO3572" s="73"/>
      <c r="HP3572" s="73"/>
      <c r="HQ3572" s="73"/>
      <c r="HR3572" s="73"/>
      <c r="HS3572" s="73"/>
      <c r="HT3572" s="73"/>
      <c r="HU3572" s="73"/>
      <c r="HV3572" s="73"/>
      <c r="HW3572" s="73"/>
      <c r="HX3572" s="73"/>
      <c r="HY3572" s="73"/>
      <c r="HZ3572" s="73"/>
      <c r="IA3572" s="73"/>
      <c r="IB3572" s="73"/>
      <c r="IC3572" s="73"/>
      <c r="ID3572" s="73"/>
      <c r="IE3572" s="73"/>
      <c r="IF3572" s="73"/>
      <c r="IG3572" s="73"/>
      <c r="IH3572" s="73"/>
      <c r="II3572" s="73"/>
      <c r="IJ3572" s="73"/>
      <c r="IK3572" s="73"/>
      <c r="IL3572" s="73"/>
      <c r="IM3572" s="73"/>
      <c r="IN3572" s="73"/>
      <c r="IO3572" s="73"/>
      <c r="IP3572" s="73"/>
      <c r="IQ3572" s="73"/>
      <c r="IR3572" s="73"/>
      <c r="IS3572" s="73"/>
      <c r="IT3572" s="73"/>
      <c r="IU3572" s="73"/>
      <c r="IV3572" s="73"/>
      <c r="IW3572" s="73"/>
      <c r="IX3572" s="73"/>
      <c r="IY3572" s="73"/>
      <c r="IZ3572" s="73"/>
      <c r="JA3572" s="73"/>
      <c r="JB3572" s="73"/>
      <c r="JC3572" s="73"/>
    </row>
    <row r="3573" spans="2:263" s="72" customFormat="1">
      <c r="B3573" s="73"/>
      <c r="C3573" s="73"/>
      <c r="D3573" s="73"/>
      <c r="E3573" s="73"/>
      <c r="F3573" s="73"/>
      <c r="G3573" s="73"/>
      <c r="H3573" s="73"/>
      <c r="I3573" s="73"/>
      <c r="J3573" s="73"/>
      <c r="K3573" s="73"/>
      <c r="L3573" s="73"/>
      <c r="M3573" s="73"/>
      <c r="N3573" s="73"/>
      <c r="O3573" s="73"/>
      <c r="P3573" s="73"/>
      <c r="Q3573" s="73"/>
      <c r="R3573" s="73"/>
      <c r="S3573" s="73"/>
      <c r="T3573" s="73"/>
      <c r="U3573" s="73"/>
      <c r="V3573" s="73"/>
      <c r="W3573" s="73"/>
      <c r="GL3573" s="73"/>
      <c r="GM3573" s="73"/>
      <c r="GN3573" s="73"/>
      <c r="GO3573" s="73"/>
      <c r="GP3573" s="73"/>
      <c r="GQ3573" s="73"/>
      <c r="GR3573" s="73"/>
      <c r="GS3573" s="73"/>
      <c r="GT3573" s="73"/>
      <c r="GU3573" s="73"/>
      <c r="GV3573" s="73"/>
      <c r="GW3573" s="73"/>
      <c r="GX3573" s="73"/>
      <c r="GY3573" s="73"/>
      <c r="GZ3573" s="73"/>
      <c r="HA3573" s="73"/>
      <c r="HB3573" s="73"/>
      <c r="HC3573" s="73"/>
      <c r="HD3573" s="73"/>
      <c r="HE3573" s="73"/>
      <c r="HF3573" s="73"/>
      <c r="HG3573" s="73"/>
      <c r="HH3573" s="73"/>
      <c r="HI3573" s="73"/>
      <c r="HJ3573" s="73"/>
      <c r="HK3573" s="73"/>
      <c r="HL3573" s="73"/>
      <c r="HM3573" s="73"/>
      <c r="HN3573" s="73"/>
      <c r="HO3573" s="73"/>
      <c r="HP3573" s="73"/>
      <c r="HQ3573" s="73"/>
      <c r="HR3573" s="73"/>
      <c r="HS3573" s="73"/>
      <c r="HT3573" s="73"/>
      <c r="HU3573" s="73"/>
      <c r="HV3573" s="73"/>
      <c r="HW3573" s="73"/>
      <c r="HX3573" s="73"/>
      <c r="HY3573" s="73"/>
      <c r="HZ3573" s="73"/>
      <c r="IA3573" s="73"/>
      <c r="IB3573" s="73"/>
      <c r="IC3573" s="73"/>
      <c r="ID3573" s="73"/>
      <c r="IE3573" s="73"/>
      <c r="IF3573" s="73"/>
      <c r="IG3573" s="73"/>
      <c r="IH3573" s="73"/>
      <c r="II3573" s="73"/>
      <c r="IJ3573" s="73"/>
      <c r="IK3573" s="73"/>
      <c r="IL3573" s="73"/>
      <c r="IM3573" s="73"/>
      <c r="IN3573" s="73"/>
      <c r="IO3573" s="73"/>
      <c r="IP3573" s="73"/>
      <c r="IQ3573" s="73"/>
      <c r="IR3573" s="73"/>
      <c r="IS3573" s="73"/>
      <c r="IT3573" s="73"/>
      <c r="IU3573" s="73"/>
      <c r="IV3573" s="73"/>
      <c r="IW3573" s="73"/>
      <c r="IX3573" s="73"/>
      <c r="IY3573" s="73"/>
      <c r="IZ3573" s="73"/>
      <c r="JA3573" s="73"/>
      <c r="JB3573" s="73"/>
      <c r="JC3573" s="73"/>
    </row>
    <row r="3574" spans="2:263" s="72" customFormat="1">
      <c r="B3574" s="73"/>
      <c r="C3574" s="73"/>
      <c r="D3574" s="73"/>
      <c r="E3574" s="73"/>
      <c r="F3574" s="73"/>
      <c r="G3574" s="73"/>
      <c r="H3574" s="73"/>
      <c r="I3574" s="73"/>
      <c r="J3574" s="73"/>
      <c r="K3574" s="73"/>
      <c r="L3574" s="73"/>
      <c r="M3574" s="73"/>
      <c r="N3574" s="73"/>
      <c r="O3574" s="73"/>
      <c r="P3574" s="73"/>
      <c r="Q3574" s="73"/>
      <c r="R3574" s="73"/>
      <c r="S3574" s="73"/>
      <c r="T3574" s="73"/>
      <c r="U3574" s="73"/>
      <c r="V3574" s="73"/>
      <c r="W3574" s="73"/>
      <c r="GL3574" s="73"/>
      <c r="GM3574" s="73"/>
      <c r="GN3574" s="73"/>
      <c r="GO3574" s="73"/>
      <c r="GP3574" s="73"/>
      <c r="GQ3574" s="73"/>
      <c r="GR3574" s="73"/>
      <c r="GS3574" s="73"/>
      <c r="GT3574" s="73"/>
      <c r="GU3574" s="73"/>
      <c r="GV3574" s="73"/>
      <c r="GW3574" s="73"/>
      <c r="GX3574" s="73"/>
      <c r="GY3574" s="73"/>
      <c r="GZ3574" s="73"/>
      <c r="HA3574" s="73"/>
      <c r="HB3574" s="73"/>
      <c r="HC3574" s="73"/>
      <c r="HD3574" s="73"/>
      <c r="HE3574" s="73"/>
      <c r="HF3574" s="73"/>
      <c r="HG3574" s="73"/>
      <c r="HH3574" s="73"/>
      <c r="HI3574" s="73"/>
      <c r="HJ3574" s="73"/>
      <c r="HK3574" s="73"/>
      <c r="HL3574" s="73"/>
      <c r="HM3574" s="73"/>
      <c r="HN3574" s="73"/>
      <c r="HO3574" s="73"/>
      <c r="HP3574" s="73"/>
      <c r="HQ3574" s="73"/>
      <c r="HR3574" s="73"/>
      <c r="HS3574" s="73"/>
      <c r="HT3574" s="73"/>
      <c r="HU3574" s="73"/>
      <c r="HV3574" s="73"/>
      <c r="HW3574" s="73"/>
      <c r="HX3574" s="73"/>
      <c r="HY3574" s="73"/>
      <c r="HZ3574" s="73"/>
      <c r="IA3574" s="73"/>
      <c r="IB3574" s="73"/>
      <c r="IC3574" s="73"/>
      <c r="ID3574" s="73"/>
      <c r="IE3574" s="73"/>
      <c r="IF3574" s="73"/>
      <c r="IG3574" s="73"/>
      <c r="IH3574" s="73"/>
      <c r="II3574" s="73"/>
      <c r="IJ3574" s="73"/>
      <c r="IK3574" s="73"/>
      <c r="IL3574" s="73"/>
      <c r="IM3574" s="73"/>
      <c r="IN3574" s="73"/>
      <c r="IO3574" s="73"/>
      <c r="IP3574" s="73"/>
      <c r="IQ3574" s="73"/>
      <c r="IR3574" s="73"/>
      <c r="IS3574" s="73"/>
      <c r="IT3574" s="73"/>
      <c r="IU3574" s="73"/>
      <c r="IV3574" s="73"/>
      <c r="IW3574" s="73"/>
      <c r="IX3574" s="73"/>
      <c r="IY3574" s="73"/>
      <c r="IZ3574" s="73"/>
      <c r="JA3574" s="73"/>
      <c r="JB3574" s="73"/>
      <c r="JC3574" s="73"/>
    </row>
    <row r="3575" spans="2:263" s="72" customFormat="1">
      <c r="B3575" s="73"/>
      <c r="C3575" s="73"/>
      <c r="D3575" s="73"/>
      <c r="E3575" s="73"/>
      <c r="F3575" s="73"/>
      <c r="G3575" s="73"/>
      <c r="H3575" s="73"/>
      <c r="I3575" s="73"/>
      <c r="J3575" s="73"/>
      <c r="K3575" s="73"/>
      <c r="L3575" s="73"/>
      <c r="M3575" s="73"/>
      <c r="N3575" s="73"/>
      <c r="O3575" s="73"/>
      <c r="P3575" s="73"/>
      <c r="Q3575" s="73"/>
      <c r="R3575" s="73"/>
      <c r="S3575" s="73"/>
      <c r="T3575" s="73"/>
      <c r="U3575" s="73"/>
      <c r="V3575" s="73"/>
      <c r="W3575" s="73"/>
      <c r="GL3575" s="73"/>
      <c r="GM3575" s="73"/>
      <c r="GN3575" s="73"/>
      <c r="GO3575" s="73"/>
      <c r="GP3575" s="73"/>
      <c r="GQ3575" s="73"/>
      <c r="GR3575" s="73"/>
      <c r="GS3575" s="73"/>
      <c r="GT3575" s="73"/>
      <c r="GU3575" s="73"/>
      <c r="GV3575" s="73"/>
      <c r="GW3575" s="73"/>
      <c r="GX3575" s="73"/>
      <c r="GY3575" s="73"/>
      <c r="GZ3575" s="73"/>
      <c r="HA3575" s="73"/>
      <c r="HB3575" s="73"/>
      <c r="HC3575" s="73"/>
      <c r="HD3575" s="73"/>
      <c r="HE3575" s="73"/>
      <c r="HF3575" s="73"/>
      <c r="HG3575" s="73"/>
      <c r="HH3575" s="73"/>
      <c r="HI3575" s="73"/>
      <c r="HJ3575" s="73"/>
      <c r="HK3575" s="73"/>
      <c r="HL3575" s="73"/>
      <c r="HM3575" s="73"/>
      <c r="HN3575" s="73"/>
      <c r="HO3575" s="73"/>
      <c r="HP3575" s="73"/>
      <c r="HQ3575" s="73"/>
      <c r="HR3575" s="73"/>
      <c r="HS3575" s="73"/>
      <c r="HT3575" s="73"/>
      <c r="HU3575" s="73"/>
      <c r="HV3575" s="73"/>
      <c r="HW3575" s="73"/>
      <c r="HX3575" s="73"/>
      <c r="HY3575" s="73"/>
      <c r="HZ3575" s="73"/>
      <c r="IA3575" s="73"/>
      <c r="IB3575" s="73"/>
      <c r="IC3575" s="73"/>
      <c r="ID3575" s="73"/>
      <c r="IE3575" s="73"/>
      <c r="IF3575" s="73"/>
      <c r="IG3575" s="73"/>
      <c r="IH3575" s="73"/>
      <c r="II3575" s="73"/>
      <c r="IJ3575" s="73"/>
      <c r="IK3575" s="73"/>
      <c r="IL3575" s="73"/>
      <c r="IM3575" s="73"/>
      <c r="IN3575" s="73"/>
      <c r="IO3575" s="73"/>
      <c r="IP3575" s="73"/>
      <c r="IQ3575" s="73"/>
      <c r="IR3575" s="73"/>
      <c r="IS3575" s="73"/>
      <c r="IT3575" s="73"/>
      <c r="IU3575" s="73"/>
      <c r="IV3575" s="73"/>
      <c r="IW3575" s="73"/>
      <c r="IX3575" s="73"/>
      <c r="IY3575" s="73"/>
      <c r="IZ3575" s="73"/>
      <c r="JA3575" s="73"/>
      <c r="JB3575" s="73"/>
      <c r="JC3575" s="73"/>
    </row>
    <row r="3576" spans="2:263" s="72" customFormat="1">
      <c r="B3576" s="73"/>
      <c r="C3576" s="73"/>
      <c r="D3576" s="73"/>
      <c r="E3576" s="73"/>
      <c r="F3576" s="73"/>
      <c r="G3576" s="73"/>
      <c r="H3576" s="73"/>
      <c r="I3576" s="73"/>
      <c r="J3576" s="73"/>
      <c r="K3576" s="73"/>
      <c r="L3576" s="73"/>
      <c r="M3576" s="73"/>
      <c r="N3576" s="73"/>
      <c r="O3576" s="73"/>
      <c r="P3576" s="73"/>
      <c r="Q3576" s="73"/>
      <c r="R3576" s="73"/>
      <c r="S3576" s="73"/>
      <c r="T3576" s="73"/>
      <c r="U3576" s="73"/>
      <c r="V3576" s="73"/>
      <c r="W3576" s="73"/>
      <c r="GL3576" s="73"/>
      <c r="GM3576" s="73"/>
      <c r="GN3576" s="73"/>
      <c r="GO3576" s="73"/>
      <c r="GP3576" s="73"/>
      <c r="GQ3576" s="73"/>
      <c r="GR3576" s="73"/>
      <c r="GS3576" s="73"/>
      <c r="GT3576" s="73"/>
      <c r="GU3576" s="73"/>
      <c r="GV3576" s="73"/>
      <c r="GW3576" s="73"/>
      <c r="GX3576" s="73"/>
      <c r="GY3576" s="73"/>
      <c r="GZ3576" s="73"/>
      <c r="HA3576" s="73"/>
      <c r="HB3576" s="73"/>
      <c r="HC3576" s="73"/>
      <c r="HD3576" s="73"/>
      <c r="HE3576" s="73"/>
      <c r="HF3576" s="73"/>
      <c r="HG3576" s="73"/>
      <c r="HH3576" s="73"/>
      <c r="HI3576" s="73"/>
      <c r="HJ3576" s="73"/>
      <c r="HK3576" s="73"/>
      <c r="HL3576" s="73"/>
      <c r="HM3576" s="73"/>
      <c r="HN3576" s="73"/>
      <c r="HO3576" s="73"/>
      <c r="HP3576" s="73"/>
      <c r="HQ3576" s="73"/>
      <c r="HR3576" s="73"/>
      <c r="HS3576" s="73"/>
      <c r="HT3576" s="73"/>
      <c r="HU3576" s="73"/>
      <c r="HV3576" s="73"/>
      <c r="HW3576" s="73"/>
      <c r="HX3576" s="73"/>
      <c r="HY3576" s="73"/>
      <c r="HZ3576" s="73"/>
      <c r="IA3576" s="73"/>
      <c r="IB3576" s="73"/>
      <c r="IC3576" s="73"/>
      <c r="ID3576" s="73"/>
      <c r="IE3576" s="73"/>
      <c r="IF3576" s="73"/>
      <c r="IG3576" s="73"/>
      <c r="IH3576" s="73"/>
      <c r="II3576" s="73"/>
      <c r="IJ3576" s="73"/>
      <c r="IK3576" s="73"/>
      <c r="IL3576" s="73"/>
      <c r="IM3576" s="73"/>
      <c r="IN3576" s="73"/>
      <c r="IO3576" s="73"/>
      <c r="IP3576" s="73"/>
      <c r="IQ3576" s="73"/>
      <c r="IR3576" s="73"/>
      <c r="IS3576" s="73"/>
      <c r="IT3576" s="73"/>
      <c r="IU3576" s="73"/>
      <c r="IV3576" s="73"/>
      <c r="IW3576" s="73"/>
      <c r="IX3576" s="73"/>
      <c r="IY3576" s="73"/>
      <c r="IZ3576" s="73"/>
      <c r="JA3576" s="73"/>
      <c r="JB3576" s="73"/>
      <c r="JC3576" s="73"/>
    </row>
    <row r="3577" spans="2:263" s="72" customFormat="1">
      <c r="B3577" s="73"/>
      <c r="C3577" s="73"/>
      <c r="D3577" s="73"/>
      <c r="E3577" s="73"/>
      <c r="F3577" s="73"/>
      <c r="G3577" s="73"/>
      <c r="H3577" s="73"/>
      <c r="I3577" s="73"/>
      <c r="J3577" s="73"/>
      <c r="K3577" s="73"/>
      <c r="L3577" s="73"/>
      <c r="M3577" s="73"/>
      <c r="N3577" s="73"/>
      <c r="O3577" s="73"/>
      <c r="P3577" s="73"/>
      <c r="Q3577" s="73"/>
      <c r="R3577" s="73"/>
      <c r="S3577" s="73"/>
      <c r="T3577" s="73"/>
      <c r="U3577" s="73"/>
      <c r="V3577" s="73"/>
      <c r="W3577" s="73"/>
      <c r="GL3577" s="73"/>
      <c r="GM3577" s="73"/>
      <c r="GN3577" s="73"/>
      <c r="GO3577" s="73"/>
      <c r="GP3577" s="73"/>
      <c r="GQ3577" s="73"/>
      <c r="GR3577" s="73"/>
      <c r="GS3577" s="73"/>
      <c r="GT3577" s="73"/>
      <c r="GU3577" s="73"/>
      <c r="GV3577" s="73"/>
      <c r="GW3577" s="73"/>
      <c r="GX3577" s="73"/>
      <c r="GY3577" s="73"/>
      <c r="GZ3577" s="73"/>
      <c r="HA3577" s="73"/>
      <c r="HB3577" s="73"/>
      <c r="HC3577" s="73"/>
      <c r="HD3577" s="73"/>
      <c r="HE3577" s="73"/>
      <c r="HF3577" s="73"/>
      <c r="HG3577" s="73"/>
      <c r="HH3577" s="73"/>
      <c r="HI3577" s="73"/>
      <c r="HJ3577" s="73"/>
      <c r="HK3577" s="73"/>
      <c r="HL3577" s="73"/>
      <c r="HM3577" s="73"/>
      <c r="HN3577" s="73"/>
      <c r="HO3577" s="73"/>
      <c r="HP3577" s="73"/>
      <c r="HQ3577" s="73"/>
      <c r="HR3577" s="73"/>
      <c r="HS3577" s="73"/>
      <c r="HT3577" s="73"/>
      <c r="HU3577" s="73"/>
      <c r="HV3577" s="73"/>
      <c r="HW3577" s="73"/>
      <c r="HX3577" s="73"/>
      <c r="HY3577" s="73"/>
      <c r="HZ3577" s="73"/>
      <c r="IA3577" s="73"/>
      <c r="IB3577" s="73"/>
      <c r="IC3577" s="73"/>
      <c r="ID3577" s="73"/>
      <c r="IE3577" s="73"/>
      <c r="IF3577" s="73"/>
      <c r="IG3577" s="73"/>
      <c r="IH3577" s="73"/>
      <c r="II3577" s="73"/>
      <c r="IJ3577" s="73"/>
      <c r="IK3577" s="73"/>
      <c r="IL3577" s="73"/>
      <c r="IM3577" s="73"/>
      <c r="IN3577" s="73"/>
      <c r="IO3577" s="73"/>
      <c r="IP3577" s="73"/>
      <c r="IQ3577" s="73"/>
      <c r="IR3577" s="73"/>
      <c r="IS3577" s="73"/>
      <c r="IT3577" s="73"/>
      <c r="IU3577" s="73"/>
      <c r="IV3577" s="73"/>
      <c r="IW3577" s="73"/>
      <c r="IX3577" s="73"/>
      <c r="IY3577" s="73"/>
      <c r="IZ3577" s="73"/>
      <c r="JA3577" s="73"/>
      <c r="JB3577" s="73"/>
      <c r="JC3577" s="73"/>
    </row>
    <row r="3578" spans="2:263" s="72" customFormat="1">
      <c r="B3578" s="73"/>
      <c r="C3578" s="73"/>
      <c r="D3578" s="73"/>
      <c r="E3578" s="73"/>
      <c r="F3578" s="73"/>
      <c r="G3578" s="73"/>
      <c r="H3578" s="73"/>
      <c r="I3578" s="73"/>
      <c r="J3578" s="73"/>
      <c r="K3578" s="73"/>
      <c r="L3578" s="73"/>
      <c r="M3578" s="73"/>
      <c r="N3578" s="73"/>
      <c r="O3578" s="73"/>
      <c r="P3578" s="73"/>
      <c r="Q3578" s="73"/>
      <c r="R3578" s="73"/>
      <c r="S3578" s="73"/>
      <c r="T3578" s="73"/>
      <c r="U3578" s="73"/>
      <c r="V3578" s="73"/>
      <c r="W3578" s="73"/>
      <c r="GL3578" s="73"/>
      <c r="GM3578" s="73"/>
      <c r="GN3578" s="73"/>
      <c r="GO3578" s="73"/>
      <c r="GP3578" s="73"/>
      <c r="GQ3578" s="73"/>
      <c r="GR3578" s="73"/>
      <c r="GS3578" s="73"/>
      <c r="GT3578" s="73"/>
      <c r="GU3578" s="73"/>
      <c r="GV3578" s="73"/>
      <c r="GW3578" s="73"/>
      <c r="GX3578" s="73"/>
      <c r="GY3578" s="73"/>
      <c r="GZ3578" s="73"/>
      <c r="HA3578" s="73"/>
      <c r="HB3578" s="73"/>
      <c r="HC3578" s="73"/>
      <c r="HD3578" s="73"/>
      <c r="HE3578" s="73"/>
      <c r="HF3578" s="73"/>
      <c r="HG3578" s="73"/>
      <c r="HH3578" s="73"/>
      <c r="HI3578" s="73"/>
      <c r="HJ3578" s="73"/>
      <c r="HK3578" s="73"/>
      <c r="HL3578" s="73"/>
      <c r="HM3578" s="73"/>
      <c r="HN3578" s="73"/>
      <c r="HO3578" s="73"/>
      <c r="HP3578" s="73"/>
      <c r="HQ3578" s="73"/>
      <c r="HR3578" s="73"/>
      <c r="HS3578" s="73"/>
      <c r="HT3578" s="73"/>
      <c r="HU3578" s="73"/>
      <c r="HV3578" s="73"/>
      <c r="HW3578" s="73"/>
      <c r="HX3578" s="73"/>
      <c r="HY3578" s="73"/>
      <c r="HZ3578" s="73"/>
      <c r="IA3578" s="73"/>
      <c r="IB3578" s="73"/>
      <c r="IC3578" s="73"/>
      <c r="ID3578" s="73"/>
      <c r="IE3578" s="73"/>
      <c r="IF3578" s="73"/>
      <c r="IG3578" s="73"/>
      <c r="IH3578" s="73"/>
      <c r="II3578" s="73"/>
      <c r="IJ3578" s="73"/>
      <c r="IK3578" s="73"/>
      <c r="IL3578" s="73"/>
      <c r="IM3578" s="73"/>
      <c r="IN3578" s="73"/>
      <c r="IO3578" s="73"/>
      <c r="IP3578" s="73"/>
      <c r="IQ3578" s="73"/>
      <c r="IR3578" s="73"/>
      <c r="IS3578" s="73"/>
      <c r="IT3578" s="73"/>
      <c r="IU3578" s="73"/>
      <c r="IV3578" s="73"/>
      <c r="IW3578" s="73"/>
      <c r="IX3578" s="73"/>
      <c r="IY3578" s="73"/>
      <c r="IZ3578" s="73"/>
      <c r="JA3578" s="73"/>
      <c r="JB3578" s="73"/>
      <c r="JC3578" s="73"/>
    </row>
    <row r="3579" spans="2:263" s="72" customFormat="1">
      <c r="B3579" s="73"/>
      <c r="C3579" s="73"/>
      <c r="D3579" s="73"/>
      <c r="E3579" s="73"/>
      <c r="F3579" s="73"/>
      <c r="G3579" s="73"/>
      <c r="H3579" s="73"/>
      <c r="I3579" s="73"/>
      <c r="J3579" s="73"/>
      <c r="K3579" s="73"/>
      <c r="L3579" s="73"/>
      <c r="M3579" s="73"/>
      <c r="N3579" s="73"/>
      <c r="O3579" s="73"/>
      <c r="P3579" s="73"/>
      <c r="Q3579" s="73"/>
      <c r="R3579" s="73"/>
      <c r="S3579" s="73"/>
      <c r="T3579" s="73"/>
      <c r="U3579" s="73"/>
      <c r="V3579" s="73"/>
      <c r="W3579" s="73"/>
      <c r="GL3579" s="73"/>
      <c r="GM3579" s="73"/>
      <c r="GN3579" s="73"/>
      <c r="GO3579" s="73"/>
      <c r="GP3579" s="73"/>
      <c r="GQ3579" s="73"/>
      <c r="GR3579" s="73"/>
      <c r="GS3579" s="73"/>
      <c r="GT3579" s="73"/>
      <c r="GU3579" s="73"/>
      <c r="GV3579" s="73"/>
      <c r="GW3579" s="73"/>
      <c r="GX3579" s="73"/>
      <c r="GY3579" s="73"/>
      <c r="GZ3579" s="73"/>
      <c r="HA3579" s="73"/>
      <c r="HB3579" s="73"/>
      <c r="HC3579" s="73"/>
      <c r="HD3579" s="73"/>
      <c r="HE3579" s="73"/>
      <c r="HF3579" s="73"/>
      <c r="HG3579" s="73"/>
      <c r="HH3579" s="73"/>
      <c r="HI3579" s="73"/>
      <c r="HJ3579" s="73"/>
      <c r="HK3579" s="73"/>
      <c r="HL3579" s="73"/>
      <c r="HM3579" s="73"/>
      <c r="HN3579" s="73"/>
      <c r="HO3579" s="73"/>
      <c r="HP3579" s="73"/>
      <c r="HQ3579" s="73"/>
      <c r="HR3579" s="73"/>
      <c r="HS3579" s="73"/>
      <c r="HT3579" s="73"/>
      <c r="HU3579" s="73"/>
      <c r="HV3579" s="73"/>
      <c r="HW3579" s="73"/>
      <c r="HX3579" s="73"/>
      <c r="HY3579" s="73"/>
      <c r="HZ3579" s="73"/>
      <c r="IA3579" s="73"/>
      <c r="IB3579" s="73"/>
      <c r="IC3579" s="73"/>
      <c r="ID3579" s="73"/>
      <c r="IE3579" s="73"/>
      <c r="IF3579" s="73"/>
      <c r="IG3579" s="73"/>
      <c r="IH3579" s="73"/>
      <c r="II3579" s="73"/>
      <c r="IJ3579" s="73"/>
      <c r="IK3579" s="73"/>
      <c r="IL3579" s="73"/>
      <c r="IM3579" s="73"/>
      <c r="IN3579" s="73"/>
      <c r="IO3579" s="73"/>
      <c r="IP3579" s="73"/>
      <c r="IQ3579" s="73"/>
      <c r="IR3579" s="73"/>
      <c r="IS3579" s="73"/>
      <c r="IT3579" s="73"/>
      <c r="IU3579" s="73"/>
      <c r="IV3579" s="73"/>
      <c r="IW3579" s="73"/>
      <c r="IX3579" s="73"/>
      <c r="IY3579" s="73"/>
      <c r="IZ3579" s="73"/>
      <c r="JA3579" s="73"/>
      <c r="JB3579" s="73"/>
      <c r="JC3579" s="73"/>
    </row>
    <row r="3580" spans="2:263" s="72" customFormat="1">
      <c r="B3580" s="73"/>
      <c r="C3580" s="73"/>
      <c r="D3580" s="73"/>
      <c r="E3580" s="73"/>
      <c r="F3580" s="73"/>
      <c r="G3580" s="73"/>
      <c r="H3580" s="73"/>
      <c r="I3580" s="73"/>
      <c r="J3580" s="73"/>
      <c r="K3580" s="73"/>
      <c r="L3580" s="73"/>
      <c r="M3580" s="73"/>
      <c r="N3580" s="73"/>
      <c r="O3580" s="73"/>
      <c r="P3580" s="73"/>
      <c r="Q3580" s="73"/>
      <c r="R3580" s="73"/>
      <c r="S3580" s="73"/>
      <c r="T3580" s="73"/>
      <c r="U3580" s="73"/>
      <c r="V3580" s="73"/>
      <c r="W3580" s="73"/>
      <c r="GL3580" s="73"/>
      <c r="GM3580" s="73"/>
      <c r="GN3580" s="73"/>
      <c r="GO3580" s="73"/>
      <c r="GP3580" s="73"/>
      <c r="GQ3580" s="73"/>
      <c r="GR3580" s="73"/>
      <c r="GS3580" s="73"/>
      <c r="GT3580" s="73"/>
      <c r="GU3580" s="73"/>
      <c r="GV3580" s="73"/>
      <c r="GW3580" s="73"/>
      <c r="GX3580" s="73"/>
      <c r="GY3580" s="73"/>
      <c r="GZ3580" s="73"/>
      <c r="HA3580" s="73"/>
      <c r="HB3580" s="73"/>
      <c r="HC3580" s="73"/>
      <c r="HD3580" s="73"/>
      <c r="HE3580" s="73"/>
      <c r="HF3580" s="73"/>
      <c r="HG3580" s="73"/>
      <c r="HH3580" s="73"/>
      <c r="HI3580" s="73"/>
      <c r="HJ3580" s="73"/>
      <c r="HK3580" s="73"/>
      <c r="HL3580" s="73"/>
      <c r="HM3580" s="73"/>
      <c r="HN3580" s="73"/>
      <c r="HO3580" s="73"/>
      <c r="HP3580" s="73"/>
      <c r="HQ3580" s="73"/>
      <c r="HR3580" s="73"/>
      <c r="HS3580" s="73"/>
      <c r="HT3580" s="73"/>
      <c r="HU3580" s="73"/>
      <c r="HV3580" s="73"/>
      <c r="HW3580" s="73"/>
      <c r="HX3580" s="73"/>
      <c r="HY3580" s="73"/>
      <c r="HZ3580" s="73"/>
      <c r="IA3580" s="73"/>
      <c r="IB3580" s="73"/>
      <c r="IC3580" s="73"/>
      <c r="ID3580" s="73"/>
      <c r="IE3580" s="73"/>
      <c r="IF3580" s="73"/>
      <c r="IG3580" s="73"/>
      <c r="IH3580" s="73"/>
      <c r="II3580" s="73"/>
      <c r="IJ3580" s="73"/>
      <c r="IK3580" s="73"/>
      <c r="IL3580" s="73"/>
      <c r="IM3580" s="73"/>
      <c r="IN3580" s="73"/>
      <c r="IO3580" s="73"/>
      <c r="IP3580" s="73"/>
      <c r="IQ3580" s="73"/>
      <c r="IR3580" s="73"/>
      <c r="IS3580" s="73"/>
      <c r="IT3580" s="73"/>
      <c r="IU3580" s="73"/>
      <c r="IV3580" s="73"/>
      <c r="IW3580" s="73"/>
      <c r="IX3580" s="73"/>
      <c r="IY3580" s="73"/>
      <c r="IZ3580" s="73"/>
      <c r="JA3580" s="73"/>
      <c r="JB3580" s="73"/>
      <c r="JC3580" s="73"/>
    </row>
    <row r="3581" spans="2:263" s="72" customFormat="1">
      <c r="B3581" s="73"/>
      <c r="C3581" s="73"/>
      <c r="D3581" s="73"/>
      <c r="E3581" s="73"/>
      <c r="F3581" s="73"/>
      <c r="G3581" s="73"/>
      <c r="H3581" s="73"/>
      <c r="I3581" s="73"/>
      <c r="J3581" s="73"/>
      <c r="K3581" s="73"/>
      <c r="L3581" s="73"/>
      <c r="M3581" s="73"/>
      <c r="N3581" s="73"/>
      <c r="O3581" s="73"/>
      <c r="P3581" s="73"/>
      <c r="Q3581" s="73"/>
      <c r="R3581" s="73"/>
      <c r="S3581" s="73"/>
      <c r="T3581" s="73"/>
      <c r="U3581" s="73"/>
      <c r="V3581" s="73"/>
      <c r="W3581" s="73"/>
      <c r="GL3581" s="73"/>
      <c r="GM3581" s="73"/>
      <c r="GN3581" s="73"/>
      <c r="GO3581" s="73"/>
      <c r="GP3581" s="73"/>
      <c r="GQ3581" s="73"/>
      <c r="GR3581" s="73"/>
      <c r="GS3581" s="73"/>
      <c r="GT3581" s="73"/>
      <c r="GU3581" s="73"/>
      <c r="GV3581" s="73"/>
      <c r="GW3581" s="73"/>
      <c r="GX3581" s="73"/>
      <c r="GY3581" s="73"/>
      <c r="GZ3581" s="73"/>
      <c r="HA3581" s="73"/>
      <c r="HB3581" s="73"/>
      <c r="HC3581" s="73"/>
      <c r="HD3581" s="73"/>
      <c r="HE3581" s="73"/>
      <c r="HF3581" s="73"/>
      <c r="HG3581" s="73"/>
      <c r="HH3581" s="73"/>
      <c r="HI3581" s="73"/>
      <c r="HJ3581" s="73"/>
      <c r="HK3581" s="73"/>
      <c r="HL3581" s="73"/>
      <c r="HM3581" s="73"/>
      <c r="HN3581" s="73"/>
      <c r="HO3581" s="73"/>
      <c r="HP3581" s="73"/>
      <c r="HQ3581" s="73"/>
      <c r="HR3581" s="73"/>
      <c r="HS3581" s="73"/>
      <c r="HT3581" s="73"/>
      <c r="HU3581" s="73"/>
      <c r="HV3581" s="73"/>
      <c r="HW3581" s="73"/>
      <c r="HX3581" s="73"/>
      <c r="HY3581" s="73"/>
      <c r="HZ3581" s="73"/>
      <c r="IA3581" s="73"/>
      <c r="IB3581" s="73"/>
      <c r="IC3581" s="73"/>
      <c r="ID3581" s="73"/>
      <c r="IE3581" s="73"/>
      <c r="IF3581" s="73"/>
      <c r="IG3581" s="73"/>
      <c r="IH3581" s="73"/>
      <c r="II3581" s="73"/>
      <c r="IJ3581" s="73"/>
      <c r="IK3581" s="73"/>
      <c r="IL3581" s="73"/>
      <c r="IM3581" s="73"/>
      <c r="IN3581" s="73"/>
      <c r="IO3581" s="73"/>
      <c r="IP3581" s="73"/>
      <c r="IQ3581" s="73"/>
      <c r="IR3581" s="73"/>
      <c r="IS3581" s="73"/>
      <c r="IT3581" s="73"/>
      <c r="IU3581" s="73"/>
      <c r="IV3581" s="73"/>
      <c r="IW3581" s="73"/>
      <c r="IX3581" s="73"/>
      <c r="IY3581" s="73"/>
      <c r="IZ3581" s="73"/>
      <c r="JA3581" s="73"/>
      <c r="JB3581" s="73"/>
      <c r="JC3581" s="73"/>
    </row>
    <row r="3582" spans="2:263" s="72" customFormat="1">
      <c r="B3582" s="73"/>
      <c r="C3582" s="73"/>
      <c r="D3582" s="73"/>
      <c r="E3582" s="73"/>
      <c r="F3582" s="73"/>
      <c r="G3582" s="73"/>
      <c r="H3582" s="73"/>
      <c r="I3582" s="73"/>
      <c r="J3582" s="73"/>
      <c r="K3582" s="73"/>
      <c r="L3582" s="73"/>
      <c r="M3582" s="73"/>
      <c r="N3582" s="73"/>
      <c r="O3582" s="73"/>
      <c r="P3582" s="73"/>
      <c r="Q3582" s="73"/>
      <c r="R3582" s="73"/>
      <c r="S3582" s="73"/>
      <c r="T3582" s="73"/>
      <c r="U3582" s="73"/>
      <c r="V3582" s="73"/>
      <c r="W3582" s="73"/>
      <c r="GL3582" s="73"/>
      <c r="GM3582" s="73"/>
      <c r="GN3582" s="73"/>
      <c r="GO3582" s="73"/>
      <c r="GP3582" s="73"/>
      <c r="GQ3582" s="73"/>
      <c r="GR3582" s="73"/>
      <c r="GS3582" s="73"/>
      <c r="GT3582" s="73"/>
      <c r="GU3582" s="73"/>
      <c r="GV3582" s="73"/>
      <c r="GW3582" s="73"/>
      <c r="GX3582" s="73"/>
      <c r="GY3582" s="73"/>
      <c r="GZ3582" s="73"/>
      <c r="HA3582" s="73"/>
      <c r="HB3582" s="73"/>
      <c r="HC3582" s="73"/>
      <c r="HD3582" s="73"/>
      <c r="HE3582" s="73"/>
      <c r="HF3582" s="73"/>
      <c r="HG3582" s="73"/>
      <c r="HH3582" s="73"/>
      <c r="HI3582" s="73"/>
      <c r="HJ3582" s="73"/>
      <c r="HK3582" s="73"/>
      <c r="HL3582" s="73"/>
      <c r="HM3582" s="73"/>
      <c r="HN3582" s="73"/>
      <c r="HO3582" s="73"/>
      <c r="HP3582" s="73"/>
      <c r="HQ3582" s="73"/>
      <c r="HR3582" s="73"/>
      <c r="HS3582" s="73"/>
      <c r="HT3582" s="73"/>
      <c r="HU3582" s="73"/>
      <c r="HV3582" s="73"/>
      <c r="HW3582" s="73"/>
      <c r="HX3582" s="73"/>
      <c r="HY3582" s="73"/>
      <c r="HZ3582" s="73"/>
      <c r="IA3582" s="73"/>
      <c r="IB3582" s="73"/>
      <c r="IC3582" s="73"/>
      <c r="ID3582" s="73"/>
      <c r="IE3582" s="73"/>
      <c r="IF3582" s="73"/>
      <c r="IG3582" s="73"/>
      <c r="IH3582" s="73"/>
      <c r="II3582" s="73"/>
      <c r="IJ3582" s="73"/>
      <c r="IK3582" s="73"/>
      <c r="IL3582" s="73"/>
      <c r="IM3582" s="73"/>
      <c r="IN3582" s="73"/>
      <c r="IO3582" s="73"/>
      <c r="IP3582" s="73"/>
      <c r="IQ3582" s="73"/>
      <c r="IR3582" s="73"/>
      <c r="IS3582" s="73"/>
      <c r="IT3582" s="73"/>
      <c r="IU3582" s="73"/>
      <c r="IV3582" s="73"/>
      <c r="IW3582" s="73"/>
      <c r="IX3582" s="73"/>
      <c r="IY3582" s="73"/>
      <c r="IZ3582" s="73"/>
      <c r="JA3582" s="73"/>
      <c r="JB3582" s="73"/>
      <c r="JC3582" s="73"/>
    </row>
    <row r="3583" spans="2:263" s="72" customFormat="1">
      <c r="B3583" s="73"/>
      <c r="C3583" s="73"/>
      <c r="D3583" s="73"/>
      <c r="E3583" s="73"/>
      <c r="F3583" s="73"/>
      <c r="G3583" s="73"/>
      <c r="H3583" s="73"/>
      <c r="I3583" s="73"/>
      <c r="J3583" s="73"/>
      <c r="K3583" s="73"/>
      <c r="L3583" s="73"/>
      <c r="M3583" s="73"/>
      <c r="N3583" s="73"/>
      <c r="O3583" s="73"/>
      <c r="P3583" s="73"/>
      <c r="Q3583" s="73"/>
      <c r="R3583" s="73"/>
      <c r="S3583" s="73"/>
      <c r="T3583" s="73"/>
      <c r="U3583" s="73"/>
      <c r="V3583" s="73"/>
      <c r="W3583" s="73"/>
      <c r="GL3583" s="73"/>
      <c r="GM3583" s="73"/>
      <c r="GN3583" s="73"/>
      <c r="GO3583" s="73"/>
      <c r="GP3583" s="73"/>
      <c r="GQ3583" s="73"/>
      <c r="GR3583" s="73"/>
      <c r="GS3583" s="73"/>
      <c r="GT3583" s="73"/>
      <c r="GU3583" s="73"/>
      <c r="GV3583" s="73"/>
      <c r="GW3583" s="73"/>
      <c r="GX3583" s="73"/>
      <c r="GY3583" s="73"/>
      <c r="GZ3583" s="73"/>
      <c r="HA3583" s="73"/>
      <c r="HB3583" s="73"/>
      <c r="HC3583" s="73"/>
      <c r="HD3583" s="73"/>
      <c r="HE3583" s="73"/>
      <c r="HF3583" s="73"/>
      <c r="HG3583" s="73"/>
      <c r="HH3583" s="73"/>
      <c r="HI3583" s="73"/>
      <c r="HJ3583" s="73"/>
      <c r="HK3583" s="73"/>
      <c r="HL3583" s="73"/>
      <c r="HM3583" s="73"/>
      <c r="HN3583" s="73"/>
      <c r="HO3583" s="73"/>
      <c r="HP3583" s="73"/>
      <c r="HQ3583" s="73"/>
      <c r="HR3583" s="73"/>
      <c r="HS3583" s="73"/>
      <c r="HT3583" s="73"/>
      <c r="HU3583" s="73"/>
      <c r="HV3583" s="73"/>
      <c r="HW3583" s="73"/>
      <c r="HX3583" s="73"/>
      <c r="HY3583" s="73"/>
      <c r="HZ3583" s="73"/>
      <c r="IA3583" s="73"/>
      <c r="IB3583" s="73"/>
      <c r="IC3583" s="73"/>
      <c r="ID3583" s="73"/>
      <c r="IE3583" s="73"/>
      <c r="IF3583" s="73"/>
      <c r="IG3583" s="73"/>
      <c r="IH3583" s="73"/>
      <c r="II3583" s="73"/>
      <c r="IJ3583" s="73"/>
      <c r="IK3583" s="73"/>
      <c r="IL3583" s="73"/>
      <c r="IM3583" s="73"/>
      <c r="IN3583" s="73"/>
      <c r="IO3583" s="73"/>
      <c r="IP3583" s="73"/>
      <c r="IQ3583" s="73"/>
      <c r="IR3583" s="73"/>
      <c r="IS3583" s="73"/>
      <c r="IT3583" s="73"/>
      <c r="IU3583" s="73"/>
      <c r="IV3583" s="73"/>
      <c r="IW3583" s="73"/>
      <c r="IX3583" s="73"/>
      <c r="IY3583" s="73"/>
      <c r="IZ3583" s="73"/>
      <c r="JA3583" s="73"/>
      <c r="JB3583" s="73"/>
      <c r="JC3583" s="73"/>
    </row>
    <row r="3584" spans="2:263" s="72" customFormat="1">
      <c r="B3584" s="73"/>
      <c r="C3584" s="73"/>
      <c r="D3584" s="73"/>
      <c r="E3584" s="73"/>
      <c r="F3584" s="73"/>
      <c r="G3584" s="73"/>
      <c r="H3584" s="73"/>
      <c r="I3584" s="73"/>
      <c r="J3584" s="73"/>
      <c r="K3584" s="73"/>
      <c r="L3584" s="73"/>
      <c r="M3584" s="73"/>
      <c r="N3584" s="73"/>
      <c r="O3584" s="73"/>
      <c r="P3584" s="73"/>
      <c r="Q3584" s="73"/>
      <c r="R3584" s="73"/>
      <c r="S3584" s="73"/>
      <c r="T3584" s="73"/>
      <c r="U3584" s="73"/>
      <c r="V3584" s="73"/>
      <c r="W3584" s="73"/>
      <c r="GL3584" s="73"/>
      <c r="GM3584" s="73"/>
      <c r="GN3584" s="73"/>
      <c r="GO3584" s="73"/>
      <c r="GP3584" s="73"/>
      <c r="GQ3584" s="73"/>
      <c r="GR3584" s="73"/>
      <c r="GS3584" s="73"/>
      <c r="GT3584" s="73"/>
      <c r="GU3584" s="73"/>
      <c r="GV3584" s="73"/>
      <c r="GW3584" s="73"/>
      <c r="GX3584" s="73"/>
      <c r="GY3584" s="73"/>
      <c r="GZ3584" s="73"/>
      <c r="HA3584" s="73"/>
      <c r="HB3584" s="73"/>
      <c r="HC3584" s="73"/>
      <c r="HD3584" s="73"/>
      <c r="HE3584" s="73"/>
      <c r="HF3584" s="73"/>
      <c r="HG3584" s="73"/>
      <c r="HH3584" s="73"/>
      <c r="HI3584" s="73"/>
      <c r="HJ3584" s="73"/>
      <c r="HK3584" s="73"/>
      <c r="HL3584" s="73"/>
      <c r="HM3584" s="73"/>
      <c r="HN3584" s="73"/>
      <c r="HO3584" s="73"/>
      <c r="HP3584" s="73"/>
      <c r="HQ3584" s="73"/>
      <c r="HR3584" s="73"/>
      <c r="HS3584" s="73"/>
      <c r="HT3584" s="73"/>
      <c r="HU3584" s="73"/>
      <c r="HV3584" s="73"/>
      <c r="HW3584" s="73"/>
      <c r="HX3584" s="73"/>
      <c r="HY3584" s="73"/>
      <c r="HZ3584" s="73"/>
      <c r="IA3584" s="73"/>
      <c r="IB3584" s="73"/>
      <c r="IC3584" s="73"/>
      <c r="ID3584" s="73"/>
      <c r="IE3584" s="73"/>
      <c r="IF3584" s="73"/>
      <c r="IG3584" s="73"/>
      <c r="IH3584" s="73"/>
      <c r="II3584" s="73"/>
      <c r="IJ3584" s="73"/>
      <c r="IK3584" s="73"/>
      <c r="IL3584" s="73"/>
      <c r="IM3584" s="73"/>
      <c r="IN3584" s="73"/>
      <c r="IO3584" s="73"/>
      <c r="IP3584" s="73"/>
      <c r="IQ3584" s="73"/>
      <c r="IR3584" s="73"/>
      <c r="IS3584" s="73"/>
      <c r="IT3584" s="73"/>
      <c r="IU3584" s="73"/>
      <c r="IV3584" s="73"/>
      <c r="IW3584" s="73"/>
      <c r="IX3584" s="73"/>
      <c r="IY3584" s="73"/>
      <c r="IZ3584" s="73"/>
      <c r="JA3584" s="73"/>
      <c r="JB3584" s="73"/>
      <c r="JC3584" s="73"/>
    </row>
    <row r="3585" spans="2:263" s="72" customFormat="1">
      <c r="B3585" s="73"/>
      <c r="C3585" s="73"/>
      <c r="D3585" s="73"/>
      <c r="E3585" s="73"/>
      <c r="F3585" s="73"/>
      <c r="G3585" s="73"/>
      <c r="H3585" s="73"/>
      <c r="I3585" s="73"/>
      <c r="J3585" s="73"/>
      <c r="K3585" s="73"/>
      <c r="L3585" s="73"/>
      <c r="M3585" s="73"/>
      <c r="N3585" s="73"/>
      <c r="O3585" s="73"/>
      <c r="P3585" s="73"/>
      <c r="Q3585" s="73"/>
      <c r="R3585" s="73"/>
      <c r="S3585" s="73"/>
      <c r="T3585" s="73"/>
      <c r="U3585" s="73"/>
      <c r="V3585" s="73"/>
      <c r="W3585" s="73"/>
      <c r="GL3585" s="73"/>
      <c r="GM3585" s="73"/>
      <c r="GN3585" s="73"/>
      <c r="GO3585" s="73"/>
      <c r="GP3585" s="73"/>
      <c r="GQ3585" s="73"/>
      <c r="GR3585" s="73"/>
      <c r="GS3585" s="73"/>
      <c r="GT3585" s="73"/>
      <c r="GU3585" s="73"/>
      <c r="GV3585" s="73"/>
      <c r="GW3585" s="73"/>
      <c r="GX3585" s="73"/>
      <c r="GY3585" s="73"/>
      <c r="GZ3585" s="73"/>
      <c r="HA3585" s="73"/>
      <c r="HB3585" s="73"/>
      <c r="HC3585" s="73"/>
      <c r="HD3585" s="73"/>
      <c r="HE3585" s="73"/>
      <c r="HF3585" s="73"/>
      <c r="HG3585" s="73"/>
      <c r="HH3585" s="73"/>
      <c r="HI3585" s="73"/>
      <c r="HJ3585" s="73"/>
      <c r="HK3585" s="73"/>
      <c r="HL3585" s="73"/>
      <c r="HM3585" s="73"/>
      <c r="HN3585" s="73"/>
      <c r="HO3585" s="73"/>
      <c r="HP3585" s="73"/>
      <c r="HQ3585" s="73"/>
      <c r="HR3585" s="73"/>
      <c r="HS3585" s="73"/>
      <c r="HT3585" s="73"/>
      <c r="HU3585" s="73"/>
      <c r="HV3585" s="73"/>
      <c r="HW3585" s="73"/>
      <c r="HX3585" s="73"/>
      <c r="HY3585" s="73"/>
      <c r="HZ3585" s="73"/>
      <c r="IA3585" s="73"/>
      <c r="IB3585" s="73"/>
      <c r="IC3585" s="73"/>
      <c r="ID3585" s="73"/>
      <c r="IE3585" s="73"/>
      <c r="IF3585" s="73"/>
      <c r="IG3585" s="73"/>
      <c r="IH3585" s="73"/>
      <c r="II3585" s="73"/>
      <c r="IJ3585" s="73"/>
      <c r="IK3585" s="73"/>
      <c r="IL3585" s="73"/>
      <c r="IM3585" s="73"/>
      <c r="IN3585" s="73"/>
      <c r="IO3585" s="73"/>
      <c r="IP3585" s="73"/>
      <c r="IQ3585" s="73"/>
      <c r="IR3585" s="73"/>
      <c r="IS3585" s="73"/>
      <c r="IT3585" s="73"/>
      <c r="IU3585" s="73"/>
      <c r="IV3585" s="73"/>
      <c r="IW3585" s="73"/>
      <c r="IX3585" s="73"/>
      <c r="IY3585" s="73"/>
      <c r="IZ3585" s="73"/>
      <c r="JA3585" s="73"/>
      <c r="JB3585" s="73"/>
      <c r="JC3585" s="73"/>
    </row>
    <row r="3586" spans="2:263" s="72" customFormat="1">
      <c r="B3586" s="73"/>
      <c r="C3586" s="73"/>
      <c r="D3586" s="73"/>
      <c r="E3586" s="73"/>
      <c r="F3586" s="73"/>
      <c r="G3586" s="73"/>
      <c r="H3586" s="73"/>
      <c r="I3586" s="73"/>
      <c r="J3586" s="73"/>
      <c r="K3586" s="73"/>
      <c r="L3586" s="73"/>
      <c r="M3586" s="73"/>
      <c r="N3586" s="73"/>
      <c r="O3586" s="73"/>
      <c r="P3586" s="73"/>
      <c r="Q3586" s="73"/>
      <c r="R3586" s="73"/>
      <c r="S3586" s="73"/>
      <c r="T3586" s="73"/>
      <c r="U3586" s="73"/>
      <c r="V3586" s="73"/>
      <c r="W3586" s="73"/>
      <c r="GL3586" s="73"/>
      <c r="GM3586" s="73"/>
      <c r="GN3586" s="73"/>
      <c r="GO3586" s="73"/>
      <c r="GP3586" s="73"/>
      <c r="GQ3586" s="73"/>
      <c r="GR3586" s="73"/>
      <c r="GS3586" s="73"/>
      <c r="GT3586" s="73"/>
      <c r="GU3586" s="73"/>
      <c r="GV3586" s="73"/>
      <c r="GW3586" s="73"/>
      <c r="GX3586" s="73"/>
      <c r="GY3586" s="73"/>
      <c r="GZ3586" s="73"/>
      <c r="HA3586" s="73"/>
      <c r="HB3586" s="73"/>
      <c r="HC3586" s="73"/>
      <c r="HD3586" s="73"/>
      <c r="HE3586" s="73"/>
      <c r="HF3586" s="73"/>
      <c r="HG3586" s="73"/>
      <c r="HH3586" s="73"/>
      <c r="HI3586" s="73"/>
      <c r="HJ3586" s="73"/>
      <c r="HK3586" s="73"/>
      <c r="HL3586" s="73"/>
      <c r="HM3586" s="73"/>
      <c r="HN3586" s="73"/>
      <c r="HO3586" s="73"/>
      <c r="HP3586" s="73"/>
      <c r="HQ3586" s="73"/>
      <c r="HR3586" s="73"/>
      <c r="HS3586" s="73"/>
      <c r="HT3586" s="73"/>
      <c r="HU3586" s="73"/>
      <c r="HV3586" s="73"/>
      <c r="HW3586" s="73"/>
      <c r="HX3586" s="73"/>
      <c r="HY3586" s="73"/>
      <c r="HZ3586" s="73"/>
      <c r="IA3586" s="73"/>
      <c r="IB3586" s="73"/>
      <c r="IC3586" s="73"/>
      <c r="ID3586" s="73"/>
      <c r="IE3586" s="73"/>
      <c r="IF3586" s="73"/>
      <c r="IG3586" s="73"/>
      <c r="IH3586" s="73"/>
      <c r="II3586" s="73"/>
      <c r="IJ3586" s="73"/>
      <c r="IK3586" s="73"/>
      <c r="IL3586" s="73"/>
      <c r="IM3586" s="73"/>
      <c r="IN3586" s="73"/>
      <c r="IO3586" s="73"/>
      <c r="IP3586" s="73"/>
      <c r="IQ3586" s="73"/>
      <c r="IR3586" s="73"/>
      <c r="IS3586" s="73"/>
      <c r="IT3586" s="73"/>
      <c r="IU3586" s="73"/>
      <c r="IV3586" s="73"/>
      <c r="IW3586" s="73"/>
      <c r="IX3586" s="73"/>
      <c r="IY3586" s="73"/>
      <c r="IZ3586" s="73"/>
      <c r="JA3586" s="73"/>
      <c r="JB3586" s="73"/>
      <c r="JC3586" s="73"/>
    </row>
    <row r="3587" spans="2:263" s="72" customFormat="1">
      <c r="B3587" s="73"/>
      <c r="C3587" s="73"/>
      <c r="D3587" s="73"/>
      <c r="E3587" s="73"/>
      <c r="F3587" s="73"/>
      <c r="G3587" s="73"/>
      <c r="H3587" s="73"/>
      <c r="I3587" s="73"/>
      <c r="J3587" s="73"/>
      <c r="K3587" s="73"/>
      <c r="L3587" s="73"/>
      <c r="M3587" s="73"/>
      <c r="N3587" s="73"/>
      <c r="O3587" s="73"/>
      <c r="P3587" s="73"/>
      <c r="Q3587" s="73"/>
      <c r="R3587" s="73"/>
      <c r="S3587" s="73"/>
      <c r="T3587" s="73"/>
      <c r="U3587" s="73"/>
      <c r="V3587" s="73"/>
      <c r="W3587" s="73"/>
      <c r="GL3587" s="73"/>
      <c r="GM3587" s="73"/>
      <c r="GN3587" s="73"/>
      <c r="GO3587" s="73"/>
      <c r="GP3587" s="73"/>
      <c r="GQ3587" s="73"/>
      <c r="GR3587" s="73"/>
      <c r="GS3587" s="73"/>
      <c r="GT3587" s="73"/>
      <c r="GU3587" s="73"/>
      <c r="GV3587" s="73"/>
      <c r="GW3587" s="73"/>
      <c r="GX3587" s="73"/>
      <c r="GY3587" s="73"/>
      <c r="GZ3587" s="73"/>
      <c r="HA3587" s="73"/>
      <c r="HB3587" s="73"/>
      <c r="HC3587" s="73"/>
      <c r="HD3587" s="73"/>
      <c r="HE3587" s="73"/>
      <c r="HF3587" s="73"/>
      <c r="HG3587" s="73"/>
      <c r="HH3587" s="73"/>
      <c r="HI3587" s="73"/>
      <c r="HJ3587" s="73"/>
      <c r="HK3587" s="73"/>
      <c r="HL3587" s="73"/>
      <c r="HM3587" s="73"/>
      <c r="HN3587" s="73"/>
      <c r="HO3587" s="73"/>
      <c r="HP3587" s="73"/>
      <c r="HQ3587" s="73"/>
      <c r="HR3587" s="73"/>
      <c r="HS3587" s="73"/>
      <c r="HT3587" s="73"/>
      <c r="HU3587" s="73"/>
      <c r="HV3587" s="73"/>
      <c r="HW3587" s="73"/>
      <c r="HX3587" s="73"/>
      <c r="HY3587" s="73"/>
      <c r="HZ3587" s="73"/>
      <c r="IA3587" s="73"/>
      <c r="IB3587" s="73"/>
      <c r="IC3587" s="73"/>
      <c r="ID3587" s="73"/>
      <c r="IE3587" s="73"/>
      <c r="IF3587" s="73"/>
      <c r="IG3587" s="73"/>
      <c r="IH3587" s="73"/>
      <c r="II3587" s="73"/>
      <c r="IJ3587" s="73"/>
      <c r="IK3587" s="73"/>
      <c r="IL3587" s="73"/>
      <c r="IM3587" s="73"/>
      <c r="IN3587" s="73"/>
      <c r="IO3587" s="73"/>
      <c r="IP3587" s="73"/>
      <c r="IQ3587" s="73"/>
      <c r="IR3587" s="73"/>
      <c r="IS3587" s="73"/>
      <c r="IT3587" s="73"/>
      <c r="IU3587" s="73"/>
      <c r="IV3587" s="73"/>
      <c r="IW3587" s="73"/>
      <c r="IX3587" s="73"/>
      <c r="IY3587" s="73"/>
      <c r="IZ3587" s="73"/>
      <c r="JA3587" s="73"/>
      <c r="JB3587" s="73"/>
      <c r="JC3587" s="73"/>
    </row>
    <row r="3588" spans="2:263" s="72" customFormat="1">
      <c r="B3588" s="73"/>
      <c r="C3588" s="73"/>
      <c r="D3588" s="73"/>
      <c r="E3588" s="73"/>
      <c r="F3588" s="73"/>
      <c r="G3588" s="73"/>
      <c r="H3588" s="73"/>
      <c r="I3588" s="73"/>
      <c r="J3588" s="73"/>
      <c r="K3588" s="73"/>
      <c r="L3588" s="73"/>
      <c r="M3588" s="73"/>
      <c r="N3588" s="73"/>
      <c r="O3588" s="73"/>
      <c r="P3588" s="73"/>
      <c r="Q3588" s="73"/>
      <c r="R3588" s="73"/>
      <c r="S3588" s="73"/>
      <c r="T3588" s="73"/>
      <c r="U3588" s="73"/>
      <c r="V3588" s="73"/>
      <c r="W3588" s="73"/>
      <c r="GL3588" s="73"/>
      <c r="GM3588" s="73"/>
      <c r="GN3588" s="73"/>
      <c r="GO3588" s="73"/>
      <c r="GP3588" s="73"/>
      <c r="GQ3588" s="73"/>
      <c r="GR3588" s="73"/>
      <c r="GS3588" s="73"/>
      <c r="GT3588" s="73"/>
      <c r="GU3588" s="73"/>
      <c r="GV3588" s="73"/>
      <c r="GW3588" s="73"/>
      <c r="GX3588" s="73"/>
      <c r="GY3588" s="73"/>
      <c r="GZ3588" s="73"/>
      <c r="HA3588" s="73"/>
      <c r="HB3588" s="73"/>
      <c r="HC3588" s="73"/>
      <c r="HD3588" s="73"/>
      <c r="HE3588" s="73"/>
      <c r="HF3588" s="73"/>
      <c r="HG3588" s="73"/>
      <c r="HH3588" s="73"/>
      <c r="HI3588" s="73"/>
      <c r="HJ3588" s="73"/>
      <c r="HK3588" s="73"/>
      <c r="HL3588" s="73"/>
      <c r="HM3588" s="73"/>
      <c r="HN3588" s="73"/>
      <c r="HO3588" s="73"/>
      <c r="HP3588" s="73"/>
      <c r="HQ3588" s="73"/>
      <c r="HR3588" s="73"/>
      <c r="HS3588" s="73"/>
      <c r="HT3588" s="73"/>
      <c r="HU3588" s="73"/>
      <c r="HV3588" s="73"/>
      <c r="HW3588" s="73"/>
      <c r="HX3588" s="73"/>
      <c r="HY3588" s="73"/>
      <c r="HZ3588" s="73"/>
      <c r="IA3588" s="73"/>
      <c r="IB3588" s="73"/>
      <c r="IC3588" s="73"/>
      <c r="ID3588" s="73"/>
      <c r="IE3588" s="73"/>
      <c r="IF3588" s="73"/>
      <c r="IG3588" s="73"/>
      <c r="IH3588" s="73"/>
      <c r="II3588" s="73"/>
      <c r="IJ3588" s="73"/>
      <c r="IK3588" s="73"/>
      <c r="IL3588" s="73"/>
      <c r="IM3588" s="73"/>
      <c r="IN3588" s="73"/>
      <c r="IO3588" s="73"/>
      <c r="IP3588" s="73"/>
      <c r="IQ3588" s="73"/>
      <c r="IR3588" s="73"/>
      <c r="IS3588" s="73"/>
      <c r="IT3588" s="73"/>
      <c r="IU3588" s="73"/>
      <c r="IV3588" s="73"/>
      <c r="IW3588" s="73"/>
      <c r="IX3588" s="73"/>
      <c r="IY3588" s="73"/>
      <c r="IZ3588" s="73"/>
      <c r="JA3588" s="73"/>
      <c r="JB3588" s="73"/>
      <c r="JC3588" s="73"/>
    </row>
    <row r="3589" spans="2:263" s="72" customFormat="1">
      <c r="B3589" s="73"/>
      <c r="C3589" s="73"/>
      <c r="D3589" s="73"/>
      <c r="E3589" s="73"/>
      <c r="F3589" s="73"/>
      <c r="G3589" s="73"/>
      <c r="H3589" s="73"/>
      <c r="I3589" s="73"/>
      <c r="J3589" s="73"/>
      <c r="K3589" s="73"/>
      <c r="L3589" s="73"/>
      <c r="M3589" s="73"/>
      <c r="N3589" s="73"/>
      <c r="O3589" s="73"/>
      <c r="P3589" s="73"/>
      <c r="Q3589" s="73"/>
      <c r="R3589" s="73"/>
      <c r="S3589" s="73"/>
      <c r="T3589" s="73"/>
      <c r="U3589" s="73"/>
      <c r="V3589" s="73"/>
      <c r="W3589" s="73"/>
      <c r="GL3589" s="73"/>
      <c r="GM3589" s="73"/>
      <c r="GN3589" s="73"/>
      <c r="GO3589" s="73"/>
      <c r="GP3589" s="73"/>
      <c r="GQ3589" s="73"/>
      <c r="GR3589" s="73"/>
      <c r="GS3589" s="73"/>
      <c r="GT3589" s="73"/>
      <c r="GU3589" s="73"/>
      <c r="GV3589" s="73"/>
      <c r="GW3589" s="73"/>
      <c r="GX3589" s="73"/>
      <c r="GY3589" s="73"/>
      <c r="GZ3589" s="73"/>
      <c r="HA3589" s="73"/>
      <c r="HB3589" s="73"/>
      <c r="HC3589" s="73"/>
      <c r="HD3589" s="73"/>
      <c r="HE3589" s="73"/>
      <c r="HF3589" s="73"/>
      <c r="HG3589" s="73"/>
      <c r="HH3589" s="73"/>
      <c r="HI3589" s="73"/>
      <c r="HJ3589" s="73"/>
      <c r="HK3589" s="73"/>
      <c r="HL3589" s="73"/>
      <c r="HM3589" s="73"/>
      <c r="HN3589" s="73"/>
      <c r="HO3589" s="73"/>
      <c r="HP3589" s="73"/>
      <c r="HQ3589" s="73"/>
      <c r="HR3589" s="73"/>
      <c r="HS3589" s="73"/>
      <c r="HT3589" s="73"/>
      <c r="HU3589" s="73"/>
      <c r="HV3589" s="73"/>
      <c r="HW3589" s="73"/>
      <c r="HX3589" s="73"/>
      <c r="HY3589" s="73"/>
      <c r="HZ3589" s="73"/>
      <c r="IA3589" s="73"/>
      <c r="IB3589" s="73"/>
      <c r="IC3589" s="73"/>
      <c r="ID3589" s="73"/>
      <c r="IE3589" s="73"/>
      <c r="IF3589" s="73"/>
      <c r="IG3589" s="73"/>
      <c r="IH3589" s="73"/>
      <c r="II3589" s="73"/>
      <c r="IJ3589" s="73"/>
      <c r="IK3589" s="73"/>
      <c r="IL3589" s="73"/>
      <c r="IM3589" s="73"/>
      <c r="IN3589" s="73"/>
      <c r="IO3589" s="73"/>
      <c r="IP3589" s="73"/>
      <c r="IQ3589" s="73"/>
      <c r="IR3589" s="73"/>
      <c r="IS3589" s="73"/>
      <c r="IT3589" s="73"/>
      <c r="IU3589" s="73"/>
      <c r="IV3589" s="73"/>
      <c r="IW3589" s="73"/>
      <c r="IX3589" s="73"/>
      <c r="IY3589" s="73"/>
      <c r="IZ3589" s="73"/>
      <c r="JA3589" s="73"/>
      <c r="JB3589" s="73"/>
      <c r="JC3589" s="73"/>
    </row>
    <row r="3590" spans="2:263" s="72" customFormat="1">
      <c r="B3590" s="73"/>
      <c r="C3590" s="73"/>
      <c r="D3590" s="73"/>
      <c r="E3590" s="73"/>
      <c r="F3590" s="73"/>
      <c r="G3590" s="73"/>
      <c r="H3590" s="73"/>
      <c r="I3590" s="73"/>
      <c r="J3590" s="73"/>
      <c r="K3590" s="73"/>
      <c r="L3590" s="73"/>
      <c r="M3590" s="73"/>
      <c r="N3590" s="73"/>
      <c r="O3590" s="73"/>
      <c r="P3590" s="73"/>
      <c r="Q3590" s="73"/>
      <c r="R3590" s="73"/>
      <c r="S3590" s="73"/>
      <c r="T3590" s="73"/>
      <c r="U3590" s="73"/>
      <c r="V3590" s="73"/>
      <c r="W3590" s="73"/>
      <c r="GL3590" s="73"/>
      <c r="GM3590" s="73"/>
      <c r="GN3590" s="73"/>
      <c r="GO3590" s="73"/>
      <c r="GP3590" s="73"/>
      <c r="GQ3590" s="73"/>
      <c r="GR3590" s="73"/>
      <c r="GS3590" s="73"/>
      <c r="GT3590" s="73"/>
      <c r="GU3590" s="73"/>
      <c r="GV3590" s="73"/>
      <c r="GW3590" s="73"/>
      <c r="GX3590" s="73"/>
      <c r="GY3590" s="73"/>
      <c r="GZ3590" s="73"/>
      <c r="HA3590" s="73"/>
      <c r="HB3590" s="73"/>
      <c r="HC3590" s="73"/>
      <c r="HD3590" s="73"/>
      <c r="HE3590" s="73"/>
      <c r="HF3590" s="73"/>
      <c r="HG3590" s="73"/>
      <c r="HH3590" s="73"/>
      <c r="HI3590" s="73"/>
      <c r="HJ3590" s="73"/>
      <c r="HK3590" s="73"/>
      <c r="HL3590" s="73"/>
      <c r="HM3590" s="73"/>
      <c r="HN3590" s="73"/>
      <c r="HO3590" s="73"/>
      <c r="HP3590" s="73"/>
      <c r="HQ3590" s="73"/>
      <c r="HR3590" s="73"/>
      <c r="HS3590" s="73"/>
      <c r="HT3590" s="73"/>
      <c r="HU3590" s="73"/>
      <c r="HV3590" s="73"/>
      <c r="HW3590" s="73"/>
      <c r="HX3590" s="73"/>
      <c r="HY3590" s="73"/>
      <c r="HZ3590" s="73"/>
      <c r="IA3590" s="73"/>
      <c r="IB3590" s="73"/>
      <c r="IC3590" s="73"/>
      <c r="ID3590" s="73"/>
      <c r="IE3590" s="73"/>
      <c r="IF3590" s="73"/>
      <c r="IG3590" s="73"/>
      <c r="IH3590" s="73"/>
      <c r="II3590" s="73"/>
      <c r="IJ3590" s="73"/>
      <c r="IK3590" s="73"/>
      <c r="IL3590" s="73"/>
      <c r="IM3590" s="73"/>
      <c r="IN3590" s="73"/>
      <c r="IO3590" s="73"/>
      <c r="IP3590" s="73"/>
      <c r="IQ3590" s="73"/>
      <c r="IR3590" s="73"/>
      <c r="IS3590" s="73"/>
      <c r="IT3590" s="73"/>
      <c r="IU3590" s="73"/>
      <c r="IV3590" s="73"/>
      <c r="IW3590" s="73"/>
      <c r="IX3590" s="73"/>
      <c r="IY3590" s="73"/>
      <c r="IZ3590" s="73"/>
      <c r="JA3590" s="73"/>
      <c r="JB3590" s="73"/>
      <c r="JC3590" s="73"/>
    </row>
    <row r="3591" spans="2:263" s="72" customFormat="1">
      <c r="B3591" s="73"/>
      <c r="C3591" s="73"/>
      <c r="D3591" s="73"/>
      <c r="E3591" s="73"/>
      <c r="F3591" s="73"/>
      <c r="G3591" s="73"/>
      <c r="H3591" s="73"/>
      <c r="I3591" s="73"/>
      <c r="J3591" s="73"/>
      <c r="K3591" s="73"/>
      <c r="L3591" s="73"/>
      <c r="M3591" s="73"/>
      <c r="N3591" s="73"/>
      <c r="O3591" s="73"/>
      <c r="P3591" s="73"/>
      <c r="Q3591" s="73"/>
      <c r="R3591" s="73"/>
      <c r="S3591" s="73"/>
      <c r="T3591" s="73"/>
      <c r="U3591" s="73"/>
      <c r="V3591" s="73"/>
      <c r="W3591" s="73"/>
      <c r="GL3591" s="73"/>
      <c r="GM3591" s="73"/>
      <c r="GN3591" s="73"/>
      <c r="GO3591" s="73"/>
      <c r="GP3591" s="73"/>
      <c r="GQ3591" s="73"/>
      <c r="GR3591" s="73"/>
      <c r="GS3591" s="73"/>
      <c r="GT3591" s="73"/>
      <c r="GU3591" s="73"/>
      <c r="GV3591" s="73"/>
      <c r="GW3591" s="73"/>
      <c r="GX3591" s="73"/>
      <c r="GY3591" s="73"/>
      <c r="GZ3591" s="73"/>
      <c r="HA3591" s="73"/>
      <c r="HB3591" s="73"/>
      <c r="HC3591" s="73"/>
      <c r="HD3591" s="73"/>
      <c r="HE3591" s="73"/>
      <c r="HF3591" s="73"/>
      <c r="HG3591" s="73"/>
      <c r="HH3591" s="73"/>
      <c r="HI3591" s="73"/>
      <c r="HJ3591" s="73"/>
      <c r="HK3591" s="73"/>
      <c r="HL3591" s="73"/>
      <c r="HM3591" s="73"/>
      <c r="HN3591" s="73"/>
      <c r="HO3591" s="73"/>
      <c r="HP3591" s="73"/>
      <c r="HQ3591" s="73"/>
      <c r="HR3591" s="73"/>
      <c r="HS3591" s="73"/>
      <c r="HT3591" s="73"/>
      <c r="HU3591" s="73"/>
      <c r="HV3591" s="73"/>
      <c r="HW3591" s="73"/>
      <c r="HX3591" s="73"/>
      <c r="HY3591" s="73"/>
      <c r="HZ3591" s="73"/>
      <c r="IA3591" s="73"/>
      <c r="IB3591" s="73"/>
      <c r="IC3591" s="73"/>
      <c r="ID3591" s="73"/>
      <c r="IE3591" s="73"/>
      <c r="IF3591" s="73"/>
      <c r="IG3591" s="73"/>
      <c r="IH3591" s="73"/>
      <c r="II3591" s="73"/>
      <c r="IJ3591" s="73"/>
      <c r="IK3591" s="73"/>
      <c r="IL3591" s="73"/>
      <c r="IM3591" s="73"/>
      <c r="IN3591" s="73"/>
      <c r="IO3591" s="73"/>
      <c r="IP3591" s="73"/>
      <c r="IQ3591" s="73"/>
      <c r="IR3591" s="73"/>
      <c r="IS3591" s="73"/>
      <c r="IT3591" s="73"/>
      <c r="IU3591" s="73"/>
      <c r="IV3591" s="73"/>
      <c r="IW3591" s="73"/>
      <c r="IX3591" s="73"/>
      <c r="IY3591" s="73"/>
      <c r="IZ3591" s="73"/>
      <c r="JA3591" s="73"/>
      <c r="JB3591" s="73"/>
      <c r="JC3591" s="73"/>
    </row>
    <row r="3592" spans="2:263" s="72" customFormat="1">
      <c r="B3592" s="73"/>
      <c r="C3592" s="73"/>
      <c r="D3592" s="73"/>
      <c r="E3592" s="73"/>
      <c r="F3592" s="73"/>
      <c r="G3592" s="73"/>
      <c r="H3592" s="73"/>
      <c r="I3592" s="73"/>
      <c r="J3592" s="73"/>
      <c r="K3592" s="73"/>
      <c r="L3592" s="73"/>
      <c r="M3592" s="73"/>
      <c r="N3592" s="73"/>
      <c r="O3592" s="73"/>
      <c r="P3592" s="73"/>
      <c r="Q3592" s="73"/>
      <c r="R3592" s="73"/>
      <c r="S3592" s="73"/>
      <c r="T3592" s="73"/>
      <c r="U3592" s="73"/>
      <c r="V3592" s="73"/>
      <c r="W3592" s="73"/>
      <c r="GL3592" s="73"/>
      <c r="GM3592" s="73"/>
      <c r="GN3592" s="73"/>
      <c r="GO3592" s="73"/>
      <c r="GP3592" s="73"/>
      <c r="GQ3592" s="73"/>
      <c r="GR3592" s="73"/>
      <c r="GS3592" s="73"/>
      <c r="GT3592" s="73"/>
      <c r="GU3592" s="73"/>
      <c r="GV3592" s="73"/>
      <c r="GW3592" s="73"/>
      <c r="GX3592" s="73"/>
      <c r="GY3592" s="73"/>
      <c r="GZ3592" s="73"/>
      <c r="HA3592" s="73"/>
      <c r="HB3592" s="73"/>
      <c r="HC3592" s="73"/>
      <c r="HD3592" s="73"/>
      <c r="HE3592" s="73"/>
      <c r="HF3592" s="73"/>
      <c r="HG3592" s="73"/>
      <c r="HH3592" s="73"/>
      <c r="HI3592" s="73"/>
      <c r="HJ3592" s="73"/>
      <c r="HK3592" s="73"/>
      <c r="HL3592" s="73"/>
      <c r="HM3592" s="73"/>
      <c r="HN3592" s="73"/>
      <c r="HO3592" s="73"/>
      <c r="HP3592" s="73"/>
      <c r="HQ3592" s="73"/>
      <c r="HR3592" s="73"/>
      <c r="HS3592" s="73"/>
      <c r="HT3592" s="73"/>
      <c r="HU3592" s="73"/>
      <c r="HV3592" s="73"/>
      <c r="HW3592" s="73"/>
      <c r="HX3592" s="73"/>
      <c r="HY3592" s="73"/>
      <c r="HZ3592" s="73"/>
      <c r="IA3592" s="73"/>
      <c r="IB3592" s="73"/>
      <c r="IC3592" s="73"/>
      <c r="ID3592" s="73"/>
      <c r="IE3592" s="73"/>
      <c r="IF3592" s="73"/>
      <c r="IG3592" s="73"/>
      <c r="IH3592" s="73"/>
      <c r="II3592" s="73"/>
      <c r="IJ3592" s="73"/>
      <c r="IK3592" s="73"/>
      <c r="IL3592" s="73"/>
      <c r="IM3592" s="73"/>
      <c r="IN3592" s="73"/>
      <c r="IO3592" s="73"/>
      <c r="IP3592" s="73"/>
      <c r="IQ3592" s="73"/>
      <c r="IR3592" s="73"/>
      <c r="IS3592" s="73"/>
      <c r="IT3592" s="73"/>
      <c r="IU3592" s="73"/>
      <c r="IV3592" s="73"/>
      <c r="IW3592" s="73"/>
      <c r="IX3592" s="73"/>
      <c r="IY3592" s="73"/>
      <c r="IZ3592" s="73"/>
      <c r="JA3592" s="73"/>
      <c r="JB3592" s="73"/>
      <c r="JC3592" s="73"/>
    </row>
    <row r="3593" spans="2:263" s="72" customFormat="1">
      <c r="B3593" s="73"/>
      <c r="C3593" s="73"/>
      <c r="D3593" s="73"/>
      <c r="E3593" s="73"/>
      <c r="F3593" s="73"/>
      <c r="G3593" s="73"/>
      <c r="H3593" s="73"/>
      <c r="I3593" s="73"/>
      <c r="J3593" s="73"/>
      <c r="K3593" s="73"/>
      <c r="L3593" s="73"/>
      <c r="M3593" s="73"/>
      <c r="N3593" s="73"/>
      <c r="O3593" s="73"/>
      <c r="P3593" s="73"/>
      <c r="Q3593" s="73"/>
      <c r="R3593" s="73"/>
      <c r="S3593" s="73"/>
      <c r="T3593" s="73"/>
      <c r="U3593" s="73"/>
      <c r="V3593" s="73"/>
      <c r="W3593" s="73"/>
      <c r="GL3593" s="73"/>
      <c r="GM3593" s="73"/>
      <c r="GN3593" s="73"/>
      <c r="GO3593" s="73"/>
      <c r="GP3593" s="73"/>
      <c r="GQ3593" s="73"/>
      <c r="GR3593" s="73"/>
      <c r="GS3593" s="73"/>
      <c r="GT3593" s="73"/>
      <c r="GU3593" s="73"/>
      <c r="GV3593" s="73"/>
      <c r="GW3593" s="73"/>
      <c r="GX3593" s="73"/>
      <c r="GY3593" s="73"/>
      <c r="GZ3593" s="73"/>
      <c r="HA3593" s="73"/>
      <c r="HB3593" s="73"/>
      <c r="HC3593" s="73"/>
      <c r="HD3593" s="73"/>
      <c r="HE3593" s="73"/>
      <c r="HF3593" s="73"/>
      <c r="HG3593" s="73"/>
      <c r="HH3593" s="73"/>
      <c r="HI3593" s="73"/>
      <c r="HJ3593" s="73"/>
      <c r="HK3593" s="73"/>
      <c r="HL3593" s="73"/>
      <c r="HM3593" s="73"/>
      <c r="HN3593" s="73"/>
      <c r="HO3593" s="73"/>
      <c r="HP3593" s="73"/>
      <c r="HQ3593" s="73"/>
      <c r="HR3593" s="73"/>
      <c r="HS3593" s="73"/>
      <c r="HT3593" s="73"/>
      <c r="HU3593" s="73"/>
      <c r="HV3593" s="73"/>
      <c r="HW3593" s="73"/>
      <c r="HX3593" s="73"/>
      <c r="HY3593" s="73"/>
      <c r="HZ3593" s="73"/>
      <c r="IA3593" s="73"/>
      <c r="IB3593" s="73"/>
      <c r="IC3593" s="73"/>
      <c r="ID3593" s="73"/>
      <c r="IE3593" s="73"/>
      <c r="IF3593" s="73"/>
      <c r="IG3593" s="73"/>
      <c r="IH3593" s="73"/>
      <c r="II3593" s="73"/>
      <c r="IJ3593" s="73"/>
      <c r="IK3593" s="73"/>
      <c r="IL3593" s="73"/>
      <c r="IM3593" s="73"/>
      <c r="IN3593" s="73"/>
      <c r="IO3593" s="73"/>
      <c r="IP3593" s="73"/>
      <c r="IQ3593" s="73"/>
      <c r="IR3593" s="73"/>
      <c r="IS3593" s="73"/>
      <c r="IT3593" s="73"/>
      <c r="IU3593" s="73"/>
      <c r="IV3593" s="73"/>
      <c r="IW3593" s="73"/>
      <c r="IX3593" s="73"/>
      <c r="IY3593" s="73"/>
      <c r="IZ3593" s="73"/>
      <c r="JA3593" s="73"/>
      <c r="JB3593" s="73"/>
      <c r="JC3593" s="73"/>
    </row>
    <row r="3594" spans="2:263" s="72" customFormat="1">
      <c r="B3594" s="73"/>
      <c r="C3594" s="73"/>
      <c r="D3594" s="73"/>
      <c r="E3594" s="73"/>
      <c r="F3594" s="73"/>
      <c r="G3594" s="73"/>
      <c r="H3594" s="73"/>
      <c r="I3594" s="73"/>
      <c r="J3594" s="73"/>
      <c r="K3594" s="73"/>
      <c r="L3594" s="73"/>
      <c r="M3594" s="73"/>
      <c r="N3594" s="73"/>
      <c r="O3594" s="73"/>
      <c r="P3594" s="73"/>
      <c r="Q3594" s="73"/>
      <c r="R3594" s="73"/>
      <c r="S3594" s="73"/>
      <c r="T3594" s="73"/>
      <c r="U3594" s="73"/>
      <c r="V3594" s="73"/>
      <c r="W3594" s="73"/>
      <c r="GL3594" s="73"/>
      <c r="GM3594" s="73"/>
      <c r="GN3594" s="73"/>
      <c r="GO3594" s="73"/>
      <c r="GP3594" s="73"/>
      <c r="GQ3594" s="73"/>
      <c r="GR3594" s="73"/>
      <c r="GS3594" s="73"/>
      <c r="GT3594" s="73"/>
      <c r="GU3594" s="73"/>
      <c r="GV3594" s="73"/>
      <c r="GW3594" s="73"/>
      <c r="GX3594" s="73"/>
      <c r="GY3594" s="73"/>
      <c r="GZ3594" s="73"/>
      <c r="HA3594" s="73"/>
      <c r="HB3594" s="73"/>
      <c r="HC3594" s="73"/>
      <c r="HD3594" s="73"/>
      <c r="HE3594" s="73"/>
      <c r="HF3594" s="73"/>
      <c r="HG3594" s="73"/>
      <c r="HH3594" s="73"/>
      <c r="HI3594" s="73"/>
      <c r="HJ3594" s="73"/>
      <c r="HK3594" s="73"/>
      <c r="HL3594" s="73"/>
      <c r="HM3594" s="73"/>
      <c r="HN3594" s="73"/>
      <c r="HO3594" s="73"/>
      <c r="HP3594" s="73"/>
      <c r="HQ3594" s="73"/>
      <c r="HR3594" s="73"/>
      <c r="HS3594" s="73"/>
      <c r="HT3594" s="73"/>
      <c r="HU3594" s="73"/>
      <c r="HV3594" s="73"/>
      <c r="HW3594" s="73"/>
      <c r="HX3594" s="73"/>
      <c r="HY3594" s="73"/>
      <c r="HZ3594" s="73"/>
      <c r="IA3594" s="73"/>
      <c r="IB3594" s="73"/>
      <c r="IC3594" s="73"/>
      <c r="ID3594" s="73"/>
      <c r="IE3594" s="73"/>
      <c r="IF3594" s="73"/>
      <c r="IG3594" s="73"/>
      <c r="IH3594" s="73"/>
      <c r="II3594" s="73"/>
      <c r="IJ3594" s="73"/>
      <c r="IK3594" s="73"/>
      <c r="IL3594" s="73"/>
      <c r="IM3594" s="73"/>
      <c r="IN3594" s="73"/>
      <c r="IO3594" s="73"/>
      <c r="IP3594" s="73"/>
      <c r="IQ3594" s="73"/>
      <c r="IR3594" s="73"/>
      <c r="IS3594" s="73"/>
      <c r="IT3594" s="73"/>
      <c r="IU3594" s="73"/>
      <c r="IV3594" s="73"/>
      <c r="IW3594" s="73"/>
      <c r="IX3594" s="73"/>
      <c r="IY3594" s="73"/>
      <c r="IZ3594" s="73"/>
      <c r="JA3594" s="73"/>
      <c r="JB3594" s="73"/>
      <c r="JC3594" s="73"/>
    </row>
    <row r="3595" spans="2:263" s="72" customFormat="1">
      <c r="B3595" s="73"/>
      <c r="C3595" s="73"/>
      <c r="D3595" s="73"/>
      <c r="E3595" s="73"/>
      <c r="F3595" s="73"/>
      <c r="G3595" s="73"/>
      <c r="H3595" s="73"/>
      <c r="I3595" s="73"/>
      <c r="J3595" s="73"/>
      <c r="K3595" s="73"/>
      <c r="L3595" s="73"/>
      <c r="M3595" s="73"/>
      <c r="N3595" s="73"/>
      <c r="O3595" s="73"/>
      <c r="P3595" s="73"/>
      <c r="Q3595" s="73"/>
      <c r="R3595" s="73"/>
      <c r="S3595" s="73"/>
      <c r="T3595" s="73"/>
      <c r="U3595" s="73"/>
      <c r="V3595" s="73"/>
      <c r="W3595" s="73"/>
      <c r="GL3595" s="73"/>
      <c r="GM3595" s="73"/>
      <c r="GN3595" s="73"/>
      <c r="GO3595" s="73"/>
      <c r="GP3595" s="73"/>
      <c r="GQ3595" s="73"/>
      <c r="GR3595" s="73"/>
      <c r="GS3595" s="73"/>
      <c r="GT3595" s="73"/>
      <c r="GU3595" s="73"/>
      <c r="GV3595" s="73"/>
      <c r="GW3595" s="73"/>
      <c r="GX3595" s="73"/>
      <c r="GY3595" s="73"/>
      <c r="GZ3595" s="73"/>
      <c r="HA3595" s="73"/>
      <c r="HB3595" s="73"/>
      <c r="HC3595" s="73"/>
      <c r="HD3595" s="73"/>
      <c r="HE3595" s="73"/>
      <c r="HF3595" s="73"/>
      <c r="HG3595" s="73"/>
      <c r="HH3595" s="73"/>
      <c r="HI3595" s="73"/>
      <c r="HJ3595" s="73"/>
      <c r="HK3595" s="73"/>
      <c r="HL3595" s="73"/>
      <c r="HM3595" s="73"/>
      <c r="HN3595" s="73"/>
      <c r="HO3595" s="73"/>
      <c r="HP3595" s="73"/>
      <c r="HQ3595" s="73"/>
      <c r="HR3595" s="73"/>
      <c r="HS3595" s="73"/>
      <c r="HT3595" s="73"/>
      <c r="HU3595" s="73"/>
      <c r="HV3595" s="73"/>
      <c r="HW3595" s="73"/>
      <c r="HX3595" s="73"/>
      <c r="HY3595" s="73"/>
      <c r="HZ3595" s="73"/>
      <c r="IA3595" s="73"/>
      <c r="IB3595" s="73"/>
      <c r="IC3595" s="73"/>
      <c r="ID3595" s="73"/>
      <c r="IE3595" s="73"/>
      <c r="IF3595" s="73"/>
      <c r="IG3595" s="73"/>
      <c r="IH3595" s="73"/>
      <c r="II3595" s="73"/>
      <c r="IJ3595" s="73"/>
      <c r="IK3595" s="73"/>
      <c r="IL3595" s="73"/>
      <c r="IM3595" s="73"/>
      <c r="IN3595" s="73"/>
      <c r="IO3595" s="73"/>
      <c r="IP3595" s="73"/>
      <c r="IQ3595" s="73"/>
      <c r="IR3595" s="73"/>
      <c r="IS3595" s="73"/>
      <c r="IT3595" s="73"/>
      <c r="IU3595" s="73"/>
      <c r="IV3595" s="73"/>
      <c r="IW3595" s="73"/>
      <c r="IX3595" s="73"/>
      <c r="IY3595" s="73"/>
      <c r="IZ3595" s="73"/>
      <c r="JA3595" s="73"/>
      <c r="JB3595" s="73"/>
      <c r="JC3595" s="73"/>
    </row>
    <row r="3596" spans="2:263" s="72" customFormat="1">
      <c r="B3596" s="73"/>
      <c r="C3596" s="73"/>
      <c r="D3596" s="73"/>
      <c r="E3596" s="73"/>
      <c r="F3596" s="73"/>
      <c r="G3596" s="73"/>
      <c r="H3596" s="73"/>
      <c r="I3596" s="73"/>
      <c r="J3596" s="73"/>
      <c r="K3596" s="73"/>
      <c r="L3596" s="73"/>
      <c r="M3596" s="73"/>
      <c r="N3596" s="73"/>
      <c r="O3596" s="73"/>
      <c r="P3596" s="73"/>
      <c r="Q3596" s="73"/>
      <c r="R3596" s="73"/>
      <c r="S3596" s="73"/>
      <c r="T3596" s="73"/>
      <c r="U3596" s="73"/>
      <c r="V3596" s="73"/>
      <c r="W3596" s="73"/>
      <c r="GL3596" s="73"/>
      <c r="GM3596" s="73"/>
      <c r="GN3596" s="73"/>
      <c r="GO3596" s="73"/>
      <c r="GP3596" s="73"/>
      <c r="GQ3596" s="73"/>
      <c r="GR3596" s="73"/>
      <c r="GS3596" s="73"/>
      <c r="GT3596" s="73"/>
      <c r="GU3596" s="73"/>
      <c r="GV3596" s="73"/>
      <c r="GW3596" s="73"/>
      <c r="GX3596" s="73"/>
      <c r="GY3596" s="73"/>
      <c r="GZ3596" s="73"/>
      <c r="HA3596" s="73"/>
      <c r="HB3596" s="73"/>
      <c r="HC3596" s="73"/>
      <c r="HD3596" s="73"/>
      <c r="HE3596" s="73"/>
      <c r="HF3596" s="73"/>
      <c r="HG3596" s="73"/>
      <c r="HH3596" s="73"/>
      <c r="HI3596" s="73"/>
      <c r="HJ3596" s="73"/>
      <c r="HK3596" s="73"/>
      <c r="HL3596" s="73"/>
      <c r="HM3596" s="73"/>
      <c r="HN3596" s="73"/>
      <c r="HO3596" s="73"/>
      <c r="HP3596" s="73"/>
      <c r="HQ3596" s="73"/>
      <c r="HR3596" s="73"/>
      <c r="HS3596" s="73"/>
      <c r="HT3596" s="73"/>
      <c r="HU3596" s="73"/>
      <c r="HV3596" s="73"/>
      <c r="HW3596" s="73"/>
      <c r="HX3596" s="73"/>
      <c r="HY3596" s="73"/>
      <c r="HZ3596" s="73"/>
      <c r="IA3596" s="73"/>
      <c r="IB3596" s="73"/>
      <c r="IC3596" s="73"/>
      <c r="ID3596" s="73"/>
      <c r="IE3596" s="73"/>
      <c r="IF3596" s="73"/>
      <c r="IG3596" s="73"/>
      <c r="IH3596" s="73"/>
      <c r="II3596" s="73"/>
      <c r="IJ3596" s="73"/>
      <c r="IK3596" s="73"/>
      <c r="IL3596" s="73"/>
      <c r="IM3596" s="73"/>
      <c r="IN3596" s="73"/>
      <c r="IO3596" s="73"/>
      <c r="IP3596" s="73"/>
      <c r="IQ3596" s="73"/>
      <c r="IR3596" s="73"/>
      <c r="IS3596" s="73"/>
      <c r="IT3596" s="73"/>
      <c r="IU3596" s="73"/>
      <c r="IV3596" s="73"/>
      <c r="IW3596" s="73"/>
      <c r="IX3596" s="73"/>
      <c r="IY3596" s="73"/>
      <c r="IZ3596" s="73"/>
      <c r="JA3596" s="73"/>
      <c r="JB3596" s="73"/>
      <c r="JC3596" s="73"/>
    </row>
    <row r="3597" spans="2:263" s="72" customFormat="1">
      <c r="B3597" s="73"/>
      <c r="C3597" s="73"/>
      <c r="D3597" s="73"/>
      <c r="E3597" s="73"/>
      <c r="F3597" s="73"/>
      <c r="G3597" s="73"/>
      <c r="H3597" s="73"/>
      <c r="I3597" s="73"/>
      <c r="J3597" s="73"/>
      <c r="K3597" s="73"/>
      <c r="L3597" s="73"/>
      <c r="M3597" s="73"/>
      <c r="N3597" s="73"/>
      <c r="O3597" s="73"/>
      <c r="P3597" s="73"/>
      <c r="Q3597" s="73"/>
      <c r="R3597" s="73"/>
      <c r="S3597" s="73"/>
      <c r="T3597" s="73"/>
      <c r="U3597" s="73"/>
      <c r="V3597" s="73"/>
      <c r="W3597" s="73"/>
      <c r="GL3597" s="73"/>
      <c r="GM3597" s="73"/>
      <c r="GN3597" s="73"/>
      <c r="GO3597" s="73"/>
      <c r="GP3597" s="73"/>
      <c r="GQ3597" s="73"/>
      <c r="GR3597" s="73"/>
      <c r="GS3597" s="73"/>
      <c r="GT3597" s="73"/>
      <c r="GU3597" s="73"/>
      <c r="GV3597" s="73"/>
      <c r="GW3597" s="73"/>
      <c r="GX3597" s="73"/>
      <c r="GY3597" s="73"/>
      <c r="GZ3597" s="73"/>
      <c r="HA3597" s="73"/>
      <c r="HB3597" s="73"/>
      <c r="HC3597" s="73"/>
      <c r="HD3597" s="73"/>
      <c r="HE3597" s="73"/>
      <c r="HF3597" s="73"/>
      <c r="HG3597" s="73"/>
      <c r="HH3597" s="73"/>
      <c r="HI3597" s="73"/>
      <c r="HJ3597" s="73"/>
      <c r="HK3597" s="73"/>
      <c r="HL3597" s="73"/>
      <c r="HM3597" s="73"/>
      <c r="HN3597" s="73"/>
      <c r="HO3597" s="73"/>
      <c r="HP3597" s="73"/>
      <c r="HQ3597" s="73"/>
      <c r="HR3597" s="73"/>
      <c r="HS3597" s="73"/>
      <c r="HT3597" s="73"/>
      <c r="HU3597" s="73"/>
      <c r="HV3597" s="73"/>
      <c r="HW3597" s="73"/>
      <c r="HX3597" s="73"/>
      <c r="HY3597" s="73"/>
      <c r="HZ3597" s="73"/>
      <c r="IA3597" s="73"/>
      <c r="IB3597" s="73"/>
      <c r="IC3597" s="73"/>
      <c r="ID3597" s="73"/>
      <c r="IE3597" s="73"/>
      <c r="IF3597" s="73"/>
      <c r="IG3597" s="73"/>
      <c r="IH3597" s="73"/>
      <c r="II3597" s="73"/>
      <c r="IJ3597" s="73"/>
      <c r="IK3597" s="73"/>
      <c r="IL3597" s="73"/>
      <c r="IM3597" s="73"/>
      <c r="IN3597" s="73"/>
      <c r="IO3597" s="73"/>
      <c r="IP3597" s="73"/>
      <c r="IQ3597" s="73"/>
      <c r="IR3597" s="73"/>
      <c r="IS3597" s="73"/>
      <c r="IT3597" s="73"/>
      <c r="IU3597" s="73"/>
      <c r="IV3597" s="73"/>
      <c r="IW3597" s="73"/>
      <c r="IX3597" s="73"/>
      <c r="IY3597" s="73"/>
      <c r="IZ3597" s="73"/>
      <c r="JA3597" s="73"/>
      <c r="JB3597" s="73"/>
      <c r="JC3597" s="73"/>
    </row>
    <row r="3598" spans="2:263" s="72" customFormat="1">
      <c r="B3598" s="73"/>
      <c r="C3598" s="73"/>
      <c r="D3598" s="73"/>
      <c r="E3598" s="73"/>
      <c r="F3598" s="73"/>
      <c r="G3598" s="73"/>
      <c r="H3598" s="73"/>
      <c r="I3598" s="73"/>
      <c r="J3598" s="73"/>
      <c r="K3598" s="73"/>
      <c r="L3598" s="73"/>
      <c r="M3598" s="73"/>
      <c r="N3598" s="73"/>
      <c r="O3598" s="73"/>
      <c r="P3598" s="73"/>
      <c r="Q3598" s="73"/>
      <c r="R3598" s="73"/>
      <c r="S3598" s="73"/>
      <c r="T3598" s="73"/>
      <c r="U3598" s="73"/>
      <c r="V3598" s="73"/>
      <c r="W3598" s="73"/>
      <c r="GL3598" s="73"/>
      <c r="GM3598" s="73"/>
      <c r="GN3598" s="73"/>
      <c r="GO3598" s="73"/>
      <c r="GP3598" s="73"/>
      <c r="GQ3598" s="73"/>
      <c r="GR3598" s="73"/>
      <c r="GS3598" s="73"/>
      <c r="GT3598" s="73"/>
      <c r="GU3598" s="73"/>
      <c r="GV3598" s="73"/>
      <c r="GW3598" s="73"/>
      <c r="GX3598" s="73"/>
      <c r="GY3598" s="73"/>
      <c r="GZ3598" s="73"/>
      <c r="HA3598" s="73"/>
      <c r="HB3598" s="73"/>
      <c r="HC3598" s="73"/>
      <c r="HD3598" s="73"/>
      <c r="HE3598" s="73"/>
      <c r="HF3598" s="73"/>
      <c r="HG3598" s="73"/>
      <c r="HH3598" s="73"/>
      <c r="HI3598" s="73"/>
      <c r="HJ3598" s="73"/>
      <c r="HK3598" s="73"/>
      <c r="HL3598" s="73"/>
      <c r="HM3598" s="73"/>
      <c r="HN3598" s="73"/>
      <c r="HO3598" s="73"/>
      <c r="HP3598" s="73"/>
      <c r="HQ3598" s="73"/>
      <c r="HR3598" s="73"/>
      <c r="HS3598" s="73"/>
      <c r="HT3598" s="73"/>
      <c r="HU3598" s="73"/>
      <c r="HV3598" s="73"/>
      <c r="HW3598" s="73"/>
      <c r="HX3598" s="73"/>
      <c r="HY3598" s="73"/>
      <c r="HZ3598" s="73"/>
      <c r="IA3598" s="73"/>
      <c r="IB3598" s="73"/>
      <c r="IC3598" s="73"/>
      <c r="ID3598" s="73"/>
      <c r="IE3598" s="73"/>
      <c r="IF3598" s="73"/>
      <c r="IG3598" s="73"/>
      <c r="IH3598" s="73"/>
      <c r="II3598" s="73"/>
      <c r="IJ3598" s="73"/>
      <c r="IK3598" s="73"/>
      <c r="IL3598" s="73"/>
      <c r="IM3598" s="73"/>
      <c r="IN3598" s="73"/>
      <c r="IO3598" s="73"/>
      <c r="IP3598" s="73"/>
      <c r="IQ3598" s="73"/>
      <c r="IR3598" s="73"/>
      <c r="IS3598" s="73"/>
      <c r="IT3598" s="73"/>
      <c r="IU3598" s="73"/>
      <c r="IV3598" s="73"/>
      <c r="IW3598" s="73"/>
      <c r="IX3598" s="73"/>
      <c r="IY3598" s="73"/>
      <c r="IZ3598" s="73"/>
      <c r="JA3598" s="73"/>
      <c r="JB3598" s="73"/>
      <c r="JC3598" s="73"/>
    </row>
    <row r="3599" spans="2:263" s="72" customFormat="1">
      <c r="B3599" s="73"/>
      <c r="C3599" s="73"/>
      <c r="D3599" s="73"/>
      <c r="E3599" s="73"/>
      <c r="F3599" s="73"/>
      <c r="G3599" s="73"/>
      <c r="H3599" s="73"/>
      <c r="I3599" s="73"/>
      <c r="J3599" s="73"/>
      <c r="K3599" s="73"/>
      <c r="L3599" s="73"/>
      <c r="M3599" s="73"/>
      <c r="N3599" s="73"/>
      <c r="O3599" s="73"/>
      <c r="P3599" s="73"/>
      <c r="Q3599" s="73"/>
      <c r="R3599" s="73"/>
      <c r="S3599" s="73"/>
      <c r="T3599" s="73"/>
      <c r="U3599" s="73"/>
      <c r="V3599" s="73"/>
      <c r="W3599" s="73"/>
      <c r="GL3599" s="73"/>
      <c r="GM3599" s="73"/>
      <c r="GN3599" s="73"/>
      <c r="GO3599" s="73"/>
      <c r="GP3599" s="73"/>
      <c r="GQ3599" s="73"/>
      <c r="GR3599" s="73"/>
      <c r="GS3599" s="73"/>
      <c r="GT3599" s="73"/>
      <c r="GU3599" s="73"/>
      <c r="GV3599" s="73"/>
      <c r="GW3599" s="73"/>
      <c r="GX3599" s="73"/>
      <c r="GY3599" s="73"/>
      <c r="GZ3599" s="73"/>
      <c r="HA3599" s="73"/>
      <c r="HB3599" s="73"/>
      <c r="HC3599" s="73"/>
      <c r="HD3599" s="73"/>
      <c r="HE3599" s="73"/>
      <c r="HF3599" s="73"/>
      <c r="HG3599" s="73"/>
      <c r="HH3599" s="73"/>
      <c r="HI3599" s="73"/>
      <c r="HJ3599" s="73"/>
      <c r="HK3599" s="73"/>
      <c r="HL3599" s="73"/>
      <c r="HM3599" s="73"/>
      <c r="HN3599" s="73"/>
      <c r="HO3599" s="73"/>
      <c r="HP3599" s="73"/>
      <c r="HQ3599" s="73"/>
      <c r="HR3599" s="73"/>
      <c r="HS3599" s="73"/>
      <c r="HT3599" s="73"/>
      <c r="HU3599" s="73"/>
      <c r="HV3599" s="73"/>
      <c r="HW3599" s="73"/>
      <c r="HX3599" s="73"/>
      <c r="HY3599" s="73"/>
      <c r="HZ3599" s="73"/>
      <c r="IA3599" s="73"/>
      <c r="IB3599" s="73"/>
      <c r="IC3599" s="73"/>
      <c r="ID3599" s="73"/>
      <c r="IE3599" s="73"/>
      <c r="IF3599" s="73"/>
      <c r="IG3599" s="73"/>
      <c r="IH3599" s="73"/>
      <c r="II3599" s="73"/>
      <c r="IJ3599" s="73"/>
      <c r="IK3599" s="73"/>
      <c r="IL3599" s="73"/>
      <c r="IM3599" s="73"/>
      <c r="IN3599" s="73"/>
      <c r="IO3599" s="73"/>
      <c r="IP3599" s="73"/>
      <c r="IQ3599" s="73"/>
      <c r="IR3599" s="73"/>
      <c r="IS3599" s="73"/>
      <c r="IT3599" s="73"/>
      <c r="IU3599" s="73"/>
      <c r="IV3599" s="73"/>
      <c r="IW3599" s="73"/>
      <c r="IX3599" s="73"/>
      <c r="IY3599" s="73"/>
      <c r="IZ3599" s="73"/>
      <c r="JA3599" s="73"/>
      <c r="JB3599" s="73"/>
      <c r="JC3599" s="73"/>
    </row>
    <row r="3600" spans="2:263" s="72" customFormat="1">
      <c r="B3600" s="73"/>
      <c r="C3600" s="73"/>
      <c r="D3600" s="73"/>
      <c r="E3600" s="73"/>
      <c r="F3600" s="73"/>
      <c r="G3600" s="73"/>
      <c r="H3600" s="73"/>
      <c r="I3600" s="73"/>
      <c r="J3600" s="73"/>
      <c r="K3600" s="73"/>
      <c r="L3600" s="73"/>
      <c r="M3600" s="73"/>
      <c r="N3600" s="73"/>
      <c r="O3600" s="73"/>
      <c r="P3600" s="73"/>
      <c r="Q3600" s="73"/>
      <c r="R3600" s="73"/>
      <c r="S3600" s="73"/>
      <c r="T3600" s="73"/>
      <c r="U3600" s="73"/>
      <c r="V3600" s="73"/>
      <c r="W3600" s="73"/>
      <c r="GL3600" s="73"/>
      <c r="GM3600" s="73"/>
      <c r="GN3600" s="73"/>
      <c r="GO3600" s="73"/>
      <c r="GP3600" s="73"/>
      <c r="GQ3600" s="73"/>
      <c r="GR3600" s="73"/>
      <c r="GS3600" s="73"/>
      <c r="GT3600" s="73"/>
      <c r="GU3600" s="73"/>
      <c r="GV3600" s="73"/>
      <c r="GW3600" s="73"/>
      <c r="GX3600" s="73"/>
      <c r="GY3600" s="73"/>
      <c r="GZ3600" s="73"/>
      <c r="HA3600" s="73"/>
      <c r="HB3600" s="73"/>
      <c r="HC3600" s="73"/>
      <c r="HD3600" s="73"/>
      <c r="HE3600" s="73"/>
      <c r="HF3600" s="73"/>
      <c r="HG3600" s="73"/>
      <c r="HH3600" s="73"/>
      <c r="HI3600" s="73"/>
      <c r="HJ3600" s="73"/>
      <c r="HK3600" s="73"/>
      <c r="HL3600" s="73"/>
      <c r="HM3600" s="73"/>
      <c r="HN3600" s="73"/>
      <c r="HO3600" s="73"/>
      <c r="HP3600" s="73"/>
      <c r="HQ3600" s="73"/>
      <c r="HR3600" s="73"/>
      <c r="HS3600" s="73"/>
      <c r="HT3600" s="73"/>
      <c r="HU3600" s="73"/>
      <c r="HV3600" s="73"/>
      <c r="HW3600" s="73"/>
      <c r="HX3600" s="73"/>
      <c r="HY3600" s="73"/>
      <c r="HZ3600" s="73"/>
      <c r="IA3600" s="73"/>
      <c r="IB3600" s="73"/>
      <c r="IC3600" s="73"/>
      <c r="ID3600" s="73"/>
      <c r="IE3600" s="73"/>
      <c r="IF3600" s="73"/>
      <c r="IG3600" s="73"/>
      <c r="IH3600" s="73"/>
      <c r="II3600" s="73"/>
      <c r="IJ3600" s="73"/>
      <c r="IK3600" s="73"/>
      <c r="IL3600" s="73"/>
      <c r="IM3600" s="73"/>
      <c r="IN3600" s="73"/>
      <c r="IO3600" s="73"/>
      <c r="IP3600" s="73"/>
      <c r="IQ3600" s="73"/>
      <c r="IR3600" s="73"/>
      <c r="IS3600" s="73"/>
      <c r="IT3600" s="73"/>
      <c r="IU3600" s="73"/>
      <c r="IV3600" s="73"/>
      <c r="IW3600" s="73"/>
      <c r="IX3600" s="73"/>
      <c r="IY3600" s="73"/>
      <c r="IZ3600" s="73"/>
      <c r="JA3600" s="73"/>
      <c r="JB3600" s="73"/>
      <c r="JC3600" s="73"/>
    </row>
    <row r="3601" spans="2:263" s="72" customFormat="1">
      <c r="B3601" s="73"/>
      <c r="C3601" s="73"/>
      <c r="D3601" s="73"/>
      <c r="E3601" s="73"/>
      <c r="F3601" s="73"/>
      <c r="G3601" s="73"/>
      <c r="H3601" s="73"/>
      <c r="I3601" s="73"/>
      <c r="J3601" s="73"/>
      <c r="K3601" s="73"/>
      <c r="L3601" s="73"/>
      <c r="M3601" s="73"/>
      <c r="N3601" s="73"/>
      <c r="O3601" s="73"/>
      <c r="P3601" s="73"/>
      <c r="Q3601" s="73"/>
      <c r="R3601" s="73"/>
      <c r="S3601" s="73"/>
      <c r="T3601" s="73"/>
      <c r="U3601" s="73"/>
      <c r="V3601" s="73"/>
      <c r="W3601" s="73"/>
      <c r="GL3601" s="73"/>
      <c r="GM3601" s="73"/>
      <c r="GN3601" s="73"/>
      <c r="GO3601" s="73"/>
      <c r="GP3601" s="73"/>
      <c r="GQ3601" s="73"/>
      <c r="GR3601" s="73"/>
      <c r="GS3601" s="73"/>
      <c r="GT3601" s="73"/>
      <c r="GU3601" s="73"/>
      <c r="GV3601" s="73"/>
      <c r="GW3601" s="73"/>
      <c r="GX3601" s="73"/>
      <c r="GY3601" s="73"/>
      <c r="GZ3601" s="73"/>
      <c r="HA3601" s="73"/>
      <c r="HB3601" s="73"/>
      <c r="HC3601" s="73"/>
      <c r="HD3601" s="73"/>
      <c r="HE3601" s="73"/>
      <c r="HF3601" s="73"/>
      <c r="HG3601" s="73"/>
      <c r="HH3601" s="73"/>
      <c r="HI3601" s="73"/>
      <c r="HJ3601" s="73"/>
      <c r="HK3601" s="73"/>
      <c r="HL3601" s="73"/>
      <c r="HM3601" s="73"/>
      <c r="HN3601" s="73"/>
      <c r="HO3601" s="73"/>
      <c r="HP3601" s="73"/>
      <c r="HQ3601" s="73"/>
      <c r="HR3601" s="73"/>
      <c r="HS3601" s="73"/>
      <c r="HT3601" s="73"/>
      <c r="HU3601" s="73"/>
      <c r="HV3601" s="73"/>
      <c r="HW3601" s="73"/>
      <c r="HX3601" s="73"/>
      <c r="HY3601" s="73"/>
      <c r="HZ3601" s="73"/>
      <c r="IA3601" s="73"/>
      <c r="IB3601" s="73"/>
      <c r="IC3601" s="73"/>
      <c r="ID3601" s="73"/>
      <c r="IE3601" s="73"/>
      <c r="IF3601" s="73"/>
      <c r="IG3601" s="73"/>
      <c r="IH3601" s="73"/>
      <c r="II3601" s="73"/>
      <c r="IJ3601" s="73"/>
      <c r="IK3601" s="73"/>
      <c r="IL3601" s="73"/>
      <c r="IM3601" s="73"/>
      <c r="IN3601" s="73"/>
      <c r="IO3601" s="73"/>
      <c r="IP3601" s="73"/>
      <c r="IQ3601" s="73"/>
      <c r="IR3601" s="73"/>
      <c r="IS3601" s="73"/>
      <c r="IT3601" s="73"/>
      <c r="IU3601" s="73"/>
      <c r="IV3601" s="73"/>
      <c r="IW3601" s="73"/>
      <c r="IX3601" s="73"/>
      <c r="IY3601" s="73"/>
      <c r="IZ3601" s="73"/>
      <c r="JA3601" s="73"/>
      <c r="JB3601" s="73"/>
      <c r="JC3601" s="73"/>
    </row>
    <row r="3602" spans="2:263" s="72" customFormat="1">
      <c r="B3602" s="73"/>
      <c r="C3602" s="73"/>
      <c r="D3602" s="73"/>
      <c r="E3602" s="73"/>
      <c r="F3602" s="73"/>
      <c r="G3602" s="73"/>
      <c r="H3602" s="73"/>
      <c r="I3602" s="73"/>
      <c r="J3602" s="73"/>
      <c r="K3602" s="73"/>
      <c r="L3602" s="73"/>
      <c r="M3602" s="73"/>
      <c r="N3602" s="73"/>
      <c r="O3602" s="73"/>
      <c r="P3602" s="73"/>
      <c r="Q3602" s="73"/>
      <c r="R3602" s="73"/>
      <c r="S3602" s="73"/>
      <c r="T3602" s="73"/>
      <c r="U3602" s="73"/>
      <c r="V3602" s="73"/>
      <c r="W3602" s="73"/>
      <c r="GL3602" s="73"/>
      <c r="GM3602" s="73"/>
      <c r="GN3602" s="73"/>
      <c r="GO3602" s="73"/>
      <c r="GP3602" s="73"/>
      <c r="GQ3602" s="73"/>
      <c r="GR3602" s="73"/>
      <c r="GS3602" s="73"/>
      <c r="GT3602" s="73"/>
      <c r="GU3602" s="73"/>
      <c r="GV3602" s="73"/>
      <c r="GW3602" s="73"/>
      <c r="GX3602" s="73"/>
      <c r="GY3602" s="73"/>
      <c r="GZ3602" s="73"/>
      <c r="HA3602" s="73"/>
      <c r="HB3602" s="73"/>
      <c r="HC3602" s="73"/>
      <c r="HD3602" s="73"/>
      <c r="HE3602" s="73"/>
      <c r="HF3602" s="73"/>
      <c r="HG3602" s="73"/>
      <c r="HH3602" s="73"/>
      <c r="HI3602" s="73"/>
      <c r="HJ3602" s="73"/>
      <c r="HK3602" s="73"/>
      <c r="HL3602" s="73"/>
      <c r="HM3602" s="73"/>
      <c r="HN3602" s="73"/>
      <c r="HO3602" s="73"/>
      <c r="HP3602" s="73"/>
      <c r="HQ3602" s="73"/>
      <c r="HR3602" s="73"/>
      <c r="HS3602" s="73"/>
      <c r="HT3602" s="73"/>
      <c r="HU3602" s="73"/>
      <c r="HV3602" s="73"/>
      <c r="HW3602" s="73"/>
      <c r="HX3602" s="73"/>
      <c r="HY3602" s="73"/>
      <c r="HZ3602" s="73"/>
      <c r="IA3602" s="73"/>
      <c r="IB3602" s="73"/>
      <c r="IC3602" s="73"/>
      <c r="ID3602" s="73"/>
      <c r="IE3602" s="73"/>
      <c r="IF3602" s="73"/>
      <c r="IG3602" s="73"/>
      <c r="IH3602" s="73"/>
      <c r="II3602" s="73"/>
      <c r="IJ3602" s="73"/>
      <c r="IK3602" s="73"/>
      <c r="IL3602" s="73"/>
      <c r="IM3602" s="73"/>
      <c r="IN3602" s="73"/>
      <c r="IO3602" s="73"/>
      <c r="IP3602" s="73"/>
      <c r="IQ3602" s="73"/>
      <c r="IR3602" s="73"/>
      <c r="IS3602" s="73"/>
      <c r="IT3602" s="73"/>
      <c r="IU3602" s="73"/>
      <c r="IV3602" s="73"/>
      <c r="IW3602" s="73"/>
      <c r="IX3602" s="73"/>
      <c r="IY3602" s="73"/>
      <c r="IZ3602" s="73"/>
      <c r="JA3602" s="73"/>
      <c r="JB3602" s="73"/>
      <c r="JC3602" s="73"/>
    </row>
    <row r="3603" spans="2:263" s="72" customFormat="1">
      <c r="B3603" s="73"/>
      <c r="C3603" s="73"/>
      <c r="D3603" s="73"/>
      <c r="E3603" s="73"/>
      <c r="F3603" s="73"/>
      <c r="G3603" s="73"/>
      <c r="H3603" s="73"/>
      <c r="I3603" s="73"/>
      <c r="J3603" s="73"/>
      <c r="K3603" s="73"/>
      <c r="L3603" s="73"/>
      <c r="M3603" s="73"/>
      <c r="N3603" s="73"/>
      <c r="O3603" s="73"/>
      <c r="P3603" s="73"/>
      <c r="Q3603" s="73"/>
      <c r="R3603" s="73"/>
      <c r="S3603" s="73"/>
      <c r="T3603" s="73"/>
      <c r="U3603" s="73"/>
      <c r="V3603" s="73"/>
      <c r="W3603" s="73"/>
      <c r="GL3603" s="73"/>
      <c r="GM3603" s="73"/>
      <c r="GN3603" s="73"/>
      <c r="GO3603" s="73"/>
      <c r="GP3603" s="73"/>
      <c r="GQ3603" s="73"/>
      <c r="GR3603" s="73"/>
      <c r="GS3603" s="73"/>
      <c r="GT3603" s="73"/>
      <c r="GU3603" s="73"/>
      <c r="GV3603" s="73"/>
      <c r="GW3603" s="73"/>
      <c r="GX3603" s="73"/>
      <c r="GY3603" s="73"/>
      <c r="GZ3603" s="73"/>
      <c r="HA3603" s="73"/>
      <c r="HB3603" s="73"/>
      <c r="HC3603" s="73"/>
      <c r="HD3603" s="73"/>
      <c r="HE3603" s="73"/>
      <c r="HF3603" s="73"/>
      <c r="HG3603" s="73"/>
      <c r="HH3603" s="73"/>
      <c r="HI3603" s="73"/>
      <c r="HJ3603" s="73"/>
      <c r="HK3603" s="73"/>
      <c r="HL3603" s="73"/>
      <c r="HM3603" s="73"/>
      <c r="HN3603" s="73"/>
      <c r="HO3603" s="73"/>
      <c r="HP3603" s="73"/>
      <c r="HQ3603" s="73"/>
      <c r="HR3603" s="73"/>
      <c r="HS3603" s="73"/>
      <c r="HT3603" s="73"/>
      <c r="HU3603" s="73"/>
      <c r="HV3603" s="73"/>
      <c r="HW3603" s="73"/>
      <c r="HX3603" s="73"/>
      <c r="HY3603" s="73"/>
      <c r="HZ3603" s="73"/>
      <c r="IA3603" s="73"/>
      <c r="IB3603" s="73"/>
      <c r="IC3603" s="73"/>
      <c r="ID3603" s="73"/>
      <c r="IE3603" s="73"/>
      <c r="IF3603" s="73"/>
      <c r="IG3603" s="73"/>
      <c r="IH3603" s="73"/>
      <c r="II3603" s="73"/>
      <c r="IJ3603" s="73"/>
      <c r="IK3603" s="73"/>
      <c r="IL3603" s="73"/>
      <c r="IM3603" s="73"/>
      <c r="IN3603" s="73"/>
      <c r="IO3603" s="73"/>
      <c r="IP3603" s="73"/>
      <c r="IQ3603" s="73"/>
      <c r="IR3603" s="73"/>
      <c r="IS3603" s="73"/>
      <c r="IT3603" s="73"/>
      <c r="IU3603" s="73"/>
      <c r="IV3603" s="73"/>
      <c r="IW3603" s="73"/>
      <c r="IX3603" s="73"/>
      <c r="IY3603" s="73"/>
      <c r="IZ3603" s="73"/>
      <c r="JA3603" s="73"/>
      <c r="JB3603" s="73"/>
      <c r="JC3603" s="73"/>
    </row>
    <row r="3604" spans="2:263" s="72" customFormat="1">
      <c r="B3604" s="73"/>
      <c r="C3604" s="73"/>
      <c r="D3604" s="73"/>
      <c r="E3604" s="73"/>
      <c r="F3604" s="73"/>
      <c r="G3604" s="73"/>
      <c r="H3604" s="73"/>
      <c r="I3604" s="73"/>
      <c r="J3604" s="73"/>
      <c r="K3604" s="73"/>
      <c r="L3604" s="73"/>
      <c r="M3604" s="73"/>
      <c r="N3604" s="73"/>
      <c r="O3604" s="73"/>
      <c r="P3604" s="73"/>
      <c r="Q3604" s="73"/>
      <c r="R3604" s="73"/>
      <c r="S3604" s="73"/>
      <c r="T3604" s="73"/>
      <c r="U3604" s="73"/>
      <c r="V3604" s="73"/>
      <c r="W3604" s="73"/>
      <c r="GL3604" s="73"/>
      <c r="GM3604" s="73"/>
      <c r="GN3604" s="73"/>
      <c r="GO3604" s="73"/>
      <c r="GP3604" s="73"/>
      <c r="GQ3604" s="73"/>
      <c r="GR3604" s="73"/>
      <c r="GS3604" s="73"/>
      <c r="GT3604" s="73"/>
      <c r="GU3604" s="73"/>
      <c r="GV3604" s="73"/>
      <c r="GW3604" s="73"/>
      <c r="GX3604" s="73"/>
      <c r="GY3604" s="73"/>
      <c r="GZ3604" s="73"/>
      <c r="HA3604" s="73"/>
      <c r="HB3604" s="73"/>
      <c r="HC3604" s="73"/>
      <c r="HD3604" s="73"/>
      <c r="HE3604" s="73"/>
      <c r="HF3604" s="73"/>
      <c r="HG3604" s="73"/>
      <c r="HH3604" s="73"/>
      <c r="HI3604" s="73"/>
      <c r="HJ3604" s="73"/>
      <c r="HK3604" s="73"/>
      <c r="HL3604" s="73"/>
      <c r="HM3604" s="73"/>
      <c r="HN3604" s="73"/>
      <c r="HO3604" s="73"/>
      <c r="HP3604" s="73"/>
      <c r="HQ3604" s="73"/>
      <c r="HR3604" s="73"/>
      <c r="HS3604" s="73"/>
      <c r="HT3604" s="73"/>
      <c r="HU3604" s="73"/>
      <c r="HV3604" s="73"/>
      <c r="HW3604" s="73"/>
      <c r="HX3604" s="73"/>
      <c r="HY3604" s="73"/>
      <c r="HZ3604" s="73"/>
      <c r="IA3604" s="73"/>
      <c r="IB3604" s="73"/>
      <c r="IC3604" s="73"/>
      <c r="ID3604" s="73"/>
      <c r="IE3604" s="73"/>
      <c r="IF3604" s="73"/>
      <c r="IG3604" s="73"/>
      <c r="IH3604" s="73"/>
      <c r="II3604" s="73"/>
      <c r="IJ3604" s="73"/>
      <c r="IK3604" s="73"/>
      <c r="IL3604" s="73"/>
      <c r="IM3604" s="73"/>
      <c r="IN3604" s="73"/>
      <c r="IO3604" s="73"/>
      <c r="IP3604" s="73"/>
      <c r="IQ3604" s="73"/>
      <c r="IR3604" s="73"/>
      <c r="IS3604" s="73"/>
      <c r="IT3604" s="73"/>
      <c r="IU3604" s="73"/>
      <c r="IV3604" s="73"/>
      <c r="IW3604" s="73"/>
      <c r="IX3604" s="73"/>
      <c r="IY3604" s="73"/>
      <c r="IZ3604" s="73"/>
      <c r="JA3604" s="73"/>
      <c r="JB3604" s="73"/>
      <c r="JC3604" s="73"/>
    </row>
    <row r="3605" spans="2:263" s="72" customFormat="1">
      <c r="B3605" s="73"/>
      <c r="C3605" s="73"/>
      <c r="D3605" s="73"/>
      <c r="E3605" s="73"/>
      <c r="F3605" s="73"/>
      <c r="G3605" s="73"/>
      <c r="H3605" s="73"/>
      <c r="I3605" s="73"/>
      <c r="J3605" s="73"/>
      <c r="K3605" s="73"/>
      <c r="L3605" s="73"/>
      <c r="M3605" s="73"/>
      <c r="N3605" s="73"/>
      <c r="O3605" s="73"/>
      <c r="P3605" s="73"/>
      <c r="Q3605" s="73"/>
      <c r="R3605" s="73"/>
      <c r="S3605" s="73"/>
      <c r="T3605" s="73"/>
      <c r="U3605" s="73"/>
      <c r="V3605" s="73"/>
      <c r="W3605" s="73"/>
      <c r="GL3605" s="73"/>
      <c r="GM3605" s="73"/>
      <c r="GN3605" s="73"/>
      <c r="GO3605" s="73"/>
      <c r="GP3605" s="73"/>
      <c r="GQ3605" s="73"/>
      <c r="GR3605" s="73"/>
      <c r="GS3605" s="73"/>
      <c r="GT3605" s="73"/>
      <c r="GU3605" s="73"/>
      <c r="GV3605" s="73"/>
      <c r="GW3605" s="73"/>
      <c r="GX3605" s="73"/>
      <c r="GY3605" s="73"/>
      <c r="GZ3605" s="73"/>
      <c r="HA3605" s="73"/>
      <c r="HB3605" s="73"/>
      <c r="HC3605" s="73"/>
      <c r="HD3605" s="73"/>
      <c r="HE3605" s="73"/>
      <c r="HF3605" s="73"/>
      <c r="HG3605" s="73"/>
      <c r="HH3605" s="73"/>
      <c r="HI3605" s="73"/>
      <c r="HJ3605" s="73"/>
      <c r="HK3605" s="73"/>
      <c r="HL3605" s="73"/>
      <c r="HM3605" s="73"/>
      <c r="HN3605" s="73"/>
      <c r="HO3605" s="73"/>
      <c r="HP3605" s="73"/>
      <c r="HQ3605" s="73"/>
      <c r="HR3605" s="73"/>
      <c r="HS3605" s="73"/>
      <c r="HT3605" s="73"/>
      <c r="HU3605" s="73"/>
      <c r="HV3605" s="73"/>
      <c r="HW3605" s="73"/>
      <c r="HX3605" s="73"/>
      <c r="HY3605" s="73"/>
      <c r="HZ3605" s="73"/>
      <c r="IA3605" s="73"/>
      <c r="IB3605" s="73"/>
      <c r="IC3605" s="73"/>
      <c r="ID3605" s="73"/>
      <c r="IE3605" s="73"/>
      <c r="IF3605" s="73"/>
      <c r="IG3605" s="73"/>
      <c r="IH3605" s="73"/>
      <c r="II3605" s="73"/>
      <c r="IJ3605" s="73"/>
      <c r="IK3605" s="73"/>
      <c r="IL3605" s="73"/>
      <c r="IM3605" s="73"/>
      <c r="IN3605" s="73"/>
      <c r="IO3605" s="73"/>
      <c r="IP3605" s="73"/>
      <c r="IQ3605" s="73"/>
      <c r="IR3605" s="73"/>
      <c r="IS3605" s="73"/>
      <c r="IT3605" s="73"/>
      <c r="IU3605" s="73"/>
      <c r="IV3605" s="73"/>
      <c r="IW3605" s="73"/>
      <c r="IX3605" s="73"/>
      <c r="IY3605" s="73"/>
      <c r="IZ3605" s="73"/>
      <c r="JA3605" s="73"/>
      <c r="JB3605" s="73"/>
      <c r="JC3605" s="73"/>
    </row>
    <row r="3606" spans="2:263" s="72" customFormat="1">
      <c r="B3606" s="73"/>
      <c r="C3606" s="73"/>
      <c r="D3606" s="73"/>
      <c r="E3606" s="73"/>
      <c r="F3606" s="73"/>
      <c r="G3606" s="73"/>
      <c r="H3606" s="73"/>
      <c r="I3606" s="73"/>
      <c r="J3606" s="73"/>
      <c r="K3606" s="73"/>
      <c r="L3606" s="73"/>
      <c r="M3606" s="73"/>
      <c r="N3606" s="73"/>
      <c r="O3606" s="73"/>
      <c r="P3606" s="73"/>
      <c r="Q3606" s="73"/>
      <c r="R3606" s="73"/>
      <c r="S3606" s="73"/>
      <c r="T3606" s="73"/>
      <c r="U3606" s="73"/>
      <c r="V3606" s="73"/>
      <c r="W3606" s="73"/>
      <c r="GL3606" s="73"/>
      <c r="GM3606" s="73"/>
      <c r="GN3606" s="73"/>
      <c r="GO3606" s="73"/>
      <c r="GP3606" s="73"/>
      <c r="GQ3606" s="73"/>
      <c r="GR3606" s="73"/>
      <c r="GS3606" s="73"/>
      <c r="GT3606" s="73"/>
      <c r="GU3606" s="73"/>
      <c r="GV3606" s="73"/>
      <c r="GW3606" s="73"/>
      <c r="GX3606" s="73"/>
      <c r="GY3606" s="73"/>
      <c r="GZ3606" s="73"/>
      <c r="HA3606" s="73"/>
      <c r="HB3606" s="73"/>
      <c r="HC3606" s="73"/>
      <c r="HD3606" s="73"/>
      <c r="HE3606" s="73"/>
      <c r="HF3606" s="73"/>
      <c r="HG3606" s="73"/>
      <c r="HH3606" s="73"/>
      <c r="HI3606" s="73"/>
      <c r="HJ3606" s="73"/>
      <c r="HK3606" s="73"/>
      <c r="HL3606" s="73"/>
      <c r="HM3606" s="73"/>
      <c r="HN3606" s="73"/>
      <c r="HO3606" s="73"/>
      <c r="HP3606" s="73"/>
      <c r="HQ3606" s="73"/>
      <c r="HR3606" s="73"/>
      <c r="HS3606" s="73"/>
      <c r="HT3606" s="73"/>
      <c r="HU3606" s="73"/>
      <c r="HV3606" s="73"/>
      <c r="HW3606" s="73"/>
      <c r="HX3606" s="73"/>
      <c r="HY3606" s="73"/>
      <c r="HZ3606" s="73"/>
      <c r="IA3606" s="73"/>
      <c r="IB3606" s="73"/>
      <c r="IC3606" s="73"/>
      <c r="ID3606" s="73"/>
      <c r="IE3606" s="73"/>
      <c r="IF3606" s="73"/>
      <c r="IG3606" s="73"/>
      <c r="IH3606" s="73"/>
      <c r="II3606" s="73"/>
      <c r="IJ3606" s="73"/>
      <c r="IK3606" s="73"/>
      <c r="IL3606" s="73"/>
      <c r="IM3606" s="73"/>
      <c r="IN3606" s="73"/>
      <c r="IO3606" s="73"/>
      <c r="IP3606" s="73"/>
      <c r="IQ3606" s="73"/>
      <c r="IR3606" s="73"/>
      <c r="IS3606" s="73"/>
      <c r="IT3606" s="73"/>
      <c r="IU3606" s="73"/>
      <c r="IV3606" s="73"/>
      <c r="IW3606" s="73"/>
      <c r="IX3606" s="73"/>
      <c r="IY3606" s="73"/>
      <c r="IZ3606" s="73"/>
      <c r="JA3606" s="73"/>
      <c r="JB3606" s="73"/>
      <c r="JC3606" s="73"/>
    </row>
    <row r="3607" spans="2:263" s="72" customFormat="1">
      <c r="B3607" s="73"/>
      <c r="C3607" s="73"/>
      <c r="D3607" s="73"/>
      <c r="E3607" s="73"/>
      <c r="F3607" s="73"/>
      <c r="G3607" s="73"/>
      <c r="H3607" s="73"/>
      <c r="I3607" s="73"/>
      <c r="J3607" s="73"/>
      <c r="K3607" s="73"/>
      <c r="L3607" s="73"/>
      <c r="M3607" s="73"/>
      <c r="N3607" s="73"/>
      <c r="O3607" s="73"/>
      <c r="P3607" s="73"/>
      <c r="Q3607" s="73"/>
      <c r="R3607" s="73"/>
      <c r="S3607" s="73"/>
      <c r="T3607" s="73"/>
      <c r="U3607" s="73"/>
      <c r="V3607" s="73"/>
      <c r="W3607" s="73"/>
      <c r="GL3607" s="73"/>
      <c r="GM3607" s="73"/>
      <c r="GN3607" s="73"/>
      <c r="GO3607" s="73"/>
      <c r="GP3607" s="73"/>
      <c r="GQ3607" s="73"/>
      <c r="GR3607" s="73"/>
      <c r="GS3607" s="73"/>
      <c r="GT3607" s="73"/>
      <c r="GU3607" s="73"/>
      <c r="GV3607" s="73"/>
      <c r="GW3607" s="73"/>
      <c r="GX3607" s="73"/>
      <c r="GY3607" s="73"/>
      <c r="GZ3607" s="73"/>
      <c r="HA3607" s="73"/>
      <c r="HB3607" s="73"/>
      <c r="HC3607" s="73"/>
      <c r="HD3607" s="73"/>
      <c r="HE3607" s="73"/>
      <c r="HF3607" s="73"/>
      <c r="HG3607" s="73"/>
      <c r="HH3607" s="73"/>
      <c r="HI3607" s="73"/>
      <c r="HJ3607" s="73"/>
      <c r="HK3607" s="73"/>
      <c r="HL3607" s="73"/>
      <c r="HM3607" s="73"/>
      <c r="HN3607" s="73"/>
      <c r="HO3607" s="73"/>
      <c r="HP3607" s="73"/>
      <c r="HQ3607" s="73"/>
      <c r="HR3607" s="73"/>
      <c r="HS3607" s="73"/>
      <c r="HT3607" s="73"/>
      <c r="HU3607" s="73"/>
      <c r="HV3607" s="73"/>
      <c r="HW3607" s="73"/>
      <c r="HX3607" s="73"/>
      <c r="HY3607" s="73"/>
      <c r="HZ3607" s="73"/>
      <c r="IA3607" s="73"/>
      <c r="IB3607" s="73"/>
      <c r="IC3607" s="73"/>
      <c r="ID3607" s="73"/>
      <c r="IE3607" s="73"/>
      <c r="IF3607" s="73"/>
      <c r="IG3607" s="73"/>
      <c r="IH3607" s="73"/>
      <c r="II3607" s="73"/>
      <c r="IJ3607" s="73"/>
      <c r="IK3607" s="73"/>
      <c r="IL3607" s="73"/>
      <c r="IM3607" s="73"/>
      <c r="IN3607" s="73"/>
      <c r="IO3607" s="73"/>
      <c r="IP3607" s="73"/>
      <c r="IQ3607" s="73"/>
      <c r="IR3607" s="73"/>
      <c r="IS3607" s="73"/>
      <c r="IT3607" s="73"/>
      <c r="IU3607" s="73"/>
      <c r="IV3607" s="73"/>
      <c r="IW3607" s="73"/>
      <c r="IX3607" s="73"/>
      <c r="IY3607" s="73"/>
      <c r="IZ3607" s="73"/>
      <c r="JA3607" s="73"/>
      <c r="JB3607" s="73"/>
      <c r="JC3607" s="73"/>
    </row>
    <row r="3608" spans="2:263" s="72" customFormat="1">
      <c r="B3608" s="73"/>
      <c r="C3608" s="73"/>
      <c r="D3608" s="73"/>
      <c r="E3608" s="73"/>
      <c r="F3608" s="73"/>
      <c r="G3608" s="73"/>
      <c r="H3608" s="73"/>
      <c r="I3608" s="73"/>
      <c r="J3608" s="73"/>
      <c r="K3608" s="73"/>
      <c r="L3608" s="73"/>
      <c r="M3608" s="73"/>
      <c r="N3608" s="73"/>
      <c r="O3608" s="73"/>
      <c r="P3608" s="73"/>
      <c r="Q3608" s="73"/>
      <c r="R3608" s="73"/>
      <c r="S3608" s="73"/>
      <c r="T3608" s="73"/>
      <c r="U3608" s="73"/>
      <c r="V3608" s="73"/>
      <c r="W3608" s="73"/>
      <c r="GL3608" s="73"/>
      <c r="GM3608" s="73"/>
      <c r="GN3608" s="73"/>
      <c r="GO3608" s="73"/>
      <c r="GP3608" s="73"/>
      <c r="GQ3608" s="73"/>
      <c r="GR3608" s="73"/>
      <c r="GS3608" s="73"/>
      <c r="GT3608" s="73"/>
      <c r="GU3608" s="73"/>
      <c r="GV3608" s="73"/>
      <c r="GW3608" s="73"/>
      <c r="GX3608" s="73"/>
      <c r="GY3608" s="73"/>
      <c r="GZ3608" s="73"/>
      <c r="HA3608" s="73"/>
      <c r="HB3608" s="73"/>
      <c r="HC3608" s="73"/>
      <c r="HD3608" s="73"/>
      <c r="HE3608" s="73"/>
      <c r="HF3608" s="73"/>
      <c r="HG3608" s="73"/>
      <c r="HH3608" s="73"/>
      <c r="HI3608" s="73"/>
      <c r="HJ3608" s="73"/>
      <c r="HK3608" s="73"/>
      <c r="HL3608" s="73"/>
      <c r="HM3608" s="73"/>
      <c r="HN3608" s="73"/>
      <c r="HO3608" s="73"/>
      <c r="HP3608" s="73"/>
      <c r="HQ3608" s="73"/>
      <c r="HR3608" s="73"/>
      <c r="HS3608" s="73"/>
      <c r="HT3608" s="73"/>
      <c r="HU3608" s="73"/>
      <c r="HV3608" s="73"/>
      <c r="HW3608" s="73"/>
      <c r="HX3608" s="73"/>
      <c r="HY3608" s="73"/>
      <c r="HZ3608" s="73"/>
      <c r="IA3608" s="73"/>
      <c r="IB3608" s="73"/>
      <c r="IC3608" s="73"/>
      <c r="ID3608" s="73"/>
      <c r="IE3608" s="73"/>
      <c r="IF3608" s="73"/>
      <c r="IG3608" s="73"/>
      <c r="IH3608" s="73"/>
      <c r="II3608" s="73"/>
      <c r="IJ3608" s="73"/>
      <c r="IK3608" s="73"/>
      <c r="IL3608" s="73"/>
      <c r="IM3608" s="73"/>
      <c r="IN3608" s="73"/>
      <c r="IO3608" s="73"/>
      <c r="IP3608" s="73"/>
      <c r="IQ3608" s="73"/>
      <c r="IR3608" s="73"/>
      <c r="IS3608" s="73"/>
      <c r="IT3608" s="73"/>
      <c r="IU3608" s="73"/>
      <c r="IV3608" s="73"/>
      <c r="IW3608" s="73"/>
      <c r="IX3608" s="73"/>
      <c r="IY3608" s="73"/>
      <c r="IZ3608" s="73"/>
      <c r="JA3608" s="73"/>
      <c r="JB3608" s="73"/>
      <c r="JC3608" s="73"/>
    </row>
    <row r="3609" spans="2:263" s="72" customFormat="1">
      <c r="B3609" s="73"/>
      <c r="C3609" s="73"/>
      <c r="D3609" s="73"/>
      <c r="E3609" s="73"/>
      <c r="F3609" s="73"/>
      <c r="G3609" s="73"/>
      <c r="H3609" s="73"/>
      <c r="I3609" s="73"/>
      <c r="J3609" s="73"/>
      <c r="K3609" s="73"/>
      <c r="L3609" s="73"/>
      <c r="M3609" s="73"/>
      <c r="N3609" s="73"/>
      <c r="O3609" s="73"/>
      <c r="P3609" s="73"/>
      <c r="Q3609" s="73"/>
      <c r="R3609" s="73"/>
      <c r="S3609" s="73"/>
      <c r="T3609" s="73"/>
      <c r="U3609" s="73"/>
      <c r="V3609" s="73"/>
      <c r="W3609" s="73"/>
      <c r="GL3609" s="73"/>
      <c r="GM3609" s="73"/>
      <c r="GN3609" s="73"/>
      <c r="GO3609" s="73"/>
      <c r="GP3609" s="73"/>
      <c r="GQ3609" s="73"/>
      <c r="GR3609" s="73"/>
      <c r="GS3609" s="73"/>
      <c r="GT3609" s="73"/>
      <c r="GU3609" s="73"/>
      <c r="GV3609" s="73"/>
      <c r="GW3609" s="73"/>
      <c r="GX3609" s="73"/>
      <c r="GY3609" s="73"/>
      <c r="GZ3609" s="73"/>
      <c r="HA3609" s="73"/>
      <c r="HB3609" s="73"/>
      <c r="HC3609" s="73"/>
      <c r="HD3609" s="73"/>
      <c r="HE3609" s="73"/>
      <c r="HF3609" s="73"/>
      <c r="HG3609" s="73"/>
      <c r="HH3609" s="73"/>
      <c r="HI3609" s="73"/>
      <c r="HJ3609" s="73"/>
      <c r="HK3609" s="73"/>
      <c r="HL3609" s="73"/>
      <c r="HM3609" s="73"/>
      <c r="HN3609" s="73"/>
      <c r="HO3609" s="73"/>
      <c r="HP3609" s="73"/>
      <c r="HQ3609" s="73"/>
      <c r="HR3609" s="73"/>
      <c r="HS3609" s="73"/>
      <c r="HT3609" s="73"/>
      <c r="HU3609" s="73"/>
      <c r="HV3609" s="73"/>
      <c r="HW3609" s="73"/>
      <c r="HX3609" s="73"/>
      <c r="HY3609" s="73"/>
      <c r="HZ3609" s="73"/>
      <c r="IA3609" s="73"/>
      <c r="IB3609" s="73"/>
      <c r="IC3609" s="73"/>
      <c r="ID3609" s="73"/>
      <c r="IE3609" s="73"/>
      <c r="IF3609" s="73"/>
      <c r="IG3609" s="73"/>
      <c r="IH3609" s="73"/>
      <c r="II3609" s="73"/>
      <c r="IJ3609" s="73"/>
      <c r="IK3609" s="73"/>
      <c r="IL3609" s="73"/>
      <c r="IM3609" s="73"/>
      <c r="IN3609" s="73"/>
      <c r="IO3609" s="73"/>
      <c r="IP3609" s="73"/>
      <c r="IQ3609" s="73"/>
      <c r="IR3609" s="73"/>
      <c r="IS3609" s="73"/>
      <c r="IT3609" s="73"/>
      <c r="IU3609" s="73"/>
      <c r="IV3609" s="73"/>
      <c r="IW3609" s="73"/>
      <c r="IX3609" s="73"/>
      <c r="IY3609" s="73"/>
      <c r="IZ3609" s="73"/>
      <c r="JA3609" s="73"/>
      <c r="JB3609" s="73"/>
      <c r="JC3609" s="73"/>
    </row>
    <row r="3610" spans="2:263" s="72" customFormat="1">
      <c r="B3610" s="73"/>
      <c r="C3610" s="73"/>
      <c r="D3610" s="73"/>
      <c r="E3610" s="73"/>
      <c r="F3610" s="73"/>
      <c r="G3610" s="73"/>
      <c r="H3610" s="73"/>
      <c r="I3610" s="73"/>
      <c r="J3610" s="73"/>
      <c r="K3610" s="73"/>
      <c r="L3610" s="73"/>
      <c r="M3610" s="73"/>
      <c r="N3610" s="73"/>
      <c r="O3610" s="73"/>
      <c r="P3610" s="73"/>
      <c r="Q3610" s="73"/>
      <c r="R3610" s="73"/>
      <c r="S3610" s="73"/>
      <c r="T3610" s="73"/>
      <c r="U3610" s="73"/>
      <c r="V3610" s="73"/>
      <c r="W3610" s="73"/>
      <c r="GL3610" s="73"/>
      <c r="GM3610" s="73"/>
      <c r="GN3610" s="73"/>
      <c r="GO3610" s="73"/>
      <c r="GP3610" s="73"/>
      <c r="GQ3610" s="73"/>
      <c r="GR3610" s="73"/>
      <c r="GS3610" s="73"/>
      <c r="GT3610" s="73"/>
      <c r="GU3610" s="73"/>
      <c r="GV3610" s="73"/>
      <c r="GW3610" s="73"/>
      <c r="GX3610" s="73"/>
      <c r="GY3610" s="73"/>
      <c r="GZ3610" s="73"/>
      <c r="HA3610" s="73"/>
      <c r="HB3610" s="73"/>
      <c r="HC3610" s="73"/>
      <c r="HD3610" s="73"/>
      <c r="HE3610" s="73"/>
      <c r="HF3610" s="73"/>
      <c r="HG3610" s="73"/>
      <c r="HH3610" s="73"/>
      <c r="HI3610" s="73"/>
      <c r="HJ3610" s="73"/>
      <c r="HK3610" s="73"/>
      <c r="HL3610" s="73"/>
      <c r="HM3610" s="73"/>
      <c r="HN3610" s="73"/>
      <c r="HO3610" s="73"/>
      <c r="HP3610" s="73"/>
      <c r="HQ3610" s="73"/>
      <c r="HR3610" s="73"/>
      <c r="HS3610" s="73"/>
      <c r="HT3610" s="73"/>
      <c r="HU3610" s="73"/>
      <c r="HV3610" s="73"/>
      <c r="HW3610" s="73"/>
      <c r="HX3610" s="73"/>
      <c r="HY3610" s="73"/>
      <c r="HZ3610" s="73"/>
      <c r="IA3610" s="73"/>
      <c r="IB3610" s="73"/>
      <c r="IC3610" s="73"/>
      <c r="ID3610" s="73"/>
      <c r="IE3610" s="73"/>
      <c r="IF3610" s="73"/>
      <c r="IG3610" s="73"/>
      <c r="IH3610" s="73"/>
      <c r="II3610" s="73"/>
      <c r="IJ3610" s="73"/>
      <c r="IK3610" s="73"/>
      <c r="IL3610" s="73"/>
      <c r="IM3610" s="73"/>
      <c r="IN3610" s="73"/>
      <c r="IO3610" s="73"/>
      <c r="IP3610" s="73"/>
      <c r="IQ3610" s="73"/>
      <c r="IR3610" s="73"/>
      <c r="IS3610" s="73"/>
      <c r="IT3610" s="73"/>
      <c r="IU3610" s="73"/>
      <c r="IV3610" s="73"/>
      <c r="IW3610" s="73"/>
      <c r="IX3610" s="73"/>
      <c r="IY3610" s="73"/>
      <c r="IZ3610" s="73"/>
      <c r="JA3610" s="73"/>
      <c r="JB3610" s="73"/>
      <c r="JC3610" s="73"/>
    </row>
    <row r="3611" spans="2:263" s="72" customFormat="1">
      <c r="B3611" s="73"/>
      <c r="C3611" s="73"/>
      <c r="D3611" s="73"/>
      <c r="E3611" s="73"/>
      <c r="F3611" s="73"/>
      <c r="G3611" s="73"/>
      <c r="H3611" s="73"/>
      <c r="I3611" s="73"/>
      <c r="J3611" s="73"/>
      <c r="K3611" s="73"/>
      <c r="L3611" s="73"/>
      <c r="M3611" s="73"/>
      <c r="N3611" s="73"/>
      <c r="O3611" s="73"/>
      <c r="P3611" s="73"/>
      <c r="Q3611" s="73"/>
      <c r="R3611" s="73"/>
      <c r="S3611" s="73"/>
      <c r="T3611" s="73"/>
      <c r="U3611" s="73"/>
      <c r="V3611" s="73"/>
      <c r="W3611" s="73"/>
      <c r="GL3611" s="73"/>
      <c r="GM3611" s="73"/>
      <c r="GN3611" s="73"/>
      <c r="GO3611" s="73"/>
      <c r="GP3611" s="73"/>
      <c r="GQ3611" s="73"/>
      <c r="GR3611" s="73"/>
      <c r="GS3611" s="73"/>
      <c r="GT3611" s="73"/>
      <c r="GU3611" s="73"/>
      <c r="GV3611" s="73"/>
      <c r="GW3611" s="73"/>
      <c r="GX3611" s="73"/>
      <c r="GY3611" s="73"/>
      <c r="GZ3611" s="73"/>
      <c r="HA3611" s="73"/>
      <c r="HB3611" s="73"/>
      <c r="HC3611" s="73"/>
      <c r="HD3611" s="73"/>
      <c r="HE3611" s="73"/>
      <c r="HF3611" s="73"/>
      <c r="HG3611" s="73"/>
      <c r="HH3611" s="73"/>
      <c r="HI3611" s="73"/>
      <c r="HJ3611" s="73"/>
      <c r="HK3611" s="73"/>
      <c r="HL3611" s="73"/>
      <c r="HM3611" s="73"/>
      <c r="HN3611" s="73"/>
      <c r="HO3611" s="73"/>
      <c r="HP3611" s="73"/>
      <c r="HQ3611" s="73"/>
      <c r="HR3611" s="73"/>
      <c r="HS3611" s="73"/>
      <c r="HT3611" s="73"/>
      <c r="HU3611" s="73"/>
      <c r="HV3611" s="73"/>
      <c r="HW3611" s="73"/>
      <c r="HX3611" s="73"/>
      <c r="HY3611" s="73"/>
      <c r="HZ3611" s="73"/>
      <c r="IA3611" s="73"/>
      <c r="IB3611" s="73"/>
      <c r="IC3611" s="73"/>
      <c r="ID3611" s="73"/>
      <c r="IE3611" s="73"/>
      <c r="IF3611" s="73"/>
      <c r="IG3611" s="73"/>
      <c r="IH3611" s="73"/>
      <c r="II3611" s="73"/>
      <c r="IJ3611" s="73"/>
      <c r="IK3611" s="73"/>
      <c r="IL3611" s="73"/>
      <c r="IM3611" s="73"/>
      <c r="IN3611" s="73"/>
      <c r="IO3611" s="73"/>
      <c r="IP3611" s="73"/>
      <c r="IQ3611" s="73"/>
      <c r="IR3611" s="73"/>
      <c r="IS3611" s="73"/>
      <c r="IT3611" s="73"/>
      <c r="IU3611" s="73"/>
      <c r="IV3611" s="73"/>
      <c r="IW3611" s="73"/>
      <c r="IX3611" s="73"/>
      <c r="IY3611" s="73"/>
      <c r="IZ3611" s="73"/>
      <c r="JA3611" s="73"/>
      <c r="JB3611" s="73"/>
      <c r="JC3611" s="73"/>
    </row>
    <row r="3612" spans="2:263" s="72" customFormat="1">
      <c r="B3612" s="73"/>
      <c r="C3612" s="73"/>
      <c r="D3612" s="73"/>
      <c r="E3612" s="73"/>
      <c r="F3612" s="73"/>
      <c r="G3612" s="73"/>
      <c r="H3612" s="73"/>
      <c r="I3612" s="73"/>
      <c r="J3612" s="73"/>
      <c r="K3612" s="73"/>
      <c r="L3612" s="73"/>
      <c r="M3612" s="73"/>
      <c r="N3612" s="73"/>
      <c r="O3612" s="73"/>
      <c r="P3612" s="73"/>
      <c r="Q3612" s="73"/>
      <c r="R3612" s="73"/>
      <c r="S3612" s="73"/>
      <c r="T3612" s="73"/>
      <c r="U3612" s="73"/>
      <c r="V3612" s="73"/>
      <c r="W3612" s="73"/>
      <c r="GL3612" s="73"/>
      <c r="GM3612" s="73"/>
      <c r="GN3612" s="73"/>
      <c r="GO3612" s="73"/>
      <c r="GP3612" s="73"/>
      <c r="GQ3612" s="73"/>
      <c r="GR3612" s="73"/>
      <c r="GS3612" s="73"/>
      <c r="GT3612" s="73"/>
      <c r="GU3612" s="73"/>
      <c r="GV3612" s="73"/>
      <c r="GW3612" s="73"/>
      <c r="GX3612" s="73"/>
      <c r="GY3612" s="73"/>
      <c r="GZ3612" s="73"/>
      <c r="HA3612" s="73"/>
      <c r="HB3612" s="73"/>
      <c r="HC3612" s="73"/>
      <c r="HD3612" s="73"/>
      <c r="HE3612" s="73"/>
      <c r="HF3612" s="73"/>
      <c r="HG3612" s="73"/>
      <c r="HH3612" s="73"/>
      <c r="HI3612" s="73"/>
      <c r="HJ3612" s="73"/>
      <c r="HK3612" s="73"/>
      <c r="HL3612" s="73"/>
      <c r="HM3612" s="73"/>
      <c r="HN3612" s="73"/>
      <c r="HO3612" s="73"/>
      <c r="HP3612" s="73"/>
      <c r="HQ3612" s="73"/>
      <c r="HR3612" s="73"/>
      <c r="HS3612" s="73"/>
      <c r="HT3612" s="73"/>
      <c r="HU3612" s="73"/>
      <c r="HV3612" s="73"/>
      <c r="HW3612" s="73"/>
      <c r="HX3612" s="73"/>
      <c r="HY3612" s="73"/>
      <c r="HZ3612" s="73"/>
      <c r="IA3612" s="73"/>
      <c r="IB3612" s="73"/>
      <c r="IC3612" s="73"/>
      <c r="ID3612" s="73"/>
      <c r="IE3612" s="73"/>
      <c r="IF3612" s="73"/>
      <c r="IG3612" s="73"/>
      <c r="IH3612" s="73"/>
      <c r="II3612" s="73"/>
      <c r="IJ3612" s="73"/>
      <c r="IK3612" s="73"/>
      <c r="IL3612" s="73"/>
      <c r="IM3612" s="73"/>
      <c r="IN3612" s="73"/>
      <c r="IO3612" s="73"/>
      <c r="IP3612" s="73"/>
      <c r="IQ3612" s="73"/>
      <c r="IR3612" s="73"/>
      <c r="IS3612" s="73"/>
      <c r="IT3612" s="73"/>
      <c r="IU3612" s="73"/>
      <c r="IV3612" s="73"/>
      <c r="IW3612" s="73"/>
      <c r="IX3612" s="73"/>
      <c r="IY3612" s="73"/>
      <c r="IZ3612" s="73"/>
      <c r="JA3612" s="73"/>
      <c r="JB3612" s="73"/>
      <c r="JC3612" s="73"/>
    </row>
    <row r="3613" spans="2:263" s="72" customFormat="1">
      <c r="B3613" s="73"/>
      <c r="C3613" s="73"/>
      <c r="D3613" s="73"/>
      <c r="E3613" s="73"/>
      <c r="F3613" s="73"/>
      <c r="G3613" s="73"/>
      <c r="H3613" s="73"/>
      <c r="I3613" s="73"/>
      <c r="J3613" s="73"/>
      <c r="K3613" s="73"/>
      <c r="L3613" s="73"/>
      <c r="M3613" s="73"/>
      <c r="N3613" s="73"/>
      <c r="O3613" s="73"/>
      <c r="P3613" s="73"/>
      <c r="Q3613" s="73"/>
      <c r="R3613" s="73"/>
      <c r="S3613" s="73"/>
      <c r="T3613" s="73"/>
      <c r="U3613" s="73"/>
      <c r="V3613" s="73"/>
      <c r="W3613" s="73"/>
      <c r="GL3613" s="73"/>
      <c r="GM3613" s="73"/>
      <c r="GN3613" s="73"/>
      <c r="GO3613" s="73"/>
      <c r="GP3613" s="73"/>
      <c r="GQ3613" s="73"/>
      <c r="GR3613" s="73"/>
      <c r="GS3613" s="73"/>
      <c r="GT3613" s="73"/>
      <c r="GU3613" s="73"/>
      <c r="GV3613" s="73"/>
      <c r="GW3613" s="73"/>
      <c r="GX3613" s="73"/>
      <c r="GY3613" s="73"/>
      <c r="GZ3613" s="73"/>
      <c r="HA3613" s="73"/>
      <c r="HB3613" s="73"/>
      <c r="HC3613" s="73"/>
      <c r="HD3613" s="73"/>
      <c r="HE3613" s="73"/>
      <c r="HF3613" s="73"/>
      <c r="HG3613" s="73"/>
      <c r="HH3613" s="73"/>
      <c r="HI3613" s="73"/>
      <c r="HJ3613" s="73"/>
      <c r="HK3613" s="73"/>
      <c r="HL3613" s="73"/>
      <c r="HM3613" s="73"/>
      <c r="HN3613" s="73"/>
      <c r="HO3613" s="73"/>
      <c r="HP3613" s="73"/>
      <c r="HQ3613" s="73"/>
      <c r="HR3613" s="73"/>
      <c r="HS3613" s="73"/>
      <c r="HT3613" s="73"/>
      <c r="HU3613" s="73"/>
      <c r="HV3613" s="73"/>
      <c r="HW3613" s="73"/>
      <c r="HX3613" s="73"/>
      <c r="HY3613" s="73"/>
      <c r="HZ3613" s="73"/>
      <c r="IA3613" s="73"/>
      <c r="IB3613" s="73"/>
      <c r="IC3613" s="73"/>
      <c r="ID3613" s="73"/>
      <c r="IE3613" s="73"/>
      <c r="IF3613" s="73"/>
      <c r="IG3613" s="73"/>
      <c r="IH3613" s="73"/>
      <c r="II3613" s="73"/>
      <c r="IJ3613" s="73"/>
      <c r="IK3613" s="73"/>
      <c r="IL3613" s="73"/>
      <c r="IM3613" s="73"/>
      <c r="IN3613" s="73"/>
      <c r="IO3613" s="73"/>
      <c r="IP3613" s="73"/>
      <c r="IQ3613" s="73"/>
      <c r="IR3613" s="73"/>
      <c r="IS3613" s="73"/>
      <c r="IT3613" s="73"/>
      <c r="IU3613" s="73"/>
      <c r="IV3613" s="73"/>
      <c r="IW3613" s="73"/>
      <c r="IX3613" s="73"/>
      <c r="IY3613" s="73"/>
      <c r="IZ3613" s="73"/>
      <c r="JA3613" s="73"/>
      <c r="JB3613" s="73"/>
      <c r="JC3613" s="73"/>
    </row>
    <row r="3614" spans="2:263" s="72" customFormat="1">
      <c r="B3614" s="73"/>
      <c r="C3614" s="73"/>
      <c r="D3614" s="73"/>
      <c r="E3614" s="73"/>
      <c r="F3614" s="73"/>
      <c r="G3614" s="73"/>
      <c r="H3614" s="73"/>
      <c r="I3614" s="73"/>
      <c r="J3614" s="73"/>
      <c r="K3614" s="73"/>
      <c r="L3614" s="73"/>
      <c r="M3614" s="73"/>
      <c r="N3614" s="73"/>
      <c r="O3614" s="73"/>
      <c r="P3614" s="73"/>
      <c r="Q3614" s="73"/>
      <c r="R3614" s="73"/>
      <c r="S3614" s="73"/>
      <c r="T3614" s="73"/>
      <c r="U3614" s="73"/>
      <c r="V3614" s="73"/>
      <c r="W3614" s="73"/>
      <c r="GL3614" s="73"/>
      <c r="GM3614" s="73"/>
      <c r="GN3614" s="73"/>
      <c r="GO3614" s="73"/>
      <c r="GP3614" s="73"/>
      <c r="GQ3614" s="73"/>
      <c r="GR3614" s="73"/>
      <c r="GS3614" s="73"/>
      <c r="GT3614" s="73"/>
      <c r="GU3614" s="73"/>
      <c r="GV3614" s="73"/>
      <c r="GW3614" s="73"/>
      <c r="GX3614" s="73"/>
      <c r="GY3614" s="73"/>
      <c r="GZ3614" s="73"/>
      <c r="HA3614" s="73"/>
      <c r="HB3614" s="73"/>
      <c r="HC3614" s="73"/>
      <c r="HD3614" s="73"/>
      <c r="HE3614" s="73"/>
      <c r="HF3614" s="73"/>
      <c r="HG3614" s="73"/>
      <c r="HH3614" s="73"/>
      <c r="HI3614" s="73"/>
      <c r="HJ3614" s="73"/>
      <c r="HK3614" s="73"/>
      <c r="HL3614" s="73"/>
      <c r="HM3614" s="73"/>
      <c r="HN3614" s="73"/>
      <c r="HO3614" s="73"/>
      <c r="HP3614" s="73"/>
      <c r="HQ3614" s="73"/>
      <c r="HR3614" s="73"/>
      <c r="HS3614" s="73"/>
      <c r="HT3614" s="73"/>
      <c r="HU3614" s="73"/>
      <c r="HV3614" s="73"/>
      <c r="HW3614" s="73"/>
      <c r="HX3614" s="73"/>
      <c r="HY3614" s="73"/>
      <c r="HZ3614" s="73"/>
      <c r="IA3614" s="73"/>
      <c r="IB3614" s="73"/>
      <c r="IC3614" s="73"/>
      <c r="ID3614" s="73"/>
      <c r="IE3614" s="73"/>
      <c r="IF3614" s="73"/>
      <c r="IG3614" s="73"/>
      <c r="IH3614" s="73"/>
      <c r="II3614" s="73"/>
      <c r="IJ3614" s="73"/>
      <c r="IK3614" s="73"/>
      <c r="IL3614" s="73"/>
      <c r="IM3614" s="73"/>
      <c r="IN3614" s="73"/>
      <c r="IO3614" s="73"/>
      <c r="IP3614" s="73"/>
      <c r="IQ3614" s="73"/>
      <c r="IR3614" s="73"/>
      <c r="IS3614" s="73"/>
      <c r="IT3614" s="73"/>
      <c r="IU3614" s="73"/>
      <c r="IV3614" s="73"/>
      <c r="IW3614" s="73"/>
      <c r="IX3614" s="73"/>
      <c r="IY3614" s="73"/>
      <c r="IZ3614" s="73"/>
      <c r="JA3614" s="73"/>
      <c r="JB3614" s="73"/>
      <c r="JC3614" s="73"/>
    </row>
    <row r="3615" spans="2:263" s="72" customFormat="1">
      <c r="B3615" s="73"/>
      <c r="C3615" s="73"/>
      <c r="D3615" s="73"/>
      <c r="E3615" s="73"/>
      <c r="F3615" s="73"/>
      <c r="G3615" s="73"/>
      <c r="H3615" s="73"/>
      <c r="I3615" s="73"/>
      <c r="J3615" s="73"/>
      <c r="K3615" s="73"/>
      <c r="L3615" s="73"/>
      <c r="M3615" s="73"/>
      <c r="N3615" s="73"/>
      <c r="O3615" s="73"/>
      <c r="P3615" s="73"/>
      <c r="Q3615" s="73"/>
      <c r="R3615" s="73"/>
      <c r="S3615" s="73"/>
      <c r="T3615" s="73"/>
      <c r="U3615" s="73"/>
      <c r="V3615" s="73"/>
      <c r="W3615" s="73"/>
      <c r="GL3615" s="73"/>
      <c r="GM3615" s="73"/>
      <c r="GN3615" s="73"/>
      <c r="GO3615" s="73"/>
      <c r="GP3615" s="73"/>
      <c r="GQ3615" s="73"/>
      <c r="GR3615" s="73"/>
      <c r="GS3615" s="73"/>
      <c r="GT3615" s="73"/>
      <c r="GU3615" s="73"/>
      <c r="GV3615" s="73"/>
      <c r="GW3615" s="73"/>
      <c r="GX3615" s="73"/>
      <c r="GY3615" s="73"/>
      <c r="GZ3615" s="73"/>
      <c r="HA3615" s="73"/>
      <c r="HB3615" s="73"/>
      <c r="HC3615" s="73"/>
      <c r="HD3615" s="73"/>
      <c r="HE3615" s="73"/>
      <c r="HF3615" s="73"/>
      <c r="HG3615" s="73"/>
      <c r="HH3615" s="73"/>
      <c r="HI3615" s="73"/>
      <c r="HJ3615" s="73"/>
      <c r="HK3615" s="73"/>
      <c r="HL3615" s="73"/>
      <c r="HM3615" s="73"/>
      <c r="HN3615" s="73"/>
      <c r="HO3615" s="73"/>
      <c r="HP3615" s="73"/>
      <c r="HQ3615" s="73"/>
      <c r="HR3615" s="73"/>
      <c r="HS3615" s="73"/>
      <c r="HT3615" s="73"/>
      <c r="HU3615" s="73"/>
      <c r="HV3615" s="73"/>
      <c r="HW3615" s="73"/>
      <c r="HX3615" s="73"/>
      <c r="HY3615" s="73"/>
      <c r="HZ3615" s="73"/>
      <c r="IA3615" s="73"/>
      <c r="IB3615" s="73"/>
      <c r="IC3615" s="73"/>
      <c r="ID3615" s="73"/>
      <c r="IE3615" s="73"/>
      <c r="IF3615" s="73"/>
      <c r="IG3615" s="73"/>
      <c r="IH3615" s="73"/>
      <c r="II3615" s="73"/>
      <c r="IJ3615" s="73"/>
      <c r="IK3615" s="73"/>
      <c r="IL3615" s="73"/>
      <c r="IM3615" s="73"/>
      <c r="IN3615" s="73"/>
      <c r="IO3615" s="73"/>
      <c r="IP3615" s="73"/>
      <c r="IQ3615" s="73"/>
      <c r="IR3615" s="73"/>
      <c r="IS3615" s="73"/>
      <c r="IT3615" s="73"/>
      <c r="IU3615" s="73"/>
      <c r="IV3615" s="73"/>
      <c r="IW3615" s="73"/>
      <c r="IX3615" s="73"/>
      <c r="IY3615" s="73"/>
      <c r="IZ3615" s="73"/>
      <c r="JA3615" s="73"/>
      <c r="JB3615" s="73"/>
      <c r="JC3615" s="73"/>
    </row>
    <row r="3616" spans="2:263" s="72" customFormat="1">
      <c r="B3616" s="73"/>
      <c r="C3616" s="73"/>
      <c r="D3616" s="73"/>
      <c r="E3616" s="73"/>
      <c r="F3616" s="73"/>
      <c r="G3616" s="73"/>
      <c r="H3616" s="73"/>
      <c r="I3616" s="73"/>
      <c r="J3616" s="73"/>
      <c r="K3616" s="73"/>
      <c r="L3616" s="73"/>
      <c r="M3616" s="73"/>
      <c r="N3616" s="73"/>
      <c r="O3616" s="73"/>
      <c r="P3616" s="73"/>
      <c r="Q3616" s="73"/>
      <c r="R3616" s="73"/>
      <c r="S3616" s="73"/>
      <c r="T3616" s="73"/>
      <c r="U3616" s="73"/>
      <c r="V3616" s="73"/>
      <c r="W3616" s="73"/>
      <c r="GL3616" s="73"/>
      <c r="GM3616" s="73"/>
      <c r="GN3616" s="73"/>
      <c r="GO3616" s="73"/>
      <c r="GP3616" s="73"/>
      <c r="GQ3616" s="73"/>
      <c r="GR3616" s="73"/>
      <c r="GS3616" s="73"/>
      <c r="GT3616" s="73"/>
      <c r="GU3616" s="73"/>
      <c r="GV3616" s="73"/>
      <c r="GW3616" s="73"/>
      <c r="GX3616" s="73"/>
      <c r="GY3616" s="73"/>
      <c r="GZ3616" s="73"/>
      <c r="HA3616" s="73"/>
      <c r="HB3616" s="73"/>
      <c r="HC3616" s="73"/>
      <c r="HD3616" s="73"/>
      <c r="HE3616" s="73"/>
      <c r="HF3616" s="73"/>
      <c r="HG3616" s="73"/>
      <c r="HH3616" s="73"/>
      <c r="HI3616" s="73"/>
      <c r="HJ3616" s="73"/>
      <c r="HK3616" s="73"/>
      <c r="HL3616" s="73"/>
      <c r="HM3616" s="73"/>
      <c r="HN3616" s="73"/>
      <c r="HO3616" s="73"/>
      <c r="HP3616" s="73"/>
      <c r="HQ3616" s="73"/>
      <c r="HR3616" s="73"/>
      <c r="HS3616" s="73"/>
      <c r="HT3616" s="73"/>
      <c r="HU3616" s="73"/>
      <c r="HV3616" s="73"/>
      <c r="HW3616" s="73"/>
      <c r="HX3616" s="73"/>
      <c r="HY3616" s="73"/>
      <c r="HZ3616" s="73"/>
      <c r="IA3616" s="73"/>
      <c r="IB3616" s="73"/>
      <c r="IC3616" s="73"/>
      <c r="ID3616" s="73"/>
      <c r="IE3616" s="73"/>
      <c r="IF3616" s="73"/>
      <c r="IG3616" s="73"/>
      <c r="IH3616" s="73"/>
      <c r="II3616" s="73"/>
      <c r="IJ3616" s="73"/>
      <c r="IK3616" s="73"/>
      <c r="IL3616" s="73"/>
      <c r="IM3616" s="73"/>
      <c r="IN3616" s="73"/>
      <c r="IO3616" s="73"/>
      <c r="IP3616" s="73"/>
      <c r="IQ3616" s="73"/>
      <c r="IR3616" s="73"/>
      <c r="IS3616" s="73"/>
      <c r="IT3616" s="73"/>
      <c r="IU3616" s="73"/>
      <c r="IV3616" s="73"/>
      <c r="IW3616" s="73"/>
      <c r="IX3616" s="73"/>
      <c r="IY3616" s="73"/>
      <c r="IZ3616" s="73"/>
      <c r="JA3616" s="73"/>
      <c r="JB3616" s="73"/>
      <c r="JC3616" s="73"/>
    </row>
    <row r="3617" spans="2:263" s="72" customFormat="1">
      <c r="B3617" s="73"/>
      <c r="C3617" s="73"/>
      <c r="D3617" s="73"/>
      <c r="E3617" s="73"/>
      <c r="F3617" s="73"/>
      <c r="G3617" s="73"/>
      <c r="H3617" s="73"/>
      <c r="I3617" s="73"/>
      <c r="J3617" s="73"/>
      <c r="K3617" s="73"/>
      <c r="L3617" s="73"/>
      <c r="M3617" s="73"/>
      <c r="N3617" s="73"/>
      <c r="O3617" s="73"/>
      <c r="P3617" s="73"/>
      <c r="Q3617" s="73"/>
      <c r="R3617" s="73"/>
      <c r="S3617" s="73"/>
      <c r="T3617" s="73"/>
      <c r="U3617" s="73"/>
      <c r="V3617" s="73"/>
      <c r="W3617" s="73"/>
      <c r="GL3617" s="73"/>
      <c r="GM3617" s="73"/>
      <c r="GN3617" s="73"/>
      <c r="GO3617" s="73"/>
      <c r="GP3617" s="73"/>
      <c r="GQ3617" s="73"/>
      <c r="GR3617" s="73"/>
      <c r="GS3617" s="73"/>
      <c r="GT3617" s="73"/>
      <c r="GU3617" s="73"/>
      <c r="GV3617" s="73"/>
      <c r="GW3617" s="73"/>
      <c r="GX3617" s="73"/>
      <c r="GY3617" s="73"/>
      <c r="GZ3617" s="73"/>
      <c r="HA3617" s="73"/>
      <c r="HB3617" s="73"/>
      <c r="HC3617" s="73"/>
      <c r="HD3617" s="73"/>
      <c r="HE3617" s="73"/>
      <c r="HF3617" s="73"/>
      <c r="HG3617" s="73"/>
      <c r="HH3617" s="73"/>
      <c r="HI3617" s="73"/>
      <c r="HJ3617" s="73"/>
      <c r="HK3617" s="73"/>
      <c r="HL3617" s="73"/>
      <c r="HM3617" s="73"/>
      <c r="HN3617" s="73"/>
      <c r="HO3617" s="73"/>
      <c r="HP3617" s="73"/>
      <c r="HQ3617" s="73"/>
      <c r="HR3617" s="73"/>
      <c r="HS3617" s="73"/>
      <c r="HT3617" s="73"/>
      <c r="HU3617" s="73"/>
      <c r="HV3617" s="73"/>
      <c r="HW3617" s="73"/>
      <c r="HX3617" s="73"/>
      <c r="HY3617" s="73"/>
      <c r="HZ3617" s="73"/>
      <c r="IA3617" s="73"/>
      <c r="IB3617" s="73"/>
      <c r="IC3617" s="73"/>
      <c r="ID3617" s="73"/>
      <c r="IE3617" s="73"/>
      <c r="IF3617" s="73"/>
      <c r="IG3617" s="73"/>
      <c r="IH3617" s="73"/>
      <c r="II3617" s="73"/>
      <c r="IJ3617" s="73"/>
      <c r="IK3617" s="73"/>
      <c r="IL3617" s="73"/>
      <c r="IM3617" s="73"/>
      <c r="IN3617" s="73"/>
      <c r="IO3617" s="73"/>
      <c r="IP3617" s="73"/>
      <c r="IQ3617" s="73"/>
      <c r="IR3617" s="73"/>
      <c r="IS3617" s="73"/>
      <c r="IT3617" s="73"/>
      <c r="IU3617" s="73"/>
      <c r="IV3617" s="73"/>
      <c r="IW3617" s="73"/>
      <c r="IX3617" s="73"/>
      <c r="IY3617" s="73"/>
      <c r="IZ3617" s="73"/>
      <c r="JA3617" s="73"/>
      <c r="JB3617" s="73"/>
      <c r="JC3617" s="73"/>
    </row>
    <row r="3618" spans="2:263" s="72" customFormat="1">
      <c r="B3618" s="73"/>
      <c r="C3618" s="73"/>
      <c r="D3618" s="73"/>
      <c r="E3618" s="73"/>
      <c r="F3618" s="73"/>
      <c r="G3618" s="73"/>
      <c r="H3618" s="73"/>
      <c r="I3618" s="73"/>
      <c r="J3618" s="73"/>
      <c r="K3618" s="73"/>
      <c r="L3618" s="73"/>
      <c r="M3618" s="73"/>
      <c r="N3618" s="73"/>
      <c r="O3618" s="73"/>
      <c r="P3618" s="73"/>
      <c r="Q3618" s="73"/>
      <c r="R3618" s="73"/>
      <c r="S3618" s="73"/>
      <c r="T3618" s="73"/>
      <c r="U3618" s="73"/>
      <c r="V3618" s="73"/>
      <c r="W3618" s="73"/>
      <c r="GL3618" s="73"/>
      <c r="GM3618" s="73"/>
      <c r="GN3618" s="73"/>
      <c r="GO3618" s="73"/>
      <c r="GP3618" s="73"/>
      <c r="GQ3618" s="73"/>
      <c r="GR3618" s="73"/>
      <c r="GS3618" s="73"/>
      <c r="GT3618" s="73"/>
      <c r="GU3618" s="73"/>
      <c r="GV3618" s="73"/>
      <c r="GW3618" s="73"/>
      <c r="GX3618" s="73"/>
      <c r="GY3618" s="73"/>
      <c r="GZ3618" s="73"/>
      <c r="HA3618" s="73"/>
      <c r="HB3618" s="73"/>
      <c r="HC3618" s="73"/>
      <c r="HD3618" s="73"/>
      <c r="HE3618" s="73"/>
      <c r="HF3618" s="73"/>
      <c r="HG3618" s="73"/>
      <c r="HH3618" s="73"/>
      <c r="HI3618" s="73"/>
      <c r="HJ3618" s="73"/>
      <c r="HK3618" s="73"/>
      <c r="HL3618" s="73"/>
      <c r="HM3618" s="73"/>
      <c r="HN3618" s="73"/>
      <c r="HO3618" s="73"/>
      <c r="HP3618" s="73"/>
      <c r="HQ3618" s="73"/>
      <c r="HR3618" s="73"/>
      <c r="HS3618" s="73"/>
      <c r="HT3618" s="73"/>
      <c r="HU3618" s="73"/>
      <c r="HV3618" s="73"/>
      <c r="HW3618" s="73"/>
      <c r="HX3618" s="73"/>
      <c r="HY3618" s="73"/>
      <c r="HZ3618" s="73"/>
      <c r="IA3618" s="73"/>
      <c r="IB3618" s="73"/>
      <c r="IC3618" s="73"/>
      <c r="ID3618" s="73"/>
      <c r="IE3618" s="73"/>
      <c r="IF3618" s="73"/>
      <c r="IG3618" s="73"/>
      <c r="IH3618" s="73"/>
      <c r="II3618" s="73"/>
      <c r="IJ3618" s="73"/>
      <c r="IK3618" s="73"/>
      <c r="IL3618" s="73"/>
      <c r="IM3618" s="73"/>
      <c r="IN3618" s="73"/>
      <c r="IO3618" s="73"/>
      <c r="IP3618" s="73"/>
      <c r="IQ3618" s="73"/>
      <c r="IR3618" s="73"/>
      <c r="IS3618" s="73"/>
      <c r="IT3618" s="73"/>
      <c r="IU3618" s="73"/>
      <c r="IV3618" s="73"/>
      <c r="IW3618" s="73"/>
      <c r="IX3618" s="73"/>
      <c r="IY3618" s="73"/>
      <c r="IZ3618" s="73"/>
      <c r="JA3618" s="73"/>
      <c r="JB3618" s="73"/>
      <c r="JC3618" s="73"/>
    </row>
    <row r="3619" spans="2:263" s="72" customFormat="1">
      <c r="B3619" s="73"/>
      <c r="C3619" s="73"/>
      <c r="D3619" s="73"/>
      <c r="E3619" s="73"/>
      <c r="F3619" s="73"/>
      <c r="G3619" s="73"/>
      <c r="H3619" s="73"/>
      <c r="I3619" s="73"/>
      <c r="J3619" s="73"/>
      <c r="K3619" s="73"/>
      <c r="L3619" s="73"/>
      <c r="M3619" s="73"/>
      <c r="N3619" s="73"/>
      <c r="O3619" s="73"/>
      <c r="P3619" s="73"/>
      <c r="Q3619" s="73"/>
      <c r="R3619" s="73"/>
      <c r="S3619" s="73"/>
      <c r="T3619" s="73"/>
      <c r="U3619" s="73"/>
      <c r="V3619" s="73"/>
      <c r="W3619" s="73"/>
      <c r="GL3619" s="73"/>
      <c r="GM3619" s="73"/>
      <c r="GN3619" s="73"/>
      <c r="GO3619" s="73"/>
      <c r="GP3619" s="73"/>
      <c r="GQ3619" s="73"/>
      <c r="GR3619" s="73"/>
      <c r="GS3619" s="73"/>
      <c r="GT3619" s="73"/>
      <c r="GU3619" s="73"/>
      <c r="GV3619" s="73"/>
      <c r="GW3619" s="73"/>
      <c r="GX3619" s="73"/>
      <c r="GY3619" s="73"/>
      <c r="GZ3619" s="73"/>
      <c r="HA3619" s="73"/>
      <c r="HB3619" s="73"/>
      <c r="HC3619" s="73"/>
      <c r="HD3619" s="73"/>
      <c r="HE3619" s="73"/>
      <c r="HF3619" s="73"/>
      <c r="HG3619" s="73"/>
      <c r="HH3619" s="73"/>
      <c r="HI3619" s="73"/>
      <c r="HJ3619" s="73"/>
      <c r="HK3619" s="73"/>
      <c r="HL3619" s="73"/>
      <c r="HM3619" s="73"/>
      <c r="HN3619" s="73"/>
      <c r="HO3619" s="73"/>
      <c r="HP3619" s="73"/>
      <c r="HQ3619" s="73"/>
      <c r="HR3619" s="73"/>
      <c r="HS3619" s="73"/>
      <c r="HT3619" s="73"/>
      <c r="HU3619" s="73"/>
      <c r="HV3619" s="73"/>
      <c r="HW3619" s="73"/>
      <c r="HX3619" s="73"/>
      <c r="HY3619" s="73"/>
      <c r="HZ3619" s="73"/>
      <c r="IA3619" s="73"/>
      <c r="IB3619" s="73"/>
      <c r="IC3619" s="73"/>
      <c r="ID3619" s="73"/>
      <c r="IE3619" s="73"/>
      <c r="IF3619" s="73"/>
      <c r="IG3619" s="73"/>
      <c r="IH3619" s="73"/>
      <c r="II3619" s="73"/>
      <c r="IJ3619" s="73"/>
      <c r="IK3619" s="73"/>
      <c r="IL3619" s="73"/>
      <c r="IM3619" s="73"/>
      <c r="IN3619" s="73"/>
      <c r="IO3619" s="73"/>
      <c r="IP3619" s="73"/>
      <c r="IQ3619" s="73"/>
      <c r="IR3619" s="73"/>
      <c r="IS3619" s="73"/>
      <c r="IT3619" s="73"/>
      <c r="IU3619" s="73"/>
      <c r="IV3619" s="73"/>
      <c r="IW3619" s="73"/>
      <c r="IX3619" s="73"/>
      <c r="IY3619" s="73"/>
      <c r="IZ3619" s="73"/>
      <c r="JA3619" s="73"/>
      <c r="JB3619" s="73"/>
      <c r="JC3619" s="73"/>
    </row>
    <row r="3620" spans="2:263" s="72" customFormat="1">
      <c r="B3620" s="73"/>
      <c r="C3620" s="73"/>
      <c r="D3620" s="73"/>
      <c r="E3620" s="73"/>
      <c r="F3620" s="73"/>
      <c r="G3620" s="73"/>
      <c r="H3620" s="73"/>
      <c r="I3620" s="73"/>
      <c r="J3620" s="73"/>
      <c r="K3620" s="73"/>
      <c r="L3620" s="73"/>
      <c r="M3620" s="73"/>
      <c r="N3620" s="73"/>
      <c r="O3620" s="73"/>
      <c r="P3620" s="73"/>
      <c r="Q3620" s="73"/>
      <c r="R3620" s="73"/>
      <c r="S3620" s="73"/>
      <c r="T3620" s="73"/>
      <c r="U3620" s="73"/>
      <c r="V3620" s="73"/>
      <c r="W3620" s="73"/>
      <c r="GL3620" s="73"/>
      <c r="GM3620" s="73"/>
      <c r="GN3620" s="73"/>
      <c r="GO3620" s="73"/>
      <c r="GP3620" s="73"/>
      <c r="GQ3620" s="73"/>
      <c r="GR3620" s="73"/>
      <c r="GS3620" s="73"/>
      <c r="GT3620" s="73"/>
      <c r="GU3620" s="73"/>
      <c r="GV3620" s="73"/>
      <c r="GW3620" s="73"/>
      <c r="GX3620" s="73"/>
      <c r="GY3620" s="73"/>
      <c r="GZ3620" s="73"/>
      <c r="HA3620" s="73"/>
      <c r="HB3620" s="73"/>
      <c r="HC3620" s="73"/>
      <c r="HD3620" s="73"/>
      <c r="HE3620" s="73"/>
      <c r="HF3620" s="73"/>
      <c r="HG3620" s="73"/>
      <c r="HH3620" s="73"/>
      <c r="HI3620" s="73"/>
      <c r="HJ3620" s="73"/>
      <c r="HK3620" s="73"/>
      <c r="HL3620" s="73"/>
      <c r="HM3620" s="73"/>
      <c r="HN3620" s="73"/>
      <c r="HO3620" s="73"/>
      <c r="HP3620" s="73"/>
      <c r="HQ3620" s="73"/>
      <c r="HR3620" s="73"/>
      <c r="HS3620" s="73"/>
      <c r="HT3620" s="73"/>
      <c r="HU3620" s="73"/>
      <c r="HV3620" s="73"/>
      <c r="HW3620" s="73"/>
      <c r="HX3620" s="73"/>
      <c r="HY3620" s="73"/>
      <c r="HZ3620" s="73"/>
      <c r="IA3620" s="73"/>
      <c r="IB3620" s="73"/>
      <c r="IC3620" s="73"/>
      <c r="ID3620" s="73"/>
      <c r="IE3620" s="73"/>
      <c r="IF3620" s="73"/>
      <c r="IG3620" s="73"/>
      <c r="IH3620" s="73"/>
      <c r="II3620" s="73"/>
      <c r="IJ3620" s="73"/>
      <c r="IK3620" s="73"/>
      <c r="IL3620" s="73"/>
      <c r="IM3620" s="73"/>
      <c r="IN3620" s="73"/>
      <c r="IO3620" s="73"/>
      <c r="IP3620" s="73"/>
      <c r="IQ3620" s="73"/>
      <c r="IR3620" s="73"/>
      <c r="IS3620" s="73"/>
      <c r="IT3620" s="73"/>
      <c r="IU3620" s="73"/>
      <c r="IV3620" s="73"/>
      <c r="IW3620" s="73"/>
      <c r="IX3620" s="73"/>
      <c r="IY3620" s="73"/>
      <c r="IZ3620" s="73"/>
      <c r="JA3620" s="73"/>
      <c r="JB3620" s="73"/>
      <c r="JC3620" s="73"/>
    </row>
    <row r="3621" spans="2:263" s="72" customFormat="1">
      <c r="B3621" s="73"/>
      <c r="C3621" s="73"/>
      <c r="D3621" s="73"/>
      <c r="E3621" s="73"/>
      <c r="F3621" s="73"/>
      <c r="G3621" s="73"/>
      <c r="H3621" s="73"/>
      <c r="I3621" s="73"/>
      <c r="J3621" s="73"/>
      <c r="K3621" s="73"/>
      <c r="L3621" s="73"/>
      <c r="M3621" s="73"/>
      <c r="N3621" s="73"/>
      <c r="O3621" s="73"/>
      <c r="P3621" s="73"/>
      <c r="Q3621" s="73"/>
      <c r="R3621" s="73"/>
      <c r="S3621" s="73"/>
      <c r="T3621" s="73"/>
      <c r="U3621" s="73"/>
      <c r="V3621" s="73"/>
      <c r="W3621" s="73"/>
      <c r="GL3621" s="73"/>
      <c r="GM3621" s="73"/>
      <c r="GN3621" s="73"/>
      <c r="GO3621" s="73"/>
      <c r="GP3621" s="73"/>
      <c r="GQ3621" s="73"/>
      <c r="GR3621" s="73"/>
      <c r="GS3621" s="73"/>
      <c r="GT3621" s="73"/>
      <c r="GU3621" s="73"/>
      <c r="GV3621" s="73"/>
      <c r="GW3621" s="73"/>
      <c r="GX3621" s="73"/>
      <c r="GY3621" s="73"/>
      <c r="GZ3621" s="73"/>
      <c r="HA3621" s="73"/>
      <c r="HB3621" s="73"/>
      <c r="HC3621" s="73"/>
      <c r="HD3621" s="73"/>
      <c r="HE3621" s="73"/>
      <c r="HF3621" s="73"/>
      <c r="HG3621" s="73"/>
      <c r="HH3621" s="73"/>
      <c r="HI3621" s="73"/>
      <c r="HJ3621" s="73"/>
      <c r="HK3621" s="73"/>
      <c r="HL3621" s="73"/>
      <c r="HM3621" s="73"/>
      <c r="HN3621" s="73"/>
      <c r="HO3621" s="73"/>
      <c r="HP3621" s="73"/>
      <c r="HQ3621" s="73"/>
      <c r="HR3621" s="73"/>
      <c r="HS3621" s="73"/>
      <c r="HT3621" s="73"/>
      <c r="HU3621" s="73"/>
      <c r="HV3621" s="73"/>
      <c r="HW3621" s="73"/>
      <c r="HX3621" s="73"/>
      <c r="HY3621" s="73"/>
      <c r="HZ3621" s="73"/>
      <c r="IA3621" s="73"/>
      <c r="IB3621" s="73"/>
      <c r="IC3621" s="73"/>
      <c r="ID3621" s="73"/>
      <c r="IE3621" s="73"/>
      <c r="IF3621" s="73"/>
      <c r="IG3621" s="73"/>
      <c r="IH3621" s="73"/>
      <c r="II3621" s="73"/>
      <c r="IJ3621" s="73"/>
      <c r="IK3621" s="73"/>
      <c r="IL3621" s="73"/>
      <c r="IM3621" s="73"/>
      <c r="IN3621" s="73"/>
      <c r="IO3621" s="73"/>
      <c r="IP3621" s="73"/>
      <c r="IQ3621" s="73"/>
      <c r="IR3621" s="73"/>
      <c r="IS3621" s="73"/>
      <c r="IT3621" s="73"/>
      <c r="IU3621" s="73"/>
      <c r="IV3621" s="73"/>
      <c r="IW3621" s="73"/>
      <c r="IX3621" s="73"/>
      <c r="IY3621" s="73"/>
      <c r="IZ3621" s="73"/>
      <c r="JA3621" s="73"/>
      <c r="JB3621" s="73"/>
      <c r="JC3621" s="73"/>
    </row>
    <row r="3622" spans="2:263" s="72" customFormat="1">
      <c r="B3622" s="73"/>
      <c r="C3622" s="73"/>
      <c r="D3622" s="73"/>
      <c r="E3622" s="73"/>
      <c r="F3622" s="73"/>
      <c r="G3622" s="73"/>
      <c r="H3622" s="73"/>
      <c r="I3622" s="73"/>
      <c r="J3622" s="73"/>
      <c r="K3622" s="73"/>
      <c r="L3622" s="73"/>
      <c r="M3622" s="73"/>
      <c r="N3622" s="73"/>
      <c r="O3622" s="73"/>
      <c r="P3622" s="73"/>
      <c r="Q3622" s="73"/>
      <c r="R3622" s="73"/>
      <c r="S3622" s="73"/>
      <c r="T3622" s="73"/>
      <c r="U3622" s="73"/>
      <c r="V3622" s="73"/>
      <c r="W3622" s="73"/>
      <c r="GL3622" s="73"/>
      <c r="GM3622" s="73"/>
      <c r="GN3622" s="73"/>
      <c r="GO3622" s="73"/>
      <c r="GP3622" s="73"/>
      <c r="GQ3622" s="73"/>
      <c r="GR3622" s="73"/>
      <c r="GS3622" s="73"/>
      <c r="GT3622" s="73"/>
      <c r="GU3622" s="73"/>
      <c r="GV3622" s="73"/>
      <c r="GW3622" s="73"/>
      <c r="GX3622" s="73"/>
      <c r="GY3622" s="73"/>
      <c r="GZ3622" s="73"/>
      <c r="HA3622" s="73"/>
      <c r="HB3622" s="73"/>
      <c r="HC3622" s="73"/>
      <c r="HD3622" s="73"/>
      <c r="HE3622" s="73"/>
      <c r="HF3622" s="73"/>
      <c r="HG3622" s="73"/>
      <c r="HH3622" s="73"/>
      <c r="HI3622" s="73"/>
      <c r="HJ3622" s="73"/>
      <c r="HK3622" s="73"/>
      <c r="HL3622" s="73"/>
      <c r="HM3622" s="73"/>
      <c r="HN3622" s="73"/>
      <c r="HO3622" s="73"/>
      <c r="HP3622" s="73"/>
      <c r="HQ3622" s="73"/>
      <c r="HR3622" s="73"/>
      <c r="HS3622" s="73"/>
      <c r="HT3622" s="73"/>
      <c r="HU3622" s="73"/>
      <c r="HV3622" s="73"/>
      <c r="HW3622" s="73"/>
      <c r="HX3622" s="73"/>
      <c r="HY3622" s="73"/>
      <c r="HZ3622" s="73"/>
      <c r="IA3622" s="73"/>
      <c r="IB3622" s="73"/>
      <c r="IC3622" s="73"/>
      <c r="ID3622" s="73"/>
      <c r="IE3622" s="73"/>
      <c r="IF3622" s="73"/>
      <c r="IG3622" s="73"/>
      <c r="IH3622" s="73"/>
      <c r="II3622" s="73"/>
      <c r="IJ3622" s="73"/>
      <c r="IK3622" s="73"/>
      <c r="IL3622" s="73"/>
      <c r="IM3622" s="73"/>
      <c r="IN3622" s="73"/>
      <c r="IO3622" s="73"/>
      <c r="IP3622" s="73"/>
      <c r="IQ3622" s="73"/>
      <c r="IR3622" s="73"/>
      <c r="IS3622" s="73"/>
      <c r="IT3622" s="73"/>
      <c r="IU3622" s="73"/>
      <c r="IV3622" s="73"/>
      <c r="IW3622" s="73"/>
      <c r="IX3622" s="73"/>
      <c r="IY3622" s="73"/>
      <c r="IZ3622" s="73"/>
      <c r="JA3622" s="73"/>
      <c r="JB3622" s="73"/>
      <c r="JC3622" s="73"/>
    </row>
    <row r="3623" spans="2:263" s="72" customFormat="1">
      <c r="B3623" s="73"/>
      <c r="C3623" s="73"/>
      <c r="D3623" s="73"/>
      <c r="E3623" s="73"/>
      <c r="F3623" s="73"/>
      <c r="G3623" s="73"/>
      <c r="H3623" s="73"/>
      <c r="I3623" s="73"/>
      <c r="J3623" s="73"/>
      <c r="K3623" s="73"/>
      <c r="L3623" s="73"/>
      <c r="M3623" s="73"/>
      <c r="N3623" s="73"/>
      <c r="O3623" s="73"/>
      <c r="P3623" s="73"/>
      <c r="Q3623" s="73"/>
      <c r="R3623" s="73"/>
      <c r="S3623" s="73"/>
      <c r="T3623" s="73"/>
      <c r="U3623" s="73"/>
      <c r="V3623" s="73"/>
      <c r="W3623" s="73"/>
      <c r="GL3623" s="73"/>
      <c r="GM3623" s="73"/>
      <c r="GN3623" s="73"/>
      <c r="GO3623" s="73"/>
      <c r="GP3623" s="73"/>
      <c r="GQ3623" s="73"/>
      <c r="GR3623" s="73"/>
      <c r="GS3623" s="73"/>
      <c r="GT3623" s="73"/>
      <c r="GU3623" s="73"/>
      <c r="GV3623" s="73"/>
      <c r="GW3623" s="73"/>
      <c r="GX3623" s="73"/>
      <c r="GY3623" s="73"/>
      <c r="GZ3623" s="73"/>
      <c r="HA3623" s="73"/>
      <c r="HB3623" s="73"/>
      <c r="HC3623" s="73"/>
      <c r="HD3623" s="73"/>
      <c r="HE3623" s="73"/>
      <c r="HF3623" s="73"/>
      <c r="HG3623" s="73"/>
      <c r="HH3623" s="73"/>
      <c r="HI3623" s="73"/>
      <c r="HJ3623" s="73"/>
      <c r="HK3623" s="73"/>
      <c r="HL3623" s="73"/>
      <c r="HM3623" s="73"/>
      <c r="HN3623" s="73"/>
      <c r="HO3623" s="73"/>
      <c r="HP3623" s="73"/>
      <c r="HQ3623" s="73"/>
      <c r="HR3623" s="73"/>
      <c r="HS3623" s="73"/>
      <c r="HT3623" s="73"/>
      <c r="HU3623" s="73"/>
      <c r="HV3623" s="73"/>
      <c r="HW3623" s="73"/>
      <c r="HX3623" s="73"/>
      <c r="HY3623" s="73"/>
      <c r="HZ3623" s="73"/>
      <c r="IA3623" s="73"/>
      <c r="IB3623" s="73"/>
      <c r="IC3623" s="73"/>
      <c r="ID3623" s="73"/>
      <c r="IE3623" s="73"/>
      <c r="IF3623" s="73"/>
      <c r="IG3623" s="73"/>
      <c r="IH3623" s="73"/>
      <c r="II3623" s="73"/>
      <c r="IJ3623" s="73"/>
      <c r="IK3623" s="73"/>
      <c r="IL3623" s="73"/>
      <c r="IM3623" s="73"/>
      <c r="IN3623" s="73"/>
      <c r="IO3623" s="73"/>
      <c r="IP3623" s="73"/>
      <c r="IQ3623" s="73"/>
      <c r="IR3623" s="73"/>
      <c r="IS3623" s="73"/>
      <c r="IT3623" s="73"/>
      <c r="IU3623" s="73"/>
      <c r="IV3623" s="73"/>
      <c r="IW3623" s="73"/>
      <c r="IX3623" s="73"/>
      <c r="IY3623" s="73"/>
      <c r="IZ3623" s="73"/>
      <c r="JA3623" s="73"/>
      <c r="JB3623" s="73"/>
      <c r="JC3623" s="73"/>
    </row>
    <row r="3624" spans="2:263" s="72" customFormat="1">
      <c r="B3624" s="73"/>
      <c r="C3624" s="73"/>
      <c r="D3624" s="73"/>
      <c r="E3624" s="73"/>
      <c r="F3624" s="73"/>
      <c r="G3624" s="73"/>
      <c r="H3624" s="73"/>
      <c r="I3624" s="73"/>
      <c r="J3624" s="73"/>
      <c r="K3624" s="73"/>
      <c r="L3624" s="73"/>
      <c r="M3624" s="73"/>
      <c r="N3624" s="73"/>
      <c r="O3624" s="73"/>
      <c r="P3624" s="73"/>
      <c r="Q3624" s="73"/>
      <c r="R3624" s="73"/>
      <c r="S3624" s="73"/>
      <c r="T3624" s="73"/>
      <c r="U3624" s="73"/>
      <c r="V3624" s="73"/>
      <c r="W3624" s="73"/>
      <c r="GL3624" s="73"/>
      <c r="GM3624" s="73"/>
      <c r="GN3624" s="73"/>
      <c r="GO3624" s="73"/>
      <c r="GP3624" s="73"/>
      <c r="GQ3624" s="73"/>
      <c r="GR3624" s="73"/>
      <c r="GS3624" s="73"/>
      <c r="GT3624" s="73"/>
      <c r="GU3624" s="73"/>
      <c r="GV3624" s="73"/>
      <c r="GW3624" s="73"/>
      <c r="GX3624" s="73"/>
      <c r="GY3624" s="73"/>
      <c r="GZ3624" s="73"/>
      <c r="HA3624" s="73"/>
      <c r="HB3624" s="73"/>
      <c r="HC3624" s="73"/>
      <c r="HD3624" s="73"/>
      <c r="HE3624" s="73"/>
      <c r="HF3624" s="73"/>
      <c r="HG3624" s="73"/>
      <c r="HH3624" s="73"/>
      <c r="HI3624" s="73"/>
      <c r="HJ3624" s="73"/>
      <c r="HK3624" s="73"/>
      <c r="HL3624" s="73"/>
      <c r="HM3624" s="73"/>
      <c r="HN3624" s="73"/>
      <c r="HO3624" s="73"/>
      <c r="HP3624" s="73"/>
      <c r="HQ3624" s="73"/>
      <c r="HR3624" s="73"/>
      <c r="HS3624" s="73"/>
      <c r="HT3624" s="73"/>
      <c r="HU3624" s="73"/>
      <c r="HV3624" s="73"/>
      <c r="HW3624" s="73"/>
      <c r="HX3624" s="73"/>
      <c r="HY3624" s="73"/>
      <c r="HZ3624" s="73"/>
      <c r="IA3624" s="73"/>
      <c r="IB3624" s="73"/>
      <c r="IC3624" s="73"/>
      <c r="ID3624" s="73"/>
      <c r="IE3624" s="73"/>
      <c r="IF3624" s="73"/>
      <c r="IG3624" s="73"/>
      <c r="IH3624" s="73"/>
      <c r="II3624" s="73"/>
      <c r="IJ3624" s="73"/>
      <c r="IK3624" s="73"/>
      <c r="IL3624" s="73"/>
      <c r="IM3624" s="73"/>
      <c r="IN3624" s="73"/>
      <c r="IO3624" s="73"/>
      <c r="IP3624" s="73"/>
      <c r="IQ3624" s="73"/>
      <c r="IR3624" s="73"/>
      <c r="IS3624" s="73"/>
      <c r="IT3624" s="73"/>
      <c r="IU3624" s="73"/>
      <c r="IV3624" s="73"/>
      <c r="IW3624" s="73"/>
      <c r="IX3624" s="73"/>
      <c r="IY3624" s="73"/>
      <c r="IZ3624" s="73"/>
      <c r="JA3624" s="73"/>
      <c r="JB3624" s="73"/>
      <c r="JC3624" s="73"/>
    </row>
    <row r="3625" spans="2:263" s="72" customFormat="1">
      <c r="B3625" s="73"/>
      <c r="C3625" s="73"/>
      <c r="D3625" s="73"/>
      <c r="E3625" s="73"/>
      <c r="F3625" s="73"/>
      <c r="G3625" s="73"/>
      <c r="H3625" s="73"/>
      <c r="I3625" s="73"/>
      <c r="J3625" s="73"/>
      <c r="K3625" s="73"/>
      <c r="L3625" s="73"/>
      <c r="M3625" s="73"/>
      <c r="N3625" s="73"/>
      <c r="O3625" s="73"/>
      <c r="P3625" s="73"/>
      <c r="Q3625" s="73"/>
      <c r="R3625" s="73"/>
      <c r="S3625" s="73"/>
      <c r="T3625" s="73"/>
      <c r="U3625" s="73"/>
      <c r="V3625" s="73"/>
      <c r="W3625" s="73"/>
      <c r="GL3625" s="73"/>
      <c r="GM3625" s="73"/>
      <c r="GN3625" s="73"/>
      <c r="GO3625" s="73"/>
      <c r="GP3625" s="73"/>
      <c r="GQ3625" s="73"/>
      <c r="GR3625" s="73"/>
      <c r="GS3625" s="73"/>
      <c r="GT3625" s="73"/>
      <c r="GU3625" s="73"/>
      <c r="GV3625" s="73"/>
      <c r="GW3625" s="73"/>
      <c r="GX3625" s="73"/>
      <c r="GY3625" s="73"/>
      <c r="GZ3625" s="73"/>
      <c r="HA3625" s="73"/>
      <c r="HB3625" s="73"/>
      <c r="HC3625" s="73"/>
      <c r="HD3625" s="73"/>
      <c r="HE3625" s="73"/>
      <c r="HF3625" s="73"/>
      <c r="HG3625" s="73"/>
      <c r="HH3625" s="73"/>
      <c r="HI3625" s="73"/>
      <c r="HJ3625" s="73"/>
      <c r="HK3625" s="73"/>
      <c r="HL3625" s="73"/>
      <c r="HM3625" s="73"/>
      <c r="HN3625" s="73"/>
      <c r="HO3625" s="73"/>
      <c r="HP3625" s="73"/>
      <c r="HQ3625" s="73"/>
      <c r="HR3625" s="73"/>
      <c r="HS3625" s="73"/>
      <c r="HT3625" s="73"/>
      <c r="HU3625" s="73"/>
      <c r="HV3625" s="73"/>
      <c r="HW3625" s="73"/>
      <c r="HX3625" s="73"/>
      <c r="HY3625" s="73"/>
      <c r="HZ3625" s="73"/>
      <c r="IA3625" s="73"/>
      <c r="IB3625" s="73"/>
      <c r="IC3625" s="73"/>
      <c r="ID3625" s="73"/>
      <c r="IE3625" s="73"/>
      <c r="IF3625" s="73"/>
      <c r="IG3625" s="73"/>
      <c r="IH3625" s="73"/>
      <c r="II3625" s="73"/>
      <c r="IJ3625" s="73"/>
      <c r="IK3625" s="73"/>
      <c r="IL3625" s="73"/>
      <c r="IM3625" s="73"/>
      <c r="IN3625" s="73"/>
      <c r="IO3625" s="73"/>
      <c r="IP3625" s="73"/>
      <c r="IQ3625" s="73"/>
      <c r="IR3625" s="73"/>
      <c r="IS3625" s="73"/>
      <c r="IT3625" s="73"/>
      <c r="IU3625" s="73"/>
      <c r="IV3625" s="73"/>
      <c r="IW3625" s="73"/>
      <c r="IX3625" s="73"/>
      <c r="IY3625" s="73"/>
      <c r="IZ3625" s="73"/>
      <c r="JA3625" s="73"/>
      <c r="JB3625" s="73"/>
      <c r="JC3625" s="73"/>
    </row>
    <row r="3626" spans="2:263" s="72" customFormat="1">
      <c r="B3626" s="73"/>
      <c r="C3626" s="73"/>
      <c r="D3626" s="73"/>
      <c r="E3626" s="73"/>
      <c r="F3626" s="73"/>
      <c r="G3626" s="73"/>
      <c r="H3626" s="73"/>
      <c r="I3626" s="73"/>
      <c r="J3626" s="73"/>
      <c r="K3626" s="73"/>
      <c r="L3626" s="73"/>
      <c r="M3626" s="73"/>
      <c r="N3626" s="73"/>
      <c r="O3626" s="73"/>
      <c r="P3626" s="73"/>
      <c r="Q3626" s="73"/>
      <c r="R3626" s="73"/>
      <c r="S3626" s="73"/>
      <c r="T3626" s="73"/>
      <c r="U3626" s="73"/>
      <c r="V3626" s="73"/>
      <c r="W3626" s="73"/>
      <c r="GL3626" s="73"/>
      <c r="GM3626" s="73"/>
      <c r="GN3626" s="73"/>
      <c r="GO3626" s="73"/>
      <c r="GP3626" s="73"/>
      <c r="GQ3626" s="73"/>
      <c r="GR3626" s="73"/>
      <c r="GS3626" s="73"/>
      <c r="GT3626" s="73"/>
      <c r="GU3626" s="73"/>
      <c r="GV3626" s="73"/>
      <c r="GW3626" s="73"/>
      <c r="GX3626" s="73"/>
      <c r="GY3626" s="73"/>
      <c r="GZ3626" s="73"/>
      <c r="HA3626" s="73"/>
      <c r="HB3626" s="73"/>
      <c r="HC3626" s="73"/>
      <c r="HD3626" s="73"/>
      <c r="HE3626" s="73"/>
      <c r="HF3626" s="73"/>
      <c r="HG3626" s="73"/>
      <c r="HH3626" s="73"/>
      <c r="HI3626" s="73"/>
      <c r="HJ3626" s="73"/>
      <c r="HK3626" s="73"/>
      <c r="HL3626" s="73"/>
      <c r="HM3626" s="73"/>
      <c r="HN3626" s="73"/>
      <c r="HO3626" s="73"/>
      <c r="HP3626" s="73"/>
      <c r="HQ3626" s="73"/>
      <c r="HR3626" s="73"/>
      <c r="HS3626" s="73"/>
      <c r="HT3626" s="73"/>
      <c r="HU3626" s="73"/>
      <c r="HV3626" s="73"/>
      <c r="HW3626" s="73"/>
      <c r="HX3626" s="73"/>
      <c r="HY3626" s="73"/>
      <c r="HZ3626" s="73"/>
      <c r="IA3626" s="73"/>
      <c r="IB3626" s="73"/>
      <c r="IC3626" s="73"/>
      <c r="ID3626" s="73"/>
      <c r="IE3626" s="73"/>
      <c r="IF3626" s="73"/>
      <c r="IG3626" s="73"/>
      <c r="IH3626" s="73"/>
      <c r="II3626" s="73"/>
      <c r="IJ3626" s="73"/>
      <c r="IK3626" s="73"/>
      <c r="IL3626" s="73"/>
      <c r="IM3626" s="73"/>
      <c r="IN3626" s="73"/>
      <c r="IO3626" s="73"/>
      <c r="IP3626" s="73"/>
      <c r="IQ3626" s="73"/>
      <c r="IR3626" s="73"/>
      <c r="IS3626" s="73"/>
      <c r="IT3626" s="73"/>
      <c r="IU3626" s="73"/>
      <c r="IV3626" s="73"/>
      <c r="IW3626" s="73"/>
      <c r="IX3626" s="73"/>
      <c r="IY3626" s="73"/>
      <c r="IZ3626" s="73"/>
      <c r="JA3626" s="73"/>
      <c r="JB3626" s="73"/>
      <c r="JC3626" s="73"/>
    </row>
    <row r="3627" spans="2:263" s="72" customFormat="1">
      <c r="B3627" s="73"/>
      <c r="C3627" s="73"/>
      <c r="D3627" s="73"/>
      <c r="E3627" s="73"/>
      <c r="F3627" s="73"/>
      <c r="G3627" s="73"/>
      <c r="H3627" s="73"/>
      <c r="I3627" s="73"/>
      <c r="J3627" s="73"/>
      <c r="K3627" s="73"/>
      <c r="L3627" s="73"/>
      <c r="M3627" s="73"/>
      <c r="N3627" s="73"/>
      <c r="O3627" s="73"/>
      <c r="P3627" s="73"/>
      <c r="Q3627" s="73"/>
      <c r="R3627" s="73"/>
      <c r="S3627" s="73"/>
      <c r="T3627" s="73"/>
      <c r="U3627" s="73"/>
      <c r="V3627" s="73"/>
      <c r="W3627" s="73"/>
      <c r="GL3627" s="73"/>
      <c r="GM3627" s="73"/>
      <c r="GN3627" s="73"/>
      <c r="GO3627" s="73"/>
      <c r="GP3627" s="73"/>
      <c r="GQ3627" s="73"/>
      <c r="GR3627" s="73"/>
      <c r="GS3627" s="73"/>
      <c r="GT3627" s="73"/>
      <c r="GU3627" s="73"/>
      <c r="GV3627" s="73"/>
      <c r="GW3627" s="73"/>
      <c r="GX3627" s="73"/>
      <c r="GY3627" s="73"/>
      <c r="GZ3627" s="73"/>
      <c r="HA3627" s="73"/>
      <c r="HB3627" s="73"/>
      <c r="HC3627" s="73"/>
      <c r="HD3627" s="73"/>
      <c r="HE3627" s="73"/>
      <c r="HF3627" s="73"/>
      <c r="HG3627" s="73"/>
      <c r="HH3627" s="73"/>
      <c r="HI3627" s="73"/>
      <c r="HJ3627" s="73"/>
      <c r="HK3627" s="73"/>
      <c r="HL3627" s="73"/>
      <c r="HM3627" s="73"/>
      <c r="HN3627" s="73"/>
      <c r="HO3627" s="73"/>
      <c r="HP3627" s="73"/>
      <c r="HQ3627" s="73"/>
      <c r="HR3627" s="73"/>
      <c r="HS3627" s="73"/>
      <c r="HT3627" s="73"/>
      <c r="HU3627" s="73"/>
      <c r="HV3627" s="73"/>
      <c r="HW3627" s="73"/>
      <c r="HX3627" s="73"/>
      <c r="HY3627" s="73"/>
      <c r="HZ3627" s="73"/>
      <c r="IA3627" s="73"/>
      <c r="IB3627" s="73"/>
      <c r="IC3627" s="73"/>
      <c r="ID3627" s="73"/>
      <c r="IE3627" s="73"/>
      <c r="IF3627" s="73"/>
      <c r="IG3627" s="73"/>
      <c r="IH3627" s="73"/>
      <c r="II3627" s="73"/>
      <c r="IJ3627" s="73"/>
      <c r="IK3627" s="73"/>
      <c r="IL3627" s="73"/>
      <c r="IM3627" s="73"/>
      <c r="IN3627" s="73"/>
      <c r="IO3627" s="73"/>
      <c r="IP3627" s="73"/>
      <c r="IQ3627" s="73"/>
      <c r="IR3627" s="73"/>
      <c r="IS3627" s="73"/>
      <c r="IT3627" s="73"/>
      <c r="IU3627" s="73"/>
      <c r="IV3627" s="73"/>
      <c r="IW3627" s="73"/>
      <c r="IX3627" s="73"/>
      <c r="IY3627" s="73"/>
      <c r="IZ3627" s="73"/>
      <c r="JA3627" s="73"/>
      <c r="JB3627" s="73"/>
      <c r="JC3627" s="73"/>
    </row>
    <row r="3628" spans="2:263" s="72" customFormat="1">
      <c r="B3628" s="73"/>
      <c r="C3628" s="73"/>
      <c r="D3628" s="73"/>
      <c r="E3628" s="73"/>
      <c r="F3628" s="73"/>
      <c r="G3628" s="73"/>
      <c r="H3628" s="73"/>
      <c r="I3628" s="73"/>
      <c r="J3628" s="73"/>
      <c r="K3628" s="73"/>
      <c r="L3628" s="73"/>
      <c r="M3628" s="73"/>
      <c r="N3628" s="73"/>
      <c r="O3628" s="73"/>
      <c r="P3628" s="73"/>
      <c r="Q3628" s="73"/>
      <c r="R3628" s="73"/>
      <c r="S3628" s="73"/>
      <c r="T3628" s="73"/>
      <c r="U3628" s="73"/>
      <c r="V3628" s="73"/>
      <c r="W3628" s="73"/>
      <c r="GL3628" s="73"/>
      <c r="GM3628" s="73"/>
      <c r="GN3628" s="73"/>
      <c r="GO3628" s="73"/>
      <c r="GP3628" s="73"/>
      <c r="GQ3628" s="73"/>
      <c r="GR3628" s="73"/>
      <c r="GS3628" s="73"/>
      <c r="GT3628" s="73"/>
      <c r="GU3628" s="73"/>
      <c r="GV3628" s="73"/>
      <c r="GW3628" s="73"/>
      <c r="GX3628" s="73"/>
      <c r="GY3628" s="73"/>
      <c r="GZ3628" s="73"/>
      <c r="HA3628" s="73"/>
      <c r="HB3628" s="73"/>
      <c r="HC3628" s="73"/>
      <c r="HD3628" s="73"/>
      <c r="HE3628" s="73"/>
      <c r="HF3628" s="73"/>
      <c r="HG3628" s="73"/>
      <c r="HH3628" s="73"/>
      <c r="HI3628" s="73"/>
      <c r="HJ3628" s="73"/>
      <c r="HK3628" s="73"/>
      <c r="HL3628" s="73"/>
      <c r="HM3628" s="73"/>
      <c r="HN3628" s="73"/>
      <c r="HO3628" s="73"/>
      <c r="HP3628" s="73"/>
      <c r="HQ3628" s="73"/>
      <c r="HR3628" s="73"/>
      <c r="HS3628" s="73"/>
      <c r="HT3628" s="73"/>
      <c r="HU3628" s="73"/>
      <c r="HV3628" s="73"/>
      <c r="HW3628" s="73"/>
      <c r="HX3628" s="73"/>
      <c r="HY3628" s="73"/>
      <c r="HZ3628" s="73"/>
      <c r="IA3628" s="73"/>
      <c r="IB3628" s="73"/>
      <c r="IC3628" s="73"/>
      <c r="ID3628" s="73"/>
      <c r="IE3628" s="73"/>
      <c r="IF3628" s="73"/>
      <c r="IG3628" s="73"/>
      <c r="IH3628" s="73"/>
      <c r="II3628" s="73"/>
      <c r="IJ3628" s="73"/>
      <c r="IK3628" s="73"/>
      <c r="IL3628" s="73"/>
      <c r="IM3628" s="73"/>
      <c r="IN3628" s="73"/>
      <c r="IO3628" s="73"/>
      <c r="IP3628" s="73"/>
      <c r="IQ3628" s="73"/>
      <c r="IR3628" s="73"/>
      <c r="IS3628" s="73"/>
      <c r="IT3628" s="73"/>
      <c r="IU3628" s="73"/>
      <c r="IV3628" s="73"/>
      <c r="IW3628" s="73"/>
      <c r="IX3628" s="73"/>
      <c r="IY3628" s="73"/>
      <c r="IZ3628" s="73"/>
      <c r="JA3628" s="73"/>
      <c r="JB3628" s="73"/>
      <c r="JC3628" s="73"/>
    </row>
    <row r="3629" spans="2:263" s="72" customFormat="1">
      <c r="B3629" s="73"/>
      <c r="C3629" s="73"/>
      <c r="D3629" s="73"/>
      <c r="E3629" s="73"/>
      <c r="F3629" s="73"/>
      <c r="G3629" s="73"/>
      <c r="H3629" s="73"/>
      <c r="I3629" s="73"/>
      <c r="J3629" s="73"/>
      <c r="K3629" s="73"/>
      <c r="L3629" s="73"/>
      <c r="M3629" s="73"/>
      <c r="N3629" s="73"/>
      <c r="O3629" s="73"/>
      <c r="P3629" s="73"/>
      <c r="Q3629" s="73"/>
      <c r="R3629" s="73"/>
      <c r="S3629" s="73"/>
      <c r="T3629" s="73"/>
      <c r="U3629" s="73"/>
      <c r="V3629" s="73"/>
      <c r="W3629" s="73"/>
      <c r="GL3629" s="73"/>
      <c r="GM3629" s="73"/>
      <c r="GN3629" s="73"/>
      <c r="GO3629" s="73"/>
      <c r="GP3629" s="73"/>
      <c r="GQ3629" s="73"/>
      <c r="GR3629" s="73"/>
      <c r="GS3629" s="73"/>
      <c r="GT3629" s="73"/>
      <c r="GU3629" s="73"/>
      <c r="GV3629" s="73"/>
      <c r="GW3629" s="73"/>
      <c r="GX3629" s="73"/>
      <c r="GY3629" s="73"/>
      <c r="GZ3629" s="73"/>
      <c r="HA3629" s="73"/>
      <c r="HB3629" s="73"/>
      <c r="HC3629" s="73"/>
      <c r="HD3629" s="73"/>
      <c r="HE3629" s="73"/>
      <c r="HF3629" s="73"/>
      <c r="HG3629" s="73"/>
      <c r="HH3629" s="73"/>
      <c r="HI3629" s="73"/>
      <c r="HJ3629" s="73"/>
      <c r="HK3629" s="73"/>
      <c r="HL3629" s="73"/>
      <c r="HM3629" s="73"/>
      <c r="HN3629" s="73"/>
      <c r="HO3629" s="73"/>
      <c r="HP3629" s="73"/>
      <c r="HQ3629" s="73"/>
      <c r="HR3629" s="73"/>
      <c r="HS3629" s="73"/>
      <c r="HT3629" s="73"/>
      <c r="HU3629" s="73"/>
      <c r="HV3629" s="73"/>
      <c r="HW3629" s="73"/>
      <c r="HX3629" s="73"/>
      <c r="HY3629" s="73"/>
      <c r="HZ3629" s="73"/>
      <c r="IA3629" s="73"/>
      <c r="IB3629" s="73"/>
      <c r="IC3629" s="73"/>
      <c r="ID3629" s="73"/>
      <c r="IE3629" s="73"/>
      <c r="IF3629" s="73"/>
      <c r="IG3629" s="73"/>
      <c r="IH3629" s="73"/>
      <c r="II3629" s="73"/>
      <c r="IJ3629" s="73"/>
      <c r="IK3629" s="73"/>
      <c r="IL3629" s="73"/>
      <c r="IM3629" s="73"/>
      <c r="IN3629" s="73"/>
      <c r="IO3629" s="73"/>
      <c r="IP3629" s="73"/>
      <c r="IQ3629" s="73"/>
      <c r="IR3629" s="73"/>
      <c r="IS3629" s="73"/>
      <c r="IT3629" s="73"/>
      <c r="IU3629" s="73"/>
      <c r="IV3629" s="73"/>
      <c r="IW3629" s="73"/>
      <c r="IX3629" s="73"/>
      <c r="IY3629" s="73"/>
      <c r="IZ3629" s="73"/>
      <c r="JA3629" s="73"/>
      <c r="JB3629" s="73"/>
      <c r="JC3629" s="73"/>
    </row>
    <row r="3630" spans="2:263" s="72" customFormat="1">
      <c r="B3630" s="73"/>
      <c r="C3630" s="73"/>
      <c r="D3630" s="73"/>
      <c r="E3630" s="73"/>
      <c r="F3630" s="73"/>
      <c r="G3630" s="73"/>
      <c r="H3630" s="73"/>
      <c r="I3630" s="73"/>
      <c r="J3630" s="73"/>
      <c r="K3630" s="73"/>
      <c r="L3630" s="73"/>
      <c r="M3630" s="73"/>
      <c r="N3630" s="73"/>
      <c r="O3630" s="73"/>
      <c r="P3630" s="73"/>
      <c r="Q3630" s="73"/>
      <c r="R3630" s="73"/>
      <c r="S3630" s="73"/>
      <c r="T3630" s="73"/>
      <c r="U3630" s="73"/>
      <c r="V3630" s="73"/>
      <c r="W3630" s="73"/>
      <c r="GL3630" s="73"/>
      <c r="GM3630" s="73"/>
      <c r="GN3630" s="73"/>
      <c r="GO3630" s="73"/>
      <c r="GP3630" s="73"/>
      <c r="GQ3630" s="73"/>
      <c r="GR3630" s="73"/>
      <c r="GS3630" s="73"/>
      <c r="GT3630" s="73"/>
      <c r="GU3630" s="73"/>
      <c r="GV3630" s="73"/>
      <c r="GW3630" s="73"/>
      <c r="GX3630" s="73"/>
      <c r="GY3630" s="73"/>
      <c r="GZ3630" s="73"/>
      <c r="HA3630" s="73"/>
      <c r="HB3630" s="73"/>
      <c r="HC3630" s="73"/>
      <c r="HD3630" s="73"/>
      <c r="HE3630" s="73"/>
      <c r="HF3630" s="73"/>
      <c r="HG3630" s="73"/>
      <c r="HH3630" s="73"/>
      <c r="HI3630" s="73"/>
      <c r="HJ3630" s="73"/>
      <c r="HK3630" s="73"/>
      <c r="HL3630" s="73"/>
      <c r="HM3630" s="73"/>
      <c r="HN3630" s="73"/>
      <c r="HO3630" s="73"/>
      <c r="HP3630" s="73"/>
      <c r="HQ3630" s="73"/>
      <c r="HR3630" s="73"/>
      <c r="HS3630" s="73"/>
      <c r="HT3630" s="73"/>
      <c r="HU3630" s="73"/>
      <c r="HV3630" s="73"/>
      <c r="HW3630" s="73"/>
      <c r="HX3630" s="73"/>
      <c r="HY3630" s="73"/>
      <c r="HZ3630" s="73"/>
      <c r="IA3630" s="73"/>
      <c r="IB3630" s="73"/>
      <c r="IC3630" s="73"/>
      <c r="ID3630" s="73"/>
      <c r="IE3630" s="73"/>
      <c r="IF3630" s="73"/>
      <c r="IG3630" s="73"/>
      <c r="IH3630" s="73"/>
      <c r="II3630" s="73"/>
      <c r="IJ3630" s="73"/>
      <c r="IK3630" s="73"/>
      <c r="IL3630" s="73"/>
      <c r="IM3630" s="73"/>
      <c r="IN3630" s="73"/>
      <c r="IO3630" s="73"/>
      <c r="IP3630" s="73"/>
      <c r="IQ3630" s="73"/>
      <c r="IR3630" s="73"/>
      <c r="IS3630" s="73"/>
      <c r="IT3630" s="73"/>
      <c r="IU3630" s="73"/>
      <c r="IV3630" s="73"/>
      <c r="IW3630" s="73"/>
      <c r="IX3630" s="73"/>
      <c r="IY3630" s="73"/>
      <c r="IZ3630" s="73"/>
      <c r="JA3630" s="73"/>
      <c r="JB3630" s="73"/>
      <c r="JC3630" s="73"/>
    </row>
    <row r="3631" spans="2:263" s="72" customFormat="1">
      <c r="B3631" s="73"/>
      <c r="C3631" s="73"/>
      <c r="D3631" s="73"/>
      <c r="E3631" s="73"/>
      <c r="F3631" s="73"/>
      <c r="G3631" s="73"/>
      <c r="H3631" s="73"/>
      <c r="I3631" s="73"/>
      <c r="J3631" s="73"/>
      <c r="K3631" s="73"/>
      <c r="L3631" s="73"/>
      <c r="M3631" s="73"/>
      <c r="N3631" s="73"/>
      <c r="O3631" s="73"/>
      <c r="P3631" s="73"/>
      <c r="Q3631" s="73"/>
      <c r="R3631" s="73"/>
      <c r="S3631" s="73"/>
      <c r="T3631" s="73"/>
      <c r="U3631" s="73"/>
      <c r="V3631" s="73"/>
      <c r="W3631" s="73"/>
      <c r="GL3631" s="73"/>
      <c r="GM3631" s="73"/>
      <c r="GN3631" s="73"/>
      <c r="GO3631" s="73"/>
      <c r="GP3631" s="73"/>
      <c r="GQ3631" s="73"/>
      <c r="GR3631" s="73"/>
      <c r="GS3631" s="73"/>
      <c r="GT3631" s="73"/>
      <c r="GU3631" s="73"/>
      <c r="GV3631" s="73"/>
      <c r="GW3631" s="73"/>
      <c r="GX3631" s="73"/>
      <c r="GY3631" s="73"/>
      <c r="GZ3631" s="73"/>
      <c r="HA3631" s="73"/>
      <c r="HB3631" s="73"/>
      <c r="HC3631" s="73"/>
      <c r="HD3631" s="73"/>
      <c r="HE3631" s="73"/>
      <c r="HF3631" s="73"/>
      <c r="HG3631" s="73"/>
      <c r="HH3631" s="73"/>
      <c r="HI3631" s="73"/>
      <c r="HJ3631" s="73"/>
      <c r="HK3631" s="73"/>
      <c r="HL3631" s="73"/>
      <c r="HM3631" s="73"/>
      <c r="HN3631" s="73"/>
      <c r="HO3631" s="73"/>
      <c r="HP3631" s="73"/>
      <c r="HQ3631" s="73"/>
      <c r="HR3631" s="73"/>
      <c r="HS3631" s="73"/>
      <c r="HT3631" s="73"/>
      <c r="HU3631" s="73"/>
      <c r="HV3631" s="73"/>
      <c r="HW3631" s="73"/>
      <c r="HX3631" s="73"/>
      <c r="HY3631" s="73"/>
      <c r="HZ3631" s="73"/>
      <c r="IA3631" s="73"/>
      <c r="IB3631" s="73"/>
      <c r="IC3631" s="73"/>
      <c r="ID3631" s="73"/>
      <c r="IE3631" s="73"/>
      <c r="IF3631" s="73"/>
      <c r="IG3631" s="73"/>
      <c r="IH3631" s="73"/>
      <c r="II3631" s="73"/>
      <c r="IJ3631" s="73"/>
      <c r="IK3631" s="73"/>
      <c r="IL3631" s="73"/>
      <c r="IM3631" s="73"/>
      <c r="IN3631" s="73"/>
      <c r="IO3631" s="73"/>
      <c r="IP3631" s="73"/>
      <c r="IQ3631" s="73"/>
      <c r="IR3631" s="73"/>
      <c r="IS3631" s="73"/>
      <c r="IT3631" s="73"/>
      <c r="IU3631" s="73"/>
      <c r="IV3631" s="73"/>
      <c r="IW3631" s="73"/>
      <c r="IX3631" s="73"/>
      <c r="IY3631" s="73"/>
      <c r="IZ3631" s="73"/>
      <c r="JA3631" s="73"/>
      <c r="JB3631" s="73"/>
      <c r="JC3631" s="73"/>
    </row>
    <row r="3632" spans="2:263" s="72" customFormat="1">
      <c r="B3632" s="73"/>
      <c r="C3632" s="73"/>
      <c r="D3632" s="73"/>
      <c r="E3632" s="73"/>
      <c r="F3632" s="73"/>
      <c r="G3632" s="73"/>
      <c r="H3632" s="73"/>
      <c r="I3632" s="73"/>
      <c r="J3632" s="73"/>
      <c r="K3632" s="73"/>
      <c r="L3632" s="73"/>
      <c r="M3632" s="73"/>
      <c r="N3632" s="73"/>
      <c r="O3632" s="73"/>
      <c r="P3632" s="73"/>
      <c r="Q3632" s="73"/>
      <c r="R3632" s="73"/>
      <c r="S3632" s="73"/>
      <c r="T3632" s="73"/>
      <c r="U3632" s="73"/>
      <c r="V3632" s="73"/>
      <c r="W3632" s="73"/>
      <c r="GL3632" s="73"/>
      <c r="GM3632" s="73"/>
      <c r="GN3632" s="73"/>
      <c r="GO3632" s="73"/>
      <c r="GP3632" s="73"/>
      <c r="GQ3632" s="73"/>
      <c r="GR3632" s="73"/>
      <c r="GS3632" s="73"/>
      <c r="GT3632" s="73"/>
      <c r="GU3632" s="73"/>
      <c r="GV3632" s="73"/>
      <c r="GW3632" s="73"/>
      <c r="GX3632" s="73"/>
      <c r="GY3632" s="73"/>
      <c r="GZ3632" s="73"/>
      <c r="HA3632" s="73"/>
      <c r="HB3632" s="73"/>
      <c r="HC3632" s="73"/>
      <c r="HD3632" s="73"/>
      <c r="HE3632" s="73"/>
      <c r="HF3632" s="73"/>
      <c r="HG3632" s="73"/>
      <c r="HH3632" s="73"/>
      <c r="HI3632" s="73"/>
      <c r="HJ3632" s="73"/>
      <c r="HK3632" s="73"/>
      <c r="HL3632" s="73"/>
      <c r="HM3632" s="73"/>
      <c r="HN3632" s="73"/>
      <c r="HO3632" s="73"/>
      <c r="HP3632" s="73"/>
      <c r="HQ3632" s="73"/>
      <c r="HR3632" s="73"/>
      <c r="HS3632" s="73"/>
      <c r="HT3632" s="73"/>
      <c r="HU3632" s="73"/>
      <c r="HV3632" s="73"/>
      <c r="HW3632" s="73"/>
      <c r="HX3632" s="73"/>
      <c r="HY3632" s="73"/>
      <c r="HZ3632" s="73"/>
      <c r="IA3632" s="73"/>
      <c r="IB3632" s="73"/>
      <c r="IC3632" s="73"/>
      <c r="ID3632" s="73"/>
      <c r="IE3632" s="73"/>
      <c r="IF3632" s="73"/>
      <c r="IG3632" s="73"/>
      <c r="IH3632" s="73"/>
      <c r="II3632" s="73"/>
      <c r="IJ3632" s="73"/>
      <c r="IK3632" s="73"/>
      <c r="IL3632" s="73"/>
      <c r="IM3632" s="73"/>
      <c r="IN3632" s="73"/>
      <c r="IO3632" s="73"/>
      <c r="IP3632" s="73"/>
      <c r="IQ3632" s="73"/>
      <c r="IR3632" s="73"/>
      <c r="IS3632" s="73"/>
      <c r="IT3632" s="73"/>
      <c r="IU3632" s="73"/>
      <c r="IV3632" s="73"/>
      <c r="IW3632" s="73"/>
      <c r="IX3632" s="73"/>
      <c r="IY3632" s="73"/>
      <c r="IZ3632" s="73"/>
      <c r="JA3632" s="73"/>
      <c r="JB3632" s="73"/>
      <c r="JC3632" s="73"/>
    </row>
    <row r="3633" spans="2:263" s="72" customFormat="1">
      <c r="B3633" s="73"/>
      <c r="C3633" s="73"/>
      <c r="D3633" s="73"/>
      <c r="E3633" s="73"/>
      <c r="F3633" s="73"/>
      <c r="G3633" s="73"/>
      <c r="H3633" s="73"/>
      <c r="I3633" s="73"/>
      <c r="J3633" s="73"/>
      <c r="K3633" s="73"/>
      <c r="L3633" s="73"/>
      <c r="M3633" s="73"/>
      <c r="N3633" s="73"/>
      <c r="O3633" s="73"/>
      <c r="P3633" s="73"/>
      <c r="Q3633" s="73"/>
      <c r="R3633" s="73"/>
      <c r="S3633" s="73"/>
      <c r="T3633" s="73"/>
      <c r="U3633" s="73"/>
      <c r="V3633" s="73"/>
      <c r="W3633" s="73"/>
      <c r="GL3633" s="73"/>
      <c r="GM3633" s="73"/>
      <c r="GN3633" s="73"/>
      <c r="GO3633" s="73"/>
      <c r="GP3633" s="73"/>
      <c r="GQ3633" s="73"/>
      <c r="GR3633" s="73"/>
      <c r="GS3633" s="73"/>
      <c r="GT3633" s="73"/>
      <c r="GU3633" s="73"/>
      <c r="GV3633" s="73"/>
      <c r="GW3633" s="73"/>
      <c r="GX3633" s="73"/>
      <c r="GY3633" s="73"/>
      <c r="GZ3633" s="73"/>
      <c r="HA3633" s="73"/>
      <c r="HB3633" s="73"/>
      <c r="HC3633" s="73"/>
      <c r="HD3633" s="73"/>
      <c r="HE3633" s="73"/>
      <c r="HF3633" s="73"/>
      <c r="HG3633" s="73"/>
      <c r="HH3633" s="73"/>
      <c r="HI3633" s="73"/>
      <c r="HJ3633" s="73"/>
      <c r="HK3633" s="73"/>
      <c r="HL3633" s="73"/>
      <c r="HM3633" s="73"/>
      <c r="HN3633" s="73"/>
      <c r="HO3633" s="73"/>
      <c r="HP3633" s="73"/>
      <c r="HQ3633" s="73"/>
      <c r="HR3633" s="73"/>
      <c r="HS3633" s="73"/>
      <c r="HT3633" s="73"/>
      <c r="HU3633" s="73"/>
      <c r="HV3633" s="73"/>
      <c r="HW3633" s="73"/>
      <c r="HX3633" s="73"/>
      <c r="HY3633" s="73"/>
      <c r="HZ3633" s="73"/>
      <c r="IA3633" s="73"/>
      <c r="IB3633" s="73"/>
      <c r="IC3633" s="73"/>
      <c r="ID3633" s="73"/>
      <c r="IE3633" s="73"/>
      <c r="IF3633" s="73"/>
      <c r="IG3633" s="73"/>
      <c r="IH3633" s="73"/>
      <c r="II3633" s="73"/>
      <c r="IJ3633" s="73"/>
      <c r="IK3633" s="73"/>
      <c r="IL3633" s="73"/>
      <c r="IM3633" s="73"/>
      <c r="IN3633" s="73"/>
      <c r="IO3633" s="73"/>
      <c r="IP3633" s="73"/>
      <c r="IQ3633" s="73"/>
      <c r="IR3633" s="73"/>
      <c r="IS3633" s="73"/>
      <c r="IT3633" s="73"/>
      <c r="IU3633" s="73"/>
      <c r="IV3633" s="73"/>
      <c r="IW3633" s="73"/>
      <c r="IX3633" s="73"/>
      <c r="IY3633" s="73"/>
      <c r="IZ3633" s="73"/>
      <c r="JA3633" s="73"/>
      <c r="JB3633" s="73"/>
      <c r="JC3633" s="73"/>
    </row>
    <row r="3634" spans="2:263" s="72" customFormat="1">
      <c r="B3634" s="73"/>
      <c r="C3634" s="73"/>
      <c r="D3634" s="73"/>
      <c r="E3634" s="73"/>
      <c r="F3634" s="73"/>
      <c r="G3634" s="73"/>
      <c r="H3634" s="73"/>
      <c r="I3634" s="73"/>
      <c r="J3634" s="73"/>
      <c r="K3634" s="73"/>
      <c r="L3634" s="73"/>
      <c r="M3634" s="73"/>
      <c r="N3634" s="73"/>
      <c r="O3634" s="73"/>
      <c r="P3634" s="73"/>
      <c r="Q3634" s="73"/>
      <c r="R3634" s="73"/>
      <c r="S3634" s="73"/>
      <c r="T3634" s="73"/>
      <c r="U3634" s="73"/>
      <c r="V3634" s="73"/>
      <c r="W3634" s="73"/>
      <c r="GL3634" s="73"/>
      <c r="GM3634" s="73"/>
      <c r="GN3634" s="73"/>
      <c r="GO3634" s="73"/>
      <c r="GP3634" s="73"/>
      <c r="GQ3634" s="73"/>
      <c r="GR3634" s="73"/>
      <c r="GS3634" s="73"/>
      <c r="GT3634" s="73"/>
      <c r="GU3634" s="73"/>
      <c r="GV3634" s="73"/>
      <c r="GW3634" s="73"/>
      <c r="GX3634" s="73"/>
      <c r="GY3634" s="73"/>
      <c r="GZ3634" s="73"/>
      <c r="HA3634" s="73"/>
      <c r="HB3634" s="73"/>
      <c r="HC3634" s="73"/>
      <c r="HD3634" s="73"/>
      <c r="HE3634" s="73"/>
      <c r="HF3634" s="73"/>
      <c r="HG3634" s="73"/>
      <c r="HH3634" s="73"/>
      <c r="HI3634" s="73"/>
      <c r="HJ3634" s="73"/>
      <c r="HK3634" s="73"/>
      <c r="HL3634" s="73"/>
      <c r="HM3634" s="73"/>
      <c r="HN3634" s="73"/>
      <c r="HO3634" s="73"/>
      <c r="HP3634" s="73"/>
      <c r="HQ3634" s="73"/>
      <c r="HR3634" s="73"/>
      <c r="HS3634" s="73"/>
      <c r="HT3634" s="73"/>
      <c r="HU3634" s="73"/>
      <c r="HV3634" s="73"/>
      <c r="HW3634" s="73"/>
      <c r="HX3634" s="73"/>
      <c r="HY3634" s="73"/>
      <c r="HZ3634" s="73"/>
      <c r="IA3634" s="73"/>
      <c r="IB3634" s="73"/>
      <c r="IC3634" s="73"/>
      <c r="ID3634" s="73"/>
      <c r="IE3634" s="73"/>
      <c r="IF3634" s="73"/>
      <c r="IG3634" s="73"/>
      <c r="IH3634" s="73"/>
      <c r="II3634" s="73"/>
      <c r="IJ3634" s="73"/>
      <c r="IK3634" s="73"/>
      <c r="IL3634" s="73"/>
      <c r="IM3634" s="73"/>
      <c r="IN3634" s="73"/>
      <c r="IO3634" s="73"/>
      <c r="IP3634" s="73"/>
      <c r="IQ3634" s="73"/>
      <c r="IR3634" s="73"/>
      <c r="IS3634" s="73"/>
      <c r="IT3634" s="73"/>
      <c r="IU3634" s="73"/>
      <c r="IV3634" s="73"/>
      <c r="IW3634" s="73"/>
      <c r="IX3634" s="73"/>
      <c r="IY3634" s="73"/>
      <c r="IZ3634" s="73"/>
      <c r="JA3634" s="73"/>
      <c r="JB3634" s="73"/>
      <c r="JC3634" s="73"/>
    </row>
    <row r="3635" spans="2:263" s="72" customFormat="1">
      <c r="B3635" s="73"/>
      <c r="C3635" s="73"/>
      <c r="D3635" s="73"/>
      <c r="E3635" s="73"/>
      <c r="F3635" s="73"/>
      <c r="G3635" s="73"/>
      <c r="H3635" s="73"/>
      <c r="I3635" s="73"/>
      <c r="J3635" s="73"/>
      <c r="K3635" s="73"/>
      <c r="L3635" s="73"/>
      <c r="M3635" s="73"/>
      <c r="N3635" s="73"/>
      <c r="O3635" s="73"/>
      <c r="P3635" s="73"/>
      <c r="Q3635" s="73"/>
      <c r="R3635" s="73"/>
      <c r="S3635" s="73"/>
      <c r="T3635" s="73"/>
      <c r="U3635" s="73"/>
      <c r="V3635" s="73"/>
      <c r="W3635" s="73"/>
      <c r="GL3635" s="73"/>
      <c r="GM3635" s="73"/>
      <c r="GN3635" s="73"/>
      <c r="GO3635" s="73"/>
      <c r="GP3635" s="73"/>
      <c r="GQ3635" s="73"/>
      <c r="GR3635" s="73"/>
      <c r="GS3635" s="73"/>
      <c r="GT3635" s="73"/>
      <c r="GU3635" s="73"/>
      <c r="GV3635" s="73"/>
      <c r="GW3635" s="73"/>
      <c r="GX3635" s="73"/>
      <c r="GY3635" s="73"/>
      <c r="GZ3635" s="73"/>
      <c r="HA3635" s="73"/>
      <c r="HB3635" s="73"/>
      <c r="HC3635" s="73"/>
      <c r="HD3635" s="73"/>
      <c r="HE3635" s="73"/>
      <c r="HF3635" s="73"/>
      <c r="HG3635" s="73"/>
      <c r="HH3635" s="73"/>
      <c r="HI3635" s="73"/>
      <c r="HJ3635" s="73"/>
      <c r="HK3635" s="73"/>
      <c r="HL3635" s="73"/>
      <c r="HM3635" s="73"/>
      <c r="HN3635" s="73"/>
      <c r="HO3635" s="73"/>
      <c r="HP3635" s="73"/>
      <c r="HQ3635" s="73"/>
      <c r="HR3635" s="73"/>
      <c r="HS3635" s="73"/>
      <c r="HT3635" s="73"/>
      <c r="HU3635" s="73"/>
      <c r="HV3635" s="73"/>
      <c r="HW3635" s="73"/>
      <c r="HX3635" s="73"/>
      <c r="HY3635" s="73"/>
      <c r="HZ3635" s="73"/>
      <c r="IA3635" s="73"/>
      <c r="IB3635" s="73"/>
      <c r="IC3635" s="73"/>
      <c r="ID3635" s="73"/>
      <c r="IE3635" s="73"/>
      <c r="IF3635" s="73"/>
      <c r="IG3635" s="73"/>
      <c r="IH3635" s="73"/>
      <c r="II3635" s="73"/>
      <c r="IJ3635" s="73"/>
      <c r="IK3635" s="73"/>
      <c r="IL3635" s="73"/>
      <c r="IM3635" s="73"/>
      <c r="IN3635" s="73"/>
      <c r="IO3635" s="73"/>
      <c r="IP3635" s="73"/>
      <c r="IQ3635" s="73"/>
      <c r="IR3635" s="73"/>
      <c r="IS3635" s="73"/>
      <c r="IT3635" s="73"/>
      <c r="IU3635" s="73"/>
      <c r="IV3635" s="73"/>
      <c r="IW3635" s="73"/>
      <c r="IX3635" s="73"/>
      <c r="IY3635" s="73"/>
      <c r="IZ3635" s="73"/>
      <c r="JA3635" s="73"/>
      <c r="JB3635" s="73"/>
      <c r="JC3635" s="73"/>
    </row>
    <row r="3636" spans="2:263" s="72" customFormat="1">
      <c r="B3636" s="73"/>
      <c r="C3636" s="73"/>
      <c r="D3636" s="73"/>
      <c r="E3636" s="73"/>
      <c r="F3636" s="73"/>
      <c r="G3636" s="73"/>
      <c r="H3636" s="73"/>
      <c r="I3636" s="73"/>
      <c r="J3636" s="73"/>
      <c r="K3636" s="73"/>
      <c r="L3636" s="73"/>
      <c r="M3636" s="73"/>
      <c r="N3636" s="73"/>
      <c r="O3636" s="73"/>
      <c r="P3636" s="73"/>
      <c r="Q3636" s="73"/>
      <c r="R3636" s="73"/>
      <c r="S3636" s="73"/>
      <c r="T3636" s="73"/>
      <c r="U3636" s="73"/>
      <c r="V3636" s="73"/>
      <c r="W3636" s="73"/>
      <c r="GL3636" s="73"/>
      <c r="GM3636" s="73"/>
      <c r="GN3636" s="73"/>
      <c r="GO3636" s="73"/>
      <c r="GP3636" s="73"/>
      <c r="GQ3636" s="73"/>
      <c r="GR3636" s="73"/>
      <c r="GS3636" s="73"/>
      <c r="GT3636" s="73"/>
      <c r="GU3636" s="73"/>
      <c r="GV3636" s="73"/>
      <c r="GW3636" s="73"/>
      <c r="GX3636" s="73"/>
      <c r="GY3636" s="73"/>
      <c r="GZ3636" s="73"/>
      <c r="HA3636" s="73"/>
      <c r="HB3636" s="73"/>
      <c r="HC3636" s="73"/>
      <c r="HD3636" s="73"/>
      <c r="HE3636" s="73"/>
      <c r="HF3636" s="73"/>
      <c r="HG3636" s="73"/>
      <c r="HH3636" s="73"/>
      <c r="HI3636" s="73"/>
      <c r="HJ3636" s="73"/>
      <c r="HK3636" s="73"/>
      <c r="HL3636" s="73"/>
      <c r="HM3636" s="73"/>
      <c r="HN3636" s="73"/>
      <c r="HO3636" s="73"/>
      <c r="HP3636" s="73"/>
      <c r="HQ3636" s="73"/>
      <c r="HR3636" s="73"/>
      <c r="HS3636" s="73"/>
      <c r="HT3636" s="73"/>
      <c r="HU3636" s="73"/>
      <c r="HV3636" s="73"/>
      <c r="HW3636" s="73"/>
      <c r="HX3636" s="73"/>
      <c r="HY3636" s="73"/>
      <c r="HZ3636" s="73"/>
      <c r="IA3636" s="73"/>
      <c r="IB3636" s="73"/>
      <c r="IC3636" s="73"/>
      <c r="ID3636" s="73"/>
      <c r="IE3636" s="73"/>
      <c r="IF3636" s="73"/>
      <c r="IG3636" s="73"/>
      <c r="IH3636" s="73"/>
      <c r="II3636" s="73"/>
      <c r="IJ3636" s="73"/>
      <c r="IK3636" s="73"/>
      <c r="IL3636" s="73"/>
      <c r="IM3636" s="73"/>
      <c r="IN3636" s="73"/>
      <c r="IO3636" s="73"/>
      <c r="IP3636" s="73"/>
      <c r="IQ3636" s="73"/>
      <c r="IR3636" s="73"/>
      <c r="IS3636" s="73"/>
      <c r="IT3636" s="73"/>
      <c r="IU3636" s="73"/>
      <c r="IV3636" s="73"/>
      <c r="IW3636" s="73"/>
      <c r="IX3636" s="73"/>
      <c r="IY3636" s="73"/>
      <c r="IZ3636" s="73"/>
      <c r="JA3636" s="73"/>
      <c r="JB3636" s="73"/>
      <c r="JC3636" s="73"/>
    </row>
    <row r="3637" spans="2:263" s="72" customFormat="1">
      <c r="B3637" s="73"/>
      <c r="C3637" s="73"/>
      <c r="D3637" s="73"/>
      <c r="E3637" s="73"/>
      <c r="F3637" s="73"/>
      <c r="G3637" s="73"/>
      <c r="H3637" s="73"/>
      <c r="I3637" s="73"/>
      <c r="J3637" s="73"/>
      <c r="K3637" s="73"/>
      <c r="L3637" s="73"/>
      <c r="M3637" s="73"/>
      <c r="N3637" s="73"/>
      <c r="O3637" s="73"/>
      <c r="P3637" s="73"/>
      <c r="Q3637" s="73"/>
      <c r="R3637" s="73"/>
      <c r="S3637" s="73"/>
      <c r="T3637" s="73"/>
      <c r="U3637" s="73"/>
      <c r="V3637" s="73"/>
      <c r="W3637" s="73"/>
      <c r="GL3637" s="73"/>
      <c r="GM3637" s="73"/>
      <c r="GN3637" s="73"/>
      <c r="GO3637" s="73"/>
      <c r="GP3637" s="73"/>
      <c r="GQ3637" s="73"/>
      <c r="GR3637" s="73"/>
      <c r="GS3637" s="73"/>
      <c r="GT3637" s="73"/>
      <c r="GU3637" s="73"/>
      <c r="GV3637" s="73"/>
      <c r="GW3637" s="73"/>
      <c r="GX3637" s="73"/>
      <c r="GY3637" s="73"/>
      <c r="GZ3637" s="73"/>
      <c r="HA3637" s="73"/>
      <c r="HB3637" s="73"/>
      <c r="HC3637" s="73"/>
      <c r="HD3637" s="73"/>
      <c r="HE3637" s="73"/>
      <c r="HF3637" s="73"/>
      <c r="HG3637" s="73"/>
      <c r="HH3637" s="73"/>
      <c r="HI3637" s="73"/>
      <c r="HJ3637" s="73"/>
      <c r="HK3637" s="73"/>
      <c r="HL3637" s="73"/>
      <c r="HM3637" s="73"/>
      <c r="HN3637" s="73"/>
      <c r="HO3637" s="73"/>
      <c r="HP3637" s="73"/>
      <c r="HQ3637" s="73"/>
      <c r="HR3637" s="73"/>
      <c r="HS3637" s="73"/>
      <c r="HT3637" s="73"/>
      <c r="HU3637" s="73"/>
      <c r="HV3637" s="73"/>
      <c r="HW3637" s="73"/>
      <c r="HX3637" s="73"/>
      <c r="HY3637" s="73"/>
      <c r="HZ3637" s="73"/>
      <c r="IA3637" s="73"/>
      <c r="IB3637" s="73"/>
      <c r="IC3637" s="73"/>
      <c r="ID3637" s="73"/>
      <c r="IE3637" s="73"/>
      <c r="IF3637" s="73"/>
      <c r="IG3637" s="73"/>
      <c r="IH3637" s="73"/>
      <c r="II3637" s="73"/>
      <c r="IJ3637" s="73"/>
      <c r="IK3637" s="73"/>
      <c r="IL3637" s="73"/>
      <c r="IM3637" s="73"/>
      <c r="IN3637" s="73"/>
      <c r="IO3637" s="73"/>
      <c r="IP3637" s="73"/>
      <c r="IQ3637" s="73"/>
      <c r="IR3637" s="73"/>
      <c r="IS3637" s="73"/>
      <c r="IT3637" s="73"/>
      <c r="IU3637" s="73"/>
      <c r="IV3637" s="73"/>
      <c r="IW3637" s="73"/>
      <c r="IX3637" s="73"/>
      <c r="IY3637" s="73"/>
      <c r="IZ3637" s="73"/>
      <c r="JA3637" s="73"/>
      <c r="JB3637" s="73"/>
      <c r="JC3637" s="73"/>
    </row>
    <row r="3638" spans="2:263" s="72" customFormat="1">
      <c r="B3638" s="73"/>
      <c r="C3638" s="73"/>
      <c r="D3638" s="73"/>
      <c r="E3638" s="73"/>
      <c r="F3638" s="73"/>
      <c r="G3638" s="73"/>
      <c r="H3638" s="73"/>
      <c r="I3638" s="73"/>
      <c r="J3638" s="73"/>
      <c r="K3638" s="73"/>
      <c r="L3638" s="73"/>
      <c r="M3638" s="73"/>
      <c r="N3638" s="73"/>
      <c r="O3638" s="73"/>
      <c r="P3638" s="73"/>
      <c r="Q3638" s="73"/>
      <c r="R3638" s="73"/>
      <c r="S3638" s="73"/>
      <c r="T3638" s="73"/>
      <c r="U3638" s="73"/>
      <c r="V3638" s="73"/>
      <c r="W3638" s="73"/>
      <c r="GL3638" s="73"/>
      <c r="GM3638" s="73"/>
      <c r="GN3638" s="73"/>
      <c r="GO3638" s="73"/>
      <c r="GP3638" s="73"/>
      <c r="GQ3638" s="73"/>
      <c r="GR3638" s="73"/>
      <c r="GS3638" s="73"/>
      <c r="GT3638" s="73"/>
      <c r="GU3638" s="73"/>
      <c r="GV3638" s="73"/>
      <c r="GW3638" s="73"/>
      <c r="GX3638" s="73"/>
      <c r="GY3638" s="73"/>
      <c r="GZ3638" s="73"/>
      <c r="HA3638" s="73"/>
      <c r="HB3638" s="73"/>
      <c r="HC3638" s="73"/>
      <c r="HD3638" s="73"/>
      <c r="HE3638" s="73"/>
      <c r="HF3638" s="73"/>
      <c r="HG3638" s="73"/>
      <c r="HH3638" s="73"/>
      <c r="HI3638" s="73"/>
      <c r="HJ3638" s="73"/>
      <c r="HK3638" s="73"/>
      <c r="HL3638" s="73"/>
      <c r="HM3638" s="73"/>
      <c r="HN3638" s="73"/>
      <c r="HO3638" s="73"/>
      <c r="HP3638" s="73"/>
      <c r="HQ3638" s="73"/>
      <c r="HR3638" s="73"/>
      <c r="HS3638" s="73"/>
      <c r="HT3638" s="73"/>
      <c r="HU3638" s="73"/>
      <c r="HV3638" s="73"/>
      <c r="HW3638" s="73"/>
      <c r="HX3638" s="73"/>
      <c r="HY3638" s="73"/>
      <c r="HZ3638" s="73"/>
      <c r="IA3638" s="73"/>
      <c r="IB3638" s="73"/>
      <c r="IC3638" s="73"/>
      <c r="ID3638" s="73"/>
      <c r="IE3638" s="73"/>
      <c r="IF3638" s="73"/>
      <c r="IG3638" s="73"/>
      <c r="IH3638" s="73"/>
      <c r="II3638" s="73"/>
      <c r="IJ3638" s="73"/>
      <c r="IK3638" s="73"/>
      <c r="IL3638" s="73"/>
      <c r="IM3638" s="73"/>
      <c r="IN3638" s="73"/>
      <c r="IO3638" s="73"/>
      <c r="IP3638" s="73"/>
      <c r="IQ3638" s="73"/>
      <c r="IR3638" s="73"/>
      <c r="IS3638" s="73"/>
      <c r="IT3638" s="73"/>
      <c r="IU3638" s="73"/>
      <c r="IV3638" s="73"/>
      <c r="IW3638" s="73"/>
      <c r="IX3638" s="73"/>
      <c r="IY3638" s="73"/>
      <c r="IZ3638" s="73"/>
      <c r="JA3638" s="73"/>
      <c r="JB3638" s="73"/>
      <c r="JC3638" s="73"/>
    </row>
    <row r="3639" spans="2:263" s="72" customFormat="1">
      <c r="B3639" s="73"/>
      <c r="C3639" s="73"/>
      <c r="D3639" s="73"/>
      <c r="E3639" s="73"/>
      <c r="F3639" s="73"/>
      <c r="G3639" s="73"/>
      <c r="H3639" s="73"/>
      <c r="I3639" s="73"/>
      <c r="J3639" s="73"/>
      <c r="K3639" s="73"/>
      <c r="L3639" s="73"/>
      <c r="M3639" s="73"/>
      <c r="N3639" s="73"/>
      <c r="O3639" s="73"/>
      <c r="P3639" s="73"/>
      <c r="Q3639" s="73"/>
      <c r="R3639" s="73"/>
      <c r="S3639" s="73"/>
      <c r="T3639" s="73"/>
      <c r="U3639" s="73"/>
      <c r="V3639" s="73"/>
      <c r="W3639" s="73"/>
      <c r="GL3639" s="73"/>
      <c r="GM3639" s="73"/>
      <c r="GN3639" s="73"/>
      <c r="GO3639" s="73"/>
      <c r="GP3639" s="73"/>
      <c r="GQ3639" s="73"/>
      <c r="GR3639" s="73"/>
      <c r="GS3639" s="73"/>
      <c r="GT3639" s="73"/>
      <c r="GU3639" s="73"/>
      <c r="GV3639" s="73"/>
      <c r="GW3639" s="73"/>
      <c r="GX3639" s="73"/>
      <c r="GY3639" s="73"/>
      <c r="GZ3639" s="73"/>
      <c r="HA3639" s="73"/>
      <c r="HB3639" s="73"/>
      <c r="HC3639" s="73"/>
      <c r="HD3639" s="73"/>
      <c r="HE3639" s="73"/>
      <c r="HF3639" s="73"/>
      <c r="HG3639" s="73"/>
      <c r="HH3639" s="73"/>
      <c r="HI3639" s="73"/>
      <c r="HJ3639" s="73"/>
      <c r="HK3639" s="73"/>
      <c r="HL3639" s="73"/>
      <c r="HM3639" s="73"/>
      <c r="HN3639" s="73"/>
      <c r="HO3639" s="73"/>
      <c r="HP3639" s="73"/>
      <c r="HQ3639" s="73"/>
      <c r="HR3639" s="73"/>
      <c r="HS3639" s="73"/>
      <c r="HT3639" s="73"/>
      <c r="HU3639" s="73"/>
      <c r="HV3639" s="73"/>
      <c r="HW3639" s="73"/>
      <c r="HX3639" s="73"/>
      <c r="HY3639" s="73"/>
      <c r="HZ3639" s="73"/>
      <c r="IA3639" s="73"/>
      <c r="IB3639" s="73"/>
      <c r="IC3639" s="73"/>
      <c r="ID3639" s="73"/>
      <c r="IE3639" s="73"/>
      <c r="IF3639" s="73"/>
      <c r="IG3639" s="73"/>
      <c r="IH3639" s="73"/>
      <c r="II3639" s="73"/>
      <c r="IJ3639" s="73"/>
      <c r="IK3639" s="73"/>
      <c r="IL3639" s="73"/>
      <c r="IM3639" s="73"/>
      <c r="IN3639" s="73"/>
      <c r="IO3639" s="73"/>
      <c r="IP3639" s="73"/>
      <c r="IQ3639" s="73"/>
      <c r="IR3639" s="73"/>
      <c r="IS3639" s="73"/>
      <c r="IT3639" s="73"/>
      <c r="IU3639" s="73"/>
      <c r="IV3639" s="73"/>
      <c r="IW3639" s="73"/>
      <c r="IX3639" s="73"/>
      <c r="IY3639" s="73"/>
      <c r="IZ3639" s="73"/>
      <c r="JA3639" s="73"/>
      <c r="JB3639" s="73"/>
      <c r="JC3639" s="73"/>
    </row>
    <row r="3640" spans="2:263" s="72" customFormat="1">
      <c r="B3640" s="73"/>
      <c r="C3640" s="73"/>
      <c r="D3640" s="73"/>
      <c r="E3640" s="73"/>
      <c r="F3640" s="73"/>
      <c r="G3640" s="73"/>
      <c r="H3640" s="73"/>
      <c r="I3640" s="73"/>
      <c r="J3640" s="73"/>
      <c r="K3640" s="73"/>
      <c r="L3640" s="73"/>
      <c r="M3640" s="73"/>
      <c r="N3640" s="73"/>
      <c r="O3640" s="73"/>
      <c r="P3640" s="73"/>
      <c r="Q3640" s="73"/>
      <c r="R3640" s="73"/>
      <c r="S3640" s="73"/>
      <c r="T3640" s="73"/>
      <c r="U3640" s="73"/>
      <c r="V3640" s="73"/>
      <c r="W3640" s="73"/>
      <c r="GL3640" s="73"/>
      <c r="GM3640" s="73"/>
      <c r="GN3640" s="73"/>
      <c r="GO3640" s="73"/>
      <c r="GP3640" s="73"/>
      <c r="GQ3640" s="73"/>
      <c r="GR3640" s="73"/>
      <c r="GS3640" s="73"/>
      <c r="GT3640" s="73"/>
      <c r="GU3640" s="73"/>
      <c r="GV3640" s="73"/>
      <c r="GW3640" s="73"/>
      <c r="GX3640" s="73"/>
      <c r="GY3640" s="73"/>
      <c r="GZ3640" s="73"/>
      <c r="HA3640" s="73"/>
      <c r="HB3640" s="73"/>
      <c r="HC3640" s="73"/>
      <c r="HD3640" s="73"/>
      <c r="HE3640" s="73"/>
      <c r="HF3640" s="73"/>
      <c r="HG3640" s="73"/>
      <c r="HH3640" s="73"/>
      <c r="HI3640" s="73"/>
      <c r="HJ3640" s="73"/>
      <c r="HK3640" s="73"/>
      <c r="HL3640" s="73"/>
      <c r="HM3640" s="73"/>
      <c r="HN3640" s="73"/>
      <c r="HO3640" s="73"/>
      <c r="HP3640" s="73"/>
      <c r="HQ3640" s="73"/>
      <c r="HR3640" s="73"/>
      <c r="HS3640" s="73"/>
      <c r="HT3640" s="73"/>
      <c r="HU3640" s="73"/>
      <c r="HV3640" s="73"/>
      <c r="HW3640" s="73"/>
      <c r="HX3640" s="73"/>
      <c r="HY3640" s="73"/>
      <c r="HZ3640" s="73"/>
      <c r="IA3640" s="73"/>
      <c r="IB3640" s="73"/>
      <c r="IC3640" s="73"/>
      <c r="ID3640" s="73"/>
      <c r="IE3640" s="73"/>
      <c r="IF3640" s="73"/>
      <c r="IG3640" s="73"/>
      <c r="IH3640" s="73"/>
      <c r="II3640" s="73"/>
      <c r="IJ3640" s="73"/>
      <c r="IK3640" s="73"/>
      <c r="IL3640" s="73"/>
      <c r="IM3640" s="73"/>
      <c r="IN3640" s="73"/>
      <c r="IO3640" s="73"/>
      <c r="IP3640" s="73"/>
      <c r="IQ3640" s="73"/>
      <c r="IR3640" s="73"/>
      <c r="IS3640" s="73"/>
      <c r="IT3640" s="73"/>
      <c r="IU3640" s="73"/>
      <c r="IV3640" s="73"/>
      <c r="IW3640" s="73"/>
      <c r="IX3640" s="73"/>
      <c r="IY3640" s="73"/>
      <c r="IZ3640" s="73"/>
      <c r="JA3640" s="73"/>
      <c r="JB3640" s="73"/>
      <c r="JC3640" s="73"/>
    </row>
    <row r="3641" spans="2:263" s="72" customFormat="1">
      <c r="B3641" s="73"/>
      <c r="C3641" s="73"/>
      <c r="D3641" s="73"/>
      <c r="E3641" s="73"/>
      <c r="F3641" s="73"/>
      <c r="G3641" s="73"/>
      <c r="H3641" s="73"/>
      <c r="I3641" s="73"/>
      <c r="J3641" s="73"/>
      <c r="K3641" s="73"/>
      <c r="L3641" s="73"/>
      <c r="M3641" s="73"/>
      <c r="N3641" s="73"/>
      <c r="O3641" s="73"/>
      <c r="P3641" s="73"/>
      <c r="Q3641" s="73"/>
      <c r="R3641" s="73"/>
      <c r="S3641" s="73"/>
      <c r="T3641" s="73"/>
      <c r="U3641" s="73"/>
      <c r="V3641" s="73"/>
      <c r="W3641" s="73"/>
      <c r="GL3641" s="73"/>
      <c r="GM3641" s="73"/>
      <c r="GN3641" s="73"/>
      <c r="GO3641" s="73"/>
      <c r="GP3641" s="73"/>
      <c r="GQ3641" s="73"/>
      <c r="GR3641" s="73"/>
      <c r="GS3641" s="73"/>
      <c r="GT3641" s="73"/>
      <c r="GU3641" s="73"/>
      <c r="GV3641" s="73"/>
      <c r="GW3641" s="73"/>
      <c r="GX3641" s="73"/>
      <c r="GY3641" s="73"/>
      <c r="GZ3641" s="73"/>
      <c r="HA3641" s="73"/>
      <c r="HB3641" s="73"/>
      <c r="HC3641" s="73"/>
      <c r="HD3641" s="73"/>
      <c r="HE3641" s="73"/>
      <c r="HF3641" s="73"/>
      <c r="HG3641" s="73"/>
      <c r="HH3641" s="73"/>
      <c r="HI3641" s="73"/>
      <c r="HJ3641" s="73"/>
      <c r="HK3641" s="73"/>
      <c r="HL3641" s="73"/>
      <c r="HM3641" s="73"/>
      <c r="HN3641" s="73"/>
      <c r="HO3641" s="73"/>
      <c r="HP3641" s="73"/>
      <c r="HQ3641" s="73"/>
      <c r="HR3641" s="73"/>
      <c r="HS3641" s="73"/>
      <c r="HT3641" s="73"/>
      <c r="HU3641" s="73"/>
      <c r="HV3641" s="73"/>
      <c r="HW3641" s="73"/>
      <c r="HX3641" s="73"/>
      <c r="HY3641" s="73"/>
      <c r="HZ3641" s="73"/>
      <c r="IA3641" s="73"/>
      <c r="IB3641" s="73"/>
      <c r="IC3641" s="73"/>
      <c r="ID3641" s="73"/>
      <c r="IE3641" s="73"/>
      <c r="IF3641" s="73"/>
      <c r="IG3641" s="73"/>
      <c r="IH3641" s="73"/>
      <c r="II3641" s="73"/>
      <c r="IJ3641" s="73"/>
      <c r="IK3641" s="73"/>
      <c r="IL3641" s="73"/>
      <c r="IM3641" s="73"/>
      <c r="IN3641" s="73"/>
      <c r="IO3641" s="73"/>
      <c r="IP3641" s="73"/>
      <c r="IQ3641" s="73"/>
      <c r="IR3641" s="73"/>
      <c r="IS3641" s="73"/>
      <c r="IT3641" s="73"/>
      <c r="IU3641" s="73"/>
      <c r="IV3641" s="73"/>
      <c r="IW3641" s="73"/>
      <c r="IX3641" s="73"/>
      <c r="IY3641" s="73"/>
      <c r="IZ3641" s="73"/>
      <c r="JA3641" s="73"/>
      <c r="JB3641" s="73"/>
      <c r="JC3641" s="73"/>
    </row>
    <row r="3642" spans="2:263" s="72" customFormat="1">
      <c r="B3642" s="73"/>
      <c r="C3642" s="73"/>
      <c r="D3642" s="73"/>
      <c r="E3642" s="73"/>
      <c r="F3642" s="73"/>
      <c r="G3642" s="73"/>
      <c r="H3642" s="73"/>
      <c r="I3642" s="73"/>
      <c r="J3642" s="73"/>
      <c r="K3642" s="73"/>
      <c r="L3642" s="73"/>
      <c r="M3642" s="73"/>
      <c r="N3642" s="73"/>
      <c r="O3642" s="73"/>
      <c r="P3642" s="73"/>
      <c r="Q3642" s="73"/>
      <c r="R3642" s="73"/>
      <c r="S3642" s="73"/>
      <c r="T3642" s="73"/>
      <c r="U3642" s="73"/>
      <c r="V3642" s="73"/>
      <c r="W3642" s="73"/>
      <c r="GL3642" s="73"/>
      <c r="GM3642" s="73"/>
      <c r="GN3642" s="73"/>
      <c r="GO3642" s="73"/>
      <c r="GP3642" s="73"/>
      <c r="GQ3642" s="73"/>
      <c r="GR3642" s="73"/>
      <c r="GS3642" s="73"/>
      <c r="GT3642" s="73"/>
      <c r="GU3642" s="73"/>
      <c r="GV3642" s="73"/>
      <c r="GW3642" s="73"/>
      <c r="GX3642" s="73"/>
      <c r="GY3642" s="73"/>
      <c r="GZ3642" s="73"/>
      <c r="HA3642" s="73"/>
      <c r="HB3642" s="73"/>
      <c r="HC3642" s="73"/>
      <c r="HD3642" s="73"/>
      <c r="HE3642" s="73"/>
      <c r="HF3642" s="73"/>
      <c r="HG3642" s="73"/>
      <c r="HH3642" s="73"/>
      <c r="HI3642" s="73"/>
      <c r="HJ3642" s="73"/>
      <c r="HK3642" s="73"/>
      <c r="HL3642" s="73"/>
      <c r="HM3642" s="73"/>
      <c r="HN3642" s="73"/>
      <c r="HO3642" s="73"/>
      <c r="HP3642" s="73"/>
      <c r="HQ3642" s="73"/>
      <c r="HR3642" s="73"/>
      <c r="HS3642" s="73"/>
      <c r="HT3642" s="73"/>
      <c r="HU3642" s="73"/>
      <c r="HV3642" s="73"/>
      <c r="HW3642" s="73"/>
      <c r="HX3642" s="73"/>
      <c r="HY3642" s="73"/>
      <c r="HZ3642" s="73"/>
      <c r="IA3642" s="73"/>
      <c r="IB3642" s="73"/>
      <c r="IC3642" s="73"/>
      <c r="ID3642" s="73"/>
      <c r="IE3642" s="73"/>
      <c r="IF3642" s="73"/>
      <c r="IG3642" s="73"/>
      <c r="IH3642" s="73"/>
      <c r="II3642" s="73"/>
      <c r="IJ3642" s="73"/>
      <c r="IK3642" s="73"/>
      <c r="IL3642" s="73"/>
      <c r="IM3642" s="73"/>
      <c r="IN3642" s="73"/>
      <c r="IO3642" s="73"/>
      <c r="IP3642" s="73"/>
      <c r="IQ3642" s="73"/>
      <c r="IR3642" s="73"/>
      <c r="IS3642" s="73"/>
      <c r="IT3642" s="73"/>
      <c r="IU3642" s="73"/>
      <c r="IV3642" s="73"/>
      <c r="IW3642" s="73"/>
      <c r="IX3642" s="73"/>
      <c r="IY3642" s="73"/>
      <c r="IZ3642" s="73"/>
      <c r="JA3642" s="73"/>
      <c r="JB3642" s="73"/>
      <c r="JC3642" s="73"/>
    </row>
    <row r="3643" spans="2:263" s="72" customFormat="1">
      <c r="B3643" s="73"/>
      <c r="C3643" s="73"/>
      <c r="D3643" s="73"/>
      <c r="E3643" s="73"/>
      <c r="F3643" s="73"/>
      <c r="G3643" s="73"/>
      <c r="H3643" s="73"/>
      <c r="I3643" s="73"/>
      <c r="J3643" s="73"/>
      <c r="K3643" s="73"/>
      <c r="L3643" s="73"/>
      <c r="M3643" s="73"/>
      <c r="N3643" s="73"/>
      <c r="O3643" s="73"/>
      <c r="P3643" s="73"/>
      <c r="Q3643" s="73"/>
      <c r="R3643" s="73"/>
      <c r="S3643" s="73"/>
      <c r="T3643" s="73"/>
      <c r="U3643" s="73"/>
      <c r="V3643" s="73"/>
      <c r="W3643" s="73"/>
      <c r="GL3643" s="73"/>
      <c r="GM3643" s="73"/>
      <c r="GN3643" s="73"/>
      <c r="GO3643" s="73"/>
      <c r="GP3643" s="73"/>
      <c r="GQ3643" s="73"/>
      <c r="GR3643" s="73"/>
      <c r="GS3643" s="73"/>
      <c r="GT3643" s="73"/>
      <c r="GU3643" s="73"/>
      <c r="GV3643" s="73"/>
      <c r="GW3643" s="73"/>
      <c r="GX3643" s="73"/>
      <c r="GY3643" s="73"/>
      <c r="GZ3643" s="73"/>
      <c r="HA3643" s="73"/>
      <c r="HB3643" s="73"/>
      <c r="HC3643" s="73"/>
      <c r="HD3643" s="73"/>
      <c r="HE3643" s="73"/>
      <c r="HF3643" s="73"/>
      <c r="HG3643" s="73"/>
      <c r="HH3643" s="73"/>
      <c r="HI3643" s="73"/>
      <c r="HJ3643" s="73"/>
      <c r="HK3643" s="73"/>
      <c r="HL3643" s="73"/>
      <c r="HM3643" s="73"/>
      <c r="HN3643" s="73"/>
      <c r="HO3643" s="73"/>
      <c r="HP3643" s="73"/>
      <c r="HQ3643" s="73"/>
      <c r="HR3643" s="73"/>
      <c r="HS3643" s="73"/>
      <c r="HT3643" s="73"/>
      <c r="HU3643" s="73"/>
      <c r="HV3643" s="73"/>
      <c r="HW3643" s="73"/>
      <c r="HX3643" s="73"/>
      <c r="HY3643" s="73"/>
      <c r="HZ3643" s="73"/>
      <c r="IA3643" s="73"/>
      <c r="IB3643" s="73"/>
      <c r="IC3643" s="73"/>
      <c r="ID3643" s="73"/>
      <c r="IE3643" s="73"/>
      <c r="IF3643" s="73"/>
      <c r="IG3643" s="73"/>
      <c r="IH3643" s="73"/>
      <c r="II3643" s="73"/>
      <c r="IJ3643" s="73"/>
      <c r="IK3643" s="73"/>
      <c r="IL3643" s="73"/>
      <c r="IM3643" s="73"/>
      <c r="IN3643" s="73"/>
      <c r="IO3643" s="73"/>
      <c r="IP3643" s="73"/>
      <c r="IQ3643" s="73"/>
      <c r="IR3643" s="73"/>
      <c r="IS3643" s="73"/>
      <c r="IT3643" s="73"/>
      <c r="IU3643" s="73"/>
      <c r="IV3643" s="73"/>
      <c r="IW3643" s="73"/>
      <c r="IX3643" s="73"/>
      <c r="IY3643" s="73"/>
      <c r="IZ3643" s="73"/>
      <c r="JA3643" s="73"/>
      <c r="JB3643" s="73"/>
      <c r="JC3643" s="73"/>
    </row>
    <row r="3644" spans="2:263" s="72" customFormat="1">
      <c r="B3644" s="73"/>
      <c r="C3644" s="73"/>
      <c r="D3644" s="73"/>
      <c r="E3644" s="73"/>
      <c r="F3644" s="73"/>
      <c r="G3644" s="73"/>
      <c r="H3644" s="73"/>
      <c r="I3644" s="73"/>
      <c r="J3644" s="73"/>
      <c r="K3644" s="73"/>
      <c r="L3644" s="73"/>
      <c r="M3644" s="73"/>
      <c r="N3644" s="73"/>
      <c r="O3644" s="73"/>
      <c r="P3644" s="73"/>
      <c r="Q3644" s="73"/>
      <c r="R3644" s="73"/>
      <c r="S3644" s="73"/>
      <c r="T3644" s="73"/>
      <c r="U3644" s="73"/>
      <c r="V3644" s="73"/>
      <c r="W3644" s="73"/>
      <c r="GL3644" s="73"/>
      <c r="GM3644" s="73"/>
      <c r="GN3644" s="73"/>
      <c r="GO3644" s="73"/>
      <c r="GP3644" s="73"/>
      <c r="GQ3644" s="73"/>
      <c r="GR3644" s="73"/>
      <c r="GS3644" s="73"/>
      <c r="GT3644" s="73"/>
      <c r="GU3644" s="73"/>
      <c r="GV3644" s="73"/>
      <c r="GW3644" s="73"/>
      <c r="GX3644" s="73"/>
      <c r="GY3644" s="73"/>
      <c r="GZ3644" s="73"/>
      <c r="HA3644" s="73"/>
      <c r="HB3644" s="73"/>
      <c r="HC3644" s="73"/>
      <c r="HD3644" s="73"/>
      <c r="HE3644" s="73"/>
      <c r="HF3644" s="73"/>
      <c r="HG3644" s="73"/>
      <c r="HH3644" s="73"/>
      <c r="HI3644" s="73"/>
      <c r="HJ3644" s="73"/>
      <c r="HK3644" s="73"/>
      <c r="HL3644" s="73"/>
      <c r="HM3644" s="73"/>
      <c r="HN3644" s="73"/>
      <c r="HO3644" s="73"/>
      <c r="HP3644" s="73"/>
      <c r="HQ3644" s="73"/>
      <c r="HR3644" s="73"/>
      <c r="HS3644" s="73"/>
      <c r="HT3644" s="73"/>
      <c r="HU3644" s="73"/>
      <c r="HV3644" s="73"/>
      <c r="HW3644" s="73"/>
      <c r="HX3644" s="73"/>
      <c r="HY3644" s="73"/>
      <c r="HZ3644" s="73"/>
      <c r="IA3644" s="73"/>
      <c r="IB3644" s="73"/>
      <c r="IC3644" s="73"/>
      <c r="ID3644" s="73"/>
      <c r="IE3644" s="73"/>
      <c r="IF3644" s="73"/>
      <c r="IG3644" s="73"/>
      <c r="IH3644" s="73"/>
      <c r="II3644" s="73"/>
      <c r="IJ3644" s="73"/>
      <c r="IK3644" s="73"/>
      <c r="IL3644" s="73"/>
      <c r="IM3644" s="73"/>
      <c r="IN3644" s="73"/>
      <c r="IO3644" s="73"/>
      <c r="IP3644" s="73"/>
      <c r="IQ3644" s="73"/>
      <c r="IR3644" s="73"/>
      <c r="IS3644" s="73"/>
      <c r="IT3644" s="73"/>
      <c r="IU3644" s="73"/>
      <c r="IV3644" s="73"/>
      <c r="IW3644" s="73"/>
      <c r="IX3644" s="73"/>
      <c r="IY3644" s="73"/>
      <c r="IZ3644" s="73"/>
      <c r="JA3644" s="73"/>
      <c r="JB3644" s="73"/>
      <c r="JC3644" s="73"/>
    </row>
    <row r="3645" spans="2:263" s="72" customFormat="1">
      <c r="B3645" s="73"/>
      <c r="C3645" s="73"/>
      <c r="D3645" s="73"/>
      <c r="E3645" s="73"/>
      <c r="F3645" s="73"/>
      <c r="G3645" s="73"/>
      <c r="H3645" s="73"/>
      <c r="I3645" s="73"/>
      <c r="J3645" s="73"/>
      <c r="K3645" s="73"/>
      <c r="L3645" s="73"/>
      <c r="M3645" s="73"/>
      <c r="N3645" s="73"/>
      <c r="O3645" s="73"/>
      <c r="P3645" s="73"/>
      <c r="Q3645" s="73"/>
      <c r="R3645" s="73"/>
      <c r="S3645" s="73"/>
      <c r="T3645" s="73"/>
      <c r="U3645" s="73"/>
      <c r="V3645" s="73"/>
      <c r="W3645" s="73"/>
      <c r="GL3645" s="73"/>
      <c r="GM3645" s="73"/>
      <c r="GN3645" s="73"/>
      <c r="GO3645" s="73"/>
      <c r="GP3645" s="73"/>
      <c r="GQ3645" s="73"/>
      <c r="GR3645" s="73"/>
      <c r="GS3645" s="73"/>
      <c r="GT3645" s="73"/>
      <c r="GU3645" s="73"/>
      <c r="GV3645" s="73"/>
      <c r="GW3645" s="73"/>
      <c r="GX3645" s="73"/>
      <c r="GY3645" s="73"/>
      <c r="GZ3645" s="73"/>
      <c r="HA3645" s="73"/>
      <c r="HB3645" s="73"/>
      <c r="HC3645" s="73"/>
      <c r="HD3645" s="73"/>
      <c r="HE3645" s="73"/>
      <c r="HF3645" s="73"/>
      <c r="HG3645" s="73"/>
      <c r="HH3645" s="73"/>
      <c r="HI3645" s="73"/>
      <c r="HJ3645" s="73"/>
      <c r="HK3645" s="73"/>
      <c r="HL3645" s="73"/>
      <c r="HM3645" s="73"/>
      <c r="HN3645" s="73"/>
      <c r="HO3645" s="73"/>
      <c r="HP3645" s="73"/>
      <c r="HQ3645" s="73"/>
      <c r="HR3645" s="73"/>
      <c r="HS3645" s="73"/>
      <c r="HT3645" s="73"/>
      <c r="HU3645" s="73"/>
      <c r="HV3645" s="73"/>
      <c r="HW3645" s="73"/>
      <c r="HX3645" s="73"/>
      <c r="HY3645" s="73"/>
      <c r="HZ3645" s="73"/>
      <c r="IA3645" s="73"/>
      <c r="IB3645" s="73"/>
      <c r="IC3645" s="73"/>
      <c r="ID3645" s="73"/>
      <c r="IE3645" s="73"/>
      <c r="IF3645" s="73"/>
      <c r="IG3645" s="73"/>
      <c r="IH3645" s="73"/>
      <c r="II3645" s="73"/>
      <c r="IJ3645" s="73"/>
      <c r="IK3645" s="73"/>
      <c r="IL3645" s="73"/>
      <c r="IM3645" s="73"/>
      <c r="IN3645" s="73"/>
      <c r="IO3645" s="73"/>
      <c r="IP3645" s="73"/>
      <c r="IQ3645" s="73"/>
      <c r="IR3645" s="73"/>
      <c r="IS3645" s="73"/>
      <c r="IT3645" s="73"/>
      <c r="IU3645" s="73"/>
      <c r="IV3645" s="73"/>
      <c r="IW3645" s="73"/>
      <c r="IX3645" s="73"/>
      <c r="IY3645" s="73"/>
      <c r="IZ3645" s="73"/>
      <c r="JA3645" s="73"/>
      <c r="JB3645" s="73"/>
      <c r="JC3645" s="73"/>
    </row>
    <row r="3646" spans="2:263" s="72" customFormat="1">
      <c r="B3646" s="73"/>
      <c r="C3646" s="73"/>
      <c r="D3646" s="73"/>
      <c r="E3646" s="73"/>
      <c r="F3646" s="73"/>
      <c r="G3646" s="73"/>
      <c r="H3646" s="73"/>
      <c r="I3646" s="73"/>
      <c r="J3646" s="73"/>
      <c r="K3646" s="73"/>
      <c r="L3646" s="73"/>
      <c r="M3646" s="73"/>
      <c r="N3646" s="73"/>
      <c r="O3646" s="73"/>
      <c r="P3646" s="73"/>
      <c r="Q3646" s="73"/>
      <c r="R3646" s="73"/>
      <c r="S3646" s="73"/>
      <c r="T3646" s="73"/>
      <c r="U3646" s="73"/>
      <c r="V3646" s="73"/>
      <c r="W3646" s="73"/>
      <c r="GL3646" s="73"/>
      <c r="GM3646" s="73"/>
      <c r="GN3646" s="73"/>
      <c r="GO3646" s="73"/>
      <c r="GP3646" s="73"/>
      <c r="GQ3646" s="73"/>
      <c r="GR3646" s="73"/>
      <c r="GS3646" s="73"/>
      <c r="GT3646" s="73"/>
      <c r="GU3646" s="73"/>
      <c r="GV3646" s="73"/>
      <c r="GW3646" s="73"/>
      <c r="GX3646" s="73"/>
      <c r="GY3646" s="73"/>
      <c r="GZ3646" s="73"/>
      <c r="HA3646" s="73"/>
      <c r="HB3646" s="73"/>
      <c r="HC3646" s="73"/>
      <c r="HD3646" s="73"/>
      <c r="HE3646" s="73"/>
      <c r="HF3646" s="73"/>
      <c r="HG3646" s="73"/>
      <c r="HH3646" s="73"/>
      <c r="HI3646" s="73"/>
      <c r="HJ3646" s="73"/>
      <c r="HK3646" s="73"/>
      <c r="HL3646" s="73"/>
      <c r="HM3646" s="73"/>
      <c r="HN3646" s="73"/>
      <c r="HO3646" s="73"/>
      <c r="HP3646" s="73"/>
      <c r="HQ3646" s="73"/>
      <c r="HR3646" s="73"/>
      <c r="HS3646" s="73"/>
      <c r="HT3646" s="73"/>
      <c r="HU3646" s="73"/>
      <c r="HV3646" s="73"/>
      <c r="HW3646" s="73"/>
      <c r="HX3646" s="73"/>
      <c r="HY3646" s="73"/>
      <c r="HZ3646" s="73"/>
      <c r="IA3646" s="73"/>
      <c r="IB3646" s="73"/>
      <c r="IC3646" s="73"/>
      <c r="ID3646" s="73"/>
      <c r="IE3646" s="73"/>
      <c r="IF3646" s="73"/>
      <c r="IG3646" s="73"/>
      <c r="IH3646" s="73"/>
      <c r="II3646" s="73"/>
      <c r="IJ3646" s="73"/>
      <c r="IK3646" s="73"/>
      <c r="IL3646" s="73"/>
      <c r="IM3646" s="73"/>
      <c r="IN3646" s="73"/>
      <c r="IO3646" s="73"/>
      <c r="IP3646" s="73"/>
      <c r="IQ3646" s="73"/>
      <c r="IR3646" s="73"/>
      <c r="IS3646" s="73"/>
      <c r="IT3646" s="73"/>
      <c r="IU3646" s="73"/>
      <c r="IV3646" s="73"/>
      <c r="IW3646" s="73"/>
      <c r="IX3646" s="73"/>
      <c r="IY3646" s="73"/>
      <c r="IZ3646" s="73"/>
      <c r="JA3646" s="73"/>
      <c r="JB3646" s="73"/>
      <c r="JC3646" s="73"/>
    </row>
    <row r="3647" spans="2:263" s="72" customFormat="1">
      <c r="B3647" s="73"/>
      <c r="C3647" s="73"/>
      <c r="D3647" s="73"/>
      <c r="E3647" s="73"/>
      <c r="F3647" s="73"/>
      <c r="G3647" s="73"/>
      <c r="H3647" s="73"/>
      <c r="I3647" s="73"/>
      <c r="J3647" s="73"/>
      <c r="K3647" s="73"/>
      <c r="L3647" s="73"/>
      <c r="M3647" s="73"/>
      <c r="N3647" s="73"/>
      <c r="O3647" s="73"/>
      <c r="P3647" s="73"/>
      <c r="Q3647" s="73"/>
      <c r="R3647" s="73"/>
      <c r="S3647" s="73"/>
      <c r="T3647" s="73"/>
      <c r="U3647" s="73"/>
      <c r="V3647" s="73"/>
      <c r="W3647" s="73"/>
      <c r="GL3647" s="73"/>
      <c r="GM3647" s="73"/>
      <c r="GN3647" s="73"/>
      <c r="GO3647" s="73"/>
      <c r="GP3647" s="73"/>
      <c r="GQ3647" s="73"/>
      <c r="GR3647" s="73"/>
      <c r="GS3647" s="73"/>
      <c r="GT3647" s="73"/>
      <c r="GU3647" s="73"/>
      <c r="GV3647" s="73"/>
      <c r="GW3647" s="73"/>
      <c r="GX3647" s="73"/>
      <c r="GY3647" s="73"/>
      <c r="GZ3647" s="73"/>
      <c r="HA3647" s="73"/>
      <c r="HB3647" s="73"/>
      <c r="HC3647" s="73"/>
      <c r="HD3647" s="73"/>
      <c r="HE3647" s="73"/>
      <c r="HF3647" s="73"/>
      <c r="HG3647" s="73"/>
      <c r="HH3647" s="73"/>
      <c r="HI3647" s="73"/>
      <c r="HJ3647" s="73"/>
      <c r="HK3647" s="73"/>
      <c r="HL3647" s="73"/>
      <c r="HM3647" s="73"/>
      <c r="HN3647" s="73"/>
      <c r="HO3647" s="73"/>
      <c r="HP3647" s="73"/>
      <c r="HQ3647" s="73"/>
      <c r="HR3647" s="73"/>
      <c r="HS3647" s="73"/>
      <c r="HT3647" s="73"/>
      <c r="HU3647" s="73"/>
      <c r="HV3647" s="73"/>
      <c r="HW3647" s="73"/>
      <c r="HX3647" s="73"/>
      <c r="HY3647" s="73"/>
      <c r="HZ3647" s="73"/>
      <c r="IA3647" s="73"/>
      <c r="IB3647" s="73"/>
      <c r="IC3647" s="73"/>
      <c r="ID3647" s="73"/>
      <c r="IE3647" s="73"/>
      <c r="IF3647" s="73"/>
      <c r="IG3647" s="73"/>
      <c r="IH3647" s="73"/>
      <c r="II3647" s="73"/>
      <c r="IJ3647" s="73"/>
      <c r="IK3647" s="73"/>
      <c r="IL3647" s="73"/>
      <c r="IM3647" s="73"/>
      <c r="IN3647" s="73"/>
      <c r="IO3647" s="73"/>
      <c r="IP3647" s="73"/>
      <c r="IQ3647" s="73"/>
      <c r="IR3647" s="73"/>
      <c r="IS3647" s="73"/>
      <c r="IT3647" s="73"/>
      <c r="IU3647" s="73"/>
      <c r="IV3647" s="73"/>
      <c r="IW3647" s="73"/>
      <c r="IX3647" s="73"/>
      <c r="IY3647" s="73"/>
      <c r="IZ3647" s="73"/>
      <c r="JA3647" s="73"/>
      <c r="JB3647" s="73"/>
      <c r="JC3647" s="73"/>
    </row>
    <row r="3648" spans="2:263" s="72" customFormat="1">
      <c r="B3648" s="73"/>
      <c r="C3648" s="73"/>
      <c r="D3648" s="73"/>
      <c r="E3648" s="73"/>
      <c r="F3648" s="73"/>
      <c r="G3648" s="73"/>
      <c r="H3648" s="73"/>
      <c r="I3648" s="73"/>
      <c r="J3648" s="73"/>
      <c r="K3648" s="73"/>
      <c r="L3648" s="73"/>
      <c r="M3648" s="73"/>
      <c r="N3648" s="73"/>
      <c r="O3648" s="73"/>
      <c r="P3648" s="73"/>
      <c r="Q3648" s="73"/>
      <c r="R3648" s="73"/>
      <c r="S3648" s="73"/>
      <c r="T3648" s="73"/>
      <c r="U3648" s="73"/>
      <c r="V3648" s="73"/>
      <c r="W3648" s="73"/>
      <c r="GL3648" s="73"/>
      <c r="GM3648" s="73"/>
      <c r="GN3648" s="73"/>
      <c r="GO3648" s="73"/>
      <c r="GP3648" s="73"/>
      <c r="GQ3648" s="73"/>
      <c r="GR3648" s="73"/>
      <c r="GS3648" s="73"/>
      <c r="GT3648" s="73"/>
      <c r="GU3648" s="73"/>
      <c r="GV3648" s="73"/>
      <c r="GW3648" s="73"/>
      <c r="GX3648" s="73"/>
      <c r="GY3648" s="73"/>
      <c r="GZ3648" s="73"/>
      <c r="HA3648" s="73"/>
      <c r="HB3648" s="73"/>
      <c r="HC3648" s="73"/>
      <c r="HD3648" s="73"/>
      <c r="HE3648" s="73"/>
      <c r="HF3648" s="73"/>
      <c r="HG3648" s="73"/>
      <c r="HH3648" s="73"/>
      <c r="HI3648" s="73"/>
      <c r="HJ3648" s="73"/>
      <c r="HK3648" s="73"/>
      <c r="HL3648" s="73"/>
      <c r="HM3648" s="73"/>
      <c r="HN3648" s="73"/>
      <c r="HO3648" s="73"/>
      <c r="HP3648" s="73"/>
      <c r="HQ3648" s="73"/>
      <c r="HR3648" s="73"/>
      <c r="HS3648" s="73"/>
      <c r="HT3648" s="73"/>
      <c r="HU3648" s="73"/>
      <c r="HV3648" s="73"/>
      <c r="HW3648" s="73"/>
      <c r="HX3648" s="73"/>
      <c r="HY3648" s="73"/>
      <c r="HZ3648" s="73"/>
      <c r="IA3648" s="73"/>
      <c r="IB3648" s="73"/>
      <c r="IC3648" s="73"/>
      <c r="ID3648" s="73"/>
      <c r="IE3648" s="73"/>
      <c r="IF3648" s="73"/>
      <c r="IG3648" s="73"/>
      <c r="IH3648" s="73"/>
      <c r="II3648" s="73"/>
      <c r="IJ3648" s="73"/>
      <c r="IK3648" s="73"/>
      <c r="IL3648" s="73"/>
      <c r="IM3648" s="73"/>
      <c r="IN3648" s="73"/>
      <c r="IO3648" s="73"/>
      <c r="IP3648" s="73"/>
      <c r="IQ3648" s="73"/>
      <c r="IR3648" s="73"/>
      <c r="IS3648" s="73"/>
      <c r="IT3648" s="73"/>
      <c r="IU3648" s="73"/>
      <c r="IV3648" s="73"/>
      <c r="IW3648" s="73"/>
      <c r="IX3648" s="73"/>
      <c r="IY3648" s="73"/>
      <c r="IZ3648" s="73"/>
      <c r="JA3648" s="73"/>
      <c r="JB3648" s="73"/>
      <c r="JC3648" s="73"/>
    </row>
    <row r="3649" spans="2:263" s="72" customFormat="1">
      <c r="B3649" s="73"/>
      <c r="C3649" s="73"/>
      <c r="D3649" s="73"/>
      <c r="E3649" s="73"/>
      <c r="F3649" s="73"/>
      <c r="G3649" s="73"/>
      <c r="H3649" s="73"/>
      <c r="I3649" s="73"/>
      <c r="J3649" s="73"/>
      <c r="K3649" s="73"/>
      <c r="L3649" s="73"/>
      <c r="M3649" s="73"/>
      <c r="N3649" s="73"/>
      <c r="O3649" s="73"/>
      <c r="P3649" s="73"/>
      <c r="Q3649" s="73"/>
      <c r="R3649" s="73"/>
      <c r="S3649" s="73"/>
      <c r="T3649" s="73"/>
      <c r="U3649" s="73"/>
      <c r="V3649" s="73"/>
      <c r="W3649" s="73"/>
      <c r="GL3649" s="73"/>
      <c r="GM3649" s="73"/>
      <c r="GN3649" s="73"/>
      <c r="GO3649" s="73"/>
      <c r="GP3649" s="73"/>
      <c r="GQ3649" s="73"/>
      <c r="GR3649" s="73"/>
      <c r="GS3649" s="73"/>
      <c r="GT3649" s="73"/>
      <c r="GU3649" s="73"/>
      <c r="GV3649" s="73"/>
      <c r="GW3649" s="73"/>
      <c r="GX3649" s="73"/>
      <c r="GY3649" s="73"/>
      <c r="GZ3649" s="73"/>
      <c r="HA3649" s="73"/>
      <c r="HB3649" s="73"/>
      <c r="HC3649" s="73"/>
      <c r="HD3649" s="73"/>
      <c r="HE3649" s="73"/>
      <c r="HF3649" s="73"/>
      <c r="HG3649" s="73"/>
      <c r="HH3649" s="73"/>
      <c r="HI3649" s="73"/>
      <c r="HJ3649" s="73"/>
      <c r="HK3649" s="73"/>
      <c r="HL3649" s="73"/>
      <c r="HM3649" s="73"/>
      <c r="HN3649" s="73"/>
      <c r="HO3649" s="73"/>
      <c r="HP3649" s="73"/>
      <c r="HQ3649" s="73"/>
      <c r="HR3649" s="73"/>
      <c r="HS3649" s="73"/>
      <c r="HT3649" s="73"/>
      <c r="HU3649" s="73"/>
      <c r="HV3649" s="73"/>
      <c r="HW3649" s="73"/>
      <c r="HX3649" s="73"/>
      <c r="HY3649" s="73"/>
      <c r="HZ3649" s="73"/>
      <c r="IA3649" s="73"/>
      <c r="IB3649" s="73"/>
      <c r="IC3649" s="73"/>
      <c r="ID3649" s="73"/>
      <c r="IE3649" s="73"/>
      <c r="IF3649" s="73"/>
      <c r="IG3649" s="73"/>
      <c r="IH3649" s="73"/>
      <c r="II3649" s="73"/>
      <c r="IJ3649" s="73"/>
      <c r="IK3649" s="73"/>
      <c r="IL3649" s="73"/>
      <c r="IM3649" s="73"/>
      <c r="IN3649" s="73"/>
      <c r="IO3649" s="73"/>
      <c r="IP3649" s="73"/>
      <c r="IQ3649" s="73"/>
      <c r="IR3649" s="73"/>
      <c r="IS3649" s="73"/>
      <c r="IT3649" s="73"/>
      <c r="IU3649" s="73"/>
      <c r="IV3649" s="73"/>
      <c r="IW3649" s="73"/>
      <c r="IX3649" s="73"/>
      <c r="IY3649" s="73"/>
      <c r="IZ3649" s="73"/>
      <c r="JA3649" s="73"/>
      <c r="JB3649" s="73"/>
      <c r="JC3649" s="73"/>
    </row>
    <row r="3650" spans="2:263" s="72" customFormat="1">
      <c r="B3650" s="73"/>
      <c r="C3650" s="73"/>
      <c r="D3650" s="73"/>
      <c r="E3650" s="73"/>
      <c r="F3650" s="73"/>
      <c r="G3650" s="73"/>
      <c r="H3650" s="73"/>
      <c r="I3650" s="73"/>
      <c r="J3650" s="73"/>
      <c r="K3650" s="73"/>
      <c r="L3650" s="73"/>
      <c r="M3650" s="73"/>
      <c r="N3650" s="73"/>
      <c r="O3650" s="73"/>
      <c r="P3650" s="73"/>
      <c r="Q3650" s="73"/>
      <c r="R3650" s="73"/>
      <c r="S3650" s="73"/>
      <c r="T3650" s="73"/>
      <c r="U3650" s="73"/>
      <c r="V3650" s="73"/>
      <c r="W3650" s="73"/>
      <c r="GL3650" s="73"/>
      <c r="GM3650" s="73"/>
      <c r="GN3650" s="73"/>
      <c r="GO3650" s="73"/>
      <c r="GP3650" s="73"/>
      <c r="GQ3650" s="73"/>
      <c r="GR3650" s="73"/>
      <c r="GS3650" s="73"/>
      <c r="GT3650" s="73"/>
      <c r="GU3650" s="73"/>
      <c r="GV3650" s="73"/>
      <c r="GW3650" s="73"/>
      <c r="GX3650" s="73"/>
      <c r="GY3650" s="73"/>
      <c r="GZ3650" s="73"/>
      <c r="HA3650" s="73"/>
      <c r="HB3650" s="73"/>
      <c r="HC3650" s="73"/>
      <c r="HD3650" s="73"/>
      <c r="HE3650" s="73"/>
      <c r="HF3650" s="73"/>
      <c r="HG3650" s="73"/>
      <c r="HH3650" s="73"/>
      <c r="HI3650" s="73"/>
      <c r="HJ3650" s="73"/>
      <c r="HK3650" s="73"/>
      <c r="HL3650" s="73"/>
      <c r="HM3650" s="73"/>
      <c r="HN3650" s="73"/>
      <c r="HO3650" s="73"/>
      <c r="HP3650" s="73"/>
      <c r="HQ3650" s="73"/>
      <c r="HR3650" s="73"/>
      <c r="HS3650" s="73"/>
      <c r="HT3650" s="73"/>
      <c r="HU3650" s="73"/>
      <c r="HV3650" s="73"/>
      <c r="HW3650" s="73"/>
      <c r="HX3650" s="73"/>
      <c r="HY3650" s="73"/>
      <c r="HZ3650" s="73"/>
      <c r="IA3650" s="73"/>
      <c r="IB3650" s="73"/>
      <c r="IC3650" s="73"/>
      <c r="ID3650" s="73"/>
      <c r="IE3650" s="73"/>
      <c r="IF3650" s="73"/>
      <c r="IG3650" s="73"/>
      <c r="IH3650" s="73"/>
      <c r="II3650" s="73"/>
      <c r="IJ3650" s="73"/>
      <c r="IK3650" s="73"/>
      <c r="IL3650" s="73"/>
      <c r="IM3650" s="73"/>
      <c r="IN3650" s="73"/>
      <c r="IO3650" s="73"/>
      <c r="IP3650" s="73"/>
      <c r="IQ3650" s="73"/>
      <c r="IR3650" s="73"/>
      <c r="IS3650" s="73"/>
      <c r="IT3650" s="73"/>
      <c r="IU3650" s="73"/>
      <c r="IV3650" s="73"/>
      <c r="IW3650" s="73"/>
      <c r="IX3650" s="73"/>
      <c r="IY3650" s="73"/>
      <c r="IZ3650" s="73"/>
      <c r="JA3650" s="73"/>
      <c r="JB3650" s="73"/>
      <c r="JC3650" s="73"/>
    </row>
    <row r="3651" spans="2:263" s="72" customFormat="1">
      <c r="B3651" s="73"/>
      <c r="C3651" s="73"/>
      <c r="D3651" s="73"/>
      <c r="E3651" s="73"/>
      <c r="F3651" s="73"/>
      <c r="G3651" s="73"/>
      <c r="H3651" s="73"/>
      <c r="I3651" s="73"/>
      <c r="J3651" s="73"/>
      <c r="K3651" s="73"/>
      <c r="L3651" s="73"/>
      <c r="M3651" s="73"/>
      <c r="N3651" s="73"/>
      <c r="O3651" s="73"/>
      <c r="P3651" s="73"/>
      <c r="Q3651" s="73"/>
      <c r="R3651" s="73"/>
      <c r="S3651" s="73"/>
      <c r="T3651" s="73"/>
      <c r="U3651" s="73"/>
      <c r="V3651" s="73"/>
      <c r="W3651" s="73"/>
      <c r="GL3651" s="73"/>
      <c r="GM3651" s="73"/>
      <c r="GN3651" s="73"/>
      <c r="GO3651" s="73"/>
      <c r="GP3651" s="73"/>
      <c r="GQ3651" s="73"/>
      <c r="GR3651" s="73"/>
      <c r="GS3651" s="73"/>
      <c r="GT3651" s="73"/>
      <c r="GU3651" s="73"/>
      <c r="GV3651" s="73"/>
      <c r="GW3651" s="73"/>
      <c r="GX3651" s="73"/>
      <c r="GY3651" s="73"/>
      <c r="GZ3651" s="73"/>
      <c r="HA3651" s="73"/>
      <c r="HB3651" s="73"/>
      <c r="HC3651" s="73"/>
      <c r="HD3651" s="73"/>
      <c r="HE3651" s="73"/>
      <c r="HF3651" s="73"/>
      <c r="HG3651" s="73"/>
      <c r="HH3651" s="73"/>
      <c r="HI3651" s="73"/>
      <c r="HJ3651" s="73"/>
      <c r="HK3651" s="73"/>
      <c r="HL3651" s="73"/>
      <c r="HM3651" s="73"/>
      <c r="HN3651" s="73"/>
      <c r="HO3651" s="73"/>
      <c r="HP3651" s="73"/>
      <c r="HQ3651" s="73"/>
      <c r="HR3651" s="73"/>
      <c r="HS3651" s="73"/>
      <c r="HT3651" s="73"/>
      <c r="HU3651" s="73"/>
      <c r="HV3651" s="73"/>
      <c r="HW3651" s="73"/>
      <c r="HX3651" s="73"/>
      <c r="HY3651" s="73"/>
      <c r="HZ3651" s="73"/>
      <c r="IA3651" s="73"/>
      <c r="IB3651" s="73"/>
      <c r="IC3651" s="73"/>
      <c r="ID3651" s="73"/>
      <c r="IE3651" s="73"/>
      <c r="IF3651" s="73"/>
      <c r="IG3651" s="73"/>
      <c r="IH3651" s="73"/>
      <c r="II3651" s="73"/>
      <c r="IJ3651" s="73"/>
      <c r="IK3651" s="73"/>
      <c r="IL3651" s="73"/>
      <c r="IM3651" s="73"/>
      <c r="IN3651" s="73"/>
      <c r="IO3651" s="73"/>
      <c r="IP3651" s="73"/>
      <c r="IQ3651" s="73"/>
      <c r="IR3651" s="73"/>
      <c r="IS3651" s="73"/>
      <c r="IT3651" s="73"/>
      <c r="IU3651" s="73"/>
      <c r="IV3651" s="73"/>
      <c r="IW3651" s="73"/>
      <c r="IX3651" s="73"/>
      <c r="IY3651" s="73"/>
      <c r="IZ3651" s="73"/>
      <c r="JA3651" s="73"/>
      <c r="JB3651" s="73"/>
      <c r="JC3651" s="73"/>
    </row>
    <row r="3652" spans="2:263" s="72" customFormat="1">
      <c r="B3652" s="73"/>
      <c r="C3652" s="73"/>
      <c r="D3652" s="73"/>
      <c r="E3652" s="73"/>
      <c r="F3652" s="73"/>
      <c r="G3652" s="73"/>
      <c r="H3652" s="73"/>
      <c r="I3652" s="73"/>
      <c r="J3652" s="73"/>
      <c r="K3652" s="73"/>
      <c r="L3652" s="73"/>
      <c r="M3652" s="73"/>
      <c r="N3652" s="73"/>
      <c r="O3652" s="73"/>
      <c r="P3652" s="73"/>
      <c r="Q3652" s="73"/>
      <c r="R3652" s="73"/>
      <c r="S3652" s="73"/>
      <c r="T3652" s="73"/>
      <c r="U3652" s="73"/>
      <c r="V3652" s="73"/>
      <c r="W3652" s="73"/>
      <c r="GL3652" s="73"/>
      <c r="GM3652" s="73"/>
      <c r="GN3652" s="73"/>
      <c r="GO3652" s="73"/>
      <c r="GP3652" s="73"/>
      <c r="GQ3652" s="73"/>
      <c r="GR3652" s="73"/>
      <c r="GS3652" s="73"/>
      <c r="GT3652" s="73"/>
      <c r="GU3652" s="73"/>
      <c r="GV3652" s="73"/>
      <c r="GW3652" s="73"/>
      <c r="GX3652" s="73"/>
      <c r="GY3652" s="73"/>
      <c r="GZ3652" s="73"/>
      <c r="HA3652" s="73"/>
      <c r="HB3652" s="73"/>
      <c r="HC3652" s="73"/>
      <c r="HD3652" s="73"/>
      <c r="HE3652" s="73"/>
      <c r="HF3652" s="73"/>
      <c r="HG3652" s="73"/>
      <c r="HH3652" s="73"/>
      <c r="HI3652" s="73"/>
      <c r="HJ3652" s="73"/>
      <c r="HK3652" s="73"/>
      <c r="HL3652" s="73"/>
      <c r="HM3652" s="73"/>
      <c r="HN3652" s="73"/>
      <c r="HO3652" s="73"/>
      <c r="HP3652" s="73"/>
      <c r="HQ3652" s="73"/>
      <c r="HR3652" s="73"/>
      <c r="HS3652" s="73"/>
      <c r="HT3652" s="73"/>
      <c r="HU3652" s="73"/>
      <c r="HV3652" s="73"/>
      <c r="HW3652" s="73"/>
      <c r="HX3652" s="73"/>
      <c r="HY3652" s="73"/>
      <c r="HZ3652" s="73"/>
      <c r="IA3652" s="73"/>
      <c r="IB3652" s="73"/>
      <c r="IC3652" s="73"/>
      <c r="ID3652" s="73"/>
      <c r="IE3652" s="73"/>
      <c r="IF3652" s="73"/>
      <c r="IG3652" s="73"/>
      <c r="IH3652" s="73"/>
      <c r="II3652" s="73"/>
      <c r="IJ3652" s="73"/>
      <c r="IK3652" s="73"/>
      <c r="IL3652" s="73"/>
      <c r="IM3652" s="73"/>
      <c r="IN3652" s="73"/>
      <c r="IO3652" s="73"/>
      <c r="IP3652" s="73"/>
      <c r="IQ3652" s="73"/>
      <c r="IR3652" s="73"/>
      <c r="IS3652" s="73"/>
      <c r="IT3652" s="73"/>
      <c r="IU3652" s="73"/>
      <c r="IV3652" s="73"/>
      <c r="IW3652" s="73"/>
      <c r="IX3652" s="73"/>
      <c r="IY3652" s="73"/>
      <c r="IZ3652" s="73"/>
      <c r="JA3652" s="73"/>
      <c r="JB3652" s="73"/>
      <c r="JC3652" s="73"/>
    </row>
    <row r="3653" spans="2:263" s="72" customFormat="1">
      <c r="B3653" s="73"/>
      <c r="C3653" s="73"/>
      <c r="D3653" s="73"/>
      <c r="E3653" s="73"/>
      <c r="F3653" s="73"/>
      <c r="G3653" s="73"/>
      <c r="H3653" s="73"/>
      <c r="I3653" s="73"/>
      <c r="J3653" s="73"/>
      <c r="K3653" s="73"/>
      <c r="L3653" s="73"/>
      <c r="M3653" s="73"/>
      <c r="N3653" s="73"/>
      <c r="O3653" s="73"/>
      <c r="P3653" s="73"/>
      <c r="Q3653" s="73"/>
      <c r="R3653" s="73"/>
      <c r="S3653" s="73"/>
      <c r="T3653" s="73"/>
      <c r="U3653" s="73"/>
      <c r="V3653" s="73"/>
      <c r="W3653" s="73"/>
      <c r="GL3653" s="73"/>
      <c r="GM3653" s="73"/>
      <c r="GN3653" s="73"/>
      <c r="GO3653" s="73"/>
      <c r="GP3653" s="73"/>
      <c r="GQ3653" s="73"/>
      <c r="GR3653" s="73"/>
      <c r="GS3653" s="73"/>
      <c r="GT3653" s="73"/>
      <c r="GU3653" s="73"/>
      <c r="GV3653" s="73"/>
      <c r="GW3653" s="73"/>
      <c r="GX3653" s="73"/>
      <c r="GY3653" s="73"/>
      <c r="GZ3653" s="73"/>
      <c r="HA3653" s="73"/>
      <c r="HB3653" s="73"/>
      <c r="HC3653" s="73"/>
      <c r="HD3653" s="73"/>
      <c r="HE3653" s="73"/>
      <c r="HF3653" s="73"/>
      <c r="HG3653" s="73"/>
      <c r="HH3653" s="73"/>
      <c r="HI3653" s="73"/>
      <c r="HJ3653" s="73"/>
      <c r="HK3653" s="73"/>
      <c r="HL3653" s="73"/>
      <c r="HM3653" s="73"/>
      <c r="HN3653" s="73"/>
      <c r="HO3653" s="73"/>
      <c r="HP3653" s="73"/>
      <c r="HQ3653" s="73"/>
      <c r="HR3653" s="73"/>
      <c r="HS3653" s="73"/>
      <c r="HT3653" s="73"/>
      <c r="HU3653" s="73"/>
      <c r="HV3653" s="73"/>
      <c r="HW3653" s="73"/>
      <c r="HX3653" s="73"/>
      <c r="HY3653" s="73"/>
      <c r="HZ3653" s="73"/>
      <c r="IA3653" s="73"/>
      <c r="IB3653" s="73"/>
      <c r="IC3653" s="73"/>
      <c r="ID3653" s="73"/>
      <c r="IE3653" s="73"/>
      <c r="IF3653" s="73"/>
      <c r="IG3653" s="73"/>
      <c r="IH3653" s="73"/>
      <c r="II3653" s="73"/>
      <c r="IJ3653" s="73"/>
      <c r="IK3653" s="73"/>
      <c r="IL3653" s="73"/>
      <c r="IM3653" s="73"/>
      <c r="IN3653" s="73"/>
      <c r="IO3653" s="73"/>
      <c r="IP3653" s="73"/>
      <c r="IQ3653" s="73"/>
      <c r="IR3653" s="73"/>
      <c r="IS3653" s="73"/>
      <c r="IT3653" s="73"/>
      <c r="IU3653" s="73"/>
      <c r="IV3653" s="73"/>
      <c r="IW3653" s="73"/>
      <c r="IX3653" s="73"/>
      <c r="IY3653" s="73"/>
      <c r="IZ3653" s="73"/>
      <c r="JA3653" s="73"/>
      <c r="JB3653" s="73"/>
      <c r="JC3653" s="73"/>
    </row>
    <row r="3654" spans="2:263" s="72" customFormat="1">
      <c r="B3654" s="73"/>
      <c r="C3654" s="73"/>
      <c r="D3654" s="73"/>
      <c r="E3654" s="73"/>
      <c r="F3654" s="73"/>
      <c r="G3654" s="73"/>
      <c r="H3654" s="73"/>
      <c r="I3654" s="73"/>
      <c r="J3654" s="73"/>
      <c r="K3654" s="73"/>
      <c r="L3654" s="73"/>
      <c r="M3654" s="73"/>
      <c r="N3654" s="73"/>
      <c r="O3654" s="73"/>
      <c r="P3654" s="73"/>
      <c r="Q3654" s="73"/>
      <c r="R3654" s="73"/>
      <c r="S3654" s="73"/>
      <c r="T3654" s="73"/>
      <c r="U3654" s="73"/>
      <c r="V3654" s="73"/>
      <c r="W3654" s="73"/>
      <c r="GL3654" s="73"/>
      <c r="GM3654" s="73"/>
      <c r="GN3654" s="73"/>
      <c r="GO3654" s="73"/>
      <c r="GP3654" s="73"/>
      <c r="GQ3654" s="73"/>
      <c r="GR3654" s="73"/>
      <c r="GS3654" s="73"/>
      <c r="GT3654" s="73"/>
      <c r="GU3654" s="73"/>
      <c r="GV3654" s="73"/>
      <c r="GW3654" s="73"/>
      <c r="GX3654" s="73"/>
      <c r="GY3654" s="73"/>
      <c r="GZ3654" s="73"/>
      <c r="HA3654" s="73"/>
      <c r="HB3654" s="73"/>
      <c r="HC3654" s="73"/>
      <c r="HD3654" s="73"/>
      <c r="HE3654" s="73"/>
      <c r="HF3654" s="73"/>
      <c r="HG3654" s="73"/>
      <c r="HH3654" s="73"/>
      <c r="HI3654" s="73"/>
      <c r="HJ3654" s="73"/>
      <c r="HK3654" s="73"/>
      <c r="HL3654" s="73"/>
      <c r="HM3654" s="73"/>
      <c r="HN3654" s="73"/>
      <c r="HO3654" s="73"/>
      <c r="HP3654" s="73"/>
      <c r="HQ3654" s="73"/>
      <c r="HR3654" s="73"/>
      <c r="HS3654" s="73"/>
      <c r="HT3654" s="73"/>
      <c r="HU3654" s="73"/>
      <c r="HV3654" s="73"/>
      <c r="HW3654" s="73"/>
      <c r="HX3654" s="73"/>
      <c r="HY3654" s="73"/>
      <c r="HZ3654" s="73"/>
      <c r="IA3654" s="73"/>
      <c r="IB3654" s="73"/>
      <c r="IC3654" s="73"/>
      <c r="ID3654" s="73"/>
      <c r="IE3654" s="73"/>
      <c r="IF3654" s="73"/>
      <c r="IG3654" s="73"/>
      <c r="IH3654" s="73"/>
      <c r="II3654" s="73"/>
      <c r="IJ3654" s="73"/>
      <c r="IK3654" s="73"/>
      <c r="IL3654" s="73"/>
      <c r="IM3654" s="73"/>
      <c r="IN3654" s="73"/>
      <c r="IO3654" s="73"/>
      <c r="IP3654" s="73"/>
      <c r="IQ3654" s="73"/>
      <c r="IR3654" s="73"/>
      <c r="IS3654" s="73"/>
      <c r="IT3654" s="73"/>
      <c r="IU3654" s="73"/>
      <c r="IV3654" s="73"/>
      <c r="IW3654" s="73"/>
      <c r="IX3654" s="73"/>
      <c r="IY3654" s="73"/>
      <c r="IZ3654" s="73"/>
      <c r="JA3654" s="73"/>
      <c r="JB3654" s="73"/>
      <c r="JC3654" s="73"/>
    </row>
    <row r="3655" spans="2:263" s="72" customFormat="1">
      <c r="B3655" s="73"/>
      <c r="C3655" s="73"/>
      <c r="D3655" s="73"/>
      <c r="E3655" s="73"/>
      <c r="F3655" s="73"/>
      <c r="G3655" s="73"/>
      <c r="H3655" s="73"/>
      <c r="I3655" s="73"/>
      <c r="J3655" s="73"/>
      <c r="K3655" s="73"/>
      <c r="L3655" s="73"/>
      <c r="M3655" s="73"/>
      <c r="N3655" s="73"/>
      <c r="O3655" s="73"/>
      <c r="P3655" s="73"/>
      <c r="Q3655" s="73"/>
      <c r="R3655" s="73"/>
      <c r="S3655" s="73"/>
      <c r="T3655" s="73"/>
      <c r="U3655" s="73"/>
      <c r="V3655" s="73"/>
      <c r="W3655" s="73"/>
      <c r="GL3655" s="73"/>
      <c r="GM3655" s="73"/>
      <c r="GN3655" s="73"/>
      <c r="GO3655" s="73"/>
      <c r="GP3655" s="73"/>
      <c r="GQ3655" s="73"/>
      <c r="GR3655" s="73"/>
      <c r="GS3655" s="73"/>
      <c r="GT3655" s="73"/>
      <c r="GU3655" s="73"/>
      <c r="GV3655" s="73"/>
      <c r="GW3655" s="73"/>
      <c r="GX3655" s="73"/>
      <c r="GY3655" s="73"/>
      <c r="GZ3655" s="73"/>
      <c r="HA3655" s="73"/>
      <c r="HB3655" s="73"/>
      <c r="HC3655" s="73"/>
      <c r="HD3655" s="73"/>
      <c r="HE3655" s="73"/>
      <c r="HF3655" s="73"/>
      <c r="HG3655" s="73"/>
      <c r="HH3655" s="73"/>
      <c r="HI3655" s="73"/>
      <c r="HJ3655" s="73"/>
      <c r="HK3655" s="73"/>
      <c r="HL3655" s="73"/>
      <c r="HM3655" s="73"/>
      <c r="HN3655" s="73"/>
      <c r="HO3655" s="73"/>
      <c r="HP3655" s="73"/>
      <c r="HQ3655" s="73"/>
      <c r="HR3655" s="73"/>
      <c r="HS3655" s="73"/>
      <c r="HT3655" s="73"/>
      <c r="HU3655" s="73"/>
      <c r="HV3655" s="73"/>
      <c r="HW3655" s="73"/>
      <c r="HX3655" s="73"/>
      <c r="HY3655" s="73"/>
      <c r="HZ3655" s="73"/>
      <c r="IA3655" s="73"/>
      <c r="IB3655" s="73"/>
      <c r="IC3655" s="73"/>
      <c r="ID3655" s="73"/>
      <c r="IE3655" s="73"/>
      <c r="IF3655" s="73"/>
      <c r="IG3655" s="73"/>
      <c r="IH3655" s="73"/>
      <c r="II3655" s="73"/>
      <c r="IJ3655" s="73"/>
      <c r="IK3655" s="73"/>
      <c r="IL3655" s="73"/>
      <c r="IM3655" s="73"/>
      <c r="IN3655" s="73"/>
      <c r="IO3655" s="73"/>
      <c r="IP3655" s="73"/>
      <c r="IQ3655" s="73"/>
      <c r="IR3655" s="73"/>
      <c r="IS3655" s="73"/>
      <c r="IT3655" s="73"/>
      <c r="IU3655" s="73"/>
      <c r="IV3655" s="73"/>
      <c r="IW3655" s="73"/>
      <c r="IX3655" s="73"/>
      <c r="IY3655" s="73"/>
      <c r="IZ3655" s="73"/>
      <c r="JA3655" s="73"/>
      <c r="JB3655" s="73"/>
      <c r="JC3655" s="73"/>
    </row>
    <row r="3656" spans="2:263" s="72" customFormat="1">
      <c r="B3656" s="73"/>
      <c r="C3656" s="73"/>
      <c r="D3656" s="73"/>
      <c r="E3656" s="73"/>
      <c r="F3656" s="73"/>
      <c r="G3656" s="73"/>
      <c r="H3656" s="73"/>
      <c r="I3656" s="73"/>
      <c r="J3656" s="73"/>
      <c r="K3656" s="73"/>
      <c r="L3656" s="73"/>
      <c r="M3656" s="73"/>
      <c r="N3656" s="73"/>
      <c r="O3656" s="73"/>
      <c r="P3656" s="73"/>
      <c r="Q3656" s="73"/>
      <c r="R3656" s="73"/>
      <c r="S3656" s="73"/>
      <c r="T3656" s="73"/>
      <c r="U3656" s="73"/>
      <c r="V3656" s="73"/>
      <c r="W3656" s="73"/>
      <c r="GL3656" s="73"/>
      <c r="GM3656" s="73"/>
      <c r="GN3656" s="73"/>
      <c r="GO3656" s="73"/>
      <c r="GP3656" s="73"/>
      <c r="GQ3656" s="73"/>
      <c r="GR3656" s="73"/>
      <c r="GS3656" s="73"/>
      <c r="GT3656" s="73"/>
      <c r="GU3656" s="73"/>
      <c r="GV3656" s="73"/>
      <c r="GW3656" s="73"/>
      <c r="GX3656" s="73"/>
      <c r="GY3656" s="73"/>
      <c r="GZ3656" s="73"/>
      <c r="HA3656" s="73"/>
      <c r="HB3656" s="73"/>
      <c r="HC3656" s="73"/>
      <c r="HD3656" s="73"/>
      <c r="HE3656" s="73"/>
      <c r="HF3656" s="73"/>
      <c r="HG3656" s="73"/>
      <c r="HH3656" s="73"/>
      <c r="HI3656" s="73"/>
      <c r="HJ3656" s="73"/>
      <c r="HK3656" s="73"/>
      <c r="HL3656" s="73"/>
      <c r="HM3656" s="73"/>
      <c r="HN3656" s="73"/>
      <c r="HO3656" s="73"/>
      <c r="HP3656" s="73"/>
      <c r="HQ3656" s="73"/>
      <c r="HR3656" s="73"/>
      <c r="HS3656" s="73"/>
      <c r="HT3656" s="73"/>
      <c r="HU3656" s="73"/>
      <c r="HV3656" s="73"/>
      <c r="HW3656" s="73"/>
      <c r="HX3656" s="73"/>
      <c r="HY3656" s="73"/>
      <c r="HZ3656" s="73"/>
      <c r="IA3656" s="73"/>
      <c r="IB3656" s="73"/>
      <c r="IC3656" s="73"/>
      <c r="ID3656" s="73"/>
      <c r="IE3656" s="73"/>
      <c r="IF3656" s="73"/>
      <c r="IG3656" s="73"/>
      <c r="IH3656" s="73"/>
      <c r="II3656" s="73"/>
      <c r="IJ3656" s="73"/>
      <c r="IK3656" s="73"/>
      <c r="IL3656" s="73"/>
      <c r="IM3656" s="73"/>
      <c r="IN3656" s="73"/>
      <c r="IO3656" s="73"/>
      <c r="IP3656" s="73"/>
      <c r="IQ3656" s="73"/>
      <c r="IR3656" s="73"/>
      <c r="IS3656" s="73"/>
      <c r="IT3656" s="73"/>
      <c r="IU3656" s="73"/>
      <c r="IV3656" s="73"/>
      <c r="IW3656" s="73"/>
      <c r="IX3656" s="73"/>
      <c r="IY3656" s="73"/>
      <c r="IZ3656" s="73"/>
      <c r="JA3656" s="73"/>
      <c r="JB3656" s="73"/>
      <c r="JC3656" s="73"/>
    </row>
    <row r="3657" spans="2:263" s="72" customFormat="1">
      <c r="B3657" s="73"/>
      <c r="C3657" s="73"/>
      <c r="D3657" s="73"/>
      <c r="E3657" s="73"/>
      <c r="F3657" s="73"/>
      <c r="G3657" s="73"/>
      <c r="H3657" s="73"/>
      <c r="I3657" s="73"/>
      <c r="J3657" s="73"/>
      <c r="K3657" s="73"/>
      <c r="L3657" s="73"/>
      <c r="M3657" s="73"/>
      <c r="N3657" s="73"/>
      <c r="O3657" s="73"/>
      <c r="P3657" s="73"/>
      <c r="Q3657" s="73"/>
      <c r="R3657" s="73"/>
      <c r="S3657" s="73"/>
      <c r="T3657" s="73"/>
      <c r="U3657" s="73"/>
      <c r="V3657" s="73"/>
      <c r="W3657" s="73"/>
      <c r="GL3657" s="73"/>
      <c r="GM3657" s="73"/>
      <c r="GN3657" s="73"/>
      <c r="GO3657" s="73"/>
      <c r="GP3657" s="73"/>
      <c r="GQ3657" s="73"/>
      <c r="GR3657" s="73"/>
      <c r="GS3657" s="73"/>
      <c r="GT3657" s="73"/>
      <c r="GU3657" s="73"/>
      <c r="GV3657" s="73"/>
      <c r="GW3657" s="73"/>
      <c r="GX3657" s="73"/>
      <c r="GY3657" s="73"/>
      <c r="GZ3657" s="73"/>
      <c r="HA3657" s="73"/>
      <c r="HB3657" s="73"/>
      <c r="HC3657" s="73"/>
      <c r="HD3657" s="73"/>
      <c r="HE3657" s="73"/>
      <c r="HF3657" s="73"/>
      <c r="HG3657" s="73"/>
      <c r="HH3657" s="73"/>
      <c r="HI3657" s="73"/>
      <c r="HJ3657" s="73"/>
      <c r="HK3657" s="73"/>
      <c r="HL3657" s="73"/>
      <c r="HM3657" s="73"/>
      <c r="HN3657" s="73"/>
      <c r="HO3657" s="73"/>
      <c r="HP3657" s="73"/>
      <c r="HQ3657" s="73"/>
      <c r="HR3657" s="73"/>
      <c r="HS3657" s="73"/>
      <c r="HT3657" s="73"/>
      <c r="HU3657" s="73"/>
      <c r="HV3657" s="73"/>
      <c r="HW3657" s="73"/>
      <c r="HX3657" s="73"/>
      <c r="HY3657" s="73"/>
      <c r="HZ3657" s="73"/>
      <c r="IA3657" s="73"/>
      <c r="IB3657" s="73"/>
      <c r="IC3657" s="73"/>
      <c r="ID3657" s="73"/>
      <c r="IE3657" s="73"/>
      <c r="IF3657" s="73"/>
      <c r="IG3657" s="73"/>
      <c r="IH3657" s="73"/>
      <c r="II3657" s="73"/>
      <c r="IJ3657" s="73"/>
      <c r="IK3657" s="73"/>
      <c r="IL3657" s="73"/>
      <c r="IM3657" s="73"/>
      <c r="IN3657" s="73"/>
      <c r="IO3657" s="73"/>
      <c r="IP3657" s="73"/>
      <c r="IQ3657" s="73"/>
      <c r="IR3657" s="73"/>
      <c r="IS3657" s="73"/>
      <c r="IT3657" s="73"/>
      <c r="IU3657" s="73"/>
      <c r="IV3657" s="73"/>
      <c r="IW3657" s="73"/>
      <c r="IX3657" s="73"/>
      <c r="IY3657" s="73"/>
      <c r="IZ3657" s="73"/>
      <c r="JA3657" s="73"/>
      <c r="JB3657" s="73"/>
      <c r="JC3657" s="73"/>
    </row>
    <row r="3658" spans="2:263" s="72" customFormat="1">
      <c r="B3658" s="73"/>
      <c r="C3658" s="73"/>
      <c r="D3658" s="73"/>
      <c r="E3658" s="73"/>
      <c r="F3658" s="73"/>
      <c r="G3658" s="73"/>
      <c r="H3658" s="73"/>
      <c r="I3658" s="73"/>
      <c r="J3658" s="73"/>
      <c r="K3658" s="73"/>
      <c r="L3658" s="73"/>
      <c r="M3658" s="73"/>
      <c r="N3658" s="73"/>
      <c r="O3658" s="73"/>
      <c r="P3658" s="73"/>
      <c r="Q3658" s="73"/>
      <c r="R3658" s="73"/>
      <c r="S3658" s="73"/>
      <c r="T3658" s="73"/>
      <c r="U3658" s="73"/>
      <c r="V3658" s="73"/>
      <c r="W3658" s="73"/>
      <c r="GL3658" s="73"/>
      <c r="GM3658" s="73"/>
      <c r="GN3658" s="73"/>
      <c r="GO3658" s="73"/>
      <c r="GP3658" s="73"/>
      <c r="GQ3658" s="73"/>
      <c r="GR3658" s="73"/>
      <c r="GS3658" s="73"/>
      <c r="GT3658" s="73"/>
      <c r="GU3658" s="73"/>
      <c r="GV3658" s="73"/>
      <c r="GW3658" s="73"/>
      <c r="GX3658" s="73"/>
      <c r="GY3658" s="73"/>
      <c r="GZ3658" s="73"/>
      <c r="HA3658" s="73"/>
      <c r="HB3658" s="73"/>
      <c r="HC3658" s="73"/>
      <c r="HD3658" s="73"/>
      <c r="HE3658" s="73"/>
      <c r="HF3658" s="73"/>
      <c r="HG3658" s="73"/>
      <c r="HH3658" s="73"/>
      <c r="HI3658" s="73"/>
      <c r="HJ3658" s="73"/>
      <c r="HK3658" s="73"/>
      <c r="HL3658" s="73"/>
      <c r="HM3658" s="73"/>
      <c r="HN3658" s="73"/>
      <c r="HO3658" s="73"/>
      <c r="HP3658" s="73"/>
      <c r="HQ3658" s="73"/>
      <c r="HR3658" s="73"/>
      <c r="HS3658" s="73"/>
      <c r="HT3658" s="73"/>
      <c r="HU3658" s="73"/>
      <c r="HV3658" s="73"/>
      <c r="HW3658" s="73"/>
      <c r="HX3658" s="73"/>
      <c r="HY3658" s="73"/>
      <c r="HZ3658" s="73"/>
      <c r="IA3658" s="73"/>
      <c r="IB3658" s="73"/>
      <c r="IC3658" s="73"/>
      <c r="ID3658" s="73"/>
      <c r="IE3658" s="73"/>
      <c r="IF3658" s="73"/>
      <c r="IG3658" s="73"/>
      <c r="IH3658" s="73"/>
      <c r="II3658" s="73"/>
      <c r="IJ3658" s="73"/>
      <c r="IK3658" s="73"/>
      <c r="IL3658" s="73"/>
      <c r="IM3658" s="73"/>
      <c r="IN3658" s="73"/>
      <c r="IO3658" s="73"/>
      <c r="IP3658" s="73"/>
      <c r="IQ3658" s="73"/>
      <c r="IR3658" s="73"/>
      <c r="IS3658" s="73"/>
      <c r="IT3658" s="73"/>
      <c r="IU3658" s="73"/>
      <c r="IV3658" s="73"/>
      <c r="IW3658" s="73"/>
      <c r="IX3658" s="73"/>
      <c r="IY3658" s="73"/>
      <c r="IZ3658" s="73"/>
      <c r="JA3658" s="73"/>
      <c r="JB3658" s="73"/>
      <c r="JC3658" s="73"/>
    </row>
    <row r="3659" spans="2:263" s="72" customFormat="1">
      <c r="B3659" s="73"/>
      <c r="C3659" s="73"/>
      <c r="D3659" s="73"/>
      <c r="E3659" s="73"/>
      <c r="F3659" s="73"/>
      <c r="G3659" s="73"/>
      <c r="H3659" s="73"/>
      <c r="I3659" s="73"/>
      <c r="J3659" s="73"/>
      <c r="K3659" s="73"/>
      <c r="L3659" s="73"/>
      <c r="M3659" s="73"/>
      <c r="N3659" s="73"/>
      <c r="O3659" s="73"/>
      <c r="P3659" s="73"/>
      <c r="Q3659" s="73"/>
      <c r="R3659" s="73"/>
      <c r="S3659" s="73"/>
      <c r="T3659" s="73"/>
      <c r="U3659" s="73"/>
      <c r="V3659" s="73"/>
      <c r="W3659" s="73"/>
      <c r="GL3659" s="73"/>
      <c r="GM3659" s="73"/>
      <c r="GN3659" s="73"/>
      <c r="GO3659" s="73"/>
      <c r="GP3659" s="73"/>
      <c r="GQ3659" s="73"/>
      <c r="GR3659" s="73"/>
      <c r="GS3659" s="73"/>
      <c r="GT3659" s="73"/>
      <c r="GU3659" s="73"/>
      <c r="GV3659" s="73"/>
      <c r="GW3659" s="73"/>
      <c r="GX3659" s="73"/>
      <c r="GY3659" s="73"/>
      <c r="GZ3659" s="73"/>
      <c r="HA3659" s="73"/>
      <c r="HB3659" s="73"/>
      <c r="HC3659" s="73"/>
      <c r="HD3659" s="73"/>
      <c r="HE3659" s="73"/>
      <c r="HF3659" s="73"/>
      <c r="HG3659" s="73"/>
      <c r="HH3659" s="73"/>
      <c r="HI3659" s="73"/>
      <c r="HJ3659" s="73"/>
      <c r="HK3659" s="73"/>
      <c r="HL3659" s="73"/>
      <c r="HM3659" s="73"/>
      <c r="HN3659" s="73"/>
      <c r="HO3659" s="73"/>
      <c r="HP3659" s="73"/>
      <c r="HQ3659" s="73"/>
      <c r="HR3659" s="73"/>
      <c r="HS3659" s="73"/>
      <c r="HT3659" s="73"/>
      <c r="HU3659" s="73"/>
      <c r="HV3659" s="73"/>
      <c r="HW3659" s="73"/>
      <c r="HX3659" s="73"/>
      <c r="HY3659" s="73"/>
      <c r="HZ3659" s="73"/>
      <c r="IA3659" s="73"/>
      <c r="IB3659" s="73"/>
      <c r="IC3659" s="73"/>
      <c r="ID3659" s="73"/>
      <c r="IE3659" s="73"/>
      <c r="IF3659" s="73"/>
      <c r="IG3659" s="73"/>
      <c r="IH3659" s="73"/>
      <c r="II3659" s="73"/>
      <c r="IJ3659" s="73"/>
      <c r="IK3659" s="73"/>
      <c r="IL3659" s="73"/>
      <c r="IM3659" s="73"/>
      <c r="IN3659" s="73"/>
      <c r="IO3659" s="73"/>
      <c r="IP3659" s="73"/>
      <c r="IQ3659" s="73"/>
      <c r="IR3659" s="73"/>
      <c r="IS3659" s="73"/>
      <c r="IT3659" s="73"/>
      <c r="IU3659" s="73"/>
      <c r="IV3659" s="73"/>
      <c r="IW3659" s="73"/>
      <c r="IX3659" s="73"/>
      <c r="IY3659" s="73"/>
      <c r="IZ3659" s="73"/>
      <c r="JA3659" s="73"/>
      <c r="JB3659" s="73"/>
      <c r="JC3659" s="73"/>
    </row>
    <row r="3660" spans="2:263" s="72" customFormat="1">
      <c r="B3660" s="73"/>
      <c r="C3660" s="73"/>
      <c r="D3660" s="73"/>
      <c r="E3660" s="73"/>
      <c r="F3660" s="73"/>
      <c r="G3660" s="73"/>
      <c r="H3660" s="73"/>
      <c r="I3660" s="73"/>
      <c r="J3660" s="73"/>
      <c r="K3660" s="73"/>
      <c r="L3660" s="73"/>
      <c r="M3660" s="73"/>
      <c r="N3660" s="73"/>
      <c r="O3660" s="73"/>
      <c r="P3660" s="73"/>
      <c r="Q3660" s="73"/>
      <c r="R3660" s="73"/>
      <c r="S3660" s="73"/>
      <c r="T3660" s="73"/>
      <c r="U3660" s="73"/>
      <c r="V3660" s="73"/>
      <c r="W3660" s="73"/>
      <c r="GL3660" s="73"/>
      <c r="GM3660" s="73"/>
      <c r="GN3660" s="73"/>
      <c r="GO3660" s="73"/>
      <c r="GP3660" s="73"/>
      <c r="GQ3660" s="73"/>
      <c r="GR3660" s="73"/>
      <c r="GS3660" s="73"/>
      <c r="GT3660" s="73"/>
      <c r="GU3660" s="73"/>
      <c r="GV3660" s="73"/>
      <c r="GW3660" s="73"/>
      <c r="GX3660" s="73"/>
      <c r="GY3660" s="73"/>
      <c r="GZ3660" s="73"/>
      <c r="HA3660" s="73"/>
      <c r="HB3660" s="73"/>
      <c r="HC3660" s="73"/>
      <c r="HD3660" s="73"/>
      <c r="HE3660" s="73"/>
      <c r="HF3660" s="73"/>
      <c r="HG3660" s="73"/>
      <c r="HH3660" s="73"/>
      <c r="HI3660" s="73"/>
      <c r="HJ3660" s="73"/>
      <c r="HK3660" s="73"/>
      <c r="HL3660" s="73"/>
      <c r="HM3660" s="73"/>
      <c r="HN3660" s="73"/>
      <c r="HO3660" s="73"/>
      <c r="HP3660" s="73"/>
      <c r="HQ3660" s="73"/>
      <c r="HR3660" s="73"/>
      <c r="HS3660" s="73"/>
      <c r="HT3660" s="73"/>
      <c r="HU3660" s="73"/>
      <c r="HV3660" s="73"/>
      <c r="HW3660" s="73"/>
      <c r="HX3660" s="73"/>
      <c r="HY3660" s="73"/>
      <c r="HZ3660" s="73"/>
      <c r="IA3660" s="73"/>
      <c r="IB3660" s="73"/>
      <c r="IC3660" s="73"/>
      <c r="ID3660" s="73"/>
      <c r="IE3660" s="73"/>
      <c r="IF3660" s="73"/>
      <c r="IG3660" s="73"/>
      <c r="IH3660" s="73"/>
      <c r="II3660" s="73"/>
      <c r="IJ3660" s="73"/>
      <c r="IK3660" s="73"/>
      <c r="IL3660" s="73"/>
      <c r="IM3660" s="73"/>
      <c r="IN3660" s="73"/>
      <c r="IO3660" s="73"/>
      <c r="IP3660" s="73"/>
      <c r="IQ3660" s="73"/>
      <c r="IR3660" s="73"/>
      <c r="IS3660" s="73"/>
      <c r="IT3660" s="73"/>
      <c r="IU3660" s="73"/>
      <c r="IV3660" s="73"/>
      <c r="IW3660" s="73"/>
      <c r="IX3660" s="73"/>
      <c r="IY3660" s="73"/>
      <c r="IZ3660" s="73"/>
      <c r="JA3660" s="73"/>
      <c r="JB3660" s="73"/>
      <c r="JC3660" s="73"/>
    </row>
    <row r="3661" spans="2:263" s="72" customFormat="1">
      <c r="B3661" s="73"/>
      <c r="C3661" s="73"/>
      <c r="D3661" s="73"/>
      <c r="E3661" s="73"/>
      <c r="F3661" s="73"/>
      <c r="G3661" s="73"/>
      <c r="H3661" s="73"/>
      <c r="I3661" s="73"/>
      <c r="J3661" s="73"/>
      <c r="K3661" s="73"/>
      <c r="L3661" s="73"/>
      <c r="M3661" s="73"/>
      <c r="N3661" s="73"/>
      <c r="O3661" s="73"/>
      <c r="P3661" s="73"/>
      <c r="Q3661" s="73"/>
      <c r="R3661" s="73"/>
      <c r="S3661" s="73"/>
      <c r="T3661" s="73"/>
      <c r="U3661" s="73"/>
      <c r="V3661" s="73"/>
      <c r="W3661" s="73"/>
      <c r="GL3661" s="73"/>
      <c r="GM3661" s="73"/>
      <c r="GN3661" s="73"/>
      <c r="GO3661" s="73"/>
      <c r="GP3661" s="73"/>
      <c r="GQ3661" s="73"/>
      <c r="GR3661" s="73"/>
      <c r="GS3661" s="73"/>
      <c r="GT3661" s="73"/>
      <c r="GU3661" s="73"/>
      <c r="GV3661" s="73"/>
      <c r="GW3661" s="73"/>
      <c r="GX3661" s="73"/>
      <c r="GY3661" s="73"/>
      <c r="GZ3661" s="73"/>
      <c r="HA3661" s="73"/>
      <c r="HB3661" s="73"/>
      <c r="HC3661" s="73"/>
      <c r="HD3661" s="73"/>
      <c r="HE3661" s="73"/>
      <c r="HF3661" s="73"/>
      <c r="HG3661" s="73"/>
      <c r="HH3661" s="73"/>
      <c r="HI3661" s="73"/>
      <c r="HJ3661" s="73"/>
      <c r="HK3661" s="73"/>
      <c r="HL3661" s="73"/>
      <c r="HM3661" s="73"/>
      <c r="HN3661" s="73"/>
      <c r="HO3661" s="73"/>
      <c r="HP3661" s="73"/>
      <c r="HQ3661" s="73"/>
      <c r="HR3661" s="73"/>
      <c r="HS3661" s="73"/>
      <c r="HT3661" s="73"/>
      <c r="HU3661" s="73"/>
      <c r="HV3661" s="73"/>
      <c r="HW3661" s="73"/>
      <c r="HX3661" s="73"/>
      <c r="HY3661" s="73"/>
      <c r="HZ3661" s="73"/>
      <c r="IA3661" s="73"/>
      <c r="IB3661" s="73"/>
      <c r="IC3661" s="73"/>
      <c r="ID3661" s="73"/>
      <c r="IE3661" s="73"/>
      <c r="IF3661" s="73"/>
      <c r="IG3661" s="73"/>
      <c r="IH3661" s="73"/>
      <c r="II3661" s="73"/>
      <c r="IJ3661" s="73"/>
      <c r="IK3661" s="73"/>
      <c r="IL3661" s="73"/>
      <c r="IM3661" s="73"/>
      <c r="IN3661" s="73"/>
      <c r="IO3661" s="73"/>
      <c r="IP3661" s="73"/>
      <c r="IQ3661" s="73"/>
      <c r="IR3661" s="73"/>
      <c r="IS3661" s="73"/>
      <c r="IT3661" s="73"/>
      <c r="IU3661" s="73"/>
      <c r="IV3661" s="73"/>
      <c r="IW3661" s="73"/>
      <c r="IX3661" s="73"/>
      <c r="IY3661" s="73"/>
      <c r="IZ3661" s="73"/>
      <c r="JA3661" s="73"/>
      <c r="JB3661" s="73"/>
      <c r="JC3661" s="73"/>
    </row>
    <row r="3662" spans="2:263" s="72" customFormat="1">
      <c r="B3662" s="73"/>
      <c r="C3662" s="73"/>
      <c r="D3662" s="73"/>
      <c r="E3662" s="73"/>
      <c r="F3662" s="73"/>
      <c r="G3662" s="73"/>
      <c r="H3662" s="73"/>
      <c r="I3662" s="73"/>
      <c r="J3662" s="73"/>
      <c r="K3662" s="73"/>
      <c r="L3662" s="73"/>
      <c r="M3662" s="73"/>
      <c r="N3662" s="73"/>
      <c r="O3662" s="73"/>
      <c r="P3662" s="73"/>
      <c r="Q3662" s="73"/>
      <c r="R3662" s="73"/>
      <c r="S3662" s="73"/>
      <c r="T3662" s="73"/>
      <c r="U3662" s="73"/>
      <c r="V3662" s="73"/>
      <c r="W3662" s="73"/>
      <c r="GL3662" s="73"/>
      <c r="GM3662" s="73"/>
      <c r="GN3662" s="73"/>
      <c r="GO3662" s="73"/>
      <c r="GP3662" s="73"/>
      <c r="GQ3662" s="73"/>
      <c r="GR3662" s="73"/>
      <c r="GS3662" s="73"/>
      <c r="GT3662" s="73"/>
      <c r="GU3662" s="73"/>
      <c r="GV3662" s="73"/>
      <c r="GW3662" s="73"/>
      <c r="GX3662" s="73"/>
      <c r="GY3662" s="73"/>
      <c r="GZ3662" s="73"/>
      <c r="HA3662" s="73"/>
      <c r="HB3662" s="73"/>
      <c r="HC3662" s="73"/>
      <c r="HD3662" s="73"/>
      <c r="HE3662" s="73"/>
      <c r="HF3662" s="73"/>
      <c r="HG3662" s="73"/>
      <c r="HH3662" s="73"/>
      <c r="HI3662" s="73"/>
      <c r="HJ3662" s="73"/>
      <c r="HK3662" s="73"/>
      <c r="HL3662" s="73"/>
      <c r="HM3662" s="73"/>
      <c r="HN3662" s="73"/>
      <c r="HO3662" s="73"/>
      <c r="HP3662" s="73"/>
      <c r="HQ3662" s="73"/>
      <c r="HR3662" s="73"/>
      <c r="HS3662" s="73"/>
      <c r="HT3662" s="73"/>
      <c r="HU3662" s="73"/>
      <c r="HV3662" s="73"/>
      <c r="HW3662" s="73"/>
      <c r="HX3662" s="73"/>
      <c r="HY3662" s="73"/>
      <c r="HZ3662" s="73"/>
      <c r="IA3662" s="73"/>
      <c r="IB3662" s="73"/>
      <c r="IC3662" s="73"/>
      <c r="ID3662" s="73"/>
      <c r="IE3662" s="73"/>
      <c r="IF3662" s="73"/>
      <c r="IG3662" s="73"/>
      <c r="IH3662" s="73"/>
      <c r="II3662" s="73"/>
      <c r="IJ3662" s="73"/>
      <c r="IK3662" s="73"/>
      <c r="IL3662" s="73"/>
      <c r="IM3662" s="73"/>
      <c r="IN3662" s="73"/>
      <c r="IO3662" s="73"/>
      <c r="IP3662" s="73"/>
      <c r="IQ3662" s="73"/>
      <c r="IR3662" s="73"/>
      <c r="IS3662" s="73"/>
      <c r="IT3662" s="73"/>
      <c r="IU3662" s="73"/>
      <c r="IV3662" s="73"/>
      <c r="IW3662" s="73"/>
      <c r="IX3662" s="73"/>
      <c r="IY3662" s="73"/>
      <c r="IZ3662" s="73"/>
      <c r="JA3662" s="73"/>
      <c r="JB3662" s="73"/>
      <c r="JC3662" s="73"/>
    </row>
    <row r="3663" spans="2:263" s="72" customFormat="1">
      <c r="B3663" s="73"/>
      <c r="C3663" s="73"/>
      <c r="D3663" s="73"/>
      <c r="E3663" s="73"/>
      <c r="F3663" s="73"/>
      <c r="G3663" s="73"/>
      <c r="H3663" s="73"/>
      <c r="I3663" s="73"/>
      <c r="J3663" s="73"/>
      <c r="K3663" s="73"/>
      <c r="L3663" s="73"/>
      <c r="M3663" s="73"/>
      <c r="N3663" s="73"/>
      <c r="O3663" s="73"/>
      <c r="P3663" s="73"/>
      <c r="Q3663" s="73"/>
      <c r="R3663" s="73"/>
      <c r="S3663" s="73"/>
      <c r="T3663" s="73"/>
      <c r="U3663" s="73"/>
      <c r="V3663" s="73"/>
      <c r="W3663" s="73"/>
      <c r="GL3663" s="73"/>
      <c r="GM3663" s="73"/>
      <c r="GN3663" s="73"/>
      <c r="GO3663" s="73"/>
      <c r="GP3663" s="73"/>
      <c r="GQ3663" s="73"/>
      <c r="GR3663" s="73"/>
      <c r="GS3663" s="73"/>
      <c r="GT3663" s="73"/>
      <c r="GU3663" s="73"/>
      <c r="GV3663" s="73"/>
      <c r="GW3663" s="73"/>
      <c r="GX3663" s="73"/>
      <c r="GY3663" s="73"/>
      <c r="GZ3663" s="73"/>
      <c r="HA3663" s="73"/>
      <c r="HB3663" s="73"/>
      <c r="HC3663" s="73"/>
      <c r="HD3663" s="73"/>
      <c r="HE3663" s="73"/>
      <c r="HF3663" s="73"/>
      <c r="HG3663" s="73"/>
      <c r="HH3663" s="73"/>
      <c r="HI3663" s="73"/>
      <c r="HJ3663" s="73"/>
      <c r="HK3663" s="73"/>
      <c r="HL3663" s="73"/>
      <c r="HM3663" s="73"/>
      <c r="HN3663" s="73"/>
      <c r="HO3663" s="73"/>
      <c r="HP3663" s="73"/>
      <c r="HQ3663" s="73"/>
      <c r="HR3663" s="73"/>
      <c r="HS3663" s="73"/>
      <c r="HT3663" s="73"/>
      <c r="HU3663" s="73"/>
      <c r="HV3663" s="73"/>
      <c r="HW3663" s="73"/>
      <c r="HX3663" s="73"/>
      <c r="HY3663" s="73"/>
      <c r="HZ3663" s="73"/>
      <c r="IA3663" s="73"/>
      <c r="IB3663" s="73"/>
      <c r="IC3663" s="73"/>
      <c r="ID3663" s="73"/>
      <c r="IE3663" s="73"/>
      <c r="IF3663" s="73"/>
      <c r="IG3663" s="73"/>
      <c r="IH3663" s="73"/>
      <c r="II3663" s="73"/>
      <c r="IJ3663" s="73"/>
      <c r="IK3663" s="73"/>
      <c r="IL3663" s="73"/>
      <c r="IM3663" s="73"/>
      <c r="IN3663" s="73"/>
      <c r="IO3663" s="73"/>
      <c r="IP3663" s="73"/>
      <c r="IQ3663" s="73"/>
      <c r="IR3663" s="73"/>
      <c r="IS3663" s="73"/>
      <c r="IT3663" s="73"/>
      <c r="IU3663" s="73"/>
      <c r="IV3663" s="73"/>
      <c r="IW3663" s="73"/>
      <c r="IX3663" s="73"/>
      <c r="IY3663" s="73"/>
      <c r="IZ3663" s="73"/>
      <c r="JA3663" s="73"/>
      <c r="JB3663" s="73"/>
      <c r="JC3663" s="73"/>
    </row>
    <row r="3664" spans="2:263" s="72" customFormat="1">
      <c r="B3664" s="73"/>
      <c r="C3664" s="73"/>
      <c r="D3664" s="73"/>
      <c r="E3664" s="73"/>
      <c r="F3664" s="73"/>
      <c r="G3664" s="73"/>
      <c r="H3664" s="73"/>
      <c r="I3664" s="73"/>
      <c r="J3664" s="73"/>
      <c r="K3664" s="73"/>
      <c r="L3664" s="73"/>
      <c r="M3664" s="73"/>
      <c r="N3664" s="73"/>
      <c r="O3664" s="73"/>
      <c r="P3664" s="73"/>
      <c r="Q3664" s="73"/>
      <c r="R3664" s="73"/>
      <c r="S3664" s="73"/>
      <c r="T3664" s="73"/>
      <c r="U3664" s="73"/>
      <c r="V3664" s="73"/>
      <c r="W3664" s="73"/>
      <c r="GL3664" s="73"/>
      <c r="GM3664" s="73"/>
      <c r="GN3664" s="73"/>
      <c r="GO3664" s="73"/>
      <c r="GP3664" s="73"/>
      <c r="GQ3664" s="73"/>
      <c r="GR3664" s="73"/>
      <c r="GS3664" s="73"/>
      <c r="GT3664" s="73"/>
      <c r="GU3664" s="73"/>
      <c r="GV3664" s="73"/>
      <c r="GW3664" s="73"/>
      <c r="GX3664" s="73"/>
      <c r="GY3664" s="73"/>
      <c r="GZ3664" s="73"/>
      <c r="HA3664" s="73"/>
      <c r="HB3664" s="73"/>
      <c r="HC3664" s="73"/>
      <c r="HD3664" s="73"/>
      <c r="HE3664" s="73"/>
      <c r="HF3664" s="73"/>
      <c r="HG3664" s="73"/>
      <c r="HH3664" s="73"/>
      <c r="HI3664" s="73"/>
      <c r="HJ3664" s="73"/>
      <c r="HK3664" s="73"/>
      <c r="HL3664" s="73"/>
      <c r="HM3664" s="73"/>
      <c r="HN3664" s="73"/>
      <c r="HO3664" s="73"/>
      <c r="HP3664" s="73"/>
      <c r="HQ3664" s="73"/>
      <c r="HR3664" s="73"/>
      <c r="HS3664" s="73"/>
      <c r="HT3664" s="73"/>
      <c r="HU3664" s="73"/>
      <c r="HV3664" s="73"/>
      <c r="HW3664" s="73"/>
      <c r="HX3664" s="73"/>
      <c r="HY3664" s="73"/>
      <c r="HZ3664" s="73"/>
      <c r="IA3664" s="73"/>
      <c r="IB3664" s="73"/>
      <c r="IC3664" s="73"/>
      <c r="ID3664" s="73"/>
      <c r="IE3664" s="73"/>
      <c r="IF3664" s="73"/>
      <c r="IG3664" s="73"/>
      <c r="IH3664" s="73"/>
      <c r="II3664" s="73"/>
      <c r="IJ3664" s="73"/>
      <c r="IK3664" s="73"/>
      <c r="IL3664" s="73"/>
      <c r="IM3664" s="73"/>
      <c r="IN3664" s="73"/>
      <c r="IO3664" s="73"/>
      <c r="IP3664" s="73"/>
      <c r="IQ3664" s="73"/>
      <c r="IR3664" s="73"/>
      <c r="IS3664" s="73"/>
      <c r="IT3664" s="73"/>
      <c r="IU3664" s="73"/>
      <c r="IV3664" s="73"/>
      <c r="IW3664" s="73"/>
      <c r="IX3664" s="73"/>
      <c r="IY3664" s="73"/>
      <c r="IZ3664" s="73"/>
      <c r="JA3664" s="73"/>
      <c r="JB3664" s="73"/>
      <c r="JC3664" s="73"/>
    </row>
    <row r="3665" spans="2:263" s="72" customFormat="1">
      <c r="B3665" s="73"/>
      <c r="C3665" s="73"/>
      <c r="D3665" s="73"/>
      <c r="E3665" s="73"/>
      <c r="F3665" s="73"/>
      <c r="G3665" s="73"/>
      <c r="H3665" s="73"/>
      <c r="I3665" s="73"/>
      <c r="J3665" s="73"/>
      <c r="K3665" s="73"/>
      <c r="L3665" s="73"/>
      <c r="M3665" s="73"/>
      <c r="N3665" s="73"/>
      <c r="O3665" s="73"/>
      <c r="P3665" s="73"/>
      <c r="Q3665" s="73"/>
      <c r="R3665" s="73"/>
      <c r="S3665" s="73"/>
      <c r="T3665" s="73"/>
      <c r="U3665" s="73"/>
      <c r="V3665" s="73"/>
      <c r="W3665" s="73"/>
      <c r="GL3665" s="73"/>
      <c r="GM3665" s="73"/>
      <c r="GN3665" s="73"/>
      <c r="GO3665" s="73"/>
      <c r="GP3665" s="73"/>
      <c r="GQ3665" s="73"/>
      <c r="GR3665" s="73"/>
      <c r="GS3665" s="73"/>
      <c r="GT3665" s="73"/>
      <c r="GU3665" s="73"/>
      <c r="GV3665" s="73"/>
      <c r="GW3665" s="73"/>
      <c r="GX3665" s="73"/>
      <c r="GY3665" s="73"/>
      <c r="GZ3665" s="73"/>
      <c r="HA3665" s="73"/>
      <c r="HB3665" s="73"/>
      <c r="HC3665" s="73"/>
      <c r="HD3665" s="73"/>
      <c r="HE3665" s="73"/>
      <c r="HF3665" s="73"/>
      <c r="HG3665" s="73"/>
      <c r="HH3665" s="73"/>
      <c r="HI3665" s="73"/>
      <c r="HJ3665" s="73"/>
      <c r="HK3665" s="73"/>
      <c r="HL3665" s="73"/>
      <c r="HM3665" s="73"/>
      <c r="HN3665" s="73"/>
      <c r="HO3665" s="73"/>
      <c r="HP3665" s="73"/>
      <c r="HQ3665" s="73"/>
      <c r="HR3665" s="73"/>
      <c r="HS3665" s="73"/>
      <c r="HT3665" s="73"/>
      <c r="HU3665" s="73"/>
      <c r="HV3665" s="73"/>
      <c r="HW3665" s="73"/>
      <c r="HX3665" s="73"/>
      <c r="HY3665" s="73"/>
      <c r="HZ3665" s="73"/>
      <c r="IA3665" s="73"/>
      <c r="IB3665" s="73"/>
      <c r="IC3665" s="73"/>
      <c r="ID3665" s="73"/>
      <c r="IE3665" s="73"/>
      <c r="IF3665" s="73"/>
      <c r="IG3665" s="73"/>
      <c r="IH3665" s="73"/>
      <c r="II3665" s="73"/>
      <c r="IJ3665" s="73"/>
      <c r="IK3665" s="73"/>
      <c r="IL3665" s="73"/>
      <c r="IM3665" s="73"/>
      <c r="IN3665" s="73"/>
      <c r="IO3665" s="73"/>
      <c r="IP3665" s="73"/>
      <c r="IQ3665" s="73"/>
      <c r="IR3665" s="73"/>
      <c r="IS3665" s="73"/>
      <c r="IT3665" s="73"/>
      <c r="IU3665" s="73"/>
      <c r="IV3665" s="73"/>
      <c r="IW3665" s="73"/>
      <c r="IX3665" s="73"/>
      <c r="IY3665" s="73"/>
      <c r="IZ3665" s="73"/>
      <c r="JA3665" s="73"/>
      <c r="JB3665" s="73"/>
      <c r="JC3665" s="73"/>
    </row>
    <row r="3666" spans="2:263" s="72" customFormat="1">
      <c r="B3666" s="73"/>
      <c r="C3666" s="73"/>
      <c r="D3666" s="73"/>
      <c r="E3666" s="73"/>
      <c r="F3666" s="73"/>
      <c r="G3666" s="73"/>
      <c r="H3666" s="73"/>
      <c r="I3666" s="73"/>
      <c r="J3666" s="73"/>
      <c r="K3666" s="73"/>
      <c r="L3666" s="73"/>
      <c r="M3666" s="73"/>
      <c r="N3666" s="73"/>
      <c r="O3666" s="73"/>
      <c r="P3666" s="73"/>
      <c r="Q3666" s="73"/>
      <c r="R3666" s="73"/>
      <c r="S3666" s="73"/>
      <c r="T3666" s="73"/>
      <c r="U3666" s="73"/>
      <c r="V3666" s="73"/>
      <c r="W3666" s="73"/>
      <c r="GL3666" s="73"/>
      <c r="GM3666" s="73"/>
      <c r="GN3666" s="73"/>
      <c r="GO3666" s="73"/>
      <c r="GP3666" s="73"/>
      <c r="GQ3666" s="73"/>
      <c r="GR3666" s="73"/>
      <c r="GS3666" s="73"/>
      <c r="GT3666" s="73"/>
      <c r="GU3666" s="73"/>
      <c r="GV3666" s="73"/>
      <c r="GW3666" s="73"/>
      <c r="GX3666" s="73"/>
      <c r="GY3666" s="73"/>
      <c r="GZ3666" s="73"/>
      <c r="HA3666" s="73"/>
      <c r="HB3666" s="73"/>
      <c r="HC3666" s="73"/>
      <c r="HD3666" s="73"/>
      <c r="HE3666" s="73"/>
      <c r="HF3666" s="73"/>
      <c r="HG3666" s="73"/>
      <c r="HH3666" s="73"/>
      <c r="HI3666" s="73"/>
      <c r="HJ3666" s="73"/>
      <c r="HK3666" s="73"/>
      <c r="HL3666" s="73"/>
      <c r="HM3666" s="73"/>
      <c r="HN3666" s="73"/>
      <c r="HO3666" s="73"/>
      <c r="HP3666" s="73"/>
      <c r="HQ3666" s="73"/>
      <c r="HR3666" s="73"/>
      <c r="HS3666" s="73"/>
      <c r="HT3666" s="73"/>
      <c r="HU3666" s="73"/>
      <c r="HV3666" s="73"/>
      <c r="HW3666" s="73"/>
      <c r="HX3666" s="73"/>
      <c r="HY3666" s="73"/>
      <c r="HZ3666" s="73"/>
      <c r="IA3666" s="73"/>
      <c r="IB3666" s="73"/>
      <c r="IC3666" s="73"/>
      <c r="ID3666" s="73"/>
      <c r="IE3666" s="73"/>
      <c r="IF3666" s="73"/>
      <c r="IG3666" s="73"/>
      <c r="IH3666" s="73"/>
      <c r="II3666" s="73"/>
      <c r="IJ3666" s="73"/>
      <c r="IK3666" s="73"/>
      <c r="IL3666" s="73"/>
      <c r="IM3666" s="73"/>
      <c r="IN3666" s="73"/>
      <c r="IO3666" s="73"/>
      <c r="IP3666" s="73"/>
      <c r="IQ3666" s="73"/>
      <c r="IR3666" s="73"/>
      <c r="IS3666" s="73"/>
      <c r="IT3666" s="73"/>
      <c r="IU3666" s="73"/>
      <c r="IV3666" s="73"/>
      <c r="IW3666" s="73"/>
      <c r="IX3666" s="73"/>
      <c r="IY3666" s="73"/>
      <c r="IZ3666" s="73"/>
      <c r="JA3666" s="73"/>
      <c r="JB3666" s="73"/>
      <c r="JC3666" s="73"/>
    </row>
    <row r="3667" spans="2:263" s="72" customFormat="1">
      <c r="B3667" s="73"/>
      <c r="C3667" s="73"/>
      <c r="D3667" s="73"/>
      <c r="E3667" s="73"/>
      <c r="F3667" s="73"/>
      <c r="G3667" s="73"/>
      <c r="H3667" s="73"/>
      <c r="I3667" s="73"/>
      <c r="J3667" s="73"/>
      <c r="K3667" s="73"/>
      <c r="L3667" s="73"/>
      <c r="M3667" s="73"/>
      <c r="N3667" s="73"/>
      <c r="O3667" s="73"/>
      <c r="P3667" s="73"/>
      <c r="Q3667" s="73"/>
      <c r="R3667" s="73"/>
      <c r="S3667" s="73"/>
      <c r="T3667" s="73"/>
      <c r="U3667" s="73"/>
      <c r="V3667" s="73"/>
      <c r="W3667" s="73"/>
      <c r="GL3667" s="73"/>
      <c r="GM3667" s="73"/>
      <c r="GN3667" s="73"/>
      <c r="GO3667" s="73"/>
      <c r="GP3667" s="73"/>
      <c r="GQ3667" s="73"/>
      <c r="GR3667" s="73"/>
      <c r="GS3667" s="73"/>
      <c r="GT3667" s="73"/>
      <c r="GU3667" s="73"/>
      <c r="GV3667" s="73"/>
      <c r="GW3667" s="73"/>
      <c r="GX3667" s="73"/>
      <c r="GY3667" s="73"/>
      <c r="GZ3667" s="73"/>
      <c r="HA3667" s="73"/>
      <c r="HB3667" s="73"/>
      <c r="HC3667" s="73"/>
      <c r="HD3667" s="73"/>
      <c r="HE3667" s="73"/>
      <c r="HF3667" s="73"/>
      <c r="HG3667" s="73"/>
      <c r="HH3667" s="73"/>
      <c r="HI3667" s="73"/>
      <c r="HJ3667" s="73"/>
      <c r="HK3667" s="73"/>
      <c r="HL3667" s="73"/>
      <c r="HM3667" s="73"/>
      <c r="HN3667" s="73"/>
      <c r="HO3667" s="73"/>
      <c r="HP3667" s="73"/>
      <c r="HQ3667" s="73"/>
      <c r="HR3667" s="73"/>
      <c r="HS3667" s="73"/>
      <c r="HT3667" s="73"/>
      <c r="HU3667" s="73"/>
      <c r="HV3667" s="73"/>
      <c r="HW3667" s="73"/>
      <c r="HX3667" s="73"/>
      <c r="HY3667" s="73"/>
      <c r="HZ3667" s="73"/>
      <c r="IA3667" s="73"/>
      <c r="IB3667" s="73"/>
      <c r="IC3667" s="73"/>
      <c r="ID3667" s="73"/>
      <c r="IE3667" s="73"/>
      <c r="IF3667" s="73"/>
      <c r="IG3667" s="73"/>
      <c r="IH3667" s="73"/>
      <c r="II3667" s="73"/>
      <c r="IJ3667" s="73"/>
      <c r="IK3667" s="73"/>
      <c r="IL3667" s="73"/>
      <c r="IM3667" s="73"/>
      <c r="IN3667" s="73"/>
      <c r="IO3667" s="73"/>
      <c r="IP3667" s="73"/>
      <c r="IQ3667" s="73"/>
      <c r="IR3667" s="73"/>
      <c r="IS3667" s="73"/>
      <c r="IT3667" s="73"/>
      <c r="IU3667" s="73"/>
      <c r="IV3667" s="73"/>
      <c r="IW3667" s="73"/>
      <c r="IX3667" s="73"/>
      <c r="IY3667" s="73"/>
      <c r="IZ3667" s="73"/>
      <c r="JA3667" s="73"/>
      <c r="JB3667" s="73"/>
      <c r="JC3667" s="73"/>
    </row>
    <row r="3668" spans="2:263" s="72" customFormat="1">
      <c r="B3668" s="73"/>
      <c r="C3668" s="73"/>
      <c r="D3668" s="73"/>
      <c r="E3668" s="73"/>
      <c r="F3668" s="73"/>
      <c r="G3668" s="73"/>
      <c r="H3668" s="73"/>
      <c r="I3668" s="73"/>
      <c r="J3668" s="73"/>
      <c r="K3668" s="73"/>
      <c r="L3668" s="73"/>
      <c r="M3668" s="73"/>
      <c r="N3668" s="73"/>
      <c r="O3668" s="73"/>
      <c r="P3668" s="73"/>
      <c r="Q3668" s="73"/>
      <c r="R3668" s="73"/>
      <c r="S3668" s="73"/>
      <c r="T3668" s="73"/>
      <c r="U3668" s="73"/>
      <c r="V3668" s="73"/>
      <c r="W3668" s="73"/>
      <c r="GL3668" s="73"/>
      <c r="GM3668" s="73"/>
      <c r="GN3668" s="73"/>
      <c r="GO3668" s="73"/>
      <c r="GP3668" s="73"/>
      <c r="GQ3668" s="73"/>
      <c r="GR3668" s="73"/>
      <c r="GS3668" s="73"/>
      <c r="GT3668" s="73"/>
      <c r="GU3668" s="73"/>
      <c r="GV3668" s="73"/>
      <c r="GW3668" s="73"/>
      <c r="GX3668" s="73"/>
      <c r="GY3668" s="73"/>
      <c r="GZ3668" s="73"/>
      <c r="HA3668" s="73"/>
      <c r="HB3668" s="73"/>
      <c r="HC3668" s="73"/>
      <c r="HD3668" s="73"/>
      <c r="HE3668" s="73"/>
      <c r="HF3668" s="73"/>
      <c r="HG3668" s="73"/>
      <c r="HH3668" s="73"/>
      <c r="HI3668" s="73"/>
      <c r="HJ3668" s="73"/>
      <c r="HK3668" s="73"/>
      <c r="HL3668" s="73"/>
      <c r="HM3668" s="73"/>
      <c r="HN3668" s="73"/>
      <c r="HO3668" s="73"/>
      <c r="HP3668" s="73"/>
      <c r="HQ3668" s="73"/>
      <c r="HR3668" s="73"/>
      <c r="HS3668" s="73"/>
      <c r="HT3668" s="73"/>
      <c r="HU3668" s="73"/>
      <c r="HV3668" s="73"/>
      <c r="HW3668" s="73"/>
      <c r="HX3668" s="73"/>
      <c r="HY3668" s="73"/>
      <c r="HZ3668" s="73"/>
      <c r="IA3668" s="73"/>
      <c r="IB3668" s="73"/>
      <c r="IC3668" s="73"/>
      <c r="ID3668" s="73"/>
      <c r="IE3668" s="73"/>
      <c r="IF3668" s="73"/>
      <c r="IG3668" s="73"/>
      <c r="IH3668" s="73"/>
      <c r="II3668" s="73"/>
      <c r="IJ3668" s="73"/>
      <c r="IK3668" s="73"/>
      <c r="IL3668" s="73"/>
      <c r="IM3668" s="73"/>
      <c r="IN3668" s="73"/>
      <c r="IO3668" s="73"/>
      <c r="IP3668" s="73"/>
      <c r="IQ3668" s="73"/>
      <c r="IR3668" s="73"/>
      <c r="IS3668" s="73"/>
      <c r="IT3668" s="73"/>
      <c r="IU3668" s="73"/>
      <c r="IV3668" s="73"/>
      <c r="IW3668" s="73"/>
      <c r="IX3668" s="73"/>
      <c r="IY3668" s="73"/>
      <c r="IZ3668" s="73"/>
      <c r="JA3668" s="73"/>
      <c r="JB3668" s="73"/>
      <c r="JC3668" s="73"/>
    </row>
    <row r="3669" spans="2:263" s="72" customFormat="1">
      <c r="B3669" s="73"/>
      <c r="C3669" s="73"/>
      <c r="D3669" s="73"/>
      <c r="E3669" s="73"/>
      <c r="F3669" s="73"/>
      <c r="G3669" s="73"/>
      <c r="H3669" s="73"/>
      <c r="I3669" s="73"/>
      <c r="J3669" s="73"/>
      <c r="K3669" s="73"/>
      <c r="L3669" s="73"/>
      <c r="M3669" s="73"/>
      <c r="N3669" s="73"/>
      <c r="O3669" s="73"/>
      <c r="P3669" s="73"/>
      <c r="Q3669" s="73"/>
      <c r="R3669" s="73"/>
      <c r="S3669" s="73"/>
      <c r="T3669" s="73"/>
      <c r="U3669" s="73"/>
      <c r="V3669" s="73"/>
      <c r="W3669" s="73"/>
      <c r="GL3669" s="73"/>
      <c r="GM3669" s="73"/>
      <c r="GN3669" s="73"/>
      <c r="GO3669" s="73"/>
      <c r="GP3669" s="73"/>
      <c r="GQ3669" s="73"/>
      <c r="GR3669" s="73"/>
      <c r="GS3669" s="73"/>
      <c r="GT3669" s="73"/>
      <c r="GU3669" s="73"/>
      <c r="GV3669" s="73"/>
      <c r="GW3669" s="73"/>
      <c r="GX3669" s="73"/>
      <c r="GY3669" s="73"/>
      <c r="GZ3669" s="73"/>
      <c r="HA3669" s="73"/>
      <c r="HB3669" s="73"/>
      <c r="HC3669" s="73"/>
      <c r="HD3669" s="73"/>
      <c r="HE3669" s="73"/>
      <c r="HF3669" s="73"/>
      <c r="HG3669" s="73"/>
      <c r="HH3669" s="73"/>
      <c r="HI3669" s="73"/>
      <c r="HJ3669" s="73"/>
      <c r="HK3669" s="73"/>
      <c r="HL3669" s="73"/>
      <c r="HM3669" s="73"/>
      <c r="HN3669" s="73"/>
      <c r="HO3669" s="73"/>
      <c r="HP3669" s="73"/>
      <c r="HQ3669" s="73"/>
      <c r="HR3669" s="73"/>
      <c r="HS3669" s="73"/>
      <c r="HT3669" s="73"/>
      <c r="HU3669" s="73"/>
      <c r="HV3669" s="73"/>
      <c r="HW3669" s="73"/>
      <c r="HX3669" s="73"/>
      <c r="HY3669" s="73"/>
      <c r="HZ3669" s="73"/>
      <c r="IA3669" s="73"/>
      <c r="IB3669" s="73"/>
      <c r="IC3669" s="73"/>
      <c r="ID3669" s="73"/>
      <c r="IE3669" s="73"/>
      <c r="IF3669" s="73"/>
      <c r="IG3669" s="73"/>
      <c r="IH3669" s="73"/>
      <c r="II3669" s="73"/>
      <c r="IJ3669" s="73"/>
      <c r="IK3669" s="73"/>
      <c r="IL3669" s="73"/>
      <c r="IM3669" s="73"/>
      <c r="IN3669" s="73"/>
      <c r="IO3669" s="73"/>
      <c r="IP3669" s="73"/>
      <c r="IQ3669" s="73"/>
      <c r="IR3669" s="73"/>
      <c r="IS3669" s="73"/>
      <c r="IT3669" s="73"/>
      <c r="IU3669" s="73"/>
      <c r="IV3669" s="73"/>
      <c r="IW3669" s="73"/>
      <c r="IX3669" s="73"/>
      <c r="IY3669" s="73"/>
      <c r="IZ3669" s="73"/>
      <c r="JA3669" s="73"/>
      <c r="JB3669" s="73"/>
      <c r="JC3669" s="73"/>
    </row>
    <row r="3670" spans="2:263" s="72" customFormat="1">
      <c r="B3670" s="73"/>
      <c r="C3670" s="73"/>
      <c r="D3670" s="73"/>
      <c r="E3670" s="73"/>
      <c r="F3670" s="73"/>
      <c r="G3670" s="73"/>
      <c r="H3670" s="73"/>
      <c r="I3670" s="73"/>
      <c r="J3670" s="73"/>
      <c r="K3670" s="73"/>
      <c r="L3670" s="73"/>
      <c r="M3670" s="73"/>
      <c r="N3670" s="73"/>
      <c r="O3670" s="73"/>
      <c r="P3670" s="73"/>
      <c r="Q3670" s="73"/>
      <c r="R3670" s="73"/>
      <c r="S3670" s="73"/>
      <c r="T3670" s="73"/>
      <c r="U3670" s="73"/>
      <c r="V3670" s="73"/>
      <c r="W3670" s="73"/>
      <c r="GL3670" s="73"/>
      <c r="GM3670" s="73"/>
      <c r="GN3670" s="73"/>
      <c r="GO3670" s="73"/>
      <c r="GP3670" s="73"/>
      <c r="GQ3670" s="73"/>
      <c r="GR3670" s="73"/>
      <c r="GS3670" s="73"/>
      <c r="GT3670" s="73"/>
      <c r="GU3670" s="73"/>
      <c r="GV3670" s="73"/>
      <c r="GW3670" s="73"/>
      <c r="GX3670" s="73"/>
      <c r="GY3670" s="73"/>
      <c r="GZ3670" s="73"/>
      <c r="HA3670" s="73"/>
      <c r="HB3670" s="73"/>
      <c r="HC3670" s="73"/>
      <c r="HD3670" s="73"/>
      <c r="HE3670" s="73"/>
      <c r="HF3670" s="73"/>
      <c r="HG3670" s="73"/>
      <c r="HH3670" s="73"/>
      <c r="HI3670" s="73"/>
      <c r="HJ3670" s="73"/>
      <c r="HK3670" s="73"/>
      <c r="HL3670" s="73"/>
      <c r="HM3670" s="73"/>
      <c r="HN3670" s="73"/>
      <c r="HO3670" s="73"/>
      <c r="HP3670" s="73"/>
      <c r="HQ3670" s="73"/>
      <c r="HR3670" s="73"/>
      <c r="HS3670" s="73"/>
      <c r="HT3670" s="73"/>
      <c r="HU3670" s="73"/>
      <c r="HV3670" s="73"/>
      <c r="HW3670" s="73"/>
      <c r="HX3670" s="73"/>
      <c r="HY3670" s="73"/>
      <c r="HZ3670" s="73"/>
      <c r="IA3670" s="73"/>
      <c r="IB3670" s="73"/>
      <c r="IC3670" s="73"/>
      <c r="ID3670" s="73"/>
      <c r="IE3670" s="73"/>
      <c r="IF3670" s="73"/>
      <c r="IG3670" s="73"/>
      <c r="IH3670" s="73"/>
      <c r="II3670" s="73"/>
      <c r="IJ3670" s="73"/>
      <c r="IK3670" s="73"/>
      <c r="IL3670" s="73"/>
      <c r="IM3670" s="73"/>
      <c r="IN3670" s="73"/>
      <c r="IO3670" s="73"/>
      <c r="IP3670" s="73"/>
      <c r="IQ3670" s="73"/>
      <c r="IR3670" s="73"/>
      <c r="IS3670" s="73"/>
      <c r="IT3670" s="73"/>
      <c r="IU3670" s="73"/>
      <c r="IV3670" s="73"/>
      <c r="IW3670" s="73"/>
      <c r="IX3670" s="73"/>
      <c r="IY3670" s="73"/>
      <c r="IZ3670" s="73"/>
      <c r="JA3670" s="73"/>
      <c r="JB3670" s="73"/>
      <c r="JC3670" s="73"/>
    </row>
    <row r="3671" spans="2:263" s="72" customFormat="1">
      <c r="B3671" s="73"/>
      <c r="C3671" s="73"/>
      <c r="D3671" s="73"/>
      <c r="E3671" s="73"/>
      <c r="F3671" s="73"/>
      <c r="G3671" s="73"/>
      <c r="H3671" s="73"/>
      <c r="I3671" s="73"/>
      <c r="J3671" s="73"/>
      <c r="K3671" s="73"/>
      <c r="L3671" s="73"/>
      <c r="M3671" s="73"/>
      <c r="N3671" s="73"/>
      <c r="O3671" s="73"/>
      <c r="P3671" s="73"/>
      <c r="Q3671" s="73"/>
      <c r="R3671" s="73"/>
      <c r="S3671" s="73"/>
      <c r="T3671" s="73"/>
      <c r="U3671" s="73"/>
      <c r="V3671" s="73"/>
      <c r="W3671" s="73"/>
      <c r="GL3671" s="73"/>
      <c r="GM3671" s="73"/>
      <c r="GN3671" s="73"/>
      <c r="GO3671" s="73"/>
      <c r="GP3671" s="73"/>
      <c r="GQ3671" s="73"/>
      <c r="GR3671" s="73"/>
      <c r="GS3671" s="73"/>
      <c r="GT3671" s="73"/>
      <c r="GU3671" s="73"/>
      <c r="GV3671" s="73"/>
      <c r="GW3671" s="73"/>
      <c r="GX3671" s="73"/>
      <c r="GY3671" s="73"/>
      <c r="GZ3671" s="73"/>
      <c r="HA3671" s="73"/>
      <c r="HB3671" s="73"/>
      <c r="HC3671" s="73"/>
      <c r="HD3671" s="73"/>
      <c r="HE3671" s="73"/>
      <c r="HF3671" s="73"/>
      <c r="HG3671" s="73"/>
      <c r="HH3671" s="73"/>
      <c r="HI3671" s="73"/>
      <c r="HJ3671" s="73"/>
      <c r="HK3671" s="73"/>
      <c r="HL3671" s="73"/>
      <c r="HM3671" s="73"/>
      <c r="HN3671" s="73"/>
      <c r="HO3671" s="73"/>
      <c r="HP3671" s="73"/>
      <c r="HQ3671" s="73"/>
      <c r="HR3671" s="73"/>
      <c r="HS3671" s="73"/>
      <c r="HT3671" s="73"/>
      <c r="HU3671" s="73"/>
      <c r="HV3671" s="73"/>
      <c r="HW3671" s="73"/>
      <c r="HX3671" s="73"/>
      <c r="HY3671" s="73"/>
      <c r="HZ3671" s="73"/>
      <c r="IA3671" s="73"/>
      <c r="IB3671" s="73"/>
      <c r="IC3671" s="73"/>
      <c r="ID3671" s="73"/>
      <c r="IE3671" s="73"/>
      <c r="IF3671" s="73"/>
      <c r="IG3671" s="73"/>
      <c r="IH3671" s="73"/>
      <c r="II3671" s="73"/>
      <c r="IJ3671" s="73"/>
      <c r="IK3671" s="73"/>
      <c r="IL3671" s="73"/>
      <c r="IM3671" s="73"/>
      <c r="IN3671" s="73"/>
      <c r="IO3671" s="73"/>
      <c r="IP3671" s="73"/>
      <c r="IQ3671" s="73"/>
      <c r="IR3671" s="73"/>
      <c r="IS3671" s="73"/>
      <c r="IT3671" s="73"/>
      <c r="IU3671" s="73"/>
      <c r="IV3671" s="73"/>
      <c r="IW3671" s="73"/>
      <c r="IX3671" s="73"/>
      <c r="IY3671" s="73"/>
      <c r="IZ3671" s="73"/>
      <c r="JA3671" s="73"/>
      <c r="JB3671" s="73"/>
      <c r="JC3671" s="73"/>
    </row>
    <row r="3672" spans="2:263" s="72" customFormat="1">
      <c r="B3672" s="73"/>
      <c r="C3672" s="73"/>
      <c r="D3672" s="73"/>
      <c r="E3672" s="73"/>
      <c r="F3672" s="73"/>
      <c r="G3672" s="73"/>
      <c r="H3672" s="73"/>
      <c r="I3672" s="73"/>
      <c r="J3672" s="73"/>
      <c r="K3672" s="73"/>
      <c r="L3672" s="73"/>
      <c r="M3672" s="73"/>
      <c r="N3672" s="73"/>
      <c r="O3672" s="73"/>
      <c r="P3672" s="73"/>
      <c r="Q3672" s="73"/>
      <c r="R3672" s="73"/>
      <c r="S3672" s="73"/>
      <c r="T3672" s="73"/>
      <c r="U3672" s="73"/>
      <c r="V3672" s="73"/>
      <c r="W3672" s="73"/>
      <c r="GL3672" s="73"/>
      <c r="GM3672" s="73"/>
      <c r="GN3672" s="73"/>
      <c r="GO3672" s="73"/>
      <c r="GP3672" s="73"/>
      <c r="GQ3672" s="73"/>
      <c r="GR3672" s="73"/>
      <c r="GS3672" s="73"/>
      <c r="GT3672" s="73"/>
      <c r="GU3672" s="73"/>
      <c r="GV3672" s="73"/>
      <c r="GW3672" s="73"/>
      <c r="GX3672" s="73"/>
      <c r="GY3672" s="73"/>
      <c r="GZ3672" s="73"/>
      <c r="HA3672" s="73"/>
      <c r="HB3672" s="73"/>
      <c r="HC3672" s="73"/>
      <c r="HD3672" s="73"/>
      <c r="HE3672" s="73"/>
      <c r="HF3672" s="73"/>
      <c r="HG3672" s="73"/>
      <c r="HH3672" s="73"/>
      <c r="HI3672" s="73"/>
      <c r="HJ3672" s="73"/>
      <c r="HK3672" s="73"/>
      <c r="HL3672" s="73"/>
      <c r="HM3672" s="73"/>
      <c r="HN3672" s="73"/>
      <c r="HO3672" s="73"/>
      <c r="HP3672" s="73"/>
      <c r="HQ3672" s="73"/>
      <c r="HR3672" s="73"/>
      <c r="HS3672" s="73"/>
      <c r="HT3672" s="73"/>
      <c r="HU3672" s="73"/>
      <c r="HV3672" s="73"/>
      <c r="HW3672" s="73"/>
      <c r="HX3672" s="73"/>
      <c r="HY3672" s="73"/>
      <c r="HZ3672" s="73"/>
      <c r="IA3672" s="73"/>
      <c r="IB3672" s="73"/>
      <c r="IC3672" s="73"/>
      <c r="ID3672" s="73"/>
      <c r="IE3672" s="73"/>
      <c r="IF3672" s="73"/>
      <c r="IG3672" s="73"/>
      <c r="IH3672" s="73"/>
      <c r="II3672" s="73"/>
      <c r="IJ3672" s="73"/>
      <c r="IK3672" s="73"/>
      <c r="IL3672" s="73"/>
      <c r="IM3672" s="73"/>
      <c r="IN3672" s="73"/>
      <c r="IO3672" s="73"/>
      <c r="IP3672" s="73"/>
      <c r="IQ3672" s="73"/>
      <c r="IR3672" s="73"/>
      <c r="IS3672" s="73"/>
      <c r="IT3672" s="73"/>
      <c r="IU3672" s="73"/>
      <c r="IV3672" s="73"/>
      <c r="IW3672" s="73"/>
      <c r="IX3672" s="73"/>
      <c r="IY3672" s="73"/>
      <c r="IZ3672" s="73"/>
      <c r="JA3672" s="73"/>
      <c r="JB3672" s="73"/>
      <c r="JC3672" s="73"/>
    </row>
    <row r="3673" spans="2:263" s="72" customFormat="1">
      <c r="B3673" s="73"/>
      <c r="C3673" s="73"/>
      <c r="D3673" s="73"/>
      <c r="E3673" s="73"/>
      <c r="F3673" s="73"/>
      <c r="G3673" s="73"/>
      <c r="H3673" s="73"/>
      <c r="I3673" s="73"/>
      <c r="J3673" s="73"/>
      <c r="K3673" s="73"/>
      <c r="L3673" s="73"/>
      <c r="M3673" s="73"/>
      <c r="N3673" s="73"/>
      <c r="O3673" s="73"/>
      <c r="P3673" s="73"/>
      <c r="Q3673" s="73"/>
      <c r="R3673" s="73"/>
      <c r="S3673" s="73"/>
      <c r="T3673" s="73"/>
      <c r="U3673" s="73"/>
      <c r="V3673" s="73"/>
      <c r="W3673" s="73"/>
      <c r="GL3673" s="73"/>
      <c r="GM3673" s="73"/>
      <c r="GN3673" s="73"/>
      <c r="GO3673" s="73"/>
      <c r="GP3673" s="73"/>
      <c r="GQ3673" s="73"/>
      <c r="GR3673" s="73"/>
      <c r="GS3673" s="73"/>
      <c r="GT3673" s="73"/>
      <c r="GU3673" s="73"/>
      <c r="GV3673" s="73"/>
      <c r="GW3673" s="73"/>
      <c r="GX3673" s="73"/>
      <c r="GY3673" s="73"/>
      <c r="GZ3673" s="73"/>
      <c r="HA3673" s="73"/>
      <c r="HB3673" s="73"/>
      <c r="HC3673" s="73"/>
      <c r="HD3673" s="73"/>
      <c r="HE3673" s="73"/>
      <c r="HF3673" s="73"/>
      <c r="HG3673" s="73"/>
      <c r="HH3673" s="73"/>
      <c r="HI3673" s="73"/>
      <c r="HJ3673" s="73"/>
      <c r="HK3673" s="73"/>
      <c r="HL3673" s="73"/>
      <c r="HM3673" s="73"/>
      <c r="HN3673" s="73"/>
      <c r="HO3673" s="73"/>
      <c r="HP3673" s="73"/>
      <c r="HQ3673" s="73"/>
      <c r="HR3673" s="73"/>
      <c r="HS3673" s="73"/>
      <c r="HT3673" s="73"/>
      <c r="HU3673" s="73"/>
      <c r="HV3673" s="73"/>
      <c r="HW3673" s="73"/>
      <c r="HX3673" s="73"/>
      <c r="HY3673" s="73"/>
      <c r="HZ3673" s="73"/>
      <c r="IA3673" s="73"/>
      <c r="IB3673" s="73"/>
      <c r="IC3673" s="73"/>
      <c r="ID3673" s="73"/>
      <c r="IE3673" s="73"/>
      <c r="IF3673" s="73"/>
      <c r="IG3673" s="73"/>
      <c r="IH3673" s="73"/>
      <c r="II3673" s="73"/>
      <c r="IJ3673" s="73"/>
      <c r="IK3673" s="73"/>
      <c r="IL3673" s="73"/>
      <c r="IM3673" s="73"/>
      <c r="IN3673" s="73"/>
      <c r="IO3673" s="73"/>
      <c r="IP3673" s="73"/>
      <c r="IQ3673" s="73"/>
      <c r="IR3673" s="73"/>
      <c r="IS3673" s="73"/>
      <c r="IT3673" s="73"/>
      <c r="IU3673" s="73"/>
      <c r="IV3673" s="73"/>
      <c r="IW3673" s="73"/>
      <c r="IX3673" s="73"/>
      <c r="IY3673" s="73"/>
      <c r="IZ3673" s="73"/>
      <c r="JA3673" s="73"/>
      <c r="JB3673" s="73"/>
      <c r="JC3673" s="73"/>
    </row>
    <row r="3674" spans="2:263" s="72" customFormat="1">
      <c r="B3674" s="73"/>
      <c r="C3674" s="73"/>
      <c r="D3674" s="73"/>
      <c r="E3674" s="73"/>
      <c r="F3674" s="73"/>
      <c r="G3674" s="73"/>
      <c r="H3674" s="73"/>
      <c r="I3674" s="73"/>
      <c r="J3674" s="73"/>
      <c r="K3674" s="73"/>
      <c r="L3674" s="73"/>
      <c r="M3674" s="73"/>
      <c r="N3674" s="73"/>
      <c r="O3674" s="73"/>
      <c r="P3674" s="73"/>
      <c r="Q3674" s="73"/>
      <c r="R3674" s="73"/>
      <c r="S3674" s="73"/>
      <c r="T3674" s="73"/>
      <c r="U3674" s="73"/>
      <c r="V3674" s="73"/>
      <c r="W3674" s="73"/>
      <c r="GL3674" s="73"/>
      <c r="GM3674" s="73"/>
      <c r="GN3674" s="73"/>
      <c r="GO3674" s="73"/>
      <c r="GP3674" s="73"/>
      <c r="GQ3674" s="73"/>
      <c r="GR3674" s="73"/>
      <c r="GS3674" s="73"/>
      <c r="GT3674" s="73"/>
      <c r="GU3674" s="73"/>
      <c r="GV3674" s="73"/>
      <c r="GW3674" s="73"/>
      <c r="GX3674" s="73"/>
      <c r="GY3674" s="73"/>
      <c r="GZ3674" s="73"/>
      <c r="HA3674" s="73"/>
      <c r="HB3674" s="73"/>
      <c r="HC3674" s="73"/>
      <c r="HD3674" s="73"/>
      <c r="HE3674" s="73"/>
      <c r="HF3674" s="73"/>
      <c r="HG3674" s="73"/>
      <c r="HH3674" s="73"/>
      <c r="HI3674" s="73"/>
      <c r="HJ3674" s="73"/>
      <c r="HK3674" s="73"/>
      <c r="HL3674" s="73"/>
      <c r="HM3674" s="73"/>
      <c r="HN3674" s="73"/>
      <c r="HO3674" s="73"/>
      <c r="HP3674" s="73"/>
      <c r="HQ3674" s="73"/>
      <c r="HR3674" s="73"/>
      <c r="HS3674" s="73"/>
      <c r="HT3674" s="73"/>
      <c r="HU3674" s="73"/>
      <c r="HV3674" s="73"/>
      <c r="HW3674" s="73"/>
      <c r="HX3674" s="73"/>
      <c r="HY3674" s="73"/>
      <c r="HZ3674" s="73"/>
      <c r="IA3674" s="73"/>
      <c r="IB3674" s="73"/>
      <c r="IC3674" s="73"/>
      <c r="ID3674" s="73"/>
      <c r="IE3674" s="73"/>
      <c r="IF3674" s="73"/>
      <c r="IG3674" s="73"/>
      <c r="IH3674" s="73"/>
      <c r="II3674" s="73"/>
      <c r="IJ3674" s="73"/>
      <c r="IK3674" s="73"/>
      <c r="IL3674" s="73"/>
      <c r="IM3674" s="73"/>
      <c r="IN3674" s="73"/>
      <c r="IO3674" s="73"/>
      <c r="IP3674" s="73"/>
      <c r="IQ3674" s="73"/>
      <c r="IR3674" s="73"/>
      <c r="IS3674" s="73"/>
      <c r="IT3674" s="73"/>
      <c r="IU3674" s="73"/>
      <c r="IV3674" s="73"/>
      <c r="IW3674" s="73"/>
      <c r="IX3674" s="73"/>
      <c r="IY3674" s="73"/>
      <c r="IZ3674" s="73"/>
      <c r="JA3674" s="73"/>
      <c r="JB3674" s="73"/>
      <c r="JC3674" s="73"/>
    </row>
    <row r="3675" spans="2:263" s="72" customFormat="1">
      <c r="B3675" s="73"/>
      <c r="C3675" s="73"/>
      <c r="D3675" s="73"/>
      <c r="E3675" s="73"/>
      <c r="F3675" s="73"/>
      <c r="G3675" s="73"/>
      <c r="H3675" s="73"/>
      <c r="I3675" s="73"/>
      <c r="J3675" s="73"/>
      <c r="K3675" s="73"/>
      <c r="L3675" s="73"/>
      <c r="M3675" s="73"/>
      <c r="N3675" s="73"/>
      <c r="O3675" s="73"/>
      <c r="P3675" s="73"/>
      <c r="Q3675" s="73"/>
      <c r="R3675" s="73"/>
      <c r="S3675" s="73"/>
      <c r="T3675" s="73"/>
      <c r="U3675" s="73"/>
      <c r="V3675" s="73"/>
      <c r="W3675" s="73"/>
      <c r="GL3675" s="73"/>
      <c r="GM3675" s="73"/>
      <c r="GN3675" s="73"/>
      <c r="GO3675" s="73"/>
      <c r="GP3675" s="73"/>
      <c r="GQ3675" s="73"/>
      <c r="GR3675" s="73"/>
      <c r="GS3675" s="73"/>
      <c r="GT3675" s="73"/>
      <c r="GU3675" s="73"/>
      <c r="GV3675" s="73"/>
      <c r="GW3675" s="73"/>
      <c r="GX3675" s="73"/>
      <c r="GY3675" s="73"/>
      <c r="GZ3675" s="73"/>
      <c r="HA3675" s="73"/>
      <c r="HB3675" s="73"/>
      <c r="HC3675" s="73"/>
      <c r="HD3675" s="73"/>
      <c r="HE3675" s="73"/>
      <c r="HF3675" s="73"/>
      <c r="HG3675" s="73"/>
      <c r="HH3675" s="73"/>
      <c r="HI3675" s="73"/>
      <c r="HJ3675" s="73"/>
      <c r="HK3675" s="73"/>
      <c r="HL3675" s="73"/>
      <c r="HM3675" s="73"/>
      <c r="HN3675" s="73"/>
      <c r="HO3675" s="73"/>
      <c r="HP3675" s="73"/>
      <c r="HQ3675" s="73"/>
      <c r="HR3675" s="73"/>
      <c r="HS3675" s="73"/>
      <c r="HT3675" s="73"/>
      <c r="HU3675" s="73"/>
      <c r="HV3675" s="73"/>
      <c r="HW3675" s="73"/>
      <c r="HX3675" s="73"/>
      <c r="HY3675" s="73"/>
      <c r="HZ3675" s="73"/>
      <c r="IA3675" s="73"/>
      <c r="IB3675" s="73"/>
      <c r="IC3675" s="73"/>
      <c r="ID3675" s="73"/>
      <c r="IE3675" s="73"/>
      <c r="IF3675" s="73"/>
      <c r="IG3675" s="73"/>
      <c r="IH3675" s="73"/>
      <c r="II3675" s="73"/>
      <c r="IJ3675" s="73"/>
      <c r="IK3675" s="73"/>
      <c r="IL3675" s="73"/>
      <c r="IM3675" s="73"/>
      <c r="IN3675" s="73"/>
      <c r="IO3675" s="73"/>
      <c r="IP3675" s="73"/>
      <c r="IQ3675" s="73"/>
      <c r="IR3675" s="73"/>
      <c r="IS3675" s="73"/>
      <c r="IT3675" s="73"/>
      <c r="IU3675" s="73"/>
      <c r="IV3675" s="73"/>
      <c r="IW3675" s="73"/>
      <c r="IX3675" s="73"/>
      <c r="IY3675" s="73"/>
      <c r="IZ3675" s="73"/>
      <c r="JA3675" s="73"/>
      <c r="JB3675" s="73"/>
      <c r="JC3675" s="73"/>
    </row>
    <row r="3676" spans="2:263" s="72" customFormat="1">
      <c r="B3676" s="73"/>
      <c r="C3676" s="73"/>
      <c r="D3676" s="73"/>
      <c r="E3676" s="73"/>
      <c r="F3676" s="73"/>
      <c r="G3676" s="73"/>
      <c r="H3676" s="73"/>
      <c r="I3676" s="73"/>
      <c r="J3676" s="73"/>
      <c r="K3676" s="73"/>
      <c r="L3676" s="73"/>
      <c r="M3676" s="73"/>
      <c r="N3676" s="73"/>
      <c r="O3676" s="73"/>
      <c r="P3676" s="73"/>
      <c r="Q3676" s="73"/>
      <c r="R3676" s="73"/>
      <c r="S3676" s="73"/>
      <c r="T3676" s="73"/>
      <c r="U3676" s="73"/>
      <c r="V3676" s="73"/>
      <c r="W3676" s="73"/>
      <c r="GL3676" s="73"/>
      <c r="GM3676" s="73"/>
      <c r="GN3676" s="73"/>
      <c r="GO3676" s="73"/>
      <c r="GP3676" s="73"/>
      <c r="GQ3676" s="73"/>
      <c r="GR3676" s="73"/>
      <c r="GS3676" s="73"/>
      <c r="GT3676" s="73"/>
      <c r="GU3676" s="73"/>
      <c r="GV3676" s="73"/>
      <c r="GW3676" s="73"/>
      <c r="GX3676" s="73"/>
      <c r="GY3676" s="73"/>
      <c r="GZ3676" s="73"/>
      <c r="HA3676" s="73"/>
      <c r="HB3676" s="73"/>
      <c r="HC3676" s="73"/>
      <c r="HD3676" s="73"/>
      <c r="HE3676" s="73"/>
      <c r="HF3676" s="73"/>
      <c r="HG3676" s="73"/>
      <c r="HH3676" s="73"/>
      <c r="HI3676" s="73"/>
      <c r="HJ3676" s="73"/>
      <c r="HK3676" s="73"/>
      <c r="HL3676" s="73"/>
      <c r="HM3676" s="73"/>
      <c r="HN3676" s="73"/>
      <c r="HO3676" s="73"/>
      <c r="HP3676" s="73"/>
      <c r="HQ3676" s="73"/>
      <c r="HR3676" s="73"/>
      <c r="HS3676" s="73"/>
      <c r="HT3676" s="73"/>
      <c r="HU3676" s="73"/>
      <c r="HV3676" s="73"/>
      <c r="HW3676" s="73"/>
      <c r="HX3676" s="73"/>
      <c r="HY3676" s="73"/>
      <c r="HZ3676" s="73"/>
      <c r="IA3676" s="73"/>
      <c r="IB3676" s="73"/>
      <c r="IC3676" s="73"/>
      <c r="ID3676" s="73"/>
      <c r="IE3676" s="73"/>
      <c r="IF3676" s="73"/>
      <c r="IG3676" s="73"/>
      <c r="IH3676" s="73"/>
      <c r="II3676" s="73"/>
      <c r="IJ3676" s="73"/>
      <c r="IK3676" s="73"/>
      <c r="IL3676" s="73"/>
      <c r="IM3676" s="73"/>
      <c r="IN3676" s="73"/>
      <c r="IO3676" s="73"/>
      <c r="IP3676" s="73"/>
      <c r="IQ3676" s="73"/>
      <c r="IR3676" s="73"/>
      <c r="IS3676" s="73"/>
      <c r="IT3676" s="73"/>
      <c r="IU3676" s="73"/>
      <c r="IV3676" s="73"/>
      <c r="IW3676" s="73"/>
      <c r="IX3676" s="73"/>
      <c r="IY3676" s="73"/>
      <c r="IZ3676" s="73"/>
      <c r="JA3676" s="73"/>
      <c r="JB3676" s="73"/>
      <c r="JC3676" s="73"/>
    </row>
    <row r="3677" spans="2:263" s="72" customFormat="1">
      <c r="B3677" s="73"/>
      <c r="C3677" s="73"/>
      <c r="D3677" s="73"/>
      <c r="E3677" s="73"/>
      <c r="F3677" s="73"/>
      <c r="G3677" s="73"/>
      <c r="H3677" s="73"/>
      <c r="I3677" s="73"/>
      <c r="J3677" s="73"/>
      <c r="K3677" s="73"/>
      <c r="L3677" s="73"/>
      <c r="M3677" s="73"/>
      <c r="N3677" s="73"/>
      <c r="O3677" s="73"/>
      <c r="P3677" s="73"/>
      <c r="Q3677" s="73"/>
      <c r="R3677" s="73"/>
      <c r="S3677" s="73"/>
      <c r="T3677" s="73"/>
      <c r="U3677" s="73"/>
      <c r="V3677" s="73"/>
      <c r="W3677" s="73"/>
      <c r="GL3677" s="73"/>
      <c r="GM3677" s="73"/>
      <c r="GN3677" s="73"/>
      <c r="GO3677" s="73"/>
      <c r="GP3677" s="73"/>
      <c r="GQ3677" s="73"/>
      <c r="GR3677" s="73"/>
      <c r="GS3677" s="73"/>
      <c r="GT3677" s="73"/>
      <c r="GU3677" s="73"/>
      <c r="GV3677" s="73"/>
      <c r="GW3677" s="73"/>
      <c r="GX3677" s="73"/>
      <c r="GY3677" s="73"/>
      <c r="GZ3677" s="73"/>
      <c r="HA3677" s="73"/>
      <c r="HB3677" s="73"/>
      <c r="HC3677" s="73"/>
      <c r="HD3677" s="73"/>
      <c r="HE3677" s="73"/>
      <c r="HF3677" s="73"/>
      <c r="HG3677" s="73"/>
      <c r="HH3677" s="73"/>
      <c r="HI3677" s="73"/>
      <c r="HJ3677" s="73"/>
      <c r="HK3677" s="73"/>
      <c r="HL3677" s="73"/>
      <c r="HM3677" s="73"/>
      <c r="HN3677" s="73"/>
      <c r="HO3677" s="73"/>
      <c r="HP3677" s="73"/>
      <c r="HQ3677" s="73"/>
      <c r="HR3677" s="73"/>
      <c r="HS3677" s="73"/>
      <c r="HT3677" s="73"/>
      <c r="HU3677" s="73"/>
      <c r="HV3677" s="73"/>
      <c r="HW3677" s="73"/>
      <c r="HX3677" s="73"/>
      <c r="HY3677" s="73"/>
      <c r="HZ3677" s="73"/>
      <c r="IA3677" s="73"/>
      <c r="IB3677" s="73"/>
      <c r="IC3677" s="73"/>
      <c r="ID3677" s="73"/>
      <c r="IE3677" s="73"/>
      <c r="IF3677" s="73"/>
      <c r="IG3677" s="73"/>
      <c r="IH3677" s="73"/>
      <c r="II3677" s="73"/>
      <c r="IJ3677" s="73"/>
      <c r="IK3677" s="73"/>
      <c r="IL3677" s="73"/>
      <c r="IM3677" s="73"/>
      <c r="IN3677" s="73"/>
      <c r="IO3677" s="73"/>
      <c r="IP3677" s="73"/>
      <c r="IQ3677" s="73"/>
      <c r="IR3677" s="73"/>
      <c r="IS3677" s="73"/>
      <c r="IT3677" s="73"/>
      <c r="IU3677" s="73"/>
      <c r="IV3677" s="73"/>
      <c r="IW3677" s="73"/>
      <c r="IX3677" s="73"/>
      <c r="IY3677" s="73"/>
      <c r="IZ3677" s="73"/>
      <c r="JA3677" s="73"/>
      <c r="JB3677" s="73"/>
      <c r="JC3677" s="73"/>
    </row>
    <row r="3678" spans="2:263" s="72" customFormat="1">
      <c r="B3678" s="73"/>
      <c r="C3678" s="73"/>
      <c r="D3678" s="73"/>
      <c r="E3678" s="73"/>
      <c r="F3678" s="73"/>
      <c r="G3678" s="73"/>
      <c r="H3678" s="73"/>
      <c r="I3678" s="73"/>
      <c r="J3678" s="73"/>
      <c r="K3678" s="73"/>
      <c r="L3678" s="73"/>
      <c r="M3678" s="73"/>
      <c r="N3678" s="73"/>
      <c r="O3678" s="73"/>
      <c r="P3678" s="73"/>
      <c r="Q3678" s="73"/>
      <c r="R3678" s="73"/>
      <c r="S3678" s="73"/>
      <c r="T3678" s="73"/>
      <c r="U3678" s="73"/>
      <c r="V3678" s="73"/>
      <c r="W3678" s="73"/>
      <c r="GL3678" s="73"/>
      <c r="GM3678" s="73"/>
      <c r="GN3678" s="73"/>
      <c r="GO3678" s="73"/>
      <c r="GP3678" s="73"/>
      <c r="GQ3678" s="73"/>
      <c r="GR3678" s="73"/>
      <c r="GS3678" s="73"/>
      <c r="GT3678" s="73"/>
      <c r="GU3678" s="73"/>
      <c r="GV3678" s="73"/>
      <c r="GW3678" s="73"/>
      <c r="GX3678" s="73"/>
      <c r="GY3678" s="73"/>
      <c r="GZ3678" s="73"/>
      <c r="HA3678" s="73"/>
      <c r="HB3678" s="73"/>
      <c r="HC3678" s="73"/>
      <c r="HD3678" s="73"/>
      <c r="HE3678" s="73"/>
      <c r="HF3678" s="73"/>
      <c r="HG3678" s="73"/>
      <c r="HH3678" s="73"/>
      <c r="HI3678" s="73"/>
      <c r="HJ3678" s="73"/>
      <c r="HK3678" s="73"/>
      <c r="HL3678" s="73"/>
      <c r="HM3678" s="73"/>
      <c r="HN3678" s="73"/>
      <c r="HO3678" s="73"/>
      <c r="HP3678" s="73"/>
      <c r="HQ3678" s="73"/>
      <c r="HR3678" s="73"/>
      <c r="HS3678" s="73"/>
      <c r="HT3678" s="73"/>
      <c r="HU3678" s="73"/>
      <c r="HV3678" s="73"/>
      <c r="HW3678" s="73"/>
      <c r="HX3678" s="73"/>
      <c r="HY3678" s="73"/>
      <c r="HZ3678" s="73"/>
      <c r="IA3678" s="73"/>
      <c r="IB3678" s="73"/>
      <c r="IC3678" s="73"/>
      <c r="ID3678" s="73"/>
      <c r="IE3678" s="73"/>
      <c r="IF3678" s="73"/>
      <c r="IG3678" s="73"/>
      <c r="IH3678" s="73"/>
      <c r="II3678" s="73"/>
      <c r="IJ3678" s="73"/>
      <c r="IK3678" s="73"/>
      <c r="IL3678" s="73"/>
      <c r="IM3678" s="73"/>
      <c r="IN3678" s="73"/>
      <c r="IO3678" s="73"/>
      <c r="IP3678" s="73"/>
      <c r="IQ3678" s="73"/>
      <c r="IR3678" s="73"/>
      <c r="IS3678" s="73"/>
      <c r="IT3678" s="73"/>
      <c r="IU3678" s="73"/>
      <c r="IV3678" s="73"/>
      <c r="IW3678" s="73"/>
      <c r="IX3678" s="73"/>
      <c r="IY3678" s="73"/>
      <c r="IZ3678" s="73"/>
      <c r="JA3678" s="73"/>
      <c r="JB3678" s="73"/>
      <c r="JC3678" s="73"/>
    </row>
    <row r="3679" spans="2:263" s="72" customFormat="1">
      <c r="B3679" s="73"/>
      <c r="C3679" s="73"/>
      <c r="D3679" s="73"/>
      <c r="E3679" s="73"/>
      <c r="F3679" s="73"/>
      <c r="G3679" s="73"/>
      <c r="H3679" s="73"/>
      <c r="I3679" s="73"/>
      <c r="J3679" s="73"/>
      <c r="K3679" s="73"/>
      <c r="L3679" s="73"/>
      <c r="M3679" s="73"/>
      <c r="N3679" s="73"/>
      <c r="O3679" s="73"/>
      <c r="P3679" s="73"/>
      <c r="Q3679" s="73"/>
      <c r="R3679" s="73"/>
      <c r="S3679" s="73"/>
      <c r="T3679" s="73"/>
      <c r="U3679" s="73"/>
      <c r="V3679" s="73"/>
      <c r="W3679" s="73"/>
      <c r="GL3679" s="73"/>
      <c r="GM3679" s="73"/>
      <c r="GN3679" s="73"/>
      <c r="GO3679" s="73"/>
      <c r="GP3679" s="73"/>
      <c r="GQ3679" s="73"/>
      <c r="GR3679" s="73"/>
      <c r="GS3679" s="73"/>
      <c r="GT3679" s="73"/>
      <c r="GU3679" s="73"/>
      <c r="GV3679" s="73"/>
      <c r="GW3679" s="73"/>
      <c r="GX3679" s="73"/>
      <c r="GY3679" s="73"/>
      <c r="GZ3679" s="73"/>
      <c r="HA3679" s="73"/>
      <c r="HB3679" s="73"/>
      <c r="HC3679" s="73"/>
      <c r="HD3679" s="73"/>
      <c r="HE3679" s="73"/>
      <c r="HF3679" s="73"/>
      <c r="HG3679" s="73"/>
      <c r="HH3679" s="73"/>
      <c r="HI3679" s="73"/>
      <c r="HJ3679" s="73"/>
      <c r="HK3679" s="73"/>
      <c r="HL3679" s="73"/>
      <c r="HM3679" s="73"/>
      <c r="HN3679" s="73"/>
      <c r="HO3679" s="73"/>
      <c r="HP3679" s="73"/>
      <c r="HQ3679" s="73"/>
      <c r="HR3679" s="73"/>
      <c r="HS3679" s="73"/>
      <c r="HT3679" s="73"/>
      <c r="HU3679" s="73"/>
      <c r="HV3679" s="73"/>
      <c r="HW3679" s="73"/>
      <c r="HX3679" s="73"/>
      <c r="HY3679" s="73"/>
      <c r="HZ3679" s="73"/>
      <c r="IA3679" s="73"/>
      <c r="IB3679" s="73"/>
      <c r="IC3679" s="73"/>
      <c r="ID3679" s="73"/>
      <c r="IE3679" s="73"/>
      <c r="IF3679" s="73"/>
      <c r="IG3679" s="73"/>
      <c r="IH3679" s="73"/>
      <c r="II3679" s="73"/>
      <c r="IJ3679" s="73"/>
      <c r="IK3679" s="73"/>
      <c r="IL3679" s="73"/>
      <c r="IM3679" s="73"/>
      <c r="IN3679" s="73"/>
      <c r="IO3679" s="73"/>
      <c r="IP3679" s="73"/>
      <c r="IQ3679" s="73"/>
      <c r="IR3679" s="73"/>
      <c r="IS3679" s="73"/>
      <c r="IT3679" s="73"/>
      <c r="IU3679" s="73"/>
      <c r="IV3679" s="73"/>
      <c r="IW3679" s="73"/>
      <c r="IX3679" s="73"/>
      <c r="IY3679" s="73"/>
      <c r="IZ3679" s="73"/>
      <c r="JA3679" s="73"/>
      <c r="JB3679" s="73"/>
      <c r="JC3679" s="73"/>
    </row>
    <row r="3680" spans="2:263" s="72" customFormat="1">
      <c r="B3680" s="73"/>
      <c r="C3680" s="73"/>
      <c r="D3680" s="73"/>
      <c r="E3680" s="73"/>
      <c r="F3680" s="73"/>
      <c r="G3680" s="73"/>
      <c r="H3680" s="73"/>
      <c r="I3680" s="73"/>
      <c r="J3680" s="73"/>
      <c r="K3680" s="73"/>
      <c r="L3680" s="73"/>
      <c r="M3680" s="73"/>
      <c r="N3680" s="73"/>
      <c r="O3680" s="73"/>
      <c r="P3680" s="73"/>
      <c r="Q3680" s="73"/>
      <c r="R3680" s="73"/>
      <c r="S3680" s="73"/>
      <c r="T3680" s="73"/>
      <c r="U3680" s="73"/>
      <c r="V3680" s="73"/>
      <c r="W3680" s="73"/>
      <c r="GL3680" s="73"/>
      <c r="GM3680" s="73"/>
      <c r="GN3680" s="73"/>
      <c r="GO3680" s="73"/>
      <c r="GP3680" s="73"/>
      <c r="GQ3680" s="73"/>
      <c r="GR3680" s="73"/>
      <c r="GS3680" s="73"/>
      <c r="GT3680" s="73"/>
      <c r="GU3680" s="73"/>
      <c r="GV3680" s="73"/>
      <c r="GW3680" s="73"/>
      <c r="GX3680" s="73"/>
      <c r="GY3680" s="73"/>
      <c r="GZ3680" s="73"/>
      <c r="HA3680" s="73"/>
      <c r="HB3680" s="73"/>
      <c r="HC3680" s="73"/>
      <c r="HD3680" s="73"/>
      <c r="HE3680" s="73"/>
      <c r="HF3680" s="73"/>
      <c r="HG3680" s="73"/>
      <c r="HH3680" s="73"/>
      <c r="HI3680" s="73"/>
      <c r="HJ3680" s="73"/>
      <c r="HK3680" s="73"/>
      <c r="HL3680" s="73"/>
      <c r="HM3680" s="73"/>
      <c r="HN3680" s="73"/>
      <c r="HO3680" s="73"/>
      <c r="HP3680" s="73"/>
      <c r="HQ3680" s="73"/>
      <c r="HR3680" s="73"/>
      <c r="HS3680" s="73"/>
      <c r="HT3680" s="73"/>
      <c r="HU3680" s="73"/>
      <c r="HV3680" s="73"/>
      <c r="HW3680" s="73"/>
      <c r="HX3680" s="73"/>
      <c r="HY3680" s="73"/>
      <c r="HZ3680" s="73"/>
      <c r="IA3680" s="73"/>
      <c r="IB3680" s="73"/>
      <c r="IC3680" s="73"/>
      <c r="ID3680" s="73"/>
      <c r="IE3680" s="73"/>
      <c r="IF3680" s="73"/>
      <c r="IG3680" s="73"/>
      <c r="IH3680" s="73"/>
      <c r="II3680" s="73"/>
      <c r="IJ3680" s="73"/>
      <c r="IK3680" s="73"/>
      <c r="IL3680" s="73"/>
      <c r="IM3680" s="73"/>
      <c r="IN3680" s="73"/>
      <c r="IO3680" s="73"/>
      <c r="IP3680" s="73"/>
      <c r="IQ3680" s="73"/>
      <c r="IR3680" s="73"/>
      <c r="IS3680" s="73"/>
      <c r="IT3680" s="73"/>
      <c r="IU3680" s="73"/>
      <c r="IV3680" s="73"/>
      <c r="IW3680" s="73"/>
      <c r="IX3680" s="73"/>
      <c r="IY3680" s="73"/>
      <c r="IZ3680" s="73"/>
      <c r="JA3680" s="73"/>
      <c r="JB3680" s="73"/>
      <c r="JC3680" s="73"/>
    </row>
    <row r="3681" spans="2:263" s="72" customFormat="1">
      <c r="B3681" s="73"/>
      <c r="C3681" s="73"/>
      <c r="D3681" s="73"/>
      <c r="E3681" s="73"/>
      <c r="F3681" s="73"/>
      <c r="G3681" s="73"/>
      <c r="H3681" s="73"/>
      <c r="I3681" s="73"/>
      <c r="J3681" s="73"/>
      <c r="K3681" s="73"/>
      <c r="L3681" s="73"/>
      <c r="M3681" s="73"/>
      <c r="N3681" s="73"/>
      <c r="O3681" s="73"/>
      <c r="P3681" s="73"/>
      <c r="Q3681" s="73"/>
      <c r="R3681" s="73"/>
      <c r="S3681" s="73"/>
      <c r="T3681" s="73"/>
      <c r="U3681" s="73"/>
      <c r="V3681" s="73"/>
      <c r="W3681" s="73"/>
      <c r="GL3681" s="73"/>
      <c r="GM3681" s="73"/>
      <c r="GN3681" s="73"/>
      <c r="GO3681" s="73"/>
      <c r="GP3681" s="73"/>
      <c r="GQ3681" s="73"/>
      <c r="GR3681" s="73"/>
      <c r="GS3681" s="73"/>
      <c r="GT3681" s="73"/>
      <c r="GU3681" s="73"/>
      <c r="GV3681" s="73"/>
      <c r="GW3681" s="73"/>
      <c r="GX3681" s="73"/>
      <c r="GY3681" s="73"/>
      <c r="GZ3681" s="73"/>
      <c r="HA3681" s="73"/>
      <c r="HB3681" s="73"/>
      <c r="HC3681" s="73"/>
      <c r="HD3681" s="73"/>
      <c r="HE3681" s="73"/>
      <c r="HF3681" s="73"/>
      <c r="HG3681" s="73"/>
      <c r="HH3681" s="73"/>
      <c r="HI3681" s="73"/>
      <c r="HJ3681" s="73"/>
      <c r="HK3681" s="73"/>
      <c r="HL3681" s="73"/>
      <c r="HM3681" s="73"/>
      <c r="HN3681" s="73"/>
      <c r="HO3681" s="73"/>
      <c r="HP3681" s="73"/>
      <c r="HQ3681" s="73"/>
      <c r="HR3681" s="73"/>
      <c r="HS3681" s="73"/>
      <c r="HT3681" s="73"/>
      <c r="HU3681" s="73"/>
      <c r="HV3681" s="73"/>
      <c r="HW3681" s="73"/>
      <c r="HX3681" s="73"/>
      <c r="HY3681" s="73"/>
      <c r="HZ3681" s="73"/>
      <c r="IA3681" s="73"/>
      <c r="IB3681" s="73"/>
      <c r="IC3681" s="73"/>
      <c r="ID3681" s="73"/>
      <c r="IE3681" s="73"/>
      <c r="IF3681" s="73"/>
      <c r="IG3681" s="73"/>
      <c r="IH3681" s="73"/>
      <c r="II3681" s="73"/>
      <c r="IJ3681" s="73"/>
      <c r="IK3681" s="73"/>
      <c r="IL3681" s="73"/>
      <c r="IM3681" s="73"/>
      <c r="IN3681" s="73"/>
      <c r="IO3681" s="73"/>
      <c r="IP3681" s="73"/>
      <c r="IQ3681" s="73"/>
      <c r="IR3681" s="73"/>
      <c r="IS3681" s="73"/>
      <c r="IT3681" s="73"/>
      <c r="IU3681" s="73"/>
      <c r="IV3681" s="73"/>
      <c r="IW3681" s="73"/>
      <c r="IX3681" s="73"/>
      <c r="IY3681" s="73"/>
      <c r="IZ3681" s="73"/>
      <c r="JA3681" s="73"/>
      <c r="JB3681" s="73"/>
      <c r="JC3681" s="73"/>
    </row>
    <row r="3682" spans="2:263" s="72" customFormat="1">
      <c r="B3682" s="73"/>
      <c r="C3682" s="73"/>
      <c r="D3682" s="73"/>
      <c r="E3682" s="73"/>
      <c r="F3682" s="73"/>
      <c r="G3682" s="73"/>
      <c r="H3682" s="73"/>
      <c r="I3682" s="73"/>
      <c r="J3682" s="73"/>
      <c r="K3682" s="73"/>
      <c r="L3682" s="73"/>
      <c r="M3682" s="73"/>
      <c r="N3682" s="73"/>
      <c r="O3682" s="73"/>
      <c r="P3682" s="73"/>
      <c r="Q3682" s="73"/>
      <c r="R3682" s="73"/>
      <c r="S3682" s="73"/>
      <c r="T3682" s="73"/>
      <c r="U3682" s="73"/>
      <c r="V3682" s="73"/>
      <c r="W3682" s="73"/>
      <c r="GL3682" s="73"/>
      <c r="GM3682" s="73"/>
      <c r="GN3682" s="73"/>
      <c r="GO3682" s="73"/>
      <c r="GP3682" s="73"/>
      <c r="GQ3682" s="73"/>
      <c r="GR3682" s="73"/>
      <c r="GS3682" s="73"/>
      <c r="GT3682" s="73"/>
      <c r="GU3682" s="73"/>
      <c r="GV3682" s="73"/>
      <c r="GW3682" s="73"/>
      <c r="GX3682" s="73"/>
      <c r="GY3682" s="73"/>
      <c r="GZ3682" s="73"/>
      <c r="HA3682" s="73"/>
      <c r="HB3682" s="73"/>
      <c r="HC3682" s="73"/>
      <c r="HD3682" s="73"/>
      <c r="HE3682" s="73"/>
      <c r="HF3682" s="73"/>
      <c r="HG3682" s="73"/>
      <c r="HH3682" s="73"/>
      <c r="HI3682" s="73"/>
      <c r="HJ3682" s="73"/>
      <c r="HK3682" s="73"/>
      <c r="HL3682" s="73"/>
      <c r="HM3682" s="73"/>
      <c r="HN3682" s="73"/>
      <c r="HO3682" s="73"/>
      <c r="HP3682" s="73"/>
      <c r="HQ3682" s="73"/>
      <c r="HR3682" s="73"/>
      <c r="HS3682" s="73"/>
      <c r="HT3682" s="73"/>
      <c r="HU3682" s="73"/>
      <c r="HV3682" s="73"/>
      <c r="HW3682" s="73"/>
      <c r="HX3682" s="73"/>
      <c r="HY3682" s="73"/>
      <c r="HZ3682" s="73"/>
      <c r="IA3682" s="73"/>
      <c r="IB3682" s="73"/>
      <c r="IC3682" s="73"/>
      <c r="ID3682" s="73"/>
      <c r="IE3682" s="73"/>
      <c r="IF3682" s="73"/>
      <c r="IG3682" s="73"/>
      <c r="IH3682" s="73"/>
      <c r="II3682" s="73"/>
      <c r="IJ3682" s="73"/>
      <c r="IK3682" s="73"/>
      <c r="IL3682" s="73"/>
      <c r="IM3682" s="73"/>
      <c r="IN3682" s="73"/>
      <c r="IO3682" s="73"/>
      <c r="IP3682" s="73"/>
      <c r="IQ3682" s="73"/>
      <c r="IR3682" s="73"/>
      <c r="IS3682" s="73"/>
      <c r="IT3682" s="73"/>
      <c r="IU3682" s="73"/>
      <c r="IV3682" s="73"/>
      <c r="IW3682" s="73"/>
      <c r="IX3682" s="73"/>
      <c r="IY3682" s="73"/>
      <c r="IZ3682" s="73"/>
      <c r="JA3682" s="73"/>
      <c r="JB3682" s="73"/>
      <c r="JC3682" s="73"/>
    </row>
    <row r="3683" spans="2:263" s="72" customFormat="1">
      <c r="B3683" s="73"/>
      <c r="C3683" s="73"/>
      <c r="D3683" s="73"/>
      <c r="E3683" s="73"/>
      <c r="F3683" s="73"/>
      <c r="G3683" s="73"/>
      <c r="H3683" s="73"/>
      <c r="I3683" s="73"/>
      <c r="J3683" s="73"/>
      <c r="K3683" s="73"/>
      <c r="L3683" s="73"/>
      <c r="M3683" s="73"/>
      <c r="N3683" s="73"/>
      <c r="O3683" s="73"/>
      <c r="P3683" s="73"/>
      <c r="Q3683" s="73"/>
      <c r="R3683" s="73"/>
      <c r="S3683" s="73"/>
      <c r="T3683" s="73"/>
      <c r="U3683" s="73"/>
      <c r="V3683" s="73"/>
      <c r="W3683" s="73"/>
      <c r="GL3683" s="73"/>
      <c r="GM3683" s="73"/>
      <c r="GN3683" s="73"/>
      <c r="GO3683" s="73"/>
      <c r="GP3683" s="73"/>
      <c r="GQ3683" s="73"/>
      <c r="GR3683" s="73"/>
      <c r="GS3683" s="73"/>
      <c r="GT3683" s="73"/>
      <c r="GU3683" s="73"/>
      <c r="GV3683" s="73"/>
      <c r="GW3683" s="73"/>
      <c r="GX3683" s="73"/>
      <c r="GY3683" s="73"/>
      <c r="GZ3683" s="73"/>
      <c r="HA3683" s="73"/>
      <c r="HB3683" s="73"/>
      <c r="HC3683" s="73"/>
      <c r="HD3683" s="73"/>
      <c r="HE3683" s="73"/>
      <c r="HF3683" s="73"/>
      <c r="HG3683" s="73"/>
      <c r="HH3683" s="73"/>
      <c r="HI3683" s="73"/>
      <c r="HJ3683" s="73"/>
      <c r="HK3683" s="73"/>
      <c r="HL3683" s="73"/>
      <c r="HM3683" s="73"/>
      <c r="HN3683" s="73"/>
      <c r="HO3683" s="73"/>
      <c r="HP3683" s="73"/>
      <c r="HQ3683" s="73"/>
      <c r="HR3683" s="73"/>
      <c r="HS3683" s="73"/>
      <c r="HT3683" s="73"/>
      <c r="HU3683" s="73"/>
      <c r="HV3683" s="73"/>
      <c r="HW3683" s="73"/>
      <c r="HX3683" s="73"/>
      <c r="HY3683" s="73"/>
      <c r="HZ3683" s="73"/>
      <c r="IA3683" s="73"/>
      <c r="IB3683" s="73"/>
      <c r="IC3683" s="73"/>
      <c r="ID3683" s="73"/>
      <c r="IE3683" s="73"/>
      <c r="IF3683" s="73"/>
      <c r="IG3683" s="73"/>
      <c r="IH3683" s="73"/>
      <c r="II3683" s="73"/>
      <c r="IJ3683" s="73"/>
      <c r="IK3683" s="73"/>
      <c r="IL3683" s="73"/>
      <c r="IM3683" s="73"/>
      <c r="IN3683" s="73"/>
      <c r="IO3683" s="73"/>
      <c r="IP3683" s="73"/>
      <c r="IQ3683" s="73"/>
      <c r="IR3683" s="73"/>
      <c r="IS3683" s="73"/>
      <c r="IT3683" s="73"/>
      <c r="IU3683" s="73"/>
      <c r="IV3683" s="73"/>
      <c r="IW3683" s="73"/>
      <c r="IX3683" s="73"/>
      <c r="IY3683" s="73"/>
      <c r="IZ3683" s="73"/>
      <c r="JA3683" s="73"/>
      <c r="JB3683" s="73"/>
      <c r="JC3683" s="73"/>
    </row>
    <row r="3684" spans="2:263" s="72" customFormat="1">
      <c r="B3684" s="73"/>
      <c r="C3684" s="73"/>
      <c r="D3684" s="73"/>
      <c r="E3684" s="73"/>
      <c r="F3684" s="73"/>
      <c r="G3684" s="73"/>
      <c r="H3684" s="73"/>
      <c r="I3684" s="73"/>
      <c r="J3684" s="73"/>
      <c r="K3684" s="73"/>
      <c r="L3684" s="73"/>
      <c r="M3684" s="73"/>
      <c r="N3684" s="73"/>
      <c r="O3684" s="73"/>
      <c r="P3684" s="73"/>
      <c r="Q3684" s="73"/>
      <c r="R3684" s="73"/>
      <c r="S3684" s="73"/>
      <c r="T3684" s="73"/>
      <c r="U3684" s="73"/>
      <c r="V3684" s="73"/>
      <c r="W3684" s="73"/>
      <c r="GL3684" s="73"/>
      <c r="GM3684" s="73"/>
      <c r="GN3684" s="73"/>
      <c r="GO3684" s="73"/>
      <c r="GP3684" s="73"/>
      <c r="GQ3684" s="73"/>
      <c r="GR3684" s="73"/>
      <c r="GS3684" s="73"/>
      <c r="GT3684" s="73"/>
      <c r="GU3684" s="73"/>
      <c r="GV3684" s="73"/>
      <c r="GW3684" s="73"/>
      <c r="GX3684" s="73"/>
      <c r="GY3684" s="73"/>
      <c r="GZ3684" s="73"/>
      <c r="HA3684" s="73"/>
      <c r="HB3684" s="73"/>
      <c r="HC3684" s="73"/>
      <c r="HD3684" s="73"/>
      <c r="HE3684" s="73"/>
      <c r="HF3684" s="73"/>
      <c r="HG3684" s="73"/>
      <c r="HH3684" s="73"/>
      <c r="HI3684" s="73"/>
      <c r="HJ3684" s="73"/>
      <c r="HK3684" s="73"/>
      <c r="HL3684" s="73"/>
      <c r="HM3684" s="73"/>
      <c r="HN3684" s="73"/>
      <c r="HO3684" s="73"/>
      <c r="HP3684" s="73"/>
      <c r="HQ3684" s="73"/>
      <c r="HR3684" s="73"/>
      <c r="HS3684" s="73"/>
      <c r="HT3684" s="73"/>
      <c r="HU3684" s="73"/>
      <c r="HV3684" s="73"/>
      <c r="HW3684" s="73"/>
      <c r="HX3684" s="73"/>
      <c r="HY3684" s="73"/>
      <c r="HZ3684" s="73"/>
      <c r="IA3684" s="73"/>
      <c r="IB3684" s="73"/>
      <c r="IC3684" s="73"/>
      <c r="ID3684" s="73"/>
      <c r="IE3684" s="73"/>
      <c r="IF3684" s="73"/>
      <c r="IG3684" s="73"/>
      <c r="IH3684" s="73"/>
      <c r="II3684" s="73"/>
      <c r="IJ3684" s="73"/>
      <c r="IK3684" s="73"/>
      <c r="IL3684" s="73"/>
      <c r="IM3684" s="73"/>
      <c r="IN3684" s="73"/>
      <c r="IO3684" s="73"/>
      <c r="IP3684" s="73"/>
      <c r="IQ3684" s="73"/>
      <c r="IR3684" s="73"/>
      <c r="IS3684" s="73"/>
      <c r="IT3684" s="73"/>
      <c r="IU3684" s="73"/>
      <c r="IV3684" s="73"/>
      <c r="IW3684" s="73"/>
      <c r="IX3684" s="73"/>
      <c r="IY3684" s="73"/>
      <c r="IZ3684" s="73"/>
      <c r="JA3684" s="73"/>
      <c r="JB3684" s="73"/>
      <c r="JC3684" s="73"/>
    </row>
  </sheetData>
  <sheetProtection password="DE31" sheet="1" objects="1" scenarios="1" selectLockedCells="1" autoFilter="0"/>
  <autoFilter ref="B70:V85"/>
  <mergeCells count="1">
    <mergeCell ref="B1:V1"/>
  </mergeCells>
  <phoneticPr fontId="39" type="noConversion"/>
  <printOptions horizontalCentered="1"/>
  <pageMargins left="0.43307086614173229" right="0.43307086614173229" top="0.35433070866141736" bottom="0.74803149606299213" header="0.31496062992125984" footer="0.31496062992125984"/>
  <pageSetup paperSize="9" scale="43" firstPageNumber="3" fitToHeight="0" orientation="landscape" useFirstPageNumber="1" horizontalDpi="300" verticalDpi="300" r:id="rId1"/>
  <headerFooter alignWithMargins="0">
    <oddFooter>Page &amp;P of &amp;N</oddFooter>
  </headerFooter>
  <rowBreaks count="2" manualBreakCount="2">
    <brk id="69" max="16383" man="1"/>
    <brk id="8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27"/>
  <sheetViews>
    <sheetView workbookViewId="0">
      <selection activeCell="K25" sqref="K25"/>
    </sheetView>
  </sheetViews>
  <sheetFormatPr defaultRowHeight="15"/>
  <cols>
    <col min="2" max="2" width="11.85546875" customWidth="1"/>
    <col min="3" max="3" width="11.7109375" customWidth="1"/>
    <col min="5" max="5" width="11.28515625" customWidth="1"/>
    <col min="6" max="6" width="18.5703125" customWidth="1"/>
    <col min="7" max="7" width="20.28515625" customWidth="1"/>
    <col min="8" max="8" width="19" customWidth="1"/>
    <col min="258" max="258" width="11.85546875" customWidth="1"/>
    <col min="259" max="259" width="11.7109375" customWidth="1"/>
    <col min="261" max="261" width="11.28515625" customWidth="1"/>
    <col min="262" max="262" width="18.5703125" customWidth="1"/>
    <col min="263" max="263" width="20.28515625" customWidth="1"/>
    <col min="264" max="264" width="19" customWidth="1"/>
    <col min="514" max="514" width="11.85546875" customWidth="1"/>
    <col min="515" max="515" width="11.7109375" customWidth="1"/>
    <col min="517" max="517" width="11.28515625" customWidth="1"/>
    <col min="518" max="518" width="18.5703125" customWidth="1"/>
    <col min="519" max="519" width="20.28515625" customWidth="1"/>
    <col min="520" max="520" width="19" customWidth="1"/>
    <col min="770" max="770" width="11.85546875" customWidth="1"/>
    <col min="771" max="771" width="11.7109375" customWidth="1"/>
    <col min="773" max="773" width="11.28515625" customWidth="1"/>
    <col min="774" max="774" width="18.5703125" customWidth="1"/>
    <col min="775" max="775" width="20.28515625" customWidth="1"/>
    <col min="776" max="776" width="19" customWidth="1"/>
    <col min="1026" max="1026" width="11.85546875" customWidth="1"/>
    <col min="1027" max="1027" width="11.7109375" customWidth="1"/>
    <col min="1029" max="1029" width="11.28515625" customWidth="1"/>
    <col min="1030" max="1030" width="18.5703125" customWidth="1"/>
    <col min="1031" max="1031" width="20.28515625" customWidth="1"/>
    <col min="1032" max="1032" width="19" customWidth="1"/>
    <col min="1282" max="1282" width="11.85546875" customWidth="1"/>
    <col min="1283" max="1283" width="11.7109375" customWidth="1"/>
    <col min="1285" max="1285" width="11.28515625" customWidth="1"/>
    <col min="1286" max="1286" width="18.5703125" customWidth="1"/>
    <col min="1287" max="1287" width="20.28515625" customWidth="1"/>
    <col min="1288" max="1288" width="19" customWidth="1"/>
    <col min="1538" max="1538" width="11.85546875" customWidth="1"/>
    <col min="1539" max="1539" width="11.7109375" customWidth="1"/>
    <col min="1541" max="1541" width="11.28515625" customWidth="1"/>
    <col min="1542" max="1542" width="18.5703125" customWidth="1"/>
    <col min="1543" max="1543" width="20.28515625" customWidth="1"/>
    <col min="1544" max="1544" width="19" customWidth="1"/>
    <col min="1794" max="1794" width="11.85546875" customWidth="1"/>
    <col min="1795" max="1795" width="11.7109375" customWidth="1"/>
    <col min="1797" max="1797" width="11.28515625" customWidth="1"/>
    <col min="1798" max="1798" width="18.5703125" customWidth="1"/>
    <col min="1799" max="1799" width="20.28515625" customWidth="1"/>
    <col min="1800" max="1800" width="19" customWidth="1"/>
    <col min="2050" max="2050" width="11.85546875" customWidth="1"/>
    <col min="2051" max="2051" width="11.7109375" customWidth="1"/>
    <col min="2053" max="2053" width="11.28515625" customWidth="1"/>
    <col min="2054" max="2054" width="18.5703125" customWidth="1"/>
    <col min="2055" max="2055" width="20.28515625" customWidth="1"/>
    <col min="2056" max="2056" width="19" customWidth="1"/>
    <col min="2306" max="2306" width="11.85546875" customWidth="1"/>
    <col min="2307" max="2307" width="11.7109375" customWidth="1"/>
    <col min="2309" max="2309" width="11.28515625" customWidth="1"/>
    <col min="2310" max="2310" width="18.5703125" customWidth="1"/>
    <col min="2311" max="2311" width="20.28515625" customWidth="1"/>
    <col min="2312" max="2312" width="19" customWidth="1"/>
    <col min="2562" max="2562" width="11.85546875" customWidth="1"/>
    <col min="2563" max="2563" width="11.7109375" customWidth="1"/>
    <col min="2565" max="2565" width="11.28515625" customWidth="1"/>
    <col min="2566" max="2566" width="18.5703125" customWidth="1"/>
    <col min="2567" max="2567" width="20.28515625" customWidth="1"/>
    <col min="2568" max="2568" width="19" customWidth="1"/>
    <col min="2818" max="2818" width="11.85546875" customWidth="1"/>
    <col min="2819" max="2819" width="11.7109375" customWidth="1"/>
    <col min="2821" max="2821" width="11.28515625" customWidth="1"/>
    <col min="2822" max="2822" width="18.5703125" customWidth="1"/>
    <col min="2823" max="2823" width="20.28515625" customWidth="1"/>
    <col min="2824" max="2824" width="19" customWidth="1"/>
    <col min="3074" max="3074" width="11.85546875" customWidth="1"/>
    <col min="3075" max="3075" width="11.7109375" customWidth="1"/>
    <col min="3077" max="3077" width="11.28515625" customWidth="1"/>
    <col min="3078" max="3078" width="18.5703125" customWidth="1"/>
    <col min="3079" max="3079" width="20.28515625" customWidth="1"/>
    <col min="3080" max="3080" width="19" customWidth="1"/>
    <col min="3330" max="3330" width="11.85546875" customWidth="1"/>
    <col min="3331" max="3331" width="11.7109375" customWidth="1"/>
    <col min="3333" max="3333" width="11.28515625" customWidth="1"/>
    <col min="3334" max="3334" width="18.5703125" customWidth="1"/>
    <col min="3335" max="3335" width="20.28515625" customWidth="1"/>
    <col min="3336" max="3336" width="19" customWidth="1"/>
    <col min="3586" max="3586" width="11.85546875" customWidth="1"/>
    <col min="3587" max="3587" width="11.7109375" customWidth="1"/>
    <col min="3589" max="3589" width="11.28515625" customWidth="1"/>
    <col min="3590" max="3590" width="18.5703125" customWidth="1"/>
    <col min="3591" max="3591" width="20.28515625" customWidth="1"/>
    <col min="3592" max="3592" width="19" customWidth="1"/>
    <col min="3842" max="3842" width="11.85546875" customWidth="1"/>
    <col min="3843" max="3843" width="11.7109375" customWidth="1"/>
    <col min="3845" max="3845" width="11.28515625" customWidth="1"/>
    <col min="3846" max="3846" width="18.5703125" customWidth="1"/>
    <col min="3847" max="3847" width="20.28515625" customWidth="1"/>
    <col min="3848" max="3848" width="19" customWidth="1"/>
    <col min="4098" max="4098" width="11.85546875" customWidth="1"/>
    <col min="4099" max="4099" width="11.7109375" customWidth="1"/>
    <col min="4101" max="4101" width="11.28515625" customWidth="1"/>
    <col min="4102" max="4102" width="18.5703125" customWidth="1"/>
    <col min="4103" max="4103" width="20.28515625" customWidth="1"/>
    <col min="4104" max="4104" width="19" customWidth="1"/>
    <col min="4354" max="4354" width="11.85546875" customWidth="1"/>
    <col min="4355" max="4355" width="11.7109375" customWidth="1"/>
    <col min="4357" max="4357" width="11.28515625" customWidth="1"/>
    <col min="4358" max="4358" width="18.5703125" customWidth="1"/>
    <col min="4359" max="4359" width="20.28515625" customWidth="1"/>
    <col min="4360" max="4360" width="19" customWidth="1"/>
    <col min="4610" max="4610" width="11.85546875" customWidth="1"/>
    <col min="4611" max="4611" width="11.7109375" customWidth="1"/>
    <col min="4613" max="4613" width="11.28515625" customWidth="1"/>
    <col min="4614" max="4614" width="18.5703125" customWidth="1"/>
    <col min="4615" max="4615" width="20.28515625" customWidth="1"/>
    <col min="4616" max="4616" width="19" customWidth="1"/>
    <col min="4866" max="4866" width="11.85546875" customWidth="1"/>
    <col min="4867" max="4867" width="11.7109375" customWidth="1"/>
    <col min="4869" max="4869" width="11.28515625" customWidth="1"/>
    <col min="4870" max="4870" width="18.5703125" customWidth="1"/>
    <col min="4871" max="4871" width="20.28515625" customWidth="1"/>
    <col min="4872" max="4872" width="19" customWidth="1"/>
    <col min="5122" max="5122" width="11.85546875" customWidth="1"/>
    <col min="5123" max="5123" width="11.7109375" customWidth="1"/>
    <col min="5125" max="5125" width="11.28515625" customWidth="1"/>
    <col min="5126" max="5126" width="18.5703125" customWidth="1"/>
    <col min="5127" max="5127" width="20.28515625" customWidth="1"/>
    <col min="5128" max="5128" width="19" customWidth="1"/>
    <col min="5378" max="5378" width="11.85546875" customWidth="1"/>
    <col min="5379" max="5379" width="11.7109375" customWidth="1"/>
    <col min="5381" max="5381" width="11.28515625" customWidth="1"/>
    <col min="5382" max="5382" width="18.5703125" customWidth="1"/>
    <col min="5383" max="5383" width="20.28515625" customWidth="1"/>
    <col min="5384" max="5384" width="19" customWidth="1"/>
    <col min="5634" max="5634" width="11.85546875" customWidth="1"/>
    <col min="5635" max="5635" width="11.7109375" customWidth="1"/>
    <col min="5637" max="5637" width="11.28515625" customWidth="1"/>
    <col min="5638" max="5638" width="18.5703125" customWidth="1"/>
    <col min="5639" max="5639" width="20.28515625" customWidth="1"/>
    <col min="5640" max="5640" width="19" customWidth="1"/>
    <col min="5890" max="5890" width="11.85546875" customWidth="1"/>
    <col min="5891" max="5891" width="11.7109375" customWidth="1"/>
    <col min="5893" max="5893" width="11.28515625" customWidth="1"/>
    <col min="5894" max="5894" width="18.5703125" customWidth="1"/>
    <col min="5895" max="5895" width="20.28515625" customWidth="1"/>
    <col min="5896" max="5896" width="19" customWidth="1"/>
    <col min="6146" max="6146" width="11.85546875" customWidth="1"/>
    <col min="6147" max="6147" width="11.7109375" customWidth="1"/>
    <col min="6149" max="6149" width="11.28515625" customWidth="1"/>
    <col min="6150" max="6150" width="18.5703125" customWidth="1"/>
    <col min="6151" max="6151" width="20.28515625" customWidth="1"/>
    <col min="6152" max="6152" width="19" customWidth="1"/>
    <col min="6402" max="6402" width="11.85546875" customWidth="1"/>
    <col min="6403" max="6403" width="11.7109375" customWidth="1"/>
    <col min="6405" max="6405" width="11.28515625" customWidth="1"/>
    <col min="6406" max="6406" width="18.5703125" customWidth="1"/>
    <col min="6407" max="6407" width="20.28515625" customWidth="1"/>
    <col min="6408" max="6408" width="19" customWidth="1"/>
    <col min="6658" max="6658" width="11.85546875" customWidth="1"/>
    <col min="6659" max="6659" width="11.7109375" customWidth="1"/>
    <col min="6661" max="6661" width="11.28515625" customWidth="1"/>
    <col min="6662" max="6662" width="18.5703125" customWidth="1"/>
    <col min="6663" max="6663" width="20.28515625" customWidth="1"/>
    <col min="6664" max="6664" width="19" customWidth="1"/>
    <col min="6914" max="6914" width="11.85546875" customWidth="1"/>
    <col min="6915" max="6915" width="11.7109375" customWidth="1"/>
    <col min="6917" max="6917" width="11.28515625" customWidth="1"/>
    <col min="6918" max="6918" width="18.5703125" customWidth="1"/>
    <col min="6919" max="6919" width="20.28515625" customWidth="1"/>
    <col min="6920" max="6920" width="19" customWidth="1"/>
    <col min="7170" max="7170" width="11.85546875" customWidth="1"/>
    <col min="7171" max="7171" width="11.7109375" customWidth="1"/>
    <col min="7173" max="7173" width="11.28515625" customWidth="1"/>
    <col min="7174" max="7174" width="18.5703125" customWidth="1"/>
    <col min="7175" max="7175" width="20.28515625" customWidth="1"/>
    <col min="7176" max="7176" width="19" customWidth="1"/>
    <col min="7426" max="7426" width="11.85546875" customWidth="1"/>
    <col min="7427" max="7427" width="11.7109375" customWidth="1"/>
    <col min="7429" max="7429" width="11.28515625" customWidth="1"/>
    <col min="7430" max="7430" width="18.5703125" customWidth="1"/>
    <col min="7431" max="7431" width="20.28515625" customWidth="1"/>
    <col min="7432" max="7432" width="19" customWidth="1"/>
    <col min="7682" max="7682" width="11.85546875" customWidth="1"/>
    <col min="7683" max="7683" width="11.7109375" customWidth="1"/>
    <col min="7685" max="7685" width="11.28515625" customWidth="1"/>
    <col min="7686" max="7686" width="18.5703125" customWidth="1"/>
    <col min="7687" max="7687" width="20.28515625" customWidth="1"/>
    <col min="7688" max="7688" width="19" customWidth="1"/>
    <col min="7938" max="7938" width="11.85546875" customWidth="1"/>
    <col min="7939" max="7939" width="11.7109375" customWidth="1"/>
    <col min="7941" max="7941" width="11.28515625" customWidth="1"/>
    <col min="7942" max="7942" width="18.5703125" customWidth="1"/>
    <col min="7943" max="7943" width="20.28515625" customWidth="1"/>
    <col min="7944" max="7944" width="19" customWidth="1"/>
    <col min="8194" max="8194" width="11.85546875" customWidth="1"/>
    <col min="8195" max="8195" width="11.7109375" customWidth="1"/>
    <col min="8197" max="8197" width="11.28515625" customWidth="1"/>
    <col min="8198" max="8198" width="18.5703125" customWidth="1"/>
    <col min="8199" max="8199" width="20.28515625" customWidth="1"/>
    <col min="8200" max="8200" width="19" customWidth="1"/>
    <col min="8450" max="8450" width="11.85546875" customWidth="1"/>
    <col min="8451" max="8451" width="11.7109375" customWidth="1"/>
    <col min="8453" max="8453" width="11.28515625" customWidth="1"/>
    <col min="8454" max="8454" width="18.5703125" customWidth="1"/>
    <col min="8455" max="8455" width="20.28515625" customWidth="1"/>
    <col min="8456" max="8456" width="19" customWidth="1"/>
    <col min="8706" max="8706" width="11.85546875" customWidth="1"/>
    <col min="8707" max="8707" width="11.7109375" customWidth="1"/>
    <col min="8709" max="8709" width="11.28515625" customWidth="1"/>
    <col min="8710" max="8710" width="18.5703125" customWidth="1"/>
    <col min="8711" max="8711" width="20.28515625" customWidth="1"/>
    <col min="8712" max="8712" width="19" customWidth="1"/>
    <col min="8962" max="8962" width="11.85546875" customWidth="1"/>
    <col min="8963" max="8963" width="11.7109375" customWidth="1"/>
    <col min="8965" max="8965" width="11.28515625" customWidth="1"/>
    <col min="8966" max="8966" width="18.5703125" customWidth="1"/>
    <col min="8967" max="8967" width="20.28515625" customWidth="1"/>
    <col min="8968" max="8968" width="19" customWidth="1"/>
    <col min="9218" max="9218" width="11.85546875" customWidth="1"/>
    <col min="9219" max="9219" width="11.7109375" customWidth="1"/>
    <col min="9221" max="9221" width="11.28515625" customWidth="1"/>
    <col min="9222" max="9222" width="18.5703125" customWidth="1"/>
    <col min="9223" max="9223" width="20.28515625" customWidth="1"/>
    <col min="9224" max="9224" width="19" customWidth="1"/>
    <col min="9474" max="9474" width="11.85546875" customWidth="1"/>
    <col min="9475" max="9475" width="11.7109375" customWidth="1"/>
    <col min="9477" max="9477" width="11.28515625" customWidth="1"/>
    <col min="9478" max="9478" width="18.5703125" customWidth="1"/>
    <col min="9479" max="9479" width="20.28515625" customWidth="1"/>
    <col min="9480" max="9480" width="19" customWidth="1"/>
    <col min="9730" max="9730" width="11.85546875" customWidth="1"/>
    <col min="9731" max="9731" width="11.7109375" customWidth="1"/>
    <col min="9733" max="9733" width="11.28515625" customWidth="1"/>
    <col min="9734" max="9734" width="18.5703125" customWidth="1"/>
    <col min="9735" max="9735" width="20.28515625" customWidth="1"/>
    <col min="9736" max="9736" width="19" customWidth="1"/>
    <col min="9986" max="9986" width="11.85546875" customWidth="1"/>
    <col min="9987" max="9987" width="11.7109375" customWidth="1"/>
    <col min="9989" max="9989" width="11.28515625" customWidth="1"/>
    <col min="9990" max="9990" width="18.5703125" customWidth="1"/>
    <col min="9991" max="9991" width="20.28515625" customWidth="1"/>
    <col min="9992" max="9992" width="19" customWidth="1"/>
    <col min="10242" max="10242" width="11.85546875" customWidth="1"/>
    <col min="10243" max="10243" width="11.7109375" customWidth="1"/>
    <col min="10245" max="10245" width="11.28515625" customWidth="1"/>
    <col min="10246" max="10246" width="18.5703125" customWidth="1"/>
    <col min="10247" max="10247" width="20.28515625" customWidth="1"/>
    <col min="10248" max="10248" width="19" customWidth="1"/>
    <col min="10498" max="10498" width="11.85546875" customWidth="1"/>
    <col min="10499" max="10499" width="11.7109375" customWidth="1"/>
    <col min="10501" max="10501" width="11.28515625" customWidth="1"/>
    <col min="10502" max="10502" width="18.5703125" customWidth="1"/>
    <col min="10503" max="10503" width="20.28515625" customWidth="1"/>
    <col min="10504" max="10504" width="19" customWidth="1"/>
    <col min="10754" max="10754" width="11.85546875" customWidth="1"/>
    <col min="10755" max="10755" width="11.7109375" customWidth="1"/>
    <col min="10757" max="10757" width="11.28515625" customWidth="1"/>
    <col min="10758" max="10758" width="18.5703125" customWidth="1"/>
    <col min="10759" max="10759" width="20.28515625" customWidth="1"/>
    <col min="10760" max="10760" width="19" customWidth="1"/>
    <col min="11010" max="11010" width="11.85546875" customWidth="1"/>
    <col min="11011" max="11011" width="11.7109375" customWidth="1"/>
    <col min="11013" max="11013" width="11.28515625" customWidth="1"/>
    <col min="11014" max="11014" width="18.5703125" customWidth="1"/>
    <col min="11015" max="11015" width="20.28515625" customWidth="1"/>
    <col min="11016" max="11016" width="19" customWidth="1"/>
    <col min="11266" max="11266" width="11.85546875" customWidth="1"/>
    <col min="11267" max="11267" width="11.7109375" customWidth="1"/>
    <col min="11269" max="11269" width="11.28515625" customWidth="1"/>
    <col min="11270" max="11270" width="18.5703125" customWidth="1"/>
    <col min="11271" max="11271" width="20.28515625" customWidth="1"/>
    <col min="11272" max="11272" width="19" customWidth="1"/>
    <col min="11522" max="11522" width="11.85546875" customWidth="1"/>
    <col min="11523" max="11523" width="11.7109375" customWidth="1"/>
    <col min="11525" max="11525" width="11.28515625" customWidth="1"/>
    <col min="11526" max="11526" width="18.5703125" customWidth="1"/>
    <col min="11527" max="11527" width="20.28515625" customWidth="1"/>
    <col min="11528" max="11528" width="19" customWidth="1"/>
    <col min="11778" max="11778" width="11.85546875" customWidth="1"/>
    <col min="11779" max="11779" width="11.7109375" customWidth="1"/>
    <col min="11781" max="11781" width="11.28515625" customWidth="1"/>
    <col min="11782" max="11782" width="18.5703125" customWidth="1"/>
    <col min="11783" max="11783" width="20.28515625" customWidth="1"/>
    <col min="11784" max="11784" width="19" customWidth="1"/>
    <col min="12034" max="12034" width="11.85546875" customWidth="1"/>
    <col min="12035" max="12035" width="11.7109375" customWidth="1"/>
    <col min="12037" max="12037" width="11.28515625" customWidth="1"/>
    <col min="12038" max="12038" width="18.5703125" customWidth="1"/>
    <col min="12039" max="12039" width="20.28515625" customWidth="1"/>
    <col min="12040" max="12040" width="19" customWidth="1"/>
    <col min="12290" max="12290" width="11.85546875" customWidth="1"/>
    <col min="12291" max="12291" width="11.7109375" customWidth="1"/>
    <col min="12293" max="12293" width="11.28515625" customWidth="1"/>
    <col min="12294" max="12294" width="18.5703125" customWidth="1"/>
    <col min="12295" max="12295" width="20.28515625" customWidth="1"/>
    <col min="12296" max="12296" width="19" customWidth="1"/>
    <col min="12546" max="12546" width="11.85546875" customWidth="1"/>
    <col min="12547" max="12547" width="11.7109375" customWidth="1"/>
    <col min="12549" max="12549" width="11.28515625" customWidth="1"/>
    <col min="12550" max="12550" width="18.5703125" customWidth="1"/>
    <col min="12551" max="12551" width="20.28515625" customWidth="1"/>
    <col min="12552" max="12552" width="19" customWidth="1"/>
    <col min="12802" max="12802" width="11.85546875" customWidth="1"/>
    <col min="12803" max="12803" width="11.7109375" customWidth="1"/>
    <col min="12805" max="12805" width="11.28515625" customWidth="1"/>
    <col min="12806" max="12806" width="18.5703125" customWidth="1"/>
    <col min="12807" max="12807" width="20.28515625" customWidth="1"/>
    <col min="12808" max="12808" width="19" customWidth="1"/>
    <col min="13058" max="13058" width="11.85546875" customWidth="1"/>
    <col min="13059" max="13059" width="11.7109375" customWidth="1"/>
    <col min="13061" max="13061" width="11.28515625" customWidth="1"/>
    <col min="13062" max="13062" width="18.5703125" customWidth="1"/>
    <col min="13063" max="13063" width="20.28515625" customWidth="1"/>
    <col min="13064" max="13064" width="19" customWidth="1"/>
    <col min="13314" max="13314" width="11.85546875" customWidth="1"/>
    <col min="13315" max="13315" width="11.7109375" customWidth="1"/>
    <col min="13317" max="13317" width="11.28515625" customWidth="1"/>
    <col min="13318" max="13318" width="18.5703125" customWidth="1"/>
    <col min="13319" max="13319" width="20.28515625" customWidth="1"/>
    <col min="13320" max="13320" width="19" customWidth="1"/>
    <col min="13570" max="13570" width="11.85546875" customWidth="1"/>
    <col min="13571" max="13571" width="11.7109375" customWidth="1"/>
    <col min="13573" max="13573" width="11.28515625" customWidth="1"/>
    <col min="13574" max="13574" width="18.5703125" customWidth="1"/>
    <col min="13575" max="13575" width="20.28515625" customWidth="1"/>
    <col min="13576" max="13576" width="19" customWidth="1"/>
    <col min="13826" max="13826" width="11.85546875" customWidth="1"/>
    <col min="13827" max="13827" width="11.7109375" customWidth="1"/>
    <col min="13829" max="13829" width="11.28515625" customWidth="1"/>
    <col min="13830" max="13830" width="18.5703125" customWidth="1"/>
    <col min="13831" max="13831" width="20.28515625" customWidth="1"/>
    <col min="13832" max="13832" width="19" customWidth="1"/>
    <col min="14082" max="14082" width="11.85546875" customWidth="1"/>
    <col min="14083" max="14083" width="11.7109375" customWidth="1"/>
    <col min="14085" max="14085" width="11.28515625" customWidth="1"/>
    <col min="14086" max="14086" width="18.5703125" customWidth="1"/>
    <col min="14087" max="14087" width="20.28515625" customWidth="1"/>
    <col min="14088" max="14088" width="19" customWidth="1"/>
    <col min="14338" max="14338" width="11.85546875" customWidth="1"/>
    <col min="14339" max="14339" width="11.7109375" customWidth="1"/>
    <col min="14341" max="14341" width="11.28515625" customWidth="1"/>
    <col min="14342" max="14342" width="18.5703125" customWidth="1"/>
    <col min="14343" max="14343" width="20.28515625" customWidth="1"/>
    <col min="14344" max="14344" width="19" customWidth="1"/>
    <col min="14594" max="14594" width="11.85546875" customWidth="1"/>
    <col min="14595" max="14595" width="11.7109375" customWidth="1"/>
    <col min="14597" max="14597" width="11.28515625" customWidth="1"/>
    <col min="14598" max="14598" width="18.5703125" customWidth="1"/>
    <col min="14599" max="14599" width="20.28515625" customWidth="1"/>
    <col min="14600" max="14600" width="19" customWidth="1"/>
    <col min="14850" max="14850" width="11.85546875" customWidth="1"/>
    <col min="14851" max="14851" width="11.7109375" customWidth="1"/>
    <col min="14853" max="14853" width="11.28515625" customWidth="1"/>
    <col min="14854" max="14854" width="18.5703125" customWidth="1"/>
    <col min="14855" max="14855" width="20.28515625" customWidth="1"/>
    <col min="14856" max="14856" width="19" customWidth="1"/>
    <col min="15106" max="15106" width="11.85546875" customWidth="1"/>
    <col min="15107" max="15107" width="11.7109375" customWidth="1"/>
    <col min="15109" max="15109" width="11.28515625" customWidth="1"/>
    <col min="15110" max="15110" width="18.5703125" customWidth="1"/>
    <col min="15111" max="15111" width="20.28515625" customWidth="1"/>
    <col min="15112" max="15112" width="19" customWidth="1"/>
    <col min="15362" max="15362" width="11.85546875" customWidth="1"/>
    <col min="15363" max="15363" width="11.7109375" customWidth="1"/>
    <col min="15365" max="15365" width="11.28515625" customWidth="1"/>
    <col min="15366" max="15366" width="18.5703125" customWidth="1"/>
    <col min="15367" max="15367" width="20.28515625" customWidth="1"/>
    <col min="15368" max="15368" width="19" customWidth="1"/>
    <col min="15618" max="15618" width="11.85546875" customWidth="1"/>
    <col min="15619" max="15619" width="11.7109375" customWidth="1"/>
    <col min="15621" max="15621" width="11.28515625" customWidth="1"/>
    <col min="15622" max="15622" width="18.5703125" customWidth="1"/>
    <col min="15623" max="15623" width="20.28515625" customWidth="1"/>
    <col min="15624" max="15624" width="19" customWidth="1"/>
    <col min="15874" max="15874" width="11.85546875" customWidth="1"/>
    <col min="15875" max="15875" width="11.7109375" customWidth="1"/>
    <col min="15877" max="15877" width="11.28515625" customWidth="1"/>
    <col min="15878" max="15878" width="18.5703125" customWidth="1"/>
    <col min="15879" max="15879" width="20.28515625" customWidth="1"/>
    <col min="15880" max="15880" width="19" customWidth="1"/>
    <col min="16130" max="16130" width="11.85546875" customWidth="1"/>
    <col min="16131" max="16131" width="11.7109375" customWidth="1"/>
    <col min="16133" max="16133" width="11.28515625" customWidth="1"/>
    <col min="16134" max="16134" width="18.5703125" customWidth="1"/>
    <col min="16135" max="16135" width="20.28515625" customWidth="1"/>
    <col min="16136" max="16136" width="19" customWidth="1"/>
  </cols>
  <sheetData>
    <row r="1" spans="1:8" ht="15.75">
      <c r="A1" s="26" t="s">
        <v>223</v>
      </c>
      <c r="B1" s="26"/>
      <c r="C1" s="26"/>
      <c r="D1" s="26"/>
      <c r="E1" s="26"/>
      <c r="F1" s="26"/>
      <c r="G1" s="26"/>
    </row>
    <row r="2" spans="1:8" ht="15.75">
      <c r="A2" s="26"/>
      <c r="B2" s="26"/>
      <c r="C2" s="26"/>
      <c r="D2" s="26"/>
      <c r="E2" s="26"/>
      <c r="F2" s="26"/>
      <c r="G2" s="26"/>
    </row>
    <row r="3" spans="1:8" ht="15.75">
      <c r="A3" s="26"/>
      <c r="B3" s="26"/>
      <c r="C3" s="26"/>
      <c r="D3" s="26"/>
      <c r="E3" s="26"/>
      <c r="F3" s="26"/>
      <c r="G3" s="26"/>
    </row>
    <row r="5" spans="1:8">
      <c r="A5" s="27" t="s">
        <v>224</v>
      </c>
      <c r="B5" s="28"/>
      <c r="C5" s="28"/>
      <c r="D5" s="28"/>
      <c r="E5" s="28"/>
      <c r="F5" s="28"/>
    </row>
    <row r="6" spans="1:8">
      <c r="A6" s="27"/>
      <c r="B6" s="28"/>
      <c r="C6" s="28"/>
      <c r="D6" s="28"/>
      <c r="E6" s="28"/>
      <c r="F6" s="28"/>
    </row>
    <row r="8" spans="1:8" ht="15.75">
      <c r="A8" s="26" t="s">
        <v>225</v>
      </c>
      <c r="B8" s="26"/>
    </row>
    <row r="9" spans="1:8" ht="15.75" thickBot="1"/>
    <row r="10" spans="1:8" ht="15" customHeight="1">
      <c r="A10" s="309" t="s">
        <v>226</v>
      </c>
      <c r="B10" s="311" t="s">
        <v>227</v>
      </c>
      <c r="C10" s="311" t="s">
        <v>228</v>
      </c>
      <c r="D10" s="314" t="s">
        <v>229</v>
      </c>
      <c r="E10" s="307" t="s">
        <v>2137</v>
      </c>
      <c r="F10" s="307" t="s">
        <v>230</v>
      </c>
      <c r="G10" s="307" t="s">
        <v>791</v>
      </c>
      <c r="H10" s="307" t="s">
        <v>2138</v>
      </c>
    </row>
    <row r="11" spans="1:8" ht="15.75" thickBot="1">
      <c r="A11" s="310"/>
      <c r="B11" s="312"/>
      <c r="C11" s="313"/>
      <c r="D11" s="315"/>
      <c r="E11" s="316"/>
      <c r="F11" s="308"/>
      <c r="G11" s="308"/>
      <c r="H11" s="308"/>
    </row>
    <row r="12" spans="1:8">
      <c r="A12" s="29"/>
      <c r="B12" s="30"/>
      <c r="C12" s="31"/>
      <c r="D12" s="199"/>
      <c r="E12" s="32"/>
      <c r="F12" s="33"/>
      <c r="G12" s="34"/>
      <c r="H12" s="35"/>
    </row>
    <row r="13" spans="1:8">
      <c r="A13" s="36"/>
      <c r="B13" s="37"/>
      <c r="C13" s="38"/>
      <c r="D13" s="39"/>
      <c r="E13" s="40"/>
      <c r="F13" s="41"/>
      <c r="G13" s="42"/>
      <c r="H13" s="43"/>
    </row>
    <row r="14" spans="1:8">
      <c r="A14" s="36"/>
      <c r="B14" s="37"/>
      <c r="C14" s="38"/>
      <c r="D14" s="39"/>
      <c r="E14" s="40"/>
      <c r="F14" s="41"/>
      <c r="G14" s="42"/>
      <c r="H14" s="43"/>
    </row>
    <row r="15" spans="1:8">
      <c r="A15" s="36"/>
      <c r="B15" s="37"/>
      <c r="C15" s="38"/>
      <c r="D15" s="39"/>
      <c r="E15" s="40"/>
      <c r="F15" s="41"/>
      <c r="G15" s="42"/>
      <c r="H15" s="43"/>
    </row>
    <row r="16" spans="1:8">
      <c r="A16" s="36"/>
      <c r="B16" s="37"/>
      <c r="C16" s="38"/>
      <c r="D16" s="39"/>
      <c r="E16" s="40"/>
      <c r="F16" s="41"/>
      <c r="G16" s="42"/>
      <c r="H16" s="43"/>
    </row>
    <row r="17" spans="1:23">
      <c r="A17" s="36"/>
      <c r="B17" s="37"/>
      <c r="C17" s="38"/>
      <c r="D17" s="39"/>
      <c r="E17" s="40"/>
      <c r="F17" s="41"/>
      <c r="G17" s="42"/>
      <c r="H17" s="43"/>
    </row>
    <row r="18" spans="1:23">
      <c r="A18" s="36"/>
      <c r="B18" s="37"/>
      <c r="C18" s="38"/>
      <c r="D18" s="39"/>
      <c r="E18" s="40"/>
      <c r="F18" s="41"/>
      <c r="G18" s="42"/>
      <c r="H18" s="43"/>
    </row>
    <row r="19" spans="1:23">
      <c r="A19" s="36"/>
      <c r="B19" s="37"/>
      <c r="C19" s="38"/>
      <c r="D19" s="39"/>
      <c r="E19" s="40"/>
      <c r="F19" s="41"/>
      <c r="G19" s="42"/>
      <c r="H19" s="43"/>
    </row>
    <row r="20" spans="1:23" ht="15.75" thickBot="1">
      <c r="A20" s="44"/>
      <c r="B20" s="45"/>
      <c r="C20" s="46"/>
      <c r="D20" s="47"/>
      <c r="E20" s="48"/>
      <c r="F20" s="49"/>
      <c r="G20" s="50"/>
      <c r="H20" s="51"/>
    </row>
    <row r="21" spans="1:23">
      <c r="A21" s="52"/>
      <c r="B21" s="52"/>
      <c r="C21" s="52"/>
      <c r="D21" s="52"/>
      <c r="E21" s="52"/>
      <c r="F21" s="53"/>
      <c r="G21" s="53"/>
      <c r="H21" s="53"/>
    </row>
    <row r="23" spans="1:23" s="52" customFormat="1">
      <c r="A23" s="54" t="s">
        <v>231</v>
      </c>
      <c r="B23" s="55"/>
      <c r="C23" s="56"/>
      <c r="D23" s="56"/>
      <c r="E23" s="56"/>
      <c r="F23" s="56"/>
      <c r="G23" s="57" t="s">
        <v>232</v>
      </c>
      <c r="H23" s="56"/>
      <c r="I23" s="56"/>
      <c r="J23" s="56"/>
      <c r="K23" s="56"/>
      <c r="L23" s="56"/>
      <c r="M23" s="56"/>
      <c r="N23" s="56"/>
      <c r="O23" s="56"/>
      <c r="Q23" s="58"/>
      <c r="R23" s="58"/>
      <c r="S23" s="58"/>
      <c r="T23" s="58"/>
      <c r="U23" s="59"/>
      <c r="V23" s="59"/>
      <c r="W23" s="59"/>
    </row>
    <row r="24" spans="1:23" s="52" customFormat="1">
      <c r="A24" s="54"/>
      <c r="B24" s="55"/>
      <c r="C24" s="56"/>
      <c r="D24" s="56"/>
      <c r="E24" s="56"/>
      <c r="F24" s="56"/>
      <c r="G24" s="57"/>
      <c r="H24" s="56"/>
      <c r="I24" s="56"/>
      <c r="J24" s="56"/>
      <c r="K24" s="56"/>
      <c r="L24" s="56"/>
      <c r="M24" s="56"/>
      <c r="N24" s="56"/>
      <c r="O24" s="56"/>
      <c r="Q24" s="58"/>
      <c r="R24" s="58"/>
      <c r="S24" s="58"/>
      <c r="T24" s="58"/>
      <c r="U24" s="59"/>
      <c r="V24" s="59"/>
      <c r="W24" s="59"/>
    </row>
    <row r="25" spans="1:23" s="52" customFormat="1">
      <c r="A25" s="54"/>
      <c r="B25" s="55"/>
      <c r="C25" s="56"/>
      <c r="D25" s="56"/>
      <c r="E25" s="56"/>
      <c r="F25" s="56"/>
      <c r="G25" s="57"/>
      <c r="H25" s="56"/>
      <c r="I25" s="56"/>
      <c r="J25" s="56"/>
      <c r="K25" s="56"/>
      <c r="L25" s="56"/>
      <c r="M25" s="56"/>
      <c r="N25" s="56"/>
      <c r="O25" s="56"/>
      <c r="Q25" s="58"/>
      <c r="R25" s="58"/>
      <c r="S25" s="58"/>
      <c r="T25" s="58"/>
      <c r="U25" s="59"/>
      <c r="V25" s="59"/>
      <c r="W25" s="59"/>
    </row>
    <row r="26" spans="1:23" s="52" customFormat="1">
      <c r="A26" s="54"/>
      <c r="B26" s="55"/>
      <c r="C26" s="56"/>
      <c r="D26" s="56"/>
      <c r="E26" s="56"/>
      <c r="F26" s="56"/>
      <c r="G26" s="57"/>
      <c r="H26" s="56"/>
      <c r="I26" s="56"/>
      <c r="J26" s="56"/>
      <c r="K26" s="56"/>
      <c r="L26" s="56"/>
      <c r="M26" s="56"/>
      <c r="N26" s="56"/>
      <c r="O26" s="56"/>
      <c r="Q26" s="58"/>
      <c r="R26" s="58"/>
      <c r="S26" s="58"/>
      <c r="T26" s="58"/>
      <c r="U26" s="59"/>
      <c r="V26" s="59"/>
      <c r="W26" s="59"/>
    </row>
    <row r="27" spans="1:23">
      <c r="A27" s="60" t="s">
        <v>233</v>
      </c>
    </row>
  </sheetData>
  <mergeCells count="8">
    <mergeCell ref="G10:G11"/>
    <mergeCell ref="H10:H11"/>
    <mergeCell ref="A10:A11"/>
    <mergeCell ref="B10:B11"/>
    <mergeCell ref="C10:C11"/>
    <mergeCell ref="D10:D11"/>
    <mergeCell ref="E10:E11"/>
    <mergeCell ref="F10:F11"/>
  </mergeCells>
  <phoneticPr fontId="39" type="noConversion"/>
  <pageMargins left="0.7" right="0.7" top="0.75" bottom="0.75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4"/>
  <sheetViews>
    <sheetView topLeftCell="A38" workbookViewId="0">
      <selection activeCell="D117" sqref="D117"/>
    </sheetView>
  </sheetViews>
  <sheetFormatPr defaultRowHeight="15"/>
  <cols>
    <col min="1" max="1" width="15.85546875" customWidth="1"/>
    <col min="2" max="2" width="113.5703125" customWidth="1"/>
  </cols>
  <sheetData>
    <row r="1" spans="1:2">
      <c r="A1" s="225" t="s">
        <v>1195</v>
      </c>
      <c r="B1" s="226" t="s">
        <v>610</v>
      </c>
    </row>
    <row r="2" spans="1:2" s="206" customFormat="1">
      <c r="A2" s="205" t="s">
        <v>1209</v>
      </c>
      <c r="B2" s="227" t="s">
        <v>1210</v>
      </c>
    </row>
    <row r="3" spans="1:2" hidden="1">
      <c r="A3" s="228" t="s">
        <v>1205</v>
      </c>
      <c r="B3" s="229" t="s">
        <v>1206</v>
      </c>
    </row>
    <row r="4" spans="1:2" hidden="1">
      <c r="A4" s="230" t="s">
        <v>2028</v>
      </c>
      <c r="B4" s="231" t="s">
        <v>2029</v>
      </c>
    </row>
    <row r="5" spans="1:2" hidden="1">
      <c r="A5" s="230" t="s">
        <v>2030</v>
      </c>
      <c r="B5" s="231" t="s">
        <v>2031</v>
      </c>
    </row>
    <row r="6" spans="1:2" hidden="1">
      <c r="A6" s="230" t="s">
        <v>1211</v>
      </c>
      <c r="B6" s="231" t="s">
        <v>1212</v>
      </c>
    </row>
    <row r="7" spans="1:2" hidden="1">
      <c r="A7" s="230" t="s">
        <v>2032</v>
      </c>
      <c r="B7" s="231" t="s">
        <v>2033</v>
      </c>
    </row>
    <row r="8" spans="1:2" hidden="1">
      <c r="A8" s="230" t="s">
        <v>1213</v>
      </c>
      <c r="B8" s="231" t="s">
        <v>1214</v>
      </c>
    </row>
    <row r="9" spans="1:2" hidden="1">
      <c r="A9" s="230" t="s">
        <v>2034</v>
      </c>
      <c r="B9" s="231" t="s">
        <v>2035</v>
      </c>
    </row>
    <row r="10" spans="1:2" hidden="1">
      <c r="A10" s="230" t="s">
        <v>1215</v>
      </c>
      <c r="B10" s="231" t="s">
        <v>1216</v>
      </c>
    </row>
    <row r="11" spans="1:2" hidden="1">
      <c r="A11" s="230" t="s">
        <v>2036</v>
      </c>
      <c r="B11" s="231" t="s">
        <v>2037</v>
      </c>
    </row>
    <row r="12" spans="1:2" hidden="1">
      <c r="A12" s="230" t="s">
        <v>2038</v>
      </c>
      <c r="B12" s="231" t="s">
        <v>2039</v>
      </c>
    </row>
    <row r="13" spans="1:2" hidden="1">
      <c r="A13" s="230" t="s">
        <v>2040</v>
      </c>
      <c r="B13" s="231" t="s">
        <v>2041</v>
      </c>
    </row>
    <row r="14" spans="1:2" hidden="1">
      <c r="A14" s="230" t="s">
        <v>2042</v>
      </c>
      <c r="B14" s="231" t="s">
        <v>1426</v>
      </c>
    </row>
    <row r="15" spans="1:2" hidden="1">
      <c r="A15" s="230" t="s">
        <v>2043</v>
      </c>
      <c r="B15" s="231" t="s">
        <v>2044</v>
      </c>
    </row>
    <row r="16" spans="1:2" hidden="1">
      <c r="A16" s="230" t="s">
        <v>1225</v>
      </c>
      <c r="B16" s="231" t="s">
        <v>1226</v>
      </c>
    </row>
    <row r="17" spans="1:2" hidden="1">
      <c r="A17" s="230" t="s">
        <v>1227</v>
      </c>
      <c r="B17" s="231" t="s">
        <v>1228</v>
      </c>
    </row>
    <row r="18" spans="1:2" hidden="1">
      <c r="A18" s="230" t="s">
        <v>2045</v>
      </c>
      <c r="B18" s="231" t="s">
        <v>2046</v>
      </c>
    </row>
    <row r="19" spans="1:2" hidden="1">
      <c r="A19" s="230" t="s">
        <v>2047</v>
      </c>
      <c r="B19" s="231" t="s">
        <v>2048</v>
      </c>
    </row>
    <row r="20" spans="1:2" hidden="1">
      <c r="A20" s="230" t="s">
        <v>1217</v>
      </c>
      <c r="B20" s="231" t="s">
        <v>1218</v>
      </c>
    </row>
    <row r="21" spans="1:2" hidden="1">
      <c r="A21" s="230" t="s">
        <v>1219</v>
      </c>
      <c r="B21" s="231" t="s">
        <v>1220</v>
      </c>
    </row>
    <row r="22" spans="1:2" hidden="1">
      <c r="A22" s="230" t="s">
        <v>1229</v>
      </c>
      <c r="B22" s="231" t="s">
        <v>1230</v>
      </c>
    </row>
    <row r="23" spans="1:2" hidden="1">
      <c r="A23" s="230" t="s">
        <v>2049</v>
      </c>
      <c r="B23" s="231" t="s">
        <v>2050</v>
      </c>
    </row>
    <row r="24" spans="1:2" hidden="1">
      <c r="A24" s="230" t="s">
        <v>2051</v>
      </c>
      <c r="B24" s="231" t="s">
        <v>2052</v>
      </c>
    </row>
    <row r="25" spans="1:2" hidden="1">
      <c r="A25" s="230" t="s">
        <v>2053</v>
      </c>
      <c r="B25" s="231" t="s">
        <v>2054</v>
      </c>
    </row>
    <row r="26" spans="1:2" hidden="1">
      <c r="A26" s="230" t="s">
        <v>1234</v>
      </c>
      <c r="B26" s="231" t="s">
        <v>1235</v>
      </c>
    </row>
    <row r="27" spans="1:2" hidden="1">
      <c r="A27" s="230" t="s">
        <v>2055</v>
      </c>
      <c r="B27" s="231" t="s">
        <v>2056</v>
      </c>
    </row>
    <row r="28" spans="1:2" hidden="1">
      <c r="A28" s="230" t="s">
        <v>1231</v>
      </c>
      <c r="B28" s="231" t="s">
        <v>1232</v>
      </c>
    </row>
    <row r="29" spans="1:2" hidden="1">
      <c r="A29" s="230" t="s">
        <v>1221</v>
      </c>
      <c r="B29" s="231" t="s">
        <v>1222</v>
      </c>
    </row>
    <row r="30" spans="1:2" hidden="1">
      <c r="A30" s="230" t="s">
        <v>2057</v>
      </c>
      <c r="B30" s="231" t="s">
        <v>2058</v>
      </c>
    </row>
    <row r="31" spans="1:2" hidden="1">
      <c r="A31" s="230" t="s">
        <v>2059</v>
      </c>
      <c r="B31" s="231" t="s">
        <v>2060</v>
      </c>
    </row>
    <row r="32" spans="1:2" hidden="1">
      <c r="A32" s="230" t="s">
        <v>2061</v>
      </c>
      <c r="B32" s="231" t="s">
        <v>2062</v>
      </c>
    </row>
    <row r="33" spans="1:2" hidden="1">
      <c r="A33" s="230" t="s">
        <v>2063</v>
      </c>
      <c r="B33" s="231" t="s">
        <v>2064</v>
      </c>
    </row>
    <row r="34" spans="1:2" hidden="1">
      <c r="A34" s="230" t="s">
        <v>2066</v>
      </c>
      <c r="B34" s="231" t="s">
        <v>2067</v>
      </c>
    </row>
    <row r="35" spans="1:2" hidden="1">
      <c r="A35" s="230" t="s">
        <v>2068</v>
      </c>
      <c r="B35" s="231" t="s">
        <v>2069</v>
      </c>
    </row>
    <row r="36" spans="1:2" hidden="1">
      <c r="A36" s="230" t="s">
        <v>2124</v>
      </c>
      <c r="B36" s="231" t="s">
        <v>2125</v>
      </c>
    </row>
    <row r="37" spans="1:2" hidden="1">
      <c r="A37" s="230" t="s">
        <v>2135</v>
      </c>
      <c r="B37" s="231" t="s">
        <v>2134</v>
      </c>
    </row>
    <row r="38" spans="1:2">
      <c r="A38" s="228" t="s">
        <v>51</v>
      </c>
      <c r="B38" s="229" t="s">
        <v>52</v>
      </c>
    </row>
    <row r="39" spans="1:2">
      <c r="A39" s="230" t="s">
        <v>55</v>
      </c>
      <c r="B39" s="231" t="s">
        <v>56</v>
      </c>
    </row>
    <row r="40" spans="1:2">
      <c r="A40" s="230" t="s">
        <v>65</v>
      </c>
      <c r="B40" s="231" t="s">
        <v>66</v>
      </c>
    </row>
    <row r="41" spans="1:2">
      <c r="A41" s="230" t="s">
        <v>68</v>
      </c>
      <c r="B41" s="231" t="s">
        <v>69</v>
      </c>
    </row>
    <row r="42" spans="1:2">
      <c r="A42" s="230" t="s">
        <v>70</v>
      </c>
      <c r="B42" s="231" t="s">
        <v>71</v>
      </c>
    </row>
    <row r="43" spans="1:2">
      <c r="A43" s="230" t="s">
        <v>803</v>
      </c>
      <c r="B43" s="231" t="s">
        <v>804</v>
      </c>
    </row>
    <row r="44" spans="1:2">
      <c r="A44" s="230" t="s">
        <v>75</v>
      </c>
      <c r="B44" s="231" t="s">
        <v>76</v>
      </c>
    </row>
    <row r="45" spans="1:2">
      <c r="A45" s="230" t="s">
        <v>77</v>
      </c>
      <c r="B45" s="231" t="s">
        <v>78</v>
      </c>
    </row>
    <row r="46" spans="1:2">
      <c r="A46" s="230" t="s">
        <v>79</v>
      </c>
      <c r="B46" s="231" t="s">
        <v>80</v>
      </c>
    </row>
    <row r="47" spans="1:2">
      <c r="A47" s="230" t="s">
        <v>82</v>
      </c>
      <c r="B47" s="231" t="s">
        <v>83</v>
      </c>
    </row>
    <row r="48" spans="1:2">
      <c r="A48" s="230" t="s">
        <v>807</v>
      </c>
      <c r="B48" s="231" t="s">
        <v>808</v>
      </c>
    </row>
    <row r="49" spans="1:2">
      <c r="A49" s="232" t="s">
        <v>1197</v>
      </c>
      <c r="B49" s="233" t="s">
        <v>1198</v>
      </c>
    </row>
    <row r="50" spans="1:2">
      <c r="A50" s="230" t="s">
        <v>809</v>
      </c>
      <c r="B50" s="231" t="s">
        <v>810</v>
      </c>
    </row>
    <row r="51" spans="1:2">
      <c r="A51" s="230" t="s">
        <v>801</v>
      </c>
      <c r="B51" s="231" t="s">
        <v>802</v>
      </c>
    </row>
    <row r="52" spans="1:2">
      <c r="A52" s="230" t="s">
        <v>2070</v>
      </c>
      <c r="B52" s="231" t="s">
        <v>2071</v>
      </c>
    </row>
    <row r="53" spans="1:2">
      <c r="A53" s="230" t="s">
        <v>149</v>
      </c>
      <c r="B53" s="231" t="s">
        <v>150</v>
      </c>
    </row>
    <row r="54" spans="1:2">
      <c r="A54" s="230" t="s">
        <v>152</v>
      </c>
      <c r="B54" s="231" t="s">
        <v>1570</v>
      </c>
    </row>
    <row r="55" spans="1:2">
      <c r="A55" s="230" t="s">
        <v>181</v>
      </c>
      <c r="B55" s="231" t="s">
        <v>1571</v>
      </c>
    </row>
    <row r="56" spans="1:2">
      <c r="A56" s="230" t="s">
        <v>184</v>
      </c>
      <c r="B56" s="231" t="s">
        <v>1572</v>
      </c>
    </row>
    <row r="57" spans="1:2">
      <c r="A57" s="230" t="s">
        <v>187</v>
      </c>
      <c r="B57" s="231" t="s">
        <v>1573</v>
      </c>
    </row>
    <row r="58" spans="1:2">
      <c r="A58" s="230" t="s">
        <v>191</v>
      </c>
      <c r="B58" s="231" t="s">
        <v>1574</v>
      </c>
    </row>
    <row r="59" spans="1:2">
      <c r="A59" s="230" t="s">
        <v>192</v>
      </c>
      <c r="B59" s="231" t="s">
        <v>1575</v>
      </c>
    </row>
    <row r="60" spans="1:2">
      <c r="A60" s="230" t="s">
        <v>194</v>
      </c>
      <c r="B60" s="231" t="s">
        <v>1576</v>
      </c>
    </row>
    <row r="61" spans="1:2">
      <c r="A61" s="230" t="s">
        <v>200</v>
      </c>
      <c r="B61" s="231" t="s">
        <v>1577</v>
      </c>
    </row>
    <row r="62" spans="1:2">
      <c r="A62" s="230" t="s">
        <v>201</v>
      </c>
      <c r="B62" s="231" t="s">
        <v>1578</v>
      </c>
    </row>
    <row r="63" spans="1:2">
      <c r="A63" s="230" t="s">
        <v>799</v>
      </c>
      <c r="B63" s="231" t="s">
        <v>800</v>
      </c>
    </row>
    <row r="64" spans="1:2">
      <c r="A64" s="230" t="s">
        <v>2072</v>
      </c>
      <c r="B64" s="231" t="s">
        <v>2073</v>
      </c>
    </row>
    <row r="65" spans="1:2">
      <c r="A65" s="230" t="s">
        <v>805</v>
      </c>
      <c r="B65" s="231" t="s">
        <v>806</v>
      </c>
    </row>
    <row r="66" spans="1:2">
      <c r="A66" s="228" t="s">
        <v>655</v>
      </c>
      <c r="B66" s="229" t="s">
        <v>1201</v>
      </c>
    </row>
    <row r="67" spans="1:2">
      <c r="A67" s="230" t="s">
        <v>816</v>
      </c>
      <c r="B67" s="231" t="s">
        <v>817</v>
      </c>
    </row>
    <row r="68" spans="1:2">
      <c r="A68" s="230" t="s">
        <v>818</v>
      </c>
      <c r="B68" s="231" t="s">
        <v>819</v>
      </c>
    </row>
    <row r="69" spans="1:2">
      <c r="A69" s="230" t="s">
        <v>1202</v>
      </c>
      <c r="B69" s="231" t="s">
        <v>1203</v>
      </c>
    </row>
    <row r="70" spans="1:2">
      <c r="A70" s="230" t="s">
        <v>820</v>
      </c>
      <c r="B70" s="231" t="s">
        <v>821</v>
      </c>
    </row>
    <row r="71" spans="1:2">
      <c r="A71" s="230" t="s">
        <v>1204</v>
      </c>
      <c r="B71" s="231" t="s">
        <v>1196</v>
      </c>
    </row>
    <row r="72" spans="1:2">
      <c r="A72" s="230" t="s">
        <v>823</v>
      </c>
      <c r="B72" s="231" t="s">
        <v>1579</v>
      </c>
    </row>
    <row r="73" spans="1:2">
      <c r="A73" s="230" t="s">
        <v>824</v>
      </c>
      <c r="B73" s="231" t="s">
        <v>825</v>
      </c>
    </row>
    <row r="74" spans="1:2">
      <c r="A74" s="228" t="s">
        <v>1236</v>
      </c>
      <c r="B74" s="229" t="s">
        <v>1237</v>
      </c>
    </row>
    <row r="75" spans="1:2">
      <c r="A75" s="230" t="s">
        <v>1238</v>
      </c>
      <c r="B75" s="231" t="s">
        <v>1239</v>
      </c>
    </row>
    <row r="76" spans="1:2">
      <c r="A76" s="230" t="s">
        <v>1240</v>
      </c>
      <c r="B76" s="231" t="s">
        <v>1241</v>
      </c>
    </row>
    <row r="77" spans="1:2">
      <c r="A77" s="228" t="s">
        <v>1242</v>
      </c>
      <c r="B77" s="229" t="s">
        <v>1243</v>
      </c>
    </row>
    <row r="78" spans="1:2">
      <c r="A78" s="230" t="s">
        <v>1244</v>
      </c>
      <c r="B78" s="231" t="s">
        <v>1245</v>
      </c>
    </row>
    <row r="79" spans="1:2">
      <c r="A79" s="230" t="s">
        <v>1246</v>
      </c>
      <c r="B79" s="231" t="s">
        <v>1247</v>
      </c>
    </row>
    <row r="80" spans="1:2">
      <c r="A80" s="230" t="s">
        <v>1248</v>
      </c>
      <c r="B80" s="231" t="s">
        <v>1580</v>
      </c>
    </row>
    <row r="81" spans="1:2">
      <c r="A81" s="230" t="s">
        <v>1249</v>
      </c>
      <c r="B81" s="231" t="s">
        <v>1250</v>
      </c>
    </row>
    <row r="82" spans="1:2">
      <c r="A82" s="228" t="s">
        <v>1251</v>
      </c>
      <c r="B82" s="229" t="s">
        <v>1252</v>
      </c>
    </row>
    <row r="83" spans="1:2">
      <c r="A83" s="230" t="s">
        <v>1255</v>
      </c>
      <c r="B83" s="231" t="s">
        <v>1256</v>
      </c>
    </row>
    <row r="84" spans="1:2">
      <c r="A84" s="230" t="s">
        <v>1257</v>
      </c>
      <c r="B84" s="231" t="s">
        <v>1258</v>
      </c>
    </row>
    <row r="85" spans="1:2">
      <c r="A85" s="230" t="s">
        <v>1259</v>
      </c>
      <c r="B85" s="231" t="s">
        <v>1260</v>
      </c>
    </row>
    <row r="86" spans="1:2">
      <c r="A86" s="230" t="s">
        <v>1261</v>
      </c>
      <c r="B86" s="231" t="s">
        <v>1262</v>
      </c>
    </row>
    <row r="87" spans="1:2">
      <c r="A87" s="230" t="s">
        <v>1263</v>
      </c>
      <c r="B87" s="231" t="s">
        <v>1264</v>
      </c>
    </row>
    <row r="88" spans="1:2">
      <c r="A88" s="230" t="s">
        <v>1265</v>
      </c>
      <c r="B88" s="231" t="s">
        <v>1266</v>
      </c>
    </row>
    <row r="89" spans="1:2">
      <c r="A89" s="230" t="s">
        <v>1267</v>
      </c>
      <c r="B89" s="231" t="s">
        <v>1268</v>
      </c>
    </row>
    <row r="90" spans="1:2">
      <c r="A90" s="230" t="s">
        <v>1269</v>
      </c>
      <c r="B90" s="231" t="s">
        <v>1270</v>
      </c>
    </row>
    <row r="91" spans="1:2">
      <c r="A91" s="230" t="s">
        <v>1271</v>
      </c>
      <c r="B91" s="231" t="s">
        <v>1272</v>
      </c>
    </row>
    <row r="92" spans="1:2">
      <c r="A92" s="230" t="s">
        <v>1273</v>
      </c>
      <c r="B92" s="231" t="s">
        <v>1274</v>
      </c>
    </row>
    <row r="93" spans="1:2">
      <c r="A93" s="230" t="s">
        <v>1275</v>
      </c>
      <c r="B93" s="231" t="s">
        <v>1276</v>
      </c>
    </row>
    <row r="94" spans="1:2">
      <c r="A94" s="230" t="s">
        <v>2074</v>
      </c>
      <c r="B94" s="231" t="s">
        <v>2075</v>
      </c>
    </row>
    <row r="95" spans="1:2">
      <c r="A95" s="230" t="s">
        <v>1277</v>
      </c>
      <c r="B95" s="231" t="s">
        <v>1278</v>
      </c>
    </row>
    <row r="96" spans="1:2">
      <c r="A96" s="230" t="s">
        <v>1279</v>
      </c>
      <c r="B96" s="231" t="s">
        <v>1280</v>
      </c>
    </row>
    <row r="97" spans="1:2">
      <c r="A97" s="228" t="s">
        <v>1285</v>
      </c>
      <c r="B97" s="229" t="s">
        <v>1286</v>
      </c>
    </row>
    <row r="98" spans="1:2">
      <c r="A98" s="230" t="s">
        <v>1287</v>
      </c>
      <c r="B98" s="231" t="s">
        <v>1288</v>
      </c>
    </row>
    <row r="99" spans="1:2">
      <c r="A99" s="230" t="s">
        <v>1289</v>
      </c>
      <c r="B99" s="231" t="s">
        <v>1582</v>
      </c>
    </row>
    <row r="100" spans="1:2">
      <c r="A100" s="228" t="s">
        <v>1290</v>
      </c>
      <c r="B100" s="229" t="s">
        <v>1291</v>
      </c>
    </row>
    <row r="101" spans="1:2">
      <c r="A101" s="230" t="s">
        <v>1292</v>
      </c>
      <c r="B101" s="231" t="s">
        <v>1293</v>
      </c>
    </row>
    <row r="102" spans="1:2">
      <c r="A102" s="230" t="s">
        <v>1294</v>
      </c>
      <c r="B102" s="231" t="s">
        <v>1581</v>
      </c>
    </row>
    <row r="103" spans="1:2">
      <c r="A103" s="230" t="s">
        <v>1295</v>
      </c>
      <c r="B103" s="231" t="s">
        <v>1296</v>
      </c>
    </row>
    <row r="104" spans="1:2">
      <c r="A104" s="230" t="s">
        <v>1297</v>
      </c>
      <c r="B104" s="231" t="s">
        <v>1583</v>
      </c>
    </row>
    <row r="105" spans="1:2">
      <c r="A105" s="228" t="s">
        <v>1300</v>
      </c>
      <c r="B105" s="229" t="s">
        <v>1301</v>
      </c>
    </row>
    <row r="106" spans="1:2">
      <c r="A106" s="230" t="s">
        <v>1302</v>
      </c>
      <c r="B106" s="231" t="s">
        <v>1303</v>
      </c>
    </row>
    <row r="107" spans="1:2">
      <c r="A107" s="230" t="s">
        <v>1304</v>
      </c>
      <c r="B107" s="231" t="s">
        <v>1305</v>
      </c>
    </row>
    <row r="108" spans="1:2">
      <c r="A108" s="230" t="s">
        <v>1306</v>
      </c>
      <c r="B108" s="231" t="s">
        <v>1307</v>
      </c>
    </row>
    <row r="109" spans="1:2">
      <c r="A109" s="230" t="s">
        <v>1308</v>
      </c>
      <c r="B109" s="231" t="s">
        <v>1309</v>
      </c>
    </row>
    <row r="110" spans="1:2">
      <c r="A110" s="230" t="s">
        <v>1310</v>
      </c>
      <c r="B110" s="231" t="s">
        <v>1311</v>
      </c>
    </row>
    <row r="111" spans="1:2">
      <c r="A111" s="230" t="s">
        <v>1312</v>
      </c>
      <c r="B111" s="231" t="s">
        <v>1313</v>
      </c>
    </row>
    <row r="112" spans="1:2">
      <c r="A112" s="230" t="s">
        <v>2076</v>
      </c>
      <c r="B112" s="231" t="s">
        <v>2077</v>
      </c>
    </row>
    <row r="113" spans="1:2">
      <c r="A113" s="230" t="s">
        <v>1314</v>
      </c>
      <c r="B113" s="231" t="s">
        <v>1315</v>
      </c>
    </row>
    <row r="114" spans="1:2">
      <c r="A114" s="230" t="s">
        <v>2078</v>
      </c>
      <c r="B114" s="231" t="s">
        <v>1282</v>
      </c>
    </row>
    <row r="115" spans="1:2">
      <c r="A115" s="230" t="s">
        <v>2079</v>
      </c>
      <c r="B115" s="231" t="s">
        <v>813</v>
      </c>
    </row>
    <row r="116" spans="1:2">
      <c r="A116" s="228" t="s">
        <v>1316</v>
      </c>
      <c r="B116" s="229" t="s">
        <v>1317</v>
      </c>
    </row>
    <row r="117" spans="1:2">
      <c r="A117" s="230" t="s">
        <v>1318</v>
      </c>
      <c r="B117" s="231" t="s">
        <v>1319</v>
      </c>
    </row>
    <row r="118" spans="1:2">
      <c r="A118" s="230" t="s">
        <v>1320</v>
      </c>
      <c r="B118" s="231" t="s">
        <v>1321</v>
      </c>
    </row>
    <row r="119" spans="1:2">
      <c r="A119" s="230" t="s">
        <v>1322</v>
      </c>
      <c r="B119" s="231" t="s">
        <v>1323</v>
      </c>
    </row>
    <row r="120" spans="1:2">
      <c r="A120" s="230" t="s">
        <v>1324</v>
      </c>
      <c r="B120" s="231" t="s">
        <v>1325</v>
      </c>
    </row>
    <row r="121" spans="1:2">
      <c r="A121" s="230" t="s">
        <v>1326</v>
      </c>
      <c r="B121" s="231" t="s">
        <v>1327</v>
      </c>
    </row>
    <row r="122" spans="1:2">
      <c r="A122" s="230" t="s">
        <v>1328</v>
      </c>
      <c r="B122" s="231" t="s">
        <v>1329</v>
      </c>
    </row>
    <row r="123" spans="1:2">
      <c r="A123" s="230" t="s">
        <v>1330</v>
      </c>
      <c r="B123" s="231" t="s">
        <v>1331</v>
      </c>
    </row>
    <row r="124" spans="1:2">
      <c r="A124" s="230" t="s">
        <v>1332</v>
      </c>
      <c r="B124" s="231" t="s">
        <v>1333</v>
      </c>
    </row>
    <row r="125" spans="1:2">
      <c r="A125" s="230" t="s">
        <v>1334</v>
      </c>
      <c r="B125" s="231" t="s">
        <v>1335</v>
      </c>
    </row>
    <row r="126" spans="1:2">
      <c r="A126" s="230" t="s">
        <v>1336</v>
      </c>
      <c r="B126" s="231" t="s">
        <v>1337</v>
      </c>
    </row>
    <row r="127" spans="1:2">
      <c r="A127" s="230" t="s">
        <v>1338</v>
      </c>
      <c r="B127" s="231" t="s">
        <v>1339</v>
      </c>
    </row>
    <row r="128" spans="1:2">
      <c r="A128" s="230" t="s">
        <v>1340</v>
      </c>
      <c r="B128" s="231" t="s">
        <v>1341</v>
      </c>
    </row>
    <row r="129" spans="1:2">
      <c r="A129" s="230" t="s">
        <v>1342</v>
      </c>
      <c r="B129" s="231" t="s">
        <v>1343</v>
      </c>
    </row>
    <row r="130" spans="1:2">
      <c r="A130" s="230" t="s">
        <v>1344</v>
      </c>
      <c r="B130" s="231" t="s">
        <v>1345</v>
      </c>
    </row>
    <row r="131" spans="1:2">
      <c r="A131" s="230" t="s">
        <v>1346</v>
      </c>
      <c r="B131" s="231" t="s">
        <v>1347</v>
      </c>
    </row>
    <row r="132" spans="1:2">
      <c r="A132" s="230" t="s">
        <v>2080</v>
      </c>
      <c r="B132" s="231" t="s">
        <v>2081</v>
      </c>
    </row>
    <row r="133" spans="1:2">
      <c r="A133" s="230" t="s">
        <v>1348</v>
      </c>
      <c r="B133" s="231" t="s">
        <v>1349</v>
      </c>
    </row>
    <row r="134" spans="1:2">
      <c r="A134" s="230" t="s">
        <v>1350</v>
      </c>
      <c r="B134" s="231" t="s">
        <v>1351</v>
      </c>
    </row>
    <row r="135" spans="1:2">
      <c r="A135" s="230" t="s">
        <v>1352</v>
      </c>
      <c r="B135" s="231" t="s">
        <v>813</v>
      </c>
    </row>
    <row r="136" spans="1:2">
      <c r="A136" s="230" t="s">
        <v>1353</v>
      </c>
      <c r="B136" s="231" t="s">
        <v>1354</v>
      </c>
    </row>
    <row r="137" spans="1:2">
      <c r="A137" s="230" t="s">
        <v>1355</v>
      </c>
      <c r="B137" s="231" t="s">
        <v>1356</v>
      </c>
    </row>
    <row r="138" spans="1:2">
      <c r="A138" s="228" t="s">
        <v>1357</v>
      </c>
      <c r="B138" s="229" t="s">
        <v>1358</v>
      </c>
    </row>
    <row r="139" spans="1:2">
      <c r="A139" s="230" t="s">
        <v>1359</v>
      </c>
      <c r="B139" s="231" t="s">
        <v>1360</v>
      </c>
    </row>
    <row r="140" spans="1:2">
      <c r="A140" s="230" t="s">
        <v>1361</v>
      </c>
      <c r="B140" s="231" t="s">
        <v>2082</v>
      </c>
    </row>
    <row r="141" spans="1:2">
      <c r="A141" s="230" t="s">
        <v>1362</v>
      </c>
      <c r="B141" s="231" t="s">
        <v>1363</v>
      </c>
    </row>
    <row r="142" spans="1:2">
      <c r="A142" s="230" t="s">
        <v>1364</v>
      </c>
      <c r="B142" s="231" t="s">
        <v>1365</v>
      </c>
    </row>
    <row r="143" spans="1:2">
      <c r="A143" s="230" t="s">
        <v>1366</v>
      </c>
      <c r="B143" s="231" t="s">
        <v>1367</v>
      </c>
    </row>
    <row r="144" spans="1:2">
      <c r="A144" s="230" t="s">
        <v>1368</v>
      </c>
      <c r="B144" s="231" t="s">
        <v>1369</v>
      </c>
    </row>
    <row r="145" spans="1:2">
      <c r="A145" s="230" t="s">
        <v>1370</v>
      </c>
      <c r="B145" s="231" t="s">
        <v>1371</v>
      </c>
    </row>
    <row r="146" spans="1:2">
      <c r="A146" s="230" t="s">
        <v>1372</v>
      </c>
      <c r="B146" s="231" t="s">
        <v>1373</v>
      </c>
    </row>
    <row r="147" spans="1:2">
      <c r="A147" s="230" t="s">
        <v>1376</v>
      </c>
      <c r="B147" s="231" t="s">
        <v>1377</v>
      </c>
    </row>
    <row r="148" spans="1:2">
      <c r="A148" s="230" t="s">
        <v>1374</v>
      </c>
      <c r="B148" s="231" t="s">
        <v>1375</v>
      </c>
    </row>
    <row r="149" spans="1:2">
      <c r="A149" s="228" t="s">
        <v>1378</v>
      </c>
      <c r="B149" s="229" t="s">
        <v>1379</v>
      </c>
    </row>
    <row r="150" spans="1:2">
      <c r="A150" s="230" t="s">
        <v>1380</v>
      </c>
      <c r="B150" s="231" t="s">
        <v>1381</v>
      </c>
    </row>
    <row r="151" spans="1:2">
      <c r="A151" s="230" t="s">
        <v>1382</v>
      </c>
      <c r="B151" s="231" t="s">
        <v>1383</v>
      </c>
    </row>
    <row r="152" spans="1:2">
      <c r="A152" s="230" t="s">
        <v>1384</v>
      </c>
      <c r="B152" s="231" t="s">
        <v>1385</v>
      </c>
    </row>
    <row r="153" spans="1:2">
      <c r="A153" s="230" t="s">
        <v>1386</v>
      </c>
      <c r="B153" s="231" t="s">
        <v>1387</v>
      </c>
    </row>
    <row r="154" spans="1:2">
      <c r="A154" s="230" t="s">
        <v>1388</v>
      </c>
      <c r="B154" s="231" t="s">
        <v>1389</v>
      </c>
    </row>
    <row r="155" spans="1:2">
      <c r="A155" s="230" t="s">
        <v>1390</v>
      </c>
      <c r="B155" s="231" t="s">
        <v>1391</v>
      </c>
    </row>
    <row r="156" spans="1:2">
      <c r="A156" s="230" t="s">
        <v>1392</v>
      </c>
      <c r="B156" s="231" t="s">
        <v>1393</v>
      </c>
    </row>
    <row r="157" spans="1:2">
      <c r="A157" s="230" t="s">
        <v>1394</v>
      </c>
      <c r="B157" s="231" t="s">
        <v>1395</v>
      </c>
    </row>
    <row r="158" spans="1:2">
      <c r="A158" s="230" t="s">
        <v>1396</v>
      </c>
      <c r="B158" s="231" t="s">
        <v>1397</v>
      </c>
    </row>
    <row r="159" spans="1:2">
      <c r="A159" s="230" t="s">
        <v>1398</v>
      </c>
      <c r="B159" s="231" t="s">
        <v>1399</v>
      </c>
    </row>
    <row r="160" spans="1:2">
      <c r="A160" s="230" t="s">
        <v>1400</v>
      </c>
      <c r="B160" s="231" t="s">
        <v>2083</v>
      </c>
    </row>
    <row r="161" spans="1:2">
      <c r="A161" s="230" t="s">
        <v>1401</v>
      </c>
      <c r="B161" s="231" t="s">
        <v>2084</v>
      </c>
    </row>
    <row r="162" spans="1:2">
      <c r="A162" s="230" t="s">
        <v>1402</v>
      </c>
      <c r="B162" s="231" t="s">
        <v>2085</v>
      </c>
    </row>
    <row r="163" spans="1:2">
      <c r="A163" s="230" t="s">
        <v>1403</v>
      </c>
      <c r="B163" s="231" t="s">
        <v>1404</v>
      </c>
    </row>
    <row r="164" spans="1:2">
      <c r="A164" s="230" t="s">
        <v>1405</v>
      </c>
      <c r="B164" s="231" t="s">
        <v>1406</v>
      </c>
    </row>
    <row r="165" spans="1:2">
      <c r="A165" s="230" t="s">
        <v>1407</v>
      </c>
      <c r="B165" s="231" t="s">
        <v>2086</v>
      </c>
    </row>
    <row r="166" spans="1:2">
      <c r="A166" s="230" t="s">
        <v>1408</v>
      </c>
      <c r="B166" s="231" t="s">
        <v>2087</v>
      </c>
    </row>
    <row r="167" spans="1:2">
      <c r="A167" s="230" t="s">
        <v>1409</v>
      </c>
      <c r="B167" s="231" t="s">
        <v>1410</v>
      </c>
    </row>
    <row r="168" spans="1:2">
      <c r="A168" s="230" t="s">
        <v>1411</v>
      </c>
      <c r="B168" s="231" t="s">
        <v>1412</v>
      </c>
    </row>
    <row r="169" spans="1:2">
      <c r="A169" s="228" t="s">
        <v>1413</v>
      </c>
      <c r="B169" s="229" t="s">
        <v>1414</v>
      </c>
    </row>
    <row r="170" spans="1:2">
      <c r="A170" s="230" t="s">
        <v>1415</v>
      </c>
      <c r="B170" s="231" t="s">
        <v>1416</v>
      </c>
    </row>
    <row r="171" spans="1:2">
      <c r="A171" s="230" t="s">
        <v>1417</v>
      </c>
      <c r="B171" s="231" t="s">
        <v>1418</v>
      </c>
    </row>
    <row r="172" spans="1:2">
      <c r="A172" s="230" t="s">
        <v>1419</v>
      </c>
      <c r="B172" s="231" t="s">
        <v>1420</v>
      </c>
    </row>
    <row r="173" spans="1:2">
      <c r="A173" s="230" t="s">
        <v>1421</v>
      </c>
      <c r="B173" s="231" t="s">
        <v>1422</v>
      </c>
    </row>
    <row r="174" spans="1:2">
      <c r="A174" s="230" t="s">
        <v>1423</v>
      </c>
      <c r="B174" s="231" t="s">
        <v>1424</v>
      </c>
    </row>
    <row r="175" spans="1:2">
      <c r="A175" s="230" t="s">
        <v>1425</v>
      </c>
      <c r="B175" s="231" t="s">
        <v>1426</v>
      </c>
    </row>
    <row r="176" spans="1:2">
      <c r="A176" s="230" t="s">
        <v>1427</v>
      </c>
      <c r="B176" s="231" t="s">
        <v>1428</v>
      </c>
    </row>
    <row r="177" spans="1:2">
      <c r="A177" s="230" t="s">
        <v>1429</v>
      </c>
      <c r="B177" s="231" t="s">
        <v>1430</v>
      </c>
    </row>
    <row r="178" spans="1:2">
      <c r="A178" s="230" t="s">
        <v>1431</v>
      </c>
      <c r="B178" s="231" t="s">
        <v>1432</v>
      </c>
    </row>
    <row r="179" spans="1:2">
      <c r="A179" s="230" t="s">
        <v>1433</v>
      </c>
      <c r="B179" s="231" t="s">
        <v>1434</v>
      </c>
    </row>
    <row r="180" spans="1:2">
      <c r="A180" s="230" t="s">
        <v>1435</v>
      </c>
      <c r="B180" s="231" t="s">
        <v>1436</v>
      </c>
    </row>
    <row r="181" spans="1:2">
      <c r="A181" s="230" t="s">
        <v>1437</v>
      </c>
      <c r="B181" s="231" t="s">
        <v>1438</v>
      </c>
    </row>
    <row r="182" spans="1:2">
      <c r="A182" s="230" t="s">
        <v>1439</v>
      </c>
      <c r="B182" s="231" t="s">
        <v>1440</v>
      </c>
    </row>
    <row r="183" spans="1:2">
      <c r="A183" s="230" t="s">
        <v>1441</v>
      </c>
      <c r="B183" s="231" t="s">
        <v>1442</v>
      </c>
    </row>
    <row r="184" spans="1:2">
      <c r="A184" s="230" t="s">
        <v>1444</v>
      </c>
      <c r="B184" s="231" t="s">
        <v>1445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4"/>
  <sheetViews>
    <sheetView topLeftCell="A98" workbookViewId="0">
      <selection activeCell="B100" sqref="B100"/>
    </sheetView>
  </sheetViews>
  <sheetFormatPr defaultRowHeight="15"/>
  <cols>
    <col min="1" max="1" width="22.5703125" customWidth="1"/>
    <col min="2" max="2" width="122.140625" customWidth="1"/>
  </cols>
  <sheetData>
    <row r="1" spans="1:2">
      <c r="A1" s="207" t="s">
        <v>1446</v>
      </c>
      <c r="B1" s="208"/>
    </row>
    <row r="2" spans="1:2">
      <c r="A2" s="207" t="s">
        <v>1195</v>
      </c>
      <c r="B2" s="208" t="s">
        <v>610</v>
      </c>
    </row>
    <row r="3" spans="1:2" hidden="1">
      <c r="A3" s="209" t="s">
        <v>1205</v>
      </c>
      <c r="B3" s="221" t="s">
        <v>1206</v>
      </c>
    </row>
    <row r="4" spans="1:2" hidden="1">
      <c r="A4" s="210" t="s">
        <v>1207</v>
      </c>
      <c r="B4" s="222" t="s">
        <v>1208</v>
      </c>
    </row>
    <row r="5" spans="1:2" hidden="1">
      <c r="A5" s="210" t="s">
        <v>1223</v>
      </c>
      <c r="B5" s="222" t="s">
        <v>815</v>
      </c>
    </row>
    <row r="6" spans="1:2" hidden="1">
      <c r="A6" s="211" t="s">
        <v>1447</v>
      </c>
      <c r="B6" s="212" t="s">
        <v>1448</v>
      </c>
    </row>
    <row r="7" spans="1:2" hidden="1">
      <c r="A7" s="210" t="s">
        <v>1224</v>
      </c>
      <c r="B7" s="222" t="s">
        <v>813</v>
      </c>
    </row>
    <row r="8" spans="1:2" ht="22.5" hidden="1">
      <c r="A8" s="211" t="s">
        <v>1449</v>
      </c>
      <c r="B8" s="212" t="s">
        <v>1450</v>
      </c>
    </row>
    <row r="9" spans="1:2" hidden="1">
      <c r="A9" s="211" t="s">
        <v>1451</v>
      </c>
      <c r="B9" s="212" t="s">
        <v>1452</v>
      </c>
    </row>
    <row r="10" spans="1:2" hidden="1">
      <c r="A10" s="211" t="s">
        <v>1453</v>
      </c>
      <c r="B10" s="212" t="s">
        <v>1454</v>
      </c>
    </row>
    <row r="11" spans="1:2" ht="22.5" hidden="1">
      <c r="A11" s="211" t="s">
        <v>1455</v>
      </c>
      <c r="B11" s="212" t="s">
        <v>1456</v>
      </c>
    </row>
    <row r="12" spans="1:2" hidden="1">
      <c r="A12" s="211" t="s">
        <v>1457</v>
      </c>
      <c r="B12" s="212" t="s">
        <v>1458</v>
      </c>
    </row>
    <row r="13" spans="1:2" hidden="1">
      <c r="A13" s="211" t="s">
        <v>1459</v>
      </c>
      <c r="B13" s="212" t="s">
        <v>1115</v>
      </c>
    </row>
    <row r="14" spans="1:2" hidden="1">
      <c r="A14" s="211" t="s">
        <v>1460</v>
      </c>
      <c r="B14" s="212" t="s">
        <v>1117</v>
      </c>
    </row>
    <row r="15" spans="1:2" hidden="1">
      <c r="A15" s="211" t="s">
        <v>1461</v>
      </c>
      <c r="B15" s="212" t="s">
        <v>1119</v>
      </c>
    </row>
    <row r="16" spans="1:2" hidden="1">
      <c r="A16" s="211" t="s">
        <v>1462</v>
      </c>
      <c r="B16" s="212" t="s">
        <v>1463</v>
      </c>
    </row>
    <row r="17" spans="1:2" hidden="1">
      <c r="A17" s="211" t="s">
        <v>1464</v>
      </c>
      <c r="B17" s="212" t="s">
        <v>1465</v>
      </c>
    </row>
    <row r="18" spans="1:2" hidden="1">
      <c r="A18" s="211" t="s">
        <v>1466</v>
      </c>
      <c r="B18" s="212" t="s">
        <v>1467</v>
      </c>
    </row>
    <row r="19" spans="1:2" hidden="1">
      <c r="A19" s="211" t="s">
        <v>1468</v>
      </c>
      <c r="B19" s="212" t="s">
        <v>1469</v>
      </c>
    </row>
    <row r="20" spans="1:2" hidden="1">
      <c r="A20" s="211" t="s">
        <v>1470</v>
      </c>
      <c r="B20" s="212" t="s">
        <v>1471</v>
      </c>
    </row>
    <row r="21" spans="1:2" hidden="1">
      <c r="A21" s="211" t="s">
        <v>1472</v>
      </c>
      <c r="B21" s="212" t="s">
        <v>1473</v>
      </c>
    </row>
    <row r="22" spans="1:2" hidden="1">
      <c r="A22" s="211" t="s">
        <v>1474</v>
      </c>
      <c r="B22" s="212" t="s">
        <v>1475</v>
      </c>
    </row>
    <row r="23" spans="1:2" hidden="1">
      <c r="A23" s="211" t="s">
        <v>1476</v>
      </c>
      <c r="B23" s="212" t="s">
        <v>1477</v>
      </c>
    </row>
    <row r="24" spans="1:2" hidden="1">
      <c r="A24" s="211" t="s">
        <v>1478</v>
      </c>
      <c r="B24" s="212" t="s">
        <v>1479</v>
      </c>
    </row>
    <row r="25" spans="1:2" hidden="1">
      <c r="A25" s="211" t="s">
        <v>1480</v>
      </c>
      <c r="B25" s="212" t="s">
        <v>1481</v>
      </c>
    </row>
    <row r="26" spans="1:2" hidden="1">
      <c r="A26" s="211" t="s">
        <v>1482</v>
      </c>
      <c r="B26" s="212" t="s">
        <v>1483</v>
      </c>
    </row>
    <row r="27" spans="1:2" hidden="1">
      <c r="A27" s="211" t="s">
        <v>1484</v>
      </c>
      <c r="B27" s="212" t="s">
        <v>1485</v>
      </c>
    </row>
    <row r="28" spans="1:2" hidden="1">
      <c r="A28" s="211" t="s">
        <v>1486</v>
      </c>
      <c r="B28" s="212" t="s">
        <v>1487</v>
      </c>
    </row>
    <row r="29" spans="1:2" hidden="1">
      <c r="A29" s="211" t="s">
        <v>1488</v>
      </c>
      <c r="B29" s="212" t="s">
        <v>1489</v>
      </c>
    </row>
    <row r="30" spans="1:2" hidden="1">
      <c r="A30" s="211" t="s">
        <v>1490</v>
      </c>
      <c r="B30" s="212" t="s">
        <v>1491</v>
      </c>
    </row>
    <row r="31" spans="1:2" hidden="1">
      <c r="A31" s="211" t="s">
        <v>1584</v>
      </c>
      <c r="B31" s="212" t="s">
        <v>1585</v>
      </c>
    </row>
    <row r="32" spans="1:2" hidden="1">
      <c r="A32" s="211" t="s">
        <v>1586</v>
      </c>
      <c r="B32" s="212" t="s">
        <v>1587</v>
      </c>
    </row>
    <row r="33" spans="1:2" hidden="1">
      <c r="A33" s="210" t="s">
        <v>1199</v>
      </c>
      <c r="B33" s="213" t="s">
        <v>1200</v>
      </c>
    </row>
    <row r="34" spans="1:2" hidden="1">
      <c r="A34" s="210" t="s">
        <v>1233</v>
      </c>
      <c r="B34" s="213" t="s">
        <v>811</v>
      </c>
    </row>
    <row r="35" spans="1:2" hidden="1">
      <c r="A35" s="211" t="s">
        <v>1492</v>
      </c>
      <c r="B35" s="212" t="s">
        <v>1493</v>
      </c>
    </row>
    <row r="36" spans="1:2" hidden="1">
      <c r="A36" s="211" t="s">
        <v>1494</v>
      </c>
      <c r="B36" s="212" t="s">
        <v>1495</v>
      </c>
    </row>
    <row r="37" spans="1:2" hidden="1">
      <c r="A37" s="211" t="s">
        <v>1496</v>
      </c>
      <c r="B37" s="212" t="s">
        <v>1497</v>
      </c>
    </row>
    <row r="38" spans="1:2" hidden="1">
      <c r="A38" s="211" t="s">
        <v>1498</v>
      </c>
      <c r="B38" s="212" t="s">
        <v>348</v>
      </c>
    </row>
    <row r="39" spans="1:2" hidden="1">
      <c r="A39" s="211" t="s">
        <v>1499</v>
      </c>
      <c r="B39" s="212" t="s">
        <v>1500</v>
      </c>
    </row>
    <row r="40" spans="1:2" hidden="1">
      <c r="A40" s="211" t="s">
        <v>1501</v>
      </c>
      <c r="B40" s="212" t="s">
        <v>1502</v>
      </c>
    </row>
    <row r="41" spans="1:2" hidden="1">
      <c r="A41" s="211" t="s">
        <v>1503</v>
      </c>
      <c r="B41" s="212" t="s">
        <v>1504</v>
      </c>
    </row>
    <row r="42" spans="1:2" hidden="1">
      <c r="A42" s="211" t="s">
        <v>1505</v>
      </c>
      <c r="B42" s="212" t="s">
        <v>1506</v>
      </c>
    </row>
    <row r="43" spans="1:2" hidden="1">
      <c r="A43" s="211" t="s">
        <v>1507</v>
      </c>
      <c r="B43" s="212" t="s">
        <v>1508</v>
      </c>
    </row>
    <row r="44" spans="1:2">
      <c r="A44" s="209" t="s">
        <v>51</v>
      </c>
      <c r="B44" s="214" t="s">
        <v>52</v>
      </c>
    </row>
    <row r="45" spans="1:2">
      <c r="A45" s="210" t="s">
        <v>49</v>
      </c>
      <c r="B45" s="213" t="s">
        <v>50</v>
      </c>
    </row>
    <row r="46" spans="1:2">
      <c r="A46" s="210" t="s">
        <v>99</v>
      </c>
      <c r="B46" s="213" t="s">
        <v>2308</v>
      </c>
    </row>
    <row r="47" spans="1:2">
      <c r="A47" s="211" t="s">
        <v>828</v>
      </c>
      <c r="B47" s="212" t="s">
        <v>829</v>
      </c>
    </row>
    <row r="48" spans="1:2">
      <c r="A48" s="211" t="s">
        <v>830</v>
      </c>
      <c r="B48" s="212" t="s">
        <v>831</v>
      </c>
    </row>
    <row r="49" spans="1:2">
      <c r="A49" s="211" t="s">
        <v>832</v>
      </c>
      <c r="B49" s="212" t="s">
        <v>833</v>
      </c>
    </row>
    <row r="50" spans="1:2">
      <c r="A50" s="211" t="s">
        <v>834</v>
      </c>
      <c r="B50" s="212" t="s">
        <v>835</v>
      </c>
    </row>
    <row r="51" spans="1:2">
      <c r="A51" s="211" t="s">
        <v>836</v>
      </c>
      <c r="B51" s="212" t="s">
        <v>837</v>
      </c>
    </row>
    <row r="52" spans="1:2">
      <c r="A52" s="211" t="s">
        <v>838</v>
      </c>
      <c r="B52" s="212" t="s">
        <v>839</v>
      </c>
    </row>
    <row r="53" spans="1:2">
      <c r="A53" s="211" t="s">
        <v>840</v>
      </c>
      <c r="B53" s="212" t="s">
        <v>841</v>
      </c>
    </row>
    <row r="54" spans="1:2">
      <c r="A54" s="211" t="s">
        <v>842</v>
      </c>
      <c r="B54" s="212" t="s">
        <v>843</v>
      </c>
    </row>
    <row r="55" spans="1:2">
      <c r="A55" s="211" t="s">
        <v>844</v>
      </c>
      <c r="B55" s="212" t="s">
        <v>845</v>
      </c>
    </row>
    <row r="56" spans="1:2">
      <c r="A56" s="211" t="s">
        <v>1588</v>
      </c>
      <c r="B56" s="212" t="s">
        <v>1589</v>
      </c>
    </row>
    <row r="57" spans="1:2">
      <c r="A57" s="211" t="s">
        <v>1590</v>
      </c>
      <c r="B57" s="212" t="s">
        <v>1591</v>
      </c>
    </row>
    <row r="58" spans="1:2">
      <c r="A58" s="211" t="s">
        <v>1592</v>
      </c>
      <c r="B58" s="212" t="s">
        <v>1593</v>
      </c>
    </row>
    <row r="59" spans="1:2">
      <c r="A59" s="211" t="s">
        <v>1594</v>
      </c>
      <c r="B59" s="212" t="s">
        <v>1595</v>
      </c>
    </row>
    <row r="60" spans="1:2">
      <c r="A60" s="211" t="s">
        <v>1596</v>
      </c>
      <c r="B60" s="212" t="s">
        <v>1597</v>
      </c>
    </row>
    <row r="61" spans="1:2">
      <c r="A61" s="211" t="s">
        <v>1598</v>
      </c>
      <c r="B61" s="212" t="s">
        <v>1599</v>
      </c>
    </row>
    <row r="62" spans="1:2">
      <c r="A62" s="211" t="s">
        <v>1600</v>
      </c>
      <c r="B62" s="212" t="s">
        <v>1601</v>
      </c>
    </row>
    <row r="63" spans="1:2">
      <c r="A63" s="211" t="s">
        <v>1602</v>
      </c>
      <c r="B63" s="212" t="s">
        <v>1603</v>
      </c>
    </row>
    <row r="64" spans="1:2">
      <c r="A64" s="211" t="s">
        <v>1604</v>
      </c>
      <c r="B64" s="212" t="s">
        <v>1605</v>
      </c>
    </row>
    <row r="65" spans="1:2">
      <c r="A65" s="211" t="s">
        <v>1606</v>
      </c>
      <c r="B65" s="212" t="s">
        <v>1607</v>
      </c>
    </row>
    <row r="66" spans="1:2">
      <c r="A66" s="211" t="s">
        <v>1608</v>
      </c>
      <c r="B66" s="212" t="s">
        <v>1609</v>
      </c>
    </row>
    <row r="67" spans="1:2">
      <c r="A67" s="211" t="s">
        <v>1610</v>
      </c>
      <c r="B67" s="212" t="s">
        <v>1611</v>
      </c>
    </row>
    <row r="68" spans="1:2">
      <c r="A68" s="211" t="s">
        <v>1612</v>
      </c>
      <c r="B68" s="212" t="s">
        <v>1613</v>
      </c>
    </row>
    <row r="69" spans="1:2">
      <c r="A69" s="211" t="s">
        <v>1614</v>
      </c>
      <c r="B69" s="212" t="s">
        <v>1615</v>
      </c>
    </row>
    <row r="70" spans="1:2">
      <c r="A70" s="211" t="s">
        <v>1616</v>
      </c>
      <c r="B70" s="212" t="s">
        <v>1617</v>
      </c>
    </row>
    <row r="71" spans="1:2">
      <c r="A71" s="210" t="s">
        <v>124</v>
      </c>
      <c r="B71" s="213" t="s">
        <v>2309</v>
      </c>
    </row>
    <row r="72" spans="1:2">
      <c r="A72" s="211" t="s">
        <v>846</v>
      </c>
      <c r="B72" s="212" t="s">
        <v>847</v>
      </c>
    </row>
    <row r="73" spans="1:2">
      <c r="A73" s="211" t="s">
        <v>848</v>
      </c>
      <c r="B73" s="212" t="s">
        <v>849</v>
      </c>
    </row>
    <row r="74" spans="1:2">
      <c r="A74" s="211" t="s">
        <v>850</v>
      </c>
      <c r="B74" s="212" t="s">
        <v>851</v>
      </c>
    </row>
    <row r="75" spans="1:2">
      <c r="A75" s="211" t="s">
        <v>852</v>
      </c>
      <c r="B75" s="212" t="s">
        <v>853</v>
      </c>
    </row>
    <row r="76" spans="1:2">
      <c r="A76" s="211" t="s">
        <v>854</v>
      </c>
      <c r="B76" s="212" t="s">
        <v>855</v>
      </c>
    </row>
    <row r="77" spans="1:2">
      <c r="A77" s="211" t="s">
        <v>856</v>
      </c>
      <c r="B77" s="212" t="s">
        <v>857</v>
      </c>
    </row>
    <row r="78" spans="1:2">
      <c r="A78" s="211" t="s">
        <v>858</v>
      </c>
      <c r="B78" s="212" t="s">
        <v>859</v>
      </c>
    </row>
    <row r="79" spans="1:2">
      <c r="A79" s="211" t="s">
        <v>860</v>
      </c>
      <c r="B79" s="212" t="s">
        <v>861</v>
      </c>
    </row>
    <row r="80" spans="1:2">
      <c r="A80" s="211" t="s">
        <v>862</v>
      </c>
      <c r="B80" s="212" t="s">
        <v>863</v>
      </c>
    </row>
    <row r="81" spans="1:2">
      <c r="A81" s="211" t="s">
        <v>864</v>
      </c>
      <c r="B81" s="212" t="s">
        <v>865</v>
      </c>
    </row>
    <row r="82" spans="1:2">
      <c r="A82" s="211" t="s">
        <v>866</v>
      </c>
      <c r="B82" s="212" t="s">
        <v>867</v>
      </c>
    </row>
    <row r="83" spans="1:2">
      <c r="A83" s="211" t="s">
        <v>868</v>
      </c>
      <c r="B83" s="212" t="s">
        <v>869</v>
      </c>
    </row>
    <row r="84" spans="1:2">
      <c r="A84" s="211" t="s">
        <v>870</v>
      </c>
      <c r="B84" s="212" t="s">
        <v>871</v>
      </c>
    </row>
    <row r="85" spans="1:2">
      <c r="A85" s="211" t="s">
        <v>872</v>
      </c>
      <c r="B85" s="212" t="s">
        <v>873</v>
      </c>
    </row>
    <row r="86" spans="1:2">
      <c r="A86" s="211" t="s">
        <v>874</v>
      </c>
      <c r="B86" s="212" t="s">
        <v>875</v>
      </c>
    </row>
    <row r="87" spans="1:2">
      <c r="A87" s="211" t="s">
        <v>876</v>
      </c>
      <c r="B87" s="212" t="s">
        <v>877</v>
      </c>
    </row>
    <row r="88" spans="1:2">
      <c r="A88" s="211" t="s">
        <v>878</v>
      </c>
      <c r="B88" s="212" t="s">
        <v>879</v>
      </c>
    </row>
    <row r="89" spans="1:2">
      <c r="A89" s="211" t="s">
        <v>880</v>
      </c>
      <c r="B89" s="212" t="s">
        <v>881</v>
      </c>
    </row>
    <row r="90" spans="1:2">
      <c r="A90" s="211" t="s">
        <v>882</v>
      </c>
      <c r="B90" s="212" t="s">
        <v>883</v>
      </c>
    </row>
    <row r="91" spans="1:2">
      <c r="A91" s="211" t="s">
        <v>884</v>
      </c>
      <c r="B91" s="212" t="s">
        <v>885</v>
      </c>
    </row>
    <row r="92" spans="1:2">
      <c r="A92" s="211" t="s">
        <v>886</v>
      </c>
      <c r="B92" s="212" t="s">
        <v>887</v>
      </c>
    </row>
    <row r="93" spans="1:2">
      <c r="A93" s="211" t="s">
        <v>888</v>
      </c>
      <c r="B93" s="212" t="s">
        <v>889</v>
      </c>
    </row>
    <row r="94" spans="1:2">
      <c r="A94" s="211" t="s">
        <v>890</v>
      </c>
      <c r="B94" s="212" t="s">
        <v>891</v>
      </c>
    </row>
    <row r="95" spans="1:2">
      <c r="A95" s="211" t="s">
        <v>1618</v>
      </c>
      <c r="B95" s="212" t="s">
        <v>1619</v>
      </c>
    </row>
    <row r="96" spans="1:2">
      <c r="A96" s="211" t="s">
        <v>1620</v>
      </c>
      <c r="B96" s="212" t="s">
        <v>1621</v>
      </c>
    </row>
    <row r="97" spans="1:2">
      <c r="A97" s="211" t="s">
        <v>1622</v>
      </c>
      <c r="B97" s="212" t="s">
        <v>1623</v>
      </c>
    </row>
    <row r="98" spans="1:2">
      <c r="A98" s="211" t="s">
        <v>1624</v>
      </c>
      <c r="B98" s="212" t="s">
        <v>1625</v>
      </c>
    </row>
    <row r="99" spans="1:2">
      <c r="A99" s="211" t="s">
        <v>1626</v>
      </c>
      <c r="B99" s="212" t="s">
        <v>1627</v>
      </c>
    </row>
    <row r="100" spans="1:2">
      <c r="A100" s="211" t="s">
        <v>1628</v>
      </c>
      <c r="B100" s="212" t="s">
        <v>1629</v>
      </c>
    </row>
    <row r="101" spans="1:2">
      <c r="A101" s="211" t="s">
        <v>1630</v>
      </c>
      <c r="B101" s="212" t="s">
        <v>1631</v>
      </c>
    </row>
    <row r="102" spans="1:2">
      <c r="A102" s="211" t="s">
        <v>1632</v>
      </c>
      <c r="B102" s="212" t="s">
        <v>1633</v>
      </c>
    </row>
    <row r="103" spans="1:2">
      <c r="A103" s="211" t="s">
        <v>1634</v>
      </c>
      <c r="B103" s="212" t="s">
        <v>1635</v>
      </c>
    </row>
    <row r="104" spans="1:2">
      <c r="A104" s="211" t="s">
        <v>1636</v>
      </c>
      <c r="B104" s="212" t="s">
        <v>1637</v>
      </c>
    </row>
    <row r="105" spans="1:2">
      <c r="A105" s="211" t="s">
        <v>1638</v>
      </c>
      <c r="B105" s="212" t="s">
        <v>1639</v>
      </c>
    </row>
    <row r="106" spans="1:2">
      <c r="A106" s="211" t="s">
        <v>1640</v>
      </c>
      <c r="B106" s="212" t="s">
        <v>1641</v>
      </c>
    </row>
    <row r="107" spans="1:2">
      <c r="A107" s="211" t="s">
        <v>1642</v>
      </c>
      <c r="B107" s="212" t="s">
        <v>1643</v>
      </c>
    </row>
    <row r="108" spans="1:2">
      <c r="A108" s="211" t="s">
        <v>1644</v>
      </c>
      <c r="B108" s="212" t="s">
        <v>1645</v>
      </c>
    </row>
    <row r="109" spans="1:2">
      <c r="A109" s="211" t="s">
        <v>1646</v>
      </c>
      <c r="B109" s="212" t="s">
        <v>1647</v>
      </c>
    </row>
    <row r="110" spans="1:2">
      <c r="A110" s="211" t="s">
        <v>1648</v>
      </c>
      <c r="B110" s="212" t="s">
        <v>1649</v>
      </c>
    </row>
    <row r="111" spans="1:2">
      <c r="A111" s="211" t="s">
        <v>1650</v>
      </c>
      <c r="B111" s="212" t="s">
        <v>1651</v>
      </c>
    </row>
    <row r="112" spans="1:2">
      <c r="A112" s="211" t="s">
        <v>1652</v>
      </c>
      <c r="B112" s="212" t="s">
        <v>1653</v>
      </c>
    </row>
    <row r="113" spans="1:2">
      <c r="A113" s="211" t="s">
        <v>1654</v>
      </c>
      <c r="B113" s="212" t="s">
        <v>1655</v>
      </c>
    </row>
    <row r="114" spans="1:2">
      <c r="A114" s="211" t="s">
        <v>1656</v>
      </c>
      <c r="B114" s="212" t="s">
        <v>1657</v>
      </c>
    </row>
    <row r="115" spans="1:2">
      <c r="A115" s="211" t="s">
        <v>1658</v>
      </c>
      <c r="B115" s="212" t="s">
        <v>1659</v>
      </c>
    </row>
    <row r="116" spans="1:2">
      <c r="A116" s="211" t="s">
        <v>1660</v>
      </c>
      <c r="B116" s="212" t="s">
        <v>1661</v>
      </c>
    </row>
    <row r="117" spans="1:2">
      <c r="A117" s="211" t="s">
        <v>1662</v>
      </c>
      <c r="B117" s="212" t="s">
        <v>1663</v>
      </c>
    </row>
    <row r="118" spans="1:2">
      <c r="A118" s="211" t="s">
        <v>1664</v>
      </c>
      <c r="B118" s="212" t="s">
        <v>1665</v>
      </c>
    </row>
    <row r="119" spans="1:2">
      <c r="A119" s="211" t="s">
        <v>1666</v>
      </c>
      <c r="B119" s="212" t="s">
        <v>1667</v>
      </c>
    </row>
    <row r="120" spans="1:2">
      <c r="A120" s="211" t="s">
        <v>1668</v>
      </c>
      <c r="B120" s="212" t="s">
        <v>1669</v>
      </c>
    </row>
    <row r="121" spans="1:2">
      <c r="A121" s="211" t="s">
        <v>1670</v>
      </c>
      <c r="B121" s="212" t="s">
        <v>1671</v>
      </c>
    </row>
    <row r="122" spans="1:2">
      <c r="A122" s="211" t="s">
        <v>1672</v>
      </c>
      <c r="B122" s="212" t="s">
        <v>1673</v>
      </c>
    </row>
    <row r="123" spans="1:2">
      <c r="A123" s="211" t="s">
        <v>1674</v>
      </c>
      <c r="B123" s="212" t="s">
        <v>1675</v>
      </c>
    </row>
    <row r="124" spans="1:2">
      <c r="A124" s="211" t="s">
        <v>1676</v>
      </c>
      <c r="B124" s="212" t="s">
        <v>1677</v>
      </c>
    </row>
    <row r="125" spans="1:2">
      <c r="A125" s="211" t="s">
        <v>1678</v>
      </c>
      <c r="B125" s="212" t="s">
        <v>1679</v>
      </c>
    </row>
    <row r="126" spans="1:2">
      <c r="A126" s="211" t="s">
        <v>1680</v>
      </c>
      <c r="B126" s="212" t="s">
        <v>1681</v>
      </c>
    </row>
    <row r="127" spans="1:2">
      <c r="A127" s="211" t="s">
        <v>1682</v>
      </c>
      <c r="B127" s="212" t="s">
        <v>1683</v>
      </c>
    </row>
    <row r="128" spans="1:2">
      <c r="A128" s="211" t="s">
        <v>1684</v>
      </c>
      <c r="B128" s="212" t="s">
        <v>1685</v>
      </c>
    </row>
    <row r="129" spans="1:2">
      <c r="A129" s="211" t="s">
        <v>1686</v>
      </c>
      <c r="B129" s="212" t="s">
        <v>1687</v>
      </c>
    </row>
    <row r="130" spans="1:2">
      <c r="A130" s="211" t="s">
        <v>1688</v>
      </c>
      <c r="B130" s="212" t="s">
        <v>1689</v>
      </c>
    </row>
    <row r="131" spans="1:2">
      <c r="A131" s="211" t="s">
        <v>1690</v>
      </c>
      <c r="B131" s="212" t="s">
        <v>1691</v>
      </c>
    </row>
    <row r="132" spans="1:2">
      <c r="A132" s="211" t="s">
        <v>1692</v>
      </c>
      <c r="B132" s="212" t="s">
        <v>1693</v>
      </c>
    </row>
    <row r="133" spans="1:2">
      <c r="A133" s="211" t="s">
        <v>1694</v>
      </c>
      <c r="B133" s="212" t="s">
        <v>1695</v>
      </c>
    </row>
    <row r="134" spans="1:2">
      <c r="A134" s="211" t="s">
        <v>1696</v>
      </c>
      <c r="B134" s="212" t="s">
        <v>1697</v>
      </c>
    </row>
    <row r="135" spans="1:2">
      <c r="A135" s="211" t="s">
        <v>1698</v>
      </c>
      <c r="B135" s="212" t="s">
        <v>1699</v>
      </c>
    </row>
    <row r="136" spans="1:2">
      <c r="A136" s="211" t="s">
        <v>1700</v>
      </c>
      <c r="B136" s="212" t="s">
        <v>1701</v>
      </c>
    </row>
    <row r="137" spans="1:2">
      <c r="A137" s="210" t="s">
        <v>131</v>
      </c>
      <c r="B137" s="213" t="s">
        <v>2310</v>
      </c>
    </row>
    <row r="138" spans="1:2">
      <c r="A138" s="211" t="s">
        <v>892</v>
      </c>
      <c r="B138" s="212" t="s">
        <v>893</v>
      </c>
    </row>
    <row r="139" spans="1:2">
      <c r="A139" s="211" t="s">
        <v>894</v>
      </c>
      <c r="B139" s="212" t="s">
        <v>895</v>
      </c>
    </row>
    <row r="140" spans="1:2">
      <c r="A140" s="211" t="s">
        <v>896</v>
      </c>
      <c r="B140" s="212" t="s">
        <v>897</v>
      </c>
    </row>
    <row r="141" spans="1:2">
      <c r="A141" s="211" t="s">
        <v>898</v>
      </c>
      <c r="B141" s="212" t="s">
        <v>899</v>
      </c>
    </row>
    <row r="142" spans="1:2">
      <c r="A142" s="211" t="s">
        <v>900</v>
      </c>
      <c r="B142" s="212" t="s">
        <v>901</v>
      </c>
    </row>
    <row r="143" spans="1:2">
      <c r="A143" s="211" t="s">
        <v>902</v>
      </c>
      <c r="B143" s="212" t="s">
        <v>903</v>
      </c>
    </row>
    <row r="144" spans="1:2">
      <c r="A144" s="211" t="s">
        <v>904</v>
      </c>
      <c r="B144" s="212" t="s">
        <v>905</v>
      </c>
    </row>
    <row r="145" spans="1:2">
      <c r="A145" s="211" t="s">
        <v>906</v>
      </c>
      <c r="B145" s="212" t="s">
        <v>907</v>
      </c>
    </row>
    <row r="146" spans="1:2">
      <c r="A146" s="211" t="s">
        <v>1702</v>
      </c>
      <c r="B146" s="212" t="s">
        <v>1703</v>
      </c>
    </row>
    <row r="147" spans="1:2">
      <c r="A147" s="211" t="s">
        <v>1704</v>
      </c>
      <c r="B147" s="212" t="s">
        <v>1705</v>
      </c>
    </row>
    <row r="148" spans="1:2">
      <c r="A148" s="211" t="s">
        <v>1706</v>
      </c>
      <c r="B148" s="212" t="s">
        <v>1707</v>
      </c>
    </row>
    <row r="149" spans="1:2">
      <c r="A149" s="211" t="s">
        <v>1708</v>
      </c>
      <c r="B149" s="212" t="s">
        <v>1709</v>
      </c>
    </row>
    <row r="150" spans="1:2">
      <c r="A150" s="211" t="s">
        <v>1710</v>
      </c>
      <c r="B150" s="212" t="s">
        <v>1711</v>
      </c>
    </row>
    <row r="151" spans="1:2">
      <c r="A151" s="210" t="s">
        <v>137</v>
      </c>
      <c r="B151" s="213" t="s">
        <v>2311</v>
      </c>
    </row>
    <row r="152" spans="1:2">
      <c r="A152" s="211" t="s">
        <v>908</v>
      </c>
      <c r="B152" s="212" t="s">
        <v>909</v>
      </c>
    </row>
    <row r="153" spans="1:2">
      <c r="A153" s="211" t="s">
        <v>910</v>
      </c>
      <c r="B153" s="212" t="s">
        <v>911</v>
      </c>
    </row>
    <row r="154" spans="1:2">
      <c r="A154" s="211" t="s">
        <v>912</v>
      </c>
      <c r="B154" s="212" t="s">
        <v>913</v>
      </c>
    </row>
    <row r="155" spans="1:2">
      <c r="A155" s="211" t="s">
        <v>914</v>
      </c>
      <c r="B155" s="212" t="s">
        <v>915</v>
      </c>
    </row>
    <row r="156" spans="1:2">
      <c r="A156" s="211" t="s">
        <v>916</v>
      </c>
      <c r="B156" s="212" t="s">
        <v>917</v>
      </c>
    </row>
    <row r="157" spans="1:2">
      <c r="A157" s="211" t="s">
        <v>918</v>
      </c>
      <c r="B157" s="212" t="s">
        <v>919</v>
      </c>
    </row>
    <row r="158" spans="1:2">
      <c r="A158" s="211" t="s">
        <v>920</v>
      </c>
      <c r="B158" s="212" t="s">
        <v>921</v>
      </c>
    </row>
    <row r="159" spans="1:2">
      <c r="A159" s="211" t="s">
        <v>922</v>
      </c>
      <c r="B159" s="212" t="s">
        <v>923</v>
      </c>
    </row>
    <row r="160" spans="1:2">
      <c r="A160" s="211" t="s">
        <v>1712</v>
      </c>
      <c r="B160" s="212" t="s">
        <v>1713</v>
      </c>
    </row>
    <row r="161" spans="1:2">
      <c r="A161" s="211" t="s">
        <v>1714</v>
      </c>
      <c r="B161" s="212" t="s">
        <v>1715</v>
      </c>
    </row>
    <row r="162" spans="1:2">
      <c r="A162" s="210" t="s">
        <v>139</v>
      </c>
      <c r="B162" s="213" t="s">
        <v>2312</v>
      </c>
    </row>
    <row r="163" spans="1:2">
      <c r="A163" s="211" t="s">
        <v>924</v>
      </c>
      <c r="B163" s="212" t="s">
        <v>925</v>
      </c>
    </row>
    <row r="164" spans="1:2">
      <c r="A164" s="211" t="s">
        <v>926</v>
      </c>
      <c r="B164" s="212" t="s">
        <v>927</v>
      </c>
    </row>
    <row r="165" spans="1:2">
      <c r="A165" s="211" t="s">
        <v>928</v>
      </c>
      <c r="B165" s="212" t="s">
        <v>929</v>
      </c>
    </row>
    <row r="166" spans="1:2">
      <c r="A166" s="210" t="s">
        <v>141</v>
      </c>
      <c r="B166" s="213" t="s">
        <v>2313</v>
      </c>
    </row>
    <row r="167" spans="1:2">
      <c r="A167" s="211" t="s">
        <v>930</v>
      </c>
      <c r="B167" s="212" t="s">
        <v>931</v>
      </c>
    </row>
    <row r="168" spans="1:2">
      <c r="A168" s="211" t="s">
        <v>932</v>
      </c>
      <c r="B168" s="212" t="s">
        <v>933</v>
      </c>
    </row>
    <row r="169" spans="1:2">
      <c r="A169" s="211" t="s">
        <v>934</v>
      </c>
      <c r="B169" s="212" t="s">
        <v>935</v>
      </c>
    </row>
    <row r="170" spans="1:2">
      <c r="A170" s="211" t="s">
        <v>936</v>
      </c>
      <c r="B170" s="212" t="s">
        <v>937</v>
      </c>
    </row>
    <row r="171" spans="1:2">
      <c r="A171" s="211" t="s">
        <v>938</v>
      </c>
      <c r="B171" s="212" t="s">
        <v>939</v>
      </c>
    </row>
    <row r="172" spans="1:2">
      <c r="A172" s="211" t="s">
        <v>940</v>
      </c>
      <c r="B172" s="212" t="s">
        <v>941</v>
      </c>
    </row>
    <row r="173" spans="1:2">
      <c r="A173" s="211" t="s">
        <v>942</v>
      </c>
      <c r="B173" s="212" t="s">
        <v>943</v>
      </c>
    </row>
    <row r="174" spans="1:2">
      <c r="A174" s="211" t="s">
        <v>944</v>
      </c>
      <c r="B174" s="212" t="s">
        <v>945</v>
      </c>
    </row>
    <row r="175" spans="1:2">
      <c r="A175" s="211" t="s">
        <v>946</v>
      </c>
      <c r="B175" s="212" t="s">
        <v>947</v>
      </c>
    </row>
    <row r="176" spans="1:2">
      <c r="A176" s="211" t="s">
        <v>948</v>
      </c>
      <c r="B176" s="212" t="s">
        <v>949</v>
      </c>
    </row>
    <row r="177" spans="1:2">
      <c r="A177" s="211" t="s">
        <v>950</v>
      </c>
      <c r="B177" s="212" t="s">
        <v>951</v>
      </c>
    </row>
    <row r="178" spans="1:2" ht="22.5">
      <c r="A178" s="211" t="s">
        <v>952</v>
      </c>
      <c r="B178" s="212" t="s">
        <v>953</v>
      </c>
    </row>
    <row r="179" spans="1:2">
      <c r="A179" s="211" t="s">
        <v>954</v>
      </c>
      <c r="B179" s="212" t="s">
        <v>955</v>
      </c>
    </row>
    <row r="180" spans="1:2">
      <c r="A180" s="211" t="s">
        <v>956</v>
      </c>
      <c r="B180" s="212" t="s">
        <v>957</v>
      </c>
    </row>
    <row r="181" spans="1:2">
      <c r="A181" s="211" t="s">
        <v>958</v>
      </c>
      <c r="B181" s="212" t="s">
        <v>959</v>
      </c>
    </row>
    <row r="182" spans="1:2">
      <c r="A182" s="211" t="s">
        <v>960</v>
      </c>
      <c r="B182" s="212" t="s">
        <v>961</v>
      </c>
    </row>
    <row r="183" spans="1:2">
      <c r="A183" s="211" t="s">
        <v>962</v>
      </c>
      <c r="B183" s="212" t="s">
        <v>963</v>
      </c>
    </row>
    <row r="184" spans="1:2">
      <c r="A184" s="211" t="s">
        <v>964</v>
      </c>
      <c r="B184" s="212" t="s">
        <v>965</v>
      </c>
    </row>
    <row r="185" spans="1:2">
      <c r="A185" s="211" t="s">
        <v>966</v>
      </c>
      <c r="B185" s="212" t="s">
        <v>967</v>
      </c>
    </row>
    <row r="186" spans="1:2">
      <c r="A186" s="211" t="s">
        <v>968</v>
      </c>
      <c r="B186" s="212" t="s">
        <v>969</v>
      </c>
    </row>
    <row r="187" spans="1:2">
      <c r="A187" s="211" t="s">
        <v>970</v>
      </c>
      <c r="B187" s="212" t="s">
        <v>971</v>
      </c>
    </row>
    <row r="188" spans="1:2">
      <c r="A188" s="211" t="s">
        <v>972</v>
      </c>
      <c r="B188" s="212" t="s">
        <v>973</v>
      </c>
    </row>
    <row r="189" spans="1:2">
      <c r="A189" s="211" t="s">
        <v>974</v>
      </c>
      <c r="B189" s="212" t="s">
        <v>975</v>
      </c>
    </row>
    <row r="190" spans="1:2">
      <c r="A190" s="211" t="s">
        <v>976</v>
      </c>
      <c r="B190" s="212" t="s">
        <v>977</v>
      </c>
    </row>
    <row r="191" spans="1:2">
      <c r="A191" s="211" t="s">
        <v>978</v>
      </c>
      <c r="B191" s="212" t="s">
        <v>979</v>
      </c>
    </row>
    <row r="192" spans="1:2">
      <c r="A192" s="211" t="s">
        <v>980</v>
      </c>
      <c r="B192" s="212" t="s">
        <v>981</v>
      </c>
    </row>
    <row r="193" spans="1:2">
      <c r="A193" s="211" t="s">
        <v>982</v>
      </c>
      <c r="B193" s="212" t="s">
        <v>983</v>
      </c>
    </row>
    <row r="194" spans="1:2">
      <c r="A194" s="211" t="s">
        <v>984</v>
      </c>
      <c r="B194" s="212" t="s">
        <v>985</v>
      </c>
    </row>
    <row r="195" spans="1:2">
      <c r="A195" s="211" t="s">
        <v>986</v>
      </c>
      <c r="B195" s="212" t="s">
        <v>985</v>
      </c>
    </row>
    <row r="196" spans="1:2">
      <c r="A196" s="211" t="s">
        <v>987</v>
      </c>
      <c r="B196" s="212" t="s">
        <v>988</v>
      </c>
    </row>
    <row r="197" spans="1:2">
      <c r="A197" s="211" t="s">
        <v>989</v>
      </c>
      <c r="B197" s="212" t="s">
        <v>990</v>
      </c>
    </row>
    <row r="198" spans="1:2">
      <c r="A198" s="211" t="s">
        <v>991</v>
      </c>
      <c r="B198" s="212" t="s">
        <v>988</v>
      </c>
    </row>
    <row r="199" spans="1:2">
      <c r="A199" s="211" t="s">
        <v>1716</v>
      </c>
      <c r="B199" s="212"/>
    </row>
    <row r="200" spans="1:2">
      <c r="A200" s="211" t="s">
        <v>1717</v>
      </c>
      <c r="B200" s="212" t="s">
        <v>1718</v>
      </c>
    </row>
    <row r="201" spans="1:2">
      <c r="A201" s="211" t="s">
        <v>1719</v>
      </c>
      <c r="B201" s="212" t="s">
        <v>1720</v>
      </c>
    </row>
    <row r="202" spans="1:2">
      <c r="A202" s="211" t="s">
        <v>1721</v>
      </c>
      <c r="B202" s="212" t="s">
        <v>1722</v>
      </c>
    </row>
    <row r="203" spans="1:2" ht="22.5">
      <c r="A203" s="211" t="s">
        <v>1723</v>
      </c>
      <c r="B203" s="212" t="s">
        <v>1724</v>
      </c>
    </row>
    <row r="204" spans="1:2">
      <c r="A204" s="211" t="s">
        <v>1725</v>
      </c>
      <c r="B204" s="212" t="s">
        <v>1726</v>
      </c>
    </row>
    <row r="205" spans="1:2">
      <c r="A205" s="211" t="s">
        <v>1727</v>
      </c>
      <c r="B205" s="212" t="s">
        <v>1728</v>
      </c>
    </row>
    <row r="206" spans="1:2">
      <c r="A206" s="211" t="s">
        <v>1729</v>
      </c>
      <c r="B206" s="212" t="s">
        <v>1730</v>
      </c>
    </row>
    <row r="207" spans="1:2">
      <c r="A207" s="211" t="s">
        <v>1731</v>
      </c>
      <c r="B207" s="212" t="s">
        <v>1732</v>
      </c>
    </row>
    <row r="208" spans="1:2">
      <c r="A208" s="211" t="s">
        <v>1733</v>
      </c>
      <c r="B208" s="212" t="s">
        <v>1734</v>
      </c>
    </row>
    <row r="209" spans="1:2">
      <c r="A209" s="211" t="s">
        <v>1735</v>
      </c>
      <c r="B209" s="212" t="s">
        <v>1736</v>
      </c>
    </row>
    <row r="210" spans="1:2">
      <c r="A210" s="211" t="s">
        <v>1737</v>
      </c>
      <c r="B210" s="212" t="s">
        <v>1738</v>
      </c>
    </row>
    <row r="211" spans="1:2">
      <c r="A211" s="211" t="s">
        <v>1739</v>
      </c>
      <c r="B211" s="212" t="s">
        <v>1740</v>
      </c>
    </row>
    <row r="212" spans="1:2">
      <c r="A212" s="211" t="s">
        <v>1741</v>
      </c>
      <c r="B212" s="212" t="s">
        <v>1742</v>
      </c>
    </row>
    <row r="213" spans="1:2">
      <c r="A213" s="211" t="s">
        <v>1743</v>
      </c>
      <c r="B213" s="212" t="s">
        <v>1744</v>
      </c>
    </row>
    <row r="214" spans="1:2">
      <c r="A214" s="211" t="s">
        <v>1745</v>
      </c>
      <c r="B214" s="212" t="s">
        <v>1746</v>
      </c>
    </row>
    <row r="215" spans="1:2">
      <c r="A215" s="211" t="s">
        <v>1747</v>
      </c>
      <c r="B215" s="212" t="s">
        <v>1748</v>
      </c>
    </row>
    <row r="216" spans="1:2">
      <c r="A216" s="211" t="s">
        <v>1749</v>
      </c>
      <c r="B216" s="212" t="s">
        <v>1750</v>
      </c>
    </row>
    <row r="217" spans="1:2">
      <c r="A217" s="211" t="s">
        <v>1751</v>
      </c>
      <c r="B217" s="212" t="s">
        <v>1752</v>
      </c>
    </row>
    <row r="218" spans="1:2">
      <c r="A218" s="211" t="s">
        <v>1753</v>
      </c>
      <c r="B218" s="212" t="s">
        <v>1754</v>
      </c>
    </row>
    <row r="219" spans="1:2">
      <c r="A219" s="211" t="s">
        <v>1755</v>
      </c>
      <c r="B219" s="212" t="s">
        <v>1756</v>
      </c>
    </row>
    <row r="220" spans="1:2">
      <c r="A220" s="211" t="s">
        <v>1757</v>
      </c>
      <c r="B220" s="212" t="s">
        <v>1758</v>
      </c>
    </row>
    <row r="221" spans="1:2">
      <c r="A221" s="211" t="s">
        <v>1759</v>
      </c>
      <c r="B221" s="212" t="s">
        <v>1760</v>
      </c>
    </row>
    <row r="222" spans="1:2">
      <c r="A222" s="211" t="s">
        <v>1761</v>
      </c>
      <c r="B222" s="212" t="s">
        <v>1762</v>
      </c>
    </row>
    <row r="223" spans="1:2">
      <c r="A223" s="211" t="s">
        <v>1763</v>
      </c>
      <c r="B223" s="212" t="s">
        <v>1764</v>
      </c>
    </row>
    <row r="224" spans="1:2">
      <c r="A224" s="211" t="s">
        <v>1765</v>
      </c>
      <c r="B224" s="212" t="s">
        <v>1766</v>
      </c>
    </row>
    <row r="225" spans="1:2">
      <c r="A225" s="211" t="s">
        <v>1767</v>
      </c>
      <c r="B225" s="212" t="s">
        <v>1768</v>
      </c>
    </row>
    <row r="226" spans="1:2">
      <c r="A226" s="211" t="s">
        <v>1769</v>
      </c>
      <c r="B226" s="212" t="s">
        <v>1770</v>
      </c>
    </row>
    <row r="227" spans="1:2">
      <c r="A227" s="211" t="s">
        <v>1771</v>
      </c>
      <c r="B227" s="212" t="s">
        <v>1772</v>
      </c>
    </row>
    <row r="228" spans="1:2">
      <c r="A228" s="211" t="s">
        <v>1773</v>
      </c>
      <c r="B228" s="212" t="s">
        <v>1774</v>
      </c>
    </row>
    <row r="229" spans="1:2">
      <c r="A229" s="211" t="s">
        <v>1775</v>
      </c>
      <c r="B229" s="212" t="s">
        <v>1776</v>
      </c>
    </row>
    <row r="230" spans="1:2">
      <c r="A230" s="211" t="s">
        <v>1777</v>
      </c>
      <c r="B230" s="212" t="s">
        <v>1778</v>
      </c>
    </row>
    <row r="231" spans="1:2">
      <c r="A231" s="210" t="s">
        <v>145</v>
      </c>
      <c r="B231" s="213" t="s">
        <v>2314</v>
      </c>
    </row>
    <row r="232" spans="1:2">
      <c r="A232" s="211" t="s">
        <v>992</v>
      </c>
      <c r="B232" s="212" t="s">
        <v>993</v>
      </c>
    </row>
    <row r="233" spans="1:2">
      <c r="A233" s="211" t="s">
        <v>994</v>
      </c>
      <c r="B233" s="212" t="s">
        <v>995</v>
      </c>
    </row>
    <row r="234" spans="1:2">
      <c r="A234" s="211" t="s">
        <v>996</v>
      </c>
      <c r="B234" s="212" t="s">
        <v>997</v>
      </c>
    </row>
    <row r="235" spans="1:2">
      <c r="A235" s="211" t="s">
        <v>998</v>
      </c>
      <c r="B235" s="212" t="s">
        <v>999</v>
      </c>
    </row>
    <row r="236" spans="1:2">
      <c r="A236" s="211" t="s">
        <v>1000</v>
      </c>
      <c r="B236" s="212" t="s">
        <v>1001</v>
      </c>
    </row>
    <row r="237" spans="1:2">
      <c r="A237" s="211" t="s">
        <v>1002</v>
      </c>
      <c r="B237" s="212" t="s">
        <v>1003</v>
      </c>
    </row>
    <row r="238" spans="1:2">
      <c r="A238" s="211" t="s">
        <v>1004</v>
      </c>
      <c r="B238" s="212" t="s">
        <v>1005</v>
      </c>
    </row>
    <row r="239" spans="1:2">
      <c r="A239" s="211" t="s">
        <v>1006</v>
      </c>
      <c r="B239" s="212" t="s">
        <v>1007</v>
      </c>
    </row>
    <row r="240" spans="1:2">
      <c r="A240" s="211" t="s">
        <v>1008</v>
      </c>
      <c r="B240" s="212" t="s">
        <v>1009</v>
      </c>
    </row>
    <row r="241" spans="1:2">
      <c r="A241" s="211" t="s">
        <v>1010</v>
      </c>
      <c r="B241" s="212" t="s">
        <v>1011</v>
      </c>
    </row>
    <row r="242" spans="1:2">
      <c r="A242" s="211" t="s">
        <v>1012</v>
      </c>
      <c r="B242" s="212" t="s">
        <v>1013</v>
      </c>
    </row>
    <row r="243" spans="1:2">
      <c r="A243" s="211" t="s">
        <v>1014</v>
      </c>
      <c r="B243" s="212" t="s">
        <v>1015</v>
      </c>
    </row>
    <row r="244" spans="1:2">
      <c r="A244" s="211" t="s">
        <v>1016</v>
      </c>
      <c r="B244" s="212" t="s">
        <v>1017</v>
      </c>
    </row>
    <row r="245" spans="1:2">
      <c r="A245" s="211" t="s">
        <v>1018</v>
      </c>
      <c r="B245" s="212" t="s">
        <v>1019</v>
      </c>
    </row>
    <row r="246" spans="1:2">
      <c r="A246" s="211" t="s">
        <v>1020</v>
      </c>
      <c r="B246" s="212" t="s">
        <v>1021</v>
      </c>
    </row>
    <row r="247" spans="1:2">
      <c r="A247" s="211" t="s">
        <v>1022</v>
      </c>
      <c r="B247" s="212" t="s">
        <v>1023</v>
      </c>
    </row>
    <row r="248" spans="1:2">
      <c r="A248" s="211" t="s">
        <v>1024</v>
      </c>
      <c r="B248" s="212" t="s">
        <v>1025</v>
      </c>
    </row>
    <row r="249" spans="1:2">
      <c r="A249" s="211" t="s">
        <v>1026</v>
      </c>
      <c r="B249" s="212" t="s">
        <v>1027</v>
      </c>
    </row>
    <row r="250" spans="1:2">
      <c r="A250" s="211" t="s">
        <v>1028</v>
      </c>
      <c r="B250" s="212" t="s">
        <v>1029</v>
      </c>
    </row>
    <row r="251" spans="1:2">
      <c r="A251" s="211" t="s">
        <v>1030</v>
      </c>
      <c r="B251" s="212" t="s">
        <v>1031</v>
      </c>
    </row>
    <row r="252" spans="1:2">
      <c r="A252" s="211" t="s">
        <v>1032</v>
      </c>
      <c r="B252" s="212" t="s">
        <v>1033</v>
      </c>
    </row>
    <row r="253" spans="1:2">
      <c r="A253" s="211" t="s">
        <v>1034</v>
      </c>
      <c r="B253" s="212" t="s">
        <v>1035</v>
      </c>
    </row>
    <row r="254" spans="1:2">
      <c r="A254" s="211" t="s">
        <v>1036</v>
      </c>
      <c r="B254" s="212" t="s">
        <v>1037</v>
      </c>
    </row>
    <row r="255" spans="1:2">
      <c r="A255" s="211" t="s">
        <v>1038</v>
      </c>
      <c r="B255" s="212" t="s">
        <v>1039</v>
      </c>
    </row>
    <row r="256" spans="1:2">
      <c r="A256" s="211" t="s">
        <v>1040</v>
      </c>
      <c r="B256" s="212" t="s">
        <v>1041</v>
      </c>
    </row>
    <row r="257" spans="1:2">
      <c r="A257" s="211" t="s">
        <v>1042</v>
      </c>
      <c r="B257" s="212" t="s">
        <v>1043</v>
      </c>
    </row>
    <row r="258" spans="1:2">
      <c r="A258" s="211" t="s">
        <v>1044</v>
      </c>
      <c r="B258" s="212" t="s">
        <v>1045</v>
      </c>
    </row>
    <row r="259" spans="1:2">
      <c r="A259" s="211" t="s">
        <v>1046</v>
      </c>
      <c r="B259" s="212" t="s">
        <v>1047</v>
      </c>
    </row>
    <row r="260" spans="1:2">
      <c r="A260" s="211" t="s">
        <v>1048</v>
      </c>
      <c r="B260" s="212" t="s">
        <v>1049</v>
      </c>
    </row>
    <row r="261" spans="1:2">
      <c r="A261" s="211" t="s">
        <v>1050</v>
      </c>
      <c r="B261" s="212" t="s">
        <v>1051</v>
      </c>
    </row>
    <row r="262" spans="1:2">
      <c r="A262" s="211" t="s">
        <v>1052</v>
      </c>
      <c r="B262" s="212" t="s">
        <v>1053</v>
      </c>
    </row>
    <row r="263" spans="1:2">
      <c r="A263" s="211" t="s">
        <v>1054</v>
      </c>
      <c r="B263" s="212" t="s">
        <v>1055</v>
      </c>
    </row>
    <row r="264" spans="1:2">
      <c r="A264" s="211" t="s">
        <v>1056</v>
      </c>
      <c r="B264" s="212" t="s">
        <v>1057</v>
      </c>
    </row>
    <row r="265" spans="1:2">
      <c r="A265" s="211" t="s">
        <v>1058</v>
      </c>
      <c r="B265" s="212" t="s">
        <v>1059</v>
      </c>
    </row>
    <row r="266" spans="1:2">
      <c r="A266" s="211" t="s">
        <v>1060</v>
      </c>
      <c r="B266" s="212" t="s">
        <v>1061</v>
      </c>
    </row>
    <row r="267" spans="1:2">
      <c r="A267" s="211" t="s">
        <v>1062</v>
      </c>
      <c r="B267" s="212" t="s">
        <v>1063</v>
      </c>
    </row>
    <row r="268" spans="1:2">
      <c r="A268" s="211" t="s">
        <v>1064</v>
      </c>
      <c r="B268" s="212" t="s">
        <v>1065</v>
      </c>
    </row>
    <row r="269" spans="1:2">
      <c r="A269" s="211" t="s">
        <v>1066</v>
      </c>
      <c r="B269" s="212" t="s">
        <v>1067</v>
      </c>
    </row>
    <row r="270" spans="1:2">
      <c r="A270" s="211" t="s">
        <v>1068</v>
      </c>
      <c r="B270" s="212" t="s">
        <v>1069</v>
      </c>
    </row>
    <row r="271" spans="1:2">
      <c r="A271" s="211" t="s">
        <v>1070</v>
      </c>
      <c r="B271" s="212" t="s">
        <v>1071</v>
      </c>
    </row>
    <row r="272" spans="1:2">
      <c r="A272" s="211" t="s">
        <v>1072</v>
      </c>
      <c r="B272" s="212" t="s">
        <v>1073</v>
      </c>
    </row>
    <row r="273" spans="1:2">
      <c r="A273" s="211" t="s">
        <v>1074</v>
      </c>
      <c r="B273" s="212" t="s">
        <v>1075</v>
      </c>
    </row>
    <row r="274" spans="1:2">
      <c r="A274" s="211" t="s">
        <v>1076</v>
      </c>
      <c r="B274" s="212" t="s">
        <v>1077</v>
      </c>
    </row>
    <row r="275" spans="1:2">
      <c r="A275" s="211" t="s">
        <v>1078</v>
      </c>
      <c r="B275" s="212" t="s">
        <v>1079</v>
      </c>
    </row>
    <row r="276" spans="1:2">
      <c r="A276" s="211" t="s">
        <v>1080</v>
      </c>
      <c r="B276" s="212" t="s">
        <v>1081</v>
      </c>
    </row>
    <row r="277" spans="1:2">
      <c r="A277" s="211" t="s">
        <v>1082</v>
      </c>
      <c r="B277" s="212" t="s">
        <v>1083</v>
      </c>
    </row>
    <row r="278" spans="1:2">
      <c r="A278" s="211" t="s">
        <v>1084</v>
      </c>
      <c r="B278" s="212" t="s">
        <v>1085</v>
      </c>
    </row>
    <row r="279" spans="1:2">
      <c r="A279" s="211" t="s">
        <v>1086</v>
      </c>
      <c r="B279" s="212" t="s">
        <v>1087</v>
      </c>
    </row>
    <row r="280" spans="1:2">
      <c r="A280" s="211" t="s">
        <v>1088</v>
      </c>
      <c r="B280" s="212" t="s">
        <v>1089</v>
      </c>
    </row>
    <row r="281" spans="1:2">
      <c r="A281" s="211" t="s">
        <v>1090</v>
      </c>
      <c r="B281" s="212" t="s">
        <v>1091</v>
      </c>
    </row>
    <row r="282" spans="1:2">
      <c r="A282" s="211" t="s">
        <v>1092</v>
      </c>
      <c r="B282" s="212" t="s">
        <v>1093</v>
      </c>
    </row>
    <row r="283" spans="1:2">
      <c r="A283" s="211" t="s">
        <v>1094</v>
      </c>
      <c r="B283" s="212" t="s">
        <v>1095</v>
      </c>
    </row>
    <row r="284" spans="1:2">
      <c r="A284" s="211" t="s">
        <v>1096</v>
      </c>
      <c r="B284" s="212" t="s">
        <v>1097</v>
      </c>
    </row>
    <row r="285" spans="1:2">
      <c r="A285" s="211" t="s">
        <v>1098</v>
      </c>
      <c r="B285" s="212" t="s">
        <v>1099</v>
      </c>
    </row>
    <row r="286" spans="1:2">
      <c r="A286" s="211" t="s">
        <v>1779</v>
      </c>
      <c r="B286" s="212" t="s">
        <v>1780</v>
      </c>
    </row>
    <row r="287" spans="1:2">
      <c r="A287" s="211" t="s">
        <v>1781</v>
      </c>
      <c r="B287" s="212" t="s">
        <v>1782</v>
      </c>
    </row>
    <row r="288" spans="1:2">
      <c r="A288" s="211" t="s">
        <v>1783</v>
      </c>
      <c r="B288" s="212" t="s">
        <v>1784</v>
      </c>
    </row>
    <row r="289" spans="1:2">
      <c r="A289" s="211" t="s">
        <v>1785</v>
      </c>
      <c r="B289" s="212" t="s">
        <v>1786</v>
      </c>
    </row>
    <row r="290" spans="1:2">
      <c r="A290" s="211" t="s">
        <v>1787</v>
      </c>
      <c r="B290" s="212" t="s">
        <v>1788</v>
      </c>
    </row>
    <row r="291" spans="1:2">
      <c r="A291" s="211" t="s">
        <v>1789</v>
      </c>
      <c r="B291" s="212" t="s">
        <v>1790</v>
      </c>
    </row>
    <row r="292" spans="1:2">
      <c r="A292" s="211" t="s">
        <v>1791</v>
      </c>
      <c r="B292" s="212" t="s">
        <v>1792</v>
      </c>
    </row>
    <row r="293" spans="1:2">
      <c r="A293" s="211" t="s">
        <v>1793</v>
      </c>
      <c r="B293" s="212" t="s">
        <v>1794</v>
      </c>
    </row>
    <row r="294" spans="1:2">
      <c r="A294" s="211" t="s">
        <v>1795</v>
      </c>
      <c r="B294" s="212" t="s">
        <v>1796</v>
      </c>
    </row>
    <row r="295" spans="1:2">
      <c r="A295" s="211" t="s">
        <v>1797</v>
      </c>
      <c r="B295" s="212" t="s">
        <v>1798</v>
      </c>
    </row>
    <row r="296" spans="1:2">
      <c r="A296" s="211" t="s">
        <v>1799</v>
      </c>
      <c r="B296" s="212" t="s">
        <v>1800</v>
      </c>
    </row>
    <row r="297" spans="1:2">
      <c r="A297" s="211" t="s">
        <v>1801</v>
      </c>
      <c r="B297" s="212" t="s">
        <v>1802</v>
      </c>
    </row>
    <row r="298" spans="1:2">
      <c r="A298" s="211" t="s">
        <v>1803</v>
      </c>
      <c r="B298" s="212" t="s">
        <v>1804</v>
      </c>
    </row>
    <row r="299" spans="1:2">
      <c r="A299" s="211" t="s">
        <v>1805</v>
      </c>
      <c r="B299" s="212" t="s">
        <v>1806</v>
      </c>
    </row>
    <row r="300" spans="1:2">
      <c r="A300" s="211" t="s">
        <v>1807</v>
      </c>
      <c r="B300" s="212" t="s">
        <v>1808</v>
      </c>
    </row>
    <row r="301" spans="1:2">
      <c r="A301" s="211" t="s">
        <v>1809</v>
      </c>
      <c r="B301" s="212" t="s">
        <v>1810</v>
      </c>
    </row>
    <row r="302" spans="1:2">
      <c r="A302" s="211" t="s">
        <v>1811</v>
      </c>
      <c r="B302" s="212" t="s">
        <v>1812</v>
      </c>
    </row>
    <row r="303" spans="1:2">
      <c r="A303" s="211" t="s">
        <v>1813</v>
      </c>
      <c r="B303" s="212" t="s">
        <v>1814</v>
      </c>
    </row>
    <row r="304" spans="1:2">
      <c r="A304" s="211" t="s">
        <v>1815</v>
      </c>
      <c r="B304" s="212" t="s">
        <v>1816</v>
      </c>
    </row>
    <row r="305" spans="1:2">
      <c r="A305" s="211" t="s">
        <v>1817</v>
      </c>
      <c r="B305" s="212" t="s">
        <v>1818</v>
      </c>
    </row>
    <row r="306" spans="1:2">
      <c r="A306" s="211" t="s">
        <v>1819</v>
      </c>
      <c r="B306" s="212" t="s">
        <v>1820</v>
      </c>
    </row>
    <row r="307" spans="1:2">
      <c r="A307" s="211" t="s">
        <v>1821</v>
      </c>
      <c r="B307" s="212" t="s">
        <v>1822</v>
      </c>
    </row>
    <row r="308" spans="1:2">
      <c r="A308" s="211" t="s">
        <v>1823</v>
      </c>
      <c r="B308" s="212" t="s">
        <v>1824</v>
      </c>
    </row>
    <row r="309" spans="1:2">
      <c r="A309" s="211" t="s">
        <v>1825</v>
      </c>
      <c r="B309" s="212" t="s">
        <v>1826</v>
      </c>
    </row>
    <row r="310" spans="1:2">
      <c r="A310" s="211" t="s">
        <v>1827</v>
      </c>
      <c r="B310" s="212" t="s">
        <v>1828</v>
      </c>
    </row>
    <row r="311" spans="1:2">
      <c r="A311" s="211" t="s">
        <v>1829</v>
      </c>
      <c r="B311" s="212" t="s">
        <v>1830</v>
      </c>
    </row>
    <row r="312" spans="1:2">
      <c r="A312" s="211" t="s">
        <v>1831</v>
      </c>
      <c r="B312" s="212" t="s">
        <v>1832</v>
      </c>
    </row>
    <row r="313" spans="1:2">
      <c r="A313" s="211" t="s">
        <v>1833</v>
      </c>
      <c r="B313" s="212" t="s">
        <v>1834</v>
      </c>
    </row>
    <row r="314" spans="1:2">
      <c r="A314" s="211" t="s">
        <v>1835</v>
      </c>
      <c r="B314" s="212" t="s">
        <v>1836</v>
      </c>
    </row>
    <row r="315" spans="1:2">
      <c r="A315" s="211" t="s">
        <v>1837</v>
      </c>
      <c r="B315" s="212" t="s">
        <v>1838</v>
      </c>
    </row>
    <row r="316" spans="1:2">
      <c r="A316" s="211" t="s">
        <v>1839</v>
      </c>
      <c r="B316" s="212" t="s">
        <v>1840</v>
      </c>
    </row>
    <row r="317" spans="1:2">
      <c r="A317" s="211" t="s">
        <v>1841</v>
      </c>
      <c r="B317" s="212" t="s">
        <v>1842</v>
      </c>
    </row>
    <row r="318" spans="1:2">
      <c r="A318" s="211" t="s">
        <v>1843</v>
      </c>
      <c r="B318" s="212" t="s">
        <v>1844</v>
      </c>
    </row>
    <row r="319" spans="1:2">
      <c r="A319" s="211" t="s">
        <v>1845</v>
      </c>
      <c r="B319" s="212" t="s">
        <v>1846</v>
      </c>
    </row>
    <row r="320" spans="1:2">
      <c r="A320" s="211" t="s">
        <v>1847</v>
      </c>
      <c r="B320" s="212" t="s">
        <v>1848</v>
      </c>
    </row>
    <row r="321" spans="1:2">
      <c r="A321" s="211" t="s">
        <v>1849</v>
      </c>
      <c r="B321" s="212" t="s">
        <v>1850</v>
      </c>
    </row>
    <row r="322" spans="1:2">
      <c r="A322" s="211" t="s">
        <v>1851</v>
      </c>
      <c r="B322" s="212" t="s">
        <v>1852</v>
      </c>
    </row>
    <row r="323" spans="1:2">
      <c r="A323" s="211" t="s">
        <v>1853</v>
      </c>
      <c r="B323" s="212" t="s">
        <v>1854</v>
      </c>
    </row>
    <row r="324" spans="1:2">
      <c r="A324" s="211" t="s">
        <v>1855</v>
      </c>
      <c r="B324" s="212" t="s">
        <v>1856</v>
      </c>
    </row>
    <row r="325" spans="1:2">
      <c r="A325" s="211" t="s">
        <v>1857</v>
      </c>
      <c r="B325" s="212" t="s">
        <v>1858</v>
      </c>
    </row>
    <row r="326" spans="1:2">
      <c r="A326" s="211" t="s">
        <v>1859</v>
      </c>
      <c r="B326" s="212" t="s">
        <v>1860</v>
      </c>
    </row>
    <row r="327" spans="1:2">
      <c r="A327" s="211" t="s">
        <v>1861</v>
      </c>
      <c r="B327" s="212" t="s">
        <v>1862</v>
      </c>
    </row>
    <row r="328" spans="1:2">
      <c r="A328" s="211" t="s">
        <v>1863</v>
      </c>
      <c r="B328" s="212" t="s">
        <v>1864</v>
      </c>
    </row>
    <row r="329" spans="1:2">
      <c r="A329" s="211" t="s">
        <v>1865</v>
      </c>
      <c r="B329" s="212" t="s">
        <v>1866</v>
      </c>
    </row>
    <row r="330" spans="1:2">
      <c r="A330" s="211" t="s">
        <v>1867</v>
      </c>
      <c r="B330" s="212" t="s">
        <v>1868</v>
      </c>
    </row>
    <row r="331" spans="1:2">
      <c r="A331" s="211" t="s">
        <v>1869</v>
      </c>
      <c r="B331" s="212" t="s">
        <v>1870</v>
      </c>
    </row>
    <row r="332" spans="1:2">
      <c r="A332" s="211" t="s">
        <v>1871</v>
      </c>
      <c r="B332" s="212" t="s">
        <v>1872</v>
      </c>
    </row>
    <row r="333" spans="1:2">
      <c r="A333" s="211" t="s">
        <v>1873</v>
      </c>
      <c r="B333" s="212" t="s">
        <v>1874</v>
      </c>
    </row>
    <row r="334" spans="1:2">
      <c r="A334" s="211" t="s">
        <v>1875</v>
      </c>
      <c r="B334" s="212" t="s">
        <v>1876</v>
      </c>
    </row>
    <row r="335" spans="1:2">
      <c r="A335" s="211" t="s">
        <v>1877</v>
      </c>
      <c r="B335" s="212" t="s">
        <v>1878</v>
      </c>
    </row>
    <row r="336" spans="1:2">
      <c r="A336" s="211" t="s">
        <v>1879</v>
      </c>
      <c r="B336" s="212" t="s">
        <v>1880</v>
      </c>
    </row>
    <row r="337" spans="1:2">
      <c r="A337" s="211" t="s">
        <v>1881</v>
      </c>
      <c r="B337" s="212" t="s">
        <v>1882</v>
      </c>
    </row>
    <row r="338" spans="1:2">
      <c r="A338" s="211" t="s">
        <v>1883</v>
      </c>
      <c r="B338" s="212" t="s">
        <v>1884</v>
      </c>
    </row>
    <row r="339" spans="1:2">
      <c r="A339" s="211" t="s">
        <v>1885</v>
      </c>
      <c r="B339" s="212" t="s">
        <v>1886</v>
      </c>
    </row>
    <row r="340" spans="1:2">
      <c r="A340" s="211" t="s">
        <v>1887</v>
      </c>
      <c r="B340" s="212" t="s">
        <v>1888</v>
      </c>
    </row>
    <row r="341" spans="1:2">
      <c r="A341" s="211" t="s">
        <v>1889</v>
      </c>
      <c r="B341" s="212" t="s">
        <v>1890</v>
      </c>
    </row>
    <row r="342" spans="1:2">
      <c r="A342" s="211" t="s">
        <v>1891</v>
      </c>
      <c r="B342" s="212" t="s">
        <v>1892</v>
      </c>
    </row>
    <row r="343" spans="1:2">
      <c r="A343" s="211" t="s">
        <v>1893</v>
      </c>
      <c r="B343" s="212" t="s">
        <v>1894</v>
      </c>
    </row>
    <row r="344" spans="1:2">
      <c r="A344" s="211" t="s">
        <v>1895</v>
      </c>
      <c r="B344" s="212" t="s">
        <v>1896</v>
      </c>
    </row>
    <row r="345" spans="1:2">
      <c r="A345" s="211" t="s">
        <v>1897</v>
      </c>
      <c r="B345" s="212" t="s">
        <v>1898</v>
      </c>
    </row>
    <row r="346" spans="1:2">
      <c r="A346" s="211" t="s">
        <v>1899</v>
      </c>
      <c r="B346" s="212" t="s">
        <v>1900</v>
      </c>
    </row>
    <row r="347" spans="1:2">
      <c r="A347" s="211" t="s">
        <v>1901</v>
      </c>
      <c r="B347" s="212" t="s">
        <v>1902</v>
      </c>
    </row>
    <row r="348" spans="1:2">
      <c r="A348" s="211" t="s">
        <v>1903</v>
      </c>
      <c r="B348" s="212" t="s">
        <v>1904</v>
      </c>
    </row>
    <row r="349" spans="1:2">
      <c r="A349" s="211" t="s">
        <v>1905</v>
      </c>
      <c r="B349" s="212"/>
    </row>
    <row r="350" spans="1:2">
      <c r="A350" s="211" t="s">
        <v>1906</v>
      </c>
      <c r="B350" s="212" t="s">
        <v>1907</v>
      </c>
    </row>
    <row r="351" spans="1:2">
      <c r="A351" s="211" t="s">
        <v>1908</v>
      </c>
      <c r="B351" s="212" t="s">
        <v>1909</v>
      </c>
    </row>
    <row r="352" spans="1:2">
      <c r="A352" s="211" t="s">
        <v>1910</v>
      </c>
      <c r="B352" s="212" t="s">
        <v>1911</v>
      </c>
    </row>
    <row r="353" spans="1:2">
      <c r="A353" s="211" t="s">
        <v>1912</v>
      </c>
      <c r="B353" s="212" t="s">
        <v>1913</v>
      </c>
    </row>
    <row r="354" spans="1:2">
      <c r="A354" s="211" t="s">
        <v>1914</v>
      </c>
      <c r="B354" s="212" t="s">
        <v>1915</v>
      </c>
    </row>
    <row r="355" spans="1:2">
      <c r="A355" s="211" t="s">
        <v>1916</v>
      </c>
      <c r="B355" s="212" t="s">
        <v>1917</v>
      </c>
    </row>
    <row r="356" spans="1:2">
      <c r="A356" s="211" t="s">
        <v>1918</v>
      </c>
      <c r="B356" s="212" t="s">
        <v>1919</v>
      </c>
    </row>
    <row r="357" spans="1:2">
      <c r="A357" s="211" t="s">
        <v>1920</v>
      </c>
      <c r="B357" s="212" t="s">
        <v>1921</v>
      </c>
    </row>
    <row r="358" spans="1:2">
      <c r="A358" s="211" t="s">
        <v>1922</v>
      </c>
      <c r="B358" s="212" t="s">
        <v>1923</v>
      </c>
    </row>
    <row r="359" spans="1:2">
      <c r="A359" s="211" t="s">
        <v>1924</v>
      </c>
      <c r="B359" s="212" t="s">
        <v>1925</v>
      </c>
    </row>
    <row r="360" spans="1:2">
      <c r="A360" s="211" t="s">
        <v>1926</v>
      </c>
      <c r="B360" s="212" t="s">
        <v>1927</v>
      </c>
    </row>
    <row r="361" spans="1:2">
      <c r="A361" s="211" t="s">
        <v>1928</v>
      </c>
      <c r="B361" s="212" t="s">
        <v>1929</v>
      </c>
    </row>
    <row r="362" spans="1:2">
      <c r="A362" s="211" t="s">
        <v>1930</v>
      </c>
      <c r="B362" s="212" t="s">
        <v>1931</v>
      </c>
    </row>
    <row r="363" spans="1:2">
      <c r="A363" s="211" t="s">
        <v>1932</v>
      </c>
      <c r="B363" s="212" t="s">
        <v>1933</v>
      </c>
    </row>
    <row r="364" spans="1:2">
      <c r="A364" s="211" t="s">
        <v>1934</v>
      </c>
      <c r="B364" s="212" t="s">
        <v>1935</v>
      </c>
    </row>
    <row r="365" spans="1:2">
      <c r="A365" s="211" t="s">
        <v>1936</v>
      </c>
      <c r="B365" s="212" t="s">
        <v>1937</v>
      </c>
    </row>
    <row r="366" spans="1:2">
      <c r="A366" s="211" t="s">
        <v>1938</v>
      </c>
      <c r="B366" s="212" t="s">
        <v>1939</v>
      </c>
    </row>
    <row r="367" spans="1:2">
      <c r="A367" s="211" t="s">
        <v>1940</v>
      </c>
      <c r="B367" s="212" t="s">
        <v>1941</v>
      </c>
    </row>
    <row r="368" spans="1:2">
      <c r="A368" s="211" t="s">
        <v>1942</v>
      </c>
      <c r="B368" s="212" t="s">
        <v>1943</v>
      </c>
    </row>
    <row r="369" spans="1:2">
      <c r="A369" s="211" t="s">
        <v>1944</v>
      </c>
      <c r="B369" s="212" t="s">
        <v>1945</v>
      </c>
    </row>
    <row r="370" spans="1:2">
      <c r="A370" s="211" t="s">
        <v>1946</v>
      </c>
      <c r="B370" s="212" t="s">
        <v>1947</v>
      </c>
    </row>
    <row r="371" spans="1:2">
      <c r="A371" s="211" t="s">
        <v>1948</v>
      </c>
      <c r="B371" s="212" t="s">
        <v>1949</v>
      </c>
    </row>
    <row r="372" spans="1:2">
      <c r="A372" s="211" t="s">
        <v>1950</v>
      </c>
      <c r="B372" s="212" t="s">
        <v>1951</v>
      </c>
    </row>
    <row r="373" spans="1:2">
      <c r="A373" s="211" t="s">
        <v>1952</v>
      </c>
      <c r="B373" s="212" t="s">
        <v>1953</v>
      </c>
    </row>
    <row r="374" spans="1:2">
      <c r="A374" s="211" t="s">
        <v>1954</v>
      </c>
      <c r="B374" s="212" t="s">
        <v>1955</v>
      </c>
    </row>
    <row r="375" spans="1:2">
      <c r="A375" s="211" t="s">
        <v>1956</v>
      </c>
      <c r="B375" s="212" t="s">
        <v>1957</v>
      </c>
    </row>
    <row r="376" spans="1:2">
      <c r="A376" s="211" t="s">
        <v>1958</v>
      </c>
      <c r="B376" s="212" t="s">
        <v>1959</v>
      </c>
    </row>
    <row r="377" spans="1:2">
      <c r="A377" s="211" t="s">
        <v>1960</v>
      </c>
      <c r="B377" s="212" t="s">
        <v>1961</v>
      </c>
    </row>
    <row r="378" spans="1:2">
      <c r="A378" s="211" t="s">
        <v>1962</v>
      </c>
      <c r="B378" s="212" t="s">
        <v>1963</v>
      </c>
    </row>
    <row r="379" spans="1:2">
      <c r="A379" s="211" t="s">
        <v>1964</v>
      </c>
      <c r="B379" s="212" t="s">
        <v>1965</v>
      </c>
    </row>
    <row r="380" spans="1:2">
      <c r="A380" s="210" t="s">
        <v>151</v>
      </c>
      <c r="B380" s="213" t="s">
        <v>2315</v>
      </c>
    </row>
    <row r="381" spans="1:2">
      <c r="A381" s="211" t="s">
        <v>1100</v>
      </c>
      <c r="B381" s="212" t="s">
        <v>1101</v>
      </c>
    </row>
    <row r="382" spans="1:2">
      <c r="A382" s="211" t="s">
        <v>1102</v>
      </c>
      <c r="B382" s="212" t="s">
        <v>1103</v>
      </c>
    </row>
    <row r="383" spans="1:2">
      <c r="A383" s="211" t="s">
        <v>1104</v>
      </c>
      <c r="B383" s="212" t="s">
        <v>1105</v>
      </c>
    </row>
    <row r="384" spans="1:2">
      <c r="A384" s="211" t="s">
        <v>1106</v>
      </c>
      <c r="B384" s="212" t="s">
        <v>1107</v>
      </c>
    </row>
    <row r="385" spans="1:2">
      <c r="A385" s="211" t="s">
        <v>1966</v>
      </c>
      <c r="B385" s="212" t="s">
        <v>1967</v>
      </c>
    </row>
    <row r="386" spans="1:2">
      <c r="A386" s="211" t="s">
        <v>1968</v>
      </c>
      <c r="B386" s="212" t="s">
        <v>1969</v>
      </c>
    </row>
    <row r="387" spans="1:2">
      <c r="A387" s="210" t="s">
        <v>2318</v>
      </c>
      <c r="B387" s="213" t="s">
        <v>2316</v>
      </c>
    </row>
    <row r="388" spans="1:2">
      <c r="A388" s="211" t="s">
        <v>827</v>
      </c>
      <c r="B388" s="212"/>
    </row>
    <row r="389" spans="1:2">
      <c r="A389" s="210" t="s">
        <v>264</v>
      </c>
      <c r="B389" s="213" t="s">
        <v>811</v>
      </c>
    </row>
    <row r="390" spans="1:2">
      <c r="A390" s="211" t="s">
        <v>1108</v>
      </c>
      <c r="B390" s="212" t="s">
        <v>347</v>
      </c>
    </row>
    <row r="391" spans="1:2">
      <c r="A391" s="211" t="s">
        <v>1109</v>
      </c>
      <c r="B391" s="212" t="s">
        <v>348</v>
      </c>
    </row>
    <row r="392" spans="1:2">
      <c r="A392" s="211" t="s">
        <v>1110</v>
      </c>
      <c r="B392" s="212" t="s">
        <v>1111</v>
      </c>
    </row>
    <row r="393" spans="1:2">
      <c r="A393" s="211" t="s">
        <v>1112</v>
      </c>
      <c r="B393" s="212" t="s">
        <v>1113</v>
      </c>
    </row>
    <row r="394" spans="1:2">
      <c r="A394" s="211" t="s">
        <v>1970</v>
      </c>
      <c r="B394" s="212" t="s">
        <v>1495</v>
      </c>
    </row>
    <row r="395" spans="1:2">
      <c r="A395" s="210" t="s">
        <v>812</v>
      </c>
      <c r="B395" s="213" t="s">
        <v>813</v>
      </c>
    </row>
    <row r="396" spans="1:2">
      <c r="A396" s="211" t="s">
        <v>1114</v>
      </c>
      <c r="B396" s="212" t="s">
        <v>1115</v>
      </c>
    </row>
    <row r="397" spans="1:2">
      <c r="A397" s="211" t="s">
        <v>1116</v>
      </c>
      <c r="B397" s="212" t="s">
        <v>1117</v>
      </c>
    </row>
    <row r="398" spans="1:2">
      <c r="A398" s="211" t="s">
        <v>1118</v>
      </c>
      <c r="B398" s="212" t="s">
        <v>1119</v>
      </c>
    </row>
    <row r="399" spans="1:2">
      <c r="A399" s="210" t="s">
        <v>814</v>
      </c>
      <c r="B399" s="213" t="s">
        <v>815</v>
      </c>
    </row>
    <row r="400" spans="1:2">
      <c r="A400" s="211" t="s">
        <v>1120</v>
      </c>
      <c r="B400" s="212" t="s">
        <v>1121</v>
      </c>
    </row>
    <row r="401" spans="1:2">
      <c r="A401" s="209" t="s">
        <v>655</v>
      </c>
      <c r="B401" s="214" t="s">
        <v>1201</v>
      </c>
    </row>
    <row r="402" spans="1:2">
      <c r="A402" s="210" t="s">
        <v>1199</v>
      </c>
      <c r="B402" s="213" t="s">
        <v>1200</v>
      </c>
    </row>
    <row r="403" spans="1:2">
      <c r="A403" s="210" t="s">
        <v>822</v>
      </c>
      <c r="B403" s="213" t="s">
        <v>2317</v>
      </c>
    </row>
    <row r="404" spans="1:2">
      <c r="A404" s="211" t="s">
        <v>1122</v>
      </c>
      <c r="B404" s="212" t="s">
        <v>1123</v>
      </c>
    </row>
    <row r="405" spans="1:2">
      <c r="A405" s="211" t="s">
        <v>1124</v>
      </c>
      <c r="B405" s="212" t="s">
        <v>1125</v>
      </c>
    </row>
    <row r="406" spans="1:2">
      <c r="A406" s="211" t="s">
        <v>1126</v>
      </c>
      <c r="B406" s="212" t="s">
        <v>1127</v>
      </c>
    </row>
    <row r="407" spans="1:2">
      <c r="A407" s="211" t="s">
        <v>1128</v>
      </c>
      <c r="B407" s="212" t="s">
        <v>1129</v>
      </c>
    </row>
    <row r="408" spans="1:2">
      <c r="A408" s="211" t="s">
        <v>1130</v>
      </c>
      <c r="B408" s="212" t="s">
        <v>1131</v>
      </c>
    </row>
    <row r="409" spans="1:2">
      <c r="A409" s="211" t="s">
        <v>1132</v>
      </c>
      <c r="B409" s="212" t="s">
        <v>1133</v>
      </c>
    </row>
    <row r="410" spans="1:2">
      <c r="A410" s="211" t="s">
        <v>1134</v>
      </c>
      <c r="B410" s="212" t="s">
        <v>1135</v>
      </c>
    </row>
    <row r="411" spans="1:2">
      <c r="A411" s="211" t="s">
        <v>1136</v>
      </c>
      <c r="B411" s="212" t="s">
        <v>1137</v>
      </c>
    </row>
    <row r="412" spans="1:2">
      <c r="A412" s="211" t="s">
        <v>1138</v>
      </c>
      <c r="B412" s="212" t="s">
        <v>1139</v>
      </c>
    </row>
    <row r="413" spans="1:2">
      <c r="A413" s="211" t="s">
        <v>1140</v>
      </c>
      <c r="B413" s="212" t="s">
        <v>1141</v>
      </c>
    </row>
    <row r="414" spans="1:2">
      <c r="A414" s="211" t="s">
        <v>1142</v>
      </c>
      <c r="B414" s="212" t="s">
        <v>1143</v>
      </c>
    </row>
    <row r="415" spans="1:2">
      <c r="A415" s="211" t="s">
        <v>1144</v>
      </c>
      <c r="B415" s="212" t="s">
        <v>1145</v>
      </c>
    </row>
    <row r="416" spans="1:2">
      <c r="A416" s="211" t="s">
        <v>1146</v>
      </c>
      <c r="B416" s="212" t="s">
        <v>1147</v>
      </c>
    </row>
    <row r="417" spans="1:2">
      <c r="A417" s="211" t="s">
        <v>1148</v>
      </c>
      <c r="B417" s="212" t="s">
        <v>1149</v>
      </c>
    </row>
    <row r="418" spans="1:2">
      <c r="A418" s="211" t="s">
        <v>1150</v>
      </c>
      <c r="B418" s="212" t="s">
        <v>1151</v>
      </c>
    </row>
    <row r="419" spans="1:2">
      <c r="A419" s="211" t="s">
        <v>1152</v>
      </c>
      <c r="B419" s="212" t="s">
        <v>1153</v>
      </c>
    </row>
    <row r="420" spans="1:2">
      <c r="A420" s="211" t="s">
        <v>1154</v>
      </c>
      <c r="B420" s="212" t="s">
        <v>1155</v>
      </c>
    </row>
    <row r="421" spans="1:2">
      <c r="A421" s="211" t="s">
        <v>1156</v>
      </c>
      <c r="B421" s="212" t="s">
        <v>1157</v>
      </c>
    </row>
    <row r="422" spans="1:2">
      <c r="A422" s="211" t="s">
        <v>1158</v>
      </c>
      <c r="B422" s="212" t="s">
        <v>1159</v>
      </c>
    </row>
    <row r="423" spans="1:2" ht="22.5">
      <c r="A423" s="211" t="s">
        <v>1160</v>
      </c>
      <c r="B423" s="212" t="s">
        <v>1161</v>
      </c>
    </row>
    <row r="424" spans="1:2">
      <c r="A424" s="211" t="s">
        <v>1162</v>
      </c>
      <c r="B424" s="212" t="s">
        <v>1163</v>
      </c>
    </row>
    <row r="425" spans="1:2">
      <c r="A425" s="211" t="s">
        <v>1164</v>
      </c>
      <c r="B425" s="212" t="s">
        <v>1165</v>
      </c>
    </row>
    <row r="426" spans="1:2">
      <c r="A426" s="211" t="s">
        <v>1166</v>
      </c>
      <c r="B426" s="212" t="s">
        <v>1167</v>
      </c>
    </row>
    <row r="427" spans="1:2">
      <c r="A427" s="211" t="s">
        <v>1168</v>
      </c>
      <c r="B427" s="212" t="s">
        <v>1169</v>
      </c>
    </row>
    <row r="428" spans="1:2">
      <c r="A428" s="211" t="s">
        <v>1170</v>
      </c>
      <c r="B428" s="212" t="s">
        <v>1171</v>
      </c>
    </row>
    <row r="429" spans="1:2">
      <c r="A429" s="211" t="s">
        <v>1172</v>
      </c>
      <c r="B429" s="212" t="s">
        <v>1173</v>
      </c>
    </row>
    <row r="430" spans="1:2">
      <c r="A430" s="211" t="s">
        <v>1174</v>
      </c>
      <c r="B430" s="212" t="s">
        <v>1175</v>
      </c>
    </row>
    <row r="431" spans="1:2">
      <c r="A431" s="211" t="s">
        <v>1176</v>
      </c>
      <c r="B431" s="212" t="s">
        <v>1177</v>
      </c>
    </row>
    <row r="432" spans="1:2">
      <c r="A432" s="211" t="s">
        <v>1178</v>
      </c>
      <c r="B432" s="212" t="s">
        <v>1179</v>
      </c>
    </row>
    <row r="433" spans="1:2">
      <c r="A433" s="211" t="s">
        <v>1180</v>
      </c>
      <c r="B433" s="212" t="s">
        <v>1181</v>
      </c>
    </row>
    <row r="434" spans="1:2">
      <c r="A434" s="211" t="s">
        <v>1182</v>
      </c>
      <c r="B434" s="212" t="s">
        <v>1183</v>
      </c>
    </row>
    <row r="435" spans="1:2">
      <c r="A435" s="211" t="s">
        <v>1184</v>
      </c>
      <c r="B435" s="212" t="s">
        <v>1185</v>
      </c>
    </row>
    <row r="436" spans="1:2">
      <c r="A436" s="211" t="s">
        <v>1186</v>
      </c>
      <c r="B436" s="212" t="s">
        <v>1187</v>
      </c>
    </row>
    <row r="437" spans="1:2">
      <c r="A437" s="211" t="s">
        <v>1188</v>
      </c>
      <c r="B437" s="212" t="s">
        <v>1189</v>
      </c>
    </row>
    <row r="438" spans="1:2">
      <c r="A438" s="211" t="s">
        <v>1971</v>
      </c>
      <c r="B438" s="212" t="s">
        <v>1972</v>
      </c>
    </row>
    <row r="439" spans="1:2">
      <c r="A439" s="211" t="s">
        <v>1973</v>
      </c>
      <c r="B439" s="212" t="s">
        <v>1974</v>
      </c>
    </row>
    <row r="440" spans="1:2">
      <c r="A440" s="211" t="s">
        <v>1975</v>
      </c>
      <c r="B440" s="212" t="s">
        <v>1976</v>
      </c>
    </row>
    <row r="441" spans="1:2">
      <c r="A441" s="211" t="s">
        <v>1977</v>
      </c>
      <c r="B441" s="212" t="s">
        <v>1978</v>
      </c>
    </row>
    <row r="442" spans="1:2">
      <c r="A442" s="211" t="s">
        <v>1979</v>
      </c>
      <c r="B442" s="212" t="s">
        <v>1980</v>
      </c>
    </row>
    <row r="443" spans="1:2">
      <c r="A443" s="211" t="s">
        <v>1981</v>
      </c>
      <c r="B443" s="212" t="s">
        <v>1982</v>
      </c>
    </row>
    <row r="444" spans="1:2">
      <c r="A444" s="211" t="s">
        <v>1983</v>
      </c>
      <c r="B444" s="212" t="s">
        <v>1984</v>
      </c>
    </row>
    <row r="445" spans="1:2">
      <c r="A445" s="211" t="s">
        <v>1985</v>
      </c>
      <c r="B445" s="212" t="s">
        <v>1986</v>
      </c>
    </row>
    <row r="446" spans="1:2">
      <c r="A446" s="211" t="s">
        <v>1987</v>
      </c>
      <c r="B446" s="212" t="s">
        <v>1988</v>
      </c>
    </row>
    <row r="447" spans="1:2">
      <c r="A447" s="211" t="s">
        <v>1989</v>
      </c>
      <c r="B447" s="212" t="s">
        <v>1990</v>
      </c>
    </row>
    <row r="448" spans="1:2">
      <c r="A448" s="211" t="s">
        <v>1991</v>
      </c>
      <c r="B448" s="212" t="s">
        <v>1992</v>
      </c>
    </row>
    <row r="449" spans="1:2">
      <c r="A449" s="211" t="s">
        <v>1993</v>
      </c>
      <c r="B449" s="212" t="s">
        <v>1994</v>
      </c>
    </row>
    <row r="450" spans="1:2">
      <c r="A450" s="211" t="s">
        <v>1995</v>
      </c>
      <c r="B450" s="212" t="s">
        <v>1996</v>
      </c>
    </row>
    <row r="451" spans="1:2">
      <c r="A451" s="211" t="s">
        <v>1997</v>
      </c>
      <c r="B451" s="212" t="s">
        <v>1998</v>
      </c>
    </row>
    <row r="452" spans="1:2">
      <c r="A452" s="211" t="s">
        <v>1999</v>
      </c>
      <c r="B452" s="212" t="s">
        <v>2000</v>
      </c>
    </row>
    <row r="453" spans="1:2">
      <c r="A453" s="211" t="s">
        <v>2001</v>
      </c>
      <c r="B453" s="212" t="s">
        <v>2002</v>
      </c>
    </row>
    <row r="454" spans="1:2">
      <c r="A454" s="211" t="s">
        <v>2003</v>
      </c>
      <c r="B454" s="212" t="s">
        <v>2004</v>
      </c>
    </row>
    <row r="455" spans="1:2">
      <c r="A455" s="211" t="s">
        <v>2005</v>
      </c>
      <c r="B455" s="212" t="s">
        <v>2006</v>
      </c>
    </row>
    <row r="456" spans="1:2">
      <c r="A456" s="211" t="s">
        <v>2007</v>
      </c>
      <c r="B456" s="212" t="s">
        <v>2008</v>
      </c>
    </row>
    <row r="457" spans="1:2">
      <c r="A457" s="211" t="s">
        <v>2009</v>
      </c>
      <c r="B457" s="212" t="s">
        <v>2010</v>
      </c>
    </row>
    <row r="458" spans="1:2">
      <c r="A458" s="211" t="s">
        <v>2011</v>
      </c>
      <c r="B458" s="212" t="s">
        <v>2012</v>
      </c>
    </row>
    <row r="459" spans="1:2">
      <c r="A459" s="211" t="s">
        <v>2013</v>
      </c>
      <c r="B459" s="212" t="s">
        <v>2014</v>
      </c>
    </row>
    <row r="460" spans="1:2">
      <c r="A460" s="211" t="s">
        <v>2015</v>
      </c>
      <c r="B460" s="212" t="s">
        <v>2016</v>
      </c>
    </row>
    <row r="461" spans="1:2">
      <c r="A461" s="211" t="s">
        <v>2017</v>
      </c>
      <c r="B461" s="212" t="s">
        <v>2018</v>
      </c>
    </row>
    <row r="462" spans="1:2">
      <c r="A462" s="211" t="s">
        <v>2019</v>
      </c>
      <c r="B462" s="212" t="s">
        <v>2020</v>
      </c>
    </row>
    <row r="463" spans="1:2">
      <c r="A463" s="211" t="s">
        <v>2021</v>
      </c>
      <c r="B463" s="212" t="s">
        <v>2022</v>
      </c>
    </row>
    <row r="464" spans="1:2">
      <c r="A464" s="210" t="s">
        <v>826</v>
      </c>
      <c r="B464" s="213" t="s">
        <v>811</v>
      </c>
    </row>
    <row r="465" spans="1:2">
      <c r="A465" s="211" t="s">
        <v>1190</v>
      </c>
      <c r="B465" s="212" t="s">
        <v>347</v>
      </c>
    </row>
    <row r="466" spans="1:2">
      <c r="A466" s="211" t="s">
        <v>1191</v>
      </c>
      <c r="B466" s="212" t="s">
        <v>348</v>
      </c>
    </row>
    <row r="467" spans="1:2">
      <c r="A467" s="211" t="s">
        <v>1192</v>
      </c>
      <c r="B467" s="212" t="s">
        <v>1193</v>
      </c>
    </row>
    <row r="468" spans="1:2">
      <c r="A468" s="211" t="s">
        <v>1194</v>
      </c>
      <c r="B468" s="212" t="s">
        <v>1111</v>
      </c>
    </row>
    <row r="469" spans="1:2">
      <c r="A469" s="211" t="s">
        <v>2023</v>
      </c>
      <c r="B469" s="212"/>
    </row>
    <row r="470" spans="1:2">
      <c r="A470" s="211" t="s">
        <v>2024</v>
      </c>
      <c r="B470" s="212"/>
    </row>
    <row r="471" spans="1:2">
      <c r="A471" s="211" t="s">
        <v>2025</v>
      </c>
      <c r="B471" s="212" t="s">
        <v>2026</v>
      </c>
    </row>
    <row r="472" spans="1:2">
      <c r="A472" s="211" t="s">
        <v>2027</v>
      </c>
      <c r="B472" s="212" t="s">
        <v>1495</v>
      </c>
    </row>
    <row r="473" spans="1:2">
      <c r="A473" s="209" t="s">
        <v>1251</v>
      </c>
      <c r="B473" s="214" t="s">
        <v>1252</v>
      </c>
    </row>
    <row r="474" spans="1:2">
      <c r="A474" s="210" t="s">
        <v>1253</v>
      </c>
      <c r="B474" s="213" t="s">
        <v>1254</v>
      </c>
    </row>
    <row r="475" spans="1:2">
      <c r="A475" s="210" t="s">
        <v>1281</v>
      </c>
      <c r="B475" s="213" t="s">
        <v>1282</v>
      </c>
    </row>
    <row r="476" spans="1:2">
      <c r="A476" s="211" t="s">
        <v>1509</v>
      </c>
      <c r="B476" s="212" t="s">
        <v>1510</v>
      </c>
    </row>
    <row r="477" spans="1:2">
      <c r="A477" s="210" t="s">
        <v>1283</v>
      </c>
      <c r="B477" s="213" t="s">
        <v>1284</v>
      </c>
    </row>
    <row r="478" spans="1:2">
      <c r="A478" s="211" t="s">
        <v>1511</v>
      </c>
      <c r="B478" s="212" t="s">
        <v>1512</v>
      </c>
    </row>
    <row r="479" spans="1:2">
      <c r="A479" s="211" t="s">
        <v>1513</v>
      </c>
      <c r="B479" s="212" t="s">
        <v>1514</v>
      </c>
    </row>
    <row r="480" spans="1:2">
      <c r="A480" s="209" t="s">
        <v>1290</v>
      </c>
      <c r="B480" s="214" t="s">
        <v>1291</v>
      </c>
    </row>
    <row r="481" spans="1:2">
      <c r="A481" s="210" t="s">
        <v>1253</v>
      </c>
      <c r="B481" s="213" t="s">
        <v>1254</v>
      </c>
    </row>
    <row r="482" spans="1:2">
      <c r="A482" s="210" t="s">
        <v>1298</v>
      </c>
      <c r="B482" s="213" t="s">
        <v>1299</v>
      </c>
    </row>
    <row r="483" spans="1:2">
      <c r="A483" s="211" t="s">
        <v>1515</v>
      </c>
      <c r="B483" s="212" t="s">
        <v>1516</v>
      </c>
    </row>
    <row r="484" spans="1:2">
      <c r="A484" s="211" t="s">
        <v>1517</v>
      </c>
      <c r="B484" s="212" t="s">
        <v>1518</v>
      </c>
    </row>
    <row r="485" spans="1:2">
      <c r="A485" s="211" t="s">
        <v>1519</v>
      </c>
      <c r="B485" s="212" t="s">
        <v>1520</v>
      </c>
    </row>
    <row r="486" spans="1:2">
      <c r="A486" s="209" t="s">
        <v>1413</v>
      </c>
      <c r="B486" s="214" t="s">
        <v>1414</v>
      </c>
    </row>
    <row r="487" spans="1:2">
      <c r="A487" s="210" t="s">
        <v>1207</v>
      </c>
      <c r="B487" s="213" t="s">
        <v>1208</v>
      </c>
    </row>
    <row r="488" spans="1:2">
      <c r="A488" s="210" t="s">
        <v>1443</v>
      </c>
      <c r="B488" s="213" t="s">
        <v>813</v>
      </c>
    </row>
    <row r="489" spans="1:2">
      <c r="A489" s="211" t="s">
        <v>1521</v>
      </c>
      <c r="B489" s="212" t="s">
        <v>1522</v>
      </c>
    </row>
    <row r="490" spans="1:2">
      <c r="A490" s="211" t="s">
        <v>1523</v>
      </c>
      <c r="B490" s="212" t="s">
        <v>1524</v>
      </c>
    </row>
    <row r="491" spans="1:2">
      <c r="A491" s="211" t="s">
        <v>1525</v>
      </c>
      <c r="B491" s="212" t="s">
        <v>1526</v>
      </c>
    </row>
    <row r="492" spans="1:2">
      <c r="A492" s="211" t="s">
        <v>1527</v>
      </c>
      <c r="B492" s="212" t="s">
        <v>1528</v>
      </c>
    </row>
    <row r="493" spans="1:2">
      <c r="A493" s="211" t="s">
        <v>1529</v>
      </c>
      <c r="B493" s="212" t="s">
        <v>1530</v>
      </c>
    </row>
    <row r="494" spans="1:2">
      <c r="A494" s="211" t="s">
        <v>1531</v>
      </c>
      <c r="B494" s="212" t="s">
        <v>1532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7</vt:i4>
      </vt:variant>
    </vt:vector>
  </HeadingPairs>
  <TitlesOfParts>
    <vt:vector size="17" baseType="lpstr">
      <vt:lpstr>Opći dio</vt:lpstr>
      <vt:lpstr>Plan prihoda za unos u SAP</vt:lpstr>
      <vt:lpstr>Plan rashoda za unos u SAP</vt:lpstr>
      <vt:lpstr>ANALITIKA EU PROJEKATA</vt:lpstr>
      <vt:lpstr>PLAN PRIHODA I PRIMITAKA </vt:lpstr>
      <vt:lpstr>PLAN RASHODA I IZDATAKA</vt:lpstr>
      <vt:lpstr>PLAN IZDATAKA</vt:lpstr>
      <vt:lpstr>AKT</vt:lpstr>
      <vt:lpstr>p4</vt:lpstr>
      <vt:lpstr>prihodi</vt:lpstr>
      <vt:lpstr>'Opći dio'!Print_Area</vt:lpstr>
      <vt:lpstr>'Plan prihoda za unos u SAP'!Print_Area</vt:lpstr>
      <vt:lpstr>'Plan rashoda za unos u SAP'!Print_Area</vt:lpstr>
      <vt:lpstr>'ANALITIKA EU PROJEKATA'!Print_Titles</vt:lpstr>
      <vt:lpstr>'Plan prihoda za unos u SAP'!Print_Titles</vt:lpstr>
      <vt:lpstr>'PLAN RASHODA I IZDATAKA'!Print_Titles</vt:lpstr>
      <vt:lpstr>'Plan rashoda za unos u SAP'!Print_Titles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ifain</dc:creator>
  <cp:lastModifiedBy>Diana</cp:lastModifiedBy>
  <cp:lastPrinted>2020-10-16T09:34:13Z</cp:lastPrinted>
  <dcterms:created xsi:type="dcterms:W3CDTF">2018-09-10T07:36:17Z</dcterms:created>
  <dcterms:modified xsi:type="dcterms:W3CDTF">2022-12-22T16:56:02Z</dcterms:modified>
</cp:coreProperties>
</file>